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angzhikai\Desktop\9月10日方案评审会过会方案\"/>
    </mc:Choice>
  </mc:AlternateContent>
  <bookViews>
    <workbookView xWindow="0" yWindow="0" windowWidth="15600" windowHeight="8040" tabRatio="912" firstSheet="6" activeTab="6"/>
  </bookViews>
  <sheets>
    <sheet name="Sheet1" sheetId="1" state="hidden" r:id="rId1"/>
    <sheet name="盈利指标" sheetId="2" state="hidden" r:id="rId2"/>
    <sheet name="更新框架" sheetId="26" state="hidden" r:id="rId3"/>
    <sheet name="4税负分析" sheetId="41" state="hidden" r:id="rId4"/>
    <sheet name="3利润分产品" sheetId="40" state="hidden" r:id="rId5"/>
    <sheet name="2现金流分析" sheetId="39" state="hidden" r:id="rId6"/>
    <sheet name="目录" sheetId="3" r:id="rId7"/>
    <sheet name="收并购参数设置" sheetId="30" r:id="rId8"/>
    <sheet name="自持参数设置" sheetId="35" state="hidden" r:id="rId9"/>
    <sheet name="自持利润及现金流量表" sheetId="34" state="hidden" r:id="rId10"/>
    <sheet name="收并购及自持输出表" sheetId="31" r:id="rId11"/>
    <sheet name="综合表" sheetId="29" state="hidden" r:id="rId12"/>
    <sheet name="支付对价及节点" sheetId="36" r:id="rId13"/>
    <sheet name="2.税率表" sheetId="5" r:id="rId14"/>
    <sheet name="1.参数设置" sheetId="4" r:id="rId15"/>
    <sheet name="12.土地成本表" sheetId="18" r:id="rId16"/>
    <sheet name="3.保本售价试算" sheetId="6" r:id="rId17"/>
    <sheet name="Sheet3" sheetId="7" state="hidden" r:id="rId18"/>
    <sheet name="Sheet4" sheetId="8" state="hidden" r:id="rId19"/>
    <sheet name="4.综合指标表" sheetId="9" r:id="rId20"/>
    <sheet name="5.分产品利润表" sheetId="10" r:id="rId21"/>
    <sheet name="6.签约利润表" sheetId="11" r:id="rId22"/>
    <sheet name="7.现金流量表" sheetId="13" r:id="rId23"/>
    <sheet name="2.3会计利润表" sheetId="12" state="hidden" r:id="rId24"/>
    <sheet name="7.现金流量表（项目经营性）" sheetId="43" r:id="rId25"/>
    <sheet name="17.财务费用测算表" sheetId="23" r:id="rId26"/>
    <sheet name="8.项目规划指标表" sheetId="14" r:id="rId27"/>
    <sheet name="9.项目开发计划表" sheetId="15" r:id="rId28"/>
    <sheet name="10.工程成本支出表" sheetId="16" r:id="rId29"/>
    <sheet name="11.销售及回款表" sheetId="17" r:id="rId30"/>
    <sheet name="13.建安成本表" sheetId="19" r:id="rId31"/>
    <sheet name="14.增值税计算表" sheetId="20" r:id="rId32"/>
    <sheet name="15.土地增值税" sheetId="21" r:id="rId33"/>
    <sheet name="Sheet2" sheetId="24" state="hidden" r:id="rId34"/>
    <sheet name="Sheet5" sheetId="25" state="hidden" r:id="rId35"/>
    <sheet name="16.所得税计算表" sheetId="22" r:id="rId36"/>
    <sheet name="18、敏感性分析" sheetId="27" r:id="rId37"/>
    <sheet name="Sheet7" sheetId="28" state="hidden" r:id="rId38"/>
    <sheet name="Sheet6" sheetId="32" r:id="rId39"/>
    <sheet name="Sheet8" sheetId="33" r:id="rId40"/>
  </sheets>
  <externalReferences>
    <externalReference r:id="rId41"/>
    <externalReference r:id="rId42"/>
    <externalReference r:id="rId43"/>
  </externalReferences>
  <definedNames>
    <definedName name="_xlnm._FilterDatabase" localSheetId="28" hidden="1">'10.工程成本支出表'!$A$6:$AU$69</definedName>
    <definedName name="_xlnm._FilterDatabase" localSheetId="29" hidden="1">'11.销售及回款表'!$A$4:$AV$495</definedName>
    <definedName name="_xlnm._FilterDatabase" localSheetId="11" hidden="1">综合表!$A$60:$CK$60</definedName>
    <definedName name="_xlnm.Print_Area" localSheetId="10">收并购及自持输出表!$A$1:$Q$52</definedName>
    <definedName name="_xlnm.Print_Area" localSheetId="11">综合表!$A$1:$EH$76</definedName>
    <definedName name="solver_adj" localSheetId="16" hidden="1">'3.保本售价试算'!$P$6,'3.保本售价试算'!$S$6,'3.保本售价试算'!$Z$6</definedName>
    <definedName name="solver_cvg" localSheetId="16" hidden="1">0.0001</definedName>
    <definedName name="solver_drv" localSheetId="16" hidden="1">2</definedName>
    <definedName name="solver_eng" localSheetId="16" hidden="1">1</definedName>
    <definedName name="solver_est" localSheetId="16" hidden="1">1</definedName>
    <definedName name="solver_itr" localSheetId="16" hidden="1">2147483647</definedName>
    <definedName name="solver_mip" localSheetId="16" hidden="1">2147483647</definedName>
    <definedName name="solver_mni" localSheetId="16" hidden="1">30</definedName>
    <definedName name="solver_mrt" localSheetId="16" hidden="1">0.075</definedName>
    <definedName name="solver_msl" localSheetId="16" hidden="1">2</definedName>
    <definedName name="solver_neg" localSheetId="16" hidden="1">1</definedName>
    <definedName name="solver_nod" localSheetId="16" hidden="1">2147483647</definedName>
    <definedName name="solver_num" localSheetId="16" hidden="1">0</definedName>
    <definedName name="solver_nwt" localSheetId="16" hidden="1">1</definedName>
    <definedName name="solver_opt" localSheetId="16" hidden="1">'3.保本售价试算'!$B$23</definedName>
    <definedName name="solver_pre" localSheetId="16" hidden="1">0.000001</definedName>
    <definedName name="solver_rbv" localSheetId="16" hidden="1">2</definedName>
    <definedName name="solver_rlx" localSheetId="16" hidden="1">2</definedName>
    <definedName name="solver_rsd" localSheetId="16" hidden="1">0</definedName>
    <definedName name="solver_scl" localSheetId="16" hidden="1">2</definedName>
    <definedName name="solver_sho" localSheetId="16" hidden="1">2</definedName>
    <definedName name="solver_ssz" localSheetId="16" hidden="1">100</definedName>
    <definedName name="solver_tim" localSheetId="16" hidden="1">2147483647</definedName>
    <definedName name="solver_tol" localSheetId="16" hidden="1">0.01</definedName>
    <definedName name="solver_typ" localSheetId="16" hidden="1">3</definedName>
    <definedName name="solver_val" localSheetId="16" hidden="1">0</definedName>
    <definedName name="solver_ver" localSheetId="16" hidden="1">3</definedName>
    <definedName name="净利润" localSheetId="5">#REF!</definedName>
    <definedName name="净利润" localSheetId="4">#REF!</definedName>
    <definedName name="净利润" localSheetId="3">#REF!</definedName>
    <definedName name="净利润" localSheetId="11">#REF!</definedName>
    <definedName name="净利润">#REF!</definedName>
  </definedNames>
  <calcPr calcId="152511"/>
</workbook>
</file>

<file path=xl/calcChain.xml><?xml version="1.0" encoding="utf-8"?>
<calcChain xmlns="http://schemas.openxmlformats.org/spreadsheetml/2006/main">
  <c r="J49" i="13" l="1"/>
  <c r="C52" i="43" l="1"/>
  <c r="C51" i="43"/>
  <c r="E50" i="43"/>
  <c r="F50" i="43" s="1"/>
  <c r="C49" i="43"/>
  <c r="C48" i="43"/>
  <c r="E47" i="43"/>
  <c r="BB45" i="43"/>
  <c r="AW45" i="43"/>
  <c r="AR45" i="43"/>
  <c r="AM45" i="43"/>
  <c r="AH45" i="43"/>
  <c r="AC45" i="43"/>
  <c r="X45" i="43"/>
  <c r="S45" i="43"/>
  <c r="N45" i="43"/>
  <c r="BB41" i="43"/>
  <c r="AW41" i="43"/>
  <c r="AR41" i="43"/>
  <c r="AM41" i="43"/>
  <c r="AH41" i="43"/>
  <c r="AC41" i="43"/>
  <c r="X41" i="43"/>
  <c r="S41" i="43"/>
  <c r="N41" i="43"/>
  <c r="I41" i="43"/>
  <c r="D41" i="43"/>
  <c r="BB40" i="43"/>
  <c r="AW40" i="43"/>
  <c r="AR40" i="43"/>
  <c r="AM40" i="43"/>
  <c r="AH40" i="43"/>
  <c r="AC40" i="43"/>
  <c r="X40" i="43"/>
  <c r="S40" i="43"/>
  <c r="N40" i="43"/>
  <c r="I40" i="43"/>
  <c r="D40" i="43"/>
  <c r="BB36" i="43"/>
  <c r="AW36" i="43"/>
  <c r="AR36" i="43"/>
  <c r="AM36" i="43"/>
  <c r="AH36" i="43"/>
  <c r="AC36" i="43"/>
  <c r="X36" i="43"/>
  <c r="S36" i="43"/>
  <c r="N36" i="43"/>
  <c r="I36" i="43"/>
  <c r="D36" i="43"/>
  <c r="BB35" i="43"/>
  <c r="AW35" i="43"/>
  <c r="AR35" i="43"/>
  <c r="AM35" i="43"/>
  <c r="AH35" i="43"/>
  <c r="AC35" i="43"/>
  <c r="X35" i="43"/>
  <c r="S35" i="43"/>
  <c r="N35" i="43"/>
  <c r="I35" i="43"/>
  <c r="D35" i="43"/>
  <c r="P34" i="43"/>
  <c r="P37" i="43" s="1"/>
  <c r="O34" i="43"/>
  <c r="O37" i="43" s="1"/>
  <c r="M34" i="43"/>
  <c r="M37" i="43" s="1"/>
  <c r="L34" i="43"/>
  <c r="L37" i="43" s="1"/>
  <c r="K34" i="43"/>
  <c r="K37" i="43" s="1"/>
  <c r="E34" i="43"/>
  <c r="E37" i="43" s="1"/>
  <c r="Q31" i="43"/>
  <c r="P31" i="43"/>
  <c r="O31" i="43"/>
  <c r="M31" i="43"/>
  <c r="L31" i="43"/>
  <c r="E31" i="43"/>
  <c r="BF30" i="43"/>
  <c r="BE30" i="43"/>
  <c r="BD30" i="43"/>
  <c r="BC30" i="43"/>
  <c r="BA30" i="43"/>
  <c r="AZ30" i="43"/>
  <c r="AY30" i="43"/>
  <c r="AX30" i="43"/>
  <c r="AV30" i="43"/>
  <c r="AU30" i="43"/>
  <c r="AT30" i="43"/>
  <c r="AS30" i="43"/>
  <c r="AQ30" i="43"/>
  <c r="AP30" i="43"/>
  <c r="AO30" i="43"/>
  <c r="AN30" i="43"/>
  <c r="AL30" i="43"/>
  <c r="AK30" i="43"/>
  <c r="AJ30" i="43"/>
  <c r="AI30" i="43"/>
  <c r="AG30" i="43"/>
  <c r="AF30" i="43"/>
  <c r="AE30" i="43"/>
  <c r="AD30" i="43"/>
  <c r="AB30" i="43"/>
  <c r="AA30" i="43"/>
  <c r="Z30" i="43"/>
  <c r="Y30" i="43"/>
  <c r="W30" i="43"/>
  <c r="V30" i="43"/>
  <c r="U30" i="43"/>
  <c r="T30" i="43"/>
  <c r="R30" i="43"/>
  <c r="Q30" i="43"/>
  <c r="P30" i="43"/>
  <c r="O30" i="43"/>
  <c r="M30" i="43"/>
  <c r="L30" i="43"/>
  <c r="K30" i="43"/>
  <c r="J30" i="43"/>
  <c r="H30" i="43"/>
  <c r="G30" i="43"/>
  <c r="F30" i="43"/>
  <c r="E30" i="43"/>
  <c r="BB27" i="43"/>
  <c r="AW27" i="43"/>
  <c r="AR27" i="43"/>
  <c r="AM27" i="43"/>
  <c r="AH27" i="43"/>
  <c r="AC27" i="43"/>
  <c r="X27" i="43"/>
  <c r="S27" i="43"/>
  <c r="N27" i="43"/>
  <c r="I27" i="43"/>
  <c r="D27" i="43"/>
  <c r="BB26" i="43"/>
  <c r="AW26" i="43"/>
  <c r="AR26" i="43"/>
  <c r="AM26" i="43"/>
  <c r="AH26" i="43"/>
  <c r="AC26" i="43"/>
  <c r="X26" i="43"/>
  <c r="S26" i="43"/>
  <c r="N26" i="43"/>
  <c r="I26" i="43"/>
  <c r="D26" i="43"/>
  <c r="BB25" i="43"/>
  <c r="AW25" i="43"/>
  <c r="AR25" i="43"/>
  <c r="AM25" i="43"/>
  <c r="AH25" i="43"/>
  <c r="AC25" i="43"/>
  <c r="X25" i="43"/>
  <c r="S25" i="43"/>
  <c r="N25" i="43"/>
  <c r="I25" i="43"/>
  <c r="D25" i="43"/>
  <c r="BF24" i="43"/>
  <c r="BE24" i="43"/>
  <c r="BD24" i="43"/>
  <c r="BC24" i="43"/>
  <c r="BA24" i="43"/>
  <c r="AZ24" i="43"/>
  <c r="AY24" i="43"/>
  <c r="AX24" i="43"/>
  <c r="AV24" i="43"/>
  <c r="AU24" i="43"/>
  <c r="AT24" i="43"/>
  <c r="AS24" i="43"/>
  <c r="AQ24" i="43"/>
  <c r="AP24" i="43"/>
  <c r="AO24" i="43"/>
  <c r="AN24" i="43"/>
  <c r="AL24" i="43"/>
  <c r="AK24" i="43"/>
  <c r="AJ24" i="43"/>
  <c r="AI24" i="43"/>
  <c r="AG24" i="43"/>
  <c r="AF24" i="43"/>
  <c r="AE24" i="43"/>
  <c r="AD24" i="43"/>
  <c r="AB24" i="43"/>
  <c r="AA24" i="43"/>
  <c r="Z24" i="43"/>
  <c r="Y24" i="43"/>
  <c r="W24" i="43"/>
  <c r="V24" i="43"/>
  <c r="U24" i="43"/>
  <c r="T24" i="43"/>
  <c r="R24" i="43"/>
  <c r="Q24" i="43"/>
  <c r="P24" i="43"/>
  <c r="O24" i="43"/>
  <c r="M24" i="43"/>
  <c r="L24" i="43"/>
  <c r="K24" i="43"/>
  <c r="J24" i="43"/>
  <c r="H24" i="43"/>
  <c r="G24" i="43"/>
  <c r="F24" i="43"/>
  <c r="E24" i="43"/>
  <c r="BB19" i="43"/>
  <c r="AW19" i="43"/>
  <c r="AR19" i="43"/>
  <c r="AM19" i="43"/>
  <c r="AH19" i="43"/>
  <c r="AC19" i="43"/>
  <c r="X19" i="43"/>
  <c r="S19" i="43"/>
  <c r="N19" i="43"/>
  <c r="I19" i="43"/>
  <c r="D19" i="43"/>
  <c r="D3" i="43"/>
  <c r="G3" i="43" s="1"/>
  <c r="B1" i="43"/>
  <c r="F11" i="41"/>
  <c r="F12" i="41"/>
  <c r="F13" i="41"/>
  <c r="AR24" i="43" l="1"/>
  <c r="C27" i="43"/>
  <c r="X30" i="43"/>
  <c r="C35" i="43"/>
  <c r="D24" i="43"/>
  <c r="N30" i="43"/>
  <c r="S30" i="43"/>
  <c r="AH30" i="43"/>
  <c r="AM30" i="43"/>
  <c r="E3" i="43"/>
  <c r="I24" i="43"/>
  <c r="AM24" i="43"/>
  <c r="C36" i="43"/>
  <c r="O64" i="43"/>
  <c r="P64" i="43" s="1"/>
  <c r="N24" i="43"/>
  <c r="E64" i="43"/>
  <c r="C25" i="43"/>
  <c r="AH24" i="43"/>
  <c r="C26" i="43"/>
  <c r="C24" i="43" s="1"/>
  <c r="BB30" i="43"/>
  <c r="C19" i="43"/>
  <c r="F3" i="43"/>
  <c r="X24" i="43"/>
  <c r="H3" i="43"/>
  <c r="BB24" i="43"/>
  <c r="E55" i="43"/>
  <c r="F47" i="43"/>
  <c r="F54" i="43" s="1"/>
  <c r="E54" i="43"/>
  <c r="D30" i="43"/>
  <c r="I3" i="43"/>
  <c r="S24" i="43"/>
  <c r="AR30" i="43"/>
  <c r="AC30" i="43"/>
  <c r="AC24" i="43"/>
  <c r="I30" i="43"/>
  <c r="AW30" i="43"/>
  <c r="AW24" i="43"/>
  <c r="F55" i="43"/>
  <c r="G50" i="43"/>
  <c r="C30" i="43" l="1"/>
  <c r="F53" i="43"/>
  <c r="K3" i="43"/>
  <c r="L3" i="43"/>
  <c r="J3" i="43"/>
  <c r="N3" i="43"/>
  <c r="M3" i="43"/>
  <c r="E53" i="43"/>
  <c r="G47" i="43"/>
  <c r="G55" i="43"/>
  <c r="H50" i="43"/>
  <c r="H55" i="43" l="1"/>
  <c r="J50" i="43"/>
  <c r="J55" i="43" s="1"/>
  <c r="H47" i="43"/>
  <c r="H54" i="43" s="1"/>
  <c r="G54" i="43"/>
  <c r="S3" i="43"/>
  <c r="O3" i="43"/>
  <c r="R3" i="43"/>
  <c r="Q3" i="43"/>
  <c r="P3" i="43"/>
  <c r="H53" i="43" l="1"/>
  <c r="K50" i="43"/>
  <c r="K55" i="43" s="1"/>
  <c r="W3" i="43"/>
  <c r="V3" i="43"/>
  <c r="T3" i="43"/>
  <c r="X3" i="43"/>
  <c r="U3" i="43"/>
  <c r="G53" i="43"/>
  <c r="J47" i="43"/>
  <c r="J54" i="43" s="1"/>
  <c r="J53" i="43" l="1"/>
  <c r="K47" i="43"/>
  <c r="K54" i="43" s="1"/>
  <c r="K53" i="43" s="1"/>
  <c r="AA3" i="43"/>
  <c r="AB3" i="43"/>
  <c r="Z3" i="43"/>
  <c r="Y3" i="43"/>
  <c r="AC3" i="43"/>
  <c r="L50" i="43"/>
  <c r="M50" i="43" l="1"/>
  <c r="AE3" i="43"/>
  <c r="AD3" i="43"/>
  <c r="AH3" i="43"/>
  <c r="AG3" i="43"/>
  <c r="AF3" i="43"/>
  <c r="L55" i="43"/>
  <c r="L47" i="43"/>
  <c r="M47" i="43" l="1"/>
  <c r="M54" i="43" s="1"/>
  <c r="O50" i="43"/>
  <c r="L54" i="43"/>
  <c r="AM3" i="43"/>
  <c r="AI3" i="43"/>
  <c r="AL3" i="43"/>
  <c r="AK3" i="43"/>
  <c r="AJ3" i="43"/>
  <c r="M55" i="43"/>
  <c r="M53" i="43" l="1"/>
  <c r="P50" i="43"/>
  <c r="P55" i="43" s="1"/>
  <c r="O55" i="43"/>
  <c r="AQ3" i="43"/>
  <c r="AN3" i="43"/>
  <c r="AO3" i="43"/>
  <c r="AR3" i="43"/>
  <c r="AP3" i="43"/>
  <c r="L53" i="43"/>
  <c r="O47" i="43"/>
  <c r="O54" i="43"/>
  <c r="O53" i="43" s="1"/>
  <c r="P47" i="43" l="1"/>
  <c r="P54" i="43" s="1"/>
  <c r="P53" i="43" s="1"/>
  <c r="Q50" i="43"/>
  <c r="AU3" i="43"/>
  <c r="AT3" i="43"/>
  <c r="AS3" i="43"/>
  <c r="AW3" i="43"/>
  <c r="AV3" i="43"/>
  <c r="R50" i="43" l="1"/>
  <c r="R55" i="43" s="1"/>
  <c r="AY3" i="43"/>
  <c r="BB3" i="43"/>
  <c r="BA3" i="43"/>
  <c r="AZ3" i="43"/>
  <c r="AX3" i="43"/>
  <c r="Q55" i="43"/>
  <c r="Q47" i="43"/>
  <c r="Q54" i="43" s="1"/>
  <c r="BC3" i="43" l="1"/>
  <c r="BE3" i="43"/>
  <c r="BD3" i="43"/>
  <c r="BF3" i="43"/>
  <c r="R47" i="43"/>
  <c r="R54" i="43" s="1"/>
  <c r="R53" i="43" s="1"/>
  <c r="Q53" i="43"/>
  <c r="T50" i="43"/>
  <c r="T55" i="43" s="1"/>
  <c r="U50" i="43" l="1"/>
  <c r="T47" i="43"/>
  <c r="U47" i="43" l="1"/>
  <c r="U54" i="43" s="1"/>
  <c r="V50" i="43"/>
  <c r="V55" i="43" s="1"/>
  <c r="T54" i="43"/>
  <c r="T53" i="43" s="1"/>
  <c r="U55" i="43"/>
  <c r="W50" i="43" l="1"/>
  <c r="U53" i="43"/>
  <c r="V47" i="43"/>
  <c r="Y50" i="43" l="1"/>
  <c r="W47" i="43"/>
  <c r="W55" i="43"/>
  <c r="V54" i="43"/>
  <c r="V53" i="43" s="1"/>
  <c r="Z50" i="43" l="1"/>
  <c r="Z55" i="43" s="1"/>
  <c r="Y47" i="43"/>
  <c r="Y54" i="43" s="1"/>
  <c r="W54" i="43"/>
  <c r="W53" i="43" s="1"/>
  <c r="Y55" i="43"/>
  <c r="Y53" i="43" l="1"/>
  <c r="Z47" i="43"/>
  <c r="AA50" i="43"/>
  <c r="AA55" i="43" s="1"/>
  <c r="AA47" i="43" l="1"/>
  <c r="AA54" i="43" s="1"/>
  <c r="AA53" i="43" s="1"/>
  <c r="AB50" i="43"/>
  <c r="Z54" i="43"/>
  <c r="Z53" i="43" s="1"/>
  <c r="AD50" i="43" l="1"/>
  <c r="AD55" i="43" s="1"/>
  <c r="AB55" i="43"/>
  <c r="AB47" i="43"/>
  <c r="AD47" i="43" l="1"/>
  <c r="AD54" i="43" s="1"/>
  <c r="AD53" i="43" s="1"/>
  <c r="AB54" i="43"/>
  <c r="AB53" i="43" s="1"/>
  <c r="AE50" i="43"/>
  <c r="AF50" i="43" l="1"/>
  <c r="AE55" i="43"/>
  <c r="AE47" i="43"/>
  <c r="AE54" i="43" s="1"/>
  <c r="AE53" i="43" s="1"/>
  <c r="AG50" i="43" l="1"/>
  <c r="AG55" i="43" s="1"/>
  <c r="AF47" i="43"/>
  <c r="AF55" i="43"/>
  <c r="AG47" i="43" l="1"/>
  <c r="AF54" i="43"/>
  <c r="AF53" i="43" s="1"/>
  <c r="AI50" i="43"/>
  <c r="AJ50" i="43" l="1"/>
  <c r="AJ55" i="43" s="1"/>
  <c r="AI47" i="43"/>
  <c r="AI55" i="43"/>
  <c r="AG54" i="43"/>
  <c r="AG53" i="43" s="1"/>
  <c r="AJ47" i="43" l="1"/>
  <c r="AJ54" i="43" s="1"/>
  <c r="AJ53" i="43" s="1"/>
  <c r="AI54" i="43"/>
  <c r="AI53" i="43" s="1"/>
  <c r="AK50" i="43"/>
  <c r="AL50" i="43" l="1"/>
  <c r="AL55" i="43" s="1"/>
  <c r="AK55" i="43"/>
  <c r="AK47" i="43"/>
  <c r="AK54" i="43" s="1"/>
  <c r="AK53" i="43" s="1"/>
  <c r="AL47" i="43" l="1"/>
  <c r="AL54" i="43" s="1"/>
  <c r="AL53" i="43" s="1"/>
  <c r="AN50" i="43"/>
  <c r="AO50" i="43" l="1"/>
  <c r="AN55" i="43"/>
  <c r="AN47" i="43"/>
  <c r="AO47" i="43" l="1"/>
  <c r="AO54" i="43" s="1"/>
  <c r="AP50" i="43"/>
  <c r="AN54" i="43"/>
  <c r="AN53" i="43" s="1"/>
  <c r="AO55" i="43"/>
  <c r="AO53" i="43" l="1"/>
  <c r="AQ50" i="43"/>
  <c r="AP55" i="43"/>
  <c r="AP47" i="43"/>
  <c r="AS50" i="43" l="1"/>
  <c r="AS55" i="43" s="1"/>
  <c r="AQ47" i="43"/>
  <c r="AQ54" i="43" s="1"/>
  <c r="AQ55" i="43"/>
  <c r="AP54" i="43"/>
  <c r="AP53" i="43" s="1"/>
  <c r="AQ53" i="43" l="1"/>
  <c r="AS47" i="43"/>
  <c r="AS54" i="43" s="1"/>
  <c r="AS53" i="43" s="1"/>
  <c r="AT50" i="43"/>
  <c r="AT55" i="43" s="1"/>
  <c r="AU50" i="43" l="1"/>
  <c r="AT47" i="43"/>
  <c r="AT54" i="43" s="1"/>
  <c r="AT53" i="43" s="1"/>
  <c r="AV50" i="43" l="1"/>
  <c r="AU47" i="43"/>
  <c r="AU55" i="43"/>
  <c r="AV47" i="43" l="1"/>
  <c r="AX50" i="43"/>
  <c r="AU54" i="43"/>
  <c r="AU53" i="43" s="1"/>
  <c r="AV55" i="43"/>
  <c r="AY50" i="43" l="1"/>
  <c r="AY55" i="43" s="1"/>
  <c r="AX55" i="43"/>
  <c r="AX47" i="43"/>
  <c r="AX54" i="43" s="1"/>
  <c r="AX53" i="43" s="1"/>
  <c r="AV54" i="43"/>
  <c r="AV53" i="43" s="1"/>
  <c r="AY47" i="43" l="1"/>
  <c r="AY54" i="43" s="1"/>
  <c r="AY53" i="43" s="1"/>
  <c r="AZ50" i="43"/>
  <c r="BA50" i="43" l="1"/>
  <c r="BA55" i="43" s="1"/>
  <c r="AZ55" i="43"/>
  <c r="AZ47" i="43"/>
  <c r="AZ54" i="43" s="1"/>
  <c r="AZ53" i="43" s="1"/>
  <c r="BA47" i="43" l="1"/>
  <c r="BA54" i="43" s="1"/>
  <c r="BA53" i="43" s="1"/>
  <c r="BC50" i="43"/>
  <c r="BC55" i="43" s="1"/>
  <c r="BD50" i="43" l="1"/>
  <c r="BD55" i="43" s="1"/>
  <c r="BC47" i="43"/>
  <c r="BD47" i="43" l="1"/>
  <c r="BD54" i="43" s="1"/>
  <c r="BD53" i="43" s="1"/>
  <c r="BC54" i="43"/>
  <c r="BC53" i="43" s="1"/>
  <c r="BE50" i="43"/>
  <c r="BE55" i="43" s="1"/>
  <c r="BF50" i="43" l="1"/>
  <c r="C50" i="43" s="1"/>
  <c r="BE47" i="43"/>
  <c r="BF47" i="43" l="1"/>
  <c r="C47" i="43" s="1"/>
  <c r="BE54" i="43"/>
  <c r="BE53" i="43" s="1"/>
  <c r="BF55" i="43"/>
  <c r="C55" i="43" s="1"/>
  <c r="BF54" i="43" l="1"/>
  <c r="BF53" i="43" s="1"/>
  <c r="C53" i="43" s="1"/>
  <c r="C54" i="43" l="1"/>
  <c r="K172" i="21"/>
  <c r="K173" i="21"/>
  <c r="K174" i="21"/>
  <c r="K175" i="21"/>
  <c r="K176" i="21"/>
  <c r="K177" i="21"/>
  <c r="K178" i="21"/>
  <c r="K179" i="21"/>
  <c r="K180" i="21"/>
  <c r="K183" i="21"/>
  <c r="K184" i="21"/>
  <c r="K185" i="21"/>
  <c r="K171" i="21"/>
  <c r="I18" i="14" l="1"/>
  <c r="G18" i="14" l="1"/>
  <c r="G19" i="14" l="1"/>
  <c r="H43" i="14" l="1"/>
  <c r="G40" i="14" s="1"/>
  <c r="K20" i="23"/>
  <c r="K31" i="43" s="1"/>
  <c r="K85" i="17"/>
  <c r="L85" i="17" s="1"/>
  <c r="M85" i="17" s="1"/>
  <c r="F6" i="18"/>
  <c r="F16" i="18" s="1"/>
  <c r="I5" i="36"/>
  <c r="C18" i="18" s="1"/>
  <c r="H18" i="14"/>
  <c r="N16" i="15"/>
  <c r="T16" i="15" s="1"/>
  <c r="W16" i="15" s="1"/>
  <c r="Z16" i="15" s="1"/>
  <c r="AA16" i="15" s="1"/>
  <c r="Y16" i="15"/>
  <c r="H16" i="15"/>
  <c r="I16" i="15" s="1"/>
  <c r="J16" i="15" s="1"/>
  <c r="L16" i="15" s="1"/>
  <c r="O16" i="15" s="1"/>
  <c r="Q16" i="15" s="1"/>
  <c r="N15" i="15"/>
  <c r="Y15" i="15"/>
  <c r="H15" i="15"/>
  <c r="I15" i="15" s="1"/>
  <c r="J15" i="15" s="1"/>
  <c r="L15" i="15" s="1"/>
  <c r="O15" i="15" s="1"/>
  <c r="R15" i="15" s="1"/>
  <c r="N6" i="15"/>
  <c r="Y6" i="15"/>
  <c r="H6" i="15"/>
  <c r="I6" i="15" s="1"/>
  <c r="J6" i="15" s="1"/>
  <c r="L6" i="15" s="1"/>
  <c r="O6" i="15" s="1"/>
  <c r="N5" i="15"/>
  <c r="T5" i="15" s="1"/>
  <c r="W5" i="15" s="1"/>
  <c r="Z5" i="15" s="1"/>
  <c r="AA5" i="15" s="1"/>
  <c r="Y5" i="15"/>
  <c r="H5" i="15"/>
  <c r="I5" i="15" s="1"/>
  <c r="J5" i="15" s="1"/>
  <c r="L5" i="15" s="1"/>
  <c r="O5" i="15" s="1"/>
  <c r="E40" i="27"/>
  <c r="F40" i="27" s="1"/>
  <c r="G34" i="27"/>
  <c r="F39" i="27"/>
  <c r="G38" i="27"/>
  <c r="H38" i="27" s="1"/>
  <c r="I38" i="27" s="1"/>
  <c r="J38" i="27" s="1"/>
  <c r="K38" i="27" s="1"/>
  <c r="L38" i="27" s="1"/>
  <c r="M38" i="27" s="1"/>
  <c r="N38" i="27" s="1"/>
  <c r="O38" i="27" s="1"/>
  <c r="P38" i="27" s="1"/>
  <c r="E8" i="27"/>
  <c r="C240" i="22"/>
  <c r="B240" i="22"/>
  <c r="C239" i="22"/>
  <c r="B239" i="22"/>
  <c r="C238" i="22"/>
  <c r="B238" i="22"/>
  <c r="C237" i="22"/>
  <c r="B237" i="22"/>
  <c r="C236" i="22"/>
  <c r="B236" i="22"/>
  <c r="C235" i="22"/>
  <c r="B235" i="22"/>
  <c r="AV234" i="22"/>
  <c r="AU234" i="22"/>
  <c r="AT234" i="22"/>
  <c r="AS234" i="22"/>
  <c r="AR234" i="22"/>
  <c r="AQ234" i="22"/>
  <c r="AP234" i="22"/>
  <c r="AO234" i="22"/>
  <c r="AN234" i="22"/>
  <c r="AM234" i="22"/>
  <c r="AL234" i="22"/>
  <c r="AK234" i="22"/>
  <c r="AJ234" i="22"/>
  <c r="AI234" i="22"/>
  <c r="AH234" i="22"/>
  <c r="AG234" i="22"/>
  <c r="AF234" i="22"/>
  <c r="AE234" i="22"/>
  <c r="AD234" i="22"/>
  <c r="AC234" i="22"/>
  <c r="AB234" i="22"/>
  <c r="AA234" i="22"/>
  <c r="Z234" i="22"/>
  <c r="Y234" i="22"/>
  <c r="X234" i="22"/>
  <c r="W234" i="22"/>
  <c r="V234" i="22"/>
  <c r="U234" i="22"/>
  <c r="T234" i="22"/>
  <c r="S234" i="22"/>
  <c r="R234" i="22"/>
  <c r="Q234" i="22"/>
  <c r="P234" i="22"/>
  <c r="O234" i="22"/>
  <c r="N234" i="22"/>
  <c r="M234" i="22"/>
  <c r="L234" i="22"/>
  <c r="K234" i="22"/>
  <c r="J234" i="22"/>
  <c r="I234" i="22"/>
  <c r="H234" i="22"/>
  <c r="G234" i="22"/>
  <c r="F234" i="22"/>
  <c r="E234" i="22"/>
  <c r="D233" i="22"/>
  <c r="C233" i="22"/>
  <c r="B233" i="22"/>
  <c r="E219" i="22"/>
  <c r="B213" i="22"/>
  <c r="B212" i="22"/>
  <c r="B211" i="22"/>
  <c r="B210" i="22"/>
  <c r="B209" i="22"/>
  <c r="B208" i="22"/>
  <c r="B207" i="22"/>
  <c r="B206" i="22"/>
  <c r="B205" i="22"/>
  <c r="B204" i="22"/>
  <c r="B203" i="22"/>
  <c r="B202" i="22"/>
  <c r="B200" i="22"/>
  <c r="B199" i="22"/>
  <c r="B198" i="22"/>
  <c r="B197" i="22"/>
  <c r="B196" i="22"/>
  <c r="B195" i="22"/>
  <c r="B194" i="22"/>
  <c r="B193" i="22"/>
  <c r="B192" i="22"/>
  <c r="B191" i="22"/>
  <c r="B190" i="22"/>
  <c r="B189" i="22"/>
  <c r="C187" i="22"/>
  <c r="B187" i="22"/>
  <c r="C186" i="22"/>
  <c r="B186" i="22"/>
  <c r="B185" i="22"/>
  <c r="C184" i="22"/>
  <c r="B184" i="22"/>
  <c r="C183" i="22"/>
  <c r="B183" i="22"/>
  <c r="C182" i="22"/>
  <c r="B182" i="22"/>
  <c r="C181" i="22"/>
  <c r="B181" i="22"/>
  <c r="C180" i="22"/>
  <c r="B180" i="22"/>
  <c r="C179" i="22"/>
  <c r="B179" i="22"/>
  <c r="C178" i="22"/>
  <c r="B178" i="22"/>
  <c r="C177" i="22"/>
  <c r="B177" i="22"/>
  <c r="C176" i="22"/>
  <c r="B176" i="22"/>
  <c r="I175" i="22"/>
  <c r="H175" i="22"/>
  <c r="G175" i="22"/>
  <c r="F175" i="22"/>
  <c r="E175" i="22"/>
  <c r="D175" i="22"/>
  <c r="B174" i="22"/>
  <c r="B173" i="22"/>
  <c r="B172" i="22"/>
  <c r="B171" i="22"/>
  <c r="B170" i="22"/>
  <c r="B169" i="22"/>
  <c r="B168" i="22"/>
  <c r="B167" i="22"/>
  <c r="B166" i="22"/>
  <c r="B165" i="22"/>
  <c r="B164" i="22"/>
  <c r="B163" i="22"/>
  <c r="C161" i="22"/>
  <c r="B161" i="22"/>
  <c r="C160" i="22"/>
  <c r="B160" i="22"/>
  <c r="B159" i="22"/>
  <c r="B158" i="22"/>
  <c r="B157" i="22"/>
  <c r="B156" i="22"/>
  <c r="B155" i="22"/>
  <c r="B154" i="22"/>
  <c r="B153" i="22"/>
  <c r="B152" i="22"/>
  <c r="B151" i="22"/>
  <c r="B150" i="22"/>
  <c r="B148" i="22"/>
  <c r="B147" i="22"/>
  <c r="B146" i="22"/>
  <c r="B145" i="22"/>
  <c r="B144" i="22"/>
  <c r="B143" i="22"/>
  <c r="B142" i="22"/>
  <c r="B141" i="22"/>
  <c r="B140" i="22"/>
  <c r="B139" i="22"/>
  <c r="B138" i="22"/>
  <c r="B137" i="22"/>
  <c r="B135" i="22"/>
  <c r="B134" i="22"/>
  <c r="B133" i="22"/>
  <c r="B132" i="22"/>
  <c r="B131" i="22"/>
  <c r="B130" i="22"/>
  <c r="B129" i="22"/>
  <c r="B128" i="22"/>
  <c r="B127" i="22"/>
  <c r="B126" i="22"/>
  <c r="B125" i="22"/>
  <c r="B124" i="22"/>
  <c r="C122" i="22"/>
  <c r="B122" i="22"/>
  <c r="C121" i="22"/>
  <c r="B121" i="22"/>
  <c r="C120" i="22"/>
  <c r="B120" i="22"/>
  <c r="C119" i="22"/>
  <c r="B119" i="22"/>
  <c r="C118" i="22"/>
  <c r="B118" i="22"/>
  <c r="C117" i="22"/>
  <c r="B117" i="22"/>
  <c r="C116" i="22"/>
  <c r="B116" i="22"/>
  <c r="C115" i="22"/>
  <c r="B115" i="22"/>
  <c r="C114" i="22"/>
  <c r="B114" i="22"/>
  <c r="C113" i="22"/>
  <c r="B113" i="22"/>
  <c r="C112" i="22"/>
  <c r="B112" i="22"/>
  <c r="C111" i="22"/>
  <c r="B111" i="22"/>
  <c r="I110" i="22"/>
  <c r="H110" i="22"/>
  <c r="G110" i="22"/>
  <c r="F110" i="22"/>
  <c r="D110" i="22"/>
  <c r="E110" i="22"/>
  <c r="B109" i="22"/>
  <c r="B108" i="22"/>
  <c r="B107" i="22"/>
  <c r="B106" i="22"/>
  <c r="B105" i="22"/>
  <c r="B104" i="22"/>
  <c r="B103" i="22"/>
  <c r="B102" i="22"/>
  <c r="B101" i="22"/>
  <c r="B100" i="22"/>
  <c r="B99" i="22"/>
  <c r="B98" i="22"/>
  <c r="B96" i="22"/>
  <c r="B95" i="22"/>
  <c r="B94" i="22"/>
  <c r="B93" i="22"/>
  <c r="B92" i="22"/>
  <c r="B91" i="22"/>
  <c r="B90" i="22"/>
  <c r="B89" i="22"/>
  <c r="B88" i="22"/>
  <c r="B87" i="22"/>
  <c r="B86" i="22"/>
  <c r="B85" i="22"/>
  <c r="B83" i="22"/>
  <c r="B82" i="22"/>
  <c r="B81" i="22"/>
  <c r="B80" i="22"/>
  <c r="B79" i="22"/>
  <c r="B78" i="22"/>
  <c r="B77" i="22"/>
  <c r="B76" i="22"/>
  <c r="B75" i="22"/>
  <c r="B74" i="22"/>
  <c r="B73" i="22"/>
  <c r="B72" i="22"/>
  <c r="B70" i="22"/>
  <c r="B69" i="22"/>
  <c r="B68" i="22"/>
  <c r="B67" i="22"/>
  <c r="B66" i="22"/>
  <c r="B65" i="22"/>
  <c r="B64" i="22"/>
  <c r="B63" i="22"/>
  <c r="B62" i="22"/>
  <c r="B61" i="22"/>
  <c r="B60" i="22"/>
  <c r="B59" i="22"/>
  <c r="B57" i="22"/>
  <c r="B56" i="22"/>
  <c r="B55" i="22"/>
  <c r="B54" i="22"/>
  <c r="B53" i="22"/>
  <c r="B52" i="22"/>
  <c r="B51" i="22"/>
  <c r="B50" i="22"/>
  <c r="B49" i="22"/>
  <c r="B48" i="22"/>
  <c r="B47" i="22"/>
  <c r="B46" i="22"/>
  <c r="B44" i="22"/>
  <c r="B43" i="22"/>
  <c r="B42" i="22"/>
  <c r="B41" i="22"/>
  <c r="B40" i="22"/>
  <c r="B39" i="22"/>
  <c r="B38" i="22"/>
  <c r="B37" i="22"/>
  <c r="B36" i="22"/>
  <c r="B35" i="22"/>
  <c r="B34" i="22"/>
  <c r="B33" i="22"/>
  <c r="B31" i="22"/>
  <c r="B30" i="22"/>
  <c r="B29" i="22"/>
  <c r="B28" i="22"/>
  <c r="B27" i="22"/>
  <c r="B26" i="22"/>
  <c r="B25" i="22"/>
  <c r="B24" i="22"/>
  <c r="B23" i="22"/>
  <c r="B22" i="22"/>
  <c r="B21" i="22"/>
  <c r="B20" i="22"/>
  <c r="B18" i="22"/>
  <c r="B17" i="22"/>
  <c r="B16" i="22"/>
  <c r="B15" i="22"/>
  <c r="B14" i="22"/>
  <c r="B13" i="22"/>
  <c r="B12" i="22"/>
  <c r="B11" i="22"/>
  <c r="B10" i="22"/>
  <c r="B9" i="22"/>
  <c r="B8" i="22"/>
  <c r="B7" i="22"/>
  <c r="C165" i="21"/>
  <c r="C164" i="21"/>
  <c r="C163" i="21"/>
  <c r="A153" i="21"/>
  <c r="A163" i="21" s="1"/>
  <c r="C162" i="21"/>
  <c r="C161" i="21"/>
  <c r="C160" i="21"/>
  <c r="A149" i="21"/>
  <c r="A159" i="21" s="1"/>
  <c r="C155" i="21"/>
  <c r="A155" i="21"/>
  <c r="A165" i="21" s="1"/>
  <c r="C154" i="21"/>
  <c r="A154" i="21"/>
  <c r="A164" i="21" s="1"/>
  <c r="C153" i="21"/>
  <c r="C152" i="21"/>
  <c r="A152" i="21"/>
  <c r="A162" i="21" s="1"/>
  <c r="C151" i="21"/>
  <c r="A151" i="21"/>
  <c r="A161" i="21" s="1"/>
  <c r="C150" i="21"/>
  <c r="A150" i="21"/>
  <c r="A160" i="21" s="1"/>
  <c r="N139" i="21"/>
  <c r="N149" i="21" s="1"/>
  <c r="N159" i="21" s="1"/>
  <c r="J139" i="21"/>
  <c r="J149" i="21" s="1"/>
  <c r="F139" i="21"/>
  <c r="F149" i="21" s="1"/>
  <c r="F159" i="21" s="1"/>
  <c r="C149" i="21"/>
  <c r="C159" i="21" s="1"/>
  <c r="B149" i="21"/>
  <c r="B159" i="21" s="1"/>
  <c r="O146" i="21"/>
  <c r="N146" i="21"/>
  <c r="O145" i="21"/>
  <c r="N145" i="21"/>
  <c r="O144" i="21"/>
  <c r="N144" i="21"/>
  <c r="O143" i="21"/>
  <c r="N143" i="21"/>
  <c r="O142" i="21"/>
  <c r="N142" i="21"/>
  <c r="O141" i="21"/>
  <c r="N141" i="21"/>
  <c r="O139" i="21"/>
  <c r="O149" i="21" s="1"/>
  <c r="O159" i="21" s="1"/>
  <c r="M139" i="21"/>
  <c r="M149" i="21" s="1"/>
  <c r="M159" i="21" s="1"/>
  <c r="L139" i="21"/>
  <c r="L149" i="21" s="1"/>
  <c r="L159" i="21" s="1"/>
  <c r="K139" i="21"/>
  <c r="K149" i="21" s="1"/>
  <c r="K159" i="21" s="1"/>
  <c r="I139" i="21"/>
  <c r="I149" i="21" s="1"/>
  <c r="H139" i="21"/>
  <c r="H149" i="21" s="1"/>
  <c r="H159" i="21" s="1"/>
  <c r="G139" i="21"/>
  <c r="G149" i="21" s="1"/>
  <c r="E139" i="21"/>
  <c r="E149" i="21" s="1"/>
  <c r="E159" i="21" s="1"/>
  <c r="D139" i="21"/>
  <c r="D149" i="21" s="1"/>
  <c r="B134" i="21"/>
  <c r="B146" i="21" s="1"/>
  <c r="B155" i="21" s="1"/>
  <c r="B165" i="21" s="1"/>
  <c r="B133" i="21"/>
  <c r="B145" i="21" s="1"/>
  <c r="B154" i="21" s="1"/>
  <c r="B164" i="21" s="1"/>
  <c r="B132" i="21"/>
  <c r="B144" i="21" s="1"/>
  <c r="B153" i="21" s="1"/>
  <c r="B163" i="21" s="1"/>
  <c r="B131" i="21"/>
  <c r="B143" i="21" s="1"/>
  <c r="B152" i="21" s="1"/>
  <c r="B162" i="21" s="1"/>
  <c r="B130" i="21"/>
  <c r="B142" i="21" s="1"/>
  <c r="B151" i="21" s="1"/>
  <c r="B161" i="21" s="1"/>
  <c r="B129" i="21"/>
  <c r="B141" i="21" s="1"/>
  <c r="B150" i="21" s="1"/>
  <c r="B160" i="21" s="1"/>
  <c r="AU128" i="21"/>
  <c r="AT128" i="21"/>
  <c r="AS128" i="21"/>
  <c r="AR128" i="21"/>
  <c r="AQ128" i="21"/>
  <c r="AP128" i="21"/>
  <c r="AO128" i="21"/>
  <c r="AN128" i="21"/>
  <c r="AM128" i="21"/>
  <c r="AL128" i="21"/>
  <c r="AK128" i="21"/>
  <c r="AJ128" i="21"/>
  <c r="AI128" i="21"/>
  <c r="AH128" i="21"/>
  <c r="AG128" i="21"/>
  <c r="AF128" i="21"/>
  <c r="AE128" i="21"/>
  <c r="AD128" i="21"/>
  <c r="AC128" i="21"/>
  <c r="AB128" i="21"/>
  <c r="AA128" i="21"/>
  <c r="Z128" i="21"/>
  <c r="Y128" i="21"/>
  <c r="X128" i="21"/>
  <c r="W128" i="21"/>
  <c r="V128" i="21"/>
  <c r="U128" i="21"/>
  <c r="T128" i="21"/>
  <c r="R128" i="21"/>
  <c r="Q128" i="21"/>
  <c r="P128" i="21"/>
  <c r="O128" i="21"/>
  <c r="N128" i="21"/>
  <c r="M128" i="21"/>
  <c r="L128" i="21"/>
  <c r="K128" i="21"/>
  <c r="J128" i="21"/>
  <c r="I128" i="21"/>
  <c r="H128" i="21"/>
  <c r="G128" i="21"/>
  <c r="F128" i="21"/>
  <c r="E128" i="21"/>
  <c r="D128" i="21"/>
  <c r="C126" i="21"/>
  <c r="B126" i="21"/>
  <c r="A126" i="21"/>
  <c r="D116" i="21"/>
  <c r="D126" i="21" s="1"/>
  <c r="O110" i="21"/>
  <c r="N110" i="21"/>
  <c r="M110" i="21"/>
  <c r="L110" i="21"/>
  <c r="K110" i="21"/>
  <c r="J110" i="21"/>
  <c r="I110" i="21"/>
  <c r="H110" i="21"/>
  <c r="G110" i="21"/>
  <c r="F110" i="21"/>
  <c r="E110" i="21"/>
  <c r="D110" i="21"/>
  <c r="O107" i="21"/>
  <c r="O108" i="21" s="1"/>
  <c r="N107" i="21"/>
  <c r="N108" i="21" s="1"/>
  <c r="M107" i="21"/>
  <c r="M108" i="21" s="1"/>
  <c r="L107" i="21"/>
  <c r="L108" i="21" s="1"/>
  <c r="K107" i="21"/>
  <c r="K108" i="21" s="1"/>
  <c r="J107" i="21"/>
  <c r="J108" i="21" s="1"/>
  <c r="I107" i="21"/>
  <c r="I108" i="21" s="1"/>
  <c r="H107" i="21"/>
  <c r="H108" i="21" s="1"/>
  <c r="G107" i="21"/>
  <c r="G108" i="21" s="1"/>
  <c r="F107" i="21"/>
  <c r="F108" i="21" s="1"/>
  <c r="E107" i="21"/>
  <c r="E108" i="21" s="1"/>
  <c r="D107" i="21"/>
  <c r="D108" i="21" s="1"/>
  <c r="M106" i="21"/>
  <c r="Q102" i="21"/>
  <c r="P102" i="21"/>
  <c r="Q101" i="21"/>
  <c r="P101" i="21"/>
  <c r="Q100" i="21"/>
  <c r="P100" i="21"/>
  <c r="Q99" i="21"/>
  <c r="P99" i="21"/>
  <c r="Q98" i="21"/>
  <c r="P98" i="21"/>
  <c r="O98" i="21"/>
  <c r="O98" i="7" s="1"/>
  <c r="N98" i="21"/>
  <c r="Q97" i="21"/>
  <c r="Q110" i="21" s="1"/>
  <c r="P97" i="21"/>
  <c r="P110" i="21" s="1"/>
  <c r="O92" i="21"/>
  <c r="N92" i="21"/>
  <c r="M92" i="21"/>
  <c r="L92" i="21"/>
  <c r="K92" i="21"/>
  <c r="J92" i="21"/>
  <c r="I92" i="21"/>
  <c r="H92" i="21"/>
  <c r="G92" i="21"/>
  <c r="F92" i="21"/>
  <c r="E92" i="21"/>
  <c r="D92" i="21"/>
  <c r="O89" i="21"/>
  <c r="O90" i="21" s="1"/>
  <c r="N89" i="21"/>
  <c r="N90" i="21" s="1"/>
  <c r="M89" i="21"/>
  <c r="M90" i="21" s="1"/>
  <c r="L89" i="21"/>
  <c r="L90" i="21" s="1"/>
  <c r="K89" i="21"/>
  <c r="K90" i="21" s="1"/>
  <c r="J89" i="21"/>
  <c r="J90" i="21" s="1"/>
  <c r="I89" i="21"/>
  <c r="I90" i="21" s="1"/>
  <c r="H89" i="21"/>
  <c r="H90" i="21" s="1"/>
  <c r="G89" i="21"/>
  <c r="G90" i="21" s="1"/>
  <c r="F89" i="21"/>
  <c r="F90" i="21" s="1"/>
  <c r="E89" i="21"/>
  <c r="E90" i="21" s="1"/>
  <c r="D89" i="21"/>
  <c r="D90" i="21" s="1"/>
  <c r="M88" i="21"/>
  <c r="Q84" i="21"/>
  <c r="P84" i="21"/>
  <c r="Q82" i="21"/>
  <c r="P82" i="21"/>
  <c r="Q81" i="21"/>
  <c r="P81" i="21"/>
  <c r="P80" i="21"/>
  <c r="Q80" i="21"/>
  <c r="Q79" i="21"/>
  <c r="Q92" i="21" s="1"/>
  <c r="P79" i="21"/>
  <c r="P92" i="21" s="1"/>
  <c r="O74" i="21"/>
  <c r="N74" i="21"/>
  <c r="M74" i="21"/>
  <c r="L74" i="21"/>
  <c r="K74" i="21"/>
  <c r="J74" i="21"/>
  <c r="I74" i="21"/>
  <c r="H74" i="21"/>
  <c r="G74" i="21"/>
  <c r="F74" i="21"/>
  <c r="E74" i="21"/>
  <c r="D74" i="21"/>
  <c r="O71" i="21"/>
  <c r="O72" i="21" s="1"/>
  <c r="M71" i="21"/>
  <c r="M72" i="21" s="1"/>
  <c r="K71" i="21"/>
  <c r="K72" i="21" s="1"/>
  <c r="I71" i="21"/>
  <c r="I72" i="21" s="1"/>
  <c r="G71" i="21"/>
  <c r="G72" i="21" s="1"/>
  <c r="E71" i="21"/>
  <c r="E72" i="21" s="1"/>
  <c r="N71" i="21"/>
  <c r="N72" i="21" s="1"/>
  <c r="L71" i="21"/>
  <c r="L72" i="21" s="1"/>
  <c r="J71" i="21"/>
  <c r="J72" i="21" s="1"/>
  <c r="H71" i="21"/>
  <c r="H72" i="21" s="1"/>
  <c r="F71" i="21"/>
  <c r="F72" i="21" s="1"/>
  <c r="D71" i="21"/>
  <c r="D72" i="21" s="1"/>
  <c r="M70" i="21"/>
  <c r="Q66" i="21"/>
  <c r="P66" i="21"/>
  <c r="Q65" i="21"/>
  <c r="P65" i="21"/>
  <c r="Q64" i="21"/>
  <c r="P64" i="21"/>
  <c r="Q63" i="21"/>
  <c r="P63" i="21"/>
  <c r="Q62" i="21"/>
  <c r="P62" i="21"/>
  <c r="Q61" i="21"/>
  <c r="Q74" i="21" s="1"/>
  <c r="P61" i="21"/>
  <c r="P74" i="21" s="1"/>
  <c r="O56" i="21"/>
  <c r="N56" i="21"/>
  <c r="M56" i="21"/>
  <c r="L56" i="21"/>
  <c r="K56" i="21"/>
  <c r="J56" i="21"/>
  <c r="I56" i="21"/>
  <c r="H56" i="21"/>
  <c r="G56" i="21"/>
  <c r="F56" i="21"/>
  <c r="E56" i="21"/>
  <c r="D56" i="21"/>
  <c r="N53" i="21"/>
  <c r="N54" i="21" s="1"/>
  <c r="L53" i="21"/>
  <c r="L54" i="21" s="1"/>
  <c r="J53" i="21"/>
  <c r="J54" i="21" s="1"/>
  <c r="H53" i="21"/>
  <c r="H54" i="21" s="1"/>
  <c r="F53" i="21"/>
  <c r="F54" i="21" s="1"/>
  <c r="D53" i="21"/>
  <c r="D54" i="21" s="1"/>
  <c r="O53" i="21"/>
  <c r="O54" i="21" s="1"/>
  <c r="M53" i="21"/>
  <c r="M54" i="21" s="1"/>
  <c r="K53" i="21"/>
  <c r="K54" i="21" s="1"/>
  <c r="I53" i="21"/>
  <c r="I54" i="21" s="1"/>
  <c r="G53" i="21"/>
  <c r="G54" i="21" s="1"/>
  <c r="E53" i="21"/>
  <c r="E54" i="21" s="1"/>
  <c r="M52" i="21"/>
  <c r="Q48" i="21"/>
  <c r="P48" i="21"/>
  <c r="Q47" i="21"/>
  <c r="P47" i="21"/>
  <c r="Q46" i="21"/>
  <c r="P46" i="21"/>
  <c r="Q45" i="21"/>
  <c r="P45" i="21"/>
  <c r="Q44" i="21"/>
  <c r="P44" i="21"/>
  <c r="Q43" i="21"/>
  <c r="Q56" i="21" s="1"/>
  <c r="P43" i="21"/>
  <c r="P56" i="21" s="1"/>
  <c r="O38" i="21"/>
  <c r="N38" i="21"/>
  <c r="M38" i="21"/>
  <c r="L38" i="21"/>
  <c r="K38" i="21"/>
  <c r="J38" i="21"/>
  <c r="I38" i="21"/>
  <c r="H38" i="21"/>
  <c r="G38" i="21"/>
  <c r="F38" i="21"/>
  <c r="E38" i="21"/>
  <c r="D38" i="21"/>
  <c r="O35" i="21"/>
  <c r="O36" i="21" s="1"/>
  <c r="M35" i="21"/>
  <c r="M36" i="21" s="1"/>
  <c r="K35" i="21"/>
  <c r="K36" i="21" s="1"/>
  <c r="I35" i="21"/>
  <c r="I36" i="21" s="1"/>
  <c r="G35" i="21"/>
  <c r="G36" i="21" s="1"/>
  <c r="E35" i="21"/>
  <c r="E36" i="21" s="1"/>
  <c r="N35" i="21"/>
  <c r="N36" i="21" s="1"/>
  <c r="L35" i="21"/>
  <c r="L36" i="21" s="1"/>
  <c r="J35" i="21"/>
  <c r="J36" i="21" s="1"/>
  <c r="H35" i="21"/>
  <c r="H36" i="21" s="1"/>
  <c r="F35" i="21"/>
  <c r="F36" i="21" s="1"/>
  <c r="D35" i="21"/>
  <c r="D36" i="21" s="1"/>
  <c r="M34" i="21"/>
  <c r="Q30" i="21"/>
  <c r="P30" i="21"/>
  <c r="Q29" i="21"/>
  <c r="P29" i="21"/>
  <c r="Q28" i="21"/>
  <c r="P28" i="21"/>
  <c r="Q27" i="21"/>
  <c r="P27" i="21"/>
  <c r="Q26" i="21"/>
  <c r="P26" i="21"/>
  <c r="Q25" i="21"/>
  <c r="Q38" i="21" s="1"/>
  <c r="P25" i="21"/>
  <c r="P38" i="21" s="1"/>
  <c r="M6" i="21"/>
  <c r="M24" i="21" s="1"/>
  <c r="M42" i="21" s="1"/>
  <c r="M60" i="21" s="1"/>
  <c r="M78" i="21" s="1"/>
  <c r="M96" i="21" s="1"/>
  <c r="I6" i="21"/>
  <c r="I24" i="21" s="1"/>
  <c r="I42" i="21" s="1"/>
  <c r="I60" i="21" s="1"/>
  <c r="I78" i="21" s="1"/>
  <c r="I96" i="21" s="1"/>
  <c r="E6" i="21"/>
  <c r="E24" i="21" s="1"/>
  <c r="E42" i="21" s="1"/>
  <c r="E60" i="21" s="1"/>
  <c r="E78" i="21" s="1"/>
  <c r="E96" i="21" s="1"/>
  <c r="O20" i="21"/>
  <c r="M20" i="21"/>
  <c r="L20" i="21"/>
  <c r="K20" i="21"/>
  <c r="J20" i="21"/>
  <c r="I20" i="21"/>
  <c r="H20" i="21"/>
  <c r="G20" i="21"/>
  <c r="F20" i="21"/>
  <c r="L17" i="21"/>
  <c r="L18" i="21" s="1"/>
  <c r="J17" i="21"/>
  <c r="J18" i="21" s="1"/>
  <c r="H17" i="21"/>
  <c r="H18" i="21" s="1"/>
  <c r="F17" i="21"/>
  <c r="F18" i="21" s="1"/>
  <c r="O17" i="21"/>
  <c r="O18" i="21" s="1"/>
  <c r="M17" i="21"/>
  <c r="M18" i="21" s="1"/>
  <c r="K17" i="21"/>
  <c r="K18" i="21" s="1"/>
  <c r="I17" i="21"/>
  <c r="I18" i="21" s="1"/>
  <c r="G17" i="21"/>
  <c r="G18" i="21" s="1"/>
  <c r="M16" i="21"/>
  <c r="R12" i="21"/>
  <c r="R11" i="21"/>
  <c r="R10" i="21"/>
  <c r="R9" i="21"/>
  <c r="R8" i="21"/>
  <c r="R7" i="21"/>
  <c r="R20" i="21" s="1"/>
  <c r="O6" i="21"/>
  <c r="O24" i="21" s="1"/>
  <c r="O42" i="21" s="1"/>
  <c r="O60" i="21" s="1"/>
  <c r="O78" i="21" s="1"/>
  <c r="O96" i="21" s="1"/>
  <c r="N6" i="21"/>
  <c r="N24" i="21" s="1"/>
  <c r="N42" i="21" s="1"/>
  <c r="N60" i="21" s="1"/>
  <c r="N78" i="21" s="1"/>
  <c r="N96" i="21" s="1"/>
  <c r="L6" i="21"/>
  <c r="L24" i="21" s="1"/>
  <c r="L42" i="21" s="1"/>
  <c r="L60" i="21" s="1"/>
  <c r="L78" i="21" s="1"/>
  <c r="L96" i="21" s="1"/>
  <c r="K6" i="21"/>
  <c r="K24" i="21" s="1"/>
  <c r="K42" i="21" s="1"/>
  <c r="K60" i="21" s="1"/>
  <c r="K78" i="21" s="1"/>
  <c r="K96" i="21" s="1"/>
  <c r="J6" i="21"/>
  <c r="J24" i="21" s="1"/>
  <c r="J42" i="21" s="1"/>
  <c r="J60" i="21" s="1"/>
  <c r="J78" i="21" s="1"/>
  <c r="J96" i="21" s="1"/>
  <c r="H6" i="21"/>
  <c r="H24" i="21" s="1"/>
  <c r="H42" i="21" s="1"/>
  <c r="H60" i="21" s="1"/>
  <c r="H78" i="21" s="1"/>
  <c r="H96" i="21" s="1"/>
  <c r="G6" i="21"/>
  <c r="G24" i="21" s="1"/>
  <c r="G42" i="21" s="1"/>
  <c r="G60" i="21" s="1"/>
  <c r="G78" i="21" s="1"/>
  <c r="G96" i="21" s="1"/>
  <c r="F6" i="21"/>
  <c r="F24" i="21" s="1"/>
  <c r="F42" i="21" s="1"/>
  <c r="F60" i="21" s="1"/>
  <c r="F78" i="21" s="1"/>
  <c r="F96" i="21" s="1"/>
  <c r="D6" i="21"/>
  <c r="D24" i="21" s="1"/>
  <c r="D42" i="21" s="1"/>
  <c r="D60" i="21" s="1"/>
  <c r="D78" i="21" s="1"/>
  <c r="D96" i="21" s="1"/>
  <c r="N417" i="20"/>
  <c r="N408" i="20" s="1"/>
  <c r="M417" i="20"/>
  <c r="M408" i="20" s="1"/>
  <c r="L417" i="20"/>
  <c r="L408" i="20" s="1"/>
  <c r="K417" i="20"/>
  <c r="K408" i="20" s="1"/>
  <c r="J417" i="20"/>
  <c r="J408" i="20" s="1"/>
  <c r="I417" i="20"/>
  <c r="I408" i="20" s="1"/>
  <c r="H417" i="20"/>
  <c r="H408" i="20" s="1"/>
  <c r="G417" i="20"/>
  <c r="G408" i="20" s="1"/>
  <c r="F417" i="20"/>
  <c r="F408" i="20" s="1"/>
  <c r="E417" i="20"/>
  <c r="E408" i="20" s="1"/>
  <c r="E374" i="20"/>
  <c r="I374" i="20" s="1"/>
  <c r="M374" i="20" s="1"/>
  <c r="E363" i="20"/>
  <c r="I363" i="20" s="1"/>
  <c r="M363" i="20" s="1"/>
  <c r="Q363" i="20" s="1"/>
  <c r="U363" i="20" s="1"/>
  <c r="Y363" i="20" s="1"/>
  <c r="AC363" i="20" s="1"/>
  <c r="AG363" i="20" s="1"/>
  <c r="AK363" i="20" s="1"/>
  <c r="AO363" i="20" s="1"/>
  <c r="AS363" i="20" s="1"/>
  <c r="E352" i="20"/>
  <c r="I352" i="20" s="1"/>
  <c r="M352" i="20" s="1"/>
  <c r="Q352" i="20" s="1"/>
  <c r="U352" i="20" s="1"/>
  <c r="Y352" i="20" s="1"/>
  <c r="AC352" i="20" s="1"/>
  <c r="AG352" i="20" s="1"/>
  <c r="AK352" i="20" s="1"/>
  <c r="AO352" i="20" s="1"/>
  <c r="AS352" i="20" s="1"/>
  <c r="D347" i="20"/>
  <c r="D345" i="20"/>
  <c r="D343" i="20"/>
  <c r="D341" i="20"/>
  <c r="D339" i="20"/>
  <c r="D337" i="20"/>
  <c r="D335" i="20"/>
  <c r="D333" i="20"/>
  <c r="D331" i="20"/>
  <c r="D329" i="20"/>
  <c r="D327" i="20"/>
  <c r="D325" i="20"/>
  <c r="D323" i="20"/>
  <c r="D321" i="20"/>
  <c r="D319" i="20"/>
  <c r="D317" i="20"/>
  <c r="D315" i="20"/>
  <c r="D313" i="20"/>
  <c r="D311" i="20"/>
  <c r="D309" i="20"/>
  <c r="D307" i="20"/>
  <c r="D305" i="20"/>
  <c r="D303" i="20"/>
  <c r="D301" i="20"/>
  <c r="D299" i="20"/>
  <c r="D297" i="20"/>
  <c r="D295" i="20"/>
  <c r="D293" i="20"/>
  <c r="D291" i="20"/>
  <c r="D289" i="20"/>
  <c r="D287" i="20"/>
  <c r="D285" i="20"/>
  <c r="D283" i="20"/>
  <c r="D281" i="20"/>
  <c r="D279" i="20"/>
  <c r="D277" i="20"/>
  <c r="D275" i="20"/>
  <c r="D273" i="20"/>
  <c r="D271" i="20"/>
  <c r="D269" i="20"/>
  <c r="D267" i="20"/>
  <c r="D265" i="20"/>
  <c r="D263" i="20"/>
  <c r="D261" i="20"/>
  <c r="D259" i="20"/>
  <c r="D257" i="20"/>
  <c r="D255" i="20"/>
  <c r="D253" i="20"/>
  <c r="D251" i="20"/>
  <c r="D249" i="20"/>
  <c r="D247" i="20"/>
  <c r="D245" i="20"/>
  <c r="D243" i="20"/>
  <c r="D241" i="20"/>
  <c r="D239" i="20"/>
  <c r="D237" i="20"/>
  <c r="D235" i="20"/>
  <c r="D233" i="20"/>
  <c r="D231" i="20"/>
  <c r="D229" i="20"/>
  <c r="D227" i="20"/>
  <c r="D225" i="20"/>
  <c r="D223" i="20"/>
  <c r="D221" i="20"/>
  <c r="D219" i="20"/>
  <c r="D217" i="20"/>
  <c r="D215" i="20"/>
  <c r="D213" i="20"/>
  <c r="D211" i="20"/>
  <c r="D209" i="20"/>
  <c r="D207" i="20"/>
  <c r="D205" i="20"/>
  <c r="C203" i="20"/>
  <c r="C202" i="20"/>
  <c r="C201" i="20"/>
  <c r="C200" i="20"/>
  <c r="C199" i="20"/>
  <c r="C198" i="20"/>
  <c r="C197" i="20"/>
  <c r="C196" i="20"/>
  <c r="C195" i="20"/>
  <c r="C194" i="20"/>
  <c r="C193" i="20"/>
  <c r="C192" i="20"/>
  <c r="C190" i="20"/>
  <c r="C189" i="20"/>
  <c r="C188" i="20"/>
  <c r="C187" i="20"/>
  <c r="C186" i="20"/>
  <c r="C185" i="20"/>
  <c r="C184" i="20"/>
  <c r="C183" i="20"/>
  <c r="C182" i="20"/>
  <c r="C181" i="20"/>
  <c r="C180" i="20"/>
  <c r="C179" i="20"/>
  <c r="C177" i="20"/>
  <c r="C176" i="20"/>
  <c r="C175" i="20"/>
  <c r="C174" i="20"/>
  <c r="C173" i="20"/>
  <c r="C172" i="20"/>
  <c r="C171" i="20"/>
  <c r="C170" i="20"/>
  <c r="C169" i="20"/>
  <c r="C168" i="20"/>
  <c r="C167" i="20"/>
  <c r="C166" i="20"/>
  <c r="C164" i="20"/>
  <c r="C163" i="20"/>
  <c r="C162" i="20"/>
  <c r="C161" i="20"/>
  <c r="C160" i="20"/>
  <c r="C159" i="20"/>
  <c r="C158" i="20"/>
  <c r="C157" i="20"/>
  <c r="C156" i="20"/>
  <c r="C155" i="20"/>
  <c r="C154" i="20"/>
  <c r="C153" i="20"/>
  <c r="C151" i="20"/>
  <c r="C150" i="20"/>
  <c r="C149" i="20"/>
  <c r="C148" i="20"/>
  <c r="C147" i="20"/>
  <c r="C146" i="20"/>
  <c r="C145" i="20"/>
  <c r="C144" i="20"/>
  <c r="C143" i="20"/>
  <c r="C142" i="20"/>
  <c r="C141" i="20"/>
  <c r="C140" i="20"/>
  <c r="C138" i="20"/>
  <c r="C137" i="20"/>
  <c r="C136" i="20"/>
  <c r="C135" i="20"/>
  <c r="C134" i="20"/>
  <c r="C133" i="20"/>
  <c r="C132" i="20"/>
  <c r="C131" i="20"/>
  <c r="C130" i="20"/>
  <c r="C129" i="20"/>
  <c r="C128" i="20"/>
  <c r="C127" i="20"/>
  <c r="E123" i="20"/>
  <c r="I123" i="20" s="1"/>
  <c r="M123" i="20" s="1"/>
  <c r="Q123" i="20" s="1"/>
  <c r="U123" i="20" s="1"/>
  <c r="Y123" i="20" s="1"/>
  <c r="AC123" i="20" s="1"/>
  <c r="AG123" i="20" s="1"/>
  <c r="AK123" i="20" s="1"/>
  <c r="AO123" i="20" s="1"/>
  <c r="AS123" i="20" s="1"/>
  <c r="C110" i="20"/>
  <c r="C109" i="20"/>
  <c r="C108" i="20"/>
  <c r="C107" i="20"/>
  <c r="C106" i="20"/>
  <c r="C105" i="20"/>
  <c r="C104" i="20"/>
  <c r="C103" i="20"/>
  <c r="C102" i="20"/>
  <c r="C101" i="20"/>
  <c r="C100" i="20"/>
  <c r="C99" i="20"/>
  <c r="C97" i="20"/>
  <c r="C96" i="20"/>
  <c r="C95" i="20"/>
  <c r="C94" i="20"/>
  <c r="C93" i="20"/>
  <c r="C92" i="20"/>
  <c r="C91" i="20"/>
  <c r="C90" i="20"/>
  <c r="C89" i="20"/>
  <c r="C88" i="20"/>
  <c r="C87" i="20"/>
  <c r="C86" i="20"/>
  <c r="C84" i="20"/>
  <c r="C83" i="20"/>
  <c r="C82" i="20"/>
  <c r="C81" i="20"/>
  <c r="C80" i="20"/>
  <c r="C79" i="20"/>
  <c r="C78" i="20"/>
  <c r="C77" i="20"/>
  <c r="C76" i="20"/>
  <c r="C75" i="20"/>
  <c r="C74" i="20"/>
  <c r="C73" i="20"/>
  <c r="C71" i="20"/>
  <c r="C70" i="20"/>
  <c r="C69" i="20"/>
  <c r="C68" i="20"/>
  <c r="C67" i="20"/>
  <c r="C66" i="20"/>
  <c r="C65" i="20"/>
  <c r="C64" i="20"/>
  <c r="C63" i="20"/>
  <c r="C62" i="20"/>
  <c r="C61" i="20"/>
  <c r="C60" i="20"/>
  <c r="C58" i="20"/>
  <c r="C57" i="20"/>
  <c r="C56" i="20"/>
  <c r="C55" i="20"/>
  <c r="C54" i="20"/>
  <c r="C53" i="20"/>
  <c r="C52" i="20"/>
  <c r="C51" i="20"/>
  <c r="C50" i="20"/>
  <c r="C49" i="20"/>
  <c r="C48" i="20"/>
  <c r="C47" i="20"/>
  <c r="C45" i="20"/>
  <c r="C44" i="20"/>
  <c r="C43" i="20"/>
  <c r="C42" i="20"/>
  <c r="C41" i="20"/>
  <c r="C40" i="20"/>
  <c r="C39" i="20"/>
  <c r="C38" i="20"/>
  <c r="C37" i="20"/>
  <c r="C36" i="20"/>
  <c r="C35" i="20"/>
  <c r="C34" i="20"/>
  <c r="E30" i="20"/>
  <c r="I30" i="20" s="1"/>
  <c r="M30" i="20" s="1"/>
  <c r="Q30" i="20" s="1"/>
  <c r="U30" i="20" s="1"/>
  <c r="Y30" i="20" s="1"/>
  <c r="AC30" i="20" s="1"/>
  <c r="AG30" i="20" s="1"/>
  <c r="AK30" i="20" s="1"/>
  <c r="AO30" i="20" s="1"/>
  <c r="AS30" i="20" s="1"/>
  <c r="E4" i="20"/>
  <c r="B1" i="20"/>
  <c r="H241" i="19"/>
  <c r="G241" i="19"/>
  <c r="F241" i="19"/>
  <c r="E241" i="19"/>
  <c r="D241" i="19"/>
  <c r="C241" i="19"/>
  <c r="H240" i="19"/>
  <c r="G240" i="19"/>
  <c r="F240" i="19"/>
  <c r="E240" i="19"/>
  <c r="D240" i="19"/>
  <c r="C240" i="19"/>
  <c r="H239" i="19"/>
  <c r="G239" i="19"/>
  <c r="F239" i="19"/>
  <c r="E239" i="19"/>
  <c r="D239" i="19"/>
  <c r="C239" i="19"/>
  <c r="H238" i="19"/>
  <c r="G238" i="19"/>
  <c r="F238" i="19"/>
  <c r="E238" i="19"/>
  <c r="D238" i="19"/>
  <c r="C238" i="19"/>
  <c r="H237" i="19"/>
  <c r="G237" i="19"/>
  <c r="F237" i="19"/>
  <c r="E237" i="19"/>
  <c r="D237" i="19"/>
  <c r="C237" i="19"/>
  <c r="H236" i="19"/>
  <c r="G236" i="19"/>
  <c r="F236" i="19"/>
  <c r="E236" i="19"/>
  <c r="D236" i="19"/>
  <c r="C236" i="19"/>
  <c r="H235" i="19"/>
  <c r="G235" i="19"/>
  <c r="F235" i="19"/>
  <c r="E235" i="19"/>
  <c r="D235" i="19"/>
  <c r="C235" i="19"/>
  <c r="H234" i="19"/>
  <c r="G234" i="19"/>
  <c r="F234" i="19"/>
  <c r="E234" i="19"/>
  <c r="D234" i="19"/>
  <c r="C234" i="19"/>
  <c r="H233" i="19"/>
  <c r="G233" i="19"/>
  <c r="F233" i="19"/>
  <c r="E233" i="19"/>
  <c r="D233" i="19"/>
  <c r="C233" i="19"/>
  <c r="H232" i="19"/>
  <c r="G232" i="19"/>
  <c r="F232" i="19"/>
  <c r="E232" i="19"/>
  <c r="D232" i="19"/>
  <c r="C232" i="19"/>
  <c r="H231" i="19"/>
  <c r="G231" i="19"/>
  <c r="G230" i="19"/>
  <c r="F231" i="19"/>
  <c r="E231" i="19"/>
  <c r="D231" i="19"/>
  <c r="C231" i="19"/>
  <c r="H230" i="19"/>
  <c r="F230" i="19"/>
  <c r="E230" i="19"/>
  <c r="D230" i="19"/>
  <c r="C230" i="19"/>
  <c r="H229" i="19"/>
  <c r="G229" i="19"/>
  <c r="F229" i="19"/>
  <c r="E229" i="19"/>
  <c r="D229" i="19"/>
  <c r="C229" i="19"/>
  <c r="S225" i="19"/>
  <c r="P225" i="19"/>
  <c r="M225" i="19"/>
  <c r="J225" i="19"/>
  <c r="G225" i="19"/>
  <c r="D225" i="19"/>
  <c r="S224" i="19"/>
  <c r="P224" i="19"/>
  <c r="M224" i="19"/>
  <c r="J224" i="19"/>
  <c r="G224" i="19"/>
  <c r="D224" i="19"/>
  <c r="S208" i="19"/>
  <c r="P208" i="19"/>
  <c r="M208" i="19"/>
  <c r="J208" i="19"/>
  <c r="G208" i="19"/>
  <c r="D208" i="19"/>
  <c r="B208" i="19"/>
  <c r="B225" i="19" s="1"/>
  <c r="B241" i="19" s="1"/>
  <c r="B207" i="19"/>
  <c r="B224" i="19" s="1"/>
  <c r="B240" i="19" s="1"/>
  <c r="B206" i="19"/>
  <c r="B223" i="19" s="1"/>
  <c r="B239" i="19" s="1"/>
  <c r="B205" i="19"/>
  <c r="B222" i="19" s="1"/>
  <c r="B238" i="19" s="1"/>
  <c r="B204" i="19"/>
  <c r="B221" i="19" s="1"/>
  <c r="B237" i="19" s="1"/>
  <c r="B203" i="19"/>
  <c r="B220" i="19" s="1"/>
  <c r="B236" i="19" s="1"/>
  <c r="B202" i="19"/>
  <c r="B219" i="19" s="1"/>
  <c r="B235" i="19" s="1"/>
  <c r="B201" i="19"/>
  <c r="B218" i="19" s="1"/>
  <c r="B234" i="19" s="1"/>
  <c r="B200" i="19"/>
  <c r="B217" i="19" s="1"/>
  <c r="B233" i="19" s="1"/>
  <c r="B199" i="19"/>
  <c r="B216" i="19" s="1"/>
  <c r="B232" i="19" s="1"/>
  <c r="B198" i="19"/>
  <c r="B215" i="19" s="1"/>
  <c r="B231" i="19" s="1"/>
  <c r="B197" i="19"/>
  <c r="B214" i="19" s="1"/>
  <c r="B230" i="19" s="1"/>
  <c r="B191" i="19"/>
  <c r="B190" i="19"/>
  <c r="B189" i="19"/>
  <c r="D189" i="19" s="1"/>
  <c r="D206" i="19" s="1"/>
  <c r="D223" i="19" s="1"/>
  <c r="B188" i="19"/>
  <c r="B187" i="19"/>
  <c r="D187" i="19" s="1"/>
  <c r="D204" i="19" s="1"/>
  <c r="D221" i="19" s="1"/>
  <c r="B186" i="19"/>
  <c r="D186" i="19" s="1"/>
  <c r="D203" i="19" s="1"/>
  <c r="D220" i="19" s="1"/>
  <c r="B185" i="19"/>
  <c r="D185" i="19" s="1"/>
  <c r="D202" i="19" s="1"/>
  <c r="D219" i="19" s="1"/>
  <c r="B184" i="19"/>
  <c r="D184" i="19" s="1"/>
  <c r="D201" i="19" s="1"/>
  <c r="D218" i="19" s="1"/>
  <c r="B183" i="19"/>
  <c r="D183" i="19" s="1"/>
  <c r="D200" i="19" s="1"/>
  <c r="D217" i="19" s="1"/>
  <c r="B182" i="19"/>
  <c r="B181" i="19"/>
  <c r="D181" i="19" s="1"/>
  <c r="D198" i="19" s="1"/>
  <c r="B180" i="19"/>
  <c r="D180" i="19" s="1"/>
  <c r="D197" i="19" s="1"/>
  <c r="D214" i="19" s="1"/>
  <c r="B174" i="19"/>
  <c r="P174" i="19" s="1"/>
  <c r="B173" i="19"/>
  <c r="B172" i="19"/>
  <c r="S172" i="19" s="1"/>
  <c r="B171" i="19"/>
  <c r="P171" i="19" s="1"/>
  <c r="B170" i="19"/>
  <c r="B169" i="19"/>
  <c r="B168" i="19"/>
  <c r="B167" i="19"/>
  <c r="M167" i="19" s="1"/>
  <c r="B166" i="19"/>
  <c r="P166" i="19" s="1"/>
  <c r="J166" i="19"/>
  <c r="B165" i="19"/>
  <c r="S156" i="19"/>
  <c r="P156" i="19"/>
  <c r="M156" i="19"/>
  <c r="J156" i="19"/>
  <c r="G156" i="19"/>
  <c r="S151" i="19"/>
  <c r="P151" i="19"/>
  <c r="M151" i="19"/>
  <c r="J151" i="19"/>
  <c r="G151" i="19"/>
  <c r="D151" i="19"/>
  <c r="B151" i="19"/>
  <c r="A151" i="19" s="1"/>
  <c r="S150" i="19"/>
  <c r="P150" i="19"/>
  <c r="M150" i="19"/>
  <c r="J150" i="19"/>
  <c r="G150" i="19"/>
  <c r="D150" i="19"/>
  <c r="B150" i="19"/>
  <c r="A150" i="19" s="1"/>
  <c r="S149" i="19"/>
  <c r="P149" i="19"/>
  <c r="M149" i="19"/>
  <c r="J149" i="19"/>
  <c r="G149" i="19"/>
  <c r="D149" i="19"/>
  <c r="B149" i="19"/>
  <c r="S148" i="19"/>
  <c r="P148" i="19"/>
  <c r="M148" i="19"/>
  <c r="J148" i="19"/>
  <c r="G148" i="19"/>
  <c r="D148" i="19"/>
  <c r="B148" i="19"/>
  <c r="A148" i="19" s="1"/>
  <c r="S147" i="19"/>
  <c r="P147" i="19"/>
  <c r="M147" i="19"/>
  <c r="J147" i="19"/>
  <c r="G147" i="19"/>
  <c r="D147" i="19"/>
  <c r="B147" i="19"/>
  <c r="A147" i="19" s="1"/>
  <c r="S146" i="19"/>
  <c r="P146" i="19"/>
  <c r="M146" i="19"/>
  <c r="J146" i="19"/>
  <c r="G146" i="19"/>
  <c r="D146" i="19"/>
  <c r="B146" i="19"/>
  <c r="A146" i="19" s="1"/>
  <c r="S145" i="19"/>
  <c r="P145" i="19"/>
  <c r="M145" i="19"/>
  <c r="J145" i="19"/>
  <c r="G145" i="19"/>
  <c r="D145" i="19"/>
  <c r="B145" i="19"/>
  <c r="S144" i="19"/>
  <c r="P144" i="19"/>
  <c r="M144" i="19"/>
  <c r="J144" i="19"/>
  <c r="G144" i="19"/>
  <c r="B144" i="19"/>
  <c r="S143" i="19"/>
  <c r="P143" i="19"/>
  <c r="M143" i="19"/>
  <c r="J143" i="19"/>
  <c r="G143" i="19"/>
  <c r="B143" i="19"/>
  <c r="S142" i="19"/>
  <c r="P142" i="19"/>
  <c r="M142" i="19"/>
  <c r="J142" i="19"/>
  <c r="G142" i="19"/>
  <c r="B142" i="19"/>
  <c r="A142" i="19" s="1"/>
  <c r="S133" i="19"/>
  <c r="P133" i="19"/>
  <c r="M133" i="19"/>
  <c r="J133" i="19"/>
  <c r="G133" i="19"/>
  <c r="D133" i="19"/>
  <c r="S128" i="19"/>
  <c r="T128" i="19" s="1"/>
  <c r="P128" i="19"/>
  <c r="Q128" i="19" s="1"/>
  <c r="M128" i="19"/>
  <c r="N128" i="19" s="1"/>
  <c r="J128" i="19"/>
  <c r="K128" i="19" s="1"/>
  <c r="B128" i="19"/>
  <c r="C128" i="19" s="1"/>
  <c r="F128" i="19" s="1"/>
  <c r="S127" i="19"/>
  <c r="T127" i="19" s="1"/>
  <c r="P127" i="19"/>
  <c r="Q127" i="19" s="1"/>
  <c r="M127" i="19"/>
  <c r="N127" i="19" s="1"/>
  <c r="J127" i="19"/>
  <c r="K127" i="19" s="1"/>
  <c r="B127" i="19"/>
  <c r="S126" i="19"/>
  <c r="T126" i="19" s="1"/>
  <c r="P126" i="19"/>
  <c r="Q126" i="19" s="1"/>
  <c r="M126" i="19"/>
  <c r="N126" i="19" s="1"/>
  <c r="J126" i="19"/>
  <c r="K126" i="19" s="1"/>
  <c r="B126" i="19"/>
  <c r="C126" i="19" s="1"/>
  <c r="F126" i="19" s="1"/>
  <c r="S125" i="19"/>
  <c r="T125" i="19" s="1"/>
  <c r="P125" i="19"/>
  <c r="Q125" i="19" s="1"/>
  <c r="M125" i="19"/>
  <c r="N125" i="19" s="1"/>
  <c r="J125" i="19"/>
  <c r="K125" i="19" s="1"/>
  <c r="B125" i="19"/>
  <c r="C125" i="19" s="1"/>
  <c r="S124" i="19"/>
  <c r="T124" i="19" s="1"/>
  <c r="P124" i="19"/>
  <c r="Q124" i="19" s="1"/>
  <c r="M124" i="19"/>
  <c r="N124" i="19" s="1"/>
  <c r="J124" i="19"/>
  <c r="K124" i="19" s="1"/>
  <c r="B124" i="19"/>
  <c r="C124" i="19" s="1"/>
  <c r="S123" i="19"/>
  <c r="T123" i="19" s="1"/>
  <c r="P123" i="19"/>
  <c r="Q123" i="19" s="1"/>
  <c r="M123" i="19"/>
  <c r="N123" i="19" s="1"/>
  <c r="J123" i="19"/>
  <c r="B123" i="19"/>
  <c r="C123" i="19" s="1"/>
  <c r="S122" i="19"/>
  <c r="T122" i="19" s="1"/>
  <c r="P122" i="19"/>
  <c r="Q122" i="19" s="1"/>
  <c r="M122" i="19"/>
  <c r="N122" i="19" s="1"/>
  <c r="J122" i="19"/>
  <c r="K122" i="19" s="1"/>
  <c r="B122" i="19"/>
  <c r="C122" i="19" s="1"/>
  <c r="F122" i="19" s="1"/>
  <c r="S121" i="19"/>
  <c r="T121" i="19" s="1"/>
  <c r="P121" i="19"/>
  <c r="M121" i="19"/>
  <c r="M118" i="19"/>
  <c r="M119" i="19"/>
  <c r="N119" i="19" s="1"/>
  <c r="M120" i="19"/>
  <c r="N120" i="19" s="1"/>
  <c r="J121" i="19"/>
  <c r="K121" i="19" s="1"/>
  <c r="B121" i="19"/>
  <c r="S120" i="19"/>
  <c r="T120" i="19" s="1"/>
  <c r="P120" i="19"/>
  <c r="Q120" i="19" s="1"/>
  <c r="J120" i="19"/>
  <c r="K120" i="19" s="1"/>
  <c r="B120" i="19"/>
  <c r="C120" i="19" s="1"/>
  <c r="S119" i="19"/>
  <c r="P119" i="19"/>
  <c r="Q119" i="19" s="1"/>
  <c r="J119" i="19"/>
  <c r="K119" i="19" s="1"/>
  <c r="J118" i="19"/>
  <c r="B119" i="19"/>
  <c r="S118" i="19"/>
  <c r="T118" i="19" s="1"/>
  <c r="P118" i="19"/>
  <c r="Q118" i="19" s="1"/>
  <c r="B118" i="19"/>
  <c r="S116" i="19"/>
  <c r="T116" i="19" s="1"/>
  <c r="P116" i="19"/>
  <c r="Q116" i="19" s="1"/>
  <c r="M116" i="19"/>
  <c r="N116" i="19" s="1"/>
  <c r="J116" i="19"/>
  <c r="K116" i="19" s="1"/>
  <c r="G116" i="19"/>
  <c r="H116" i="19" s="1"/>
  <c r="D116" i="19"/>
  <c r="E116" i="19" s="1"/>
  <c r="B116" i="19"/>
  <c r="S115" i="19"/>
  <c r="T115" i="19" s="1"/>
  <c r="P115" i="19"/>
  <c r="Q115" i="19" s="1"/>
  <c r="M115" i="19"/>
  <c r="N115" i="19" s="1"/>
  <c r="J115" i="19"/>
  <c r="K115" i="19" s="1"/>
  <c r="G115" i="19"/>
  <c r="H115" i="19" s="1"/>
  <c r="D115" i="19"/>
  <c r="E115" i="19" s="1"/>
  <c r="B115" i="19"/>
  <c r="S114" i="19"/>
  <c r="T114" i="19" s="1"/>
  <c r="P114" i="19"/>
  <c r="Q114" i="19" s="1"/>
  <c r="M114" i="19"/>
  <c r="J114" i="19"/>
  <c r="K114" i="19" s="1"/>
  <c r="G114" i="19"/>
  <c r="H114" i="19" s="1"/>
  <c r="D114" i="19"/>
  <c r="E114" i="19" s="1"/>
  <c r="B114" i="19"/>
  <c r="S113" i="19"/>
  <c r="T113" i="19" s="1"/>
  <c r="P113" i="19"/>
  <c r="Q113" i="19" s="1"/>
  <c r="M113" i="19"/>
  <c r="N113" i="19" s="1"/>
  <c r="J113" i="19"/>
  <c r="K113" i="19" s="1"/>
  <c r="G113" i="19"/>
  <c r="H113" i="19" s="1"/>
  <c r="D113" i="19"/>
  <c r="E113" i="19" s="1"/>
  <c r="B113" i="19"/>
  <c r="S112" i="19"/>
  <c r="T112" i="19" s="1"/>
  <c r="P112" i="19"/>
  <c r="Q112" i="19" s="1"/>
  <c r="M112" i="19"/>
  <c r="N112" i="19" s="1"/>
  <c r="J112" i="19"/>
  <c r="K112" i="19" s="1"/>
  <c r="G112" i="19"/>
  <c r="D112" i="19"/>
  <c r="E112" i="19" s="1"/>
  <c r="B112" i="19"/>
  <c r="S111" i="19"/>
  <c r="T111" i="19" s="1"/>
  <c r="P111" i="19"/>
  <c r="Q111" i="19" s="1"/>
  <c r="M111" i="19"/>
  <c r="N111" i="19" s="1"/>
  <c r="J111" i="19"/>
  <c r="K111" i="19" s="1"/>
  <c r="G111" i="19"/>
  <c r="H111" i="19" s="1"/>
  <c r="D111" i="19"/>
  <c r="E111" i="19" s="1"/>
  <c r="B111" i="19"/>
  <c r="S110" i="19"/>
  <c r="T110" i="19" s="1"/>
  <c r="P110" i="19"/>
  <c r="Q110" i="19" s="1"/>
  <c r="M110" i="19"/>
  <c r="N110" i="19" s="1"/>
  <c r="J110" i="19"/>
  <c r="K110" i="19" s="1"/>
  <c r="G110" i="19"/>
  <c r="H110" i="19" s="1"/>
  <c r="D110" i="19"/>
  <c r="E110" i="19" s="1"/>
  <c r="B110" i="19"/>
  <c r="S109" i="19"/>
  <c r="T109" i="19" s="1"/>
  <c r="P109" i="19"/>
  <c r="Q109" i="19" s="1"/>
  <c r="M109" i="19"/>
  <c r="J109" i="19"/>
  <c r="K109" i="19" s="1"/>
  <c r="G109" i="19"/>
  <c r="H109" i="19" s="1"/>
  <c r="D109" i="19"/>
  <c r="E109" i="19" s="1"/>
  <c r="B109" i="19"/>
  <c r="S108" i="19"/>
  <c r="T108" i="19" s="1"/>
  <c r="P108" i="19"/>
  <c r="Q108" i="19" s="1"/>
  <c r="M108" i="19"/>
  <c r="N108" i="19" s="1"/>
  <c r="J108" i="19"/>
  <c r="G108" i="19"/>
  <c r="H108" i="19" s="1"/>
  <c r="D108" i="19"/>
  <c r="E108" i="19" s="1"/>
  <c r="B108" i="19"/>
  <c r="S107" i="19"/>
  <c r="T107" i="19" s="1"/>
  <c r="P107" i="19"/>
  <c r="Q107" i="19" s="1"/>
  <c r="M107" i="19"/>
  <c r="N107" i="19" s="1"/>
  <c r="J107" i="19"/>
  <c r="K107" i="19" s="1"/>
  <c r="G107" i="19"/>
  <c r="H107" i="19" s="1"/>
  <c r="D9" i="19"/>
  <c r="D23" i="19" s="1"/>
  <c r="E23" i="19" s="1"/>
  <c r="B107" i="19"/>
  <c r="S106" i="19"/>
  <c r="T106" i="19" s="1"/>
  <c r="P106" i="19"/>
  <c r="Q106" i="19" s="1"/>
  <c r="M106" i="19"/>
  <c r="N106" i="19" s="1"/>
  <c r="J106" i="19"/>
  <c r="K106" i="19" s="1"/>
  <c r="G106" i="19"/>
  <c r="H106" i="19" s="1"/>
  <c r="B106" i="19"/>
  <c r="S105" i="19"/>
  <c r="P105" i="19"/>
  <c r="Q105" i="19" s="1"/>
  <c r="M105" i="19"/>
  <c r="N105" i="19" s="1"/>
  <c r="J105" i="19"/>
  <c r="K105" i="19" s="1"/>
  <c r="G105" i="19"/>
  <c r="H105" i="19" s="1"/>
  <c r="B105" i="19"/>
  <c r="S104" i="19"/>
  <c r="T104" i="19" s="1"/>
  <c r="P104" i="19"/>
  <c r="M104" i="19"/>
  <c r="N104" i="19" s="1"/>
  <c r="J104" i="19"/>
  <c r="K104" i="19" s="1"/>
  <c r="G104" i="19"/>
  <c r="H104" i="19" s="1"/>
  <c r="B104" i="19"/>
  <c r="S102" i="19"/>
  <c r="P102" i="19"/>
  <c r="Q102" i="19" s="1"/>
  <c r="M102" i="19"/>
  <c r="N102" i="19" s="1"/>
  <c r="J102" i="19"/>
  <c r="K102" i="19" s="1"/>
  <c r="G102" i="19"/>
  <c r="H102" i="19" s="1"/>
  <c r="D102" i="19"/>
  <c r="E102" i="19" s="1"/>
  <c r="B102" i="19"/>
  <c r="S101" i="19"/>
  <c r="T101" i="19" s="1"/>
  <c r="P101" i="19"/>
  <c r="Q101" i="19" s="1"/>
  <c r="M101" i="19"/>
  <c r="N101" i="19" s="1"/>
  <c r="J101" i="19"/>
  <c r="G101" i="19"/>
  <c r="H101" i="19" s="1"/>
  <c r="D101" i="19"/>
  <c r="E101" i="19" s="1"/>
  <c r="B101" i="19"/>
  <c r="S100" i="19"/>
  <c r="T100" i="19" s="1"/>
  <c r="P100" i="19"/>
  <c r="Q100" i="19" s="1"/>
  <c r="M100" i="19"/>
  <c r="N100" i="19" s="1"/>
  <c r="J100" i="19"/>
  <c r="K100" i="19" s="1"/>
  <c r="G100" i="19"/>
  <c r="H100" i="19" s="1"/>
  <c r="D100" i="19"/>
  <c r="E100" i="19" s="1"/>
  <c r="B100" i="19"/>
  <c r="S99" i="19"/>
  <c r="T99" i="19" s="1"/>
  <c r="S29" i="19"/>
  <c r="T29" i="19" s="1"/>
  <c r="S43" i="19"/>
  <c r="T43" i="19" s="1"/>
  <c r="S57" i="19"/>
  <c r="T57" i="19" s="1"/>
  <c r="S71" i="19"/>
  <c r="T71" i="19" s="1"/>
  <c r="S85" i="19"/>
  <c r="T85" i="19" s="1"/>
  <c r="S15" i="19"/>
  <c r="S189" i="19" s="1"/>
  <c r="S206" i="19" s="1"/>
  <c r="S223" i="19" s="1"/>
  <c r="P99" i="19"/>
  <c r="Q99" i="19" s="1"/>
  <c r="M99" i="19"/>
  <c r="N99" i="19" s="1"/>
  <c r="J99" i="19"/>
  <c r="K99" i="19" s="1"/>
  <c r="G99" i="19"/>
  <c r="H99" i="19" s="1"/>
  <c r="D99" i="19"/>
  <c r="E99" i="19" s="1"/>
  <c r="B99" i="19"/>
  <c r="S98" i="19"/>
  <c r="T98" i="19" s="1"/>
  <c r="P98" i="19"/>
  <c r="Q98" i="19" s="1"/>
  <c r="M98" i="19"/>
  <c r="N98" i="19" s="1"/>
  <c r="J98" i="19"/>
  <c r="K98" i="19" s="1"/>
  <c r="G98" i="19"/>
  <c r="H98" i="19" s="1"/>
  <c r="D98" i="19"/>
  <c r="E98" i="19" s="1"/>
  <c r="B98" i="19"/>
  <c r="S97" i="19"/>
  <c r="T97" i="19" s="1"/>
  <c r="P97" i="19"/>
  <c r="Q97" i="19" s="1"/>
  <c r="M97" i="19"/>
  <c r="N97" i="19" s="1"/>
  <c r="M27" i="19"/>
  <c r="N27" i="19" s="1"/>
  <c r="M41" i="19"/>
  <c r="N41" i="19" s="1"/>
  <c r="M55" i="19"/>
  <c r="N55" i="19" s="1"/>
  <c r="M69" i="19"/>
  <c r="N69" i="19" s="1"/>
  <c r="M83" i="19"/>
  <c r="N83" i="19" s="1"/>
  <c r="M13" i="19"/>
  <c r="M187" i="19" s="1"/>
  <c r="M204" i="19" s="1"/>
  <c r="M221" i="19" s="1"/>
  <c r="J97" i="19"/>
  <c r="K97" i="19" s="1"/>
  <c r="G97" i="19"/>
  <c r="H97" i="19" s="1"/>
  <c r="D97" i="19"/>
  <c r="E97" i="19" s="1"/>
  <c r="B97" i="19"/>
  <c r="S96" i="19"/>
  <c r="T96" i="19" s="1"/>
  <c r="P96" i="19"/>
  <c r="Q96" i="19" s="1"/>
  <c r="M96" i="19"/>
  <c r="N96" i="19" s="1"/>
  <c r="J96" i="19"/>
  <c r="K96" i="19" s="1"/>
  <c r="G96" i="19"/>
  <c r="H96" i="19" s="1"/>
  <c r="D96" i="19"/>
  <c r="E96" i="19" s="1"/>
  <c r="B96" i="19"/>
  <c r="S95" i="19"/>
  <c r="T95" i="19" s="1"/>
  <c r="P95" i="19"/>
  <c r="M95" i="19"/>
  <c r="N95" i="19" s="1"/>
  <c r="J95" i="19"/>
  <c r="K95" i="19" s="1"/>
  <c r="G95" i="19"/>
  <c r="H95" i="19" s="1"/>
  <c r="D95" i="19"/>
  <c r="E95" i="19" s="1"/>
  <c r="B95" i="19"/>
  <c r="S94" i="19"/>
  <c r="T94" i="19" s="1"/>
  <c r="P94" i="19"/>
  <c r="Q94" i="19" s="1"/>
  <c r="M94" i="19"/>
  <c r="N94" i="19" s="1"/>
  <c r="J94" i="19"/>
  <c r="K94" i="19" s="1"/>
  <c r="G94" i="19"/>
  <c r="H94" i="19" s="1"/>
  <c r="D94" i="19"/>
  <c r="E94" i="19" s="1"/>
  <c r="B94" i="19"/>
  <c r="S93" i="19"/>
  <c r="T93" i="19" s="1"/>
  <c r="P93" i="19"/>
  <c r="Q93" i="19" s="1"/>
  <c r="M93" i="19"/>
  <c r="N93" i="19" s="1"/>
  <c r="J93" i="19"/>
  <c r="K93" i="19" s="1"/>
  <c r="G93" i="19"/>
  <c r="H93" i="19" s="1"/>
  <c r="B93" i="19"/>
  <c r="S92" i="19"/>
  <c r="T92" i="19" s="1"/>
  <c r="P92" i="19"/>
  <c r="Q92" i="19" s="1"/>
  <c r="M92" i="19"/>
  <c r="N92" i="19" s="1"/>
  <c r="J92" i="19"/>
  <c r="G92" i="19"/>
  <c r="H92" i="19" s="1"/>
  <c r="B92" i="19"/>
  <c r="S91" i="19"/>
  <c r="S90" i="19"/>
  <c r="P91" i="19"/>
  <c r="Q91" i="19" s="1"/>
  <c r="M91" i="19"/>
  <c r="N91" i="19" s="1"/>
  <c r="J91" i="19"/>
  <c r="J90" i="19"/>
  <c r="K90" i="19" s="1"/>
  <c r="G91" i="19"/>
  <c r="H91" i="19" s="1"/>
  <c r="G90" i="19"/>
  <c r="H90" i="19" s="1"/>
  <c r="B91" i="19"/>
  <c r="P90" i="19"/>
  <c r="Q90" i="19" s="1"/>
  <c r="M90" i="19"/>
  <c r="B90" i="19"/>
  <c r="S88" i="19"/>
  <c r="T88" i="19" s="1"/>
  <c r="P88" i="19"/>
  <c r="Q88" i="19" s="1"/>
  <c r="M88" i="19"/>
  <c r="N88" i="19" s="1"/>
  <c r="J88" i="19"/>
  <c r="K88" i="19" s="1"/>
  <c r="G88" i="19"/>
  <c r="H88" i="19" s="1"/>
  <c r="D88" i="19"/>
  <c r="E88" i="19" s="1"/>
  <c r="B88" i="19"/>
  <c r="S87" i="19"/>
  <c r="T87" i="19" s="1"/>
  <c r="P87" i="19"/>
  <c r="M87" i="19"/>
  <c r="N87" i="19" s="1"/>
  <c r="J87" i="19"/>
  <c r="K87" i="19" s="1"/>
  <c r="G87" i="19"/>
  <c r="H87" i="19" s="1"/>
  <c r="D87" i="19"/>
  <c r="E87" i="19" s="1"/>
  <c r="B87" i="19"/>
  <c r="S86" i="19"/>
  <c r="T86" i="19" s="1"/>
  <c r="P86" i="19"/>
  <c r="Q86" i="19" s="1"/>
  <c r="M86" i="19"/>
  <c r="N86" i="19" s="1"/>
  <c r="J86" i="19"/>
  <c r="K86" i="19" s="1"/>
  <c r="J30" i="19"/>
  <c r="K30" i="19" s="1"/>
  <c r="J44" i="19"/>
  <c r="K44" i="19" s="1"/>
  <c r="J58" i="19"/>
  <c r="K58" i="19" s="1"/>
  <c r="J72" i="19"/>
  <c r="K72" i="19" s="1"/>
  <c r="J16" i="19"/>
  <c r="G86" i="19"/>
  <c r="H86" i="19" s="1"/>
  <c r="D86" i="19"/>
  <c r="E86" i="19" s="1"/>
  <c r="B86" i="19"/>
  <c r="P85" i="19"/>
  <c r="Q85" i="19" s="1"/>
  <c r="M85" i="19"/>
  <c r="N85" i="19" s="1"/>
  <c r="J85" i="19"/>
  <c r="K85" i="19" s="1"/>
  <c r="G85" i="19"/>
  <c r="H85" i="19" s="1"/>
  <c r="D85" i="19"/>
  <c r="E85" i="19" s="1"/>
  <c r="B85" i="19"/>
  <c r="S84" i="19"/>
  <c r="T84" i="19" s="1"/>
  <c r="P84" i="19"/>
  <c r="Q84" i="19" s="1"/>
  <c r="M84" i="19"/>
  <c r="N84" i="19" s="1"/>
  <c r="J84" i="19"/>
  <c r="K84" i="19" s="1"/>
  <c r="G84" i="19"/>
  <c r="H84" i="19" s="1"/>
  <c r="D84" i="19"/>
  <c r="E84" i="19" s="1"/>
  <c r="B84" i="19"/>
  <c r="S83" i="19"/>
  <c r="T83" i="19" s="1"/>
  <c r="P83" i="19"/>
  <c r="Q83" i="19" s="1"/>
  <c r="J83" i="19"/>
  <c r="K83" i="19" s="1"/>
  <c r="G83" i="19"/>
  <c r="H83" i="19" s="1"/>
  <c r="D83" i="19"/>
  <c r="E83" i="19" s="1"/>
  <c r="B83" i="19"/>
  <c r="S82" i="19"/>
  <c r="T82" i="19" s="1"/>
  <c r="P82" i="19"/>
  <c r="Q82" i="19" s="1"/>
  <c r="M82" i="19"/>
  <c r="N82" i="19" s="1"/>
  <c r="J82" i="19"/>
  <c r="K82" i="19" s="1"/>
  <c r="G82" i="19"/>
  <c r="H82" i="19" s="1"/>
  <c r="D82" i="19"/>
  <c r="E82" i="19" s="1"/>
  <c r="B82" i="19"/>
  <c r="S81" i="19"/>
  <c r="T81" i="19" s="1"/>
  <c r="P81" i="19"/>
  <c r="Q81" i="19" s="1"/>
  <c r="M81" i="19"/>
  <c r="N81" i="19" s="1"/>
  <c r="J81" i="19"/>
  <c r="K81" i="19" s="1"/>
  <c r="G81" i="19"/>
  <c r="H81" i="19" s="1"/>
  <c r="D81" i="19"/>
  <c r="E81" i="19" s="1"/>
  <c r="B81" i="19"/>
  <c r="S80" i="19"/>
  <c r="T80" i="19" s="1"/>
  <c r="P80" i="19"/>
  <c r="Q80" i="19" s="1"/>
  <c r="M80" i="19"/>
  <c r="N80" i="19" s="1"/>
  <c r="J80" i="19"/>
  <c r="K80" i="19" s="1"/>
  <c r="G80" i="19"/>
  <c r="H80" i="19" s="1"/>
  <c r="D80" i="19"/>
  <c r="E80" i="19" s="1"/>
  <c r="B80" i="19"/>
  <c r="S79" i="19"/>
  <c r="P79" i="19"/>
  <c r="Q79" i="19" s="1"/>
  <c r="M79" i="19"/>
  <c r="N79" i="19" s="1"/>
  <c r="J79" i="19"/>
  <c r="K79" i="19" s="1"/>
  <c r="G79" i="19"/>
  <c r="H79" i="19" s="1"/>
  <c r="B79" i="19"/>
  <c r="S78" i="19"/>
  <c r="P78" i="19"/>
  <c r="Q78" i="19" s="1"/>
  <c r="M78" i="19"/>
  <c r="N78" i="19" s="1"/>
  <c r="J78" i="19"/>
  <c r="K78" i="19" s="1"/>
  <c r="J76" i="19"/>
  <c r="K76" i="19" s="1"/>
  <c r="J77" i="19"/>
  <c r="K77" i="19" s="1"/>
  <c r="G78" i="19"/>
  <c r="H78" i="19" s="1"/>
  <c r="B78" i="19"/>
  <c r="S77" i="19"/>
  <c r="T77" i="19" s="1"/>
  <c r="P77" i="19"/>
  <c r="M77" i="19"/>
  <c r="N77" i="19" s="1"/>
  <c r="G77" i="19"/>
  <c r="B77" i="19"/>
  <c r="S76" i="19"/>
  <c r="T76" i="19" s="1"/>
  <c r="P76" i="19"/>
  <c r="Q76" i="19" s="1"/>
  <c r="M76" i="19"/>
  <c r="G76" i="19"/>
  <c r="H76" i="19" s="1"/>
  <c r="B76" i="19"/>
  <c r="S74" i="19"/>
  <c r="T74" i="19" s="1"/>
  <c r="P74" i="19"/>
  <c r="Q74" i="19" s="1"/>
  <c r="M74" i="19"/>
  <c r="N74" i="19" s="1"/>
  <c r="J74" i="19"/>
  <c r="K74" i="19" s="1"/>
  <c r="G74" i="19"/>
  <c r="H74" i="19" s="1"/>
  <c r="D74" i="19"/>
  <c r="E74" i="19" s="1"/>
  <c r="B74" i="19"/>
  <c r="S73" i="19"/>
  <c r="T73" i="19" s="1"/>
  <c r="P73" i="19"/>
  <c r="Q73" i="19" s="1"/>
  <c r="M73" i="19"/>
  <c r="N73" i="19" s="1"/>
  <c r="J73" i="19"/>
  <c r="K73" i="19" s="1"/>
  <c r="G73" i="19"/>
  <c r="H73" i="19" s="1"/>
  <c r="D73" i="19"/>
  <c r="E73" i="19" s="1"/>
  <c r="B73" i="19"/>
  <c r="S72" i="19"/>
  <c r="P72" i="19"/>
  <c r="Q72" i="19" s="1"/>
  <c r="M72" i="19"/>
  <c r="N72" i="19" s="1"/>
  <c r="G72" i="19"/>
  <c r="D72" i="19"/>
  <c r="E72" i="19" s="1"/>
  <c r="B72" i="19"/>
  <c r="B62" i="19"/>
  <c r="B63" i="19"/>
  <c r="B64" i="19"/>
  <c r="P64" i="19"/>
  <c r="Q64" i="19" s="1"/>
  <c r="B65" i="19"/>
  <c r="B66" i="19"/>
  <c r="B67" i="19"/>
  <c r="B68" i="19"/>
  <c r="B69" i="19"/>
  <c r="B70" i="19"/>
  <c r="B71" i="19"/>
  <c r="P62" i="19"/>
  <c r="P63" i="19"/>
  <c r="Q63" i="19" s="1"/>
  <c r="P65" i="19"/>
  <c r="Q65" i="19" s="1"/>
  <c r="P66" i="19"/>
  <c r="Q66" i="19" s="1"/>
  <c r="P67" i="19"/>
  <c r="Q67" i="19" s="1"/>
  <c r="P68" i="19"/>
  <c r="Q68" i="19" s="1"/>
  <c r="P69" i="19"/>
  <c r="Q69" i="19" s="1"/>
  <c r="P70" i="19"/>
  <c r="Q70" i="19" s="1"/>
  <c r="P71" i="19"/>
  <c r="Q71" i="19" s="1"/>
  <c r="M71" i="19"/>
  <c r="N71" i="19" s="1"/>
  <c r="M29" i="19"/>
  <c r="N29" i="19" s="1"/>
  <c r="M43" i="19"/>
  <c r="N43" i="19" s="1"/>
  <c r="M57" i="19"/>
  <c r="N57" i="19" s="1"/>
  <c r="M15" i="19"/>
  <c r="M189" i="19" s="1"/>
  <c r="M206" i="19" s="1"/>
  <c r="M223" i="19" s="1"/>
  <c r="J71" i="19"/>
  <c r="K71" i="19" s="1"/>
  <c r="G71" i="19"/>
  <c r="H71" i="19" s="1"/>
  <c r="D71" i="19"/>
  <c r="E71" i="19" s="1"/>
  <c r="S70" i="19"/>
  <c r="T70" i="19" s="1"/>
  <c r="M70" i="19"/>
  <c r="N70" i="19" s="1"/>
  <c r="J70" i="19"/>
  <c r="K70" i="19" s="1"/>
  <c r="G70" i="19"/>
  <c r="H70" i="19" s="1"/>
  <c r="D70" i="19"/>
  <c r="E70" i="19" s="1"/>
  <c r="S69" i="19"/>
  <c r="T69" i="19" s="1"/>
  <c r="J69" i="19"/>
  <c r="K69" i="19" s="1"/>
  <c r="G69" i="19"/>
  <c r="H69" i="19" s="1"/>
  <c r="D69" i="19"/>
  <c r="E69" i="19" s="1"/>
  <c r="S68" i="19"/>
  <c r="T68" i="19" s="1"/>
  <c r="M68" i="19"/>
  <c r="N68" i="19" s="1"/>
  <c r="J68" i="19"/>
  <c r="K68" i="19" s="1"/>
  <c r="G68" i="19"/>
  <c r="H68" i="19" s="1"/>
  <c r="D68" i="19"/>
  <c r="E68" i="19" s="1"/>
  <c r="S67" i="19"/>
  <c r="T67" i="19" s="1"/>
  <c r="M67" i="19"/>
  <c r="N67" i="19" s="1"/>
  <c r="J67" i="19"/>
  <c r="K67" i="19" s="1"/>
  <c r="G67" i="19"/>
  <c r="H67" i="19" s="1"/>
  <c r="D67" i="19"/>
  <c r="E67" i="19" s="1"/>
  <c r="S66" i="19"/>
  <c r="T66" i="19" s="1"/>
  <c r="M66" i="19"/>
  <c r="N66" i="19" s="1"/>
  <c r="J66" i="19"/>
  <c r="K66" i="19" s="1"/>
  <c r="G66" i="19"/>
  <c r="H66" i="19" s="1"/>
  <c r="D66" i="19"/>
  <c r="E66" i="19" s="1"/>
  <c r="S65" i="19"/>
  <c r="T65" i="19" s="1"/>
  <c r="M65" i="19"/>
  <c r="M62" i="19"/>
  <c r="M63" i="19"/>
  <c r="M64" i="19"/>
  <c r="N64" i="19" s="1"/>
  <c r="J65" i="19"/>
  <c r="K65" i="19" s="1"/>
  <c r="G65" i="19"/>
  <c r="H65" i="19" s="1"/>
  <c r="S64" i="19"/>
  <c r="T64" i="19" s="1"/>
  <c r="J64" i="19"/>
  <c r="K64" i="19" s="1"/>
  <c r="G64" i="19"/>
  <c r="H64" i="19" s="1"/>
  <c r="S63" i="19"/>
  <c r="T63" i="19" s="1"/>
  <c r="J63" i="19"/>
  <c r="J62" i="19"/>
  <c r="K62" i="19" s="1"/>
  <c r="G63" i="19"/>
  <c r="H63" i="19" s="1"/>
  <c r="D7" i="19"/>
  <c r="S62" i="19"/>
  <c r="T62" i="19" s="1"/>
  <c r="G62" i="19"/>
  <c r="H62" i="19" s="1"/>
  <c r="S60" i="19"/>
  <c r="P60" i="19"/>
  <c r="Q60" i="19" s="1"/>
  <c r="M60" i="19"/>
  <c r="N60" i="19" s="1"/>
  <c r="J60" i="19"/>
  <c r="K60" i="19" s="1"/>
  <c r="G60" i="19"/>
  <c r="H60" i="19" s="1"/>
  <c r="D60" i="19"/>
  <c r="E60" i="19" s="1"/>
  <c r="B60" i="19"/>
  <c r="S59" i="19"/>
  <c r="T59" i="19" s="1"/>
  <c r="P59" i="19"/>
  <c r="Q59" i="19" s="1"/>
  <c r="M59" i="19"/>
  <c r="N59" i="19" s="1"/>
  <c r="J59" i="19"/>
  <c r="K59" i="19" s="1"/>
  <c r="G59" i="19"/>
  <c r="H59" i="19" s="1"/>
  <c r="D59" i="19"/>
  <c r="E59" i="19" s="1"/>
  <c r="B59" i="19"/>
  <c r="S58" i="19"/>
  <c r="T58" i="19" s="1"/>
  <c r="P58" i="19"/>
  <c r="Q58" i="19" s="1"/>
  <c r="M58" i="19"/>
  <c r="N58" i="19" s="1"/>
  <c r="G58" i="19"/>
  <c r="H58" i="19" s="1"/>
  <c r="D58" i="19"/>
  <c r="E58" i="19" s="1"/>
  <c r="B58" i="19"/>
  <c r="P57" i="19"/>
  <c r="Q57" i="19" s="1"/>
  <c r="J57" i="19"/>
  <c r="K57" i="19" s="1"/>
  <c r="G57" i="19"/>
  <c r="H57" i="19" s="1"/>
  <c r="D57" i="19"/>
  <c r="E57" i="19" s="1"/>
  <c r="B57" i="19"/>
  <c r="S56" i="19"/>
  <c r="T56" i="19" s="1"/>
  <c r="P56" i="19"/>
  <c r="Q56" i="19" s="1"/>
  <c r="M56" i="19"/>
  <c r="N56" i="19" s="1"/>
  <c r="J56" i="19"/>
  <c r="K56" i="19" s="1"/>
  <c r="G56" i="19"/>
  <c r="H56" i="19" s="1"/>
  <c r="D56" i="19"/>
  <c r="E56" i="19" s="1"/>
  <c r="B56" i="19"/>
  <c r="S55" i="19"/>
  <c r="T55" i="19" s="1"/>
  <c r="P55" i="19"/>
  <c r="Q55" i="19" s="1"/>
  <c r="J55" i="19"/>
  <c r="K55" i="19" s="1"/>
  <c r="G55" i="19"/>
  <c r="H55" i="19" s="1"/>
  <c r="D55" i="19"/>
  <c r="E55" i="19" s="1"/>
  <c r="B55" i="19"/>
  <c r="S54" i="19"/>
  <c r="T54" i="19" s="1"/>
  <c r="P54" i="19"/>
  <c r="Q54" i="19" s="1"/>
  <c r="M54" i="19"/>
  <c r="N54" i="19" s="1"/>
  <c r="J54" i="19"/>
  <c r="K54" i="19" s="1"/>
  <c r="G54" i="19"/>
  <c r="H54" i="19" s="1"/>
  <c r="D54" i="19"/>
  <c r="E54" i="19" s="1"/>
  <c r="B54" i="19"/>
  <c r="S53" i="19"/>
  <c r="T53" i="19" s="1"/>
  <c r="P53" i="19"/>
  <c r="Q53" i="19" s="1"/>
  <c r="M53" i="19"/>
  <c r="J53" i="19"/>
  <c r="K53" i="19" s="1"/>
  <c r="G53" i="19"/>
  <c r="H53" i="19" s="1"/>
  <c r="D53" i="19"/>
  <c r="E53" i="19" s="1"/>
  <c r="B53" i="19"/>
  <c r="S52" i="19"/>
  <c r="T52" i="19" s="1"/>
  <c r="P52" i="19"/>
  <c r="Q52" i="19" s="1"/>
  <c r="M52" i="19"/>
  <c r="N52" i="19" s="1"/>
  <c r="J52" i="19"/>
  <c r="K52" i="19" s="1"/>
  <c r="G52" i="19"/>
  <c r="H52" i="19" s="1"/>
  <c r="D52" i="19"/>
  <c r="E52" i="19" s="1"/>
  <c r="B52" i="19"/>
  <c r="S51" i="19"/>
  <c r="T51" i="19" s="1"/>
  <c r="P51" i="19"/>
  <c r="Q51" i="19" s="1"/>
  <c r="M51" i="19"/>
  <c r="J51" i="19"/>
  <c r="K51" i="19" s="1"/>
  <c r="G51" i="19"/>
  <c r="H51" i="19" s="1"/>
  <c r="B51" i="19"/>
  <c r="S50" i="19"/>
  <c r="T50" i="19" s="1"/>
  <c r="P50" i="19"/>
  <c r="M50" i="19"/>
  <c r="N50" i="19" s="1"/>
  <c r="J50" i="19"/>
  <c r="K50" i="19" s="1"/>
  <c r="G50" i="19"/>
  <c r="H50" i="19" s="1"/>
  <c r="B50" i="19"/>
  <c r="S49" i="19"/>
  <c r="T49" i="19" s="1"/>
  <c r="P49" i="19"/>
  <c r="Q49" i="19" s="1"/>
  <c r="M49" i="19"/>
  <c r="N49" i="19" s="1"/>
  <c r="J49" i="19"/>
  <c r="K49" i="19" s="1"/>
  <c r="G49" i="19"/>
  <c r="H49" i="19" s="1"/>
  <c r="B49" i="19"/>
  <c r="S48" i="19"/>
  <c r="T48" i="19" s="1"/>
  <c r="P48" i="19"/>
  <c r="Q48" i="19" s="1"/>
  <c r="M48" i="19"/>
  <c r="N48" i="19" s="1"/>
  <c r="J48" i="19"/>
  <c r="K48" i="19" s="1"/>
  <c r="G48" i="19"/>
  <c r="B48" i="19"/>
  <c r="AC4" i="29"/>
  <c r="AC8" i="29" s="1"/>
  <c r="AC22" i="29" s="1"/>
  <c r="S46" i="19"/>
  <c r="T46" i="19" s="1"/>
  <c r="P46" i="19"/>
  <c r="Q46" i="19" s="1"/>
  <c r="M46" i="19"/>
  <c r="J46" i="19"/>
  <c r="K46" i="19" s="1"/>
  <c r="G46" i="19"/>
  <c r="H46" i="19" s="1"/>
  <c r="D46" i="19"/>
  <c r="E46" i="19" s="1"/>
  <c r="D32" i="19"/>
  <c r="E32" i="19" s="1"/>
  <c r="B46" i="19"/>
  <c r="S45" i="19"/>
  <c r="T45" i="19" s="1"/>
  <c r="P45" i="19"/>
  <c r="P34" i="19"/>
  <c r="Q34" i="19" s="1"/>
  <c r="P35" i="19"/>
  <c r="Q35" i="19" s="1"/>
  <c r="P36" i="19"/>
  <c r="Q36" i="19" s="1"/>
  <c r="P37" i="19"/>
  <c r="Q37" i="19" s="1"/>
  <c r="P38" i="19"/>
  <c r="Q38" i="19" s="1"/>
  <c r="P39" i="19"/>
  <c r="Q39" i="19" s="1"/>
  <c r="P40" i="19"/>
  <c r="Q40" i="19" s="1"/>
  <c r="P41" i="19"/>
  <c r="Q41" i="19" s="1"/>
  <c r="P42" i="19"/>
  <c r="Q42" i="19" s="1"/>
  <c r="P43" i="19"/>
  <c r="Q43" i="19" s="1"/>
  <c r="P44" i="19"/>
  <c r="Q44" i="19" s="1"/>
  <c r="M45" i="19"/>
  <c r="N45" i="19" s="1"/>
  <c r="J45" i="19"/>
  <c r="K45" i="19" s="1"/>
  <c r="J31" i="19"/>
  <c r="K31" i="19" s="1"/>
  <c r="G45" i="19"/>
  <c r="H45" i="19" s="1"/>
  <c r="B45" i="19"/>
  <c r="S44" i="19"/>
  <c r="T44" i="19" s="1"/>
  <c r="M44" i="19"/>
  <c r="N44" i="19" s="1"/>
  <c r="G44" i="19"/>
  <c r="H44" i="19" s="1"/>
  <c r="D44" i="19"/>
  <c r="E44" i="19" s="1"/>
  <c r="B44" i="19"/>
  <c r="J43" i="19"/>
  <c r="K43" i="19" s="1"/>
  <c r="G43" i="19"/>
  <c r="H43" i="19" s="1"/>
  <c r="D43" i="19"/>
  <c r="E43" i="19" s="1"/>
  <c r="B43" i="19"/>
  <c r="S42" i="19"/>
  <c r="T42" i="19" s="1"/>
  <c r="M42" i="19"/>
  <c r="N42" i="19" s="1"/>
  <c r="J42" i="19"/>
  <c r="K42" i="19" s="1"/>
  <c r="G42" i="19"/>
  <c r="H42" i="19" s="1"/>
  <c r="D42" i="19"/>
  <c r="E42" i="19" s="1"/>
  <c r="B42" i="19"/>
  <c r="S41" i="19"/>
  <c r="T41" i="19" s="1"/>
  <c r="J41" i="19"/>
  <c r="K41" i="19" s="1"/>
  <c r="J27" i="19"/>
  <c r="K27" i="19" s="1"/>
  <c r="G41" i="19"/>
  <c r="H41" i="19" s="1"/>
  <c r="D41" i="19"/>
  <c r="E41" i="19" s="1"/>
  <c r="B41" i="19"/>
  <c r="S40" i="19"/>
  <c r="T40" i="19" s="1"/>
  <c r="M40" i="19"/>
  <c r="N40" i="19" s="1"/>
  <c r="J40" i="19"/>
  <c r="K40" i="19" s="1"/>
  <c r="G40" i="19"/>
  <c r="D40" i="19"/>
  <c r="E40" i="19" s="1"/>
  <c r="B40" i="19"/>
  <c r="S39" i="19"/>
  <c r="T39" i="19" s="1"/>
  <c r="M39" i="19"/>
  <c r="N39" i="19" s="1"/>
  <c r="J39" i="19"/>
  <c r="K39" i="19" s="1"/>
  <c r="G39" i="19"/>
  <c r="H39" i="19" s="1"/>
  <c r="D39" i="19"/>
  <c r="E39" i="19" s="1"/>
  <c r="B39" i="19"/>
  <c r="S38" i="19"/>
  <c r="T38" i="19" s="1"/>
  <c r="M38" i="19"/>
  <c r="N38" i="19" s="1"/>
  <c r="M24" i="19"/>
  <c r="N24" i="19" s="1"/>
  <c r="M10" i="19"/>
  <c r="M184" i="19" s="1"/>
  <c r="M201" i="19" s="1"/>
  <c r="M218" i="19" s="1"/>
  <c r="J38" i="19"/>
  <c r="K38" i="19" s="1"/>
  <c r="G38" i="19"/>
  <c r="H38" i="19" s="1"/>
  <c r="D38" i="19"/>
  <c r="E38" i="19" s="1"/>
  <c r="B38" i="19"/>
  <c r="S37" i="19"/>
  <c r="T37" i="19" s="1"/>
  <c r="M37" i="19"/>
  <c r="N37" i="19" s="1"/>
  <c r="J37" i="19"/>
  <c r="J23" i="19"/>
  <c r="K23" i="19" s="1"/>
  <c r="G37" i="19"/>
  <c r="H37" i="19" s="1"/>
  <c r="B37" i="19"/>
  <c r="S36" i="19"/>
  <c r="T36" i="19" s="1"/>
  <c r="M36" i="19"/>
  <c r="N36" i="19" s="1"/>
  <c r="J36" i="19"/>
  <c r="K36" i="19" s="1"/>
  <c r="B34" i="19"/>
  <c r="B35" i="19"/>
  <c r="B36" i="19"/>
  <c r="G36" i="19"/>
  <c r="H36" i="19" s="1"/>
  <c r="S35" i="19"/>
  <c r="M35" i="19"/>
  <c r="N35" i="19" s="1"/>
  <c r="M21" i="19"/>
  <c r="N21" i="19" s="1"/>
  <c r="M7" i="19"/>
  <c r="M181" i="19" s="1"/>
  <c r="J35" i="19"/>
  <c r="J34" i="19"/>
  <c r="K34" i="19" s="1"/>
  <c r="G35" i="19"/>
  <c r="H35" i="19" s="1"/>
  <c r="S34" i="19"/>
  <c r="M34" i="19"/>
  <c r="N34" i="19" s="1"/>
  <c r="G34" i="19"/>
  <c r="S32" i="19"/>
  <c r="T32" i="19" s="1"/>
  <c r="P32" i="19"/>
  <c r="Q32" i="19" s="1"/>
  <c r="M32" i="19"/>
  <c r="N32" i="19" s="1"/>
  <c r="J32" i="19"/>
  <c r="K32" i="19" s="1"/>
  <c r="G32" i="19"/>
  <c r="H32" i="19" s="1"/>
  <c r="B32" i="19"/>
  <c r="S31" i="19"/>
  <c r="T31" i="19" s="1"/>
  <c r="P31" i="19"/>
  <c r="Q31" i="19" s="1"/>
  <c r="M31" i="19"/>
  <c r="N31" i="19" s="1"/>
  <c r="G31" i="19"/>
  <c r="H31" i="19" s="1"/>
  <c r="D31" i="19"/>
  <c r="E31" i="19" s="1"/>
  <c r="B31" i="19"/>
  <c r="S30" i="19"/>
  <c r="T30" i="19" s="1"/>
  <c r="S16" i="19"/>
  <c r="P30" i="19"/>
  <c r="Q30" i="19" s="1"/>
  <c r="M30" i="19"/>
  <c r="N30" i="19" s="1"/>
  <c r="M16" i="19"/>
  <c r="G30" i="19"/>
  <c r="H30" i="19" s="1"/>
  <c r="D30" i="19"/>
  <c r="E30" i="19" s="1"/>
  <c r="B30" i="19"/>
  <c r="P29" i="19"/>
  <c r="Q29" i="19" s="1"/>
  <c r="P15" i="19"/>
  <c r="P189" i="19" s="1"/>
  <c r="P206" i="19" s="1"/>
  <c r="P223" i="19" s="1"/>
  <c r="J29" i="19"/>
  <c r="K29" i="19" s="1"/>
  <c r="G29" i="19"/>
  <c r="H29" i="19" s="1"/>
  <c r="D29" i="19"/>
  <c r="E29" i="19" s="1"/>
  <c r="B29" i="19"/>
  <c r="S28" i="19"/>
  <c r="T28" i="19" s="1"/>
  <c r="P28" i="19"/>
  <c r="Q28" i="19" s="1"/>
  <c r="P14" i="19"/>
  <c r="P188" i="19" s="1"/>
  <c r="P205" i="19" s="1"/>
  <c r="P222" i="19" s="1"/>
  <c r="M28" i="19"/>
  <c r="N28" i="19" s="1"/>
  <c r="J28" i="19"/>
  <c r="K28" i="19" s="1"/>
  <c r="G28" i="19"/>
  <c r="H28" i="19" s="1"/>
  <c r="D28" i="19"/>
  <c r="E28" i="19" s="1"/>
  <c r="B28" i="19"/>
  <c r="S27" i="19"/>
  <c r="T27" i="19" s="1"/>
  <c r="P27" i="19"/>
  <c r="Q27" i="19" s="1"/>
  <c r="P13" i="19"/>
  <c r="P187" i="19" s="1"/>
  <c r="P204" i="19" s="1"/>
  <c r="P221" i="19" s="1"/>
  <c r="G27" i="19"/>
  <c r="D27" i="19"/>
  <c r="E27" i="19" s="1"/>
  <c r="B27" i="19"/>
  <c r="S26" i="19"/>
  <c r="T26" i="19" s="1"/>
  <c r="S12" i="19"/>
  <c r="S186" i="19" s="1"/>
  <c r="S203" i="19" s="1"/>
  <c r="S220" i="19" s="1"/>
  <c r="P26" i="19"/>
  <c r="Q26" i="19" s="1"/>
  <c r="M26" i="19"/>
  <c r="N26" i="19" s="1"/>
  <c r="M12" i="19"/>
  <c r="M186" i="19" s="1"/>
  <c r="M203" i="19" s="1"/>
  <c r="M220" i="19" s="1"/>
  <c r="J26" i="19"/>
  <c r="K26" i="19" s="1"/>
  <c r="G26" i="19"/>
  <c r="H26" i="19" s="1"/>
  <c r="D26" i="19"/>
  <c r="E26" i="19" s="1"/>
  <c r="B26" i="19"/>
  <c r="S25" i="19"/>
  <c r="T25" i="19" s="1"/>
  <c r="P25" i="19"/>
  <c r="Q25" i="19" s="1"/>
  <c r="P11" i="19"/>
  <c r="M25" i="19"/>
  <c r="N25" i="19" s="1"/>
  <c r="J25" i="19"/>
  <c r="K25" i="19" s="1"/>
  <c r="G25" i="19"/>
  <c r="H25" i="19" s="1"/>
  <c r="D25" i="19"/>
  <c r="E25" i="19" s="1"/>
  <c r="B25" i="19"/>
  <c r="S24" i="19"/>
  <c r="T24" i="19" s="1"/>
  <c r="P24" i="19"/>
  <c r="Q24" i="19" s="1"/>
  <c r="P10" i="19"/>
  <c r="J24" i="19"/>
  <c r="K24" i="19" s="1"/>
  <c r="G24" i="19"/>
  <c r="H24" i="19" s="1"/>
  <c r="D24" i="19"/>
  <c r="E24" i="19" s="1"/>
  <c r="D10" i="19"/>
  <c r="B24" i="19"/>
  <c r="S23" i="19"/>
  <c r="T23" i="19" s="1"/>
  <c r="P23" i="19"/>
  <c r="Q23" i="19" s="1"/>
  <c r="M23" i="19"/>
  <c r="N23" i="19" s="1"/>
  <c r="G23" i="19"/>
  <c r="H23" i="19" s="1"/>
  <c r="B23" i="19"/>
  <c r="S22" i="19"/>
  <c r="T22" i="19" s="1"/>
  <c r="S8" i="19"/>
  <c r="S182" i="19" s="1"/>
  <c r="S199" i="19" s="1"/>
  <c r="S216" i="19" s="1"/>
  <c r="P22" i="19"/>
  <c r="Q22" i="19" s="1"/>
  <c r="M22" i="19"/>
  <c r="N22" i="19" s="1"/>
  <c r="M8" i="19"/>
  <c r="M182" i="19" s="1"/>
  <c r="J22" i="19"/>
  <c r="K22" i="19" s="1"/>
  <c r="G22" i="19"/>
  <c r="H22" i="19" s="1"/>
  <c r="D8" i="19"/>
  <c r="B22" i="19"/>
  <c r="S21" i="19"/>
  <c r="P21" i="19"/>
  <c r="P7" i="19"/>
  <c r="P181" i="19" s="1"/>
  <c r="P198" i="19" s="1"/>
  <c r="P215" i="19" s="1"/>
  <c r="J21" i="19"/>
  <c r="K21" i="19" s="1"/>
  <c r="G21" i="19"/>
  <c r="H21" i="19" s="1"/>
  <c r="B21" i="19"/>
  <c r="S20" i="19"/>
  <c r="P20" i="19"/>
  <c r="Q20" i="19" s="1"/>
  <c r="M20" i="19"/>
  <c r="J20" i="19"/>
  <c r="B20" i="19"/>
  <c r="B18" i="19"/>
  <c r="B17" i="19"/>
  <c r="P16" i="19"/>
  <c r="G16" i="19"/>
  <c r="D16" i="19"/>
  <c r="B16" i="19"/>
  <c r="J15" i="19"/>
  <c r="J189" i="19" s="1"/>
  <c r="J206" i="19" s="1"/>
  <c r="J223" i="19" s="1"/>
  <c r="G15" i="19"/>
  <c r="G189" i="19" s="1"/>
  <c r="G206" i="19" s="1"/>
  <c r="G223" i="19" s="1"/>
  <c r="D15" i="19"/>
  <c r="B15" i="19"/>
  <c r="S14" i="19"/>
  <c r="S188" i="19" s="1"/>
  <c r="S205" i="19" s="1"/>
  <c r="S222" i="19" s="1"/>
  <c r="M14" i="19"/>
  <c r="M188" i="19" s="1"/>
  <c r="M205" i="19" s="1"/>
  <c r="M222" i="19" s="1"/>
  <c r="J14" i="19"/>
  <c r="G14" i="19"/>
  <c r="G188" i="19" s="1"/>
  <c r="G205" i="19" s="1"/>
  <c r="G222" i="19" s="1"/>
  <c r="D14" i="19"/>
  <c r="B14" i="19"/>
  <c r="S13" i="19"/>
  <c r="S187" i="19" s="1"/>
  <c r="S204" i="19" s="1"/>
  <c r="S221" i="19" s="1"/>
  <c r="J13" i="19"/>
  <c r="J187" i="19" s="1"/>
  <c r="J204" i="19" s="1"/>
  <c r="J221" i="19" s="1"/>
  <c r="G13" i="19"/>
  <c r="G187" i="19" s="1"/>
  <c r="G204" i="19" s="1"/>
  <c r="G221" i="19" s="1"/>
  <c r="D13" i="19"/>
  <c r="B13" i="19"/>
  <c r="P12" i="19"/>
  <c r="P186" i="19" s="1"/>
  <c r="P203" i="19" s="1"/>
  <c r="P220" i="19" s="1"/>
  <c r="J12" i="19"/>
  <c r="J186" i="19" s="1"/>
  <c r="J203" i="19" s="1"/>
  <c r="J220" i="19" s="1"/>
  <c r="G12" i="19"/>
  <c r="G186" i="19" s="1"/>
  <c r="G203" i="19" s="1"/>
  <c r="G220" i="19" s="1"/>
  <c r="D12" i="19"/>
  <c r="B12" i="19"/>
  <c r="S11" i="19"/>
  <c r="S185" i="19" s="1"/>
  <c r="S202" i="19" s="1"/>
  <c r="S219" i="19" s="1"/>
  <c r="M11" i="19"/>
  <c r="M185" i="19" s="1"/>
  <c r="M202" i="19" s="1"/>
  <c r="M219" i="19" s="1"/>
  <c r="J11" i="19"/>
  <c r="J185" i="19" s="1"/>
  <c r="J202" i="19" s="1"/>
  <c r="J219" i="19" s="1"/>
  <c r="G11" i="19"/>
  <c r="G185" i="19" s="1"/>
  <c r="G202" i="19" s="1"/>
  <c r="G219" i="19" s="1"/>
  <c r="D11" i="19"/>
  <c r="B11" i="19"/>
  <c r="S10" i="19"/>
  <c r="S184" i="19" s="1"/>
  <c r="J10" i="19"/>
  <c r="J184" i="19" s="1"/>
  <c r="J201" i="19" s="1"/>
  <c r="J218" i="19" s="1"/>
  <c r="G10" i="19"/>
  <c r="B10" i="19"/>
  <c r="S9" i="19"/>
  <c r="S183" i="19" s="1"/>
  <c r="S200" i="19" s="1"/>
  <c r="S217" i="19" s="1"/>
  <c r="P9" i="19"/>
  <c r="P183" i="19" s="1"/>
  <c r="M9" i="19"/>
  <c r="M183" i="19" s="1"/>
  <c r="M200" i="19" s="1"/>
  <c r="M217" i="19" s="1"/>
  <c r="J9" i="19"/>
  <c r="J183" i="19" s="1"/>
  <c r="J200" i="19" s="1"/>
  <c r="J217" i="19" s="1"/>
  <c r="G9" i="19"/>
  <c r="G183" i="19" s="1"/>
  <c r="G200" i="19" s="1"/>
  <c r="G217" i="19" s="1"/>
  <c r="B9" i="19"/>
  <c r="P8" i="19"/>
  <c r="P182" i="19" s="1"/>
  <c r="P199" i="19" s="1"/>
  <c r="P216" i="19" s="1"/>
  <c r="J8" i="19"/>
  <c r="J182" i="19" s="1"/>
  <c r="J199" i="19" s="1"/>
  <c r="J216" i="19" s="1"/>
  <c r="G8" i="19"/>
  <c r="G182" i="19" s="1"/>
  <c r="G199" i="19"/>
  <c r="G216" i="19" s="1"/>
  <c r="B8" i="19"/>
  <c r="S7" i="19"/>
  <c r="S181" i="19" s="1"/>
  <c r="S198" i="19" s="1"/>
  <c r="S215" i="19" s="1"/>
  <c r="J7" i="19"/>
  <c r="J181" i="19" s="1"/>
  <c r="J198" i="19" s="1"/>
  <c r="J215" i="19" s="1"/>
  <c r="G7" i="19"/>
  <c r="B7" i="19"/>
  <c r="S6" i="19"/>
  <c r="S180" i="19" s="1"/>
  <c r="P6" i="19"/>
  <c r="P180" i="19" s="1"/>
  <c r="P197" i="19" s="1"/>
  <c r="M6" i="19"/>
  <c r="M180" i="19" s="1"/>
  <c r="M197" i="19" s="1"/>
  <c r="M214" i="19" s="1"/>
  <c r="J6" i="19"/>
  <c r="G6" i="19"/>
  <c r="G180" i="19" s="1"/>
  <c r="D6" i="19"/>
  <c r="D76" i="19" s="1"/>
  <c r="B6" i="19"/>
  <c r="D491" i="17"/>
  <c r="D486" i="17"/>
  <c r="D481" i="17"/>
  <c r="D476" i="17"/>
  <c r="D471" i="17"/>
  <c r="D466" i="17"/>
  <c r="D461" i="17"/>
  <c r="D456" i="17"/>
  <c r="D451" i="17"/>
  <c r="D446" i="17"/>
  <c r="D441" i="17"/>
  <c r="D436" i="17"/>
  <c r="D421" i="17"/>
  <c r="D416" i="17"/>
  <c r="D411" i="17"/>
  <c r="D406" i="17"/>
  <c r="D401" i="17"/>
  <c r="D396" i="17"/>
  <c r="D391" i="17"/>
  <c r="D386" i="17"/>
  <c r="D381" i="17"/>
  <c r="D376" i="17"/>
  <c r="D371" i="17"/>
  <c r="D366" i="17"/>
  <c r="D351" i="17"/>
  <c r="D346" i="17"/>
  <c r="D341" i="17"/>
  <c r="D336" i="17"/>
  <c r="D331" i="17"/>
  <c r="D326" i="17"/>
  <c r="D321" i="17"/>
  <c r="D316" i="17"/>
  <c r="D311" i="17"/>
  <c r="D306" i="17"/>
  <c r="D301" i="17"/>
  <c r="D296" i="17"/>
  <c r="D281" i="17"/>
  <c r="D276" i="17"/>
  <c r="D271" i="17"/>
  <c r="D266" i="17"/>
  <c r="D261" i="17"/>
  <c r="D256" i="17"/>
  <c r="D251" i="17"/>
  <c r="D246" i="17"/>
  <c r="D241" i="17"/>
  <c r="D236" i="17"/>
  <c r="D231" i="17"/>
  <c r="D226" i="17"/>
  <c r="D211" i="17"/>
  <c r="D206" i="17"/>
  <c r="D201" i="17"/>
  <c r="D196" i="17"/>
  <c r="D191" i="17"/>
  <c r="D186" i="17"/>
  <c r="D181" i="17"/>
  <c r="D176" i="17"/>
  <c r="D171" i="17"/>
  <c r="D166" i="17"/>
  <c r="D161" i="17"/>
  <c r="D156" i="17"/>
  <c r="D141" i="17"/>
  <c r="D136" i="17"/>
  <c r="D131" i="17"/>
  <c r="D126" i="17"/>
  <c r="D121" i="17"/>
  <c r="D116" i="17"/>
  <c r="D111" i="17"/>
  <c r="D106" i="17"/>
  <c r="D101" i="17"/>
  <c r="D96" i="17"/>
  <c r="D91" i="17"/>
  <c r="D86" i="17"/>
  <c r="B70" i="17"/>
  <c r="B65" i="17"/>
  <c r="B60" i="17"/>
  <c r="B55" i="17"/>
  <c r="B50" i="17"/>
  <c r="B45" i="17"/>
  <c r="B40" i="17"/>
  <c r="B35" i="17"/>
  <c r="B30" i="17"/>
  <c r="B25" i="17"/>
  <c r="B20" i="17"/>
  <c r="B15" i="17"/>
  <c r="E3" i="17"/>
  <c r="E2" i="17"/>
  <c r="T1" i="17"/>
  <c r="S1" i="17"/>
  <c r="R1" i="17"/>
  <c r="Q1" i="17"/>
  <c r="P1" i="17"/>
  <c r="O1" i="17"/>
  <c r="N1" i="17"/>
  <c r="M1" i="17"/>
  <c r="L1" i="17"/>
  <c r="K1" i="17"/>
  <c r="J1" i="17"/>
  <c r="I1" i="17"/>
  <c r="A1" i="17"/>
  <c r="D72" i="16"/>
  <c r="H72" i="16" s="1"/>
  <c r="L72" i="16" s="1"/>
  <c r="P72" i="16" s="1"/>
  <c r="T72" i="16" s="1"/>
  <c r="X72" i="16" s="1"/>
  <c r="AB72" i="16" s="1"/>
  <c r="AF72" i="16" s="1"/>
  <c r="AJ72" i="16" s="1"/>
  <c r="AN72" i="16" s="1"/>
  <c r="AR72" i="16" s="1"/>
  <c r="AU69" i="16"/>
  <c r="AU68" i="16"/>
  <c r="AU67" i="16"/>
  <c r="AU66" i="16"/>
  <c r="AU65" i="16"/>
  <c r="AU64" i="16"/>
  <c r="AU63" i="16"/>
  <c r="AU62" i="16"/>
  <c r="AU61" i="16"/>
  <c r="C60" i="16"/>
  <c r="G60" i="16" s="1"/>
  <c r="K60" i="16" s="1"/>
  <c r="O60" i="16" s="1"/>
  <c r="S60" i="16" s="1"/>
  <c r="W60" i="16" s="1"/>
  <c r="AA60" i="16" s="1"/>
  <c r="AE60" i="16" s="1"/>
  <c r="AI60" i="16" s="1"/>
  <c r="AM60" i="16" s="1"/>
  <c r="AQ60" i="16" s="1"/>
  <c r="AU59" i="16"/>
  <c r="AU58" i="16"/>
  <c r="AU57" i="16"/>
  <c r="AU56" i="16"/>
  <c r="AU55" i="16"/>
  <c r="AU54" i="16"/>
  <c r="AU53" i="16"/>
  <c r="AU52" i="16"/>
  <c r="AU51" i="16"/>
  <c r="AU50" i="16"/>
  <c r="C49" i="16"/>
  <c r="G49" i="16" s="1"/>
  <c r="K49" i="16" s="1"/>
  <c r="O49" i="16" s="1"/>
  <c r="S49" i="16" s="1"/>
  <c r="W49" i="16" s="1"/>
  <c r="AA49" i="16" s="1"/>
  <c r="AE49" i="16" s="1"/>
  <c r="AI49" i="16" s="1"/>
  <c r="AM49" i="16" s="1"/>
  <c r="AQ49" i="16" s="1"/>
  <c r="AU48" i="16"/>
  <c r="AU47" i="16"/>
  <c r="AU46" i="16"/>
  <c r="AU45" i="16"/>
  <c r="AU44" i="16"/>
  <c r="AU43" i="16"/>
  <c r="AU42" i="16"/>
  <c r="AU41" i="16"/>
  <c r="AU40" i="16"/>
  <c r="AU39" i="16"/>
  <c r="C38" i="16"/>
  <c r="G38" i="16" s="1"/>
  <c r="K38" i="16" s="1"/>
  <c r="O38" i="16" s="1"/>
  <c r="S38" i="16" s="1"/>
  <c r="W38" i="16" s="1"/>
  <c r="AA38" i="16" s="1"/>
  <c r="AE38" i="16" s="1"/>
  <c r="AI38" i="16" s="1"/>
  <c r="AM38" i="16" s="1"/>
  <c r="AQ38" i="16" s="1"/>
  <c r="AU37" i="16"/>
  <c r="AU36" i="16"/>
  <c r="AU35" i="16"/>
  <c r="AU34" i="16"/>
  <c r="AU33" i="16"/>
  <c r="AU32" i="16"/>
  <c r="AU31" i="16"/>
  <c r="AU30" i="16"/>
  <c r="AU29" i="16"/>
  <c r="AU28" i="16"/>
  <c r="C27" i="16"/>
  <c r="G27" i="16" s="1"/>
  <c r="K27" i="16" s="1"/>
  <c r="O27" i="16" s="1"/>
  <c r="S27" i="16" s="1"/>
  <c r="W27" i="16" s="1"/>
  <c r="AA27" i="16" s="1"/>
  <c r="AE27" i="16" s="1"/>
  <c r="AI27" i="16" s="1"/>
  <c r="AM27" i="16" s="1"/>
  <c r="AQ27" i="16" s="1"/>
  <c r="AU26" i="16"/>
  <c r="AU25" i="16"/>
  <c r="AU24" i="16"/>
  <c r="AU23" i="16"/>
  <c r="AU22" i="16"/>
  <c r="AU21" i="16"/>
  <c r="AU20" i="16"/>
  <c r="AU19" i="16"/>
  <c r="AU18" i="16"/>
  <c r="AU17" i="16"/>
  <c r="C16" i="16"/>
  <c r="G16" i="16" s="1"/>
  <c r="K16" i="16" s="1"/>
  <c r="O16" i="16" s="1"/>
  <c r="S16" i="16" s="1"/>
  <c r="W16" i="16" s="1"/>
  <c r="AA16" i="16" s="1"/>
  <c r="AE16" i="16" s="1"/>
  <c r="AI16" i="16" s="1"/>
  <c r="AM16" i="16" s="1"/>
  <c r="AQ16" i="16" s="1"/>
  <c r="AU15" i="16"/>
  <c r="AU14" i="16"/>
  <c r="AU13" i="16"/>
  <c r="AU12" i="16"/>
  <c r="AU11" i="16"/>
  <c r="AU10" i="16"/>
  <c r="AU9" i="16"/>
  <c r="AU8" i="16"/>
  <c r="AU7" i="16"/>
  <c r="C5" i="16"/>
  <c r="G5" i="16" s="1"/>
  <c r="K5" i="16" s="1"/>
  <c r="O5" i="16" s="1"/>
  <c r="S5" i="16" s="1"/>
  <c r="W5" i="16" s="1"/>
  <c r="AA5" i="16" s="1"/>
  <c r="AE5" i="16" s="1"/>
  <c r="AI5" i="16" s="1"/>
  <c r="AM5" i="16" s="1"/>
  <c r="AQ5" i="16" s="1"/>
  <c r="AF81" i="15"/>
  <c r="AH81" i="15" s="1"/>
  <c r="G81" i="15"/>
  <c r="AT492" i="17" s="1"/>
  <c r="AR84" i="11" s="1"/>
  <c r="F81" i="15"/>
  <c r="D81" i="15"/>
  <c r="AF80" i="15"/>
  <c r="G80" i="15"/>
  <c r="F80" i="15"/>
  <c r="D80" i="15"/>
  <c r="AF79" i="15"/>
  <c r="AH79" i="15" s="1"/>
  <c r="AG79" i="15" s="1"/>
  <c r="G79" i="15"/>
  <c r="F79" i="15"/>
  <c r="D79" i="15"/>
  <c r="AF78" i="15"/>
  <c r="G78" i="15"/>
  <c r="F78" i="15"/>
  <c r="D78" i="15"/>
  <c r="AF77" i="15"/>
  <c r="G77" i="15"/>
  <c r="F77" i="15"/>
  <c r="D77" i="15"/>
  <c r="AF76" i="15"/>
  <c r="AH76" i="15" s="1"/>
  <c r="AG76" i="15" s="1"/>
  <c r="G76" i="15"/>
  <c r="F76" i="15"/>
  <c r="D76" i="15"/>
  <c r="AF75" i="15"/>
  <c r="AH75" i="15" s="1"/>
  <c r="G75" i="15"/>
  <c r="F75" i="15"/>
  <c r="D75" i="15"/>
  <c r="AF74" i="15"/>
  <c r="G74" i="15"/>
  <c r="F74" i="15"/>
  <c r="D74" i="15"/>
  <c r="AF73" i="15"/>
  <c r="G73" i="15"/>
  <c r="F73" i="15"/>
  <c r="D73" i="15"/>
  <c r="AF72" i="15"/>
  <c r="G72" i="15"/>
  <c r="F72" i="15"/>
  <c r="D72" i="15"/>
  <c r="AF71" i="15"/>
  <c r="AH71" i="15" s="1"/>
  <c r="AG71" i="15" s="1"/>
  <c r="G71" i="15"/>
  <c r="F71" i="15"/>
  <c r="D71" i="15"/>
  <c r="AF70" i="15"/>
  <c r="AH70" i="15" s="1"/>
  <c r="G70" i="15"/>
  <c r="F70" i="15"/>
  <c r="D70" i="15"/>
  <c r="AF68" i="15"/>
  <c r="AH68" i="15" s="1"/>
  <c r="G68" i="15"/>
  <c r="F68" i="15"/>
  <c r="D68" i="15"/>
  <c r="AF67" i="15"/>
  <c r="G67" i="15"/>
  <c r="F67" i="15"/>
  <c r="D67" i="15"/>
  <c r="AF66" i="15"/>
  <c r="AH66" i="15" s="1"/>
  <c r="AG66" i="15" s="1"/>
  <c r="G66" i="15"/>
  <c r="F66" i="15"/>
  <c r="D66" i="15"/>
  <c r="AF65" i="15"/>
  <c r="G65" i="15"/>
  <c r="F65" i="15"/>
  <c r="D65" i="15"/>
  <c r="AF64" i="15"/>
  <c r="AH64" i="15" s="1"/>
  <c r="AG64" i="15" s="1"/>
  <c r="G64" i="15"/>
  <c r="F64" i="15"/>
  <c r="D64" i="15"/>
  <c r="AF63" i="15"/>
  <c r="G63" i="15"/>
  <c r="F63" i="15"/>
  <c r="D63" i="15"/>
  <c r="AF62" i="15"/>
  <c r="AH62" i="15" s="1"/>
  <c r="AG62" i="15" s="1"/>
  <c r="G62" i="15"/>
  <c r="F62" i="15"/>
  <c r="D62" i="15"/>
  <c r="AF61" i="15"/>
  <c r="AH61" i="15" s="1"/>
  <c r="AG61" i="15" s="1"/>
  <c r="G61" i="15"/>
  <c r="F61" i="15"/>
  <c r="D61" i="15"/>
  <c r="AF60" i="15"/>
  <c r="AH60" i="15" s="1"/>
  <c r="G60" i="15"/>
  <c r="F60" i="15"/>
  <c r="D60" i="15"/>
  <c r="AF59" i="15"/>
  <c r="G59" i="15"/>
  <c r="F59" i="15"/>
  <c r="D59" i="15"/>
  <c r="AF58" i="15"/>
  <c r="AH58" i="15" s="1"/>
  <c r="AG58" i="15" s="1"/>
  <c r="G58" i="15"/>
  <c r="F58" i="15"/>
  <c r="D58" i="15"/>
  <c r="AF57" i="15"/>
  <c r="G57" i="15"/>
  <c r="F57" i="15"/>
  <c r="D57" i="15"/>
  <c r="AF55" i="15"/>
  <c r="G55" i="15"/>
  <c r="F55" i="15"/>
  <c r="D55" i="15"/>
  <c r="AF54" i="15"/>
  <c r="G54" i="15"/>
  <c r="F54" i="15"/>
  <c r="D54" i="15"/>
  <c r="AF53" i="15"/>
  <c r="G53" i="15"/>
  <c r="F53" i="15"/>
  <c r="D53" i="15"/>
  <c r="AF52" i="15"/>
  <c r="G52" i="15"/>
  <c r="F52" i="15"/>
  <c r="D52" i="15"/>
  <c r="AF51" i="15"/>
  <c r="G51" i="15"/>
  <c r="F51" i="15"/>
  <c r="D51" i="15"/>
  <c r="AF50" i="15"/>
  <c r="G50" i="15"/>
  <c r="F50" i="15"/>
  <c r="D50" i="15"/>
  <c r="AF49" i="15"/>
  <c r="AH49" i="15" s="1"/>
  <c r="AG49" i="15" s="1"/>
  <c r="G49" i="15"/>
  <c r="F49" i="15"/>
  <c r="D49" i="15"/>
  <c r="AF48" i="15"/>
  <c r="G48" i="15"/>
  <c r="F48" i="15"/>
  <c r="D48" i="15"/>
  <c r="AF47" i="15"/>
  <c r="G47" i="15"/>
  <c r="F47" i="15"/>
  <c r="D47" i="15"/>
  <c r="AF46" i="15"/>
  <c r="G46" i="15"/>
  <c r="AA307" i="17" s="1"/>
  <c r="F46" i="15"/>
  <c r="D46" i="15"/>
  <c r="AF45" i="15"/>
  <c r="AH45" i="15" s="1"/>
  <c r="AG45" i="15" s="1"/>
  <c r="G45" i="15"/>
  <c r="F45" i="15"/>
  <c r="D45" i="15"/>
  <c r="AF44" i="15"/>
  <c r="AH44" i="15" s="1"/>
  <c r="G44" i="15"/>
  <c r="F44" i="15"/>
  <c r="D44" i="15"/>
  <c r="AF42" i="15"/>
  <c r="AH42" i="15" s="1"/>
  <c r="G42" i="15"/>
  <c r="F42" i="15"/>
  <c r="D42" i="15"/>
  <c r="AF41" i="15"/>
  <c r="AH41" i="15" s="1"/>
  <c r="AG41" i="15" s="1"/>
  <c r="G41" i="15"/>
  <c r="T277" i="17" s="1"/>
  <c r="F41" i="15"/>
  <c r="D41" i="15"/>
  <c r="AF40" i="15"/>
  <c r="AH40" i="15" s="1"/>
  <c r="AG40" i="15" s="1"/>
  <c r="G40" i="15"/>
  <c r="F40" i="15"/>
  <c r="D40" i="15"/>
  <c r="AF39" i="15"/>
  <c r="AH39" i="15" s="1"/>
  <c r="AG39" i="15" s="1"/>
  <c r="G39" i="15"/>
  <c r="F39" i="15"/>
  <c r="D39" i="15"/>
  <c r="AF38" i="15"/>
  <c r="AH38" i="15" s="1"/>
  <c r="AG38" i="15" s="1"/>
  <c r="G38" i="15"/>
  <c r="F38" i="15"/>
  <c r="D38" i="15"/>
  <c r="AF37" i="15"/>
  <c r="G37" i="15"/>
  <c r="F37" i="15"/>
  <c r="D37" i="15"/>
  <c r="AF36" i="15"/>
  <c r="AH36" i="15" s="1"/>
  <c r="AG36" i="15" s="1"/>
  <c r="G36" i="15"/>
  <c r="AD252" i="17" s="1"/>
  <c r="F36" i="15"/>
  <c r="D36" i="15"/>
  <c r="AF35" i="15"/>
  <c r="G35" i="15"/>
  <c r="F35" i="15"/>
  <c r="D35" i="15"/>
  <c r="AF34" i="15"/>
  <c r="G34" i="15"/>
  <c r="F34" i="15"/>
  <c r="D34" i="15"/>
  <c r="AF33" i="15"/>
  <c r="G33" i="15"/>
  <c r="M237" i="17" s="1"/>
  <c r="F33" i="15"/>
  <c r="D33" i="15"/>
  <c r="AF32" i="15"/>
  <c r="AH32" i="15" s="1"/>
  <c r="AG32" i="15" s="1"/>
  <c r="G32" i="15"/>
  <c r="F32" i="15"/>
  <c r="D32" i="15"/>
  <c r="AF31" i="15"/>
  <c r="AH31" i="15" s="1"/>
  <c r="AG31" i="15" s="1"/>
  <c r="G31" i="15"/>
  <c r="F31" i="15"/>
  <c r="D31" i="15"/>
  <c r="AF29" i="15"/>
  <c r="G29" i="15"/>
  <c r="F29" i="15"/>
  <c r="D29" i="15"/>
  <c r="AF28" i="15"/>
  <c r="AH28" i="15" s="1"/>
  <c r="AG28" i="15" s="1"/>
  <c r="G28" i="15"/>
  <c r="AP207" i="17" s="1"/>
  <c r="F28" i="15"/>
  <c r="D28" i="15"/>
  <c r="AF27" i="15"/>
  <c r="AH27" i="15" s="1"/>
  <c r="AG27" i="15" s="1"/>
  <c r="G27" i="15"/>
  <c r="F27" i="15"/>
  <c r="D27" i="15"/>
  <c r="AF26" i="15"/>
  <c r="G26" i="15"/>
  <c r="F26" i="15"/>
  <c r="D26" i="15"/>
  <c r="AF25" i="15"/>
  <c r="AH25" i="15" s="1"/>
  <c r="G25" i="15"/>
  <c r="F25" i="15"/>
  <c r="D25" i="15"/>
  <c r="AF24" i="15"/>
  <c r="AH24" i="15" s="1"/>
  <c r="G24" i="15"/>
  <c r="AC187" i="17" s="1"/>
  <c r="F24" i="15"/>
  <c r="D24" i="15"/>
  <c r="AF23" i="15"/>
  <c r="AH23" i="15" s="1"/>
  <c r="AG23" i="15" s="1"/>
  <c r="G23" i="15"/>
  <c r="F23" i="15"/>
  <c r="D23" i="15"/>
  <c r="AF22" i="15"/>
  <c r="G22" i="15"/>
  <c r="F22" i="15"/>
  <c r="D22" i="15"/>
  <c r="AF21" i="15"/>
  <c r="G21" i="15"/>
  <c r="F21" i="15"/>
  <c r="D21" i="15"/>
  <c r="AF20" i="15"/>
  <c r="G20" i="15"/>
  <c r="F20" i="15"/>
  <c r="D20" i="15"/>
  <c r="AF19" i="15"/>
  <c r="AH19" i="15" s="1"/>
  <c r="AG19" i="15" s="1"/>
  <c r="G19" i="15"/>
  <c r="F19" i="15"/>
  <c r="D19" i="15"/>
  <c r="AF18" i="15"/>
  <c r="G18" i="15"/>
  <c r="AU157" i="17" s="1"/>
  <c r="F18" i="15"/>
  <c r="D18" i="15"/>
  <c r="G16" i="15"/>
  <c r="D16" i="15"/>
  <c r="C16" i="15"/>
  <c r="G15" i="15"/>
  <c r="D15" i="15"/>
  <c r="C15" i="15"/>
  <c r="AF14" i="15"/>
  <c r="G14" i="15"/>
  <c r="F14" i="15"/>
  <c r="D14" i="15"/>
  <c r="C14" i="15"/>
  <c r="C27" i="15"/>
  <c r="AF13" i="15"/>
  <c r="AH13" i="15" s="1"/>
  <c r="G13" i="15"/>
  <c r="F13" i="15"/>
  <c r="D13" i="15"/>
  <c r="C13" i="15"/>
  <c r="AF12" i="15"/>
  <c r="AH12" i="15" s="1"/>
  <c r="G12" i="15"/>
  <c r="AU122" i="17" s="1"/>
  <c r="F12" i="15"/>
  <c r="D12" i="15"/>
  <c r="C12" i="15"/>
  <c r="AF11" i="15"/>
  <c r="AH11" i="15" s="1"/>
  <c r="G11" i="15"/>
  <c r="F11" i="15"/>
  <c r="D11" i="15"/>
  <c r="C11" i="15"/>
  <c r="C24" i="15" s="1"/>
  <c r="C37" i="15" s="1"/>
  <c r="AF10" i="15"/>
  <c r="G10" i="15"/>
  <c r="F10" i="15"/>
  <c r="D10" i="15"/>
  <c r="C10" i="15"/>
  <c r="AF9" i="15"/>
  <c r="AH9" i="15" s="1"/>
  <c r="G9" i="15"/>
  <c r="F9" i="15"/>
  <c r="D9" i="15"/>
  <c r="C9" i="15"/>
  <c r="AF8" i="15"/>
  <c r="G8" i="15"/>
  <c r="AU102" i="17" s="1"/>
  <c r="F8" i="15"/>
  <c r="D8" i="15"/>
  <c r="C8" i="15"/>
  <c r="AF7" i="15"/>
  <c r="AH7" i="15" s="1"/>
  <c r="AG7" i="15" s="1"/>
  <c r="G7" i="15"/>
  <c r="N97" i="17" s="1"/>
  <c r="F7" i="15"/>
  <c r="D7" i="15"/>
  <c r="C7" i="15"/>
  <c r="F6" i="15"/>
  <c r="D6" i="15"/>
  <c r="C6" i="15"/>
  <c r="C19" i="15" s="1"/>
  <c r="F5" i="15"/>
  <c r="D5" i="15"/>
  <c r="C5" i="15"/>
  <c r="I386" i="20" s="1"/>
  <c r="A1" i="15"/>
  <c r="AB59" i="14"/>
  <c r="AA57" i="14" s="1"/>
  <c r="X59" i="14"/>
  <c r="T59" i="14"/>
  <c r="P59" i="14"/>
  <c r="O48" i="14" s="1"/>
  <c r="L59" i="14"/>
  <c r="H59" i="14"/>
  <c r="F58" i="14"/>
  <c r="E58" i="14"/>
  <c r="D58" i="14"/>
  <c r="F57" i="14"/>
  <c r="E57" i="14"/>
  <c r="D57" i="14"/>
  <c r="F56" i="14"/>
  <c r="E56" i="14"/>
  <c r="D56" i="14"/>
  <c r="F55" i="14"/>
  <c r="E55" i="14"/>
  <c r="D55" i="14"/>
  <c r="F54" i="14"/>
  <c r="E54" i="14"/>
  <c r="D54" i="14"/>
  <c r="F53" i="14"/>
  <c r="E53" i="14"/>
  <c r="D53" i="14"/>
  <c r="F52" i="14"/>
  <c r="E52" i="14"/>
  <c r="D52" i="14"/>
  <c r="AA51" i="14"/>
  <c r="F51" i="14"/>
  <c r="E51" i="14"/>
  <c r="D51" i="14"/>
  <c r="F50" i="14"/>
  <c r="E50" i="14"/>
  <c r="D50" i="14"/>
  <c r="AA49" i="14"/>
  <c r="F49" i="14"/>
  <c r="E49" i="14"/>
  <c r="D49" i="14"/>
  <c r="F48" i="14"/>
  <c r="E48" i="14"/>
  <c r="D48" i="14"/>
  <c r="L47" i="14"/>
  <c r="P47" i="14" s="1"/>
  <c r="T47" i="14" s="1"/>
  <c r="X47" i="14" s="1"/>
  <c r="AB47" i="14" s="1"/>
  <c r="J47" i="14"/>
  <c r="N47" i="14" s="1"/>
  <c r="R47" i="14" s="1"/>
  <c r="V47" i="14" s="1"/>
  <c r="Z47" i="14" s="1"/>
  <c r="AD47" i="14" s="1"/>
  <c r="I47" i="14"/>
  <c r="M47" i="14" s="1"/>
  <c r="Q47" i="14" s="1"/>
  <c r="U47" i="14" s="1"/>
  <c r="Y47" i="14" s="1"/>
  <c r="AC47" i="14" s="1"/>
  <c r="G47" i="14"/>
  <c r="K47" i="14" s="1"/>
  <c r="O47" i="14" s="1"/>
  <c r="S47" i="14" s="1"/>
  <c r="W47" i="14" s="1"/>
  <c r="AA47" i="14" s="1"/>
  <c r="AB43" i="14"/>
  <c r="X43" i="14"/>
  <c r="W33" i="14" s="1"/>
  <c r="T43" i="14"/>
  <c r="P43" i="14"/>
  <c r="L43" i="14"/>
  <c r="F42" i="14"/>
  <c r="E42" i="14"/>
  <c r="D42" i="14"/>
  <c r="F41" i="14"/>
  <c r="E41" i="14"/>
  <c r="D41" i="14"/>
  <c r="F40" i="14"/>
  <c r="E40" i="14"/>
  <c r="D40" i="14"/>
  <c r="F39" i="14"/>
  <c r="E39" i="14"/>
  <c r="D39" i="14"/>
  <c r="F38" i="14"/>
  <c r="E38" i="14"/>
  <c r="D38" i="14"/>
  <c r="F37" i="14"/>
  <c r="E37" i="14"/>
  <c r="D37" i="14"/>
  <c r="F36" i="14"/>
  <c r="E36" i="14"/>
  <c r="D36" i="14"/>
  <c r="F35" i="14"/>
  <c r="E35" i="14"/>
  <c r="D35" i="14"/>
  <c r="F34" i="14"/>
  <c r="E34" i="14"/>
  <c r="D34" i="14"/>
  <c r="F33" i="14"/>
  <c r="E33" i="14"/>
  <c r="D33" i="14"/>
  <c r="F32" i="14"/>
  <c r="E32" i="14"/>
  <c r="D32" i="14"/>
  <c r="L31" i="14"/>
  <c r="P31" i="14" s="1"/>
  <c r="T31" i="14" s="1"/>
  <c r="X31" i="14" s="1"/>
  <c r="AB31" i="14" s="1"/>
  <c r="G31" i="14"/>
  <c r="K31" i="14" s="1"/>
  <c r="O31" i="14" s="1"/>
  <c r="S31" i="14" s="1"/>
  <c r="W31" i="14" s="1"/>
  <c r="AA31" i="14" s="1"/>
  <c r="J31" i="14"/>
  <c r="N31" i="14" s="1"/>
  <c r="R31" i="14" s="1"/>
  <c r="V31" i="14" s="1"/>
  <c r="Z31" i="14" s="1"/>
  <c r="AD31" i="14" s="1"/>
  <c r="I31" i="14"/>
  <c r="M31" i="14" s="1"/>
  <c r="Q31" i="14" s="1"/>
  <c r="U31" i="14" s="1"/>
  <c r="Y31" i="14" s="1"/>
  <c r="AC31" i="14" s="1"/>
  <c r="B23" i="14"/>
  <c r="AD21" i="14"/>
  <c r="AC21" i="14"/>
  <c r="AC22" i="14" s="1"/>
  <c r="AB21" i="14"/>
  <c r="AC16" i="14"/>
  <c r="AA21" i="14"/>
  <c r="AB16" i="14"/>
  <c r="L139" i="9" s="1"/>
  <c r="Z21" i="14"/>
  <c r="Y21" i="14"/>
  <c r="X21" i="14"/>
  <c r="Y16" i="14"/>
  <c r="K140" i="9" s="1"/>
  <c r="W21" i="14"/>
  <c r="X16" i="14"/>
  <c r="V21" i="14"/>
  <c r="U21" i="14"/>
  <c r="T21" i="14"/>
  <c r="U16" i="14"/>
  <c r="S21" i="14"/>
  <c r="T16" i="14"/>
  <c r="R21" i="14"/>
  <c r="Q21" i="14"/>
  <c r="P21" i="14"/>
  <c r="Q16" i="14"/>
  <c r="O21" i="14"/>
  <c r="O22" i="14" s="1"/>
  <c r="I138" i="9" s="1"/>
  <c r="I141" i="9" s="1"/>
  <c r="P16" i="14"/>
  <c r="I139" i="9" s="1"/>
  <c r="N21" i="14"/>
  <c r="M21" i="14"/>
  <c r="L21" i="14"/>
  <c r="L22" i="14" s="1"/>
  <c r="M16" i="14"/>
  <c r="H140" i="9" s="1"/>
  <c r="K21" i="14"/>
  <c r="L16" i="14"/>
  <c r="H139" i="9" s="1"/>
  <c r="J21" i="14"/>
  <c r="J16" i="14"/>
  <c r="I21" i="14"/>
  <c r="H21" i="14"/>
  <c r="F20" i="14"/>
  <c r="E20" i="14"/>
  <c r="D20" i="14"/>
  <c r="C20" i="14"/>
  <c r="F19" i="14"/>
  <c r="E19" i="14"/>
  <c r="D19" i="14"/>
  <c r="D18" i="14"/>
  <c r="F18" i="14"/>
  <c r="E18" i="14"/>
  <c r="C18" i="14"/>
  <c r="J17" i="14"/>
  <c r="N17" i="14" s="1"/>
  <c r="R17" i="14" s="1"/>
  <c r="V17" i="14" s="1"/>
  <c r="Z17" i="14" s="1"/>
  <c r="AD17" i="14" s="1"/>
  <c r="I17" i="14"/>
  <c r="M17" i="14" s="1"/>
  <c r="Q17" i="14" s="1"/>
  <c r="U17" i="14" s="1"/>
  <c r="Y17" i="14" s="1"/>
  <c r="AC17" i="14" s="1"/>
  <c r="H17" i="14"/>
  <c r="L17" i="14" s="1"/>
  <c r="P17" i="14" s="1"/>
  <c r="T17" i="14" s="1"/>
  <c r="X17" i="14" s="1"/>
  <c r="AB17" i="14" s="1"/>
  <c r="G17" i="14"/>
  <c r="K17" i="14" s="1"/>
  <c r="O17" i="14" s="1"/>
  <c r="S17" i="14" s="1"/>
  <c r="W17" i="14" s="1"/>
  <c r="AA17" i="14" s="1"/>
  <c r="AD16" i="14"/>
  <c r="AA16" i="14"/>
  <c r="L137" i="9" s="1"/>
  <c r="L142" i="9" s="1"/>
  <c r="Z16" i="14"/>
  <c r="W16" i="14"/>
  <c r="V16" i="14"/>
  <c r="S16" i="14"/>
  <c r="J137" i="9" s="1"/>
  <c r="J142" i="9" s="1"/>
  <c r="R16" i="14"/>
  <c r="O16" i="14"/>
  <c r="I137" i="9" s="1"/>
  <c r="I142" i="9" s="1"/>
  <c r="N16" i="14"/>
  <c r="K16" i="14"/>
  <c r="H137" i="9" s="1"/>
  <c r="H142" i="9" s="1"/>
  <c r="H16" i="14"/>
  <c r="AE15" i="14"/>
  <c r="F15" i="14"/>
  <c r="E15" i="14"/>
  <c r="D15" i="14"/>
  <c r="AE14" i="14"/>
  <c r="F14" i="14"/>
  <c r="C5" i="35" s="1"/>
  <c r="E14" i="14"/>
  <c r="D14" i="14"/>
  <c r="E6" i="31" s="1"/>
  <c r="C14" i="14"/>
  <c r="E5" i="31" s="1"/>
  <c r="AE13" i="14"/>
  <c r="F13" i="14"/>
  <c r="E13" i="14"/>
  <c r="D13" i="14"/>
  <c r="C13" i="14"/>
  <c r="AE12" i="14"/>
  <c r="F12" i="14"/>
  <c r="E12" i="14"/>
  <c r="D12" i="14"/>
  <c r="C12" i="14"/>
  <c r="AE11" i="14"/>
  <c r="F11" i="14"/>
  <c r="E11" i="14"/>
  <c r="D11" i="14"/>
  <c r="C11" i="14"/>
  <c r="AE10" i="14"/>
  <c r="F10" i="14"/>
  <c r="E10" i="14"/>
  <c r="D10" i="14"/>
  <c r="C10" i="14"/>
  <c r="AE9" i="14"/>
  <c r="F9" i="14"/>
  <c r="E9" i="14"/>
  <c r="D9" i="14"/>
  <c r="C9" i="14"/>
  <c r="AE8" i="14"/>
  <c r="F8" i="14"/>
  <c r="E8" i="14"/>
  <c r="D8" i="14"/>
  <c r="C8" i="14"/>
  <c r="AE7" i="14"/>
  <c r="F7" i="14"/>
  <c r="E7" i="14"/>
  <c r="F2" i="40" s="1"/>
  <c r="D7" i="14"/>
  <c r="AE6" i="14"/>
  <c r="I6" i="14"/>
  <c r="F6" i="14"/>
  <c r="D6" i="14"/>
  <c r="AE5" i="14"/>
  <c r="I5" i="14"/>
  <c r="F5" i="14"/>
  <c r="D5" i="14"/>
  <c r="J4" i="14"/>
  <c r="N4" i="14" s="1"/>
  <c r="R4" i="14" s="1"/>
  <c r="V4" i="14" s="1"/>
  <c r="Z4" i="14" s="1"/>
  <c r="AD4" i="14" s="1"/>
  <c r="I4" i="14"/>
  <c r="M4" i="14" s="1"/>
  <c r="Q4" i="14" s="1"/>
  <c r="U4" i="14" s="1"/>
  <c r="Y4" i="14" s="1"/>
  <c r="AC4" i="14" s="1"/>
  <c r="H4" i="14"/>
  <c r="L4" i="14" s="1"/>
  <c r="P4" i="14" s="1"/>
  <c r="T4" i="14" s="1"/>
  <c r="X4" i="14" s="1"/>
  <c r="AB4" i="14" s="1"/>
  <c r="G4" i="14"/>
  <c r="K4" i="14" s="1"/>
  <c r="O4" i="14" s="1"/>
  <c r="S4" i="14" s="1"/>
  <c r="W4" i="14" s="1"/>
  <c r="AA4" i="14" s="1"/>
  <c r="A1" i="14"/>
  <c r="B73" i="23"/>
  <c r="I72" i="23"/>
  <c r="H72" i="23"/>
  <c r="G72" i="23"/>
  <c r="F72" i="23"/>
  <c r="E72" i="23"/>
  <c r="D72" i="23"/>
  <c r="I71" i="23"/>
  <c r="H71" i="23"/>
  <c r="G71" i="23"/>
  <c r="F71" i="23"/>
  <c r="E71" i="23"/>
  <c r="D71" i="23"/>
  <c r="I70" i="23"/>
  <c r="H70" i="23"/>
  <c r="G70" i="23"/>
  <c r="F70" i="23"/>
  <c r="E70" i="23"/>
  <c r="D70" i="23"/>
  <c r="I69" i="23"/>
  <c r="H69" i="23"/>
  <c r="G69" i="23"/>
  <c r="F69" i="23"/>
  <c r="E69" i="23"/>
  <c r="D69" i="23"/>
  <c r="I68" i="23"/>
  <c r="H68" i="23"/>
  <c r="G68" i="23"/>
  <c r="F68" i="23"/>
  <c r="E68" i="23"/>
  <c r="D68" i="23"/>
  <c r="I67" i="23"/>
  <c r="H67" i="23"/>
  <c r="G67" i="23"/>
  <c r="F67" i="23"/>
  <c r="E67" i="23"/>
  <c r="D67" i="23"/>
  <c r="I66" i="23"/>
  <c r="H66" i="23"/>
  <c r="G66" i="23"/>
  <c r="F66" i="23"/>
  <c r="E66" i="23"/>
  <c r="D66" i="23"/>
  <c r="I65" i="23"/>
  <c r="H65" i="23"/>
  <c r="G65" i="23"/>
  <c r="F65" i="23"/>
  <c r="E65" i="23"/>
  <c r="D65" i="23"/>
  <c r="I64" i="23"/>
  <c r="H64" i="23"/>
  <c r="G64" i="23"/>
  <c r="G61" i="23"/>
  <c r="G62" i="23"/>
  <c r="G63" i="23"/>
  <c r="G73" i="23" s="1"/>
  <c r="F64" i="23"/>
  <c r="E64" i="23"/>
  <c r="D64" i="23"/>
  <c r="I63" i="23"/>
  <c r="H63" i="23"/>
  <c r="F63" i="23"/>
  <c r="E63" i="23"/>
  <c r="E61" i="23"/>
  <c r="E62" i="23"/>
  <c r="D63" i="23"/>
  <c r="I62" i="23"/>
  <c r="H62" i="23"/>
  <c r="F62" i="23"/>
  <c r="D62" i="23"/>
  <c r="I61" i="23"/>
  <c r="H61" i="23"/>
  <c r="F61" i="23"/>
  <c r="D61" i="23"/>
  <c r="I60" i="23"/>
  <c r="H60" i="23"/>
  <c r="G60" i="23"/>
  <c r="F60" i="23"/>
  <c r="E60" i="23"/>
  <c r="D60" i="23"/>
  <c r="O39" i="23"/>
  <c r="N39" i="23"/>
  <c r="M39" i="23"/>
  <c r="L39" i="23"/>
  <c r="K39" i="23"/>
  <c r="J39" i="23"/>
  <c r="I39" i="23"/>
  <c r="H39" i="23"/>
  <c r="G39" i="23"/>
  <c r="F39" i="23"/>
  <c r="E39" i="23"/>
  <c r="D39" i="23"/>
  <c r="F29" i="23"/>
  <c r="F34" i="23" s="1"/>
  <c r="O29" i="23"/>
  <c r="O50" i="23"/>
  <c r="B72" i="23" s="1"/>
  <c r="N29" i="23"/>
  <c r="N50" i="23" s="1"/>
  <c r="B71" i="23" s="1"/>
  <c r="M29" i="23"/>
  <c r="M50" i="23" s="1"/>
  <c r="B70" i="23" s="1"/>
  <c r="L29" i="23"/>
  <c r="K29" i="23"/>
  <c r="K50" i="23" s="1"/>
  <c r="B68" i="23" s="1"/>
  <c r="J29" i="23"/>
  <c r="J50" i="23" s="1"/>
  <c r="B67" i="23" s="1"/>
  <c r="I29" i="23"/>
  <c r="I50" i="23" s="1"/>
  <c r="B66" i="23" s="1"/>
  <c r="H29" i="23"/>
  <c r="G29" i="23"/>
  <c r="G50" i="23" s="1"/>
  <c r="B64" i="23" s="1"/>
  <c r="E29" i="23"/>
  <c r="E50" i="23" s="1"/>
  <c r="B62" i="23" s="1"/>
  <c r="D29" i="23"/>
  <c r="D50" i="23" s="1"/>
  <c r="B61" i="23" s="1"/>
  <c r="AW20" i="23"/>
  <c r="AV20" i="23"/>
  <c r="AU20" i="23"/>
  <c r="AT20" i="23"/>
  <c r="AS20" i="23"/>
  <c r="AR20" i="23"/>
  <c r="AQ20" i="23"/>
  <c r="AP20" i="23"/>
  <c r="AO20" i="23"/>
  <c r="AN20" i="23"/>
  <c r="AM20" i="23"/>
  <c r="AL20" i="23"/>
  <c r="AK20" i="23"/>
  <c r="AJ20" i="23"/>
  <c r="AI20" i="23"/>
  <c r="AH20" i="23"/>
  <c r="AN31" i="43" s="1"/>
  <c r="AG20" i="23"/>
  <c r="AF20" i="23"/>
  <c r="AK31" i="43" s="1"/>
  <c r="AE20" i="23"/>
  <c r="AD20" i="23"/>
  <c r="AI31" i="43" s="1"/>
  <c r="AC20" i="23"/>
  <c r="AB20" i="23"/>
  <c r="AA20" i="23"/>
  <c r="Z20" i="23"/>
  <c r="Y20" i="23"/>
  <c r="X20" i="23"/>
  <c r="W20" i="23"/>
  <c r="V20" i="23"/>
  <c r="U20" i="23"/>
  <c r="T20" i="23"/>
  <c r="S20" i="23"/>
  <c r="U31" i="43" s="1"/>
  <c r="R20" i="23"/>
  <c r="Q20" i="23"/>
  <c r="J20" i="23"/>
  <c r="I20" i="23"/>
  <c r="H20" i="23"/>
  <c r="G20" i="23"/>
  <c r="F31" i="43" s="1"/>
  <c r="C19" i="23"/>
  <c r="C8" i="23" s="1"/>
  <c r="F136" i="9" s="1"/>
  <c r="C136" i="9" s="1"/>
  <c r="F18" i="23"/>
  <c r="F23" i="23" s="1"/>
  <c r="AW17" i="23"/>
  <c r="AV17" i="23"/>
  <c r="AU17" i="23"/>
  <c r="AT17" i="23"/>
  <c r="AS17" i="23"/>
  <c r="AR17" i="23"/>
  <c r="AQ17" i="23"/>
  <c r="AP17" i="23"/>
  <c r="AO17" i="23"/>
  <c r="AN17" i="23"/>
  <c r="AM17" i="23"/>
  <c r="AL17" i="23"/>
  <c r="AK17" i="23"/>
  <c r="AJ17" i="23"/>
  <c r="AI17" i="23"/>
  <c r="AH17" i="23"/>
  <c r="AG17" i="23"/>
  <c r="AF17" i="23"/>
  <c r="AE17" i="23"/>
  <c r="AD17" i="23"/>
  <c r="AC17" i="23"/>
  <c r="AG34" i="43" s="1"/>
  <c r="AG37" i="43" s="1"/>
  <c r="AB17" i="23"/>
  <c r="AA17" i="23"/>
  <c r="Z17" i="23"/>
  <c r="Y17" i="23"/>
  <c r="X17" i="23"/>
  <c r="W17" i="23"/>
  <c r="Z34" i="43" s="1"/>
  <c r="Z37" i="43" s="1"/>
  <c r="V17" i="23"/>
  <c r="U17" i="23"/>
  <c r="T17" i="23"/>
  <c r="S17" i="23"/>
  <c r="R17" i="23"/>
  <c r="T34" i="43" s="1"/>
  <c r="Q17" i="23"/>
  <c r="P17" i="23"/>
  <c r="Q34" i="43" s="1"/>
  <c r="J17" i="23"/>
  <c r="K34" i="13"/>
  <c r="I17" i="23"/>
  <c r="H17" i="23"/>
  <c r="G17" i="23"/>
  <c r="F34" i="43" s="1"/>
  <c r="C16" i="23"/>
  <c r="F15" i="23"/>
  <c r="F22" i="23" s="1"/>
  <c r="F12" i="23"/>
  <c r="J12" i="23" s="1"/>
  <c r="N12" i="23" s="1"/>
  <c r="R12" i="23" s="1"/>
  <c r="V12" i="23" s="1"/>
  <c r="Z12" i="23" s="1"/>
  <c r="AD12" i="23" s="1"/>
  <c r="AH12" i="23" s="1"/>
  <c r="AL12" i="23" s="1"/>
  <c r="AP12" i="23" s="1"/>
  <c r="AT12" i="23" s="1"/>
  <c r="O34" i="13"/>
  <c r="P34" i="13"/>
  <c r="P37" i="13" s="1"/>
  <c r="E34" i="13"/>
  <c r="E50" i="13"/>
  <c r="E55" i="13"/>
  <c r="C52" i="13"/>
  <c r="C51" i="13"/>
  <c r="F50" i="13"/>
  <c r="C49" i="13"/>
  <c r="C48" i="13"/>
  <c r="E47" i="13"/>
  <c r="BB45" i="13"/>
  <c r="AW45" i="13"/>
  <c r="AR45" i="13"/>
  <c r="AM45" i="13"/>
  <c r="AH45" i="13"/>
  <c r="AC45" i="13"/>
  <c r="X45" i="13"/>
  <c r="S45" i="13"/>
  <c r="N45" i="13"/>
  <c r="BB41" i="13"/>
  <c r="AW41" i="13"/>
  <c r="AR41" i="13"/>
  <c r="AM41" i="13"/>
  <c r="AH41" i="13"/>
  <c r="AC41" i="13"/>
  <c r="X41" i="13"/>
  <c r="S41" i="13"/>
  <c r="N41" i="13"/>
  <c r="I41" i="13"/>
  <c r="D41" i="13"/>
  <c r="BB40" i="13"/>
  <c r="AW40" i="13"/>
  <c r="AR40" i="13"/>
  <c r="AM40" i="13"/>
  <c r="AH40" i="13"/>
  <c r="AC40" i="13"/>
  <c r="X40" i="13"/>
  <c r="S40" i="13"/>
  <c r="N40" i="13"/>
  <c r="I40" i="13"/>
  <c r="D40" i="13"/>
  <c r="BB36" i="13"/>
  <c r="AW36" i="13"/>
  <c r="AR36" i="13"/>
  <c r="AM36" i="13"/>
  <c r="AH36" i="13"/>
  <c r="AC36" i="13"/>
  <c r="X36" i="13"/>
  <c r="S36" i="13"/>
  <c r="N36" i="13"/>
  <c r="I36" i="13"/>
  <c r="D36" i="13"/>
  <c r="BB35" i="13"/>
  <c r="AW35" i="13"/>
  <c r="AR35" i="13"/>
  <c r="AM35" i="13"/>
  <c r="AH35" i="13"/>
  <c r="AC35" i="13"/>
  <c r="X35" i="13"/>
  <c r="S35" i="13"/>
  <c r="N35" i="13"/>
  <c r="I35" i="13"/>
  <c r="D35" i="13"/>
  <c r="M34" i="13"/>
  <c r="L34" i="13"/>
  <c r="Q31" i="13"/>
  <c r="P31" i="13"/>
  <c r="O31" i="13"/>
  <c r="M31" i="13"/>
  <c r="L31" i="13"/>
  <c r="E31" i="13"/>
  <c r="BF30" i="13"/>
  <c r="BE30" i="13"/>
  <c r="BD30" i="13"/>
  <c r="BC30" i="13"/>
  <c r="BA30" i="13"/>
  <c r="AZ30" i="13"/>
  <c r="AY30" i="13"/>
  <c r="AX30" i="13"/>
  <c r="AV30" i="13"/>
  <c r="AU30" i="13"/>
  <c r="AT30" i="13"/>
  <c r="AS30" i="13"/>
  <c r="AQ30" i="13"/>
  <c r="AN30" i="13"/>
  <c r="AO30" i="13"/>
  <c r="AP30" i="13"/>
  <c r="AL30" i="13"/>
  <c r="AI30" i="13"/>
  <c r="AJ30" i="13"/>
  <c r="AK30" i="13"/>
  <c r="AG30" i="13"/>
  <c r="AF30" i="13"/>
  <c r="AD30" i="13"/>
  <c r="AE30" i="13"/>
  <c r="AB30" i="13"/>
  <c r="AA30" i="13"/>
  <c r="Z30" i="13"/>
  <c r="Y30" i="13"/>
  <c r="W30" i="13"/>
  <c r="V30" i="13"/>
  <c r="S30" i="13" s="1"/>
  <c r="U30" i="13"/>
  <c r="T30" i="13"/>
  <c r="R30" i="13"/>
  <c r="Q30" i="13"/>
  <c r="P30" i="13"/>
  <c r="O30" i="13"/>
  <c r="M30" i="13"/>
  <c r="L30" i="13"/>
  <c r="K30" i="13"/>
  <c r="J30" i="13"/>
  <c r="H30" i="13"/>
  <c r="G30" i="13"/>
  <c r="D30" i="13" s="1"/>
  <c r="F30" i="13"/>
  <c r="E30" i="13"/>
  <c r="BB27" i="13"/>
  <c r="AW27" i="13"/>
  <c r="AR27" i="13"/>
  <c r="AM27" i="13"/>
  <c r="AH27" i="13"/>
  <c r="AC27" i="13"/>
  <c r="X27" i="13"/>
  <c r="S27" i="13"/>
  <c r="N27" i="13"/>
  <c r="I27" i="13"/>
  <c r="C27" i="13" s="1"/>
  <c r="D27" i="13"/>
  <c r="BB26" i="13"/>
  <c r="AW26" i="13"/>
  <c r="AR26" i="13"/>
  <c r="AM26" i="13"/>
  <c r="AH26" i="13"/>
  <c r="AC26" i="13"/>
  <c r="X26" i="13"/>
  <c r="S26" i="13"/>
  <c r="N26" i="13"/>
  <c r="I26" i="13"/>
  <c r="D26" i="13"/>
  <c r="C26" i="13" s="1"/>
  <c r="BB25" i="13"/>
  <c r="AW25" i="13"/>
  <c r="AR25" i="13"/>
  <c r="AM25" i="13"/>
  <c r="AH25" i="13"/>
  <c r="AC25" i="13"/>
  <c r="X25" i="13"/>
  <c r="S25" i="13"/>
  <c r="N25" i="13"/>
  <c r="I25" i="13"/>
  <c r="D25" i="13"/>
  <c r="BF24" i="13"/>
  <c r="BE24" i="13"/>
  <c r="BD24" i="13"/>
  <c r="BC24" i="13"/>
  <c r="BA24" i="13"/>
  <c r="AZ24" i="13"/>
  <c r="AX24" i="13"/>
  <c r="AY24" i="13"/>
  <c r="AV24" i="13"/>
  <c r="AU24" i="13"/>
  <c r="AT24" i="13"/>
  <c r="AS24" i="13"/>
  <c r="AQ24" i="13"/>
  <c r="AM24" i="13" s="1"/>
  <c r="AP24" i="13"/>
  <c r="AO24" i="13"/>
  <c r="AN24" i="13"/>
  <c r="AL24" i="13"/>
  <c r="AH24" i="13" s="1"/>
  <c r="AK24" i="13"/>
  <c r="AJ24" i="13"/>
  <c r="AI24" i="13"/>
  <c r="AG24" i="13"/>
  <c r="AF24" i="13"/>
  <c r="AE24" i="13"/>
  <c r="AD24" i="13"/>
  <c r="AB24" i="13"/>
  <c r="X24" i="13" s="1"/>
  <c r="AA24" i="13"/>
  <c r="Z24" i="13"/>
  <c r="Y24" i="13"/>
  <c r="W24" i="13"/>
  <c r="V24" i="13"/>
  <c r="U24" i="13"/>
  <c r="T24" i="13"/>
  <c r="R24" i="13"/>
  <c r="Q24" i="13"/>
  <c r="O24" i="13"/>
  <c r="P24" i="13"/>
  <c r="M24" i="13"/>
  <c r="I24" i="13" s="1"/>
  <c r="L24" i="13"/>
  <c r="J24" i="13"/>
  <c r="K24" i="13"/>
  <c r="H24" i="13"/>
  <c r="D24" i="13" s="1"/>
  <c r="G24" i="13"/>
  <c r="F24" i="13"/>
  <c r="E24" i="13"/>
  <c r="BB19" i="13"/>
  <c r="AW19" i="13"/>
  <c r="AR19" i="13"/>
  <c r="AM19" i="13"/>
  <c r="AH19" i="13"/>
  <c r="AC19" i="13"/>
  <c r="X19" i="13"/>
  <c r="S19" i="13"/>
  <c r="N19" i="13"/>
  <c r="I19" i="13"/>
  <c r="D19" i="13"/>
  <c r="D3" i="13"/>
  <c r="H3" i="13" s="1"/>
  <c r="B1" i="13"/>
  <c r="A340" i="11"/>
  <c r="A339" i="11"/>
  <c r="AU338" i="11"/>
  <c r="A338" i="11"/>
  <c r="A337" i="11"/>
  <c r="A336" i="11"/>
  <c r="A335" i="11"/>
  <c r="A334" i="11"/>
  <c r="A333" i="11"/>
  <c r="A332" i="11"/>
  <c r="A331" i="11"/>
  <c r="A330" i="11"/>
  <c r="A329" i="11"/>
  <c r="A327" i="11"/>
  <c r="A326" i="11"/>
  <c r="AU325" i="11"/>
  <c r="A325" i="11"/>
  <c r="A324" i="11"/>
  <c r="A323" i="11"/>
  <c r="A322" i="11"/>
  <c r="A321" i="11"/>
  <c r="A320" i="11"/>
  <c r="A319" i="11"/>
  <c r="A318" i="11"/>
  <c r="A317" i="11"/>
  <c r="A316" i="11"/>
  <c r="A314" i="11"/>
  <c r="A313" i="11"/>
  <c r="AU312" i="11"/>
  <c r="A312" i="11"/>
  <c r="A311" i="11"/>
  <c r="A310" i="11"/>
  <c r="A309" i="11"/>
  <c r="A308" i="11"/>
  <c r="A307" i="11"/>
  <c r="A306" i="11"/>
  <c r="A305" i="11"/>
  <c r="A304" i="11"/>
  <c r="A303" i="11"/>
  <c r="A301" i="11"/>
  <c r="A300" i="11"/>
  <c r="AU299" i="11"/>
  <c r="A299" i="11"/>
  <c r="A298" i="11"/>
  <c r="A297" i="11"/>
  <c r="A296" i="11"/>
  <c r="A295" i="11"/>
  <c r="A294" i="11"/>
  <c r="A293" i="11"/>
  <c r="A292" i="11"/>
  <c r="A291" i="11"/>
  <c r="A290" i="11"/>
  <c r="A288" i="11"/>
  <c r="A287" i="11"/>
  <c r="AU286" i="11"/>
  <c r="A286" i="11"/>
  <c r="A285" i="11"/>
  <c r="A284" i="11"/>
  <c r="A283" i="11"/>
  <c r="A282" i="11"/>
  <c r="A281" i="11"/>
  <c r="A280" i="11"/>
  <c r="A279" i="11"/>
  <c r="A278" i="11"/>
  <c r="A277" i="11"/>
  <c r="A275" i="11"/>
  <c r="A274" i="11"/>
  <c r="AU273" i="11"/>
  <c r="A273" i="11"/>
  <c r="A272" i="11"/>
  <c r="A271" i="11"/>
  <c r="A270" i="11"/>
  <c r="A269" i="11"/>
  <c r="A268" i="11"/>
  <c r="A267" i="11"/>
  <c r="A266" i="11"/>
  <c r="A265" i="11"/>
  <c r="A264" i="11"/>
  <c r="A259" i="11"/>
  <c r="A258" i="11"/>
  <c r="A257" i="11"/>
  <c r="A256" i="11"/>
  <c r="A255" i="11"/>
  <c r="A254" i="11"/>
  <c r="A253" i="11"/>
  <c r="A252" i="11"/>
  <c r="A251" i="11"/>
  <c r="A250" i="11"/>
  <c r="A249" i="11"/>
  <c r="A248" i="11"/>
  <c r="A246" i="11"/>
  <c r="A245" i="11"/>
  <c r="A244" i="11"/>
  <c r="A243" i="11"/>
  <c r="A242" i="11"/>
  <c r="A241" i="11"/>
  <c r="A240" i="11"/>
  <c r="A239" i="11"/>
  <c r="A238" i="11"/>
  <c r="A237" i="11"/>
  <c r="A236" i="11"/>
  <c r="A235" i="11"/>
  <c r="A233" i="11"/>
  <c r="A232" i="11"/>
  <c r="A231" i="11"/>
  <c r="A230" i="11"/>
  <c r="A229" i="11"/>
  <c r="A228" i="11"/>
  <c r="A227" i="11"/>
  <c r="A226" i="11"/>
  <c r="A225" i="11"/>
  <c r="A224" i="11"/>
  <c r="A223" i="11"/>
  <c r="A222" i="11"/>
  <c r="A220" i="11"/>
  <c r="A219" i="11"/>
  <c r="A218" i="11"/>
  <c r="A217" i="11"/>
  <c r="A216" i="11"/>
  <c r="A215" i="11"/>
  <c r="A214" i="11"/>
  <c r="A213" i="11"/>
  <c r="A212" i="11"/>
  <c r="A211" i="11"/>
  <c r="A210" i="11"/>
  <c r="A209" i="11"/>
  <c r="A207" i="11"/>
  <c r="A206" i="11"/>
  <c r="A205" i="11"/>
  <c r="A204" i="11"/>
  <c r="A203" i="11"/>
  <c r="A202" i="11"/>
  <c r="A201" i="11"/>
  <c r="A200" i="11"/>
  <c r="A199" i="11"/>
  <c r="A198" i="11"/>
  <c r="A197" i="11"/>
  <c r="A196" i="11"/>
  <c r="A194" i="11"/>
  <c r="A193" i="11"/>
  <c r="A192" i="11"/>
  <c r="A191" i="11"/>
  <c r="A190" i="11"/>
  <c r="A189" i="11"/>
  <c r="A188" i="11"/>
  <c r="A187" i="11"/>
  <c r="A186" i="11"/>
  <c r="A185" i="11"/>
  <c r="A184" i="11"/>
  <c r="A183" i="11"/>
  <c r="A176" i="11"/>
  <c r="A175" i="11"/>
  <c r="A174" i="11"/>
  <c r="A173" i="11"/>
  <c r="A172" i="11"/>
  <c r="A171" i="11"/>
  <c r="A170" i="11"/>
  <c r="A169" i="11"/>
  <c r="A168" i="11"/>
  <c r="A167" i="11"/>
  <c r="A166" i="11"/>
  <c r="A165" i="11"/>
  <c r="A163" i="11"/>
  <c r="A162" i="11"/>
  <c r="A161" i="11"/>
  <c r="A160" i="11"/>
  <c r="A159" i="11"/>
  <c r="A158" i="11"/>
  <c r="A157" i="11"/>
  <c r="A156" i="11"/>
  <c r="A155" i="11"/>
  <c r="A154" i="11"/>
  <c r="A153" i="11"/>
  <c r="A152" i="11"/>
  <c r="A150" i="11"/>
  <c r="A149" i="11"/>
  <c r="A148" i="11"/>
  <c r="A147" i="11"/>
  <c r="A146" i="11"/>
  <c r="A145" i="11"/>
  <c r="A144" i="11"/>
  <c r="A143" i="11"/>
  <c r="A142" i="11"/>
  <c r="A141" i="11"/>
  <c r="A140" i="11"/>
  <c r="A139" i="11"/>
  <c r="A137" i="11"/>
  <c r="A136" i="11"/>
  <c r="A135" i="11"/>
  <c r="A134" i="11"/>
  <c r="A133" i="11"/>
  <c r="A132" i="11"/>
  <c r="A131" i="11"/>
  <c r="A130" i="11"/>
  <c r="A129" i="11"/>
  <c r="A128" i="11"/>
  <c r="A127" i="11"/>
  <c r="A126" i="11"/>
  <c r="A124" i="11"/>
  <c r="A123" i="11"/>
  <c r="A122" i="11"/>
  <c r="A121" i="11"/>
  <c r="A120" i="11"/>
  <c r="A119" i="11"/>
  <c r="A118" i="11"/>
  <c r="A117" i="11"/>
  <c r="A116" i="11"/>
  <c r="A115" i="11"/>
  <c r="A114" i="11"/>
  <c r="A113" i="11"/>
  <c r="A111" i="11"/>
  <c r="A110" i="11"/>
  <c r="A109" i="11"/>
  <c r="A108" i="11"/>
  <c r="A107" i="11"/>
  <c r="A106" i="11"/>
  <c r="A105" i="11"/>
  <c r="A104" i="11"/>
  <c r="A103" i="11"/>
  <c r="A102" i="11"/>
  <c r="A101" i="11"/>
  <c r="A100" i="11"/>
  <c r="A98" i="11"/>
  <c r="A97" i="11"/>
  <c r="A96" i="11"/>
  <c r="A95" i="11"/>
  <c r="A94" i="11"/>
  <c r="A93" i="11"/>
  <c r="A92" i="11"/>
  <c r="A91" i="11"/>
  <c r="A90" i="11"/>
  <c r="A89" i="11"/>
  <c r="A88" i="11"/>
  <c r="A87" i="11"/>
  <c r="A84" i="11"/>
  <c r="A83" i="11"/>
  <c r="A82" i="11"/>
  <c r="A81" i="11"/>
  <c r="A80" i="11"/>
  <c r="A79" i="11"/>
  <c r="A78" i="11"/>
  <c r="A77" i="11"/>
  <c r="A76" i="11"/>
  <c r="A75" i="11"/>
  <c r="A74" i="11"/>
  <c r="A73" i="11"/>
  <c r="A71" i="11"/>
  <c r="A70" i="11"/>
  <c r="A69" i="11"/>
  <c r="A68" i="11"/>
  <c r="A67" i="11"/>
  <c r="A66" i="11"/>
  <c r="A65" i="11"/>
  <c r="A64" i="11"/>
  <c r="A63" i="11"/>
  <c r="A62" i="11"/>
  <c r="A61" i="11"/>
  <c r="A60" i="11"/>
  <c r="A58" i="11"/>
  <c r="A57" i="11"/>
  <c r="A56" i="11"/>
  <c r="A55" i="11"/>
  <c r="A54" i="11"/>
  <c r="A53" i="11"/>
  <c r="A52" i="11"/>
  <c r="A51" i="11"/>
  <c r="A50" i="11"/>
  <c r="A49" i="11"/>
  <c r="A48" i="11"/>
  <c r="A47" i="11"/>
  <c r="A45" i="11"/>
  <c r="A44" i="11"/>
  <c r="A43" i="11"/>
  <c r="A42" i="11"/>
  <c r="A41" i="11"/>
  <c r="A40" i="11"/>
  <c r="A39" i="11"/>
  <c r="A38" i="11"/>
  <c r="A37" i="11"/>
  <c r="A36" i="11"/>
  <c r="A35" i="11"/>
  <c r="A34" i="11"/>
  <c r="A32" i="11"/>
  <c r="A31" i="11"/>
  <c r="A30" i="11"/>
  <c r="A29" i="11"/>
  <c r="A28" i="11"/>
  <c r="A27" i="11"/>
  <c r="A26" i="11"/>
  <c r="A25" i="11"/>
  <c r="A24" i="11"/>
  <c r="A23" i="11"/>
  <c r="A22" i="11"/>
  <c r="A21" i="11"/>
  <c r="A19" i="11"/>
  <c r="A18" i="11"/>
  <c r="A17" i="11"/>
  <c r="A16" i="11"/>
  <c r="A15" i="11"/>
  <c r="A14" i="11"/>
  <c r="A13" i="11"/>
  <c r="A12" i="11"/>
  <c r="A11" i="11"/>
  <c r="A10" i="11"/>
  <c r="A9" i="11"/>
  <c r="A8" i="11"/>
  <c r="C4" i="11"/>
  <c r="G4" i="11" s="1"/>
  <c r="K4" i="11" s="1"/>
  <c r="O4" i="11" s="1"/>
  <c r="S4" i="11" s="1"/>
  <c r="W4" i="11" s="1"/>
  <c r="AA4" i="11" s="1"/>
  <c r="AE4" i="11" s="1"/>
  <c r="AI4" i="11" s="1"/>
  <c r="AM4" i="11" s="1"/>
  <c r="AQ4" i="11" s="1"/>
  <c r="N55" i="10"/>
  <c r="L66" i="9" s="1"/>
  <c r="M55" i="10"/>
  <c r="L65" i="9" s="1"/>
  <c r="K55" i="10"/>
  <c r="L63" i="9" s="1"/>
  <c r="J55" i="10"/>
  <c r="L62" i="9" s="1"/>
  <c r="I55" i="10"/>
  <c r="L61" i="9" s="1"/>
  <c r="H55" i="10"/>
  <c r="L60" i="9" s="1"/>
  <c r="G55" i="10"/>
  <c r="L59" i="9" s="1"/>
  <c r="F55" i="10"/>
  <c r="L58" i="9" s="1"/>
  <c r="E55" i="10"/>
  <c r="L57" i="9" s="1"/>
  <c r="D55" i="10"/>
  <c r="L56" i="9" s="1"/>
  <c r="C55" i="10"/>
  <c r="CA34" i="10"/>
  <c r="BW34" i="10"/>
  <c r="BS34" i="10"/>
  <c r="BS35" i="10" s="1"/>
  <c r="BK34" i="10"/>
  <c r="BG34" i="10"/>
  <c r="BC34" i="10"/>
  <c r="AY34" i="10"/>
  <c r="AY35" i="10" s="1"/>
  <c r="AU34" i="10"/>
  <c r="AQ34" i="10"/>
  <c r="D49" i="10" s="1"/>
  <c r="I56" i="9" s="1"/>
  <c r="AM34" i="10"/>
  <c r="AI34" i="10"/>
  <c r="AE34" i="10"/>
  <c r="AA34" i="10"/>
  <c r="W34" i="10"/>
  <c r="CN34" i="10"/>
  <c r="CM34" i="10"/>
  <c r="CL34" i="10"/>
  <c r="CK34" i="10"/>
  <c r="CJ34" i="10"/>
  <c r="CI34" i="10"/>
  <c r="CH34" i="10"/>
  <c r="CG34" i="10"/>
  <c r="CF34" i="10"/>
  <c r="CE34" i="10"/>
  <c r="CD34" i="10"/>
  <c r="CC34" i="10"/>
  <c r="BZ34" i="10"/>
  <c r="BY34" i="10"/>
  <c r="BY35" i="10" s="1"/>
  <c r="BX34" i="10"/>
  <c r="K53" i="10" s="1"/>
  <c r="K63" i="9" s="1"/>
  <c r="BV34" i="10"/>
  <c r="I34" i="10" s="1"/>
  <c r="I35" i="10" s="1"/>
  <c r="BU34" i="10"/>
  <c r="BT34" i="10"/>
  <c r="BR34" i="10"/>
  <c r="BQ34" i="10"/>
  <c r="BP34" i="10"/>
  <c r="BN34" i="10"/>
  <c r="BM34" i="10"/>
  <c r="M51" i="10"/>
  <c r="J65" i="9" s="1"/>
  <c r="BL34" i="10"/>
  <c r="BJ34" i="10"/>
  <c r="BI34" i="10"/>
  <c r="BH34" i="10"/>
  <c r="BF34" i="10"/>
  <c r="BE34" i="10"/>
  <c r="BD34" i="10"/>
  <c r="BA34" i="10"/>
  <c r="N49" i="10" s="1"/>
  <c r="I66" i="9" s="1"/>
  <c r="AZ34" i="10"/>
  <c r="AX34" i="10"/>
  <c r="X34" i="10"/>
  <c r="X35" i="10" s="1"/>
  <c r="AK34" i="10"/>
  <c r="AW34" i="10"/>
  <c r="AV34" i="10"/>
  <c r="AT34" i="10"/>
  <c r="T34" i="10"/>
  <c r="AG34" i="10"/>
  <c r="AS34" i="10"/>
  <c r="AS35" i="10" s="1"/>
  <c r="AR34" i="10"/>
  <c r="AP34" i="10"/>
  <c r="AO34" i="10" s="1"/>
  <c r="AO35" i="10" s="1"/>
  <c r="P34" i="10"/>
  <c r="AC34" i="10"/>
  <c r="AN34" i="10"/>
  <c r="AL34" i="10"/>
  <c r="AL35" i="10" s="1"/>
  <c r="AJ34" i="10"/>
  <c r="AH34" i="10"/>
  <c r="AF34" i="10"/>
  <c r="AD34" i="10"/>
  <c r="D47" i="10" s="1"/>
  <c r="H56" i="9" s="1"/>
  <c r="Z34" i="10"/>
  <c r="Y34" i="10"/>
  <c r="Y35" i="10" s="1"/>
  <c r="V34" i="10"/>
  <c r="I45" i="10" s="1"/>
  <c r="G61" i="9" s="1"/>
  <c r="U34" i="10"/>
  <c r="S34" i="10"/>
  <c r="R34" i="10"/>
  <c r="CL33" i="10"/>
  <c r="BY33" i="10"/>
  <c r="BL33" i="10"/>
  <c r="AY33" i="10"/>
  <c r="AL33" i="10"/>
  <c r="Y33" i="10"/>
  <c r="L33" i="10"/>
  <c r="CL32" i="10"/>
  <c r="BY32" i="10"/>
  <c r="BL32" i="10"/>
  <c r="AY32" i="10"/>
  <c r="AL32" i="10"/>
  <c r="Y32" i="10"/>
  <c r="L32" i="10"/>
  <c r="CL31" i="10"/>
  <c r="BY31" i="10"/>
  <c r="BL31" i="10"/>
  <c r="AY31" i="10"/>
  <c r="AL31" i="10"/>
  <c r="Y31" i="10"/>
  <c r="L31" i="10"/>
  <c r="CL30" i="10"/>
  <c r="BY30" i="10"/>
  <c r="BL30" i="10"/>
  <c r="AY30" i="10"/>
  <c r="AL30" i="10"/>
  <c r="Y30" i="10"/>
  <c r="L30" i="10"/>
  <c r="CL29" i="10"/>
  <c r="CL28" i="10"/>
  <c r="BY28" i="10"/>
  <c r="BL28" i="10"/>
  <c r="AY28" i="10"/>
  <c r="AL28" i="10"/>
  <c r="Y28" i="10"/>
  <c r="L28" i="10"/>
  <c r="CL27" i="10"/>
  <c r="BY27" i="10"/>
  <c r="BL27" i="10"/>
  <c r="AY27" i="10"/>
  <c r="AL27" i="10"/>
  <c r="Y27" i="10"/>
  <c r="L27" i="10"/>
  <c r="CL26" i="10"/>
  <c r="BY26" i="10"/>
  <c r="BL26" i="10"/>
  <c r="AY26" i="10"/>
  <c r="AL26" i="10"/>
  <c r="Y26" i="10"/>
  <c r="L26" i="10"/>
  <c r="N23" i="10"/>
  <c r="M23" i="10"/>
  <c r="L23" i="10"/>
  <c r="K23" i="10"/>
  <c r="J23" i="10"/>
  <c r="I23" i="10"/>
  <c r="H23" i="10"/>
  <c r="G23" i="10"/>
  <c r="F23" i="10"/>
  <c r="E23" i="10"/>
  <c r="D23" i="10"/>
  <c r="C23" i="10"/>
  <c r="N22" i="10"/>
  <c r="M22" i="10"/>
  <c r="L22" i="10"/>
  <c r="K22" i="10"/>
  <c r="J22" i="10"/>
  <c r="I22" i="10"/>
  <c r="H22" i="10"/>
  <c r="G22" i="10"/>
  <c r="F22" i="10"/>
  <c r="E22" i="10"/>
  <c r="D22" i="10"/>
  <c r="C22" i="10"/>
  <c r="CL21" i="10"/>
  <c r="BY21" i="10"/>
  <c r="BL21" i="10"/>
  <c r="AY21" i="10"/>
  <c r="AL21" i="10"/>
  <c r="Y21" i="10"/>
  <c r="L21" i="10"/>
  <c r="CN12" i="10"/>
  <c r="CM12" i="10"/>
  <c r="CK12" i="10"/>
  <c r="CJ12" i="10"/>
  <c r="CI12" i="10"/>
  <c r="CH12" i="10"/>
  <c r="CG12" i="10"/>
  <c r="CF12" i="10"/>
  <c r="CE12" i="10"/>
  <c r="CB12" i="10" s="1"/>
  <c r="CD12" i="10"/>
  <c r="CC12" i="10"/>
  <c r="CA12" i="10"/>
  <c r="BZ12" i="10"/>
  <c r="M12" i="10" s="1"/>
  <c r="BX12" i="10"/>
  <c r="BW12" i="10"/>
  <c r="BV12" i="10"/>
  <c r="BU12" i="10"/>
  <c r="BT12" i="10"/>
  <c r="BS12" i="10"/>
  <c r="BR12" i="10"/>
  <c r="BQ12" i="10"/>
  <c r="BO12" i="10" s="1"/>
  <c r="BP12" i="10"/>
  <c r="BN12" i="10"/>
  <c r="BM12" i="10"/>
  <c r="BK12" i="10"/>
  <c r="BJ12" i="10"/>
  <c r="BI12" i="10"/>
  <c r="BH12" i="10"/>
  <c r="BG12" i="10"/>
  <c r="BF12" i="10"/>
  <c r="BE12" i="10"/>
  <c r="BD12" i="10"/>
  <c r="BC12" i="10"/>
  <c r="BA12" i="10"/>
  <c r="AZ12" i="10"/>
  <c r="AX12" i="10"/>
  <c r="AW12" i="10"/>
  <c r="AV12" i="10"/>
  <c r="AU12" i="10"/>
  <c r="AT12" i="10"/>
  <c r="AS12" i="10"/>
  <c r="AR12" i="10"/>
  <c r="AQ12" i="10"/>
  <c r="AP12" i="10"/>
  <c r="AN12" i="10"/>
  <c r="N12" i="10" s="1"/>
  <c r="AM12" i="10"/>
  <c r="AA12" i="10"/>
  <c r="Z12" i="10"/>
  <c r="CN8" i="10"/>
  <c r="CA8" i="10"/>
  <c r="BN8" i="10"/>
  <c r="BA8" i="10"/>
  <c r="AN8" i="10"/>
  <c r="N8" i="10" s="1"/>
  <c r="F105" i="9" s="1"/>
  <c r="C105" i="9" s="1"/>
  <c r="AA8" i="10"/>
  <c r="CN7" i="10"/>
  <c r="CM7" i="10"/>
  <c r="CA7" i="10"/>
  <c r="BZ7" i="10"/>
  <c r="BA7" i="10"/>
  <c r="AZ7" i="10"/>
  <c r="AN7" i="10"/>
  <c r="N7" i="10" s="1"/>
  <c r="AM7" i="10"/>
  <c r="Z7" i="10"/>
  <c r="AA7" i="10"/>
  <c r="CN5" i="10"/>
  <c r="CM5" i="10"/>
  <c r="CL5" i="10"/>
  <c r="CK5" i="10"/>
  <c r="CJ5" i="10"/>
  <c r="CI5" i="10"/>
  <c r="CH5" i="10"/>
  <c r="CG5" i="10"/>
  <c r="CF5" i="10"/>
  <c r="CE5" i="10"/>
  <c r="CD5" i="10"/>
  <c r="CC5" i="10"/>
  <c r="CA5" i="10"/>
  <c r="BZ5" i="10"/>
  <c r="BY5" i="10"/>
  <c r="BX5" i="10"/>
  <c r="BW5" i="10"/>
  <c r="BV5" i="10"/>
  <c r="BU5" i="10"/>
  <c r="BT5" i="10"/>
  <c r="BS5" i="10"/>
  <c r="BR5" i="10"/>
  <c r="BQ5" i="10"/>
  <c r="BP5" i="10"/>
  <c r="BN5" i="10"/>
  <c r="BM5" i="10"/>
  <c r="BL5" i="10"/>
  <c r="BK5" i="10"/>
  <c r="BJ5" i="10"/>
  <c r="BI5" i="10"/>
  <c r="BH5" i="10"/>
  <c r="BG5" i="10"/>
  <c r="BF5" i="10"/>
  <c r="BE5" i="10"/>
  <c r="BD5" i="10"/>
  <c r="BC5" i="10"/>
  <c r="BA5" i="10"/>
  <c r="AZ5" i="10"/>
  <c r="AY5" i="10"/>
  <c r="AX5" i="10"/>
  <c r="AW5" i="10"/>
  <c r="AV5" i="10"/>
  <c r="AU5" i="10"/>
  <c r="AT5" i="10"/>
  <c r="AS5" i="10"/>
  <c r="AR5" i="10"/>
  <c r="AQ5" i="10"/>
  <c r="AP5" i="10"/>
  <c r="AN5" i="10"/>
  <c r="AM5" i="10"/>
  <c r="AL5" i="10"/>
  <c r="AK5" i="10"/>
  <c r="AJ5" i="10"/>
  <c r="AI5" i="10"/>
  <c r="AH5" i="10"/>
  <c r="AG5" i="10"/>
  <c r="AF5" i="10"/>
  <c r="BB12" i="29" s="1"/>
  <c r="AE5" i="10"/>
  <c r="AD5" i="10"/>
  <c r="AC5" i="10"/>
  <c r="AA5" i="10"/>
  <c r="Z5" i="10"/>
  <c r="Y5" i="10"/>
  <c r="X5" i="10"/>
  <c r="W5" i="10"/>
  <c r="V5" i="10"/>
  <c r="U5" i="10"/>
  <c r="T5" i="10"/>
  <c r="S5" i="10"/>
  <c r="R5" i="10"/>
  <c r="Q5" i="10"/>
  <c r="P5" i="10"/>
  <c r="N5" i="10"/>
  <c r="N44" i="10" s="1"/>
  <c r="M5" i="10"/>
  <c r="L5" i="10"/>
  <c r="K5" i="10"/>
  <c r="K44" i="10" s="1"/>
  <c r="J5" i="10"/>
  <c r="J44" i="10" s="1"/>
  <c r="I5" i="10"/>
  <c r="I44" i="10" s="1"/>
  <c r="H5" i="10"/>
  <c r="H44" i="10" s="1"/>
  <c r="G5" i="10"/>
  <c r="G44" i="10" s="1"/>
  <c r="F5" i="10"/>
  <c r="F44" i="10" s="1"/>
  <c r="E5" i="10"/>
  <c r="D5" i="10"/>
  <c r="D44" i="10" s="1"/>
  <c r="C5" i="10"/>
  <c r="C44" i="10" s="1"/>
  <c r="L143" i="9"/>
  <c r="E142" i="9"/>
  <c r="D142" i="9"/>
  <c r="E141" i="9"/>
  <c r="D141" i="9"/>
  <c r="L140" i="9"/>
  <c r="K137" i="9"/>
  <c r="K142" i="9" s="1"/>
  <c r="F135" i="9"/>
  <c r="F134" i="9"/>
  <c r="C134" i="9" s="1"/>
  <c r="L129" i="9"/>
  <c r="L105" i="9"/>
  <c r="K105" i="9"/>
  <c r="J105" i="9"/>
  <c r="I105" i="9"/>
  <c r="H105" i="9"/>
  <c r="G105" i="9"/>
  <c r="C92" i="9"/>
  <c r="B92" i="9"/>
  <c r="B105" i="9" s="1"/>
  <c r="B118" i="9" s="1"/>
  <c r="B131" i="9" s="1"/>
  <c r="R91" i="9"/>
  <c r="Q91" i="9"/>
  <c r="P91" i="9"/>
  <c r="O91" i="9"/>
  <c r="N91" i="9"/>
  <c r="M91" i="9"/>
  <c r="C91" i="9"/>
  <c r="B91" i="9"/>
  <c r="B104" i="9" s="1"/>
  <c r="B117" i="9" s="1"/>
  <c r="B130" i="9" s="1"/>
  <c r="B90" i="9"/>
  <c r="B103" i="9" s="1"/>
  <c r="B116" i="9" s="1"/>
  <c r="B129" i="9" s="1"/>
  <c r="B89" i="9"/>
  <c r="B102" i="9" s="1"/>
  <c r="B115" i="9" s="1"/>
  <c r="B128" i="9" s="1"/>
  <c r="B88" i="9"/>
  <c r="B101" i="9" s="1"/>
  <c r="B114" i="9" s="1"/>
  <c r="B127" i="9" s="1"/>
  <c r="B87" i="9"/>
  <c r="B100" i="9" s="1"/>
  <c r="B113" i="9" s="1"/>
  <c r="B126" i="9" s="1"/>
  <c r="B86" i="9"/>
  <c r="B99" i="9" s="1"/>
  <c r="B112" i="9" s="1"/>
  <c r="B125" i="9" s="1"/>
  <c r="B85" i="9"/>
  <c r="B98" i="9" s="1"/>
  <c r="B111" i="9" s="1"/>
  <c r="B124" i="9" s="1"/>
  <c r="B84" i="9"/>
  <c r="B97" i="9" s="1"/>
  <c r="B110" i="9" s="1"/>
  <c r="B123" i="9" s="1"/>
  <c r="B83" i="9"/>
  <c r="B96" i="9" s="1"/>
  <c r="B109" i="9" s="1"/>
  <c r="B122" i="9" s="1"/>
  <c r="B82" i="9"/>
  <c r="B95" i="9" s="1"/>
  <c r="B108" i="9" s="1"/>
  <c r="B121" i="9" s="1"/>
  <c r="B81" i="9"/>
  <c r="B94" i="9" s="1"/>
  <c r="B107" i="9" s="1"/>
  <c r="B120" i="9" s="1"/>
  <c r="B66" i="9"/>
  <c r="B79" i="9" s="1"/>
  <c r="B65" i="9"/>
  <c r="B78" i="9" s="1"/>
  <c r="L64" i="9"/>
  <c r="K64" i="9"/>
  <c r="J64" i="9"/>
  <c r="I64" i="9"/>
  <c r="H64" i="9"/>
  <c r="G64" i="9"/>
  <c r="B64" i="9"/>
  <c r="B77" i="9" s="1"/>
  <c r="B63" i="9"/>
  <c r="B76" i="9" s="1"/>
  <c r="B62" i="9"/>
  <c r="B75" i="9" s="1"/>
  <c r="B61" i="9"/>
  <c r="B74" i="9" s="1"/>
  <c r="B60" i="9"/>
  <c r="B73" i="9" s="1"/>
  <c r="B59" i="9"/>
  <c r="B72" i="9" s="1"/>
  <c r="B58" i="9"/>
  <c r="B71" i="9" s="1"/>
  <c r="B57" i="9"/>
  <c r="B70" i="9" s="1"/>
  <c r="B56" i="9"/>
  <c r="B69" i="9" s="1"/>
  <c r="L55" i="9"/>
  <c r="B55" i="9"/>
  <c r="B68" i="9" s="1"/>
  <c r="F51" i="9"/>
  <c r="C51" i="9" s="1"/>
  <c r="E48" i="9"/>
  <c r="D48" i="9"/>
  <c r="B48" i="9"/>
  <c r="E47" i="9"/>
  <c r="D47" i="9"/>
  <c r="B47" i="9"/>
  <c r="E46" i="9"/>
  <c r="D46" i="9"/>
  <c r="B46" i="9"/>
  <c r="E45" i="9"/>
  <c r="D45" i="9"/>
  <c r="B45" i="9"/>
  <c r="E44" i="9"/>
  <c r="D44" i="9"/>
  <c r="B44" i="9"/>
  <c r="E43" i="9"/>
  <c r="D43" i="9"/>
  <c r="B43" i="9"/>
  <c r="E42" i="9"/>
  <c r="D42" i="9"/>
  <c r="B42" i="9"/>
  <c r="E41" i="9"/>
  <c r="D41" i="9"/>
  <c r="B41" i="9"/>
  <c r="E40" i="9"/>
  <c r="D40" i="9"/>
  <c r="B40" i="9"/>
  <c r="E39" i="9"/>
  <c r="D39" i="9"/>
  <c r="B39" i="9"/>
  <c r="E38" i="9"/>
  <c r="D38" i="9"/>
  <c r="B38" i="9"/>
  <c r="B36" i="9"/>
  <c r="B35" i="9"/>
  <c r="B34" i="9"/>
  <c r="B33" i="9"/>
  <c r="B32" i="9"/>
  <c r="B31" i="9"/>
  <c r="B30" i="9"/>
  <c r="B29" i="9"/>
  <c r="B28" i="9"/>
  <c r="B27" i="9"/>
  <c r="B26" i="9"/>
  <c r="B25" i="9"/>
  <c r="E24" i="9"/>
  <c r="E11" i="9"/>
  <c r="D24" i="9"/>
  <c r="D11" i="9"/>
  <c r="B23" i="9"/>
  <c r="B22" i="9"/>
  <c r="L21" i="9"/>
  <c r="K21" i="9"/>
  <c r="J21" i="9"/>
  <c r="I21" i="9"/>
  <c r="G21" i="9"/>
  <c r="H21" i="9"/>
  <c r="B21" i="9"/>
  <c r="B20" i="9"/>
  <c r="B19" i="9"/>
  <c r="B18" i="9"/>
  <c r="B17" i="9"/>
  <c r="B16" i="9"/>
  <c r="B15" i="9"/>
  <c r="B14" i="9"/>
  <c r="B13" i="9"/>
  <c r="B12" i="9"/>
  <c r="F9" i="9"/>
  <c r="C9" i="9" s="1"/>
  <c r="F5" i="9"/>
  <c r="C5" i="9" s="1"/>
  <c r="E17" i="2" s="1"/>
  <c r="G2" i="9"/>
  <c r="B1" i="9"/>
  <c r="B213" i="8"/>
  <c r="B212" i="8"/>
  <c r="C211" i="8"/>
  <c r="B211" i="8"/>
  <c r="B210" i="8"/>
  <c r="B209" i="8"/>
  <c r="B208" i="8"/>
  <c r="B207" i="8"/>
  <c r="B206" i="8"/>
  <c r="B205" i="8"/>
  <c r="B204" i="8"/>
  <c r="B203" i="8"/>
  <c r="B202" i="8"/>
  <c r="B200" i="8"/>
  <c r="B199" i="8"/>
  <c r="C198" i="8"/>
  <c r="B198" i="8"/>
  <c r="B197" i="8"/>
  <c r="B196" i="8"/>
  <c r="B195" i="8"/>
  <c r="B194" i="8"/>
  <c r="B193" i="8"/>
  <c r="B192" i="8"/>
  <c r="B191" i="8"/>
  <c r="B190" i="8"/>
  <c r="B189" i="8"/>
  <c r="C187" i="8"/>
  <c r="B187" i="8"/>
  <c r="C186" i="8"/>
  <c r="B186" i="8"/>
  <c r="C185" i="8"/>
  <c r="B185" i="8"/>
  <c r="C184" i="8"/>
  <c r="B184" i="8"/>
  <c r="C183" i="8"/>
  <c r="B183" i="8"/>
  <c r="C182" i="8"/>
  <c r="B182" i="8"/>
  <c r="C181" i="8"/>
  <c r="B181" i="8"/>
  <c r="C180" i="8"/>
  <c r="B180" i="8"/>
  <c r="C179" i="8"/>
  <c r="B179" i="8"/>
  <c r="C178" i="8"/>
  <c r="B178" i="8"/>
  <c r="C177" i="8"/>
  <c r="B177" i="8"/>
  <c r="C176" i="8"/>
  <c r="B176" i="8"/>
  <c r="C175" i="8"/>
  <c r="B174" i="8"/>
  <c r="B173" i="8"/>
  <c r="B172" i="8"/>
  <c r="B171" i="8"/>
  <c r="B170" i="8"/>
  <c r="B169" i="8"/>
  <c r="B168" i="8"/>
  <c r="B167" i="8"/>
  <c r="B166" i="8"/>
  <c r="B165" i="8"/>
  <c r="B164" i="8"/>
  <c r="B163" i="8"/>
  <c r="C161" i="8"/>
  <c r="B161" i="8"/>
  <c r="C160" i="8"/>
  <c r="B160" i="8"/>
  <c r="B159" i="8"/>
  <c r="B158" i="8"/>
  <c r="B157" i="8"/>
  <c r="B156" i="8"/>
  <c r="B155" i="8"/>
  <c r="B154" i="8"/>
  <c r="B153" i="8"/>
  <c r="B152" i="8"/>
  <c r="B151" i="8"/>
  <c r="B150" i="8"/>
  <c r="B148" i="8"/>
  <c r="B147" i="8"/>
  <c r="B146" i="8"/>
  <c r="B145" i="8"/>
  <c r="B144" i="8"/>
  <c r="B143" i="8"/>
  <c r="B142" i="8"/>
  <c r="B141" i="8"/>
  <c r="B140" i="8"/>
  <c r="B139" i="8"/>
  <c r="B138" i="8"/>
  <c r="B137" i="8"/>
  <c r="B135" i="8"/>
  <c r="B134" i="8"/>
  <c r="B133" i="8"/>
  <c r="B132" i="8"/>
  <c r="B131" i="8"/>
  <c r="B130" i="8"/>
  <c r="B129" i="8"/>
  <c r="B128" i="8"/>
  <c r="B127" i="8"/>
  <c r="B126" i="8"/>
  <c r="B125" i="8"/>
  <c r="B124" i="8"/>
  <c r="C122" i="8"/>
  <c r="B122" i="8"/>
  <c r="C121" i="8"/>
  <c r="B121" i="8"/>
  <c r="B120" i="8"/>
  <c r="C119" i="8"/>
  <c r="B119" i="8"/>
  <c r="C118" i="8"/>
  <c r="B118" i="8"/>
  <c r="C117" i="8"/>
  <c r="B117" i="8"/>
  <c r="C116" i="8"/>
  <c r="B116" i="8"/>
  <c r="C115" i="8"/>
  <c r="B115" i="8"/>
  <c r="C114" i="8"/>
  <c r="B114" i="8"/>
  <c r="C113" i="8"/>
  <c r="B113" i="8"/>
  <c r="C112" i="8"/>
  <c r="B112" i="8"/>
  <c r="C111" i="8"/>
  <c r="B111" i="8"/>
  <c r="C110" i="8"/>
  <c r="B109" i="8"/>
  <c r="B108" i="8"/>
  <c r="B107" i="8"/>
  <c r="B106" i="8"/>
  <c r="B105" i="8"/>
  <c r="B104" i="8"/>
  <c r="B103" i="8"/>
  <c r="B102" i="8"/>
  <c r="B101" i="8"/>
  <c r="B100" i="8"/>
  <c r="B99" i="8"/>
  <c r="B98" i="8"/>
  <c r="B96" i="8"/>
  <c r="B95" i="8"/>
  <c r="B94" i="8"/>
  <c r="B93" i="8"/>
  <c r="B92" i="8"/>
  <c r="B91" i="8"/>
  <c r="B90" i="8"/>
  <c r="B89" i="8"/>
  <c r="B88" i="8"/>
  <c r="B87" i="8"/>
  <c r="B86" i="8"/>
  <c r="B85" i="8"/>
  <c r="B83" i="8"/>
  <c r="B82" i="8"/>
  <c r="B81" i="8"/>
  <c r="B80" i="8"/>
  <c r="B79" i="8"/>
  <c r="B78" i="8"/>
  <c r="B77" i="8"/>
  <c r="B76" i="8"/>
  <c r="B75" i="8"/>
  <c r="B74" i="8"/>
  <c r="B73" i="8"/>
  <c r="B72" i="8"/>
  <c r="B70" i="8"/>
  <c r="B69" i="8"/>
  <c r="B68" i="8"/>
  <c r="B67" i="8"/>
  <c r="B66" i="8"/>
  <c r="B65" i="8"/>
  <c r="B64" i="8"/>
  <c r="B63" i="8"/>
  <c r="B62" i="8"/>
  <c r="B61" i="8"/>
  <c r="B60" i="8"/>
  <c r="B59" i="8"/>
  <c r="B57" i="8"/>
  <c r="B56" i="8"/>
  <c r="B55" i="8"/>
  <c r="B54" i="8"/>
  <c r="B53" i="8"/>
  <c r="B52" i="8"/>
  <c r="B51" i="8"/>
  <c r="B50" i="8"/>
  <c r="B49" i="8"/>
  <c r="B48" i="8"/>
  <c r="B47" i="8"/>
  <c r="B46" i="8"/>
  <c r="B44" i="8"/>
  <c r="B43" i="8"/>
  <c r="B42" i="8"/>
  <c r="B41" i="8"/>
  <c r="B40" i="8"/>
  <c r="B39" i="8"/>
  <c r="B38" i="8"/>
  <c r="B37" i="8"/>
  <c r="B36" i="8"/>
  <c r="B35" i="8"/>
  <c r="B34" i="8"/>
  <c r="B33" i="8"/>
  <c r="B31" i="8"/>
  <c r="B30" i="8"/>
  <c r="B29" i="8"/>
  <c r="B28" i="8"/>
  <c r="B27" i="8"/>
  <c r="B26" i="8"/>
  <c r="B25" i="8"/>
  <c r="B24" i="8"/>
  <c r="B23" i="8"/>
  <c r="B22" i="8"/>
  <c r="B21" i="8"/>
  <c r="B20" i="8"/>
  <c r="B18" i="8"/>
  <c r="B17" i="8"/>
  <c r="B16" i="8"/>
  <c r="B15" i="8"/>
  <c r="B14" i="8"/>
  <c r="B13" i="8"/>
  <c r="B12" i="8"/>
  <c r="B11" i="8"/>
  <c r="B10" i="8"/>
  <c r="B9" i="8"/>
  <c r="B8" i="8"/>
  <c r="B7" i="8"/>
  <c r="B134" i="7"/>
  <c r="B133" i="7"/>
  <c r="B132" i="7"/>
  <c r="B131" i="7"/>
  <c r="B130" i="7"/>
  <c r="B129" i="7"/>
  <c r="AU128" i="7"/>
  <c r="AT128" i="7"/>
  <c r="AS128" i="7"/>
  <c r="AR128" i="7"/>
  <c r="AQ128" i="7"/>
  <c r="AP128" i="7"/>
  <c r="AO128" i="7"/>
  <c r="AN128" i="7"/>
  <c r="AM128" i="7"/>
  <c r="AL128" i="7"/>
  <c r="AK128" i="7"/>
  <c r="AJ128" i="7"/>
  <c r="AI128" i="7"/>
  <c r="AH128" i="7"/>
  <c r="AG128" i="7"/>
  <c r="AF128" i="7"/>
  <c r="AE128" i="7"/>
  <c r="AD128" i="7"/>
  <c r="AC128" i="7"/>
  <c r="AB128" i="7"/>
  <c r="AA128" i="7"/>
  <c r="Z128" i="7"/>
  <c r="Y128" i="7"/>
  <c r="X128" i="7"/>
  <c r="W128" i="7"/>
  <c r="V128" i="7"/>
  <c r="U128" i="7"/>
  <c r="T128" i="7"/>
  <c r="S128" i="7"/>
  <c r="R128" i="7"/>
  <c r="Q128" i="7"/>
  <c r="P128" i="7"/>
  <c r="O128" i="7"/>
  <c r="N128" i="7"/>
  <c r="M128" i="7"/>
  <c r="L128" i="7"/>
  <c r="K128" i="7"/>
  <c r="J128" i="7"/>
  <c r="I128" i="7"/>
  <c r="H128" i="7"/>
  <c r="G128" i="7"/>
  <c r="F128" i="7"/>
  <c r="E128" i="7"/>
  <c r="D128" i="7"/>
  <c r="C126" i="7"/>
  <c r="B126" i="7"/>
  <c r="A126" i="7"/>
  <c r="D116" i="7"/>
  <c r="M110" i="7"/>
  <c r="M106" i="7"/>
  <c r="M107" i="7" s="1"/>
  <c r="N98" i="7"/>
  <c r="O97" i="7"/>
  <c r="I18" i="8" s="1"/>
  <c r="N97" i="7"/>
  <c r="I17" i="8" s="1"/>
  <c r="I56" i="8" s="1"/>
  <c r="L97" i="7"/>
  <c r="I15" i="8" s="1"/>
  <c r="K97" i="7"/>
  <c r="I14" i="8" s="1"/>
  <c r="I79" i="8" s="1"/>
  <c r="J97" i="7"/>
  <c r="I13" i="8" s="1"/>
  <c r="I52" i="8" s="1"/>
  <c r="I97" i="7"/>
  <c r="I12" i="8" s="1"/>
  <c r="H97" i="7"/>
  <c r="I11" i="8" s="1"/>
  <c r="G97" i="7"/>
  <c r="I10" i="8" s="1"/>
  <c r="F97" i="7"/>
  <c r="I9" i="8" s="1"/>
  <c r="I87" i="8" s="1"/>
  <c r="E97" i="7"/>
  <c r="D97" i="7"/>
  <c r="I7" i="8" s="1"/>
  <c r="I72" i="8" s="1"/>
  <c r="R95" i="7"/>
  <c r="O95" i="7"/>
  <c r="O110" i="7" s="1"/>
  <c r="N95" i="7"/>
  <c r="N110" i="7" s="1"/>
  <c r="L95" i="7"/>
  <c r="L110" i="7" s="1"/>
  <c r="K95" i="7"/>
  <c r="K110" i="7" s="1"/>
  <c r="J95" i="7"/>
  <c r="J107" i="7" s="1"/>
  <c r="J108" i="7" s="1"/>
  <c r="I95" i="7"/>
  <c r="H95" i="7"/>
  <c r="G95" i="7"/>
  <c r="F95" i="7"/>
  <c r="E95" i="7"/>
  <c r="D95" i="7"/>
  <c r="M92" i="7"/>
  <c r="M88" i="7"/>
  <c r="M89" i="7" s="1"/>
  <c r="M90" i="7" s="1"/>
  <c r="M91" i="7" s="1"/>
  <c r="O80" i="7"/>
  <c r="N80" i="7"/>
  <c r="O79" i="7"/>
  <c r="H18" i="8" s="1"/>
  <c r="N79" i="7"/>
  <c r="H17" i="8" s="1"/>
  <c r="L79" i="7"/>
  <c r="H15" i="8" s="1"/>
  <c r="H80" i="8" s="1"/>
  <c r="K79" i="7"/>
  <c r="H14" i="8" s="1"/>
  <c r="H92" i="8" s="1"/>
  <c r="J79" i="7"/>
  <c r="H13" i="8" s="1"/>
  <c r="H78" i="8" s="1"/>
  <c r="I79" i="7"/>
  <c r="H12" i="8" s="1"/>
  <c r="H79" i="7"/>
  <c r="H11" i="8" s="1"/>
  <c r="G79" i="7"/>
  <c r="H10" i="8" s="1"/>
  <c r="H49" i="8" s="1"/>
  <c r="F79" i="7"/>
  <c r="E79" i="7"/>
  <c r="H8" i="8" s="1"/>
  <c r="H47" i="8" s="1"/>
  <c r="D79" i="7"/>
  <c r="R77" i="7"/>
  <c r="O77" i="7"/>
  <c r="O92" i="7" s="1"/>
  <c r="N77" i="7"/>
  <c r="N92" i="7" s="1"/>
  <c r="L77" i="7"/>
  <c r="L92" i="7" s="1"/>
  <c r="K77" i="7"/>
  <c r="K92" i="7" s="1"/>
  <c r="J77" i="7"/>
  <c r="J89" i="7" s="1"/>
  <c r="J90" i="7" s="1"/>
  <c r="I77" i="7"/>
  <c r="H77" i="7"/>
  <c r="G77" i="7"/>
  <c r="F77" i="7"/>
  <c r="E77" i="7"/>
  <c r="D77" i="7"/>
  <c r="M74" i="7"/>
  <c r="M70" i="7"/>
  <c r="M71" i="7" s="1"/>
  <c r="O62" i="7"/>
  <c r="N62" i="7"/>
  <c r="O61" i="7"/>
  <c r="G18" i="8" s="1"/>
  <c r="N61" i="7"/>
  <c r="G17" i="8" s="1"/>
  <c r="G82" i="8" s="1"/>
  <c r="L61" i="7"/>
  <c r="G15" i="8" s="1"/>
  <c r="G80" i="8" s="1"/>
  <c r="K61" i="7"/>
  <c r="G14" i="8" s="1"/>
  <c r="J61" i="7"/>
  <c r="G13" i="8" s="1"/>
  <c r="G78" i="8" s="1"/>
  <c r="I61" i="7"/>
  <c r="G12" i="8" s="1"/>
  <c r="H61" i="7"/>
  <c r="G11" i="8" s="1"/>
  <c r="G61" i="7"/>
  <c r="G10" i="8" s="1"/>
  <c r="G75" i="8" s="1"/>
  <c r="F61" i="7"/>
  <c r="G9" i="8" s="1"/>
  <c r="E61" i="7"/>
  <c r="D61" i="7"/>
  <c r="G7" i="8" s="1"/>
  <c r="R59" i="7"/>
  <c r="O59" i="7"/>
  <c r="O74" i="7" s="1"/>
  <c r="N59" i="7"/>
  <c r="N74" i="7" s="1"/>
  <c r="L59" i="7"/>
  <c r="L74" i="7" s="1"/>
  <c r="K59" i="7"/>
  <c r="K74" i="7" s="1"/>
  <c r="J59" i="7"/>
  <c r="I59" i="7"/>
  <c r="H59" i="7"/>
  <c r="G59" i="7"/>
  <c r="F59" i="7"/>
  <c r="E59" i="7"/>
  <c r="D59" i="7"/>
  <c r="M56" i="7"/>
  <c r="M52" i="7"/>
  <c r="M53" i="7" s="1"/>
  <c r="M54" i="7" s="1"/>
  <c r="O44" i="7"/>
  <c r="N44" i="7"/>
  <c r="O43" i="7"/>
  <c r="F18" i="8" s="1"/>
  <c r="N43" i="7"/>
  <c r="F17" i="8" s="1"/>
  <c r="F95" i="8" s="1"/>
  <c r="L43" i="7"/>
  <c r="F15" i="8" s="1"/>
  <c r="F80" i="8" s="1"/>
  <c r="K43" i="7"/>
  <c r="F14" i="8" s="1"/>
  <c r="J43" i="7"/>
  <c r="F13" i="8" s="1"/>
  <c r="I43" i="7"/>
  <c r="F12" i="8" s="1"/>
  <c r="H43" i="7"/>
  <c r="F11" i="8" s="1"/>
  <c r="G43" i="7"/>
  <c r="F10" i="8" s="1"/>
  <c r="F49" i="8" s="1"/>
  <c r="F43" i="7"/>
  <c r="F9" i="8" s="1"/>
  <c r="E43" i="7"/>
  <c r="F8" i="8" s="1"/>
  <c r="D43" i="7"/>
  <c r="R41" i="7"/>
  <c r="O41" i="7"/>
  <c r="O56" i="7" s="1"/>
  <c r="N41" i="7"/>
  <c r="N56" i="7" s="1"/>
  <c r="L41" i="7"/>
  <c r="L56" i="7" s="1"/>
  <c r="K41" i="7"/>
  <c r="K56" i="7" s="1"/>
  <c r="J41" i="7"/>
  <c r="J53" i="7" s="1"/>
  <c r="J54" i="7" s="1"/>
  <c r="I41" i="7"/>
  <c r="H41" i="7"/>
  <c r="G41" i="7"/>
  <c r="F41" i="7"/>
  <c r="E41" i="7"/>
  <c r="D41" i="7"/>
  <c r="M38" i="7"/>
  <c r="M34" i="7"/>
  <c r="M35" i="7" s="1"/>
  <c r="M36" i="7" s="1"/>
  <c r="O26" i="7"/>
  <c r="N26" i="7"/>
  <c r="O25" i="7"/>
  <c r="E18" i="8" s="1"/>
  <c r="E57" i="8" s="1"/>
  <c r="N25" i="7"/>
  <c r="E17" i="8" s="1"/>
  <c r="L25" i="7"/>
  <c r="E15" i="8" s="1"/>
  <c r="K25" i="7"/>
  <c r="E14" i="8" s="1"/>
  <c r="E53" i="8" s="1"/>
  <c r="J25" i="7"/>
  <c r="E13" i="8" s="1"/>
  <c r="I25" i="7"/>
  <c r="E12" i="8" s="1"/>
  <c r="E77" i="8" s="1"/>
  <c r="H25" i="7"/>
  <c r="E11" i="8" s="1"/>
  <c r="G25" i="7"/>
  <c r="E10" i="8" s="1"/>
  <c r="F25" i="7"/>
  <c r="E9" i="8" s="1"/>
  <c r="E25" i="7"/>
  <c r="E8" i="8" s="1"/>
  <c r="E47" i="8" s="1"/>
  <c r="D25" i="7"/>
  <c r="R23" i="7"/>
  <c r="O23" i="7"/>
  <c r="O38" i="7" s="1"/>
  <c r="N23" i="7"/>
  <c r="N38" i="7" s="1"/>
  <c r="L23" i="7"/>
  <c r="L38" i="7" s="1"/>
  <c r="K23" i="7"/>
  <c r="K38" i="7" s="1"/>
  <c r="J23" i="7"/>
  <c r="I23" i="7"/>
  <c r="H23" i="7"/>
  <c r="G23" i="7"/>
  <c r="G38" i="7" s="1"/>
  <c r="F23" i="7"/>
  <c r="E23" i="7"/>
  <c r="D23" i="7"/>
  <c r="D38" i="7" s="1"/>
  <c r="M20" i="7"/>
  <c r="M16" i="7"/>
  <c r="M17" i="7" s="1"/>
  <c r="O8" i="7"/>
  <c r="N8" i="7"/>
  <c r="O7" i="7"/>
  <c r="D18" i="8" s="1"/>
  <c r="D57" i="8" s="1"/>
  <c r="N7" i="7"/>
  <c r="D17" i="8" s="1"/>
  <c r="D95" i="8" s="1"/>
  <c r="L7" i="7"/>
  <c r="D15" i="8" s="1"/>
  <c r="D54" i="8" s="1"/>
  <c r="K7" i="7"/>
  <c r="D14" i="8" s="1"/>
  <c r="D79" i="8" s="1"/>
  <c r="J7" i="7"/>
  <c r="D13" i="8" s="1"/>
  <c r="D91" i="8" s="1"/>
  <c r="I7" i="7"/>
  <c r="D12" i="8" s="1"/>
  <c r="H7" i="7"/>
  <c r="D11" i="8" s="1"/>
  <c r="D50" i="8" s="1"/>
  <c r="G7" i="7"/>
  <c r="D10" i="8" s="1"/>
  <c r="D75" i="8" s="1"/>
  <c r="F7" i="7"/>
  <c r="D9" i="8" s="1"/>
  <c r="D48" i="8" s="1"/>
  <c r="E7" i="7"/>
  <c r="D8" i="8" s="1"/>
  <c r="D47" i="8" s="1"/>
  <c r="D7" i="7"/>
  <c r="D7" i="8" s="1"/>
  <c r="O6" i="7"/>
  <c r="O24" i="7" s="1"/>
  <c r="O42" i="7" s="1"/>
  <c r="O60" i="7" s="1"/>
  <c r="O78" i="7" s="1"/>
  <c r="O96" i="7" s="1"/>
  <c r="N6" i="7"/>
  <c r="N24" i="7" s="1"/>
  <c r="N42" i="7" s="1"/>
  <c r="N60" i="7" s="1"/>
  <c r="N78" i="7" s="1"/>
  <c r="N96" i="7" s="1"/>
  <c r="M6" i="7"/>
  <c r="M24" i="7" s="1"/>
  <c r="M42" i="7" s="1"/>
  <c r="M60" i="7" s="1"/>
  <c r="M78" i="7" s="1"/>
  <c r="M96" i="7" s="1"/>
  <c r="L6" i="7"/>
  <c r="L24" i="7" s="1"/>
  <c r="L42" i="7" s="1"/>
  <c r="L60" i="7" s="1"/>
  <c r="L78" i="7" s="1"/>
  <c r="L96" i="7" s="1"/>
  <c r="K6" i="7"/>
  <c r="K24" i="7" s="1"/>
  <c r="K42" i="7" s="1"/>
  <c r="K60" i="7" s="1"/>
  <c r="K78" i="7" s="1"/>
  <c r="K96" i="7" s="1"/>
  <c r="J6" i="7"/>
  <c r="J24" i="7" s="1"/>
  <c r="J42" i="7" s="1"/>
  <c r="J60" i="7" s="1"/>
  <c r="J78" i="7" s="1"/>
  <c r="J96" i="7" s="1"/>
  <c r="I6" i="7"/>
  <c r="I24" i="7" s="1"/>
  <c r="I42" i="7" s="1"/>
  <c r="I60" i="7" s="1"/>
  <c r="I78" i="7" s="1"/>
  <c r="I96" i="7" s="1"/>
  <c r="H6" i="7"/>
  <c r="H24" i="7" s="1"/>
  <c r="H42" i="7" s="1"/>
  <c r="H60" i="7" s="1"/>
  <c r="H78" i="7" s="1"/>
  <c r="H96" i="7" s="1"/>
  <c r="G6" i="7"/>
  <c r="G24" i="7" s="1"/>
  <c r="G42" i="7" s="1"/>
  <c r="G60" i="7" s="1"/>
  <c r="G78" i="7" s="1"/>
  <c r="G96" i="7" s="1"/>
  <c r="F6" i="7"/>
  <c r="F24" i="7" s="1"/>
  <c r="F42" i="7" s="1"/>
  <c r="F60" i="7" s="1"/>
  <c r="F78" i="7" s="1"/>
  <c r="F96" i="7" s="1"/>
  <c r="E6" i="7"/>
  <c r="E24" i="7" s="1"/>
  <c r="E42" i="7" s="1"/>
  <c r="E60" i="7" s="1"/>
  <c r="E78" i="7" s="1"/>
  <c r="E96" i="7" s="1"/>
  <c r="D6" i="7"/>
  <c r="D24" i="7" s="1"/>
  <c r="D42" i="7" s="1"/>
  <c r="D60" i="7" s="1"/>
  <c r="D78" i="7" s="1"/>
  <c r="D96" i="7" s="1"/>
  <c r="R5" i="7"/>
  <c r="R9" i="7" s="1"/>
  <c r="O5" i="7"/>
  <c r="O20" i="7" s="1"/>
  <c r="N5" i="7"/>
  <c r="L5" i="7"/>
  <c r="L20" i="7" s="1"/>
  <c r="K5" i="7"/>
  <c r="K20" i="7" s="1"/>
  <c r="J5" i="7"/>
  <c r="J17" i="7" s="1"/>
  <c r="J18" i="7" s="1"/>
  <c r="I5" i="7"/>
  <c r="I17" i="7" s="1"/>
  <c r="I18" i="7" s="1"/>
  <c r="H5" i="7"/>
  <c r="G5" i="7"/>
  <c r="F5" i="7"/>
  <c r="P79" i="7" s="1"/>
  <c r="P92" i="7" s="1"/>
  <c r="E5" i="7"/>
  <c r="D5" i="7"/>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M24" i="6"/>
  <c r="L24" i="6"/>
  <c r="K24" i="6"/>
  <c r="J24" i="6"/>
  <c r="I24" i="6"/>
  <c r="H24" i="6"/>
  <c r="G24" i="6"/>
  <c r="F24" i="6"/>
  <c r="E24" i="6"/>
  <c r="D24" i="6"/>
  <c r="C24" i="6"/>
  <c r="B24" i="6"/>
  <c r="N22" i="6"/>
  <c r="M22" i="6"/>
  <c r="CN21" i="6"/>
  <c r="CM21" i="6"/>
  <c r="CL21" i="6"/>
  <c r="CK21" i="6"/>
  <c r="CJ21" i="6"/>
  <c r="CI21" i="6"/>
  <c r="CH21" i="6"/>
  <c r="CG21" i="6"/>
  <c r="CF21" i="6"/>
  <c r="CE21" i="6"/>
  <c r="CD21" i="6"/>
  <c r="CC21" i="6"/>
  <c r="CB21" i="6"/>
  <c r="CA21" i="6"/>
  <c r="BZ21" i="6"/>
  <c r="BY21" i="6"/>
  <c r="BX21" i="6"/>
  <c r="BW21" i="6"/>
  <c r="BV21" i="6"/>
  <c r="BU21" i="6"/>
  <c r="BT21" i="6"/>
  <c r="BS21" i="6"/>
  <c r="BR21" i="6"/>
  <c r="BQ21" i="6"/>
  <c r="BP21" i="6"/>
  <c r="BO21" i="6"/>
  <c r="BN21" i="6"/>
  <c r="BM21" i="6"/>
  <c r="BL21" i="6"/>
  <c r="BK21" i="6"/>
  <c r="BJ21" i="6"/>
  <c r="BI21" i="6"/>
  <c r="BH21" i="6"/>
  <c r="BG21" i="6"/>
  <c r="BF21" i="6"/>
  <c r="BE21" i="6"/>
  <c r="BD21" i="6"/>
  <c r="BC21" i="6"/>
  <c r="BB21" i="6"/>
  <c r="BA21" i="6"/>
  <c r="AZ21" i="6"/>
  <c r="AY21" i="6"/>
  <c r="AX21" i="6"/>
  <c r="AW21" i="6"/>
  <c r="AV21" i="6"/>
  <c r="AU21" i="6"/>
  <c r="AT21" i="6"/>
  <c r="AS21" i="6"/>
  <c r="AR21" i="6"/>
  <c r="AQ21" i="6"/>
  <c r="AP21" i="6"/>
  <c r="AO21" i="6"/>
  <c r="AN21" i="6"/>
  <c r="AM21" i="6"/>
  <c r="AL21" i="6"/>
  <c r="AK21" i="6"/>
  <c r="AJ21" i="6"/>
  <c r="AI21" i="6"/>
  <c r="AH21" i="6"/>
  <c r="AG21" i="6"/>
  <c r="AF21" i="6"/>
  <c r="AE21" i="6"/>
  <c r="AD21" i="6"/>
  <c r="AC21" i="6"/>
  <c r="AB21" i="6"/>
  <c r="AA21" i="6"/>
  <c r="Z21" i="6"/>
  <c r="Y21" i="6"/>
  <c r="X21" i="6"/>
  <c r="W21" i="6"/>
  <c r="V21" i="6"/>
  <c r="U21" i="6"/>
  <c r="T21" i="6"/>
  <c r="S21" i="6"/>
  <c r="R21" i="6"/>
  <c r="Q21" i="6"/>
  <c r="P21" i="6"/>
  <c r="O21" i="6"/>
  <c r="N21" i="6"/>
  <c r="M21" i="6"/>
  <c r="L21" i="6"/>
  <c r="K21" i="6"/>
  <c r="J21" i="6"/>
  <c r="I21" i="6"/>
  <c r="H21" i="6"/>
  <c r="G21" i="6"/>
  <c r="F21" i="6"/>
  <c r="E21" i="6"/>
  <c r="D21" i="6"/>
  <c r="C21" i="6"/>
  <c r="B21" i="6"/>
  <c r="L19" i="6"/>
  <c r="CN17" i="6"/>
  <c r="CM17" i="6"/>
  <c r="CK17" i="6"/>
  <c r="CJ17" i="6"/>
  <c r="CI17" i="6"/>
  <c r="CH17" i="6"/>
  <c r="CG17" i="6"/>
  <c r="CF17" i="6"/>
  <c r="CE17" i="6"/>
  <c r="CD17" i="6"/>
  <c r="CC17" i="6"/>
  <c r="CA17" i="6"/>
  <c r="BZ17" i="6"/>
  <c r="BX17" i="6"/>
  <c r="BW17" i="6"/>
  <c r="BV17" i="6"/>
  <c r="BU17" i="6"/>
  <c r="BT17" i="6"/>
  <c r="BS17" i="6"/>
  <c r="BR17" i="6"/>
  <c r="BQ17" i="6"/>
  <c r="BP17" i="6"/>
  <c r="BN17" i="6"/>
  <c r="BM17" i="6"/>
  <c r="BL17" i="6"/>
  <c r="BK17" i="6"/>
  <c r="BJ17" i="6"/>
  <c r="BI17" i="6"/>
  <c r="BH17" i="6"/>
  <c r="BG17" i="6"/>
  <c r="BF17" i="6"/>
  <c r="BE17" i="6"/>
  <c r="BD17" i="6"/>
  <c r="BC17" i="6"/>
  <c r="BA17" i="6"/>
  <c r="AZ17" i="6"/>
  <c r="AY17" i="6"/>
  <c r="AX17" i="6"/>
  <c r="AW17" i="6"/>
  <c r="AV17" i="6"/>
  <c r="AU17" i="6"/>
  <c r="AT17" i="6"/>
  <c r="AS17" i="6"/>
  <c r="AR17" i="6"/>
  <c r="AQ17" i="6"/>
  <c r="AP17" i="6"/>
  <c r="AN17" i="6"/>
  <c r="AM17" i="6"/>
  <c r="AK17" i="6"/>
  <c r="AJ17" i="6"/>
  <c r="AI17" i="6"/>
  <c r="AH17" i="6"/>
  <c r="AG17" i="6"/>
  <c r="AF17" i="6"/>
  <c r="AE17" i="6"/>
  <c r="AD17" i="6"/>
  <c r="AC17" i="6"/>
  <c r="AA17" i="6"/>
  <c r="Z17" i="6"/>
  <c r="X17" i="6"/>
  <c r="W17" i="6"/>
  <c r="V17" i="6"/>
  <c r="U17" i="6"/>
  <c r="T17" i="6"/>
  <c r="S17" i="6"/>
  <c r="R17" i="6"/>
  <c r="Q17" i="6"/>
  <c r="P17" i="6"/>
  <c r="CN16" i="6"/>
  <c r="CM16" i="6"/>
  <c r="CK16" i="6"/>
  <c r="CJ16" i="6"/>
  <c r="CI16" i="6"/>
  <c r="CH16" i="6"/>
  <c r="CG16" i="6"/>
  <c r="CF16" i="6"/>
  <c r="CE16" i="6"/>
  <c r="CD16" i="6"/>
  <c r="CC16" i="6"/>
  <c r="CA16" i="6"/>
  <c r="BZ16" i="6"/>
  <c r="BX16" i="6"/>
  <c r="BW16" i="6"/>
  <c r="BV16" i="6"/>
  <c r="BU16" i="6"/>
  <c r="BT16" i="6"/>
  <c r="BS16" i="6"/>
  <c r="BR16" i="6"/>
  <c r="BQ16" i="6"/>
  <c r="BP16" i="6"/>
  <c r="BN16" i="6"/>
  <c r="BM16" i="6"/>
  <c r="BK16" i="6"/>
  <c r="BJ16" i="6"/>
  <c r="BI16" i="6"/>
  <c r="BH16" i="6"/>
  <c r="BG16" i="6"/>
  <c r="BF16" i="6"/>
  <c r="BE16" i="6"/>
  <c r="BD16" i="6"/>
  <c r="Q16" i="6"/>
  <c r="AD16" i="6"/>
  <c r="AB16" i="6" s="1"/>
  <c r="AQ16" i="6"/>
  <c r="BC16" i="6"/>
  <c r="BA16" i="6"/>
  <c r="AZ16" i="6"/>
  <c r="AX16" i="6"/>
  <c r="AW16" i="6"/>
  <c r="AV16" i="6"/>
  <c r="AU16" i="6"/>
  <c r="AT16" i="6"/>
  <c r="AS16" i="6"/>
  <c r="AR16" i="6"/>
  <c r="AP16" i="6"/>
  <c r="AN16" i="6"/>
  <c r="AM16" i="6"/>
  <c r="AK16" i="6"/>
  <c r="AJ16" i="6"/>
  <c r="AI16" i="6"/>
  <c r="AH16" i="6"/>
  <c r="AG16" i="6"/>
  <c r="AF16" i="6"/>
  <c r="S16" i="6"/>
  <c r="AE16" i="6"/>
  <c r="AC16" i="6"/>
  <c r="AA16" i="6"/>
  <c r="Z16" i="6"/>
  <c r="X16" i="6"/>
  <c r="W16" i="6"/>
  <c r="V16" i="6"/>
  <c r="U16" i="6"/>
  <c r="T16" i="6"/>
  <c r="R16" i="6"/>
  <c r="P16" i="6"/>
  <c r="L16" i="6"/>
  <c r="L15" i="6"/>
  <c r="CN14" i="6"/>
  <c r="CM14" i="6"/>
  <c r="CK14" i="6"/>
  <c r="CJ14" i="6"/>
  <c r="CI14" i="6"/>
  <c r="CH14" i="6"/>
  <c r="CG14" i="6"/>
  <c r="CF14" i="6"/>
  <c r="CE14" i="6"/>
  <c r="CD14" i="6"/>
  <c r="CB14" i="6" s="1"/>
  <c r="CC14" i="6"/>
  <c r="CA14" i="6"/>
  <c r="BZ14" i="6"/>
  <c r="BX14" i="6"/>
  <c r="BW14" i="6"/>
  <c r="BV14" i="6"/>
  <c r="BU14" i="6"/>
  <c r="BT14" i="6"/>
  <c r="BS14" i="6"/>
  <c r="BR14" i="6"/>
  <c r="BQ14" i="6"/>
  <c r="BP14" i="6"/>
  <c r="BO14" i="6" s="1"/>
  <c r="BN14" i="6"/>
  <c r="BM14" i="6"/>
  <c r="Z14" i="6"/>
  <c r="AM14" i="6"/>
  <c r="AZ14" i="6"/>
  <c r="BK14" i="6"/>
  <c r="BJ14" i="6"/>
  <c r="BI14" i="6"/>
  <c r="BH14" i="6"/>
  <c r="BG14" i="6"/>
  <c r="BF14" i="6"/>
  <c r="BE14" i="6"/>
  <c r="BD14" i="6"/>
  <c r="BC14" i="6"/>
  <c r="BA14" i="6"/>
  <c r="AX14" i="6"/>
  <c r="AW14" i="6"/>
  <c r="AV14" i="6"/>
  <c r="AU14" i="6"/>
  <c r="AT14" i="6"/>
  <c r="AS14" i="6"/>
  <c r="AR14" i="6"/>
  <c r="AQ14" i="6"/>
  <c r="AP14" i="6"/>
  <c r="AN14" i="6"/>
  <c r="AK14" i="6"/>
  <c r="AJ14" i="6"/>
  <c r="AI14" i="6"/>
  <c r="AH14" i="6"/>
  <c r="AG14" i="6"/>
  <c r="AF14" i="6"/>
  <c r="AE14" i="6"/>
  <c r="AD14" i="6"/>
  <c r="AC14" i="6"/>
  <c r="AA14" i="6"/>
  <c r="X14" i="6"/>
  <c r="W14" i="6"/>
  <c r="V14" i="6"/>
  <c r="U14" i="6"/>
  <c r="T14" i="6"/>
  <c r="S14" i="6"/>
  <c r="R14" i="6"/>
  <c r="Q14" i="6"/>
  <c r="P14" i="6"/>
  <c r="L14" i="6"/>
  <c r="L13" i="6"/>
  <c r="CN12" i="6"/>
  <c r="CM12" i="6"/>
  <c r="CK12" i="6"/>
  <c r="CJ12" i="6"/>
  <c r="CI12" i="6"/>
  <c r="CH12" i="6"/>
  <c r="CG12" i="6"/>
  <c r="CF12" i="6"/>
  <c r="CE12" i="6"/>
  <c r="CD12" i="6"/>
  <c r="CB12" i="6" s="1"/>
  <c r="CC12" i="6"/>
  <c r="CA12" i="6"/>
  <c r="BZ12" i="6"/>
  <c r="BX12" i="6"/>
  <c r="BW12" i="6"/>
  <c r="BV12" i="6"/>
  <c r="BU12" i="6"/>
  <c r="BT12" i="6"/>
  <c r="BS12" i="6"/>
  <c r="BR12" i="6"/>
  <c r="BQ12" i="6"/>
  <c r="BP12" i="6"/>
  <c r="BN12" i="6"/>
  <c r="BM12" i="6"/>
  <c r="BK12" i="6"/>
  <c r="BJ12" i="6"/>
  <c r="BI12" i="6"/>
  <c r="BH12" i="6"/>
  <c r="BG12" i="6"/>
  <c r="BF12" i="6"/>
  <c r="BE12" i="6"/>
  <c r="BD12" i="6"/>
  <c r="BC12" i="6"/>
  <c r="BA12" i="6"/>
  <c r="AZ12" i="6"/>
  <c r="AX12" i="6"/>
  <c r="AW12" i="6"/>
  <c r="AV12" i="6"/>
  <c r="AU12" i="6"/>
  <c r="AT12" i="6"/>
  <c r="AS12" i="6"/>
  <c r="AR12" i="6"/>
  <c r="AQ12" i="6"/>
  <c r="AP12" i="6"/>
  <c r="AN12" i="6"/>
  <c r="AM12" i="6"/>
  <c r="AA12" i="6"/>
  <c r="Z12" i="6"/>
  <c r="L12" i="6"/>
  <c r="L11" i="6"/>
  <c r="L10" i="6"/>
  <c r="L9" i="6"/>
  <c r="CN8" i="6"/>
  <c r="CA8" i="6"/>
  <c r="BN8" i="6"/>
  <c r="BN9" i="6" s="1"/>
  <c r="BA8" i="6"/>
  <c r="AN8" i="6"/>
  <c r="AN7" i="6"/>
  <c r="AA8" i="6"/>
  <c r="CN7" i="6"/>
  <c r="CM7" i="6"/>
  <c r="CA7" i="6"/>
  <c r="CA9" i="6" s="1"/>
  <c r="BZ7" i="6"/>
  <c r="BA7" i="6"/>
  <c r="AZ7" i="6"/>
  <c r="AM7" i="6"/>
  <c r="M7" i="6" s="1"/>
  <c r="AA7" i="6"/>
  <c r="Z7" i="6"/>
  <c r="CB6" i="6"/>
  <c r="P10" i="31" s="1"/>
  <c r="BO6" i="6"/>
  <c r="N10" i="31" s="1"/>
  <c r="BB6" i="6"/>
  <c r="L10" i="31" s="1"/>
  <c r="AO6" i="6"/>
  <c r="J10" i="31" s="1"/>
  <c r="AB6" i="6"/>
  <c r="H10" i="31" s="1"/>
  <c r="O6" i="6"/>
  <c r="F10" i="31" s="1"/>
  <c r="N6" i="6"/>
  <c r="M6" i="6"/>
  <c r="H17" i="40" s="1"/>
  <c r="L6" i="6"/>
  <c r="K6" i="6"/>
  <c r="J6" i="6"/>
  <c r="I6" i="6"/>
  <c r="H6" i="6"/>
  <c r="G6" i="6"/>
  <c r="F6" i="6"/>
  <c r="E6" i="6"/>
  <c r="F17" i="40" s="1"/>
  <c r="D6" i="6"/>
  <c r="E17" i="40" s="1"/>
  <c r="C6" i="6"/>
  <c r="D17" i="40" s="1"/>
  <c r="CN5" i="6"/>
  <c r="CM5" i="6"/>
  <c r="CL5" i="6"/>
  <c r="CK5" i="6"/>
  <c r="CJ5" i="6"/>
  <c r="CI5" i="6"/>
  <c r="CH5" i="6"/>
  <c r="CG5" i="6"/>
  <c r="CF5" i="6"/>
  <c r="CE5" i="6"/>
  <c r="CE22" i="6" s="1"/>
  <c r="CD5" i="6"/>
  <c r="CC5" i="6"/>
  <c r="CA5" i="6"/>
  <c r="BZ5" i="6"/>
  <c r="BY5" i="6"/>
  <c r="BX5" i="6"/>
  <c r="BW5" i="6"/>
  <c r="BV5" i="6"/>
  <c r="BU5" i="6"/>
  <c r="BT5" i="6"/>
  <c r="BS5" i="6"/>
  <c r="BR5" i="6"/>
  <c r="BQ5" i="6"/>
  <c r="BP5" i="6"/>
  <c r="BN5" i="6"/>
  <c r="BM5" i="6"/>
  <c r="BL5" i="6"/>
  <c r="BK5" i="6"/>
  <c r="BJ5" i="6"/>
  <c r="BI5" i="6"/>
  <c r="BH5" i="6"/>
  <c r="BG5" i="6"/>
  <c r="BF5" i="6"/>
  <c r="BE5" i="6"/>
  <c r="BE22" i="6" s="1"/>
  <c r="BD5" i="6"/>
  <c r="BC5" i="6"/>
  <c r="BA5" i="6"/>
  <c r="AZ5" i="6"/>
  <c r="AY5" i="6"/>
  <c r="AX5" i="6"/>
  <c r="AW5" i="6"/>
  <c r="AV5" i="6"/>
  <c r="AU5" i="6"/>
  <c r="AT5" i="6"/>
  <c r="AS5" i="6"/>
  <c r="AR5" i="6"/>
  <c r="AQ5" i="6"/>
  <c r="AP5" i="6"/>
  <c r="AN5" i="6"/>
  <c r="AM5" i="6"/>
  <c r="AL5" i="6"/>
  <c r="AK5" i="6"/>
  <c r="AJ5" i="6"/>
  <c r="AI5" i="6"/>
  <c r="AH5" i="6"/>
  <c r="AG5" i="6"/>
  <c r="AF5" i="6"/>
  <c r="AE5" i="6"/>
  <c r="AE22" i="6" s="1"/>
  <c r="AD5" i="6"/>
  <c r="AC5" i="6"/>
  <c r="AA5" i="6"/>
  <c r="Z5" i="6"/>
  <c r="Y5" i="6"/>
  <c r="X5" i="6"/>
  <c r="W5" i="6"/>
  <c r="V5" i="6"/>
  <c r="U5" i="6"/>
  <c r="T5" i="6"/>
  <c r="S5" i="6"/>
  <c r="R5" i="6"/>
  <c r="R22" i="6" s="1"/>
  <c r="Q5" i="6"/>
  <c r="P5" i="6"/>
  <c r="N5" i="6"/>
  <c r="M5" i="6"/>
  <c r="L5" i="6"/>
  <c r="K5" i="6"/>
  <c r="J5" i="6"/>
  <c r="I5" i="6"/>
  <c r="H5" i="6"/>
  <c r="G5" i="6"/>
  <c r="F5" i="6"/>
  <c r="E5" i="6"/>
  <c r="D5" i="6"/>
  <c r="C5" i="6"/>
  <c r="Y2" i="6"/>
  <c r="B99" i="18"/>
  <c r="I95" i="18"/>
  <c r="H95" i="18"/>
  <c r="G95" i="18"/>
  <c r="F95" i="18"/>
  <c r="E95" i="18"/>
  <c r="D95" i="18"/>
  <c r="I94" i="18"/>
  <c r="H94" i="18"/>
  <c r="G94" i="18"/>
  <c r="F94" i="18"/>
  <c r="E94" i="18"/>
  <c r="D94" i="18"/>
  <c r="I93" i="18"/>
  <c r="H93" i="18"/>
  <c r="G93" i="18"/>
  <c r="F93" i="18"/>
  <c r="E93" i="18"/>
  <c r="D93" i="18"/>
  <c r="I92" i="18"/>
  <c r="H92" i="18"/>
  <c r="G92" i="18"/>
  <c r="F92" i="18"/>
  <c r="E92" i="18"/>
  <c r="D92" i="18"/>
  <c r="I91" i="18"/>
  <c r="H91" i="18"/>
  <c r="G91" i="18"/>
  <c r="F91" i="18"/>
  <c r="E91" i="18"/>
  <c r="D91" i="18"/>
  <c r="I90" i="18"/>
  <c r="H90" i="18"/>
  <c r="G90" i="18"/>
  <c r="F90" i="18"/>
  <c r="E90" i="18"/>
  <c r="D90" i="18"/>
  <c r="I89" i="18"/>
  <c r="H89" i="18"/>
  <c r="G89" i="18"/>
  <c r="F89" i="18"/>
  <c r="E89" i="18"/>
  <c r="D89" i="18"/>
  <c r="I88" i="18"/>
  <c r="H88" i="18"/>
  <c r="G88" i="18"/>
  <c r="F88" i="18"/>
  <c r="E88" i="18"/>
  <c r="D88" i="18"/>
  <c r="I87" i="18"/>
  <c r="H87" i="18"/>
  <c r="G87" i="18"/>
  <c r="D87" i="18"/>
  <c r="E87" i="18"/>
  <c r="F87" i="18"/>
  <c r="P86" i="18"/>
  <c r="O86" i="18"/>
  <c r="N86" i="18"/>
  <c r="M86" i="18"/>
  <c r="L86" i="18"/>
  <c r="K86" i="18"/>
  <c r="I86" i="18"/>
  <c r="H86" i="18"/>
  <c r="G86" i="18"/>
  <c r="F86" i="18"/>
  <c r="E86" i="18"/>
  <c r="D86" i="18"/>
  <c r="B81" i="18"/>
  <c r="B96" i="18" s="1"/>
  <c r="B80" i="18"/>
  <c r="B95" i="18" s="1"/>
  <c r="B79" i="18"/>
  <c r="B94" i="18" s="1"/>
  <c r="B78" i="18"/>
  <c r="B93" i="18" s="1"/>
  <c r="B77" i="18"/>
  <c r="B92" i="18" s="1"/>
  <c r="B76" i="18"/>
  <c r="B91" i="18" s="1"/>
  <c r="B75" i="18"/>
  <c r="B90" i="18" s="1"/>
  <c r="B74" i="18"/>
  <c r="B89" i="18" s="1"/>
  <c r="B73" i="18"/>
  <c r="B88" i="18" s="1"/>
  <c r="B72" i="18"/>
  <c r="B87" i="18" s="1"/>
  <c r="B66" i="18"/>
  <c r="B65" i="18"/>
  <c r="B64" i="18"/>
  <c r="B63" i="18"/>
  <c r="B62" i="18"/>
  <c r="B61" i="18"/>
  <c r="B60" i="18"/>
  <c r="B59" i="18"/>
  <c r="B58" i="18"/>
  <c r="B57" i="18"/>
  <c r="B51" i="18"/>
  <c r="B50" i="18"/>
  <c r="B49" i="18"/>
  <c r="B48" i="18"/>
  <c r="B47" i="18"/>
  <c r="B46" i="18"/>
  <c r="B45" i="18"/>
  <c r="B44" i="18"/>
  <c r="B43" i="18"/>
  <c r="B42" i="18"/>
  <c r="Q36" i="18"/>
  <c r="J36" i="18"/>
  <c r="C36" i="18"/>
  <c r="B36" i="18"/>
  <c r="Q35" i="18"/>
  <c r="J35" i="18"/>
  <c r="C35" i="18"/>
  <c r="B35" i="18"/>
  <c r="B34" i="18"/>
  <c r="B33" i="18"/>
  <c r="B32" i="18"/>
  <c r="B31" i="18"/>
  <c r="B30" i="18"/>
  <c r="B29" i="18"/>
  <c r="B28" i="18"/>
  <c r="B27" i="18"/>
  <c r="D27" i="18" s="1"/>
  <c r="D44" i="18" s="1"/>
  <c r="G83" i="9" s="1"/>
  <c r="B26" i="18"/>
  <c r="B25" i="18"/>
  <c r="C14" i="18"/>
  <c r="C13" i="18"/>
  <c r="C12" i="18"/>
  <c r="C11" i="18"/>
  <c r="C10" i="18"/>
  <c r="C9" i="18"/>
  <c r="C8" i="18"/>
  <c r="C7" i="18"/>
  <c r="K5" i="18"/>
  <c r="O5" i="18" s="1"/>
  <c r="S5" i="18" s="1"/>
  <c r="W5" i="18" s="1"/>
  <c r="AA5" i="18" s="1"/>
  <c r="AE5" i="18" s="1"/>
  <c r="AI5" i="18" s="1"/>
  <c r="AM5" i="18" s="1"/>
  <c r="AQ5" i="18" s="1"/>
  <c r="AU5" i="18" s="1"/>
  <c r="J5" i="18"/>
  <c r="N5" i="18" s="1"/>
  <c r="R5" i="18" s="1"/>
  <c r="V5" i="18" s="1"/>
  <c r="Z5" i="18" s="1"/>
  <c r="AD5" i="18" s="1"/>
  <c r="AH5" i="18" s="1"/>
  <c r="AL5" i="18" s="1"/>
  <c r="AP5" i="18" s="1"/>
  <c r="AT5" i="18" s="1"/>
  <c r="I5" i="18"/>
  <c r="M5" i="18" s="1"/>
  <c r="Q5" i="18" s="1"/>
  <c r="U5" i="18" s="1"/>
  <c r="Y5" i="18" s="1"/>
  <c r="AC5" i="18" s="1"/>
  <c r="AG5" i="18" s="1"/>
  <c r="AK5" i="18" s="1"/>
  <c r="AO5" i="18" s="1"/>
  <c r="AS5" i="18" s="1"/>
  <c r="H5" i="18"/>
  <c r="L5" i="18" s="1"/>
  <c r="P5" i="18" s="1"/>
  <c r="T5" i="18" s="1"/>
  <c r="X5" i="18" s="1"/>
  <c r="AB5" i="18" s="1"/>
  <c r="AF5" i="18" s="1"/>
  <c r="AJ5" i="18" s="1"/>
  <c r="AN5" i="18" s="1"/>
  <c r="AR5" i="18" s="1"/>
  <c r="D4" i="18"/>
  <c r="H4" i="18" s="1"/>
  <c r="L4" i="18" s="1"/>
  <c r="P4" i="18" s="1"/>
  <c r="T4" i="18" s="1"/>
  <c r="X4" i="18" s="1"/>
  <c r="AB4" i="18" s="1"/>
  <c r="AF4" i="18" s="1"/>
  <c r="AJ4" i="18" s="1"/>
  <c r="AN4" i="18" s="1"/>
  <c r="AR4" i="18" s="1"/>
  <c r="M24" i="4"/>
  <c r="L24" i="4"/>
  <c r="J24" i="4"/>
  <c r="M23" i="4"/>
  <c r="L23" i="4"/>
  <c r="J23" i="4"/>
  <c r="M22" i="4"/>
  <c r="L22" i="4"/>
  <c r="J22" i="4"/>
  <c r="M21" i="4"/>
  <c r="L21" i="4"/>
  <c r="J21" i="4"/>
  <c r="C9" i="4"/>
  <c r="E9" i="4" s="1"/>
  <c r="C6" i="4"/>
  <c r="B1" i="4"/>
  <c r="D34" i="5"/>
  <c r="D33" i="5"/>
  <c r="D25" i="5"/>
  <c r="A5" i="5"/>
  <c r="D35" i="36"/>
  <c r="E24" i="36"/>
  <c r="I6" i="36"/>
  <c r="B6" i="36"/>
  <c r="G5" i="36"/>
  <c r="I4" i="36"/>
  <c r="B3" i="36"/>
  <c r="AH53" i="29"/>
  <c r="AG53" i="29"/>
  <c r="H53" i="29"/>
  <c r="G53" i="29"/>
  <c r="F53" i="29"/>
  <c r="E53" i="29"/>
  <c r="D53" i="29"/>
  <c r="C53" i="29"/>
  <c r="AF51" i="29"/>
  <c r="AF57" i="29" s="1"/>
  <c r="AE51" i="29"/>
  <c r="AE57" i="29" s="1"/>
  <c r="AD51" i="29"/>
  <c r="AD57" i="29" s="1"/>
  <c r="AC51" i="29"/>
  <c r="AC57" i="29" s="1"/>
  <c r="AB51" i="29"/>
  <c r="AB57" i="29" s="1"/>
  <c r="AA51" i="29"/>
  <c r="AA57" i="29" s="1"/>
  <c r="Z51" i="29"/>
  <c r="Z57" i="29" s="1"/>
  <c r="Y51" i="29"/>
  <c r="Y57" i="29" s="1"/>
  <c r="X51" i="29"/>
  <c r="X57" i="29" s="1"/>
  <c r="W51" i="29"/>
  <c r="W57" i="29" s="1"/>
  <c r="V51" i="29"/>
  <c r="V57" i="29" s="1"/>
  <c r="U51" i="29"/>
  <c r="U57" i="29" s="1"/>
  <c r="T51" i="29"/>
  <c r="T57" i="29" s="1"/>
  <c r="S51" i="29"/>
  <c r="S57" i="29" s="1"/>
  <c r="R51" i="29"/>
  <c r="R57" i="29" s="1"/>
  <c r="Q51" i="29"/>
  <c r="Q57" i="29" s="1"/>
  <c r="P51" i="29"/>
  <c r="P57" i="29" s="1"/>
  <c r="O51" i="29"/>
  <c r="O57" i="29" s="1"/>
  <c r="N51" i="29"/>
  <c r="N57" i="29" s="1"/>
  <c r="M51" i="29"/>
  <c r="M57" i="29" s="1"/>
  <c r="L51" i="29"/>
  <c r="L57" i="29" s="1"/>
  <c r="K51" i="29"/>
  <c r="K57" i="29" s="1"/>
  <c r="J51" i="29"/>
  <c r="J57" i="29" s="1"/>
  <c r="I51" i="29"/>
  <c r="I57" i="29" s="1"/>
  <c r="EH23" i="29"/>
  <c r="DH23" i="29"/>
  <c r="CH23" i="29"/>
  <c r="D23" i="29" s="1"/>
  <c r="BH23" i="29"/>
  <c r="AH23" i="29"/>
  <c r="H23" i="29"/>
  <c r="EH22" i="29"/>
  <c r="DH22" i="29"/>
  <c r="CH22" i="29"/>
  <c r="BH22" i="29"/>
  <c r="AH22" i="29"/>
  <c r="D22" i="29" s="1"/>
  <c r="H22" i="29"/>
  <c r="EH21" i="29"/>
  <c r="DH21" i="29"/>
  <c r="CH21" i="29"/>
  <c r="D21" i="29" s="1"/>
  <c r="BH21" i="29"/>
  <c r="AH21" i="29"/>
  <c r="H21" i="29"/>
  <c r="AE4" i="29"/>
  <c r="Y4" i="29"/>
  <c r="W4" i="29"/>
  <c r="Q4" i="29"/>
  <c r="I4" i="29"/>
  <c r="S4" i="29"/>
  <c r="AA4" i="29"/>
  <c r="BA4" i="29" s="1"/>
  <c r="U4" i="29"/>
  <c r="U5" i="29" s="1"/>
  <c r="O4" i="29"/>
  <c r="M4" i="29"/>
  <c r="M7" i="29" s="1"/>
  <c r="K4" i="29"/>
  <c r="A1" i="29"/>
  <c r="C37" i="31"/>
  <c r="C34" i="31"/>
  <c r="C33" i="31"/>
  <c r="C32" i="31"/>
  <c r="C31" i="31"/>
  <c r="B26" i="31"/>
  <c r="Q20" i="31"/>
  <c r="O20" i="31"/>
  <c r="M20" i="31"/>
  <c r="K20" i="31"/>
  <c r="I20" i="31"/>
  <c r="G20" i="31"/>
  <c r="FL59" i="34"/>
  <c r="FL58" i="34" s="1"/>
  <c r="FK59" i="34"/>
  <c r="FK58" i="34" s="1"/>
  <c r="FJ59" i="34"/>
  <c r="FJ58" i="34" s="1"/>
  <c r="FI59" i="34"/>
  <c r="FI58" i="34" s="1"/>
  <c r="FH59" i="34"/>
  <c r="FH40" i="34" s="1"/>
  <c r="D57" i="34"/>
  <c r="D56" i="34"/>
  <c r="E55" i="34"/>
  <c r="E52" i="34"/>
  <c r="E59" i="34" s="1"/>
  <c r="D54" i="34"/>
  <c r="D53" i="34"/>
  <c r="FK49" i="34"/>
  <c r="FK51" i="34" s="1"/>
  <c r="FJ49" i="34"/>
  <c r="FJ51" i="34" s="1"/>
  <c r="FL49" i="34"/>
  <c r="FL51" i="34" s="1"/>
  <c r="FI49" i="34"/>
  <c r="FI51" i="34" s="1"/>
  <c r="FL42" i="34"/>
  <c r="FL38" i="34" s="1"/>
  <c r="FL46" i="34" s="1"/>
  <c r="FK42" i="34"/>
  <c r="FK38" i="34" s="1"/>
  <c r="FK46" i="34" s="1"/>
  <c r="FJ42" i="34"/>
  <c r="FJ38" i="34" s="1"/>
  <c r="FJ46" i="34" s="1"/>
  <c r="FI42" i="34"/>
  <c r="FI38" i="34" s="1"/>
  <c r="FI46" i="34" s="1"/>
  <c r="FL30" i="34"/>
  <c r="FK30" i="34"/>
  <c r="FJ30" i="34"/>
  <c r="FI30" i="34"/>
  <c r="FE12" i="34"/>
  <c r="FA12" i="34"/>
  <c r="EW12" i="34"/>
  <c r="ES12" i="34"/>
  <c r="EO12" i="34"/>
  <c r="EK12" i="34"/>
  <c r="EG12" i="34"/>
  <c r="EC12" i="34"/>
  <c r="DY12" i="34"/>
  <c r="DU12" i="34"/>
  <c r="DQ12" i="34"/>
  <c r="DM12" i="34"/>
  <c r="DI12" i="34"/>
  <c r="DE12" i="34"/>
  <c r="DA12" i="34"/>
  <c r="CW12" i="34"/>
  <c r="CS12" i="34"/>
  <c r="CO12" i="34"/>
  <c r="CK12" i="34"/>
  <c r="CG12" i="34"/>
  <c r="CC12" i="34"/>
  <c r="BY12" i="34"/>
  <c r="BU12" i="34"/>
  <c r="BQ12" i="34"/>
  <c r="BM12" i="34"/>
  <c r="BI12" i="34"/>
  <c r="BE12" i="34"/>
  <c r="BA12" i="34"/>
  <c r="AW12" i="34"/>
  <c r="AS12" i="34"/>
  <c r="AO12" i="34"/>
  <c r="AK12" i="34"/>
  <c r="AG12" i="34"/>
  <c r="AC12" i="34"/>
  <c r="Y12" i="34"/>
  <c r="U12" i="34"/>
  <c r="Q12" i="34"/>
  <c r="M12" i="34"/>
  <c r="E8" i="34"/>
  <c r="F8" i="34" s="1"/>
  <c r="G8" i="34" s="1"/>
  <c r="H8" i="34" s="1"/>
  <c r="I8" i="34" s="1"/>
  <c r="J8" i="34" s="1"/>
  <c r="K8" i="34" s="1"/>
  <c r="L8" i="34" s="1"/>
  <c r="A6" i="34"/>
  <c r="L5" i="34"/>
  <c r="P5" i="34" s="1"/>
  <c r="T5" i="34" s="1"/>
  <c r="X5" i="34" s="1"/>
  <c r="AB5" i="34" s="1"/>
  <c r="AF5" i="34" s="1"/>
  <c r="AJ5" i="34" s="1"/>
  <c r="AN5" i="34" s="1"/>
  <c r="AR5" i="34" s="1"/>
  <c r="AV5" i="34" s="1"/>
  <c r="AZ5" i="34" s="1"/>
  <c r="BD5" i="34" s="1"/>
  <c r="BH5" i="34" s="1"/>
  <c r="BL5" i="34" s="1"/>
  <c r="BP5" i="34" s="1"/>
  <c r="BT5" i="34" s="1"/>
  <c r="BX5" i="34" s="1"/>
  <c r="CB5" i="34" s="1"/>
  <c r="CF5" i="34" s="1"/>
  <c r="CJ5" i="34" s="1"/>
  <c r="CN5" i="34" s="1"/>
  <c r="CR5" i="34" s="1"/>
  <c r="CV5" i="34" s="1"/>
  <c r="CZ5" i="34" s="1"/>
  <c r="DD5" i="34" s="1"/>
  <c r="DH5" i="34" s="1"/>
  <c r="DL5" i="34" s="1"/>
  <c r="DP5" i="34" s="1"/>
  <c r="DT5" i="34" s="1"/>
  <c r="DX5" i="34" s="1"/>
  <c r="EB5" i="34" s="1"/>
  <c r="EF5" i="34" s="1"/>
  <c r="EJ5" i="34" s="1"/>
  <c r="EN5" i="34" s="1"/>
  <c r="ER5" i="34" s="1"/>
  <c r="EV5" i="34" s="1"/>
  <c r="EZ5" i="34" s="1"/>
  <c r="FD5" i="34" s="1"/>
  <c r="FH5" i="34" s="1"/>
  <c r="FL5" i="34" s="1"/>
  <c r="K5" i="34"/>
  <c r="O5" i="34" s="1"/>
  <c r="S5" i="34" s="1"/>
  <c r="W5" i="34" s="1"/>
  <c r="AA5" i="34" s="1"/>
  <c r="AE5" i="34" s="1"/>
  <c r="AI5" i="34" s="1"/>
  <c r="AM5" i="34" s="1"/>
  <c r="AQ5" i="34" s="1"/>
  <c r="AU5" i="34" s="1"/>
  <c r="AY5" i="34" s="1"/>
  <c r="BC5" i="34" s="1"/>
  <c r="BG5" i="34" s="1"/>
  <c r="BK5" i="34" s="1"/>
  <c r="BO5" i="34" s="1"/>
  <c r="BS5" i="34" s="1"/>
  <c r="BW5" i="34" s="1"/>
  <c r="CA5" i="34" s="1"/>
  <c r="CE5" i="34" s="1"/>
  <c r="CI5" i="34" s="1"/>
  <c r="CM5" i="34" s="1"/>
  <c r="CQ5" i="34" s="1"/>
  <c r="CU5" i="34" s="1"/>
  <c r="CY5" i="34" s="1"/>
  <c r="DC5" i="34" s="1"/>
  <c r="DG5" i="34" s="1"/>
  <c r="DK5" i="34" s="1"/>
  <c r="DO5" i="34" s="1"/>
  <c r="DS5" i="34" s="1"/>
  <c r="DW5" i="34" s="1"/>
  <c r="EA5" i="34" s="1"/>
  <c r="EE5" i="34" s="1"/>
  <c r="EI5" i="34" s="1"/>
  <c r="EM5" i="34" s="1"/>
  <c r="EQ5" i="34" s="1"/>
  <c r="EU5" i="34" s="1"/>
  <c r="EY5" i="34" s="1"/>
  <c r="FC5" i="34" s="1"/>
  <c r="FG5" i="34" s="1"/>
  <c r="FK5" i="34" s="1"/>
  <c r="J5" i="34"/>
  <c r="N5" i="34" s="1"/>
  <c r="R5" i="34" s="1"/>
  <c r="V5" i="34" s="1"/>
  <c r="Z5" i="34" s="1"/>
  <c r="AD5" i="34" s="1"/>
  <c r="AH5" i="34" s="1"/>
  <c r="AL5" i="34" s="1"/>
  <c r="AP5" i="34" s="1"/>
  <c r="AT5" i="34" s="1"/>
  <c r="AX5" i="34" s="1"/>
  <c r="BB5" i="34" s="1"/>
  <c r="BF5" i="34" s="1"/>
  <c r="BJ5" i="34" s="1"/>
  <c r="BN5" i="34" s="1"/>
  <c r="BR5" i="34" s="1"/>
  <c r="BV5" i="34" s="1"/>
  <c r="BZ5" i="34" s="1"/>
  <c r="CD5" i="34" s="1"/>
  <c r="CH5" i="34" s="1"/>
  <c r="CL5" i="34" s="1"/>
  <c r="CP5" i="34" s="1"/>
  <c r="CT5" i="34" s="1"/>
  <c r="CX5" i="34" s="1"/>
  <c r="DB5" i="34" s="1"/>
  <c r="DF5" i="34" s="1"/>
  <c r="DJ5" i="34" s="1"/>
  <c r="DN5" i="34" s="1"/>
  <c r="DR5" i="34" s="1"/>
  <c r="DV5" i="34" s="1"/>
  <c r="DZ5" i="34" s="1"/>
  <c r="ED5" i="34" s="1"/>
  <c r="EH5" i="34" s="1"/>
  <c r="EL5" i="34" s="1"/>
  <c r="EP5" i="34" s="1"/>
  <c r="ET5" i="34" s="1"/>
  <c r="EX5" i="34" s="1"/>
  <c r="FB5" i="34" s="1"/>
  <c r="FF5" i="34" s="1"/>
  <c r="FJ5" i="34" s="1"/>
  <c r="I5" i="34"/>
  <c r="M5" i="34" s="1"/>
  <c r="Q5" i="34" s="1"/>
  <c r="U5" i="34" s="1"/>
  <c r="Y5" i="34" s="1"/>
  <c r="AC5" i="34" s="1"/>
  <c r="AG5" i="34" s="1"/>
  <c r="AK5" i="34" s="1"/>
  <c r="AO5" i="34" s="1"/>
  <c r="AS5" i="34" s="1"/>
  <c r="AW5" i="34" s="1"/>
  <c r="BA5" i="34" s="1"/>
  <c r="BE5" i="34" s="1"/>
  <c r="BI5" i="34" s="1"/>
  <c r="BM5" i="34" s="1"/>
  <c r="BQ5" i="34" s="1"/>
  <c r="BU5" i="34" s="1"/>
  <c r="BY5" i="34" s="1"/>
  <c r="CC5" i="34" s="1"/>
  <c r="CG5" i="34" s="1"/>
  <c r="CK5" i="34" s="1"/>
  <c r="CO5" i="34" s="1"/>
  <c r="CS5" i="34" s="1"/>
  <c r="CW5" i="34" s="1"/>
  <c r="DA5" i="34" s="1"/>
  <c r="DE5" i="34" s="1"/>
  <c r="DI5" i="34" s="1"/>
  <c r="DM5" i="34" s="1"/>
  <c r="DQ5" i="34" s="1"/>
  <c r="DU5" i="34" s="1"/>
  <c r="DY5" i="34" s="1"/>
  <c r="EC5" i="34" s="1"/>
  <c r="EG5" i="34" s="1"/>
  <c r="EK5" i="34" s="1"/>
  <c r="EO5" i="34" s="1"/>
  <c r="ES5" i="34" s="1"/>
  <c r="EW5" i="34" s="1"/>
  <c r="FA5" i="34" s="1"/>
  <c r="FE5" i="34" s="1"/>
  <c r="FI5" i="34" s="1"/>
  <c r="E3" i="34"/>
  <c r="E4" i="34" s="1"/>
  <c r="F4" i="34" s="1"/>
  <c r="G4" i="34" s="1"/>
  <c r="H4" i="34" s="1"/>
  <c r="C14" i="35"/>
  <c r="C10" i="35"/>
  <c r="C2" i="35"/>
  <c r="A1" i="35" s="1"/>
  <c r="E6" i="30"/>
  <c r="C28" i="31" s="1"/>
  <c r="E4" i="30"/>
  <c r="E2" i="30"/>
  <c r="B1" i="30"/>
  <c r="B1" i="3"/>
  <c r="B1" i="26"/>
  <c r="D14" i="2"/>
  <c r="D18" i="2" s="1"/>
  <c r="C19" i="1"/>
  <c r="C14" i="1"/>
  <c r="C12" i="1"/>
  <c r="G72" i="8"/>
  <c r="R10" i="7"/>
  <c r="J56" i="7"/>
  <c r="E78" i="8"/>
  <c r="E83" i="8"/>
  <c r="BM35" i="10"/>
  <c r="H50" i="23"/>
  <c r="B65" i="23" s="1"/>
  <c r="L50" i="23"/>
  <c r="B69" i="23" s="1"/>
  <c r="B185" i="17"/>
  <c r="I16" i="14"/>
  <c r="W52" i="14"/>
  <c r="G6" i="15"/>
  <c r="AH14" i="15"/>
  <c r="AG14" i="15" s="1"/>
  <c r="F16" i="15"/>
  <c r="G187" i="17"/>
  <c r="E27" i="11" s="1"/>
  <c r="AP187" i="17"/>
  <c r="AP188" i="17" s="1"/>
  <c r="U187" i="17"/>
  <c r="L187" i="17"/>
  <c r="AH207" i="17"/>
  <c r="AS207" i="17"/>
  <c r="AQ31" i="11" s="1"/>
  <c r="AK207" i="17"/>
  <c r="AV487" i="17"/>
  <c r="AT83" i="11" s="1"/>
  <c r="AN207" i="17"/>
  <c r="AN152" i="17" s="1"/>
  <c r="AN150" i="17" s="1"/>
  <c r="AB237" i="17"/>
  <c r="AO277" i="17"/>
  <c r="AG277" i="17"/>
  <c r="L277" i="17"/>
  <c r="AP277" i="17"/>
  <c r="AH277" i="17"/>
  <c r="AH278" i="17" s="1"/>
  <c r="AF123" i="11" s="1"/>
  <c r="K307" i="17"/>
  <c r="K308" i="17" s="1"/>
  <c r="I128" i="11" s="1"/>
  <c r="U307" i="17"/>
  <c r="S49" i="11" s="1"/>
  <c r="Q307" i="17"/>
  <c r="K327" i="17"/>
  <c r="AG327" i="17"/>
  <c r="AG328" i="17" s="1"/>
  <c r="AC327" i="17"/>
  <c r="L327" i="17"/>
  <c r="L328" i="17" s="1"/>
  <c r="AK352" i="17"/>
  <c r="Y347" i="17"/>
  <c r="AH347" i="17"/>
  <c r="AB347" i="17"/>
  <c r="Z57" i="11" s="1"/>
  <c r="AB352" i="17"/>
  <c r="AF347" i="17"/>
  <c r="AD57" i="11" s="1"/>
  <c r="K352" i="17"/>
  <c r="K353" i="17" s="1"/>
  <c r="I137" i="11" s="1"/>
  <c r="AP347" i="17"/>
  <c r="AN347" i="17"/>
  <c r="AN348" i="17" s="1"/>
  <c r="AL136" i="11" s="1"/>
  <c r="AI347" i="17"/>
  <c r="AG57" i="11" s="1"/>
  <c r="AP377" i="17"/>
  <c r="AP378" i="17" s="1"/>
  <c r="N377" i="17"/>
  <c r="J377" i="17"/>
  <c r="U377" i="17"/>
  <c r="AN377" i="17"/>
  <c r="AN378" i="17" s="1"/>
  <c r="AL141" i="11" s="1"/>
  <c r="AJ377" i="17"/>
  <c r="AU377" i="17"/>
  <c r="AU378" i="17" s="1"/>
  <c r="AS141" i="11" s="1"/>
  <c r="S377" i="17"/>
  <c r="O377" i="17"/>
  <c r="O378" i="17" s="1"/>
  <c r="M141" i="11" s="1"/>
  <c r="AH397" i="17"/>
  <c r="AD397" i="17"/>
  <c r="AS397" i="17"/>
  <c r="AQ66" i="11" s="1"/>
  <c r="M397" i="17"/>
  <c r="I397" i="17"/>
  <c r="G66" i="11" s="1"/>
  <c r="AB397" i="17"/>
  <c r="AM397" i="17"/>
  <c r="AI397" i="17"/>
  <c r="G397" i="17"/>
  <c r="R417" i="17"/>
  <c r="N417" i="17"/>
  <c r="AC417" i="17"/>
  <c r="AN417" i="17"/>
  <c r="AL70" i="11" s="1"/>
  <c r="AJ417" i="17"/>
  <c r="AJ418" i="17" s="1"/>
  <c r="H417" i="17"/>
  <c r="F70" i="11" s="1"/>
  <c r="S417" i="17"/>
  <c r="S418" i="17" s="1"/>
  <c r="Q149" i="11" s="1"/>
  <c r="O417" i="17"/>
  <c r="M70" i="11" s="1"/>
  <c r="AF447" i="17"/>
  <c r="AQ447" i="17"/>
  <c r="AM447" i="17"/>
  <c r="K447" i="17"/>
  <c r="I75" i="11" s="1"/>
  <c r="V447" i="17"/>
  <c r="T75" i="11" s="1"/>
  <c r="R447" i="17"/>
  <c r="AG447" i="17"/>
  <c r="AV467" i="17"/>
  <c r="AR467" i="17"/>
  <c r="P467" i="17"/>
  <c r="AA467" i="17"/>
  <c r="AA468" i="17" s="1"/>
  <c r="Y158" i="11" s="1"/>
  <c r="W467" i="17"/>
  <c r="AL467" i="17"/>
  <c r="F467" i="17"/>
  <c r="AS467" i="17"/>
  <c r="AS468" i="17" s="1"/>
  <c r="AQ158" i="11" s="1"/>
  <c r="Q467" i="17"/>
  <c r="AB487" i="17"/>
  <c r="X487" i="17"/>
  <c r="X492" i="17"/>
  <c r="AM487" i="17"/>
  <c r="K487" i="17"/>
  <c r="G487" i="17"/>
  <c r="Z487" i="17"/>
  <c r="R487" i="17"/>
  <c r="N492" i="17"/>
  <c r="AG487" i="17"/>
  <c r="E487" i="17"/>
  <c r="H102" i="17"/>
  <c r="L102" i="17"/>
  <c r="P102" i="17"/>
  <c r="T102" i="17"/>
  <c r="X102" i="17"/>
  <c r="AB102" i="17"/>
  <c r="AF102" i="17"/>
  <c r="AJ102" i="17"/>
  <c r="AN102" i="17"/>
  <c r="AR102" i="17"/>
  <c r="AR103" i="17" s="1"/>
  <c r="AP90" i="11" s="1"/>
  <c r="AV102" i="17"/>
  <c r="E107" i="17"/>
  <c r="M107" i="17"/>
  <c r="Q107" i="17"/>
  <c r="U107" i="17"/>
  <c r="AC107" i="17"/>
  <c r="AG107" i="17"/>
  <c r="AK107" i="17"/>
  <c r="AS107" i="17"/>
  <c r="B115" i="17"/>
  <c r="AE117" i="17"/>
  <c r="AQ117" i="17"/>
  <c r="AQ118" i="17" s="1"/>
  <c r="H122" i="17"/>
  <c r="H123" i="17" s="1"/>
  <c r="L122" i="17"/>
  <c r="P122" i="17"/>
  <c r="N15" i="11" s="1"/>
  <c r="T122" i="17"/>
  <c r="R15" i="11" s="1"/>
  <c r="X122" i="17"/>
  <c r="V15" i="11" s="1"/>
  <c r="AB122" i="17"/>
  <c r="AF122" i="17"/>
  <c r="AJ122" i="17"/>
  <c r="AN122" i="17"/>
  <c r="AN123" i="17" s="1"/>
  <c r="AR122" i="17"/>
  <c r="AV122" i="17"/>
  <c r="E127" i="17"/>
  <c r="C16" i="11" s="1"/>
  <c r="AD132" i="17"/>
  <c r="AB17" i="11" s="1"/>
  <c r="AT132" i="17"/>
  <c r="O157" i="17"/>
  <c r="S157" i="17"/>
  <c r="H162" i="17"/>
  <c r="L162" i="17"/>
  <c r="J22" i="11" s="1"/>
  <c r="P162" i="17"/>
  <c r="N22" i="11" s="1"/>
  <c r="X162" i="17"/>
  <c r="V22" i="11" s="1"/>
  <c r="AB162" i="17"/>
  <c r="AF162" i="17"/>
  <c r="AN162" i="17"/>
  <c r="AR162" i="17"/>
  <c r="AV162" i="17"/>
  <c r="J172" i="17"/>
  <c r="N172" i="17"/>
  <c r="R172" i="17"/>
  <c r="Z172" i="17"/>
  <c r="AD172" i="17"/>
  <c r="AH172" i="17"/>
  <c r="K177" i="17"/>
  <c r="AA177" i="17"/>
  <c r="AT182" i="17"/>
  <c r="AR26" i="11" s="1"/>
  <c r="AL182" i="17"/>
  <c r="AH182" i="17"/>
  <c r="AH183" i="17" s="1"/>
  <c r="AF105" i="11" s="1"/>
  <c r="AD182" i="17"/>
  <c r="V182" i="17"/>
  <c r="R182" i="17"/>
  <c r="N182" i="17"/>
  <c r="N183" i="17" s="1"/>
  <c r="F182" i="17"/>
  <c r="AS182" i="17"/>
  <c r="AO182" i="17"/>
  <c r="AG182" i="17"/>
  <c r="AC182" i="17"/>
  <c r="Y182" i="17"/>
  <c r="Y183" i="17" s="1"/>
  <c r="W105" i="11" s="1"/>
  <c r="Q182" i="17"/>
  <c r="M182" i="17"/>
  <c r="I182" i="17"/>
  <c r="AV182" i="17"/>
  <c r="AR182" i="17"/>
  <c r="AN182" i="17"/>
  <c r="AN183" i="17" s="1"/>
  <c r="AL105" i="11" s="1"/>
  <c r="AF182" i="17"/>
  <c r="AB182" i="17"/>
  <c r="Z26" i="11" s="1"/>
  <c r="X182" i="17"/>
  <c r="P182" i="17"/>
  <c r="P183" i="17" s="1"/>
  <c r="N105" i="11" s="1"/>
  <c r="L182" i="17"/>
  <c r="H182" i="17"/>
  <c r="H183" i="17" s="1"/>
  <c r="F105" i="11" s="1"/>
  <c r="AQ182" i="17"/>
  <c r="AM182" i="17"/>
  <c r="AI182" i="17"/>
  <c r="AA182" i="17"/>
  <c r="W182" i="17"/>
  <c r="S182" i="17"/>
  <c r="S183" i="17" s="1"/>
  <c r="K182" i="17"/>
  <c r="G182" i="17"/>
  <c r="E26" i="11" s="1"/>
  <c r="AT202" i="17"/>
  <c r="AL202" i="17"/>
  <c r="AJ30" i="11" s="1"/>
  <c r="AH202" i="17"/>
  <c r="AD202" i="17"/>
  <c r="AD203" i="17" s="1"/>
  <c r="AB109" i="11" s="1"/>
  <c r="V202" i="17"/>
  <c r="R202" i="17"/>
  <c r="N202" i="17"/>
  <c r="F202" i="17"/>
  <c r="AS202" i="17"/>
  <c r="AO202" i="17"/>
  <c r="AO203" i="17" s="1"/>
  <c r="AM109" i="11" s="1"/>
  <c r="AG202" i="17"/>
  <c r="AC202" i="17"/>
  <c r="Y202" i="17"/>
  <c r="Q202" i="17"/>
  <c r="M202" i="17"/>
  <c r="I202" i="17"/>
  <c r="I203" i="17" s="1"/>
  <c r="G109" i="11" s="1"/>
  <c r="AV202" i="17"/>
  <c r="AR202" i="17"/>
  <c r="AP30" i="11" s="1"/>
  <c r="AN202" i="17"/>
  <c r="AF202" i="17"/>
  <c r="AB202" i="17"/>
  <c r="AB203" i="17" s="1"/>
  <c r="X202" i="17"/>
  <c r="X203" i="17" s="1"/>
  <c r="P202" i="17"/>
  <c r="L202" i="17"/>
  <c r="H202" i="17"/>
  <c r="AQ202" i="17"/>
  <c r="AO30" i="11" s="1"/>
  <c r="AM202" i="17"/>
  <c r="AI202" i="17"/>
  <c r="AA202" i="17"/>
  <c r="W202" i="17"/>
  <c r="S202" i="17"/>
  <c r="K202" i="17"/>
  <c r="G202" i="17"/>
  <c r="AR232" i="17"/>
  <c r="L232" i="17"/>
  <c r="AM232" i="17"/>
  <c r="W232" i="17"/>
  <c r="AH232" i="17"/>
  <c r="R232" i="17"/>
  <c r="AS232" i="17"/>
  <c r="M232" i="17"/>
  <c r="H252" i="17"/>
  <c r="AU252" i="17"/>
  <c r="Z252" i="17"/>
  <c r="Z253" i="17" s="1"/>
  <c r="X118" i="11" s="1"/>
  <c r="I252" i="17"/>
  <c r="E252" i="17"/>
  <c r="C39" i="11" s="1"/>
  <c r="AR272" i="17"/>
  <c r="AR273" i="17" s="1"/>
  <c r="AN272" i="17"/>
  <c r="AN273" i="17" s="1"/>
  <c r="AL122" i="11" s="1"/>
  <c r="AN412" i="17"/>
  <c r="AN482" i="17"/>
  <c r="AJ272" i="17"/>
  <c r="AB272" i="17"/>
  <c r="X272" i="17"/>
  <c r="X132" i="17"/>
  <c r="X412" i="17"/>
  <c r="X482" i="17"/>
  <c r="T272" i="17"/>
  <c r="L272" i="17"/>
  <c r="J43" i="11" s="1"/>
  <c r="H272" i="17"/>
  <c r="AU272" i="17"/>
  <c r="AS43" i="11" s="1"/>
  <c r="AM272" i="17"/>
  <c r="AI272" i="17"/>
  <c r="AE272" i="17"/>
  <c r="W272" i="17"/>
  <c r="S272" i="17"/>
  <c r="S273" i="17" s="1"/>
  <c r="O272" i="17"/>
  <c r="O273" i="17" s="1"/>
  <c r="M122" i="11" s="1"/>
  <c r="K272" i="17"/>
  <c r="G272" i="17"/>
  <c r="AT272" i="17"/>
  <c r="AP272" i="17"/>
  <c r="AL272" i="17"/>
  <c r="AH272" i="17"/>
  <c r="AD272" i="17"/>
  <c r="AB43" i="11" s="1"/>
  <c r="Z272" i="17"/>
  <c r="V272" i="17"/>
  <c r="R272" i="17"/>
  <c r="N272" i="17"/>
  <c r="N273" i="17" s="1"/>
  <c r="J272" i="17"/>
  <c r="F272" i="17"/>
  <c r="AS272" i="17"/>
  <c r="AO272" i="17"/>
  <c r="AK272" i="17"/>
  <c r="AG272" i="17"/>
  <c r="AC272" i="17"/>
  <c r="Y272" i="17"/>
  <c r="Y132" i="17"/>
  <c r="Y342" i="17"/>
  <c r="Y412" i="17"/>
  <c r="Y482" i="17"/>
  <c r="W82" i="11" s="1"/>
  <c r="U272" i="17"/>
  <c r="U273" i="17" s="1"/>
  <c r="S122" i="11" s="1"/>
  <c r="U132" i="17"/>
  <c r="U342" i="17"/>
  <c r="U412" i="17"/>
  <c r="U482" i="17"/>
  <c r="S82" i="11" s="1"/>
  <c r="Q272" i="17"/>
  <c r="M272" i="17"/>
  <c r="I272" i="17"/>
  <c r="I132" i="17"/>
  <c r="G17" i="11" s="1"/>
  <c r="I342" i="17"/>
  <c r="G56" i="11" s="1"/>
  <c r="I412" i="17"/>
  <c r="I482" i="17"/>
  <c r="G82" i="11" s="1"/>
  <c r="E272" i="17"/>
  <c r="AL302" i="17"/>
  <c r="AH302" i="17"/>
  <c r="V302" i="17"/>
  <c r="V303" i="17" s="1"/>
  <c r="T127" i="11" s="1"/>
  <c r="R302" i="17"/>
  <c r="F302" i="17"/>
  <c r="D48" i="11" s="1"/>
  <c r="AS302" i="17"/>
  <c r="AG302" i="17"/>
  <c r="AE48" i="11" s="1"/>
  <c r="AC302" i="17"/>
  <c r="Q302" i="17"/>
  <c r="M302" i="17"/>
  <c r="AV302" i="17"/>
  <c r="AR302" i="17"/>
  <c r="AF302" i="17"/>
  <c r="AB302" i="17"/>
  <c r="P302" i="17"/>
  <c r="L302" i="17"/>
  <c r="AQ302" i="17"/>
  <c r="AM302" i="17"/>
  <c r="AA302" i="17"/>
  <c r="AA303" i="17" s="1"/>
  <c r="Y127" i="11" s="1"/>
  <c r="W302" i="17"/>
  <c r="K302" i="17"/>
  <c r="G302" i="17"/>
  <c r="AT322" i="17"/>
  <c r="AP322" i="17"/>
  <c r="AN52" i="11" s="1"/>
  <c r="AD322" i="17"/>
  <c r="Z322" i="17"/>
  <c r="N322" i="17"/>
  <c r="J322" i="17"/>
  <c r="AO322" i="17"/>
  <c r="AK322" i="17"/>
  <c r="Y322" i="17"/>
  <c r="U322" i="17"/>
  <c r="I322" i="17"/>
  <c r="E322" i="17"/>
  <c r="AN322" i="17"/>
  <c r="AJ322" i="17"/>
  <c r="AH52" i="11" s="1"/>
  <c r="X322" i="17"/>
  <c r="T322" i="17"/>
  <c r="H322" i="17"/>
  <c r="AU322" i="17"/>
  <c r="AI322" i="17"/>
  <c r="AE322" i="17"/>
  <c r="AE323" i="17" s="1"/>
  <c r="S322" i="17"/>
  <c r="O322" i="17"/>
  <c r="AT342" i="17"/>
  <c r="AP342" i="17"/>
  <c r="AP343" i="17" s="1"/>
  <c r="AN135" i="11" s="1"/>
  <c r="AL342" i="17"/>
  <c r="AH342" i="17"/>
  <c r="AH343" i="17" s="1"/>
  <c r="AF135" i="11" s="1"/>
  <c r="AD342" i="17"/>
  <c r="Z342" i="17"/>
  <c r="V342" i="17"/>
  <c r="R342" i="17"/>
  <c r="N342" i="17"/>
  <c r="J342" i="17"/>
  <c r="F342" i="17"/>
  <c r="AS342" i="17"/>
  <c r="AO342" i="17"/>
  <c r="AK342" i="17"/>
  <c r="AG342" i="17"/>
  <c r="AC342" i="17"/>
  <c r="Q342" i="17"/>
  <c r="M342" i="17"/>
  <c r="K56" i="11" s="1"/>
  <c r="E342" i="17"/>
  <c r="AV342" i="17"/>
  <c r="AR342" i="17"/>
  <c r="AJ342" i="17"/>
  <c r="AH56" i="11" s="1"/>
  <c r="AF342" i="17"/>
  <c r="AB342" i="17"/>
  <c r="T342" i="17"/>
  <c r="P342" i="17"/>
  <c r="P343" i="17" s="1"/>
  <c r="N135" i="11" s="1"/>
  <c r="L342" i="17"/>
  <c r="H342" i="17"/>
  <c r="AU342" i="17"/>
  <c r="AQ342" i="17"/>
  <c r="AM342" i="17"/>
  <c r="AK56" i="11" s="1"/>
  <c r="AI342" i="17"/>
  <c r="AE342" i="17"/>
  <c r="AE343" i="17" s="1"/>
  <c r="AC135" i="11" s="1"/>
  <c r="AA342" i="17"/>
  <c r="W342" i="17"/>
  <c r="U56" i="11" s="1"/>
  <c r="S342" i="17"/>
  <c r="O342" i="17"/>
  <c r="K342" i="17"/>
  <c r="K343" i="17" s="1"/>
  <c r="G342" i="17"/>
  <c r="E56" i="11" s="1"/>
  <c r="AS372" i="17"/>
  <c r="AO372" i="17"/>
  <c r="AK372" i="17"/>
  <c r="AI61" i="11" s="1"/>
  <c r="AG372" i="17"/>
  <c r="AE61" i="11" s="1"/>
  <c r="AC372" i="17"/>
  <c r="Y372" i="17"/>
  <c r="U372" i="17"/>
  <c r="U373" i="17" s="1"/>
  <c r="S140" i="11" s="1"/>
  <c r="Q372" i="17"/>
  <c r="O61" i="11" s="1"/>
  <c r="M372" i="17"/>
  <c r="I372" i="17"/>
  <c r="E372" i="17"/>
  <c r="AV372" i="17"/>
  <c r="AT61" i="11" s="1"/>
  <c r="AR372" i="17"/>
  <c r="AR373" i="17" s="1"/>
  <c r="AP140" i="11" s="1"/>
  <c r="AN372" i="17"/>
  <c r="AJ372" i="17"/>
  <c r="AF372" i="17"/>
  <c r="AB372" i="17"/>
  <c r="X372" i="17"/>
  <c r="T372" i="17"/>
  <c r="R61" i="11" s="1"/>
  <c r="P372" i="17"/>
  <c r="P373" i="17" s="1"/>
  <c r="N140" i="11" s="1"/>
  <c r="L372" i="17"/>
  <c r="H372" i="17"/>
  <c r="F61" i="11" s="1"/>
  <c r="AU372" i="17"/>
  <c r="AU373" i="17" s="1"/>
  <c r="AS140" i="11" s="1"/>
  <c r="AQ372" i="17"/>
  <c r="AQ373" i="17" s="1"/>
  <c r="AM372" i="17"/>
  <c r="AI372" i="17"/>
  <c r="AE372" i="17"/>
  <c r="AA372" i="17"/>
  <c r="AA373" i="17" s="1"/>
  <c r="W372" i="17"/>
  <c r="W373" i="17" s="1"/>
  <c r="U140" i="11" s="1"/>
  <c r="S372" i="17"/>
  <c r="O372" i="17"/>
  <c r="K372" i="17"/>
  <c r="K373" i="17" s="1"/>
  <c r="I140" i="11" s="1"/>
  <c r="G372" i="17"/>
  <c r="AT372" i="17"/>
  <c r="AP372" i="17"/>
  <c r="AP373" i="17" s="1"/>
  <c r="AL372" i="17"/>
  <c r="AL373" i="17" s="1"/>
  <c r="AJ140" i="11" s="1"/>
  <c r="AH372" i="17"/>
  <c r="AD372" i="17"/>
  <c r="Z372" i="17"/>
  <c r="X61" i="11" s="1"/>
  <c r="V372" i="17"/>
  <c r="V373" i="17" s="1"/>
  <c r="T140" i="11" s="1"/>
  <c r="R372" i="17"/>
  <c r="N372" i="17"/>
  <c r="J372" i="17"/>
  <c r="J373" i="17" s="1"/>
  <c r="H140" i="11" s="1"/>
  <c r="F372" i="17"/>
  <c r="F373" i="17" s="1"/>
  <c r="AS392" i="17"/>
  <c r="AS393" i="17" s="1"/>
  <c r="AQ144" i="11" s="1"/>
  <c r="AO392" i="17"/>
  <c r="AK392" i="17"/>
  <c r="AG392" i="17"/>
  <c r="AG393" i="17" s="1"/>
  <c r="AE144" i="11" s="1"/>
  <c r="AC392" i="17"/>
  <c r="Y392" i="17"/>
  <c r="U392" i="17"/>
  <c r="Q392" i="17"/>
  <c r="Q393" i="17" s="1"/>
  <c r="O144" i="11" s="1"/>
  <c r="M392" i="17"/>
  <c r="I392" i="17"/>
  <c r="I393" i="17" s="1"/>
  <c r="G144" i="11" s="1"/>
  <c r="E392" i="17"/>
  <c r="AV392" i="17"/>
  <c r="AV393" i="17" s="1"/>
  <c r="AR392" i="17"/>
  <c r="AN392" i="17"/>
  <c r="AJ392" i="17"/>
  <c r="AH65" i="11" s="1"/>
  <c r="AF392" i="17"/>
  <c r="AF393" i="17" s="1"/>
  <c r="AB392" i="17"/>
  <c r="X392" i="17"/>
  <c r="T392" i="17"/>
  <c r="R65" i="11" s="1"/>
  <c r="P392" i="17"/>
  <c r="P393" i="17" s="1"/>
  <c r="N144" i="11" s="1"/>
  <c r="L392" i="17"/>
  <c r="H392" i="17"/>
  <c r="AU392" i="17"/>
  <c r="AU393" i="17" s="1"/>
  <c r="AQ392" i="17"/>
  <c r="AQ393" i="17" s="1"/>
  <c r="AO144" i="11" s="1"/>
  <c r="AM392" i="17"/>
  <c r="AI392" i="17"/>
  <c r="AE392" i="17"/>
  <c r="AC65" i="11" s="1"/>
  <c r="AA392" i="17"/>
  <c r="W392" i="17"/>
  <c r="U65" i="11" s="1"/>
  <c r="S392" i="17"/>
  <c r="O392" i="17"/>
  <c r="M65" i="11" s="1"/>
  <c r="K392" i="17"/>
  <c r="I65" i="11" s="1"/>
  <c r="G392" i="17"/>
  <c r="G393" i="17" s="1"/>
  <c r="E144" i="11" s="1"/>
  <c r="AT392" i="17"/>
  <c r="AP392" i="17"/>
  <c r="AP393" i="17" s="1"/>
  <c r="AN144" i="11" s="1"/>
  <c r="AL392" i="17"/>
  <c r="AJ65" i="11" s="1"/>
  <c r="AH392" i="17"/>
  <c r="AD392" i="17"/>
  <c r="Z392" i="17"/>
  <c r="X65" i="11" s="1"/>
  <c r="V392" i="17"/>
  <c r="R392" i="17"/>
  <c r="N392" i="17"/>
  <c r="J392" i="17"/>
  <c r="J393" i="17" s="1"/>
  <c r="H144" i="11" s="1"/>
  <c r="F392" i="17"/>
  <c r="F393" i="17" s="1"/>
  <c r="D144" i="11" s="1"/>
  <c r="AS412" i="17"/>
  <c r="AO412" i="17"/>
  <c r="AK412" i="17"/>
  <c r="AG412" i="17"/>
  <c r="AG413" i="17" s="1"/>
  <c r="AE148" i="11" s="1"/>
  <c r="AC412" i="17"/>
  <c r="Q412" i="17"/>
  <c r="M412" i="17"/>
  <c r="K69" i="11" s="1"/>
  <c r="E412" i="17"/>
  <c r="AV412" i="17"/>
  <c r="AR412" i="17"/>
  <c r="AJ412" i="17"/>
  <c r="AJ413" i="17" s="1"/>
  <c r="AH148" i="11" s="1"/>
  <c r="AF412" i="17"/>
  <c r="AF413" i="17" s="1"/>
  <c r="AD148" i="11" s="1"/>
  <c r="AB412" i="17"/>
  <c r="T412" i="17"/>
  <c r="P412" i="17"/>
  <c r="L412" i="17"/>
  <c r="L413" i="17" s="1"/>
  <c r="J148" i="11" s="1"/>
  <c r="H412" i="17"/>
  <c r="F69" i="11" s="1"/>
  <c r="AU412" i="17"/>
  <c r="AQ412" i="17"/>
  <c r="AM412" i="17"/>
  <c r="AI412" i="17"/>
  <c r="AE412" i="17"/>
  <c r="AA412" i="17"/>
  <c r="Y69" i="11" s="1"/>
  <c r="W412" i="17"/>
  <c r="S412" i="17"/>
  <c r="S413" i="17" s="1"/>
  <c r="Q148" i="11" s="1"/>
  <c r="O412" i="17"/>
  <c r="K412" i="17"/>
  <c r="G412" i="17"/>
  <c r="G413" i="17" s="1"/>
  <c r="E148" i="11" s="1"/>
  <c r="AT412" i="17"/>
  <c r="AP412" i="17"/>
  <c r="AL412" i="17"/>
  <c r="AH412" i="17"/>
  <c r="AD412" i="17"/>
  <c r="Z412" i="17"/>
  <c r="V412" i="17"/>
  <c r="R412" i="17"/>
  <c r="P69" i="11" s="1"/>
  <c r="N412" i="17"/>
  <c r="L69" i="11" s="1"/>
  <c r="J412" i="17"/>
  <c r="F412" i="17"/>
  <c r="AU442" i="17"/>
  <c r="AQ442" i="17"/>
  <c r="AQ443" i="17" s="1"/>
  <c r="AM442" i="17"/>
  <c r="AI442" i="17"/>
  <c r="AE442" i="17"/>
  <c r="AA442" i="17"/>
  <c r="Y74" i="11" s="1"/>
  <c r="W442" i="17"/>
  <c r="S442" i="17"/>
  <c r="O442" i="17"/>
  <c r="O443" i="17" s="1"/>
  <c r="M153" i="11" s="1"/>
  <c r="K442" i="17"/>
  <c r="G442" i="17"/>
  <c r="AT442" i="17"/>
  <c r="AP442" i="17"/>
  <c r="AL442" i="17"/>
  <c r="AH442" i="17"/>
  <c r="AD442" i="17"/>
  <c r="Z442" i="17"/>
  <c r="V442" i="17"/>
  <c r="V443" i="17" s="1"/>
  <c r="T153" i="11" s="1"/>
  <c r="R442" i="17"/>
  <c r="R443" i="17" s="1"/>
  <c r="P153" i="11" s="1"/>
  <c r="N442" i="17"/>
  <c r="J442" i="17"/>
  <c r="J443" i="17" s="1"/>
  <c r="H153" i="11" s="1"/>
  <c r="F442" i="17"/>
  <c r="AS442" i="17"/>
  <c r="AO442" i="17"/>
  <c r="AM74" i="11" s="1"/>
  <c r="AK442" i="17"/>
  <c r="AG442" i="17"/>
  <c r="AG443" i="17" s="1"/>
  <c r="AE153" i="11" s="1"/>
  <c r="AC442" i="17"/>
  <c r="Y442" i="17"/>
  <c r="U442" i="17"/>
  <c r="U443" i="17" s="1"/>
  <c r="S153" i="11" s="1"/>
  <c r="Q442" i="17"/>
  <c r="M442" i="17"/>
  <c r="I442" i="17"/>
  <c r="E442" i="17"/>
  <c r="AV442" i="17"/>
  <c r="AV443" i="17" s="1"/>
  <c r="AT153" i="11" s="1"/>
  <c r="AR442" i="17"/>
  <c r="AN442" i="17"/>
  <c r="AJ442" i="17"/>
  <c r="AF442" i="17"/>
  <c r="AD74" i="11" s="1"/>
  <c r="AB442" i="17"/>
  <c r="X442" i="17"/>
  <c r="T442" i="17"/>
  <c r="P442" i="17"/>
  <c r="L442" i="17"/>
  <c r="H442" i="17"/>
  <c r="AU462" i="17"/>
  <c r="AQ462" i="17"/>
  <c r="AM462" i="17"/>
  <c r="AI462" i="17"/>
  <c r="AE462" i="17"/>
  <c r="AE463" i="17" s="1"/>
  <c r="AC157" i="11" s="1"/>
  <c r="AA462" i="17"/>
  <c r="AA463" i="17" s="1"/>
  <c r="W462" i="17"/>
  <c r="S462" i="17"/>
  <c r="Q78" i="11" s="1"/>
  <c r="O462" i="17"/>
  <c r="K462" i="17"/>
  <c r="G462" i="17"/>
  <c r="AT462" i="17"/>
  <c r="AT463" i="17" s="1"/>
  <c r="AP462" i="17"/>
  <c r="AN78" i="11" s="1"/>
  <c r="AL462" i="17"/>
  <c r="AL463" i="17" s="1"/>
  <c r="AJ157" i="11" s="1"/>
  <c r="AH462" i="17"/>
  <c r="AF78" i="11" s="1"/>
  <c r="AD462" i="17"/>
  <c r="Z462" i="17"/>
  <c r="V462" i="17"/>
  <c r="T78" i="11" s="1"/>
  <c r="R462" i="17"/>
  <c r="N462" i="17"/>
  <c r="J462" i="17"/>
  <c r="F462" i="17"/>
  <c r="F463" i="17" s="1"/>
  <c r="D157" i="11" s="1"/>
  <c r="AS462" i="17"/>
  <c r="AO462" i="17"/>
  <c r="AK462" i="17"/>
  <c r="AK463" i="17" s="1"/>
  <c r="AI157" i="11" s="1"/>
  <c r="AG462" i="17"/>
  <c r="AC462" i="17"/>
  <c r="Y462" i="17"/>
  <c r="Y463" i="17" s="1"/>
  <c r="W157" i="11" s="1"/>
  <c r="U462" i="17"/>
  <c r="Q462" i="17"/>
  <c r="M462" i="17"/>
  <c r="I462" i="17"/>
  <c r="E462" i="17"/>
  <c r="C78" i="11" s="1"/>
  <c r="AV462" i="17"/>
  <c r="AR462" i="17"/>
  <c r="AN462" i="17"/>
  <c r="AJ462" i="17"/>
  <c r="AF462" i="17"/>
  <c r="AB462" i="17"/>
  <c r="X462" i="17"/>
  <c r="X463" i="17" s="1"/>
  <c r="T462" i="17"/>
  <c r="P462" i="17"/>
  <c r="L462" i="17"/>
  <c r="H462" i="17"/>
  <c r="AU482" i="17"/>
  <c r="AU483" i="17" s="1"/>
  <c r="AS161" i="11" s="1"/>
  <c r="AQ482" i="17"/>
  <c r="AO82" i="11" s="1"/>
  <c r="AM482" i="17"/>
  <c r="AM483" i="17" s="1"/>
  <c r="AK161" i="11" s="1"/>
  <c r="AI482" i="17"/>
  <c r="AE482" i="17"/>
  <c r="AA482" i="17"/>
  <c r="AA483" i="17" s="1"/>
  <c r="Y161" i="11" s="1"/>
  <c r="W482" i="17"/>
  <c r="U82" i="11" s="1"/>
  <c r="S482" i="17"/>
  <c r="Q82" i="11" s="1"/>
  <c r="O482" i="17"/>
  <c r="M82" i="11" s="1"/>
  <c r="K482" i="17"/>
  <c r="G482" i="17"/>
  <c r="AT482" i="17"/>
  <c r="AP482" i="17"/>
  <c r="AL482" i="17"/>
  <c r="AH482" i="17"/>
  <c r="AD482" i="17"/>
  <c r="Z482" i="17"/>
  <c r="V482" i="17"/>
  <c r="V483" i="17" s="1"/>
  <c r="T161" i="11" s="1"/>
  <c r="R482" i="17"/>
  <c r="N482" i="17"/>
  <c r="L82" i="11" s="1"/>
  <c r="J482" i="17"/>
  <c r="H82" i="11" s="1"/>
  <c r="F482" i="17"/>
  <c r="AS482" i="17"/>
  <c r="AO482" i="17"/>
  <c r="AK482" i="17"/>
  <c r="AG482" i="17"/>
  <c r="AC482" i="17"/>
  <c r="Q482" i="17"/>
  <c r="M482" i="17"/>
  <c r="E482" i="17"/>
  <c r="AV482" i="17"/>
  <c r="AT82" i="11" s="1"/>
  <c r="AR482" i="17"/>
  <c r="AP82" i="11" s="1"/>
  <c r="AJ482" i="17"/>
  <c r="AH82" i="11" s="1"/>
  <c r="AF482" i="17"/>
  <c r="AB482" i="17"/>
  <c r="T482" i="17"/>
  <c r="T483" i="17" s="1"/>
  <c r="R161" i="11" s="1"/>
  <c r="P482" i="17"/>
  <c r="L482" i="17"/>
  <c r="J82" i="11" s="1"/>
  <c r="H482" i="17"/>
  <c r="B90" i="17"/>
  <c r="E102" i="17"/>
  <c r="I102" i="17"/>
  <c r="M102" i="17"/>
  <c r="Q102" i="17"/>
  <c r="U102" i="17"/>
  <c r="U103" i="17" s="1"/>
  <c r="S90" i="11" s="1"/>
  <c r="Y102" i="17"/>
  <c r="AC102" i="17"/>
  <c r="AG102" i="17"/>
  <c r="AK102" i="17"/>
  <c r="AO102" i="17"/>
  <c r="AO103" i="17" s="1"/>
  <c r="AS102" i="17"/>
  <c r="AQ11" i="11" s="1"/>
  <c r="F107" i="17"/>
  <c r="D12" i="11" s="1"/>
  <c r="J107" i="17"/>
  <c r="H12" i="11" s="1"/>
  <c r="N107" i="17"/>
  <c r="R107" i="17"/>
  <c r="V107" i="17"/>
  <c r="Z107" i="17"/>
  <c r="AD107" i="17"/>
  <c r="AH107" i="17"/>
  <c r="AL107" i="17"/>
  <c r="AP107" i="17"/>
  <c r="AP108" i="17" s="1"/>
  <c r="AT107" i="17"/>
  <c r="P117" i="17"/>
  <c r="AV117" i="17"/>
  <c r="E122" i="17"/>
  <c r="I122" i="17"/>
  <c r="I123" i="17" s="1"/>
  <c r="M122" i="17"/>
  <c r="Q122" i="17"/>
  <c r="Q123" i="17" s="1"/>
  <c r="O94" i="11" s="1"/>
  <c r="U122" i="17"/>
  <c r="Y122" i="17"/>
  <c r="W15" i="11" s="1"/>
  <c r="AC122" i="17"/>
  <c r="AA15" i="11" s="1"/>
  <c r="AG122" i="17"/>
  <c r="AK122" i="17"/>
  <c r="AO122" i="17"/>
  <c r="AO123" i="17" s="1"/>
  <c r="AS122" i="17"/>
  <c r="AL127" i="17"/>
  <c r="AL128" i="17" s="1"/>
  <c r="AJ95" i="11" s="1"/>
  <c r="B130" i="17"/>
  <c r="AW130" i="17" s="1"/>
  <c r="AW131" i="17" s="1"/>
  <c r="AW132" i="17" s="1"/>
  <c r="AW133" i="17" s="1"/>
  <c r="AW134" i="17" s="1"/>
  <c r="AE132" i="17"/>
  <c r="AE133" i="17" s="1"/>
  <c r="AU132" i="17"/>
  <c r="H157" i="17"/>
  <c r="AJ157" i="17"/>
  <c r="AN157" i="17"/>
  <c r="E162" i="17"/>
  <c r="I162" i="17"/>
  <c r="I163" i="17" s="1"/>
  <c r="G101" i="11" s="1"/>
  <c r="M162" i="17"/>
  <c r="K22" i="11" s="1"/>
  <c r="Q162" i="17"/>
  <c r="U162" i="17"/>
  <c r="S22" i="11" s="1"/>
  <c r="Y162" i="17"/>
  <c r="AC162" i="17"/>
  <c r="AA22" i="11" s="1"/>
  <c r="AG162" i="17"/>
  <c r="AK162" i="17"/>
  <c r="AO162" i="17"/>
  <c r="AS162" i="17"/>
  <c r="AQ22" i="11" s="1"/>
  <c r="AD167" i="17"/>
  <c r="AT167" i="17"/>
  <c r="AR23" i="11" s="1"/>
  <c r="G172" i="17"/>
  <c r="K172" i="17"/>
  <c r="O172" i="17"/>
  <c r="S172" i="17"/>
  <c r="W172" i="17"/>
  <c r="AA172" i="17"/>
  <c r="AE172" i="17"/>
  <c r="AE173" i="17" s="1"/>
  <c r="AC103" i="11" s="1"/>
  <c r="AJ172" i="17"/>
  <c r="D190" i="19"/>
  <c r="D207" i="19" s="1"/>
  <c r="D17" i="19"/>
  <c r="D45" i="19" s="1"/>
  <c r="E45" i="19" s="1"/>
  <c r="AG11" i="15"/>
  <c r="AS177" i="17"/>
  <c r="AO177" i="17"/>
  <c r="M177" i="17"/>
  <c r="I177" i="17"/>
  <c r="AB177" i="17"/>
  <c r="X177" i="17"/>
  <c r="AL177" i="17"/>
  <c r="AH177" i="17"/>
  <c r="F177" i="17"/>
  <c r="U197" i="17"/>
  <c r="Q197" i="17"/>
  <c r="AJ197" i="17"/>
  <c r="AF197" i="17"/>
  <c r="AD29" i="11" s="1"/>
  <c r="AU197" i="17"/>
  <c r="AQ197" i="17"/>
  <c r="O197" i="17"/>
  <c r="K197" i="17"/>
  <c r="Z197" i="17"/>
  <c r="V197" i="17"/>
  <c r="T29" i="11" s="1"/>
  <c r="AM227" i="17"/>
  <c r="AM228" i="17" s="1"/>
  <c r="AK113" i="11" s="1"/>
  <c r="AI227" i="17"/>
  <c r="G227" i="17"/>
  <c r="AT227" i="17"/>
  <c r="R227" i="17"/>
  <c r="N227" i="17"/>
  <c r="AC227" i="17"/>
  <c r="AC228" i="17" s="1"/>
  <c r="AA113" i="11" s="1"/>
  <c r="Y227" i="17"/>
  <c r="Y228" i="17" s="1"/>
  <c r="W113" i="11" s="1"/>
  <c r="AR227" i="17"/>
  <c r="AR228" i="17" s="1"/>
  <c r="AP113" i="11" s="1"/>
  <c r="AN227" i="17"/>
  <c r="AN228" i="17" s="1"/>
  <c r="AL113" i="11" s="1"/>
  <c r="T227" i="17"/>
  <c r="T228" i="17" s="1"/>
  <c r="R113" i="11" s="1"/>
  <c r="L227" i="17"/>
  <c r="H227" i="17"/>
  <c r="AI247" i="17"/>
  <c r="AA247" i="17"/>
  <c r="W247" i="17"/>
  <c r="U38" i="11" s="1"/>
  <c r="S247" i="17"/>
  <c r="O247" i="17"/>
  <c r="K247" i="17"/>
  <c r="I38" i="11" s="1"/>
  <c r="G247" i="17"/>
  <c r="AT247" i="17"/>
  <c r="AP247" i="17"/>
  <c r="AP248" i="17" s="1"/>
  <c r="AN117" i="11" s="1"/>
  <c r="AL247" i="17"/>
  <c r="AH247" i="17"/>
  <c r="AF38" i="11" s="1"/>
  <c r="AD247" i="17"/>
  <c r="AB38" i="11" s="1"/>
  <c r="Z247" i="17"/>
  <c r="V247" i="17"/>
  <c r="T38" i="11" s="1"/>
  <c r="R247" i="17"/>
  <c r="N247" i="17"/>
  <c r="L38" i="11" s="1"/>
  <c r="J247" i="17"/>
  <c r="H38" i="11" s="1"/>
  <c r="F247" i="17"/>
  <c r="AS247" i="17"/>
  <c r="AQ38" i="11" s="1"/>
  <c r="AO247" i="17"/>
  <c r="AK247" i="17"/>
  <c r="AG247" i="17"/>
  <c r="AE38" i="11" s="1"/>
  <c r="AC247" i="17"/>
  <c r="Y247" i="17"/>
  <c r="U247" i="17"/>
  <c r="Q247" i="17"/>
  <c r="M247" i="17"/>
  <c r="K38" i="11" s="1"/>
  <c r="I247" i="17"/>
  <c r="I248" i="17" s="1"/>
  <c r="G117" i="11" s="1"/>
  <c r="E247" i="17"/>
  <c r="AV247" i="17"/>
  <c r="AT38" i="11" s="1"/>
  <c r="AR247" i="17"/>
  <c r="AN247" i="17"/>
  <c r="AJ247" i="17"/>
  <c r="AF247" i="17"/>
  <c r="AB247" i="17"/>
  <c r="Z38" i="11" s="1"/>
  <c r="X247" i="17"/>
  <c r="V38" i="11" s="1"/>
  <c r="T247" i="17"/>
  <c r="R38" i="11" s="1"/>
  <c r="P247" i="17"/>
  <c r="N38" i="11" s="1"/>
  <c r="L247" i="17"/>
  <c r="H247" i="17"/>
  <c r="AU267" i="17"/>
  <c r="AQ267" i="17"/>
  <c r="AQ268" i="17" s="1"/>
  <c r="AO121" i="11" s="1"/>
  <c r="AM267" i="17"/>
  <c r="AI267" i="17"/>
  <c r="AE267" i="17"/>
  <c r="AA267" i="17"/>
  <c r="W267" i="17"/>
  <c r="S267" i="17"/>
  <c r="Q42" i="11" s="1"/>
  <c r="O267" i="17"/>
  <c r="M42" i="11" s="1"/>
  <c r="K267" i="17"/>
  <c r="G267" i="17"/>
  <c r="G268" i="17" s="1"/>
  <c r="E121" i="11" s="1"/>
  <c r="AT267" i="17"/>
  <c r="AP267" i="17"/>
  <c r="AN42" i="11" s="1"/>
  <c r="AL267" i="17"/>
  <c r="AH267" i="17"/>
  <c r="AD267" i="17"/>
  <c r="Z267" i="17"/>
  <c r="V267" i="17"/>
  <c r="R267" i="17"/>
  <c r="R268" i="17" s="1"/>
  <c r="N267" i="17"/>
  <c r="L42" i="11" s="1"/>
  <c r="J267" i="17"/>
  <c r="F267" i="17"/>
  <c r="AS267" i="17"/>
  <c r="AO267" i="17"/>
  <c r="AK267" i="17"/>
  <c r="AI42" i="11" s="1"/>
  <c r="AG267" i="17"/>
  <c r="AC267" i="17"/>
  <c r="AC268" i="17" s="1"/>
  <c r="AA121" i="11" s="1"/>
  <c r="Y267" i="17"/>
  <c r="Y268" i="17" s="1"/>
  <c r="W121" i="11" s="1"/>
  <c r="U267" i="17"/>
  <c r="S42" i="11" s="1"/>
  <c r="Q267" i="17"/>
  <c r="Q268" i="17" s="1"/>
  <c r="M267" i="17"/>
  <c r="I267" i="17"/>
  <c r="E267" i="17"/>
  <c r="AV267" i="17"/>
  <c r="AV268" i="17" s="1"/>
  <c r="AR267" i="17"/>
  <c r="AR268" i="17" s="1"/>
  <c r="AP121" i="11" s="1"/>
  <c r="AN267" i="17"/>
  <c r="AJ267" i="17"/>
  <c r="AF267" i="17"/>
  <c r="AB267" i="17"/>
  <c r="X267" i="17"/>
  <c r="T267" i="17"/>
  <c r="R42" i="11" s="1"/>
  <c r="P267" i="17"/>
  <c r="L267" i="17"/>
  <c r="L268" i="17" s="1"/>
  <c r="J121" i="11" s="1"/>
  <c r="H267" i="17"/>
  <c r="H268" i="17" s="1"/>
  <c r="AS317" i="17"/>
  <c r="AO317" i="17"/>
  <c r="AO318" i="17" s="1"/>
  <c r="AM130" i="11" s="1"/>
  <c r="AC317" i="17"/>
  <c r="Y317" i="17"/>
  <c r="M317" i="17"/>
  <c r="I317" i="17"/>
  <c r="G51" i="11" s="1"/>
  <c r="AR317" i="17"/>
  <c r="AN317" i="17"/>
  <c r="AB317" i="17"/>
  <c r="AB318" i="17" s="1"/>
  <c r="Z130" i="11" s="1"/>
  <c r="X317" i="17"/>
  <c r="L317" i="17"/>
  <c r="H317" i="17"/>
  <c r="AM317" i="17"/>
  <c r="AI317" i="17"/>
  <c r="W317" i="17"/>
  <c r="U51" i="11" s="1"/>
  <c r="S317" i="17"/>
  <c r="G317" i="17"/>
  <c r="AT317" i="17"/>
  <c r="AH317" i="17"/>
  <c r="AD317" i="17"/>
  <c r="R317" i="17"/>
  <c r="P51" i="11" s="1"/>
  <c r="N317" i="17"/>
  <c r="AS337" i="17"/>
  <c r="AO337" i="17"/>
  <c r="AO338" i="17" s="1"/>
  <c r="AM134" i="11" s="1"/>
  <c r="AK337" i="17"/>
  <c r="AI55" i="11" s="1"/>
  <c r="AG337" i="17"/>
  <c r="AE55" i="11" s="1"/>
  <c r="AC337" i="17"/>
  <c r="Y337" i="17"/>
  <c r="U337" i="17"/>
  <c r="Q337" i="17"/>
  <c r="M337" i="17"/>
  <c r="I337" i="17"/>
  <c r="G55" i="11" s="1"/>
  <c r="E337" i="17"/>
  <c r="AV337" i="17"/>
  <c r="AR337" i="17"/>
  <c r="AN337" i="17"/>
  <c r="AJ337" i="17"/>
  <c r="AF337" i="17"/>
  <c r="AB337" i="17"/>
  <c r="X337" i="17"/>
  <c r="T337" i="17"/>
  <c r="P337" i="17"/>
  <c r="N55" i="11" s="1"/>
  <c r="L337" i="17"/>
  <c r="H337" i="17"/>
  <c r="F55" i="11" s="1"/>
  <c r="AU337" i="17"/>
  <c r="AQ337" i="17"/>
  <c r="AM337" i="17"/>
  <c r="AI337" i="17"/>
  <c r="AG55" i="11" s="1"/>
  <c r="AE337" i="17"/>
  <c r="AA337" i="17"/>
  <c r="AA338" i="17" s="1"/>
  <c r="W337" i="17"/>
  <c r="S337" i="17"/>
  <c r="O337" i="17"/>
  <c r="K337" i="17"/>
  <c r="G337" i="17"/>
  <c r="AT337" i="17"/>
  <c r="AP337" i="17"/>
  <c r="AP338" i="17" s="1"/>
  <c r="AN134" i="11" s="1"/>
  <c r="AL337" i="17"/>
  <c r="AJ55" i="11" s="1"/>
  <c r="AH337" i="17"/>
  <c r="AD337" i="17"/>
  <c r="Z337" i="17"/>
  <c r="V337" i="17"/>
  <c r="R337" i="17"/>
  <c r="N337" i="17"/>
  <c r="N338" i="17" s="1"/>
  <c r="L134" i="11" s="1"/>
  <c r="J337" i="17"/>
  <c r="F337" i="17"/>
  <c r="D55" i="11" s="1"/>
  <c r="AV367" i="17"/>
  <c r="AT60" i="11" s="1"/>
  <c r="AR367" i="17"/>
  <c r="AN367" i="17"/>
  <c r="AJ367" i="17"/>
  <c r="AF367" i="17"/>
  <c r="AD60" i="11" s="1"/>
  <c r="AB367" i="17"/>
  <c r="X367" i="17"/>
  <c r="T367" i="17"/>
  <c r="P367" i="17"/>
  <c r="P368" i="17" s="1"/>
  <c r="N139" i="11" s="1"/>
  <c r="L367" i="17"/>
  <c r="H367" i="17"/>
  <c r="AU367" i="17"/>
  <c r="AU368" i="17" s="1"/>
  <c r="AQ367" i="17"/>
  <c r="AM367" i="17"/>
  <c r="AI367" i="17"/>
  <c r="AI368" i="17" s="1"/>
  <c r="AG139" i="11" s="1"/>
  <c r="AE367" i="17"/>
  <c r="AA367" i="17"/>
  <c r="AA368" i="17" s="1"/>
  <c r="Y139" i="11" s="1"/>
  <c r="W367" i="17"/>
  <c r="S367" i="17"/>
  <c r="O367" i="17"/>
  <c r="K367" i="17"/>
  <c r="G367" i="17"/>
  <c r="AT367" i="17"/>
  <c r="AP367" i="17"/>
  <c r="AL367" i="17"/>
  <c r="AL368" i="17" s="1"/>
  <c r="AJ139" i="11" s="1"/>
  <c r="AH367" i="17"/>
  <c r="AD367" i="17"/>
  <c r="Z367" i="17"/>
  <c r="V367" i="17"/>
  <c r="V368" i="17" s="1"/>
  <c r="T139" i="11" s="1"/>
  <c r="R367" i="17"/>
  <c r="N367" i="17"/>
  <c r="J367" i="17"/>
  <c r="H60" i="11" s="1"/>
  <c r="F367" i="17"/>
  <c r="AS367" i="17"/>
  <c r="AO367" i="17"/>
  <c r="AK367" i="17"/>
  <c r="AI60" i="11" s="1"/>
  <c r="AG367" i="17"/>
  <c r="AE60" i="11" s="1"/>
  <c r="AC367" i="17"/>
  <c r="AC368" i="17" s="1"/>
  <c r="AA139" i="11" s="1"/>
  <c r="Y367" i="17"/>
  <c r="U367" i="17"/>
  <c r="Q367" i="17"/>
  <c r="M367" i="17"/>
  <c r="K60" i="11" s="1"/>
  <c r="I367" i="17"/>
  <c r="E367" i="17"/>
  <c r="E368" i="17" s="1"/>
  <c r="AV387" i="17"/>
  <c r="AF387" i="17"/>
  <c r="P387" i="17"/>
  <c r="AQ387" i="17"/>
  <c r="AQ388" i="17" s="1"/>
  <c r="AO143" i="11" s="1"/>
  <c r="AE387" i="17"/>
  <c r="AC64" i="11" s="1"/>
  <c r="O387" i="17"/>
  <c r="AP387" i="17"/>
  <c r="N387" i="17"/>
  <c r="F387" i="17"/>
  <c r="AG387" i="17"/>
  <c r="U387" i="17"/>
  <c r="U388" i="17" s="1"/>
  <c r="E387" i="17"/>
  <c r="AV407" i="17"/>
  <c r="AR407" i="17"/>
  <c r="AN407" i="17"/>
  <c r="AJ407" i="17"/>
  <c r="AF407" i="17"/>
  <c r="AF408" i="17" s="1"/>
  <c r="AB407" i="17"/>
  <c r="X407" i="17"/>
  <c r="T407" i="17"/>
  <c r="T408" i="17" s="1"/>
  <c r="R147" i="11" s="1"/>
  <c r="P407" i="17"/>
  <c r="L407" i="17"/>
  <c r="J68" i="11" s="1"/>
  <c r="H407" i="17"/>
  <c r="AU407" i="17"/>
  <c r="AQ407" i="17"/>
  <c r="AM407" i="17"/>
  <c r="AI407" i="17"/>
  <c r="AI408" i="17" s="1"/>
  <c r="AG147" i="11" s="1"/>
  <c r="AE407" i="17"/>
  <c r="AE408" i="17" s="1"/>
  <c r="AC147" i="11" s="1"/>
  <c r="AA407" i="17"/>
  <c r="W407" i="17"/>
  <c r="U68" i="11" s="1"/>
  <c r="S407" i="17"/>
  <c r="O407" i="17"/>
  <c r="K407" i="17"/>
  <c r="K408" i="17" s="1"/>
  <c r="G407" i="17"/>
  <c r="G408" i="17" s="1"/>
  <c r="E147" i="11" s="1"/>
  <c r="AT407" i="17"/>
  <c r="AT408" i="17" s="1"/>
  <c r="AP407" i="17"/>
  <c r="AP408" i="17" s="1"/>
  <c r="AN147" i="11" s="1"/>
  <c r="AL407" i="17"/>
  <c r="AH407" i="17"/>
  <c r="AD407" i="17"/>
  <c r="Z407" i="17"/>
  <c r="V407" i="17"/>
  <c r="V408" i="17" s="1"/>
  <c r="R407" i="17"/>
  <c r="N407" i="17"/>
  <c r="J407" i="17"/>
  <c r="F407" i="17"/>
  <c r="AS407" i="17"/>
  <c r="AO407" i="17"/>
  <c r="AK407" i="17"/>
  <c r="AG407" i="17"/>
  <c r="AG408" i="17" s="1"/>
  <c r="AE147" i="11" s="1"/>
  <c r="AC407" i="17"/>
  <c r="Y407" i="17"/>
  <c r="U407" i="17"/>
  <c r="S68" i="11" s="1"/>
  <c r="Q407" i="17"/>
  <c r="M407" i="17"/>
  <c r="I407" i="17"/>
  <c r="E407" i="17"/>
  <c r="AT437" i="17"/>
  <c r="AP437" i="17"/>
  <c r="AD437" i="17"/>
  <c r="Z437" i="17"/>
  <c r="N437" i="17"/>
  <c r="L73" i="11" s="1"/>
  <c r="J437" i="17"/>
  <c r="AO437" i="17"/>
  <c r="AK437" i="17"/>
  <c r="Y437" i="17"/>
  <c r="U437" i="17"/>
  <c r="I437" i="17"/>
  <c r="E437" i="17"/>
  <c r="E438" i="17" s="1"/>
  <c r="C152" i="11" s="1"/>
  <c r="AN437" i="17"/>
  <c r="AL73" i="11" s="1"/>
  <c r="AJ437" i="17"/>
  <c r="X437" i="17"/>
  <c r="T437" i="17"/>
  <c r="H437" i="17"/>
  <c r="AU437" i="17"/>
  <c r="AI437" i="17"/>
  <c r="AE437" i="17"/>
  <c r="S437" i="17"/>
  <c r="Q73" i="11" s="1"/>
  <c r="O437" i="17"/>
  <c r="AT457" i="17"/>
  <c r="AP457" i="17"/>
  <c r="AN77" i="11" s="1"/>
  <c r="AL457" i="17"/>
  <c r="AJ77" i="11" s="1"/>
  <c r="AH457" i="17"/>
  <c r="AD457" i="17"/>
  <c r="Z457" i="17"/>
  <c r="Z458" i="17" s="1"/>
  <c r="X156" i="11" s="1"/>
  <c r="V457" i="17"/>
  <c r="R457" i="17"/>
  <c r="N457" i="17"/>
  <c r="J457" i="17"/>
  <c r="F457" i="17"/>
  <c r="F458" i="17" s="1"/>
  <c r="D156" i="11" s="1"/>
  <c r="AS457" i="17"/>
  <c r="AO457" i="17"/>
  <c r="AK457" i="17"/>
  <c r="AI77" i="11" s="1"/>
  <c r="AG457" i="17"/>
  <c r="AC457" i="17"/>
  <c r="Y457" i="17"/>
  <c r="U457" i="17"/>
  <c r="Q457" i="17"/>
  <c r="Q458" i="17" s="1"/>
  <c r="O156" i="11" s="1"/>
  <c r="M457" i="17"/>
  <c r="I457" i="17"/>
  <c r="I458" i="17" s="1"/>
  <c r="E457" i="17"/>
  <c r="E458" i="17" s="1"/>
  <c r="C156" i="11" s="1"/>
  <c r="AV457" i="17"/>
  <c r="AR457" i="17"/>
  <c r="AN457" i="17"/>
  <c r="AJ457" i="17"/>
  <c r="AF457" i="17"/>
  <c r="AF458" i="17" s="1"/>
  <c r="AD156" i="11" s="1"/>
  <c r="AB457" i="17"/>
  <c r="AB458" i="17" s="1"/>
  <c r="Z156" i="11" s="1"/>
  <c r="X457" i="17"/>
  <c r="T457" i="17"/>
  <c r="T458" i="17" s="1"/>
  <c r="R156" i="11" s="1"/>
  <c r="P457" i="17"/>
  <c r="L457" i="17"/>
  <c r="H457" i="17"/>
  <c r="AU457" i="17"/>
  <c r="AQ457" i="17"/>
  <c r="AQ458" i="17" s="1"/>
  <c r="AM457" i="17"/>
  <c r="AI457" i="17"/>
  <c r="AE457" i="17"/>
  <c r="AA457" i="17"/>
  <c r="Y77" i="11" s="1"/>
  <c r="W457" i="17"/>
  <c r="W458" i="17" s="1"/>
  <c r="U156" i="11" s="1"/>
  <c r="S457" i="17"/>
  <c r="Q77" i="11" s="1"/>
  <c r="O457" i="17"/>
  <c r="K457" i="17"/>
  <c r="G457" i="17"/>
  <c r="AT477" i="17"/>
  <c r="AT478" i="17" s="1"/>
  <c r="AD477" i="17"/>
  <c r="AB81" i="11" s="1"/>
  <c r="N477" i="17"/>
  <c r="AO477" i="17"/>
  <c r="Y477" i="17"/>
  <c r="I477" i="17"/>
  <c r="AN477" i="17"/>
  <c r="X477" i="17"/>
  <c r="H477" i="17"/>
  <c r="AI477" i="17"/>
  <c r="AG81" i="11" s="1"/>
  <c r="S477" i="17"/>
  <c r="AO97" i="17"/>
  <c r="AS97" i="17"/>
  <c r="AS98" i="17" s="1"/>
  <c r="AQ89" i="11" s="1"/>
  <c r="F102" i="17"/>
  <c r="J102" i="17"/>
  <c r="H11" i="11" s="1"/>
  <c r="N102" i="17"/>
  <c r="R102" i="17"/>
  <c r="V102" i="17"/>
  <c r="Z102" i="17"/>
  <c r="AD102" i="17"/>
  <c r="AH102" i="17"/>
  <c r="AF11" i="11" s="1"/>
  <c r="AL102" i="17"/>
  <c r="AP102" i="17"/>
  <c r="AN11" i="11" s="1"/>
  <c r="AT102" i="17"/>
  <c r="G107" i="17"/>
  <c r="K107" i="17"/>
  <c r="I12" i="11" s="1"/>
  <c r="O107" i="17"/>
  <c r="O108" i="17" s="1"/>
  <c r="M91" i="11" s="1"/>
  <c r="S107" i="17"/>
  <c r="W107" i="17"/>
  <c r="AA107" i="17"/>
  <c r="Y12" i="11" s="1"/>
  <c r="AE107" i="17"/>
  <c r="AI107" i="17"/>
  <c r="AM107" i="17"/>
  <c r="AQ107" i="17"/>
  <c r="AU107" i="17"/>
  <c r="E117" i="17"/>
  <c r="I117" i="17"/>
  <c r="AO117" i="17"/>
  <c r="F122" i="17"/>
  <c r="J122" i="17"/>
  <c r="N122" i="17"/>
  <c r="N123" i="17" s="1"/>
  <c r="L94" i="11" s="1"/>
  <c r="R122" i="17"/>
  <c r="V122" i="17"/>
  <c r="V123" i="17" s="1"/>
  <c r="Z122" i="17"/>
  <c r="Z123" i="17" s="1"/>
  <c r="X94" i="11" s="1"/>
  <c r="AD122" i="17"/>
  <c r="AB15" i="11" s="1"/>
  <c r="AH122" i="17"/>
  <c r="AL122" i="17"/>
  <c r="AL123" i="17" s="1"/>
  <c r="AJ94" i="11" s="1"/>
  <c r="AP122" i="17"/>
  <c r="AT122" i="17"/>
  <c r="AR15" i="11" s="1"/>
  <c r="G127" i="17"/>
  <c r="E16" i="11" s="1"/>
  <c r="W127" i="17"/>
  <c r="AE127" i="17"/>
  <c r="AU127" i="17"/>
  <c r="L132" i="17"/>
  <c r="P132" i="17"/>
  <c r="AH142" i="17"/>
  <c r="AH143" i="17" s="1"/>
  <c r="E157" i="17"/>
  <c r="I157" i="17"/>
  <c r="G21" i="11" s="1"/>
  <c r="M157" i="17"/>
  <c r="M158" i="17" s="1"/>
  <c r="K100" i="11" s="1"/>
  <c r="Q157" i="17"/>
  <c r="O21" i="11" s="1"/>
  <c r="U157" i="17"/>
  <c r="Y157" i="17"/>
  <c r="AC157" i="17"/>
  <c r="AG157" i="17"/>
  <c r="AE21" i="11" s="1"/>
  <c r="AK157" i="17"/>
  <c r="AO157" i="17"/>
  <c r="AS157" i="17"/>
  <c r="AQ21" i="11" s="1"/>
  <c r="F162" i="17"/>
  <c r="J162" i="17"/>
  <c r="N162" i="17"/>
  <c r="R162" i="17"/>
  <c r="V162" i="17"/>
  <c r="Z162" i="17"/>
  <c r="AD162" i="17"/>
  <c r="AH162" i="17"/>
  <c r="AH163" i="17" s="1"/>
  <c r="AL162" i="17"/>
  <c r="AP162" i="17"/>
  <c r="AN22" i="11" s="1"/>
  <c r="AT162" i="17"/>
  <c r="AT192" i="17"/>
  <c r="S167" i="17"/>
  <c r="S168" i="17" s="1"/>
  <c r="Q102" i="11" s="1"/>
  <c r="AI167" i="17"/>
  <c r="AI168" i="17" s="1"/>
  <c r="H172" i="17"/>
  <c r="L172" i="17"/>
  <c r="P172" i="17"/>
  <c r="N24" i="11" s="1"/>
  <c r="T172" i="17"/>
  <c r="X172" i="17"/>
  <c r="V24" i="11" s="1"/>
  <c r="AB172" i="17"/>
  <c r="AB173" i="17" s="1"/>
  <c r="Z103" i="11" s="1"/>
  <c r="AF172" i="17"/>
  <c r="S177" i="17"/>
  <c r="AI177" i="17"/>
  <c r="AG25" i="11" s="1"/>
  <c r="E6" i="14"/>
  <c r="E2" i="40" s="1"/>
  <c r="F15" i="15"/>
  <c r="AV172" i="17"/>
  <c r="AV173" i="17" s="1"/>
  <c r="AT103" i="11" s="1"/>
  <c r="AV242" i="17"/>
  <c r="AV243" i="17" s="1"/>
  <c r="AT116" i="11" s="1"/>
  <c r="AV312" i="17"/>
  <c r="AV382" i="17"/>
  <c r="AV452" i="17"/>
  <c r="AR172" i="17"/>
  <c r="AR173" i="17" s="1"/>
  <c r="AP103" i="11" s="1"/>
  <c r="AN172" i="17"/>
  <c r="AU172" i="17"/>
  <c r="AQ172" i="17"/>
  <c r="AM172" i="17"/>
  <c r="AI172" i="17"/>
  <c r="AS172" i="17"/>
  <c r="AO172" i="17"/>
  <c r="AM24" i="11" s="1"/>
  <c r="AO242" i="17"/>
  <c r="AO312" i="17"/>
  <c r="AO382" i="17"/>
  <c r="AO383" i="17" s="1"/>
  <c r="AM142" i="11" s="1"/>
  <c r="AO452" i="17"/>
  <c r="AK172" i="17"/>
  <c r="AV192" i="17"/>
  <c r="AT28" i="11" s="1"/>
  <c r="AR192" i="17"/>
  <c r="AN192" i="17"/>
  <c r="AJ192" i="17"/>
  <c r="AH28" i="11" s="1"/>
  <c r="AF192" i="17"/>
  <c r="AB192" i="17"/>
  <c r="AB193" i="17" s="1"/>
  <c r="Z107" i="11" s="1"/>
  <c r="X192" i="17"/>
  <c r="X193" i="17" s="1"/>
  <c r="T192" i="17"/>
  <c r="P192" i="17"/>
  <c r="N28" i="11" s="1"/>
  <c r="L192" i="17"/>
  <c r="H192" i="17"/>
  <c r="AU192" i="17"/>
  <c r="AQ192" i="17"/>
  <c r="AM192" i="17"/>
  <c r="AI192" i="17"/>
  <c r="AG28" i="11" s="1"/>
  <c r="AE192" i="17"/>
  <c r="AA192" i="17"/>
  <c r="Y28" i="11" s="1"/>
  <c r="W192" i="17"/>
  <c r="U28" i="11" s="1"/>
  <c r="S192" i="17"/>
  <c r="O192" i="17"/>
  <c r="K192" i="17"/>
  <c r="G192" i="17"/>
  <c r="AP192" i="17"/>
  <c r="AL192" i="17"/>
  <c r="AH192" i="17"/>
  <c r="AH193" i="17" s="1"/>
  <c r="AD192" i="17"/>
  <c r="AD193" i="17" s="1"/>
  <c r="Z192" i="17"/>
  <c r="V192" i="17"/>
  <c r="R192" i="17"/>
  <c r="R193" i="17" s="1"/>
  <c r="P107" i="11" s="1"/>
  <c r="N192" i="17"/>
  <c r="N193" i="17" s="1"/>
  <c r="L107" i="11" s="1"/>
  <c r="J192" i="17"/>
  <c r="F192" i="17"/>
  <c r="AS192" i="17"/>
  <c r="AO192" i="17"/>
  <c r="AM28" i="11" s="1"/>
  <c r="AK192" i="17"/>
  <c r="AG192" i="17"/>
  <c r="AC192" i="17"/>
  <c r="AC193" i="17" s="1"/>
  <c r="Y192" i="17"/>
  <c r="U192" i="17"/>
  <c r="U193" i="17" s="1"/>
  <c r="Q192" i="17"/>
  <c r="M192" i="17"/>
  <c r="I192" i="17"/>
  <c r="G28" i="11" s="1"/>
  <c r="E192" i="17"/>
  <c r="C28" i="11" s="1"/>
  <c r="AR212" i="17"/>
  <c r="AN212" i="17"/>
  <c r="AB212" i="17"/>
  <c r="X212" i="17"/>
  <c r="V32" i="11" s="1"/>
  <c r="L212" i="17"/>
  <c r="H212" i="17"/>
  <c r="AU352" i="17"/>
  <c r="AU353" i="17" s="1"/>
  <c r="AS137" i="11" s="1"/>
  <c r="AU422" i="17"/>
  <c r="AU492" i="17"/>
  <c r="AS84" i="11" s="1"/>
  <c r="AQ212" i="17"/>
  <c r="AQ213" i="17" s="1"/>
  <c r="AO111" i="11" s="1"/>
  <c r="AM212" i="17"/>
  <c r="AK32" i="11" s="1"/>
  <c r="AA212" i="17"/>
  <c r="W212" i="17"/>
  <c r="G212" i="17"/>
  <c r="AL212" i="17"/>
  <c r="AH212" i="17"/>
  <c r="V212" i="17"/>
  <c r="R212" i="17"/>
  <c r="F212" i="17"/>
  <c r="D32" i="11" s="1"/>
  <c r="AS212" i="17"/>
  <c r="AC212" i="17"/>
  <c r="Q212" i="17"/>
  <c r="M212" i="17"/>
  <c r="AT242" i="17"/>
  <c r="AP242" i="17"/>
  <c r="AL242" i="17"/>
  <c r="AH242" i="17"/>
  <c r="AF37" i="11" s="1"/>
  <c r="AD242" i="17"/>
  <c r="Z242" i="17"/>
  <c r="V242" i="17"/>
  <c r="R242" i="17"/>
  <c r="N242" i="17"/>
  <c r="J242" i="17"/>
  <c r="F242" i="17"/>
  <c r="AS242" i="17"/>
  <c r="AQ37" i="11" s="1"/>
  <c r="AK242" i="17"/>
  <c r="AG242" i="17"/>
  <c r="AG243" i="17" s="1"/>
  <c r="AC242" i="17"/>
  <c r="Y242" i="17"/>
  <c r="U242" i="17"/>
  <c r="U243" i="17" s="1"/>
  <c r="S116" i="11" s="1"/>
  <c r="Q242" i="17"/>
  <c r="O37" i="11" s="1"/>
  <c r="M242" i="17"/>
  <c r="I242" i="17"/>
  <c r="E242" i="17"/>
  <c r="E243" i="17" s="1"/>
  <c r="AR242" i="17"/>
  <c r="AR243" i="17" s="1"/>
  <c r="AP116" i="11" s="1"/>
  <c r="AN242" i="17"/>
  <c r="AN243" i="17" s="1"/>
  <c r="AL116" i="11" s="1"/>
  <c r="AJ242" i="17"/>
  <c r="AF242" i="17"/>
  <c r="AF243" i="17" s="1"/>
  <c r="AD116" i="11" s="1"/>
  <c r="AB242" i="17"/>
  <c r="X242" i="17"/>
  <c r="T242" i="17"/>
  <c r="R37" i="11" s="1"/>
  <c r="P242" i="17"/>
  <c r="L242" i="17"/>
  <c r="H242" i="17"/>
  <c r="H243" i="17" s="1"/>
  <c r="F116" i="11" s="1"/>
  <c r="AU242" i="17"/>
  <c r="AQ242" i="17"/>
  <c r="AM242" i="17"/>
  <c r="AK37" i="11" s="1"/>
  <c r="AI242" i="17"/>
  <c r="AG37" i="11" s="1"/>
  <c r="AE242" i="17"/>
  <c r="AA242" i="17"/>
  <c r="Y37" i="11" s="1"/>
  <c r="W242" i="17"/>
  <c r="U37" i="11" s="1"/>
  <c r="S242" i="17"/>
  <c r="S243" i="17" s="1"/>
  <c r="Q116" i="11" s="1"/>
  <c r="O242" i="17"/>
  <c r="K242" i="17"/>
  <c r="K243" i="17" s="1"/>
  <c r="I116" i="11" s="1"/>
  <c r="G242" i="17"/>
  <c r="AP262" i="17"/>
  <c r="AN41" i="11" s="1"/>
  <c r="AL262" i="17"/>
  <c r="AJ41" i="11" s="1"/>
  <c r="J262" i="17"/>
  <c r="H41" i="11" s="1"/>
  <c r="F262" i="17"/>
  <c r="D41" i="11" s="1"/>
  <c r="U262" i="17"/>
  <c r="Q262" i="17"/>
  <c r="Q263" i="17" s="1"/>
  <c r="AJ262" i="17"/>
  <c r="AF262" i="17"/>
  <c r="AD41" i="11" s="1"/>
  <c r="AU262" i="17"/>
  <c r="AQ262" i="17"/>
  <c r="O262" i="17"/>
  <c r="K262" i="17"/>
  <c r="K263" i="17" s="1"/>
  <c r="I120" i="11" s="1"/>
  <c r="AA282" i="17"/>
  <c r="AR312" i="17"/>
  <c r="AN312" i="17"/>
  <c r="AJ312" i="17"/>
  <c r="AH50" i="11" s="1"/>
  <c r="AF312" i="17"/>
  <c r="AF313" i="17" s="1"/>
  <c r="AD129" i="11" s="1"/>
  <c r="AB312" i="17"/>
  <c r="X312" i="17"/>
  <c r="V50" i="11" s="1"/>
  <c r="T312" i="17"/>
  <c r="R50" i="11" s="1"/>
  <c r="P312" i="17"/>
  <c r="P313" i="17" s="1"/>
  <c r="N129" i="11" s="1"/>
  <c r="L312" i="17"/>
  <c r="H312" i="17"/>
  <c r="AU312" i="17"/>
  <c r="AQ312" i="17"/>
  <c r="AO50" i="11" s="1"/>
  <c r="AM312" i="17"/>
  <c r="AI312" i="17"/>
  <c r="AE312" i="17"/>
  <c r="AA312" i="17"/>
  <c r="AA313" i="17" s="1"/>
  <c r="Y129" i="11" s="1"/>
  <c r="W312" i="17"/>
  <c r="W313" i="17" s="1"/>
  <c r="U129" i="11" s="1"/>
  <c r="S312" i="17"/>
  <c r="O312" i="17"/>
  <c r="O313" i="17" s="1"/>
  <c r="M129" i="11" s="1"/>
  <c r="K312" i="17"/>
  <c r="K313" i="17" s="1"/>
  <c r="I129" i="11" s="1"/>
  <c r="G312" i="17"/>
  <c r="AT312" i="17"/>
  <c r="AP312" i="17"/>
  <c r="AN50" i="11" s="1"/>
  <c r="AL312" i="17"/>
  <c r="AH312" i="17"/>
  <c r="AD312" i="17"/>
  <c r="Z312" i="17"/>
  <c r="V312" i="17"/>
  <c r="V313" i="17" s="1"/>
  <c r="T129" i="11" s="1"/>
  <c r="R312" i="17"/>
  <c r="N312" i="17"/>
  <c r="J312" i="17"/>
  <c r="J313" i="17" s="1"/>
  <c r="F312" i="17"/>
  <c r="F313" i="17" s="1"/>
  <c r="D129" i="11" s="1"/>
  <c r="AS312" i="17"/>
  <c r="AK312" i="17"/>
  <c r="AG312" i="17"/>
  <c r="AG313" i="17" s="1"/>
  <c r="AE129" i="11" s="1"/>
  <c r="AC312" i="17"/>
  <c r="AA50" i="11" s="1"/>
  <c r="Y312" i="17"/>
  <c r="U312" i="17"/>
  <c r="Q312" i="17"/>
  <c r="M312" i="17"/>
  <c r="I312" i="17"/>
  <c r="E312" i="17"/>
  <c r="AN332" i="17"/>
  <c r="AJ332" i="17"/>
  <c r="AH54" i="11" s="1"/>
  <c r="X332" i="17"/>
  <c r="X333" i="17" s="1"/>
  <c r="V133" i="11" s="1"/>
  <c r="T332" i="17"/>
  <c r="H332" i="17"/>
  <c r="AU332" i="17"/>
  <c r="AI332" i="17"/>
  <c r="AI333" i="17" s="1"/>
  <c r="AG133" i="11" s="1"/>
  <c r="AE332" i="17"/>
  <c r="AE333" i="17" s="1"/>
  <c r="AC133" i="11" s="1"/>
  <c r="S332" i="17"/>
  <c r="O332" i="17"/>
  <c r="M54" i="11" s="1"/>
  <c r="AT332" i="17"/>
  <c r="AP332" i="17"/>
  <c r="AD332" i="17"/>
  <c r="AD333" i="17" s="1"/>
  <c r="AB133" i="11" s="1"/>
  <c r="Z332" i="17"/>
  <c r="N332" i="17"/>
  <c r="L54" i="11" s="1"/>
  <c r="J332" i="17"/>
  <c r="J333" i="17" s="1"/>
  <c r="H133" i="11" s="1"/>
  <c r="AO332" i="17"/>
  <c r="AK332" i="17"/>
  <c r="Y332" i="17"/>
  <c r="U332" i="17"/>
  <c r="I332" i="17"/>
  <c r="I333" i="17" s="1"/>
  <c r="G133" i="11" s="1"/>
  <c r="E332" i="17"/>
  <c r="AP352" i="17"/>
  <c r="AP292" i="17" s="1"/>
  <c r="AP290" i="17" s="1"/>
  <c r="AL352" i="17"/>
  <c r="AL353" i="17" s="1"/>
  <c r="AJ137" i="11" s="1"/>
  <c r="Z352" i="17"/>
  <c r="X58" i="11" s="1"/>
  <c r="V352" i="17"/>
  <c r="J352" i="17"/>
  <c r="F352" i="17"/>
  <c r="F353" i="17" s="1"/>
  <c r="D137" i="11" s="1"/>
  <c r="AG352" i="17"/>
  <c r="AE58" i="11" s="1"/>
  <c r="L352" i="17"/>
  <c r="G352" i="17"/>
  <c r="AF352" i="17"/>
  <c r="P352" i="17"/>
  <c r="AJ352" i="17"/>
  <c r="AE352" i="17"/>
  <c r="O352" i="17"/>
  <c r="I352" i="17"/>
  <c r="AI352" i="17"/>
  <c r="AC352" i="17"/>
  <c r="M352" i="17"/>
  <c r="M353" i="17" s="1"/>
  <c r="K137" i="11" s="1"/>
  <c r="H352" i="17"/>
  <c r="AU382" i="17"/>
  <c r="AQ382" i="17"/>
  <c r="AM382" i="17"/>
  <c r="AK63" i="11" s="1"/>
  <c r="AI382" i="17"/>
  <c r="AE382" i="17"/>
  <c r="AA382" i="17"/>
  <c r="AA383" i="17" s="1"/>
  <c r="Y142" i="11" s="1"/>
  <c r="W382" i="17"/>
  <c r="S382" i="17"/>
  <c r="O382" i="17"/>
  <c r="K382" i="17"/>
  <c r="G382" i="17"/>
  <c r="E63" i="11" s="1"/>
  <c r="AT382" i="17"/>
  <c r="AP382" i="17"/>
  <c r="AL382" i="17"/>
  <c r="AH382" i="17"/>
  <c r="AD382" i="17"/>
  <c r="Z382" i="17"/>
  <c r="X63" i="11" s="1"/>
  <c r="V382" i="17"/>
  <c r="R382" i="17"/>
  <c r="P63" i="11" s="1"/>
  <c r="N382" i="17"/>
  <c r="J382" i="17"/>
  <c r="F382" i="17"/>
  <c r="F383" i="17" s="1"/>
  <c r="AS382" i="17"/>
  <c r="AK382" i="17"/>
  <c r="AG382" i="17"/>
  <c r="AC382" i="17"/>
  <c r="AC383" i="17" s="1"/>
  <c r="AA142" i="11" s="1"/>
  <c r="Y382" i="17"/>
  <c r="U382" i="17"/>
  <c r="Q382" i="17"/>
  <c r="M382" i="17"/>
  <c r="I382" i="17"/>
  <c r="I383" i="17" s="1"/>
  <c r="G142" i="11" s="1"/>
  <c r="E382" i="17"/>
  <c r="AR382" i="17"/>
  <c r="AR383" i="17" s="1"/>
  <c r="AP142" i="11" s="1"/>
  <c r="AN382" i="17"/>
  <c r="AJ382" i="17"/>
  <c r="AF382" i="17"/>
  <c r="AB382" i="17"/>
  <c r="X382" i="17"/>
  <c r="T382" i="17"/>
  <c r="P382" i="17"/>
  <c r="L382" i="17"/>
  <c r="J63" i="11" s="1"/>
  <c r="H382" i="17"/>
  <c r="AU402" i="17"/>
  <c r="AQ402" i="17"/>
  <c r="AM402" i="17"/>
  <c r="AK67" i="11" s="1"/>
  <c r="AI402" i="17"/>
  <c r="AE402" i="17"/>
  <c r="AC67" i="11" s="1"/>
  <c r="AA402" i="17"/>
  <c r="W402" i="17"/>
  <c r="S402" i="17"/>
  <c r="O402" i="17"/>
  <c r="K402" i="17"/>
  <c r="G402" i="17"/>
  <c r="AT402" i="17"/>
  <c r="AR67" i="11" s="1"/>
  <c r="AP402" i="17"/>
  <c r="AL402" i="17"/>
  <c r="AH402" i="17"/>
  <c r="AH403" i="17" s="1"/>
  <c r="AF146" i="11" s="1"/>
  <c r="AD402" i="17"/>
  <c r="AD403" i="17" s="1"/>
  <c r="AB146" i="11" s="1"/>
  <c r="Z402" i="17"/>
  <c r="Z403" i="17" s="1"/>
  <c r="X146" i="11" s="1"/>
  <c r="V402" i="17"/>
  <c r="R402" i="17"/>
  <c r="N402" i="17"/>
  <c r="J402" i="17"/>
  <c r="F402" i="17"/>
  <c r="AS402" i="17"/>
  <c r="AO402" i="17"/>
  <c r="AK402" i="17"/>
  <c r="AG402" i="17"/>
  <c r="AG403" i="17" s="1"/>
  <c r="AE146" i="11" s="1"/>
  <c r="AC402" i="17"/>
  <c r="Y402" i="17"/>
  <c r="U402" i="17"/>
  <c r="Q402" i="17"/>
  <c r="M402" i="17"/>
  <c r="M403" i="17" s="1"/>
  <c r="K146" i="11" s="1"/>
  <c r="I402" i="17"/>
  <c r="G67" i="11" s="1"/>
  <c r="E402" i="17"/>
  <c r="AV402" i="17"/>
  <c r="AR402" i="17"/>
  <c r="AN402" i="17"/>
  <c r="AJ402" i="17"/>
  <c r="AH67" i="11" s="1"/>
  <c r="AF402" i="17"/>
  <c r="AB402" i="17"/>
  <c r="X402" i="17"/>
  <c r="T402" i="17"/>
  <c r="P402" i="17"/>
  <c r="L402" i="17"/>
  <c r="H402" i="17"/>
  <c r="F67" i="11" s="1"/>
  <c r="AQ422" i="17"/>
  <c r="AO71" i="11" s="1"/>
  <c r="AM422" i="17"/>
  <c r="AI422" i="17"/>
  <c r="AE422" i="17"/>
  <c r="AC71" i="11" s="1"/>
  <c r="AA422" i="17"/>
  <c r="Y71" i="11" s="1"/>
  <c r="W422" i="17"/>
  <c r="S422" i="17"/>
  <c r="O422" i="17"/>
  <c r="K422" i="17"/>
  <c r="G422" i="17"/>
  <c r="AT422" i="17"/>
  <c r="AT423" i="17" s="1"/>
  <c r="AR150" i="11" s="1"/>
  <c r="AP422" i="17"/>
  <c r="AN71" i="11" s="1"/>
  <c r="AL422" i="17"/>
  <c r="AH422" i="17"/>
  <c r="AD422" i="17"/>
  <c r="Z422" i="17"/>
  <c r="Z423" i="17" s="1"/>
  <c r="V422" i="17"/>
  <c r="R422" i="17"/>
  <c r="N422" i="17"/>
  <c r="L71" i="11" s="1"/>
  <c r="J422" i="17"/>
  <c r="F422" i="17"/>
  <c r="AS422" i="17"/>
  <c r="AQ71" i="11" s="1"/>
  <c r="AO422" i="17"/>
  <c r="AM71" i="11" s="1"/>
  <c r="AK422" i="17"/>
  <c r="AG422" i="17"/>
  <c r="AC422" i="17"/>
  <c r="Y422" i="17"/>
  <c r="U422" i="17"/>
  <c r="S71" i="11" s="1"/>
  <c r="Q422" i="17"/>
  <c r="M422" i="17"/>
  <c r="I422" i="17"/>
  <c r="G71" i="11" s="1"/>
  <c r="E422" i="17"/>
  <c r="AV422" i="17"/>
  <c r="AT71" i="11" s="1"/>
  <c r="AR422" i="17"/>
  <c r="AR423" i="17" s="1"/>
  <c r="AP150" i="11" s="1"/>
  <c r="AN422" i="17"/>
  <c r="AJ422" i="17"/>
  <c r="AF422" i="17"/>
  <c r="AF423" i="17" s="1"/>
  <c r="AD150" i="11" s="1"/>
  <c r="AB422" i="17"/>
  <c r="AB423" i="17" s="1"/>
  <c r="X422" i="17"/>
  <c r="T422" i="17"/>
  <c r="P422" i="17"/>
  <c r="L422" i="17"/>
  <c r="H422" i="17"/>
  <c r="AS452" i="17"/>
  <c r="AQ76" i="11" s="1"/>
  <c r="AK452" i="17"/>
  <c r="AK453" i="17" s="1"/>
  <c r="AI155" i="11" s="1"/>
  <c r="AG452" i="17"/>
  <c r="AC452" i="17"/>
  <c r="Y452" i="17"/>
  <c r="U452" i="17"/>
  <c r="Q452" i="17"/>
  <c r="M452" i="17"/>
  <c r="I452" i="17"/>
  <c r="E452" i="17"/>
  <c r="AR452" i="17"/>
  <c r="AN452" i="17"/>
  <c r="AJ452" i="17"/>
  <c r="AJ453" i="17" s="1"/>
  <c r="AH155" i="11" s="1"/>
  <c r="AF452" i="17"/>
  <c r="AB452" i="17"/>
  <c r="X452" i="17"/>
  <c r="T452" i="17"/>
  <c r="P452" i="17"/>
  <c r="P453" i="17" s="1"/>
  <c r="N155" i="11" s="1"/>
  <c r="L452" i="17"/>
  <c r="H452" i="17"/>
  <c r="AU452" i="17"/>
  <c r="AS76" i="11" s="1"/>
  <c r="AQ452" i="17"/>
  <c r="AQ453" i="17" s="1"/>
  <c r="AO155" i="11" s="1"/>
  <c r="AM452" i="17"/>
  <c r="AI452" i="17"/>
  <c r="AG76" i="11" s="1"/>
  <c r="AE452" i="17"/>
  <c r="AE453" i="17" s="1"/>
  <c r="AC155" i="11" s="1"/>
  <c r="AA452" i="17"/>
  <c r="W452" i="17"/>
  <c r="S452" i="17"/>
  <c r="O452" i="17"/>
  <c r="M76" i="11" s="1"/>
  <c r="K452" i="17"/>
  <c r="K453" i="17" s="1"/>
  <c r="I155" i="11" s="1"/>
  <c r="G452" i="17"/>
  <c r="AT452" i="17"/>
  <c r="AR76" i="11" s="1"/>
  <c r="AP452" i="17"/>
  <c r="AP453" i="17" s="1"/>
  <c r="AN155" i="11" s="1"/>
  <c r="AL452" i="17"/>
  <c r="AJ76" i="11" s="1"/>
  <c r="AH452" i="17"/>
  <c r="AH453" i="17" s="1"/>
  <c r="AF155" i="11" s="1"/>
  <c r="AD452" i="17"/>
  <c r="Z452" i="17"/>
  <c r="V452" i="17"/>
  <c r="R452" i="17"/>
  <c r="N452" i="17"/>
  <c r="J452" i="17"/>
  <c r="F452" i="17"/>
  <c r="AO472" i="17"/>
  <c r="AM80" i="11" s="1"/>
  <c r="AK472" i="17"/>
  <c r="AK473" i="17" s="1"/>
  <c r="AI159" i="11" s="1"/>
  <c r="AC472" i="17"/>
  <c r="AA80" i="11" s="1"/>
  <c r="Y472" i="17"/>
  <c r="U472" i="17"/>
  <c r="Q472" i="17"/>
  <c r="O80" i="11" s="1"/>
  <c r="M472" i="17"/>
  <c r="E472" i="17"/>
  <c r="AV472" i="17"/>
  <c r="AV473" i="17" s="1"/>
  <c r="AT159" i="11" s="1"/>
  <c r="AN472" i="17"/>
  <c r="AL80" i="11" s="1"/>
  <c r="AJ472" i="17"/>
  <c r="AJ473" i="17" s="1"/>
  <c r="AH159" i="11" s="1"/>
  <c r="AF472" i="17"/>
  <c r="X472" i="17"/>
  <c r="T472" i="17"/>
  <c r="T473" i="17" s="1"/>
  <c r="R159" i="11" s="1"/>
  <c r="L472" i="17"/>
  <c r="H472" i="17"/>
  <c r="AQ472" i="17"/>
  <c r="AQ473" i="17" s="1"/>
  <c r="AO159" i="11" s="1"/>
  <c r="AM472" i="17"/>
  <c r="AI472" i="17"/>
  <c r="AE472" i="17"/>
  <c r="AC80" i="11" s="1"/>
  <c r="AA472" i="17"/>
  <c r="S472" i="17"/>
  <c r="O472" i="17"/>
  <c r="O473" i="17" s="1"/>
  <c r="M159" i="11" s="1"/>
  <c r="K472" i="17"/>
  <c r="I80" i="11" s="1"/>
  <c r="AT472" i="17"/>
  <c r="AP472" i="17"/>
  <c r="AH472" i="17"/>
  <c r="AD472" i="17"/>
  <c r="Z472" i="17"/>
  <c r="V472" i="17"/>
  <c r="R472" i="17"/>
  <c r="P80" i="11" s="1"/>
  <c r="J472" i="17"/>
  <c r="J473" i="17" s="1"/>
  <c r="H159" i="11" s="1"/>
  <c r="F472" i="17"/>
  <c r="F473" i="17" s="1"/>
  <c r="D159" i="11" s="1"/>
  <c r="AS492" i="17"/>
  <c r="AO492" i="17"/>
  <c r="AO493" i="17" s="1"/>
  <c r="AM163" i="11" s="1"/>
  <c r="AK492" i="17"/>
  <c r="AK493" i="17" s="1"/>
  <c r="AI163" i="11" s="1"/>
  <c r="AG492" i="17"/>
  <c r="AC492" i="17"/>
  <c r="Y492" i="17"/>
  <c r="W84" i="11" s="1"/>
  <c r="U492" i="17"/>
  <c r="U493" i="17" s="1"/>
  <c r="S163" i="11" s="1"/>
  <c r="Q492" i="17"/>
  <c r="M492" i="17"/>
  <c r="M493" i="17" s="1"/>
  <c r="K163" i="11" s="1"/>
  <c r="I492" i="17"/>
  <c r="E492" i="17"/>
  <c r="C84" i="11" s="1"/>
  <c r="AV492" i="17"/>
  <c r="AV493" i="17" s="1"/>
  <c r="AT163" i="11" s="1"/>
  <c r="AR492" i="17"/>
  <c r="AN492" i="17"/>
  <c r="AJ492" i="17"/>
  <c r="AJ493" i="17" s="1"/>
  <c r="AF492" i="17"/>
  <c r="AD84" i="11" s="1"/>
  <c r="AB492" i="17"/>
  <c r="T492" i="17"/>
  <c r="T493" i="17" s="1"/>
  <c r="R163" i="11" s="1"/>
  <c r="P492" i="17"/>
  <c r="L492" i="17"/>
  <c r="H492" i="17"/>
  <c r="AQ492" i="17"/>
  <c r="AQ493" i="17" s="1"/>
  <c r="AO163" i="11" s="1"/>
  <c r="AM492" i="17"/>
  <c r="AI492" i="17"/>
  <c r="AE492" i="17"/>
  <c r="AE493" i="17" s="1"/>
  <c r="AC163" i="11" s="1"/>
  <c r="AA492" i="17"/>
  <c r="W492" i="17"/>
  <c r="S492" i="17"/>
  <c r="O492" i="17"/>
  <c r="O493" i="17" s="1"/>
  <c r="M163" i="11" s="1"/>
  <c r="K492" i="17"/>
  <c r="G492" i="17"/>
  <c r="AP492" i="17"/>
  <c r="AP493" i="17" s="1"/>
  <c r="AN163" i="11" s="1"/>
  <c r="AL492" i="17"/>
  <c r="AJ84" i="11" s="1"/>
  <c r="AH492" i="17"/>
  <c r="AF84" i="11" s="1"/>
  <c r="AD492" i="17"/>
  <c r="Z492" i="17"/>
  <c r="V492" i="17"/>
  <c r="R492" i="17"/>
  <c r="J492" i="17"/>
  <c r="J493" i="17" s="1"/>
  <c r="H163" i="11" s="1"/>
  <c r="F492" i="17"/>
  <c r="G102" i="17"/>
  <c r="E11" i="11" s="1"/>
  <c r="K102" i="17"/>
  <c r="O102" i="17"/>
  <c r="O103" i="17" s="1"/>
  <c r="S102" i="17"/>
  <c r="W102" i="17"/>
  <c r="W103" i="17" s="1"/>
  <c r="AA102" i="17"/>
  <c r="Y11" i="11" s="1"/>
  <c r="AE102" i="17"/>
  <c r="AI102" i="17"/>
  <c r="AM102" i="17"/>
  <c r="AM103" i="17" s="1"/>
  <c r="AQ102" i="17"/>
  <c r="H107" i="17"/>
  <c r="H108" i="17" s="1"/>
  <c r="L107" i="17"/>
  <c r="L108" i="17" s="1"/>
  <c r="J91" i="11" s="1"/>
  <c r="P107" i="17"/>
  <c r="T107" i="17"/>
  <c r="X107" i="17"/>
  <c r="AB107" i="17"/>
  <c r="Z12" i="11" s="1"/>
  <c r="AF107" i="17"/>
  <c r="AJ107" i="17"/>
  <c r="AN107" i="17"/>
  <c r="AL12" i="11" s="1"/>
  <c r="AR107" i="17"/>
  <c r="F117" i="17"/>
  <c r="V117" i="17"/>
  <c r="G122" i="17"/>
  <c r="K122" i="17"/>
  <c r="O122" i="17"/>
  <c r="S122" i="17"/>
  <c r="W122" i="17"/>
  <c r="AA122" i="17"/>
  <c r="Y15" i="11" s="1"/>
  <c r="AE122" i="17"/>
  <c r="AI122" i="17"/>
  <c r="AM122" i="17"/>
  <c r="AK15" i="11" s="1"/>
  <c r="AQ122" i="17"/>
  <c r="H127" i="17"/>
  <c r="L127" i="17"/>
  <c r="P127" i="17"/>
  <c r="AB127" i="17"/>
  <c r="AB128" i="17" s="1"/>
  <c r="Z95" i="11" s="1"/>
  <c r="AF127" i="17"/>
  <c r="AN127" i="17"/>
  <c r="Q132" i="17"/>
  <c r="AC132" i="17"/>
  <c r="F157" i="17"/>
  <c r="J157" i="17"/>
  <c r="N157" i="17"/>
  <c r="L21" i="11" s="1"/>
  <c r="R157" i="17"/>
  <c r="V157" i="17"/>
  <c r="Z157" i="17"/>
  <c r="AD157" i="17"/>
  <c r="AH157" i="17"/>
  <c r="AH158" i="17" s="1"/>
  <c r="AF100" i="11" s="1"/>
  <c r="AL157" i="17"/>
  <c r="AL158" i="17" s="1"/>
  <c r="AP157" i="17"/>
  <c r="G162" i="17"/>
  <c r="K162" i="17"/>
  <c r="K163" i="17" s="1"/>
  <c r="I101" i="11" s="1"/>
  <c r="O162" i="17"/>
  <c r="S162" i="17"/>
  <c r="W162" i="17"/>
  <c r="AA162" i="17"/>
  <c r="AE162" i="17"/>
  <c r="AE163" i="17" s="1"/>
  <c r="AC101" i="11" s="1"/>
  <c r="AI162" i="17"/>
  <c r="AG22" i="11" s="1"/>
  <c r="AM162" i="17"/>
  <c r="AM163" i="17" s="1"/>
  <c r="AK101" i="11" s="1"/>
  <c r="AQ162" i="17"/>
  <c r="AQ163" i="17" s="1"/>
  <c r="AO101" i="11" s="1"/>
  <c r="H167" i="17"/>
  <c r="L167" i="17"/>
  <c r="T167" i="17"/>
  <c r="R23" i="11" s="1"/>
  <c r="X167" i="17"/>
  <c r="V23" i="11" s="1"/>
  <c r="AB167" i="17"/>
  <c r="AJ167" i="17"/>
  <c r="AJ168" i="17" s="1"/>
  <c r="AH102" i="11" s="1"/>
  <c r="AN167" i="17"/>
  <c r="AR167" i="17"/>
  <c r="E172" i="17"/>
  <c r="I172" i="17"/>
  <c r="M172" i="17"/>
  <c r="Q172" i="17"/>
  <c r="U172" i="17"/>
  <c r="S24" i="11" s="1"/>
  <c r="Y172" i="17"/>
  <c r="W24" i="11" s="1"/>
  <c r="AC172" i="17"/>
  <c r="AC173" i="17" s="1"/>
  <c r="AA103" i="11" s="1"/>
  <c r="AG172" i="17"/>
  <c r="AP172" i="17"/>
  <c r="AN24" i="11" s="1"/>
  <c r="G177" i="17"/>
  <c r="W177" i="17"/>
  <c r="AM177" i="17"/>
  <c r="S197" i="19"/>
  <c r="S214" i="19" s="1"/>
  <c r="G181" i="19"/>
  <c r="G198" i="19" s="1"/>
  <c r="G215" i="19" s="1"/>
  <c r="T35" i="19"/>
  <c r="T91" i="19"/>
  <c r="G197" i="19"/>
  <c r="G214" i="19" s="1"/>
  <c r="K35" i="19"/>
  <c r="D62" i="19"/>
  <c r="E62" i="19" s="1"/>
  <c r="K91" i="19"/>
  <c r="S166" i="19"/>
  <c r="S170" i="19"/>
  <c r="S174" i="19"/>
  <c r="K182" i="19"/>
  <c r="D48" i="19"/>
  <c r="E48" i="19" s="1"/>
  <c r="D104" i="19"/>
  <c r="E104" i="19" s="1"/>
  <c r="D34" i="19"/>
  <c r="E34" i="19" s="1"/>
  <c r="N65" i="19"/>
  <c r="D90" i="19"/>
  <c r="E90" i="19" s="1"/>
  <c r="Q104" i="19"/>
  <c r="A143" i="19"/>
  <c r="A145" i="19"/>
  <c r="A149" i="19"/>
  <c r="M166" i="19"/>
  <c r="M170" i="19"/>
  <c r="M174" i="19"/>
  <c r="D20" i="19"/>
  <c r="E20" i="19" s="1"/>
  <c r="D188" i="19"/>
  <c r="D205" i="19" s="1"/>
  <c r="D222" i="19" s="1"/>
  <c r="H116" i="21"/>
  <c r="E9" i="27"/>
  <c r="E11" i="27"/>
  <c r="E41" i="27"/>
  <c r="C121" i="19"/>
  <c r="X168" i="17"/>
  <c r="V102" i="11" s="1"/>
  <c r="AT493" i="17"/>
  <c r="AR163" i="11" s="1"/>
  <c r="W78" i="11"/>
  <c r="Y63" i="11"/>
  <c r="AP263" i="17"/>
  <c r="AN120" i="11" s="1"/>
  <c r="M193" i="17"/>
  <c r="K28" i="11"/>
  <c r="AS193" i="17"/>
  <c r="AQ28" i="11"/>
  <c r="P28" i="11"/>
  <c r="AF28" i="11"/>
  <c r="E68" i="11"/>
  <c r="I318" i="17"/>
  <c r="AM51" i="11"/>
  <c r="R82" i="11"/>
  <c r="AJ483" i="17"/>
  <c r="AH161" i="11" s="1"/>
  <c r="J483" i="17"/>
  <c r="H161" i="11" s="1"/>
  <c r="O483" i="17"/>
  <c r="M161" i="11" s="1"/>
  <c r="AS82" i="11"/>
  <c r="E463" i="17"/>
  <c r="AI78" i="11"/>
  <c r="AP463" i="17"/>
  <c r="AN157" i="11" s="1"/>
  <c r="AC78" i="11"/>
  <c r="S74" i="11"/>
  <c r="H74" i="11"/>
  <c r="M74" i="11"/>
  <c r="R413" i="17"/>
  <c r="P148" i="11" s="1"/>
  <c r="E69" i="11"/>
  <c r="J69" i="11"/>
  <c r="M413" i="17"/>
  <c r="K148" i="11" s="1"/>
  <c r="H203" i="17"/>
  <c r="F109" i="11" s="1"/>
  <c r="F30" i="11"/>
  <c r="V30" i="11"/>
  <c r="G30" i="11"/>
  <c r="Y203" i="17"/>
  <c r="W109" i="11" s="1"/>
  <c r="W30" i="11"/>
  <c r="AM30" i="11"/>
  <c r="AB30" i="11"/>
  <c r="AT203" i="17"/>
  <c r="AR109" i="11" s="1"/>
  <c r="AR30" i="11"/>
  <c r="Q26" i="11"/>
  <c r="F26" i="11"/>
  <c r="X183" i="17"/>
  <c r="V105" i="11" s="1"/>
  <c r="V26" i="11"/>
  <c r="AL26" i="11"/>
  <c r="W26" i="11"/>
  <c r="AO183" i="17"/>
  <c r="AM105" i="11" s="1"/>
  <c r="AM26" i="11"/>
  <c r="L105" i="11"/>
  <c r="L26" i="11"/>
  <c r="AT183" i="17"/>
  <c r="AR105" i="11" s="1"/>
  <c r="P163" i="17"/>
  <c r="N101" i="11" s="1"/>
  <c r="AR123" i="17"/>
  <c r="AP94" i="11" s="1"/>
  <c r="AP15" i="11"/>
  <c r="AB123" i="17"/>
  <c r="Z15" i="11"/>
  <c r="L123" i="17"/>
  <c r="J94" i="11" s="1"/>
  <c r="J15" i="11"/>
  <c r="V448" i="17"/>
  <c r="T154" i="11" s="1"/>
  <c r="K448" i="17"/>
  <c r="I154" i="11" s="1"/>
  <c r="O418" i="17"/>
  <c r="AE53" i="11"/>
  <c r="AK92" i="17"/>
  <c r="AG92" i="17"/>
  <c r="AJ92" i="17"/>
  <c r="S92" i="17"/>
  <c r="O92" i="17"/>
  <c r="AO22" i="11"/>
  <c r="AA163" i="17"/>
  <c r="Y101" i="11" s="1"/>
  <c r="Y22" i="11"/>
  <c r="AF21" i="11"/>
  <c r="R158" i="17"/>
  <c r="P100" i="11" s="1"/>
  <c r="P21" i="11"/>
  <c r="AA103" i="17"/>
  <c r="Y90" i="11" s="1"/>
  <c r="U423" i="17"/>
  <c r="S150" i="11" s="1"/>
  <c r="AP423" i="17"/>
  <c r="AN150" i="11" s="1"/>
  <c r="AJ403" i="17"/>
  <c r="AH146" i="11" s="1"/>
  <c r="X67" i="11"/>
  <c r="AE403" i="17"/>
  <c r="AC146" i="11" s="1"/>
  <c r="Q313" i="17"/>
  <c r="O129" i="11" s="1"/>
  <c r="O50" i="11"/>
  <c r="T50" i="11"/>
  <c r="AL313" i="17"/>
  <c r="AJ50" i="11"/>
  <c r="Y50" i="11"/>
  <c r="AQ313" i="17"/>
  <c r="AO129" i="11" s="1"/>
  <c r="N50" i="11"/>
  <c r="AV313" i="17"/>
  <c r="AT129" i="11" s="1"/>
  <c r="Q37" i="11"/>
  <c r="AI243" i="17"/>
  <c r="AG116" i="11" s="1"/>
  <c r="X243" i="17"/>
  <c r="V37" i="11"/>
  <c r="AL37" i="11"/>
  <c r="Q213" i="17"/>
  <c r="O32" i="11"/>
  <c r="K193" i="17"/>
  <c r="I28" i="11"/>
  <c r="AA193" i="17"/>
  <c r="Y107" i="11" s="1"/>
  <c r="AQ193" i="17"/>
  <c r="AO107" i="11" s="1"/>
  <c r="AO28" i="11"/>
  <c r="P193" i="17"/>
  <c r="N107" i="11" s="1"/>
  <c r="AF193" i="17"/>
  <c r="AD107" i="11" s="1"/>
  <c r="AD28" i="11"/>
  <c r="AV193" i="17"/>
  <c r="AT107" i="11" s="1"/>
  <c r="AI173" i="17"/>
  <c r="AG24" i="11"/>
  <c r="Q158" i="17"/>
  <c r="O100" i="11" s="1"/>
  <c r="AN413" i="17"/>
  <c r="AL148" i="11" s="1"/>
  <c r="AA458" i="17"/>
  <c r="Y156" i="11" s="1"/>
  <c r="O77" i="11"/>
  <c r="AD68" i="11"/>
  <c r="AG338" i="17"/>
  <c r="AE134" i="11" s="1"/>
  <c r="Z51" i="11"/>
  <c r="J42" i="11"/>
  <c r="AB268" i="17"/>
  <c r="Z42" i="11"/>
  <c r="AP42" i="11"/>
  <c r="M268" i="17"/>
  <c r="K121" i="11" s="1"/>
  <c r="K42" i="11"/>
  <c r="AA42" i="11"/>
  <c r="AS268" i="17"/>
  <c r="AQ42" i="11"/>
  <c r="P42" i="11"/>
  <c r="AH268" i="17"/>
  <c r="AF121" i="11" s="1"/>
  <c r="AF42" i="11"/>
  <c r="E42" i="11"/>
  <c r="W268" i="17"/>
  <c r="U121" i="11" s="1"/>
  <c r="U42" i="11"/>
  <c r="AS163" i="17"/>
  <c r="AQ101" i="11" s="1"/>
  <c r="AC163" i="17"/>
  <c r="AA101" i="11" s="1"/>
  <c r="M163" i="17"/>
  <c r="K101" i="11" s="1"/>
  <c r="AM15" i="11"/>
  <c r="Y123" i="17"/>
  <c r="W94" i="11" s="1"/>
  <c r="G15" i="11"/>
  <c r="AS103" i="17"/>
  <c r="AQ90" i="11" s="1"/>
  <c r="X483" i="17"/>
  <c r="V161" i="11" s="1"/>
  <c r="V82" i="11"/>
  <c r="I483" i="17"/>
  <c r="G161" i="11" s="1"/>
  <c r="Y483" i="17"/>
  <c r="W161" i="11" s="1"/>
  <c r="AM82" i="11"/>
  <c r="N483" i="17"/>
  <c r="S483" i="17"/>
  <c r="Q161" i="11" s="1"/>
  <c r="V157" i="11"/>
  <c r="V78" i="11"/>
  <c r="AO463" i="17"/>
  <c r="AM157" i="11" s="1"/>
  <c r="AM78" i="11"/>
  <c r="AR78" i="11"/>
  <c r="S463" i="17"/>
  <c r="Q157" i="11" s="1"/>
  <c r="F74" i="11"/>
  <c r="X443" i="17"/>
  <c r="Y443" i="17"/>
  <c r="W153" i="11" s="1"/>
  <c r="AO443" i="17"/>
  <c r="AM153" i="11" s="1"/>
  <c r="AT443" i="17"/>
  <c r="AR153" i="11" s="1"/>
  <c r="AR74" i="11"/>
  <c r="D69" i="11"/>
  <c r="V413" i="17"/>
  <c r="T148" i="11" s="1"/>
  <c r="AA413" i="17"/>
  <c r="Y148" i="11" s="1"/>
  <c r="AD69" i="11"/>
  <c r="AE69" i="11"/>
  <c r="D65" i="11"/>
  <c r="AL393" i="17"/>
  <c r="AJ144" i="11" s="1"/>
  <c r="K393" i="17"/>
  <c r="AA393" i="17"/>
  <c r="Y144" i="11" s="1"/>
  <c r="Y65" i="11"/>
  <c r="AO65" i="11"/>
  <c r="N65" i="11"/>
  <c r="AD65" i="11"/>
  <c r="AT65" i="11"/>
  <c r="O65" i="11"/>
  <c r="AE65" i="11"/>
  <c r="D61" i="11"/>
  <c r="T61" i="11"/>
  <c r="AJ61" i="11"/>
  <c r="I61" i="11"/>
  <c r="Y61" i="11"/>
  <c r="AO61" i="11"/>
  <c r="N61" i="11"/>
  <c r="AV373" i="17"/>
  <c r="Q373" i="17"/>
  <c r="O140" i="11" s="1"/>
  <c r="AG373" i="17"/>
  <c r="AE140" i="11" s="1"/>
  <c r="G343" i="17"/>
  <c r="E135" i="11" s="1"/>
  <c r="W343" i="17"/>
  <c r="AM343" i="17"/>
  <c r="AK135" i="11" s="1"/>
  <c r="L343" i="17"/>
  <c r="J135" i="11" s="1"/>
  <c r="J56" i="11"/>
  <c r="M343" i="17"/>
  <c r="K135" i="11" s="1"/>
  <c r="G303" i="17"/>
  <c r="E127" i="11" s="1"/>
  <c r="E48" i="11"/>
  <c r="AM303" i="17"/>
  <c r="AK127" i="11" s="1"/>
  <c r="AK48" i="11"/>
  <c r="AB303" i="17"/>
  <c r="Z127" i="11" s="1"/>
  <c r="Z48" i="11"/>
  <c r="M303" i="17"/>
  <c r="K127" i="11" s="1"/>
  <c r="K48" i="11"/>
  <c r="AS303" i="17"/>
  <c r="AQ127" i="11" s="1"/>
  <c r="AQ48" i="11"/>
  <c r="AH303" i="17"/>
  <c r="AF127" i="11" s="1"/>
  <c r="AF48" i="11"/>
  <c r="AU273" i="17"/>
  <c r="AS122" i="11" s="1"/>
  <c r="T273" i="17"/>
  <c r="R122" i="11" s="1"/>
  <c r="R43" i="11"/>
  <c r="E253" i="17"/>
  <c r="X39" i="11"/>
  <c r="Z30" i="11"/>
  <c r="AR203" i="17"/>
  <c r="AP109" i="11" s="1"/>
  <c r="AS203" i="17"/>
  <c r="AQ30" i="11"/>
  <c r="AB183" i="17"/>
  <c r="Z105" i="11" s="1"/>
  <c r="AF26" i="11"/>
  <c r="AH173" i="17"/>
  <c r="AF103" i="11" s="1"/>
  <c r="AF24" i="11"/>
  <c r="R173" i="17"/>
  <c r="P103" i="11" s="1"/>
  <c r="P24" i="11"/>
  <c r="L163" i="17"/>
  <c r="J101" i="11" s="1"/>
  <c r="AL15" i="11"/>
  <c r="X123" i="17"/>
  <c r="V94" i="11" s="1"/>
  <c r="F15" i="11"/>
  <c r="M108" i="17"/>
  <c r="K91" i="11" s="1"/>
  <c r="K12" i="11"/>
  <c r="R488" i="17"/>
  <c r="P83" i="11"/>
  <c r="AM488" i="17"/>
  <c r="AK162" i="11" s="1"/>
  <c r="AK83" i="11"/>
  <c r="AB488" i="17"/>
  <c r="Z162" i="11" s="1"/>
  <c r="Z83" i="11"/>
  <c r="AN418" i="17"/>
  <c r="AL149" i="11" s="1"/>
  <c r="AA308" i="17"/>
  <c r="Y128" i="11" s="1"/>
  <c r="Y49" i="11"/>
  <c r="AP278" i="17"/>
  <c r="AN44" i="11"/>
  <c r="M238" i="17"/>
  <c r="K115" i="11" s="1"/>
  <c r="K36" i="11"/>
  <c r="AS208" i="17"/>
  <c r="B255" i="17"/>
  <c r="AW255" i="17" s="1"/>
  <c r="AW256" i="17" s="1"/>
  <c r="AW257" i="17" s="1"/>
  <c r="AW258" i="17" s="1"/>
  <c r="AW259" i="17" s="1"/>
  <c r="C50" i="15"/>
  <c r="C63" i="15" s="1"/>
  <c r="AQ183" i="17"/>
  <c r="AO105" i="11" s="1"/>
  <c r="AL183" i="17"/>
  <c r="AJ105" i="11" s="1"/>
  <c r="AM123" i="17"/>
  <c r="AK94" i="11" s="1"/>
  <c r="K493" i="17"/>
  <c r="I163" i="11" s="1"/>
  <c r="AO84" i="11"/>
  <c r="I423" i="17"/>
  <c r="G150" i="11" s="1"/>
  <c r="H403" i="17"/>
  <c r="F146" i="11" s="1"/>
  <c r="AB67" i="11"/>
  <c r="H54" i="11"/>
  <c r="AJ333" i="17"/>
  <c r="AH133" i="11" s="1"/>
  <c r="H129" i="11"/>
  <c r="H50" i="11"/>
  <c r="AP313" i="17"/>
  <c r="AJ313" i="17"/>
  <c r="AH129" i="11" s="1"/>
  <c r="G243" i="17"/>
  <c r="W243" i="17"/>
  <c r="U116" i="11" s="1"/>
  <c r="AM243" i="17"/>
  <c r="AK116" i="11" s="1"/>
  <c r="AB243" i="17"/>
  <c r="Z116" i="11" s="1"/>
  <c r="AP37" i="11"/>
  <c r="M243" i="17"/>
  <c r="K116" i="11" s="1"/>
  <c r="K37" i="11"/>
  <c r="AC243" i="17"/>
  <c r="AA116" i="11" s="1"/>
  <c r="AA37" i="11"/>
  <c r="AS243" i="17"/>
  <c r="AQ116" i="11" s="1"/>
  <c r="Z24" i="11"/>
  <c r="L173" i="17"/>
  <c r="J103" i="11" s="1"/>
  <c r="AI478" i="17"/>
  <c r="AG160" i="11" s="1"/>
  <c r="AD478" i="17"/>
  <c r="AB160" i="11" s="1"/>
  <c r="AR81" i="11"/>
  <c r="R77" i="11"/>
  <c r="C77" i="11"/>
  <c r="AK458" i="17"/>
  <c r="AI156" i="11" s="1"/>
  <c r="X77" i="11"/>
  <c r="AP458" i="17"/>
  <c r="AN156" i="11" s="1"/>
  <c r="U408" i="17"/>
  <c r="S147" i="11" s="1"/>
  <c r="Z408" i="17"/>
  <c r="X68" i="11"/>
  <c r="AN68" i="11"/>
  <c r="AC68" i="11"/>
  <c r="R68" i="11"/>
  <c r="AO64" i="11"/>
  <c r="U338" i="17"/>
  <c r="S134" i="11" s="1"/>
  <c r="S55" i="11"/>
  <c r="AK338" i="17"/>
  <c r="AI134" i="11" s="1"/>
  <c r="AF268" i="17"/>
  <c r="AD42" i="11"/>
  <c r="AT42" i="11"/>
  <c r="O42" i="11"/>
  <c r="AO42" i="11"/>
  <c r="L248" i="17"/>
  <c r="J38" i="11"/>
  <c r="AB248" i="17"/>
  <c r="Z117" i="11" s="1"/>
  <c r="AR248" i="17"/>
  <c r="AP117" i="11" s="1"/>
  <c r="AP38" i="11"/>
  <c r="M248" i="17"/>
  <c r="AC248" i="17"/>
  <c r="AA117" i="11" s="1"/>
  <c r="AA38" i="11"/>
  <c r="AS248" i="17"/>
  <c r="AQ117" i="11" s="1"/>
  <c r="R248" i="17"/>
  <c r="P117" i="11" s="1"/>
  <c r="P38" i="11"/>
  <c r="AH248" i="17"/>
  <c r="AF117" i="11" s="1"/>
  <c r="G248" i="17"/>
  <c r="E117" i="11" s="1"/>
  <c r="E38" i="11"/>
  <c r="W248" i="17"/>
  <c r="U117" i="11" s="1"/>
  <c r="AL34" i="11"/>
  <c r="W34" i="11"/>
  <c r="AT228" i="17"/>
  <c r="AR34" i="11"/>
  <c r="AO163" i="17"/>
  <c r="AM101" i="11" s="1"/>
  <c r="AM22" i="11"/>
  <c r="G22" i="11"/>
  <c r="AN158" i="17"/>
  <c r="AL100" i="11" s="1"/>
  <c r="AL21" i="11"/>
  <c r="AM11" i="11"/>
  <c r="AR483" i="17"/>
  <c r="AP161" i="11" s="1"/>
  <c r="M483" i="17"/>
  <c r="K161" i="11" s="1"/>
  <c r="K82" i="11"/>
  <c r="P74" i="11"/>
  <c r="AH69" i="11"/>
  <c r="E413" i="17"/>
  <c r="C69" i="11"/>
  <c r="U413" i="17"/>
  <c r="S148" i="11" s="1"/>
  <c r="S69" i="11"/>
  <c r="AK413" i="17"/>
  <c r="AI148" i="11" s="1"/>
  <c r="AI69" i="11"/>
  <c r="H65" i="11"/>
  <c r="Z393" i="17"/>
  <c r="X144" i="11" s="1"/>
  <c r="AN65" i="11"/>
  <c r="O393" i="17"/>
  <c r="M144" i="11" s="1"/>
  <c r="AE393" i="17"/>
  <c r="AS65" i="11"/>
  <c r="T393" i="17"/>
  <c r="R144" i="11" s="1"/>
  <c r="AJ393" i="17"/>
  <c r="AH144" i="11" s="1"/>
  <c r="E393" i="17"/>
  <c r="C144" i="11" s="1"/>
  <c r="C65" i="11"/>
  <c r="AK393" i="17"/>
  <c r="AI144" i="11" s="1"/>
  <c r="AI65" i="11"/>
  <c r="H61" i="11"/>
  <c r="Z373" i="17"/>
  <c r="X140" i="11" s="1"/>
  <c r="AN140" i="11"/>
  <c r="AN61" i="11"/>
  <c r="AE373" i="17"/>
  <c r="AC140" i="11" s="1"/>
  <c r="AC61" i="11"/>
  <c r="AS61" i="11"/>
  <c r="T373" i="17"/>
  <c r="R140" i="11" s="1"/>
  <c r="AJ373" i="17"/>
  <c r="AH140" i="11" s="1"/>
  <c r="AH61" i="11"/>
  <c r="E373" i="17"/>
  <c r="C140" i="11" s="1"/>
  <c r="C61" i="11"/>
  <c r="S61" i="11"/>
  <c r="AK373" i="17"/>
  <c r="AI140" i="11" s="1"/>
  <c r="I135" i="11"/>
  <c r="I56" i="11"/>
  <c r="AQ343" i="17"/>
  <c r="AO135" i="11" s="1"/>
  <c r="AO56" i="11"/>
  <c r="N56" i="11"/>
  <c r="AF343" i="17"/>
  <c r="AD56" i="11"/>
  <c r="AG343" i="17"/>
  <c r="AE56" i="11"/>
  <c r="F343" i="17"/>
  <c r="D135" i="11" s="1"/>
  <c r="D56" i="11"/>
  <c r="V343" i="17"/>
  <c r="T135" i="11" s="1"/>
  <c r="T56" i="11"/>
  <c r="AL343" i="17"/>
  <c r="AJ56" i="11"/>
  <c r="Y48" i="11"/>
  <c r="P303" i="17"/>
  <c r="N127" i="11" s="1"/>
  <c r="N48" i="11"/>
  <c r="AV303" i="17"/>
  <c r="AT127" i="11" s="1"/>
  <c r="AT48" i="11"/>
  <c r="AG303" i="17"/>
  <c r="AE127" i="11" s="1"/>
  <c r="T48" i="11"/>
  <c r="I273" i="17"/>
  <c r="G122" i="11" s="1"/>
  <c r="G43" i="11"/>
  <c r="Y273" i="17"/>
  <c r="W43" i="11"/>
  <c r="AO273" i="17"/>
  <c r="AM122" i="11" s="1"/>
  <c r="AM43" i="11"/>
  <c r="L122" i="11"/>
  <c r="L43" i="11"/>
  <c r="AD273" i="17"/>
  <c r="AB122" i="11" s="1"/>
  <c r="AT273" i="17"/>
  <c r="AR43" i="11"/>
  <c r="Q43" i="11"/>
  <c r="X273" i="17"/>
  <c r="V122" i="11" s="1"/>
  <c r="V43" i="11"/>
  <c r="AL43" i="11"/>
  <c r="G39" i="11"/>
  <c r="AD253" i="17"/>
  <c r="AB118" i="11" s="1"/>
  <c r="AB39" i="11"/>
  <c r="K203" i="17"/>
  <c r="I109" i="11" s="1"/>
  <c r="I30" i="11"/>
  <c r="AA203" i="17"/>
  <c r="Y109" i="11" s="1"/>
  <c r="Y30" i="11"/>
  <c r="AQ203" i="17"/>
  <c r="AF203" i="17"/>
  <c r="AD109" i="11" s="1"/>
  <c r="AD30" i="11"/>
  <c r="AV203" i="17"/>
  <c r="AT30" i="11"/>
  <c r="Q203" i="17"/>
  <c r="O109" i="11" s="1"/>
  <c r="O30" i="11"/>
  <c r="F203" i="17"/>
  <c r="D109" i="11" s="1"/>
  <c r="D30" i="11"/>
  <c r="V203" i="17"/>
  <c r="T30" i="11"/>
  <c r="AL203" i="17"/>
  <c r="AA183" i="17"/>
  <c r="Y26" i="11"/>
  <c r="AO26" i="11"/>
  <c r="N26" i="11"/>
  <c r="AV183" i="17"/>
  <c r="AT105" i="11" s="1"/>
  <c r="AT26" i="11"/>
  <c r="Q183" i="17"/>
  <c r="O105" i="11" s="1"/>
  <c r="O26" i="11"/>
  <c r="AG183" i="17"/>
  <c r="AE105" i="11" s="1"/>
  <c r="AE26" i="11"/>
  <c r="V183" i="17"/>
  <c r="T105" i="11" s="1"/>
  <c r="T26" i="11"/>
  <c r="AJ26" i="11"/>
  <c r="AD173" i="17"/>
  <c r="AB103" i="11" s="1"/>
  <c r="AB24" i="11"/>
  <c r="AN163" i="17"/>
  <c r="AL101" i="11" s="1"/>
  <c r="AL22" i="11"/>
  <c r="X163" i="17"/>
  <c r="V101" i="11" s="1"/>
  <c r="S158" i="17"/>
  <c r="Q100" i="11" s="1"/>
  <c r="Q21" i="11"/>
  <c r="E128" i="17"/>
  <c r="C95" i="11" s="1"/>
  <c r="AJ123" i="17"/>
  <c r="AH94" i="11" s="1"/>
  <c r="AH15" i="11"/>
  <c r="T123" i="17"/>
  <c r="R94" i="11" s="1"/>
  <c r="AN103" i="17"/>
  <c r="AL90" i="11" s="1"/>
  <c r="AL11" i="11"/>
  <c r="X103" i="17"/>
  <c r="V90" i="11" s="1"/>
  <c r="V11" i="11"/>
  <c r="H103" i="17"/>
  <c r="F11" i="11"/>
  <c r="K488" i="17"/>
  <c r="I83" i="11"/>
  <c r="AV488" i="17"/>
  <c r="W468" i="17"/>
  <c r="U158" i="11" s="1"/>
  <c r="U79" i="11"/>
  <c r="AR468" i="17"/>
  <c r="AP158" i="11" s="1"/>
  <c r="AP79" i="11"/>
  <c r="R418" i="17"/>
  <c r="P149" i="11" s="1"/>
  <c r="P70" i="11"/>
  <c r="I398" i="17"/>
  <c r="G145" i="11" s="1"/>
  <c r="AD398" i="17"/>
  <c r="AB145" i="11" s="1"/>
  <c r="AB66" i="11"/>
  <c r="M62" i="11"/>
  <c r="AS62" i="11"/>
  <c r="U378" i="17"/>
  <c r="S141" i="11" s="1"/>
  <c r="S62" i="11"/>
  <c r="AN141" i="11"/>
  <c r="AN62" i="11"/>
  <c r="AF348" i="17"/>
  <c r="AD136" i="11" s="1"/>
  <c r="AB348" i="17"/>
  <c r="Z136" i="11" s="1"/>
  <c r="U308" i="17"/>
  <c r="S128" i="11" s="1"/>
  <c r="AO278" i="17"/>
  <c r="AM123" i="11" s="1"/>
  <c r="AM44" i="11"/>
  <c r="H100" i="22"/>
  <c r="P214" i="19"/>
  <c r="AM178" i="17"/>
  <c r="AK104" i="11" s="1"/>
  <c r="AK25" i="11"/>
  <c r="AG173" i="17"/>
  <c r="AE103" i="11" s="1"/>
  <c r="AE24" i="11"/>
  <c r="Q173" i="17"/>
  <c r="O103" i="11" s="1"/>
  <c r="O24" i="11"/>
  <c r="AR168" i="17"/>
  <c r="AP102" i="11" s="1"/>
  <c r="AP23" i="11"/>
  <c r="H24" i="11"/>
  <c r="L128" i="17"/>
  <c r="J95" i="11" s="1"/>
  <c r="J16" i="11"/>
  <c r="AI123" i="17"/>
  <c r="AG94" i="11" s="1"/>
  <c r="AG15" i="11"/>
  <c r="S123" i="17"/>
  <c r="Q94" i="11" s="1"/>
  <c r="Q15" i="11"/>
  <c r="AB108" i="17"/>
  <c r="R84" i="11"/>
  <c r="R73" i="11"/>
  <c r="AI84" i="11"/>
  <c r="AE473" i="17"/>
  <c r="AC159" i="11" s="1"/>
  <c r="AH80" i="11"/>
  <c r="AI80" i="11"/>
  <c r="O453" i="17"/>
  <c r="M155" i="11" s="1"/>
  <c r="AC76" i="11"/>
  <c r="AU453" i="17"/>
  <c r="AS155" i="11" s="1"/>
  <c r="AH76" i="11"/>
  <c r="Z71" i="11"/>
  <c r="AP71" i="11"/>
  <c r="AA63" i="11"/>
  <c r="R383" i="17"/>
  <c r="G383" i="17"/>
  <c r="E142" i="11" s="1"/>
  <c r="AM383" i="17"/>
  <c r="AK142" i="11" s="1"/>
  <c r="I58" i="11"/>
  <c r="D58" i="11"/>
  <c r="AJ58" i="11"/>
  <c r="AO333" i="17"/>
  <c r="AM133" i="11" s="1"/>
  <c r="AM54" i="11"/>
  <c r="N333" i="17"/>
  <c r="L133" i="11" s="1"/>
  <c r="S333" i="17"/>
  <c r="Q133" i="11" s="1"/>
  <c r="Q54" i="11"/>
  <c r="H333" i="17"/>
  <c r="F133" i="11" s="1"/>
  <c r="F54" i="11"/>
  <c r="AN333" i="17"/>
  <c r="AL133" i="11" s="1"/>
  <c r="AL54" i="11"/>
  <c r="AO313" i="17"/>
  <c r="AM129" i="11" s="1"/>
  <c r="I41" i="11"/>
  <c r="AF263" i="17"/>
  <c r="AD120" i="11" s="1"/>
  <c r="F263" i="17"/>
  <c r="D120" i="11" s="1"/>
  <c r="AL263" i="17"/>
  <c r="I37" i="11"/>
  <c r="AT37" i="11"/>
  <c r="Q243" i="17"/>
  <c r="O116" i="11" s="1"/>
  <c r="AE37" i="11"/>
  <c r="F243" i="17"/>
  <c r="D116" i="11" s="1"/>
  <c r="D37" i="11"/>
  <c r="V243" i="17"/>
  <c r="T116" i="11" s="1"/>
  <c r="T37" i="11"/>
  <c r="AL243" i="17"/>
  <c r="AJ37" i="11"/>
  <c r="H213" i="17"/>
  <c r="F111" i="11" s="1"/>
  <c r="F32" i="11"/>
  <c r="AN213" i="17"/>
  <c r="AL111" i="11" s="1"/>
  <c r="AL32" i="11"/>
  <c r="I193" i="17"/>
  <c r="AO193" i="17"/>
  <c r="L28" i="11"/>
  <c r="AB28" i="11"/>
  <c r="Q23" i="11"/>
  <c r="I158" i="17"/>
  <c r="G100" i="11" s="1"/>
  <c r="G25" i="11"/>
  <c r="X15" i="11"/>
  <c r="M12" i="11"/>
  <c r="S458" i="17"/>
  <c r="Q156" i="11" s="1"/>
  <c r="AE438" i="17"/>
  <c r="AC73" i="11"/>
  <c r="T438" i="17"/>
  <c r="R152" i="11" s="1"/>
  <c r="C73" i="11"/>
  <c r="AK438" i="17"/>
  <c r="AI152" i="11" s="1"/>
  <c r="AI73" i="11"/>
  <c r="N408" i="17"/>
  <c r="L147" i="11" s="1"/>
  <c r="S64" i="11"/>
  <c r="AE388" i="17"/>
  <c r="AC143" i="11" s="1"/>
  <c r="Q368" i="17"/>
  <c r="O139" i="11" s="1"/>
  <c r="O60" i="11"/>
  <c r="AG368" i="17"/>
  <c r="AE139" i="11" s="1"/>
  <c r="F368" i="17"/>
  <c r="D139" i="11" s="1"/>
  <c r="D60" i="11"/>
  <c r="T60" i="11"/>
  <c r="AJ60" i="11"/>
  <c r="K368" i="17"/>
  <c r="I139" i="11" s="1"/>
  <c r="I60" i="11"/>
  <c r="Y60" i="11"/>
  <c r="AQ368" i="17"/>
  <c r="AO139" i="11" s="1"/>
  <c r="AO60" i="11"/>
  <c r="N60" i="11"/>
  <c r="AF368" i="17"/>
  <c r="AD139" i="11" s="1"/>
  <c r="AV368" i="17"/>
  <c r="AT139" i="11" s="1"/>
  <c r="L55" i="11"/>
  <c r="I338" i="17"/>
  <c r="G134" i="11" s="1"/>
  <c r="AJ268" i="17"/>
  <c r="AH42" i="11"/>
  <c r="U268" i="17"/>
  <c r="S121" i="11" s="1"/>
  <c r="J268" i="17"/>
  <c r="H121" i="11" s="1"/>
  <c r="H42" i="11"/>
  <c r="AP268" i="17"/>
  <c r="AN121" i="11" s="1"/>
  <c r="AE268" i="17"/>
  <c r="AC121" i="11" s="1"/>
  <c r="AC42" i="11"/>
  <c r="P248" i="17"/>
  <c r="N117" i="11" s="1"/>
  <c r="AF248" i="17"/>
  <c r="AD117" i="11" s="1"/>
  <c r="AD38" i="11"/>
  <c r="AV248" i="17"/>
  <c r="AT117" i="11" s="1"/>
  <c r="Q248" i="17"/>
  <c r="O117" i="11" s="1"/>
  <c r="O38" i="11"/>
  <c r="AG248" i="17"/>
  <c r="AE117" i="11" s="1"/>
  <c r="F248" i="17"/>
  <c r="D38" i="11"/>
  <c r="V248" i="17"/>
  <c r="T117" i="11" s="1"/>
  <c r="AL248" i="17"/>
  <c r="AJ38" i="11"/>
  <c r="K248" i="17"/>
  <c r="I117" i="11" s="1"/>
  <c r="AA248" i="17"/>
  <c r="Y117" i="11" s="1"/>
  <c r="Y38" i="11"/>
  <c r="AP34" i="11"/>
  <c r="AA34" i="11"/>
  <c r="G228" i="17"/>
  <c r="E113" i="11" s="1"/>
  <c r="E34" i="11"/>
  <c r="V198" i="17"/>
  <c r="T108" i="11" s="1"/>
  <c r="AQ198" i="17"/>
  <c r="AO108" i="11" s="1"/>
  <c r="AO29" i="11"/>
  <c r="AF198" i="17"/>
  <c r="AD108" i="11" s="1"/>
  <c r="Q198" i="17"/>
  <c r="O108" i="11" s="1"/>
  <c r="O29" i="11"/>
  <c r="AH178" i="17"/>
  <c r="AF104" i="11" s="1"/>
  <c r="AF25" i="11"/>
  <c r="X178" i="17"/>
  <c r="V25" i="11"/>
  <c r="I178" i="17"/>
  <c r="G104" i="11" s="1"/>
  <c r="AC24" i="11"/>
  <c r="AJ158" i="17"/>
  <c r="AH21" i="11"/>
  <c r="AM273" i="17"/>
  <c r="AK122" i="11" s="1"/>
  <c r="G273" i="17"/>
  <c r="E122" i="11" s="1"/>
  <c r="P483" i="17"/>
  <c r="N161" i="11" s="1"/>
  <c r="N82" i="11"/>
  <c r="Q483" i="17"/>
  <c r="AJ78" i="11"/>
  <c r="N413" i="17"/>
  <c r="L148" i="11" s="1"/>
  <c r="AL69" i="11"/>
  <c r="I413" i="17"/>
  <c r="G148" i="11" s="1"/>
  <c r="G69" i="11"/>
  <c r="Y413" i="17"/>
  <c r="W148" i="11" s="1"/>
  <c r="W69" i="11"/>
  <c r="H373" i="17"/>
  <c r="F140" i="11" s="1"/>
  <c r="AJ343" i="17"/>
  <c r="AH135" i="11" s="1"/>
  <c r="E343" i="17"/>
  <c r="C135" i="11" s="1"/>
  <c r="C56" i="11"/>
  <c r="U343" i="17"/>
  <c r="S135" i="11" s="1"/>
  <c r="S56" i="11"/>
  <c r="AK343" i="17"/>
  <c r="AI56" i="11"/>
  <c r="Z343" i="17"/>
  <c r="X135" i="11" s="1"/>
  <c r="X56" i="11"/>
  <c r="AN56" i="11"/>
  <c r="AC131" i="11"/>
  <c r="AC52" i="11"/>
  <c r="T323" i="17"/>
  <c r="R131" i="11" s="1"/>
  <c r="R52" i="11"/>
  <c r="E323" i="17"/>
  <c r="C131" i="11" s="1"/>
  <c r="C52" i="11"/>
  <c r="AK323" i="17"/>
  <c r="AI131" i="11" s="1"/>
  <c r="AI52" i="11"/>
  <c r="Z323" i="17"/>
  <c r="X131" i="11" s="1"/>
  <c r="X52" i="11"/>
  <c r="AP323" i="17"/>
  <c r="AN131" i="11" s="1"/>
  <c r="M273" i="17"/>
  <c r="K43" i="11"/>
  <c r="AC273" i="17"/>
  <c r="AA122" i="11" s="1"/>
  <c r="AA43" i="11"/>
  <c r="AS273" i="17"/>
  <c r="AQ122" i="11" s="1"/>
  <c r="AQ43" i="11"/>
  <c r="R273" i="17"/>
  <c r="P122" i="11" s="1"/>
  <c r="P43" i="11"/>
  <c r="AH273" i="17"/>
  <c r="AF122" i="11" s="1"/>
  <c r="AF43" i="11"/>
  <c r="E43" i="11"/>
  <c r="W273" i="17"/>
  <c r="U122" i="11" s="1"/>
  <c r="U43" i="11"/>
  <c r="AK43" i="11"/>
  <c r="AB273" i="17"/>
  <c r="Z122" i="11" s="1"/>
  <c r="Z43" i="11"/>
  <c r="M233" i="17"/>
  <c r="K114" i="11" s="1"/>
  <c r="K35" i="11"/>
  <c r="AS233" i="17"/>
  <c r="AQ114" i="11" s="1"/>
  <c r="AQ35" i="11"/>
  <c r="AH233" i="17"/>
  <c r="AF114" i="11" s="1"/>
  <c r="AF35" i="11"/>
  <c r="W233" i="17"/>
  <c r="U114" i="11" s="1"/>
  <c r="U35" i="11"/>
  <c r="AM233" i="17"/>
  <c r="AK114" i="11" s="1"/>
  <c r="AK35" i="11"/>
  <c r="AR233" i="17"/>
  <c r="AP114" i="11" s="1"/>
  <c r="AP35" i="11"/>
  <c r="K178" i="17"/>
  <c r="I104" i="11" s="1"/>
  <c r="I25" i="11"/>
  <c r="J173" i="17"/>
  <c r="AU158" i="17"/>
  <c r="AS21" i="11"/>
  <c r="O158" i="17"/>
  <c r="M100" i="11" s="1"/>
  <c r="M21" i="11"/>
  <c r="AO14" i="11"/>
  <c r="E108" i="17"/>
  <c r="C12" i="11"/>
  <c r="AJ103" i="17"/>
  <c r="AH90" i="11" s="1"/>
  <c r="AH11" i="11"/>
  <c r="T103" i="17"/>
  <c r="R90" i="11" s="1"/>
  <c r="R11" i="11"/>
  <c r="Q468" i="17"/>
  <c r="O79" i="11"/>
  <c r="AL468" i="17"/>
  <c r="AJ158" i="11" s="1"/>
  <c r="AJ79" i="11"/>
  <c r="Y79" i="11"/>
  <c r="AV468" i="17"/>
  <c r="AT79" i="11"/>
  <c r="G398" i="17"/>
  <c r="E66" i="11"/>
  <c r="AB398" i="17"/>
  <c r="Z145" i="11" s="1"/>
  <c r="Z66" i="11"/>
  <c r="AH398" i="17"/>
  <c r="AF66" i="11"/>
  <c r="S378" i="17"/>
  <c r="Q141" i="11" s="1"/>
  <c r="Q62" i="11"/>
  <c r="AL62" i="11"/>
  <c r="AL57" i="11"/>
  <c r="AP348" i="17"/>
  <c r="AN57" i="11"/>
  <c r="AH348" i="17"/>
  <c r="AF136" i="11" s="1"/>
  <c r="AF57" i="11"/>
  <c r="Y348" i="17"/>
  <c r="W136" i="11" s="1"/>
  <c r="W57" i="11"/>
  <c r="J53" i="11"/>
  <c r="AC328" i="17"/>
  <c r="AA132" i="11" s="1"/>
  <c r="AA53" i="11"/>
  <c r="AF44" i="11"/>
  <c r="L278" i="17"/>
  <c r="J123" i="11" s="1"/>
  <c r="J44" i="11"/>
  <c r="AK208" i="17"/>
  <c r="AI31" i="11"/>
  <c r="AP208" i="17"/>
  <c r="AN31" i="11"/>
  <c r="L188" i="17"/>
  <c r="J106" i="11" s="1"/>
  <c r="J27" i="11"/>
  <c r="G188" i="17"/>
  <c r="AC152" i="11"/>
  <c r="AR113" i="11"/>
  <c r="C148" i="11"/>
  <c r="F94" i="11"/>
  <c r="AH149" i="11"/>
  <c r="C157" i="11"/>
  <c r="AS139" i="11"/>
  <c r="AL94" i="11"/>
  <c r="G94" i="11"/>
  <c r="Z94" i="11"/>
  <c r="C116" i="11"/>
  <c r="S35" i="10"/>
  <c r="AH318" i="17"/>
  <c r="P121" i="11"/>
  <c r="R213" i="17"/>
  <c r="P111" i="11" s="1"/>
  <c r="T79" i="19"/>
  <c r="N109" i="19"/>
  <c r="F129" i="21"/>
  <c r="G131" i="21"/>
  <c r="D133" i="21"/>
  <c r="G129" i="21"/>
  <c r="G130" i="21"/>
  <c r="G132" i="21"/>
  <c r="G133" i="21"/>
  <c r="G134" i="21"/>
  <c r="D132" i="21"/>
  <c r="D134" i="21"/>
  <c r="D131" i="21"/>
  <c r="D129" i="21"/>
  <c r="E133" i="21"/>
  <c r="D130" i="21"/>
  <c r="G159" i="21"/>
  <c r="F121" i="11"/>
  <c r="AH65" i="15"/>
  <c r="AG65" i="15" s="1"/>
  <c r="AJ135" i="11"/>
  <c r="AA107" i="11"/>
  <c r="P184" i="19"/>
  <c r="P201" i="19" s="1"/>
  <c r="P218" i="19" s="1"/>
  <c r="AC54" i="11"/>
  <c r="AE313" i="17"/>
  <c r="AC129" i="11" s="1"/>
  <c r="AJ129" i="11"/>
  <c r="AP22" i="34"/>
  <c r="EG23" i="34"/>
  <c r="AU23" i="34"/>
  <c r="EB23" i="34"/>
  <c r="BO23" i="34"/>
  <c r="BV22" i="34"/>
  <c r="BK23" i="34"/>
  <c r="EF23" i="34"/>
  <c r="BT23" i="34"/>
  <c r="EM22" i="34"/>
  <c r="EH22" i="34"/>
  <c r="D35" i="7"/>
  <c r="D36" i="7" s="1"/>
  <c r="E54" i="8"/>
  <c r="E80" i="8"/>
  <c r="H7" i="8"/>
  <c r="H85" i="8" s="1"/>
  <c r="H54" i="8"/>
  <c r="H93" i="8"/>
  <c r="H40" i="19"/>
  <c r="N51" i="19"/>
  <c r="D77" i="19"/>
  <c r="E77" i="19" s="1"/>
  <c r="K63" i="19"/>
  <c r="C19" i="14"/>
  <c r="C21" i="14" s="1"/>
  <c r="D18" i="19"/>
  <c r="D156" i="19"/>
  <c r="G21" i="14"/>
  <c r="O243" i="17"/>
  <c r="M37" i="11"/>
  <c r="S37" i="11"/>
  <c r="AC37" i="11"/>
  <c r="AH37" i="11"/>
  <c r="AE243" i="17"/>
  <c r="T243" i="17"/>
  <c r="R116" i="11" s="1"/>
  <c r="AJ243" i="17"/>
  <c r="AA32" i="11"/>
  <c r="AC213" i="17"/>
  <c r="AA111" i="11" s="1"/>
  <c r="P32" i="11"/>
  <c r="G213" i="17"/>
  <c r="AR28" i="11"/>
  <c r="E193" i="17"/>
  <c r="C107" i="11" s="1"/>
  <c r="X262" i="17"/>
  <c r="G128" i="17"/>
  <c r="AC16" i="11"/>
  <c r="AS16" i="11"/>
  <c r="AJ15" i="11"/>
  <c r="V262" i="17"/>
  <c r="V332" i="17"/>
  <c r="T54" i="11" s="1"/>
  <c r="F123" i="17"/>
  <c r="D94" i="11" s="1"/>
  <c r="AA108" i="17"/>
  <c r="Y91" i="11" s="1"/>
  <c r="K108" i="17"/>
  <c r="I91" i="11" s="1"/>
  <c r="AP103" i="17"/>
  <c r="AN90" i="11" s="1"/>
  <c r="J103" i="17"/>
  <c r="H90" i="11" s="1"/>
  <c r="C60" i="11"/>
  <c r="AS60" i="11"/>
  <c r="J368" i="17"/>
  <c r="H139" i="11" s="1"/>
  <c r="AE368" i="17"/>
  <c r="AC139" i="11" s="1"/>
  <c r="AF51" i="11"/>
  <c r="W318" i="17"/>
  <c r="U130" i="11" s="1"/>
  <c r="AA51" i="11"/>
  <c r="AC318" i="17"/>
  <c r="S268" i="17"/>
  <c r="Q121" i="11" s="1"/>
  <c r="J248" i="17"/>
  <c r="H117" i="11" s="1"/>
  <c r="X29" i="11"/>
  <c r="Z198" i="17"/>
  <c r="X108" i="11" s="1"/>
  <c r="V317" i="17"/>
  <c r="AL52" i="11"/>
  <c r="AN323" i="17"/>
  <c r="AL131" i="11" s="1"/>
  <c r="I257" i="17"/>
  <c r="I258" i="17" s="1"/>
  <c r="I262" i="17"/>
  <c r="I253" i="17"/>
  <c r="G118" i="11" s="1"/>
  <c r="K7" i="29"/>
  <c r="B8" i="36"/>
  <c r="B5" i="36"/>
  <c r="I3" i="36" s="1"/>
  <c r="M18" i="7"/>
  <c r="M19" i="7" s="1"/>
  <c r="AM84" i="11"/>
  <c r="AA423" i="17"/>
  <c r="Y150" i="11" s="1"/>
  <c r="H92" i="7"/>
  <c r="H89" i="7"/>
  <c r="H90" i="7" s="1"/>
  <c r="H51" i="8"/>
  <c r="H77" i="8"/>
  <c r="H90" i="8"/>
  <c r="H83" i="8"/>
  <c r="S41" i="11"/>
  <c r="U263" i="17"/>
  <c r="S438" i="17"/>
  <c r="Q152" i="11" s="1"/>
  <c r="AN438" i="17"/>
  <c r="AL152" i="11" s="1"/>
  <c r="N438" i="17"/>
  <c r="L152" i="11" s="1"/>
  <c r="U6" i="29"/>
  <c r="U7" i="29"/>
  <c r="U21" i="29" s="1"/>
  <c r="AH34" i="15"/>
  <c r="AG34" i="15" s="1"/>
  <c r="T252" i="17"/>
  <c r="AE252" i="17"/>
  <c r="AE253" i="17" s="1"/>
  <c r="AC118" i="11" s="1"/>
  <c r="AP252" i="17"/>
  <c r="J252" i="17"/>
  <c r="U252" i="17"/>
  <c r="X252" i="17"/>
  <c r="AI252" i="17"/>
  <c r="AT252" i="17"/>
  <c r="N252" i="17"/>
  <c r="Y252" i="17"/>
  <c r="W39" i="11" s="1"/>
  <c r="AJ252" i="17"/>
  <c r="O252" i="17"/>
  <c r="AK252" i="17"/>
  <c r="AN252" i="17"/>
  <c r="AL39" i="11" s="1"/>
  <c r="S252" i="17"/>
  <c r="AO252" i="17"/>
  <c r="AM39" i="11" s="1"/>
  <c r="AC257" i="17"/>
  <c r="AR257" i="17"/>
  <c r="L257" i="17"/>
  <c r="L258" i="17" s="1"/>
  <c r="J119" i="11" s="1"/>
  <c r="W257" i="17"/>
  <c r="AH257" i="17"/>
  <c r="AH258" i="17" s="1"/>
  <c r="AF119" i="11" s="1"/>
  <c r="AO257" i="17"/>
  <c r="AO258" i="17" s="1"/>
  <c r="AO327" i="17"/>
  <c r="X257" i="17"/>
  <c r="AI257" i="17"/>
  <c r="AG40" i="11" s="1"/>
  <c r="AT257" i="17"/>
  <c r="AR40" i="11" s="1"/>
  <c r="N257" i="17"/>
  <c r="AS257" i="17"/>
  <c r="AQ40" i="11" s="1"/>
  <c r="AB257" i="17"/>
  <c r="AB258" i="17" s="1"/>
  <c r="Z119" i="11" s="1"/>
  <c r="G257" i="17"/>
  <c r="AN257" i="17"/>
  <c r="S257" i="17"/>
  <c r="S258" i="17" s="1"/>
  <c r="AT262" i="17"/>
  <c r="AD262" i="17"/>
  <c r="N262" i="17"/>
  <c r="AO262" i="17"/>
  <c r="Y262" i="17"/>
  <c r="W41" i="11" s="1"/>
  <c r="AN262" i="17"/>
  <c r="H262" i="17"/>
  <c r="AI262" i="17"/>
  <c r="AG41" i="11" s="1"/>
  <c r="S262" i="17"/>
  <c r="Q41" i="11" s="1"/>
  <c r="AH262" i="17"/>
  <c r="R262" i="17"/>
  <c r="AS262" i="17"/>
  <c r="AC262" i="17"/>
  <c r="AC263" i="17" s="1"/>
  <c r="M262" i="17"/>
  <c r="K41" i="11" s="1"/>
  <c r="AR262" i="17"/>
  <c r="AB262" i="17"/>
  <c r="AB263" i="17" s="1"/>
  <c r="Z120" i="11" s="1"/>
  <c r="L262" i="17"/>
  <c r="J41" i="11" s="1"/>
  <c r="AM262" i="17"/>
  <c r="W262" i="17"/>
  <c r="G262" i="17"/>
  <c r="AG262" i="17"/>
  <c r="AV262" i="17"/>
  <c r="P262" i="17"/>
  <c r="AA262" i="17"/>
  <c r="Y41" i="11" s="1"/>
  <c r="Z262" i="17"/>
  <c r="X41" i="11" s="1"/>
  <c r="AK262" i="17"/>
  <c r="E262" i="17"/>
  <c r="T262" i="17"/>
  <c r="AE262" i="17"/>
  <c r="E497" i="17"/>
  <c r="E499" i="17"/>
  <c r="F499" i="17" s="1"/>
  <c r="G499" i="17" s="1"/>
  <c r="J180" i="19"/>
  <c r="F52" i="34"/>
  <c r="G52" i="34" s="1"/>
  <c r="AW4" i="29"/>
  <c r="F75" i="8"/>
  <c r="F88" i="8"/>
  <c r="F16" i="14"/>
  <c r="AH46" i="15"/>
  <c r="AG46" i="15" s="1"/>
  <c r="AG317" i="17"/>
  <c r="AE51" i="11" s="1"/>
  <c r="Q317" i="17"/>
  <c r="O51" i="11" s="1"/>
  <c r="AV317" i="17"/>
  <c r="AT51" i="11" s="1"/>
  <c r="AF317" i="17"/>
  <c r="AF318" i="17" s="1"/>
  <c r="AD130" i="11" s="1"/>
  <c r="P317" i="17"/>
  <c r="AQ317" i="17"/>
  <c r="AA317" i="17"/>
  <c r="Y51" i="11" s="1"/>
  <c r="K317" i="17"/>
  <c r="AL317" i="17"/>
  <c r="AL318" i="17" s="1"/>
  <c r="F317" i="17"/>
  <c r="AK317" i="17"/>
  <c r="AK318" i="17" s="1"/>
  <c r="U317" i="17"/>
  <c r="U318" i="17" s="1"/>
  <c r="E317" i="17"/>
  <c r="AJ317" i="17"/>
  <c r="AJ318" i="17" s="1"/>
  <c r="T317" i="17"/>
  <c r="R51" i="11" s="1"/>
  <c r="AU317" i="17"/>
  <c r="AE317" i="17"/>
  <c r="O317" i="17"/>
  <c r="AP317" i="17"/>
  <c r="AN51" i="11" s="1"/>
  <c r="Z317" i="17"/>
  <c r="J317" i="17"/>
  <c r="AH322" i="17"/>
  <c r="R322" i="17"/>
  <c r="R323" i="17" s="1"/>
  <c r="P131" i="11" s="1"/>
  <c r="AS322" i="17"/>
  <c r="AC322" i="17"/>
  <c r="M322" i="17"/>
  <c r="AR322" i="17"/>
  <c r="AR323" i="17" s="1"/>
  <c r="AP131" i="11" s="1"/>
  <c r="AB322" i="17"/>
  <c r="AB323" i="17" s="1"/>
  <c r="Z131" i="11" s="1"/>
  <c r="L322" i="17"/>
  <c r="AM322" i="17"/>
  <c r="W322" i="17"/>
  <c r="G322" i="17"/>
  <c r="E52" i="11" s="1"/>
  <c r="AL322" i="17"/>
  <c r="AJ52" i="11" s="1"/>
  <c r="V322" i="17"/>
  <c r="F322" i="17"/>
  <c r="F323" i="17" s="1"/>
  <c r="D131" i="11" s="1"/>
  <c r="AG322" i="17"/>
  <c r="Q322" i="17"/>
  <c r="O52" i="11" s="1"/>
  <c r="AV322" i="17"/>
  <c r="AF322" i="17"/>
  <c r="AD52" i="11" s="1"/>
  <c r="P322" i="17"/>
  <c r="P323" i="17" s="1"/>
  <c r="N131" i="11" s="1"/>
  <c r="AQ322" i="17"/>
  <c r="AA322" i="17"/>
  <c r="Y52" i="11" s="1"/>
  <c r="K322" i="17"/>
  <c r="K323" i="17" s="1"/>
  <c r="I131" i="11" s="1"/>
  <c r="AU327" i="17"/>
  <c r="AE327" i="17"/>
  <c r="O327" i="17"/>
  <c r="O328" i="17" s="1"/>
  <c r="AP327" i="17"/>
  <c r="AP328" i="17" s="1"/>
  <c r="Z327" i="17"/>
  <c r="J327" i="17"/>
  <c r="AK327" i="17"/>
  <c r="AK328" i="17" s="1"/>
  <c r="AI132" i="11" s="1"/>
  <c r="U327" i="17"/>
  <c r="S53" i="11" s="1"/>
  <c r="E327" i="17"/>
  <c r="AJ327" i="17"/>
  <c r="T327" i="17"/>
  <c r="AI327" i="17"/>
  <c r="AI328" i="17" s="1"/>
  <c r="AG132" i="11" s="1"/>
  <c r="S327" i="17"/>
  <c r="AT327" i="17"/>
  <c r="AT328" i="17" s="1"/>
  <c r="AR132" i="11" s="1"/>
  <c r="AD327" i="17"/>
  <c r="N327" i="17"/>
  <c r="N328" i="17" s="1"/>
  <c r="L132" i="11" s="1"/>
  <c r="Y327" i="17"/>
  <c r="I327" i="17"/>
  <c r="AN327" i="17"/>
  <c r="AN328" i="17" s="1"/>
  <c r="X327" i="17"/>
  <c r="V53" i="11" s="1"/>
  <c r="H327" i="17"/>
  <c r="F53" i="11" s="1"/>
  <c r="AR332" i="17"/>
  <c r="AB332" i="17"/>
  <c r="L332" i="17"/>
  <c r="L333" i="17" s="1"/>
  <c r="AM332" i="17"/>
  <c r="W332" i="17"/>
  <c r="U54" i="11" s="1"/>
  <c r="G332" i="17"/>
  <c r="G333" i="17" s="1"/>
  <c r="E133" i="11" s="1"/>
  <c r="AH332" i="17"/>
  <c r="AH333" i="17" s="1"/>
  <c r="AF133" i="11" s="1"/>
  <c r="R332" i="17"/>
  <c r="AS332" i="17"/>
  <c r="AQ54" i="11" s="1"/>
  <c r="AC332" i="17"/>
  <c r="M332" i="17"/>
  <c r="AV332" i="17"/>
  <c r="AV333" i="17" s="1"/>
  <c r="AT133" i="11" s="1"/>
  <c r="AF332" i="17"/>
  <c r="AF333" i="17" s="1"/>
  <c r="AD133" i="11" s="1"/>
  <c r="P332" i="17"/>
  <c r="AQ332" i="17"/>
  <c r="AO54" i="11" s="1"/>
  <c r="AA332" i="17"/>
  <c r="K332" i="17"/>
  <c r="AL332" i="17"/>
  <c r="AJ54" i="11" s="1"/>
  <c r="F332" i="17"/>
  <c r="F333" i="17" s="1"/>
  <c r="D133" i="11" s="1"/>
  <c r="AG332" i="17"/>
  <c r="Q332" i="17"/>
  <c r="F57" i="8"/>
  <c r="G91" i="8"/>
  <c r="G52" i="8"/>
  <c r="BG35" i="10"/>
  <c r="G51" i="10"/>
  <c r="J59" i="9" s="1"/>
  <c r="U22" i="14"/>
  <c r="J143" i="9"/>
  <c r="AH437" i="17"/>
  <c r="R437" i="17"/>
  <c r="P73" i="11" s="1"/>
  <c r="AS437" i="17"/>
  <c r="AS438" i="17" s="1"/>
  <c r="AQ152" i="11" s="1"/>
  <c r="AC437" i="17"/>
  <c r="AA73" i="11" s="1"/>
  <c r="M437" i="17"/>
  <c r="M438" i="17" s="1"/>
  <c r="K152" i="11" s="1"/>
  <c r="AR437" i="17"/>
  <c r="AP73" i="11" s="1"/>
  <c r="AB437" i="17"/>
  <c r="Z73" i="11" s="1"/>
  <c r="L437" i="17"/>
  <c r="AM437" i="17"/>
  <c r="W437" i="17"/>
  <c r="G437" i="17"/>
  <c r="E73" i="11" s="1"/>
  <c r="AL437" i="17"/>
  <c r="AJ73" i="11" s="1"/>
  <c r="V437" i="17"/>
  <c r="F437" i="17"/>
  <c r="AG437" i="17"/>
  <c r="Q437" i="17"/>
  <c r="O73" i="11" s="1"/>
  <c r="AV437" i="17"/>
  <c r="AV438" i="17" s="1"/>
  <c r="AT152" i="11" s="1"/>
  <c r="AF437" i="17"/>
  <c r="P437" i="17"/>
  <c r="AQ437" i="17"/>
  <c r="AA437" i="17"/>
  <c r="AA438" i="17" s="1"/>
  <c r="Y152" i="11" s="1"/>
  <c r="K437" i="17"/>
  <c r="CB17" i="6"/>
  <c r="M55" i="7"/>
  <c r="G32" i="14"/>
  <c r="G5" i="14" s="1"/>
  <c r="G37" i="14"/>
  <c r="G55" i="14"/>
  <c r="G51" i="14"/>
  <c r="AH57" i="15"/>
  <c r="AG57" i="15" s="1"/>
  <c r="AM4" i="29"/>
  <c r="M6" i="29"/>
  <c r="BA9" i="6"/>
  <c r="F33" i="23"/>
  <c r="F43" i="23" s="1"/>
  <c r="F35" i="23"/>
  <c r="AH74" i="15"/>
  <c r="AG74" i="15" s="1"/>
  <c r="AA6" i="29"/>
  <c r="S7" i="29"/>
  <c r="S23" i="29" s="1"/>
  <c r="BA5" i="29"/>
  <c r="S24" i="13"/>
  <c r="K22" i="14"/>
  <c r="H138" i="9" s="1"/>
  <c r="H141" i="9" s="1"/>
  <c r="D174" i="19"/>
  <c r="J174" i="19"/>
  <c r="E9" i="31"/>
  <c r="AR30" i="13"/>
  <c r="X22" i="14"/>
  <c r="AA22" i="14"/>
  <c r="L138" i="9" s="1"/>
  <c r="L141" i="9" s="1"/>
  <c r="M173" i="19"/>
  <c r="P173" i="19"/>
  <c r="P167" i="19"/>
  <c r="AQ109" i="11"/>
  <c r="U135" i="11"/>
  <c r="Y140" i="11"/>
  <c r="AD144" i="11"/>
  <c r="AR157" i="11"/>
  <c r="AT193" i="17"/>
  <c r="AR107" i="11" s="1"/>
  <c r="AF22" i="11"/>
  <c r="R163" i="17"/>
  <c r="P101" i="11" s="1"/>
  <c r="P22" i="11"/>
  <c r="AS158" i="17"/>
  <c r="AA21" i="11"/>
  <c r="AC158" i="17"/>
  <c r="AA100" i="11" s="1"/>
  <c r="K21" i="11"/>
  <c r="AU128" i="17"/>
  <c r="AE128" i="17"/>
  <c r="AD123" i="17"/>
  <c r="L15" i="11"/>
  <c r="AO118" i="17"/>
  <c r="AM93" i="11" s="1"/>
  <c r="AM14" i="11"/>
  <c r="AI108" i="17"/>
  <c r="AG91" i="11" s="1"/>
  <c r="AG12" i="11"/>
  <c r="X12" i="11"/>
  <c r="AH103" i="17"/>
  <c r="AF90" i="11" s="1"/>
  <c r="Y24" i="11"/>
  <c r="AA173" i="17"/>
  <c r="I24" i="11"/>
  <c r="K173" i="17"/>
  <c r="I103" i="11" s="1"/>
  <c r="AE22" i="11"/>
  <c r="AG163" i="17"/>
  <c r="Q163" i="17"/>
  <c r="O101" i="11" s="1"/>
  <c r="O22" i="11"/>
  <c r="AQ15" i="11"/>
  <c r="AS123" i="17"/>
  <c r="AQ94" i="11" s="1"/>
  <c r="AC123" i="17"/>
  <c r="AA94" i="11" s="1"/>
  <c r="M123" i="17"/>
  <c r="K94" i="11" s="1"/>
  <c r="K15" i="11"/>
  <c r="G252" i="17"/>
  <c r="F34" i="10"/>
  <c r="F35" i="10" s="1"/>
  <c r="F45" i="10"/>
  <c r="G58" i="9" s="1"/>
  <c r="AF35" i="10"/>
  <c r="F47" i="10"/>
  <c r="H58" i="9" s="1"/>
  <c r="AJ35" i="10"/>
  <c r="J47" i="10"/>
  <c r="H62" i="9" s="1"/>
  <c r="N34" i="10"/>
  <c r="N35" i="10" s="1"/>
  <c r="AN35" i="10"/>
  <c r="N47" i="10"/>
  <c r="H66" i="9" s="1"/>
  <c r="G47" i="10"/>
  <c r="H59" i="9" s="1"/>
  <c r="AG35" i="10"/>
  <c r="I49" i="10"/>
  <c r="I61" i="9" s="1"/>
  <c r="AV35" i="10"/>
  <c r="G17" i="7"/>
  <c r="G18" i="7" s="1"/>
  <c r="G20" i="7"/>
  <c r="D49" i="8"/>
  <c r="C91" i="11"/>
  <c r="Y105" i="11"/>
  <c r="AS144" i="11"/>
  <c r="AN123" i="11"/>
  <c r="Z109" i="11"/>
  <c r="AT140" i="11"/>
  <c r="I144" i="11"/>
  <c r="V153" i="11"/>
  <c r="AD24" i="11"/>
  <c r="AF173" i="17"/>
  <c r="P173" i="17"/>
  <c r="N103" i="11" s="1"/>
  <c r="Z108" i="17"/>
  <c r="X91" i="11" s="1"/>
  <c r="J108" i="17"/>
  <c r="H91" i="11" s="1"/>
  <c r="S11" i="11"/>
  <c r="AW90" i="17"/>
  <c r="AW91" i="17" s="1"/>
  <c r="AW92" i="17" s="1"/>
  <c r="AW93" i="17" s="1"/>
  <c r="AW94" i="17" s="1"/>
  <c r="CN9" i="6"/>
  <c r="N7" i="6"/>
  <c r="AE132" i="11"/>
  <c r="V116" i="11"/>
  <c r="AQ107" i="11"/>
  <c r="I147" i="11"/>
  <c r="T94" i="11"/>
  <c r="I107" i="11"/>
  <c r="G130" i="11"/>
  <c r="M90" i="11"/>
  <c r="K122" i="11"/>
  <c r="P142" i="11"/>
  <c r="AK302" i="17"/>
  <c r="AI48" i="11" s="1"/>
  <c r="F91" i="11"/>
  <c r="AT109" i="11"/>
  <c r="Q122" i="11"/>
  <c r="E106" i="11"/>
  <c r="H103" i="11"/>
  <c r="K108" i="19"/>
  <c r="T109" i="11"/>
  <c r="AM94" i="11"/>
  <c r="Q105" i="11"/>
  <c r="V109" i="11"/>
  <c r="D142" i="11"/>
  <c r="H319" i="20"/>
  <c r="H320" i="20" s="1"/>
  <c r="E303" i="20"/>
  <c r="E304" i="20" s="1"/>
  <c r="G51" i="8"/>
  <c r="M72" i="7"/>
  <c r="M73" i="7" s="1"/>
  <c r="I8" i="8"/>
  <c r="C97" i="7"/>
  <c r="I6" i="8" s="1"/>
  <c r="I84" i="8" s="1"/>
  <c r="I51" i="8"/>
  <c r="I77" i="8"/>
  <c r="I90" i="8"/>
  <c r="I82" i="8"/>
  <c r="I95" i="8"/>
  <c r="J343" i="20"/>
  <c r="J344" i="20" s="1"/>
  <c r="E86" i="8"/>
  <c r="E73" i="8"/>
  <c r="E51" i="8"/>
  <c r="E90" i="8"/>
  <c r="E82" i="8"/>
  <c r="E95" i="8"/>
  <c r="E56" i="8"/>
  <c r="M37" i="7"/>
  <c r="K34" i="10"/>
  <c r="K35" i="10" s="1"/>
  <c r="T21" i="19"/>
  <c r="D19" i="2"/>
  <c r="D17" i="2"/>
  <c r="AS22" i="34"/>
  <c r="AG22" i="34"/>
  <c r="CS22" i="34"/>
  <c r="BX23" i="34"/>
  <c r="DD23" i="34"/>
  <c r="BZ22" i="34"/>
  <c r="DV22" i="34"/>
  <c r="CO23" i="34"/>
  <c r="EK23" i="34"/>
  <c r="EK22" i="34"/>
  <c r="P23" i="34"/>
  <c r="EN23" i="34"/>
  <c r="AH22" i="34"/>
  <c r="FF22" i="34"/>
  <c r="AW23" i="34"/>
  <c r="K22" i="34"/>
  <c r="AQ22" i="34"/>
  <c r="J23" i="34"/>
  <c r="BF23" i="34"/>
  <c r="AB22" i="34"/>
  <c r="BX22" i="34"/>
  <c r="AQ23" i="34"/>
  <c r="BW23" i="34"/>
  <c r="DA22" i="34"/>
  <c r="AZ23" i="34"/>
  <c r="EX22" i="34"/>
  <c r="CK23" i="34"/>
  <c r="EA22" i="34"/>
  <c r="N23" i="34"/>
  <c r="EL23" i="34"/>
  <c r="FF23" i="34"/>
  <c r="CZ22" i="34"/>
  <c r="ER22" i="34"/>
  <c r="CQ23" i="34"/>
  <c r="FC23" i="34"/>
  <c r="X23" i="34"/>
  <c r="BD23" i="34"/>
  <c r="BR22" i="34"/>
  <c r="CX22" i="34"/>
  <c r="CW23" i="34"/>
  <c r="AE22" i="34"/>
  <c r="EE22" i="34"/>
  <c r="R23" i="34"/>
  <c r="DV23" i="34"/>
  <c r="EP23" i="34"/>
  <c r="EB22" i="34"/>
  <c r="O23" i="34"/>
  <c r="EM23" i="34"/>
  <c r="N62" i="19"/>
  <c r="T90" i="19"/>
  <c r="K92" i="19"/>
  <c r="K118" i="19"/>
  <c r="W7" i="29"/>
  <c r="E18" i="1"/>
  <c r="E19" i="1" s="1"/>
  <c r="D18" i="1"/>
  <c r="D19" i="1" s="1"/>
  <c r="D12" i="1"/>
  <c r="E12" i="1" s="1"/>
  <c r="F12" i="1" s="1"/>
  <c r="F18" i="1"/>
  <c r="F19" i="1" s="1"/>
  <c r="E17" i="7"/>
  <c r="E18" i="7" s="1"/>
  <c r="P97" i="7"/>
  <c r="P110" i="7" s="1"/>
  <c r="Q79" i="7"/>
  <c r="Q92" i="7" s="1"/>
  <c r="H20" i="7"/>
  <c r="H17" i="7"/>
  <c r="H18" i="7" s="1"/>
  <c r="J20" i="7"/>
  <c r="E7" i="8"/>
  <c r="E46" i="8" s="1"/>
  <c r="E50" i="8"/>
  <c r="E89" i="8"/>
  <c r="E76" i="8"/>
  <c r="E93" i="8"/>
  <c r="F90" i="8"/>
  <c r="F77" i="8"/>
  <c r="F51" i="8"/>
  <c r="H73" i="8"/>
  <c r="H86" i="8"/>
  <c r="H75" i="8"/>
  <c r="H88" i="8"/>
  <c r="H56" i="8"/>
  <c r="H95" i="8"/>
  <c r="H82" i="8"/>
  <c r="I74" i="8"/>
  <c r="I48" i="8"/>
  <c r="I91" i="8"/>
  <c r="I78" i="8"/>
  <c r="F49" i="10"/>
  <c r="I58" i="9" s="1"/>
  <c r="AZ35" i="10"/>
  <c r="M49" i="10"/>
  <c r="I65" i="9" s="1"/>
  <c r="X2" i="14"/>
  <c r="K139" i="9"/>
  <c r="S55" i="14"/>
  <c r="S58" i="14"/>
  <c r="S54" i="14"/>
  <c r="B160" i="17"/>
  <c r="AH164" i="17" s="1"/>
  <c r="C32" i="15"/>
  <c r="C45" i="15" s="1"/>
  <c r="C23" i="15"/>
  <c r="C36" i="15" s="1"/>
  <c r="B110" i="17"/>
  <c r="AW110" i="17" s="1"/>
  <c r="AW111" i="17" s="1"/>
  <c r="AW112" i="17" s="1"/>
  <c r="AW113" i="17" s="1"/>
  <c r="AW114" i="17" s="1"/>
  <c r="AH10" i="15"/>
  <c r="AG10" i="15" s="1"/>
  <c r="C28" i="15"/>
  <c r="B205" i="17" s="1"/>
  <c r="B135" i="17"/>
  <c r="AW135" i="17" s="1"/>
  <c r="AW136" i="17" s="1"/>
  <c r="AW137" i="17" s="1"/>
  <c r="AW138" i="17" s="1"/>
  <c r="AW139" i="17" s="1"/>
  <c r="AH26" i="15"/>
  <c r="AG26" i="15" s="1"/>
  <c r="AJ212" i="17"/>
  <c r="AJ213" i="17" s="1"/>
  <c r="AH111" i="11" s="1"/>
  <c r="T212" i="17"/>
  <c r="T213" i="17" s="1"/>
  <c r="AU212" i="17"/>
  <c r="AI212" i="17"/>
  <c r="AG32" i="11" s="1"/>
  <c r="S212" i="17"/>
  <c r="S213" i="17" s="1"/>
  <c r="Q111" i="11" s="1"/>
  <c r="AT212" i="17"/>
  <c r="AR32" i="11" s="1"/>
  <c r="AD212" i="17"/>
  <c r="N212" i="17"/>
  <c r="AO212" i="17"/>
  <c r="Y212" i="17"/>
  <c r="W32" i="11" s="1"/>
  <c r="I212" i="17"/>
  <c r="AV212" i="17"/>
  <c r="AF212" i="17"/>
  <c r="AF213" i="17" s="1"/>
  <c r="AD111" i="11" s="1"/>
  <c r="P212" i="17"/>
  <c r="AE212" i="17"/>
  <c r="O212" i="17"/>
  <c r="AP212" i="17"/>
  <c r="AN32" i="11" s="1"/>
  <c r="Z212" i="17"/>
  <c r="Z213" i="17" s="1"/>
  <c r="X111" i="11" s="1"/>
  <c r="J212" i="17"/>
  <c r="H32" i="11" s="1"/>
  <c r="AK212" i="17"/>
  <c r="AI32" i="11" s="1"/>
  <c r="U212" i="17"/>
  <c r="U213" i="17" s="1"/>
  <c r="S111" i="11" s="1"/>
  <c r="E212" i="17"/>
  <c r="C32" i="11" s="1"/>
  <c r="AV252" i="17"/>
  <c r="AF252" i="17"/>
  <c r="AD39" i="11" s="1"/>
  <c r="P252" i="17"/>
  <c r="N39" i="11" s="1"/>
  <c r="AQ252" i="17"/>
  <c r="AO39" i="11" s="1"/>
  <c r="AA252" i="17"/>
  <c r="K252" i="17"/>
  <c r="I39" i="11" s="1"/>
  <c r="AL252" i="17"/>
  <c r="AL253" i="17" s="1"/>
  <c r="V252" i="17"/>
  <c r="V253" i="17" s="1"/>
  <c r="T118" i="11" s="1"/>
  <c r="F252" i="17"/>
  <c r="AG252" i="17"/>
  <c r="AG253" i="17" s="1"/>
  <c r="AE118" i="11" s="1"/>
  <c r="Q252" i="17"/>
  <c r="Q253" i="17" s="1"/>
  <c r="O118" i="11" s="1"/>
  <c r="AR252" i="17"/>
  <c r="AB252" i="17"/>
  <c r="L252" i="17"/>
  <c r="L253" i="17" s="1"/>
  <c r="AM252" i="17"/>
  <c r="AM253" i="17" s="1"/>
  <c r="AK118" i="11" s="1"/>
  <c r="W252" i="17"/>
  <c r="W253" i="17" s="1"/>
  <c r="U118" i="11" s="1"/>
  <c r="AH252" i="17"/>
  <c r="AH253" i="17" s="1"/>
  <c r="AF118" i="11" s="1"/>
  <c r="R252" i="17"/>
  <c r="P39" i="11" s="1"/>
  <c r="AS252" i="17"/>
  <c r="AS253" i="17" s="1"/>
  <c r="AQ118" i="11" s="1"/>
  <c r="AC252" i="17"/>
  <c r="AC253" i="17" s="1"/>
  <c r="AA118" i="11" s="1"/>
  <c r="M252" i="17"/>
  <c r="AK257" i="17"/>
  <c r="AI40" i="11" s="1"/>
  <c r="U257" i="17"/>
  <c r="U258" i="17" s="1"/>
  <c r="S119" i="11" s="1"/>
  <c r="E257" i="17"/>
  <c r="AJ257" i="17"/>
  <c r="AH40" i="11" s="1"/>
  <c r="T257" i="17"/>
  <c r="AU257" i="17"/>
  <c r="AS40" i="11" s="1"/>
  <c r="AE257" i="17"/>
  <c r="O257" i="17"/>
  <c r="AP257" i="17"/>
  <c r="Z257" i="17"/>
  <c r="Z258" i="17" s="1"/>
  <c r="J257" i="17"/>
  <c r="AG257" i="17"/>
  <c r="AG258" i="17" s="1"/>
  <c r="Q257" i="17"/>
  <c r="Q258" i="17" s="1"/>
  <c r="O119" i="11" s="1"/>
  <c r="AV257" i="17"/>
  <c r="AT40" i="11" s="1"/>
  <c r="AF257" i="17"/>
  <c r="AD40" i="11" s="1"/>
  <c r="P257" i="17"/>
  <c r="N40" i="11" s="1"/>
  <c r="AQ257" i="17"/>
  <c r="AO40" i="11" s="1"/>
  <c r="AA257" i="17"/>
  <c r="AA258" i="17" s="1"/>
  <c r="K257" i="17"/>
  <c r="K258" i="17" s="1"/>
  <c r="L259" i="17" s="1"/>
  <c r="AL257" i="17"/>
  <c r="V257" i="17"/>
  <c r="F257" i="17"/>
  <c r="F258" i="17" s="1"/>
  <c r="D119" i="11" s="1"/>
  <c r="AT302" i="17"/>
  <c r="AR48" i="11" s="1"/>
  <c r="AD302" i="17"/>
  <c r="N302" i="17"/>
  <c r="AO302" i="17"/>
  <c r="AM48" i="11" s="1"/>
  <c r="Y302" i="17"/>
  <c r="Y303" i="17" s="1"/>
  <c r="W127" i="11" s="1"/>
  <c r="I302" i="17"/>
  <c r="AN302" i="17"/>
  <c r="AN303" i="17" s="1"/>
  <c r="AL127" i="11" s="1"/>
  <c r="X302" i="17"/>
  <c r="H302" i="17"/>
  <c r="AI302" i="17"/>
  <c r="AG48" i="11" s="1"/>
  <c r="S302" i="17"/>
  <c r="S303" i="17" s="1"/>
  <c r="Q127" i="11" s="1"/>
  <c r="AP302" i="17"/>
  <c r="AN48" i="11" s="1"/>
  <c r="Z302" i="17"/>
  <c r="Z303" i="17" s="1"/>
  <c r="X127" i="11" s="1"/>
  <c r="J302" i="17"/>
  <c r="H48" i="11" s="1"/>
  <c r="U302" i="17"/>
  <c r="U303" i="17" s="1"/>
  <c r="S127" i="11" s="1"/>
  <c r="E302" i="17"/>
  <c r="E303" i="17" s="1"/>
  <c r="C127" i="11" s="1"/>
  <c r="AJ302" i="17"/>
  <c r="AJ303" i="17" s="1"/>
  <c r="AH127" i="11" s="1"/>
  <c r="T302" i="17"/>
  <c r="AU302" i="17"/>
  <c r="AE302" i="17"/>
  <c r="AE303" i="17" s="1"/>
  <c r="AC127" i="11" s="1"/>
  <c r="O302" i="17"/>
  <c r="O303" i="17" s="1"/>
  <c r="M127" i="11" s="1"/>
  <c r="AM307" i="17"/>
  <c r="AM308" i="17" s="1"/>
  <c r="AK128" i="11" s="1"/>
  <c r="W307" i="17"/>
  <c r="W308" i="17" s="1"/>
  <c r="U128" i="11" s="1"/>
  <c r="G307" i="17"/>
  <c r="E49" i="11" s="1"/>
  <c r="AH307" i="17"/>
  <c r="AF49" i="11" s="1"/>
  <c r="R307" i="17"/>
  <c r="P49" i="11" s="1"/>
  <c r="AS307" i="17"/>
  <c r="AC307" i="17"/>
  <c r="AA49" i="11" s="1"/>
  <c r="M307" i="17"/>
  <c r="AR307" i="17"/>
  <c r="AB307" i="17"/>
  <c r="Z49" i="11" s="1"/>
  <c r="L307" i="17"/>
  <c r="AI307" i="17"/>
  <c r="AI308" i="17" s="1"/>
  <c r="AG128" i="11" s="1"/>
  <c r="S307" i="17"/>
  <c r="AT307" i="17"/>
  <c r="AD307" i="17"/>
  <c r="AB49" i="11" s="1"/>
  <c r="N307" i="17"/>
  <c r="AO307" i="17"/>
  <c r="Y307" i="17"/>
  <c r="I307" i="17"/>
  <c r="I308" i="17" s="1"/>
  <c r="G128" i="11" s="1"/>
  <c r="AN307" i="17"/>
  <c r="X307" i="17"/>
  <c r="H307" i="17"/>
  <c r="AH52" i="15"/>
  <c r="AG52" i="15" s="1"/>
  <c r="G293" i="20" s="1"/>
  <c r="G294" i="20" s="1"/>
  <c r="AH53" i="15"/>
  <c r="AG53" i="15" s="1"/>
  <c r="AH352" i="17"/>
  <c r="AH353" i="17" s="1"/>
  <c r="R352" i="17"/>
  <c r="AR352" i="17"/>
  <c r="AR353" i="17" s="1"/>
  <c r="AP137" i="11" s="1"/>
  <c r="W352" i="17"/>
  <c r="AV352" i="17"/>
  <c r="AT58" i="11" s="1"/>
  <c r="AA352" i="17"/>
  <c r="Y58" i="11" s="1"/>
  <c r="E352" i="17"/>
  <c r="C58" i="11" s="1"/>
  <c r="Y352" i="17"/>
  <c r="Y353" i="17" s="1"/>
  <c r="W137" i="11" s="1"/>
  <c r="AS352" i="17"/>
  <c r="AS353" i="17" s="1"/>
  <c r="X352" i="17"/>
  <c r="X353" i="17" s="1"/>
  <c r="V137" i="11" s="1"/>
  <c r="AT352" i="17"/>
  <c r="AT353" i="17" s="1"/>
  <c r="AR137" i="11" s="1"/>
  <c r="AD352" i="17"/>
  <c r="AB58" i="11" s="1"/>
  <c r="N352" i="17"/>
  <c r="L58" i="11" s="1"/>
  <c r="AM352" i="17"/>
  <c r="AM353" i="17" s="1"/>
  <c r="AK137" i="11" s="1"/>
  <c r="Q352" i="17"/>
  <c r="O58" i="11" s="1"/>
  <c r="AQ352" i="17"/>
  <c r="AO58" i="11" s="1"/>
  <c r="U352" i="17"/>
  <c r="U353" i="17" s="1"/>
  <c r="AO352" i="17"/>
  <c r="AM58" i="11" s="1"/>
  <c r="T352" i="17"/>
  <c r="R58" i="11" s="1"/>
  <c r="AN352" i="17"/>
  <c r="AN353" i="17" s="1"/>
  <c r="S352" i="17"/>
  <c r="S353" i="17" s="1"/>
  <c r="AH67" i="15"/>
  <c r="AG67" i="15" s="1"/>
  <c r="I3" i="17"/>
  <c r="E500" i="17"/>
  <c r="F500" i="17" s="1"/>
  <c r="G500" i="17" s="1"/>
  <c r="H500" i="17" s="1"/>
  <c r="E498" i="17"/>
  <c r="F498" i="17" s="1"/>
  <c r="M199" i="19"/>
  <c r="M216" i="19" s="1"/>
  <c r="BB37" i="29"/>
  <c r="AE35" i="10"/>
  <c r="E47" i="10"/>
  <c r="H57" i="9" s="1"/>
  <c r="BK35" i="10"/>
  <c r="K51" i="10"/>
  <c r="J63" i="9" s="1"/>
  <c r="BA7" i="29"/>
  <c r="BA21" i="29" s="1"/>
  <c r="BA6" i="29"/>
  <c r="W5" i="29"/>
  <c r="W6" i="29"/>
  <c r="BO12" i="6"/>
  <c r="AO14" i="6"/>
  <c r="I3" i="13"/>
  <c r="G3" i="13"/>
  <c r="E3" i="13"/>
  <c r="F3" i="13"/>
  <c r="I30" i="13"/>
  <c r="F21" i="14"/>
  <c r="P2" i="14"/>
  <c r="W34" i="14"/>
  <c r="W32" i="14"/>
  <c r="W40" i="14"/>
  <c r="W41" i="14"/>
  <c r="T105" i="19"/>
  <c r="BB12" i="6"/>
  <c r="AB14" i="6"/>
  <c r="BO16" i="6"/>
  <c r="AH21" i="15"/>
  <c r="AG21" i="15" s="1"/>
  <c r="AH22" i="15"/>
  <c r="AG22" i="15" s="1"/>
  <c r="K237" i="20" s="1"/>
  <c r="K238" i="20" s="1"/>
  <c r="AH77" i="15"/>
  <c r="AG77" i="15" s="1"/>
  <c r="AR24" i="13"/>
  <c r="C35" i="13"/>
  <c r="G5" i="15"/>
  <c r="AS87" i="17" s="1"/>
  <c r="AS88" i="17" s="1"/>
  <c r="E5" i="14"/>
  <c r="G38" i="14"/>
  <c r="G41" i="14"/>
  <c r="G58" i="14"/>
  <c r="G57" i="14"/>
  <c r="G49" i="14"/>
  <c r="G53" i="14"/>
  <c r="AH29" i="15"/>
  <c r="AG29" i="15" s="1"/>
  <c r="I251" i="20" s="1"/>
  <c r="I252" i="20" s="1"/>
  <c r="AH55" i="15"/>
  <c r="AG55" i="15" s="1"/>
  <c r="CB34" i="10"/>
  <c r="AH8" i="15"/>
  <c r="AG8" i="15" s="1"/>
  <c r="AG12" i="15"/>
  <c r="J219" i="20" s="1"/>
  <c r="J220" i="20" s="1"/>
  <c r="AH73" i="15"/>
  <c r="AG73" i="15" s="1"/>
  <c r="K40" i="14"/>
  <c r="K37" i="14"/>
  <c r="S42" i="14"/>
  <c r="S41" i="14"/>
  <c r="K34" i="14"/>
  <c r="K38" i="14"/>
  <c r="AA58" i="14"/>
  <c r="AA56" i="14"/>
  <c r="AA54" i="14"/>
  <c r="AA52" i="14"/>
  <c r="AA50" i="14"/>
  <c r="AA48" i="14"/>
  <c r="AH48" i="15"/>
  <c r="AG48" i="15" s="1"/>
  <c r="AG60" i="15"/>
  <c r="AG81" i="15"/>
  <c r="I347" i="20" s="1"/>
  <c r="I348" i="20" s="1"/>
  <c r="Q77" i="19"/>
  <c r="N90" i="19"/>
  <c r="AG42" i="15"/>
  <c r="AG70" i="15"/>
  <c r="H325" i="20" s="1"/>
  <c r="H326" i="20" s="1"/>
  <c r="G165" i="19"/>
  <c r="M165" i="19"/>
  <c r="N118" i="19"/>
  <c r="R5" i="15"/>
  <c r="Q5" i="15"/>
  <c r="R16" i="15"/>
  <c r="T182" i="19"/>
  <c r="R182" i="19" s="1"/>
  <c r="D182" i="19"/>
  <c r="D199" i="19" s="1"/>
  <c r="D216" i="19" s="1"/>
  <c r="AC16" i="15"/>
  <c r="AB16" i="15"/>
  <c r="E17" i="27"/>
  <c r="P16" i="15"/>
  <c r="S16" i="15" s="1"/>
  <c r="U16" i="15" s="1"/>
  <c r="V16" i="15" s="1"/>
  <c r="F41" i="11"/>
  <c r="H263" i="17"/>
  <c r="F120" i="11" s="1"/>
  <c r="Z40" i="11"/>
  <c r="Q323" i="17"/>
  <c r="O131" i="11" s="1"/>
  <c r="AQ318" i="17"/>
  <c r="AO130" i="11" s="1"/>
  <c r="G438" i="17"/>
  <c r="E152" i="11" s="1"/>
  <c r="AS333" i="17"/>
  <c r="W333" i="17"/>
  <c r="U133" i="11" s="1"/>
  <c r="Y134" i="11"/>
  <c r="R438" i="17"/>
  <c r="P152" i="11" s="1"/>
  <c r="H328" i="17"/>
  <c r="AR53" i="11"/>
  <c r="V41" i="11"/>
  <c r="V333" i="17"/>
  <c r="X328" i="17"/>
  <c r="N52" i="11"/>
  <c r="G323" i="17"/>
  <c r="Z52" i="11"/>
  <c r="J197" i="19"/>
  <c r="J214" i="19" s="1"/>
  <c r="AA41" i="11"/>
  <c r="AC333" i="17"/>
  <c r="G40" i="11"/>
  <c r="AM7" i="29"/>
  <c r="AM6" i="29"/>
  <c r="Q438" i="17"/>
  <c r="O152" i="11" s="1"/>
  <c r="AL438" i="17"/>
  <c r="AJ152" i="11" s="1"/>
  <c r="E54" i="11"/>
  <c r="AL53" i="11"/>
  <c r="AF323" i="17"/>
  <c r="AD131" i="11" s="1"/>
  <c r="AP318" i="17"/>
  <c r="N41" i="11"/>
  <c r="P263" i="17"/>
  <c r="N120" i="11" s="1"/>
  <c r="AM40" i="11"/>
  <c r="AN253" i="17"/>
  <c r="AL118" i="11" s="1"/>
  <c r="Y253" i="17"/>
  <c r="W118" i="11" s="1"/>
  <c r="AC39" i="11"/>
  <c r="E28" i="36"/>
  <c r="F28" i="36" s="1"/>
  <c r="H72" i="8"/>
  <c r="AI303" i="17"/>
  <c r="AG127" i="11" s="1"/>
  <c r="AF101" i="11"/>
  <c r="N353" i="17"/>
  <c r="L137" i="11" s="1"/>
  <c r="AV353" i="17"/>
  <c r="AT137" i="11" s="1"/>
  <c r="AF58" i="11"/>
  <c r="Z39" i="11"/>
  <c r="J213" i="17"/>
  <c r="H111" i="11" s="1"/>
  <c r="AB94" i="11"/>
  <c r="J303" i="17"/>
  <c r="H127" i="11" s="1"/>
  <c r="AP213" i="17"/>
  <c r="AP153" i="17" s="1"/>
  <c r="J3" i="13"/>
  <c r="Q58" i="11"/>
  <c r="AQ58" i="11"/>
  <c r="AL258" i="17"/>
  <c r="AJ119" i="11" s="1"/>
  <c r="AE39" i="11"/>
  <c r="I247" i="20"/>
  <c r="I248" i="20" s="1"/>
  <c r="AD353" i="17"/>
  <c r="AB137" i="11" s="1"/>
  <c r="S48" i="11"/>
  <c r="AM49" i="11"/>
  <c r="AO308" i="17"/>
  <c r="AM128" i="11" s="1"/>
  <c r="R308" i="17"/>
  <c r="P128" i="11" s="1"/>
  <c r="AK49" i="11"/>
  <c r="T303" i="17"/>
  <c r="R127" i="11" s="1"/>
  <c r="R48" i="11"/>
  <c r="AK303" i="17"/>
  <c r="AI127" i="11" s="1"/>
  <c r="AL48" i="11"/>
  <c r="AV258" i="17"/>
  <c r="AT119" i="11" s="1"/>
  <c r="AQ253" i="17"/>
  <c r="AO118" i="11" s="1"/>
  <c r="C41" i="15"/>
  <c r="AE101" i="11"/>
  <c r="Y103" i="11"/>
  <c r="AC95" i="11"/>
  <c r="H347" i="20"/>
  <c r="H348" i="20" s="1"/>
  <c r="K347" i="20"/>
  <c r="K348" i="20" s="1"/>
  <c r="AO353" i="17"/>
  <c r="AM137" i="11" s="1"/>
  <c r="V58" i="11"/>
  <c r="R353" i="17"/>
  <c r="P58" i="11"/>
  <c r="F325" i="20"/>
  <c r="F326" i="20" s="1"/>
  <c r="S58" i="11"/>
  <c r="P258" i="17"/>
  <c r="Q259" i="17" s="1"/>
  <c r="M40" i="11"/>
  <c r="J39" i="11"/>
  <c r="AK152" i="17"/>
  <c r="AK150" i="17" s="1"/>
  <c r="AK213" i="17"/>
  <c r="AI111" i="11" s="1"/>
  <c r="AI213" i="17"/>
  <c r="AG111" i="11" s="1"/>
  <c r="AD103" i="11"/>
  <c r="AA133" i="11"/>
  <c r="AH130" i="11"/>
  <c r="G119" i="11"/>
  <c r="AJ130" i="11"/>
  <c r="AJ118" i="11"/>
  <c r="AF137" i="11"/>
  <c r="J118" i="11"/>
  <c r="S137" i="11"/>
  <c r="AQ137" i="11"/>
  <c r="Q137" i="11"/>
  <c r="I71" i="8"/>
  <c r="G59" i="34" l="1"/>
  <c r="H52" i="34"/>
  <c r="AE263" i="17"/>
  <c r="AC120" i="11" s="1"/>
  <c r="AC41" i="11"/>
  <c r="AG263" i="17"/>
  <c r="AE41" i="11"/>
  <c r="AT263" i="17"/>
  <c r="AR120" i="11" s="1"/>
  <c r="AR41" i="11"/>
  <c r="AI39" i="11"/>
  <c r="AK253" i="17"/>
  <c r="AI118" i="11" s="1"/>
  <c r="AI15" i="11"/>
  <c r="AK123" i="17"/>
  <c r="AI94" i="11" s="1"/>
  <c r="S15" i="11"/>
  <c r="U123" i="17"/>
  <c r="S94" i="11" s="1"/>
  <c r="C15" i="11"/>
  <c r="E123" i="17"/>
  <c r="C94" i="11" s="1"/>
  <c r="AT15" i="11"/>
  <c r="AV123" i="17"/>
  <c r="AT94" i="11" s="1"/>
  <c r="EC22" i="34"/>
  <c r="I23" i="34"/>
  <c r="EQ22" i="34"/>
  <c r="AJ22" i="34"/>
  <c r="CI23" i="34"/>
  <c r="CH22" i="34"/>
  <c r="DW22" i="34"/>
  <c r="BD22" i="34"/>
  <c r="H23" i="34"/>
  <c r="AN23" i="34"/>
  <c r="S22" i="34"/>
  <c r="FB23" i="34"/>
  <c r="CK22" i="34"/>
  <c r="DA23" i="34"/>
  <c r="H22" i="34"/>
  <c r="CV23" i="34"/>
  <c r="DO22" i="34"/>
  <c r="FD22" i="34"/>
  <c r="DN22" i="34"/>
  <c r="AF22" i="34"/>
  <c r="BA23" i="34"/>
  <c r="EF22" i="34"/>
  <c r="ET23" i="34"/>
  <c r="M22" i="34"/>
  <c r="BY22" i="34"/>
  <c r="FG23" i="34"/>
  <c r="BU22" i="34"/>
  <c r="EW22" i="34"/>
  <c r="BH23" i="34"/>
  <c r="DT23" i="34"/>
  <c r="AD22" i="34"/>
  <c r="CP22" i="34"/>
  <c r="FB22" i="34"/>
  <c r="BI23" i="34"/>
  <c r="DU23" i="34"/>
  <c r="AK22" i="34"/>
  <c r="DQ22" i="34"/>
  <c r="AF23" i="34"/>
  <c r="CR23" i="34"/>
  <c r="FD23" i="34"/>
  <c r="BN22" i="34"/>
  <c r="DZ22" i="34"/>
  <c r="AG23" i="34"/>
  <c r="CS23" i="34"/>
  <c r="FE23" i="34"/>
  <c r="BG22" i="34"/>
  <c r="DS22" i="34"/>
  <c r="Z23" i="34"/>
  <c r="CL23" i="34"/>
  <c r="EX23" i="34"/>
  <c r="BH22" i="34"/>
  <c r="DT22" i="34"/>
  <c r="AA23" i="34"/>
  <c r="CM23" i="34"/>
  <c r="EY23" i="34"/>
  <c r="EO22" i="34"/>
  <c r="DL23" i="34"/>
  <c r="CL22" i="34"/>
  <c r="BE23" i="34"/>
  <c r="W22" i="34"/>
  <c r="DG22" i="34"/>
  <c r="AH23" i="34"/>
  <c r="DN23" i="34"/>
  <c r="AN22" i="34"/>
  <c r="DX22" i="34"/>
  <c r="AY23" i="34"/>
  <c r="EE23" i="34"/>
  <c r="DI22" i="34"/>
  <c r="CJ23" i="34"/>
  <c r="AL22" i="34"/>
  <c r="E23" i="34"/>
  <c r="EC23" i="34"/>
  <c r="BS22" i="34"/>
  <c r="FC22" i="34"/>
  <c r="CD23" i="34"/>
  <c r="X22" i="34"/>
  <c r="DH22" i="34"/>
  <c r="AI23" i="34"/>
  <c r="DO23" i="34"/>
  <c r="DB22" i="34"/>
  <c r="BR23" i="34"/>
  <c r="AJ23" i="34"/>
  <c r="V23" i="34"/>
  <c r="DW23" i="34"/>
  <c r="BN23" i="34"/>
  <c r="DG23" i="34"/>
  <c r="DF23" i="34"/>
  <c r="AI22" i="34"/>
  <c r="AO23" i="34"/>
  <c r="AX23" i="34"/>
  <c r="AC22" i="34"/>
  <c r="DE22" i="34"/>
  <c r="BA22" i="34"/>
  <c r="L23" i="34"/>
  <c r="CN23" i="34"/>
  <c r="N22" i="34"/>
  <c r="DF22" i="34"/>
  <c r="AC23" i="34"/>
  <c r="DE23" i="34"/>
  <c r="BE22" i="34"/>
  <c r="FA22" i="34"/>
  <c r="CB23" i="34"/>
  <c r="R22" i="34"/>
  <c r="CT22" i="34"/>
  <c r="Q23" i="34"/>
  <c r="DI23" i="34"/>
  <c r="AA22" i="34"/>
  <c r="DC22" i="34"/>
  <c r="AP23" i="34"/>
  <c r="DR23" i="34"/>
  <c r="AR22" i="34"/>
  <c r="EJ22" i="34"/>
  <c r="BG23" i="34"/>
  <c r="EI23" i="34"/>
  <c r="T23" i="34"/>
  <c r="Z22" i="34"/>
  <c r="Y23" i="34"/>
  <c r="AU22" i="34"/>
  <c r="EU22" i="34"/>
  <c r="CT23" i="34"/>
  <c r="BL22" i="34"/>
  <c r="G23" i="34"/>
  <c r="DK23" i="34"/>
  <c r="ES22" i="34"/>
  <c r="EV23" i="34"/>
  <c r="ED22" i="34"/>
  <c r="G22" i="34"/>
  <c r="DK22" i="34"/>
  <c r="BJ23" i="34"/>
  <c r="AV22" i="34"/>
  <c r="EV22" i="34"/>
  <c r="CU23" i="34"/>
  <c r="AW22" i="34"/>
  <c r="BK22" i="34"/>
  <c r="FH22" i="34"/>
  <c r="U23" i="34"/>
  <c r="S23" i="34"/>
  <c r="CG23" i="34"/>
  <c r="AZ22" i="34"/>
  <c r="DM23" i="34"/>
  <c r="AO22" i="34"/>
  <c r="P22" i="34"/>
  <c r="FE22" i="34"/>
  <c r="BI22" i="34"/>
  <c r="I22" i="34"/>
  <c r="DM22" i="34"/>
  <c r="AR23" i="34"/>
  <c r="EJ23" i="34"/>
  <c r="BJ22" i="34"/>
  <c r="EL22" i="34"/>
  <c r="BY23" i="34"/>
  <c r="FA23" i="34"/>
  <c r="CW22" i="34"/>
  <c r="AV23" i="34"/>
  <c r="DX23" i="34"/>
  <c r="AX22" i="34"/>
  <c r="EP22" i="34"/>
  <c r="BM23" i="34"/>
  <c r="EO23" i="34"/>
  <c r="BW22" i="34"/>
  <c r="EY22" i="34"/>
  <c r="BV23" i="34"/>
  <c r="L22" i="34"/>
  <c r="CN22" i="34"/>
  <c r="K23" i="34"/>
  <c r="DC23" i="34"/>
  <c r="BM22" i="34"/>
  <c r="CF23" i="34"/>
  <c r="DR22" i="34"/>
  <c r="DQ23" i="34"/>
  <c r="CI22" i="34"/>
  <c r="AE8" i="29"/>
  <c r="AE23" i="29" s="1"/>
  <c r="AF13" i="29"/>
  <c r="AE13" i="29" s="1"/>
  <c r="T144" i="19"/>
  <c r="R144" i="19" s="1"/>
  <c r="A144" i="19"/>
  <c r="K144" i="19"/>
  <c r="I144" i="19" s="1"/>
  <c r="D165" i="19"/>
  <c r="J165" i="19"/>
  <c r="S165" i="19"/>
  <c r="P165" i="19"/>
  <c r="J168" i="19"/>
  <c r="D168" i="19"/>
  <c r="G231" i="20"/>
  <c r="G232" i="20" s="1"/>
  <c r="J337" i="20"/>
  <c r="J338" i="20" s="1"/>
  <c r="G255" i="20"/>
  <c r="G256" i="20" s="1"/>
  <c r="G287" i="20"/>
  <c r="G288" i="20" s="1"/>
  <c r="J331" i="20"/>
  <c r="J332" i="20" s="1"/>
  <c r="J247" i="20"/>
  <c r="J248" i="20" s="1"/>
  <c r="E337" i="20"/>
  <c r="E338" i="20" s="1"/>
  <c r="I333" i="20"/>
  <c r="I334" i="20" s="1"/>
  <c r="G347" i="20"/>
  <c r="G348" i="20" s="1"/>
  <c r="J325" i="20"/>
  <c r="J326" i="20" s="1"/>
  <c r="F279" i="20"/>
  <c r="F280" i="20" s="1"/>
  <c r="L303" i="20"/>
  <c r="L304" i="20" s="1"/>
  <c r="L231" i="20"/>
  <c r="L232" i="20" s="1"/>
  <c r="F133" i="21"/>
  <c r="F131" i="21"/>
  <c r="G23" i="43" s="1"/>
  <c r="F134" i="21"/>
  <c r="F130" i="21"/>
  <c r="F132" i="21"/>
  <c r="AC5" i="15"/>
  <c r="AF5" i="15" s="1"/>
  <c r="AH5" i="15" s="1"/>
  <c r="AG5" i="15" s="1"/>
  <c r="AB5" i="15"/>
  <c r="I45" i="8"/>
  <c r="P253" i="17"/>
  <c r="N118" i="11" s="1"/>
  <c r="E347" i="20"/>
  <c r="E348" i="20" s="1"/>
  <c r="E72" i="8"/>
  <c r="Y40" i="11"/>
  <c r="H46" i="8"/>
  <c r="S263" i="17"/>
  <c r="Q120" i="11" s="1"/>
  <c r="Z263" i="17"/>
  <c r="X120" i="11" s="1"/>
  <c r="AQ73" i="11"/>
  <c r="AI258" i="17"/>
  <c r="AG119" i="11" s="1"/>
  <c r="Y263" i="17"/>
  <c r="W120" i="11" s="1"/>
  <c r="AR49" i="11"/>
  <c r="AT308" i="17"/>
  <c r="AR128" i="11" s="1"/>
  <c r="N303" i="17"/>
  <c r="L127" i="11" s="1"/>
  <c r="L48" i="11"/>
  <c r="O213" i="17"/>
  <c r="M111" i="11" s="1"/>
  <c r="M32" i="11"/>
  <c r="Q43" i="7"/>
  <c r="Q56" i="7" s="1"/>
  <c r="CA23" i="34"/>
  <c r="CJ22" i="34"/>
  <c r="CX23" i="34"/>
  <c r="CQ22" i="34"/>
  <c r="BQ23" i="34"/>
  <c r="F22" i="34"/>
  <c r="BQ22" i="34"/>
  <c r="BS23" i="34"/>
  <c r="CF22" i="34"/>
  <c r="BZ23" i="34"/>
  <c r="BO22" i="34"/>
  <c r="BF22" i="34"/>
  <c r="U22" i="34"/>
  <c r="EZ22" i="34"/>
  <c r="EH23" i="34"/>
  <c r="EI22" i="34"/>
  <c r="DY23" i="34"/>
  <c r="DJ22" i="34"/>
  <c r="DH23" i="34"/>
  <c r="CC22" i="34"/>
  <c r="AS23" i="34"/>
  <c r="AT22" i="34"/>
  <c r="AB23" i="34"/>
  <c r="DU22" i="34"/>
  <c r="G223" i="20"/>
  <c r="G224" i="20" s="1"/>
  <c r="P61" i="7"/>
  <c r="K32" i="17"/>
  <c r="AQ10" i="11"/>
  <c r="AE54" i="11"/>
  <c r="AG333" i="17"/>
  <c r="AE133" i="11" s="1"/>
  <c r="W53" i="11"/>
  <c r="Y328" i="17"/>
  <c r="W132" i="11" s="1"/>
  <c r="Q53" i="11"/>
  <c r="S328" i="17"/>
  <c r="Q132" i="11" s="1"/>
  <c r="AS53" i="11"/>
  <c r="AU328" i="17"/>
  <c r="AS132" i="11" s="1"/>
  <c r="AU318" i="17"/>
  <c r="AS51" i="11"/>
  <c r="K281" i="20"/>
  <c r="K282" i="20" s="1"/>
  <c r="G35" i="7"/>
  <c r="G36" i="7" s="1"/>
  <c r="AD71" i="11"/>
  <c r="AP163" i="17"/>
  <c r="AN101" i="11" s="1"/>
  <c r="CE22" i="34"/>
  <c r="CY23" i="34"/>
  <c r="DZ23" i="34"/>
  <c r="ED23" i="34"/>
  <c r="CB22" i="34"/>
  <c r="J263" i="17"/>
  <c r="H120" i="11" s="1"/>
  <c r="AS398" i="17"/>
  <c r="AQ145" i="11" s="1"/>
  <c r="P123" i="17"/>
  <c r="N94" i="11" s="1"/>
  <c r="AT24" i="11"/>
  <c r="K58" i="11"/>
  <c r="G63" i="11"/>
  <c r="L263" i="17"/>
  <c r="J120" i="11" s="1"/>
  <c r="Y52" i="17"/>
  <c r="AM32" i="11"/>
  <c r="AO213" i="17"/>
  <c r="AM111" i="11" s="1"/>
  <c r="L347" i="20"/>
  <c r="L348" i="20" s="1"/>
  <c r="AR87" i="17"/>
  <c r="BC23" i="34"/>
  <c r="BP22" i="34"/>
  <c r="AL23" i="34"/>
  <c r="AY22" i="34"/>
  <c r="AK23" i="34"/>
  <c r="DP23" i="34"/>
  <c r="Y22" i="34"/>
  <c r="AE23" i="34"/>
  <c r="T22" i="34"/>
  <c r="BB23" i="34"/>
  <c r="EW23" i="34"/>
  <c r="ER23" i="34"/>
  <c r="DS23" i="34"/>
  <c r="DD22" i="34"/>
  <c r="DB23" i="34"/>
  <c r="CM22" i="34"/>
  <c r="CC23" i="34"/>
  <c r="CD22" i="34"/>
  <c r="BL23" i="34"/>
  <c r="Q22" i="34"/>
  <c r="M23" i="34"/>
  <c r="EZ23" i="34"/>
  <c r="EG22" i="34"/>
  <c r="CO22" i="34"/>
  <c r="P438" i="17"/>
  <c r="N152" i="11" s="1"/>
  <c r="N73" i="11"/>
  <c r="E22" i="34"/>
  <c r="CE23" i="34"/>
  <c r="FG22" i="34"/>
  <c r="BC22" i="34"/>
  <c r="CA22" i="34"/>
  <c r="AD23" i="34"/>
  <c r="M172" i="19"/>
  <c r="P128" i="17"/>
  <c r="N95" i="11" s="1"/>
  <c r="N16" i="11"/>
  <c r="AF473" i="17"/>
  <c r="AD159" i="11" s="1"/>
  <c r="AD80" i="11"/>
  <c r="E473" i="17"/>
  <c r="C159" i="11" s="1"/>
  <c r="C80" i="11"/>
  <c r="V453" i="17"/>
  <c r="T155" i="11" s="1"/>
  <c r="T76" i="11"/>
  <c r="AD76" i="11"/>
  <c r="AF453" i="17"/>
  <c r="AD155" i="11" s="1"/>
  <c r="C76" i="11"/>
  <c r="E453" i="17"/>
  <c r="C155" i="11" s="1"/>
  <c r="S76" i="11"/>
  <c r="U453" i="17"/>
  <c r="S155" i="11" s="1"/>
  <c r="K423" i="17"/>
  <c r="I150" i="11" s="1"/>
  <c r="I71" i="11"/>
  <c r="R67" i="11"/>
  <c r="T403" i="17"/>
  <c r="R146" i="11" s="1"/>
  <c r="C67" i="11"/>
  <c r="E403" i="17"/>
  <c r="C146" i="11" s="1"/>
  <c r="S67" i="11"/>
  <c r="U403" i="17"/>
  <c r="S146" i="11" s="1"/>
  <c r="AI67" i="11"/>
  <c r="AK403" i="17"/>
  <c r="AI146" i="11" s="1"/>
  <c r="H67" i="11"/>
  <c r="J403" i="17"/>
  <c r="H146" i="11" s="1"/>
  <c r="AN67" i="11"/>
  <c r="AP403" i="17"/>
  <c r="AN146" i="11" s="1"/>
  <c r="M67" i="11"/>
  <c r="O403" i="17"/>
  <c r="M146" i="11" s="1"/>
  <c r="AS67" i="11"/>
  <c r="AU403" i="17"/>
  <c r="AS146" i="11" s="1"/>
  <c r="R63" i="11"/>
  <c r="T383" i="17"/>
  <c r="R142" i="11" s="1"/>
  <c r="AJ383" i="17"/>
  <c r="AH142" i="11" s="1"/>
  <c r="AH63" i="11"/>
  <c r="W63" i="11"/>
  <c r="Y383" i="17"/>
  <c r="W142" i="11" s="1"/>
  <c r="AS383" i="17"/>
  <c r="AQ142" i="11" s="1"/>
  <c r="AQ63" i="11"/>
  <c r="AH383" i="17"/>
  <c r="AF63" i="11"/>
  <c r="W383" i="17"/>
  <c r="U142" i="11" s="1"/>
  <c r="U63" i="11"/>
  <c r="O353" i="17"/>
  <c r="M137" i="11" s="1"/>
  <c r="M58" i="11"/>
  <c r="AF292" i="17"/>
  <c r="AF290" i="17" s="1"/>
  <c r="AD58" i="11"/>
  <c r="AF353" i="17"/>
  <c r="AD137" i="11" s="1"/>
  <c r="U333" i="17"/>
  <c r="S133" i="11" s="1"/>
  <c r="S54" i="11"/>
  <c r="AN54" i="11"/>
  <c r="AP333" i="17"/>
  <c r="AN133" i="11" s="1"/>
  <c r="T333" i="17"/>
  <c r="R133" i="11" s="1"/>
  <c r="R54" i="11"/>
  <c r="C50" i="11"/>
  <c r="E313" i="17"/>
  <c r="C129" i="11" s="1"/>
  <c r="U313" i="17"/>
  <c r="S129" i="11" s="1"/>
  <c r="S50" i="11"/>
  <c r="AI50" i="11"/>
  <c r="AK313" i="17"/>
  <c r="AI129" i="11" s="1"/>
  <c r="AT313" i="17"/>
  <c r="AR129" i="11" s="1"/>
  <c r="AR50" i="11"/>
  <c r="H313" i="17"/>
  <c r="F129" i="11" s="1"/>
  <c r="F50" i="11"/>
  <c r="AK243" i="17"/>
  <c r="AI116" i="11" s="1"/>
  <c r="AI37" i="11"/>
  <c r="AN28" i="11"/>
  <c r="AP193" i="17"/>
  <c r="AN107" i="11" s="1"/>
  <c r="Q28" i="11"/>
  <c r="S193" i="17"/>
  <c r="Q107" i="11" s="1"/>
  <c r="AL28" i="11"/>
  <c r="AN193" i="17"/>
  <c r="AL107" i="11" s="1"/>
  <c r="AO453" i="17"/>
  <c r="AM155" i="11" s="1"/>
  <c r="AM76" i="11"/>
  <c r="T32" i="17"/>
  <c r="J163" i="17"/>
  <c r="H101" i="11" s="1"/>
  <c r="H22" i="11"/>
  <c r="S21" i="11"/>
  <c r="U158" i="17"/>
  <c r="S100" i="11" s="1"/>
  <c r="I118" i="17"/>
  <c r="G93" i="11" s="1"/>
  <c r="G14" i="11"/>
  <c r="R103" i="17"/>
  <c r="P90" i="11" s="1"/>
  <c r="P11" i="11"/>
  <c r="F81" i="11"/>
  <c r="H478" i="17"/>
  <c r="F160" i="11" s="1"/>
  <c r="Y478" i="17"/>
  <c r="W81" i="11"/>
  <c r="F77" i="11"/>
  <c r="H458" i="17"/>
  <c r="AO458" i="17"/>
  <c r="AM156" i="11" s="1"/>
  <c r="AM77" i="11"/>
  <c r="AD458" i="17"/>
  <c r="AB156" i="11" s="1"/>
  <c r="AB77" i="11"/>
  <c r="Y408" i="17"/>
  <c r="W147" i="11" s="1"/>
  <c r="W68" i="11"/>
  <c r="X408" i="17"/>
  <c r="V147" i="11" s="1"/>
  <c r="V68" i="11"/>
  <c r="AN64" i="11"/>
  <c r="AP388" i="17"/>
  <c r="AN143" i="11" s="1"/>
  <c r="AH108" i="17"/>
  <c r="AF91" i="11" s="1"/>
  <c r="AF12" i="11"/>
  <c r="P12" i="11"/>
  <c r="R108" i="17"/>
  <c r="P91" i="11" s="1"/>
  <c r="AA11" i="11"/>
  <c r="AC103" i="17"/>
  <c r="AA90" i="11" s="1"/>
  <c r="M103" i="17"/>
  <c r="K90" i="11" s="1"/>
  <c r="K11" i="11"/>
  <c r="P82" i="11"/>
  <c r="R483" i="17"/>
  <c r="P161" i="11" s="1"/>
  <c r="AK78" i="11"/>
  <c r="AM463" i="17"/>
  <c r="AK157" i="11" s="1"/>
  <c r="AK74" i="11"/>
  <c r="AM443" i="17"/>
  <c r="AK153" i="11" s="1"/>
  <c r="AB65" i="11"/>
  <c r="AD393" i="17"/>
  <c r="AB144" i="11" s="1"/>
  <c r="AG65" i="11"/>
  <c r="AI393" i="17"/>
  <c r="AG144" i="11" s="1"/>
  <c r="AO393" i="17"/>
  <c r="AM144" i="11" s="1"/>
  <c r="AM65" i="11"/>
  <c r="D43" i="11"/>
  <c r="F273" i="17"/>
  <c r="D122" i="11" s="1"/>
  <c r="H273" i="17"/>
  <c r="F122" i="11" s="1"/>
  <c r="F43" i="11"/>
  <c r="V69" i="11"/>
  <c r="X413" i="17"/>
  <c r="V148" i="11" s="1"/>
  <c r="AS108" i="17"/>
  <c r="AQ91" i="11" s="1"/>
  <c r="AQ12" i="11"/>
  <c r="S12" i="11"/>
  <c r="U108" i="17"/>
  <c r="S91" i="11" s="1"/>
  <c r="AF103" i="17"/>
  <c r="AD90" i="11" s="1"/>
  <c r="AD11" i="11"/>
  <c r="AK66" i="11"/>
  <c r="AM398" i="17"/>
  <c r="AK145" i="11" s="1"/>
  <c r="G8" i="8"/>
  <c r="Q61" i="7"/>
  <c r="Q74" i="7" s="1"/>
  <c r="C61" i="7"/>
  <c r="G6" i="8" s="1"/>
  <c r="G71" i="8" s="1"/>
  <c r="G77" i="8"/>
  <c r="G90" i="8"/>
  <c r="G95" i="8"/>
  <c r="C95" i="8" s="1"/>
  <c r="G56" i="8"/>
  <c r="F89" i="7"/>
  <c r="F90" i="7" s="1"/>
  <c r="F92" i="7"/>
  <c r="H9" i="8"/>
  <c r="C79" i="7"/>
  <c r="H6" i="8" s="1"/>
  <c r="H71" i="8" s="1"/>
  <c r="H96" i="8"/>
  <c r="H57" i="8"/>
  <c r="G107" i="7"/>
  <c r="G108" i="7" s="1"/>
  <c r="G110" i="7"/>
  <c r="Q97" i="7"/>
  <c r="Q110" i="7" s="1"/>
  <c r="AB12" i="29"/>
  <c r="AB31" i="29" s="1"/>
  <c r="AB37" i="29"/>
  <c r="AK35" i="10"/>
  <c r="K47" i="10"/>
  <c r="H63" i="9" s="1"/>
  <c r="W35" i="10"/>
  <c r="J45" i="10"/>
  <c r="G62" i="9" s="1"/>
  <c r="M47" i="10"/>
  <c r="H65" i="9" s="1"/>
  <c r="M34" i="10"/>
  <c r="BC35" i="10"/>
  <c r="C51" i="10"/>
  <c r="J55" i="9" s="1"/>
  <c r="CE18" i="10"/>
  <c r="B331" i="11"/>
  <c r="BM4" i="29"/>
  <c r="AM5" i="29"/>
  <c r="U73" i="11"/>
  <c r="W438" i="17"/>
  <c r="U152" i="11" s="1"/>
  <c r="AP40" i="11"/>
  <c r="AR258" i="17"/>
  <c r="AJ108" i="17"/>
  <c r="AH91" i="11" s="1"/>
  <c r="AH12" i="11"/>
  <c r="R12" i="11"/>
  <c r="T108" i="17"/>
  <c r="R91" i="11" s="1"/>
  <c r="AQ103" i="17"/>
  <c r="AO90" i="11" s="1"/>
  <c r="AO11" i="11"/>
  <c r="K103" i="17"/>
  <c r="I11" i="11"/>
  <c r="R493" i="17"/>
  <c r="P163" i="11" s="1"/>
  <c r="R432" i="17"/>
  <c r="R430" i="17" s="1"/>
  <c r="K432" i="17"/>
  <c r="K430" i="17" s="1"/>
  <c r="I84" i="11"/>
  <c r="Y84" i="11"/>
  <c r="AA493" i="17"/>
  <c r="Y163" i="11" s="1"/>
  <c r="J80" i="11"/>
  <c r="L473" i="17"/>
  <c r="J159" i="11" s="1"/>
  <c r="K80" i="11"/>
  <c r="M473" i="17"/>
  <c r="K159" i="11" s="1"/>
  <c r="Z453" i="17"/>
  <c r="X155" i="11" s="1"/>
  <c r="X76" i="11"/>
  <c r="R76" i="11"/>
  <c r="T453" i="17"/>
  <c r="R155" i="11" s="1"/>
  <c r="H71" i="11"/>
  <c r="J423" i="17"/>
  <c r="H150" i="11" s="1"/>
  <c r="AL67" i="11"/>
  <c r="AN403" i="17"/>
  <c r="AL146" i="11" s="1"/>
  <c r="AM67" i="11"/>
  <c r="AO403" i="17"/>
  <c r="AM146" i="11" s="1"/>
  <c r="AG67" i="11"/>
  <c r="AI403" i="17"/>
  <c r="AG146" i="11" s="1"/>
  <c r="F63" i="11"/>
  <c r="H383" i="17"/>
  <c r="F142" i="11" s="1"/>
  <c r="AL63" i="11"/>
  <c r="AN383" i="17"/>
  <c r="I63" i="11"/>
  <c r="K383" i="17"/>
  <c r="I142" i="11" s="1"/>
  <c r="AC58" i="11"/>
  <c r="AE353" i="17"/>
  <c r="AC137" i="11" s="1"/>
  <c r="E58" i="11"/>
  <c r="G353" i="17"/>
  <c r="E137" i="11" s="1"/>
  <c r="W54" i="11"/>
  <c r="Y333" i="17"/>
  <c r="W133" i="11" s="1"/>
  <c r="G313" i="17"/>
  <c r="E129" i="11" s="1"/>
  <c r="E50" i="11"/>
  <c r="AK50" i="11"/>
  <c r="AM313" i="17"/>
  <c r="AK129" i="11" s="1"/>
  <c r="AQ263" i="17"/>
  <c r="AO41" i="11"/>
  <c r="I243" i="17"/>
  <c r="G116" i="11" s="1"/>
  <c r="G37" i="11"/>
  <c r="Y193" i="17"/>
  <c r="W107" i="11" s="1"/>
  <c r="W28" i="11"/>
  <c r="AK28" i="11"/>
  <c r="AM193" i="17"/>
  <c r="AK107" i="11" s="1"/>
  <c r="AJ22" i="11"/>
  <c r="AL163" i="17"/>
  <c r="AJ101" i="11" s="1"/>
  <c r="T22" i="11"/>
  <c r="V163" i="17"/>
  <c r="T101" i="11" s="1"/>
  <c r="AT103" i="17"/>
  <c r="AR90" i="11" s="1"/>
  <c r="AR11" i="11"/>
  <c r="G275" i="20"/>
  <c r="G276" i="20" s="1"/>
  <c r="K211" i="20"/>
  <c r="K212" i="20" s="1"/>
  <c r="H235" i="20"/>
  <c r="H236" i="20" s="1"/>
  <c r="AC51" i="11"/>
  <c r="AE318" i="17"/>
  <c r="AC130" i="11" s="1"/>
  <c r="AN76" i="11"/>
  <c r="M80" i="11"/>
  <c r="P84" i="11"/>
  <c r="O93" i="17"/>
  <c r="M88" i="11" s="1"/>
  <c r="M9" i="11"/>
  <c r="I478" i="17"/>
  <c r="G160" i="11" s="1"/>
  <c r="G81" i="11"/>
  <c r="M77" i="11"/>
  <c r="O458" i="17"/>
  <c r="M156" i="11" s="1"/>
  <c r="AE458" i="17"/>
  <c r="AC156" i="11" s="1"/>
  <c r="AC77" i="11"/>
  <c r="AU458" i="17"/>
  <c r="AS156" i="11" s="1"/>
  <c r="AS77" i="11"/>
  <c r="AJ458" i="17"/>
  <c r="AH156" i="11" s="1"/>
  <c r="AH77" i="11"/>
  <c r="X73" i="11"/>
  <c r="Z438" i="17"/>
  <c r="X152" i="11" s="1"/>
  <c r="AI68" i="11"/>
  <c r="AK408" i="17"/>
  <c r="AI147" i="11" s="1"/>
  <c r="H68" i="11"/>
  <c r="J408" i="17"/>
  <c r="H147" i="11" s="1"/>
  <c r="O408" i="17"/>
  <c r="M147" i="11" s="1"/>
  <c r="M68" i="11"/>
  <c r="AU408" i="17"/>
  <c r="AS147" i="11" s="1"/>
  <c r="AS68" i="11"/>
  <c r="C64" i="11"/>
  <c r="E388" i="17"/>
  <c r="C143" i="11" s="1"/>
  <c r="AV338" i="17"/>
  <c r="AT134" i="11" s="1"/>
  <c r="AT55" i="11"/>
  <c r="Q338" i="17"/>
  <c r="O134" i="11" s="1"/>
  <c r="O55" i="11"/>
  <c r="P268" i="17"/>
  <c r="N121" i="11" s="1"/>
  <c r="N42" i="11"/>
  <c r="AO178" i="17"/>
  <c r="AM104" i="11" s="1"/>
  <c r="AM25" i="11"/>
  <c r="Y163" i="17"/>
  <c r="W101" i="11" s="1"/>
  <c r="W22" i="11"/>
  <c r="H158" i="17"/>
  <c r="F100" i="11" s="1"/>
  <c r="F21" i="11"/>
  <c r="AC142" i="17"/>
  <c r="AC143" i="17" s="1"/>
  <c r="AA98" i="11" s="1"/>
  <c r="S142" i="17"/>
  <c r="AG142" i="17"/>
  <c r="J279" i="20"/>
  <c r="J280" i="20" s="1"/>
  <c r="K287" i="20"/>
  <c r="K288" i="20" s="1"/>
  <c r="H303" i="20"/>
  <c r="H304" i="20" s="1"/>
  <c r="H311" i="20"/>
  <c r="H312" i="20" s="1"/>
  <c r="AH80" i="15"/>
  <c r="AG80" i="15"/>
  <c r="F345" i="20" s="1"/>
  <c r="F346" i="20" s="1"/>
  <c r="M55" i="11"/>
  <c r="O338" i="17"/>
  <c r="M134" i="11" s="1"/>
  <c r="AQ51" i="11"/>
  <c r="AS318" i="17"/>
  <c r="AQ130" i="11" s="1"/>
  <c r="AA12" i="11"/>
  <c r="AC108" i="17"/>
  <c r="AA91" i="11" s="1"/>
  <c r="AE75" i="11"/>
  <c r="AG448" i="17"/>
  <c r="AE154" i="11" s="1"/>
  <c r="Z36" i="11"/>
  <c r="AB238" i="17"/>
  <c r="Z115" i="11" s="1"/>
  <c r="AN92" i="17"/>
  <c r="AE92" i="17"/>
  <c r="AE93" i="17" s="1"/>
  <c r="AD92" i="17"/>
  <c r="M92" i="17"/>
  <c r="M93" i="17" s="1"/>
  <c r="AI92" i="17"/>
  <c r="AG9" i="11" s="1"/>
  <c r="AH92" i="17"/>
  <c r="AF9" i="11" s="1"/>
  <c r="AA117" i="17"/>
  <c r="AJ117" i="17"/>
  <c r="AK117" i="17"/>
  <c r="AK118" i="17" s="1"/>
  <c r="AL119" i="17" s="1"/>
  <c r="AL117" i="17"/>
  <c r="AL118" i="17" s="1"/>
  <c r="AJ93" i="11" s="1"/>
  <c r="K117" i="17"/>
  <c r="AF117" i="17"/>
  <c r="U117" i="17"/>
  <c r="U118" i="17" s="1"/>
  <c r="S93" i="11" s="1"/>
  <c r="Z117" i="17"/>
  <c r="X14" i="11" s="1"/>
  <c r="R132" i="17"/>
  <c r="S132" i="17"/>
  <c r="N132" i="17"/>
  <c r="N133" i="17" s="1"/>
  <c r="O132" i="17"/>
  <c r="O133" i="17" s="1"/>
  <c r="AJ132" i="17"/>
  <c r="AO132" i="17"/>
  <c r="Y137" i="17"/>
  <c r="W18" i="11" s="1"/>
  <c r="K137" i="17"/>
  <c r="I18" i="11" s="1"/>
  <c r="AR137" i="17"/>
  <c r="AP18" i="11" s="1"/>
  <c r="AN55" i="11"/>
  <c r="L92" i="17"/>
  <c r="L22" i="17" s="1"/>
  <c r="D121" i="19"/>
  <c r="E121" i="19" s="1"/>
  <c r="W203" i="17"/>
  <c r="U109" i="11" s="1"/>
  <c r="U30" i="11"/>
  <c r="AP22" i="11"/>
  <c r="AR163" i="17"/>
  <c r="AP101" i="11" s="1"/>
  <c r="S173" i="19"/>
  <c r="D173" i="19"/>
  <c r="J173" i="19"/>
  <c r="Q182" i="19"/>
  <c r="E182" i="19"/>
  <c r="G96" i="9" s="1"/>
  <c r="M96" i="9" s="1"/>
  <c r="E14" i="27"/>
  <c r="E15" i="27"/>
  <c r="E13" i="27"/>
  <c r="T14" i="19"/>
  <c r="R14" i="19" s="1"/>
  <c r="AN17" i="29"/>
  <c r="N138" i="19"/>
  <c r="AB25" i="29"/>
  <c r="E242" i="19"/>
  <c r="M11" i="11"/>
  <c r="S52" i="17"/>
  <c r="O32" i="17"/>
  <c r="E14" i="6"/>
  <c r="BB14" i="6"/>
  <c r="G17" i="6"/>
  <c r="AF73" i="11"/>
  <c r="AH438" i="17"/>
  <c r="AF152" i="11" s="1"/>
  <c r="W323" i="17"/>
  <c r="U131" i="11" s="1"/>
  <c r="U52" i="11"/>
  <c r="T263" i="17"/>
  <c r="R120" i="11" s="1"/>
  <c r="R41" i="11"/>
  <c r="AT253" i="17"/>
  <c r="AR118" i="11" s="1"/>
  <c r="AR39" i="11"/>
  <c r="E22" i="11"/>
  <c r="G163" i="17"/>
  <c r="E101" i="11" s="1"/>
  <c r="T84" i="11"/>
  <c r="V493" i="17"/>
  <c r="T163" i="11" s="1"/>
  <c r="AS493" i="17"/>
  <c r="AQ163" i="11" s="1"/>
  <c r="AQ84" i="11"/>
  <c r="AN80" i="11"/>
  <c r="AP473" i="17"/>
  <c r="AN159" i="11" s="1"/>
  <c r="AK80" i="11"/>
  <c r="AM473" i="17"/>
  <c r="AK159" i="11" s="1"/>
  <c r="AL76" i="11"/>
  <c r="AN453" i="17"/>
  <c r="X423" i="17"/>
  <c r="V150" i="11" s="1"/>
  <c r="V71" i="11"/>
  <c r="AI353" i="17"/>
  <c r="AG137" i="11" s="1"/>
  <c r="AI292" i="17"/>
  <c r="AI290" i="17" s="1"/>
  <c r="AG143" i="17"/>
  <c r="AE98" i="11" s="1"/>
  <c r="AE19" i="11"/>
  <c r="AD108" i="17"/>
  <c r="AB91" i="11" s="1"/>
  <c r="AB12" i="11"/>
  <c r="AG483" i="17"/>
  <c r="AE161" i="11" s="1"/>
  <c r="AE82" i="11"/>
  <c r="AL483" i="17"/>
  <c r="AJ161" i="11" s="1"/>
  <c r="AJ82" i="11"/>
  <c r="AF463" i="17"/>
  <c r="AD157" i="11" s="1"/>
  <c r="AD78" i="11"/>
  <c r="Q463" i="17"/>
  <c r="O157" i="11" s="1"/>
  <c r="O78" i="11"/>
  <c r="AE78" i="11"/>
  <c r="AG463" i="17"/>
  <c r="AE157" i="11" s="1"/>
  <c r="P443" i="17"/>
  <c r="N153" i="11" s="1"/>
  <c r="N74" i="11"/>
  <c r="D74" i="11"/>
  <c r="F443" i="17"/>
  <c r="D153" i="11" s="1"/>
  <c r="AJ74" i="11"/>
  <c r="AL443" i="17"/>
  <c r="AJ153" i="11" s="1"/>
  <c r="AD413" i="17"/>
  <c r="AB148" i="11" s="1"/>
  <c r="AB69" i="11"/>
  <c r="AR69" i="11"/>
  <c r="AT413" i="17"/>
  <c r="AR148" i="11" s="1"/>
  <c r="AG69" i="11"/>
  <c r="AI413" i="17"/>
  <c r="AG148" i="11" s="1"/>
  <c r="R393" i="17"/>
  <c r="P144" i="11" s="1"/>
  <c r="P65" i="11"/>
  <c r="Z61" i="11"/>
  <c r="AB373" i="17"/>
  <c r="Z140" i="11" s="1"/>
  <c r="AA56" i="11"/>
  <c r="AC343" i="17"/>
  <c r="AA135" i="11" s="1"/>
  <c r="R303" i="17"/>
  <c r="P127" i="11" s="1"/>
  <c r="P48" i="11"/>
  <c r="E273" i="17"/>
  <c r="C122" i="11" s="1"/>
  <c r="C43" i="11"/>
  <c r="E131" i="21"/>
  <c r="E129" i="21"/>
  <c r="E132" i="21"/>
  <c r="E134" i="21"/>
  <c r="D159" i="21"/>
  <c r="P28" i="29"/>
  <c r="P52" i="11"/>
  <c r="AN53" i="11"/>
  <c r="AO253" i="17"/>
  <c r="AM118" i="11" s="1"/>
  <c r="AA318" i="17"/>
  <c r="Y130" i="11" s="1"/>
  <c r="J73" i="11"/>
  <c r="L438" i="17"/>
  <c r="J152" i="11" s="1"/>
  <c r="AF24" i="29"/>
  <c r="AF20" i="29" s="1"/>
  <c r="AE20" i="29" s="1"/>
  <c r="AI453" i="17"/>
  <c r="AG155" i="11" s="1"/>
  <c r="E130" i="21"/>
  <c r="L273" i="17"/>
  <c r="J122" i="11" s="1"/>
  <c r="V463" i="17"/>
  <c r="T157" i="11" s="1"/>
  <c r="O15" i="11"/>
  <c r="AC84" i="11"/>
  <c r="AR71" i="11"/>
  <c r="N158" i="17"/>
  <c r="L100" i="11" s="1"/>
  <c r="K84" i="11"/>
  <c r="I133" i="17"/>
  <c r="AN21" i="11"/>
  <c r="AP158" i="17"/>
  <c r="AN100" i="11" s="1"/>
  <c r="AA68" i="11"/>
  <c r="AC408" i="17"/>
  <c r="AA147" i="11" s="1"/>
  <c r="AH408" i="17"/>
  <c r="AF147" i="11" s="1"/>
  <c r="AF68" i="11"/>
  <c r="AB55" i="11"/>
  <c r="AD338" i="17"/>
  <c r="AB134" i="11" s="1"/>
  <c r="AT268" i="17"/>
  <c r="AR121" i="11" s="1"/>
  <c r="AR42" i="11"/>
  <c r="R228" i="17"/>
  <c r="P113" i="11" s="1"/>
  <c r="P34" i="11"/>
  <c r="AA19" i="11"/>
  <c r="AT133" i="17"/>
  <c r="AR17" i="11"/>
  <c r="C83" i="11"/>
  <c r="E488" i="17"/>
  <c r="C162" i="11" s="1"/>
  <c r="X83" i="11"/>
  <c r="Z488" i="17"/>
  <c r="X162" i="11" s="1"/>
  <c r="AM448" i="17"/>
  <c r="AK154" i="11" s="1"/>
  <c r="AK75" i="11"/>
  <c r="AA70" i="11"/>
  <c r="AC418" i="17"/>
  <c r="AA149" i="11" s="1"/>
  <c r="M398" i="17"/>
  <c r="K145" i="11" s="1"/>
  <c r="K66" i="11"/>
  <c r="H45" i="10"/>
  <c r="G60" i="9" s="1"/>
  <c r="U35" i="10"/>
  <c r="AD35" i="10"/>
  <c r="AB34" i="10"/>
  <c r="AB35" i="10" s="1"/>
  <c r="BH35" i="10"/>
  <c r="H51" i="10"/>
  <c r="J60" i="9" s="1"/>
  <c r="L37" i="13"/>
  <c r="L59" i="13"/>
  <c r="K37" i="13"/>
  <c r="K59" i="13"/>
  <c r="W38" i="14"/>
  <c r="W42" i="14"/>
  <c r="W36" i="14"/>
  <c r="S57" i="14"/>
  <c r="S49" i="14"/>
  <c r="S56" i="14"/>
  <c r="C26" i="15"/>
  <c r="B125" i="17"/>
  <c r="AW125" i="17" s="1"/>
  <c r="AW126" i="17" s="1"/>
  <c r="AW127" i="17" s="1"/>
  <c r="AW128" i="17" s="1"/>
  <c r="AW129" i="17" s="1"/>
  <c r="AU142" i="17"/>
  <c r="T142" i="17"/>
  <c r="AJ142" i="17"/>
  <c r="E142" i="17"/>
  <c r="U142" i="17"/>
  <c r="AK142" i="17"/>
  <c r="J142" i="17"/>
  <c r="Z142" i="17"/>
  <c r="AP142" i="17"/>
  <c r="K142" i="17"/>
  <c r="AA142" i="17"/>
  <c r="AA143" i="17" s="1"/>
  <c r="Y98" i="11" s="1"/>
  <c r="AQ142" i="17"/>
  <c r="H142" i="17"/>
  <c r="X142" i="17"/>
  <c r="X143" i="17" s="1"/>
  <c r="AN142" i="17"/>
  <c r="I142" i="17"/>
  <c r="Y142" i="17"/>
  <c r="AO142" i="17"/>
  <c r="N142" i="17"/>
  <c r="L19" i="11" s="1"/>
  <c r="AD142" i="17"/>
  <c r="AB19" i="11" s="1"/>
  <c r="AT142" i="17"/>
  <c r="AR19" i="11" s="1"/>
  <c r="O142" i="17"/>
  <c r="M19" i="11" s="1"/>
  <c r="AE142" i="17"/>
  <c r="AC19" i="11" s="1"/>
  <c r="P142" i="17"/>
  <c r="AV142" i="17"/>
  <c r="Q142" i="17"/>
  <c r="O19" i="11" s="1"/>
  <c r="R142" i="17"/>
  <c r="R143" i="17" s="1"/>
  <c r="P98" i="11" s="1"/>
  <c r="G142" i="17"/>
  <c r="AM142" i="17"/>
  <c r="AM143" i="17" s="1"/>
  <c r="AK98" i="11" s="1"/>
  <c r="AR142" i="17"/>
  <c r="AS142" i="17"/>
  <c r="AS143" i="17" s="1"/>
  <c r="AQ98" i="11" s="1"/>
  <c r="F142" i="17"/>
  <c r="AI142" i="17"/>
  <c r="L142" i="17"/>
  <c r="M142" i="17"/>
  <c r="K19" i="11" s="1"/>
  <c r="V142" i="17"/>
  <c r="V143" i="17" s="1"/>
  <c r="K253" i="17"/>
  <c r="I118" i="11" s="1"/>
  <c r="O40" i="11"/>
  <c r="L235" i="20"/>
  <c r="L236" i="20" s="1"/>
  <c r="Q48" i="11"/>
  <c r="U49" i="11"/>
  <c r="B230" i="17"/>
  <c r="AS234" i="17" s="1"/>
  <c r="AI51" i="11"/>
  <c r="AP52" i="11"/>
  <c r="AG53" i="11"/>
  <c r="AL333" i="17"/>
  <c r="AJ133" i="11" s="1"/>
  <c r="AF54" i="11"/>
  <c r="AH51" i="11"/>
  <c r="U33" i="29"/>
  <c r="J103" i="19"/>
  <c r="W37" i="14"/>
  <c r="W35" i="14"/>
  <c r="BB34" i="10"/>
  <c r="BB35" i="10" s="1"/>
  <c r="BB36" i="29"/>
  <c r="BA36" i="29" s="1"/>
  <c r="S51" i="14"/>
  <c r="BA35" i="10"/>
  <c r="AT123" i="17"/>
  <c r="AR94" i="11" s="1"/>
  <c r="T2" i="14"/>
  <c r="L408" i="17"/>
  <c r="J147" i="11" s="1"/>
  <c r="AF19" i="11"/>
  <c r="M43" i="11"/>
  <c r="AC56" i="11"/>
  <c r="G65" i="11"/>
  <c r="AE74" i="11"/>
  <c r="AQ483" i="17"/>
  <c r="AO161" i="11" s="1"/>
  <c r="AP63" i="11"/>
  <c r="M84" i="11"/>
  <c r="AQ79" i="11"/>
  <c r="F303" i="17"/>
  <c r="D127" i="11" s="1"/>
  <c r="AH463" i="17"/>
  <c r="AF157" i="11" s="1"/>
  <c r="AT403" i="17"/>
  <c r="AR146" i="11" s="1"/>
  <c r="I403" i="17"/>
  <c r="G146" i="11" s="1"/>
  <c r="N423" i="17"/>
  <c r="L150" i="11" s="1"/>
  <c r="Q473" i="17"/>
  <c r="O159" i="11" s="1"/>
  <c r="AL493" i="17"/>
  <c r="AJ163" i="11" s="1"/>
  <c r="M149" i="11"/>
  <c r="S14" i="11"/>
  <c r="AF142" i="17"/>
  <c r="AF123" i="17"/>
  <c r="AD94" i="11" s="1"/>
  <c r="AD15" i="11"/>
  <c r="AE118" i="17"/>
  <c r="AC14" i="11"/>
  <c r="AG488" i="17"/>
  <c r="AE162" i="11" s="1"/>
  <c r="AE83" i="11"/>
  <c r="F468" i="17"/>
  <c r="D158" i="11" s="1"/>
  <c r="D79" i="11"/>
  <c r="N362" i="17"/>
  <c r="N360" i="17" s="1"/>
  <c r="M333" i="17"/>
  <c r="K133" i="11" s="1"/>
  <c r="K54" i="11"/>
  <c r="AA84" i="11"/>
  <c r="AC493" i="17"/>
  <c r="AA163" i="11" s="1"/>
  <c r="V473" i="17"/>
  <c r="T159" i="11" s="1"/>
  <c r="T80" i="11"/>
  <c r="AD453" i="17"/>
  <c r="AB155" i="11" s="1"/>
  <c r="AB76" i="11"/>
  <c r="M453" i="17"/>
  <c r="K155" i="11" s="1"/>
  <c r="K76" i="11"/>
  <c r="AL71" i="11"/>
  <c r="AN362" i="17"/>
  <c r="AN360" i="17" s="1"/>
  <c r="W71" i="11"/>
  <c r="Y423" i="17"/>
  <c r="W150" i="11" s="1"/>
  <c r="AB71" i="11"/>
  <c r="AD423" i="17"/>
  <c r="AB150" i="11" s="1"/>
  <c r="J67" i="11"/>
  <c r="L403" i="17"/>
  <c r="J146" i="11" s="1"/>
  <c r="P67" i="11"/>
  <c r="R403" i="17"/>
  <c r="P146" i="11" s="1"/>
  <c r="AT14" i="11"/>
  <c r="AV118" i="17"/>
  <c r="AT108" i="17"/>
  <c r="AR91" i="11" s="1"/>
  <c r="AR12" i="11"/>
  <c r="L12" i="11"/>
  <c r="N108" i="17"/>
  <c r="L91" i="11" s="1"/>
  <c r="Y103" i="17"/>
  <c r="W11" i="11"/>
  <c r="G11" i="11"/>
  <c r="I103" i="17"/>
  <c r="G90" i="11" s="1"/>
  <c r="I78" i="11"/>
  <c r="K463" i="17"/>
  <c r="I157" i="11" s="1"/>
  <c r="AO78" i="11"/>
  <c r="AQ463" i="17"/>
  <c r="AO157" i="11" s="1"/>
  <c r="O74" i="11"/>
  <c r="Q443" i="17"/>
  <c r="O153" i="11" s="1"/>
  <c r="K443" i="17"/>
  <c r="I153" i="11" s="1"/>
  <c r="I74" i="11"/>
  <c r="AT69" i="11"/>
  <c r="AV413" i="17"/>
  <c r="AT148" i="11" s="1"/>
  <c r="M52" i="11"/>
  <c r="O323" i="17"/>
  <c r="M131" i="11" s="1"/>
  <c r="AS52" i="11"/>
  <c r="AU323" i="17"/>
  <c r="AS131" i="11" s="1"/>
  <c r="S52" i="11"/>
  <c r="U323" i="17"/>
  <c r="S131" i="11" s="1"/>
  <c r="H52" i="11"/>
  <c r="J323" i="17"/>
  <c r="H131" i="11" s="1"/>
  <c r="W303" i="17"/>
  <c r="U127" i="11" s="1"/>
  <c r="U48" i="11"/>
  <c r="AC303" i="17"/>
  <c r="AA127" i="11" s="1"/>
  <c r="AA48" i="11"/>
  <c r="Z273" i="17"/>
  <c r="X122" i="11" s="1"/>
  <c r="X43" i="11"/>
  <c r="AA443" i="17"/>
  <c r="Y153" i="11" s="1"/>
  <c r="AN423" i="17"/>
  <c r="AL150" i="11" s="1"/>
  <c r="K68" i="11"/>
  <c r="M408" i="17"/>
  <c r="AR408" i="17"/>
  <c r="AP147" i="11" s="1"/>
  <c r="AP68" i="11"/>
  <c r="N378" i="17"/>
  <c r="L141" i="11" s="1"/>
  <c r="L62" i="11"/>
  <c r="G45" i="10"/>
  <c r="G59" i="9" s="1"/>
  <c r="G34" i="10"/>
  <c r="G35" i="10" s="1"/>
  <c r="T35" i="10"/>
  <c r="J53" i="10"/>
  <c r="K62" i="9" s="1"/>
  <c r="BW35" i="10"/>
  <c r="BN28" i="29"/>
  <c r="K33" i="17"/>
  <c r="K30" i="17" s="1"/>
  <c r="AC438" i="17"/>
  <c r="AA152" i="11" s="1"/>
  <c r="AQ333" i="17"/>
  <c r="W39" i="14"/>
  <c r="C34" i="10"/>
  <c r="J34" i="10"/>
  <c r="J35" i="10" s="1"/>
  <c r="S48" i="14"/>
  <c r="S53" i="14"/>
  <c r="S167" i="19"/>
  <c r="AN473" i="17"/>
  <c r="AL159" i="11" s="1"/>
  <c r="J61" i="19"/>
  <c r="B325" i="17"/>
  <c r="AU329" i="17" s="1"/>
  <c r="AJ323" i="17"/>
  <c r="AH131" i="11" s="1"/>
  <c r="AF443" i="17"/>
  <c r="AD153" i="11" s="1"/>
  <c r="Y82" i="11"/>
  <c r="AF67" i="11"/>
  <c r="I162" i="11"/>
  <c r="K433" i="17"/>
  <c r="AN27" i="11"/>
  <c r="W142" i="17"/>
  <c r="U19" i="11" s="1"/>
  <c r="O423" i="17"/>
  <c r="M150" i="11" s="1"/>
  <c r="M71" i="11"/>
  <c r="X403" i="17"/>
  <c r="V146" i="11" s="1"/>
  <c r="V67" i="11"/>
  <c r="W67" i="11"/>
  <c r="Y403" i="17"/>
  <c r="W146" i="11" s="1"/>
  <c r="L67" i="11"/>
  <c r="N403" i="17"/>
  <c r="L146" i="11" s="1"/>
  <c r="S403" i="17"/>
  <c r="Q146" i="11" s="1"/>
  <c r="Q67" i="11"/>
  <c r="V63" i="11"/>
  <c r="X383" i="17"/>
  <c r="V142" i="11" s="1"/>
  <c r="M383" i="17"/>
  <c r="K142" i="11" s="1"/>
  <c r="K63" i="11"/>
  <c r="V383" i="17"/>
  <c r="T142" i="11" s="1"/>
  <c r="T63" i="11"/>
  <c r="AQ383" i="17"/>
  <c r="AO142" i="11" s="1"/>
  <c r="AO63" i="11"/>
  <c r="AC353" i="17"/>
  <c r="AA137" i="11" s="1"/>
  <c r="AA58" i="11"/>
  <c r="AP353" i="17"/>
  <c r="AN137" i="11" s="1"/>
  <c r="AN58" i="11"/>
  <c r="AT333" i="17"/>
  <c r="AR133" i="11" s="1"/>
  <c r="AR54" i="11"/>
  <c r="I313" i="17"/>
  <c r="G129" i="11" s="1"/>
  <c r="G50" i="11"/>
  <c r="AL142" i="17"/>
  <c r="AJ19" i="11" s="1"/>
  <c r="AS483" i="17"/>
  <c r="AQ161" i="11" s="1"/>
  <c r="AQ82" i="11"/>
  <c r="AR463" i="17"/>
  <c r="AP157" i="11" s="1"/>
  <c r="AP78" i="11"/>
  <c r="K78" i="11"/>
  <c r="M463" i="17"/>
  <c r="K157" i="11" s="1"/>
  <c r="R463" i="17"/>
  <c r="P157" i="11" s="1"/>
  <c r="P78" i="11"/>
  <c r="K74" i="11"/>
  <c r="M443" i="17"/>
  <c r="K153" i="11" s="1"/>
  <c r="O413" i="17"/>
  <c r="M148" i="11" s="1"/>
  <c r="M69" i="11"/>
  <c r="N393" i="17"/>
  <c r="L144" i="11" s="1"/>
  <c r="L65" i="11"/>
  <c r="Q65" i="11"/>
  <c r="S393" i="17"/>
  <c r="Q144" i="11" s="1"/>
  <c r="X393" i="17"/>
  <c r="V144" i="11" s="1"/>
  <c r="V65" i="11"/>
  <c r="N373" i="17"/>
  <c r="L140" i="11" s="1"/>
  <c r="L61" i="11"/>
  <c r="AT373" i="17"/>
  <c r="AR140" i="11" s="1"/>
  <c r="AR61" i="11"/>
  <c r="Q61" i="11"/>
  <c r="S373" i="17"/>
  <c r="Q140" i="11" s="1"/>
  <c r="G61" i="11"/>
  <c r="I373" i="17"/>
  <c r="G140" i="11" s="1"/>
  <c r="AO373" i="17"/>
  <c r="AM140" i="11" s="1"/>
  <c r="AM61" i="11"/>
  <c r="AS56" i="11"/>
  <c r="AU343" i="17"/>
  <c r="AS135" i="11" s="1"/>
  <c r="AR343" i="17"/>
  <c r="AP135" i="11" s="1"/>
  <c r="AP56" i="11"/>
  <c r="G52" i="11"/>
  <c r="I323" i="17"/>
  <c r="G131" i="11" s="1"/>
  <c r="AL303" i="17"/>
  <c r="AJ127" i="11" s="1"/>
  <c r="AJ48" i="11"/>
  <c r="AE273" i="17"/>
  <c r="AC122" i="11" s="1"/>
  <c r="AC43" i="11"/>
  <c r="AJ273" i="17"/>
  <c r="AH122" i="11" s="1"/>
  <c r="AH43" i="11"/>
  <c r="R233" i="17"/>
  <c r="P114" i="11" s="1"/>
  <c r="P35" i="11"/>
  <c r="L183" i="17"/>
  <c r="J105" i="11" s="1"/>
  <c r="J26" i="11"/>
  <c r="Z173" i="17"/>
  <c r="X103" i="11" s="1"/>
  <c r="X24" i="11"/>
  <c r="AB142" i="17"/>
  <c r="K7" i="19"/>
  <c r="I7" i="19" s="1"/>
  <c r="AC50" i="11"/>
  <c r="AE32" i="17"/>
  <c r="AS50" i="11"/>
  <c r="AU313" i="17"/>
  <c r="AS129" i="11" s="1"/>
  <c r="E37" i="11"/>
  <c r="D242" i="17"/>
  <c r="D240" i="17" s="1"/>
  <c r="AK12" i="11"/>
  <c r="AM108" i="17"/>
  <c r="AK91" i="11" s="1"/>
  <c r="W108" i="17"/>
  <c r="U91" i="11" s="1"/>
  <c r="U12" i="11"/>
  <c r="F96" i="8"/>
  <c r="F83" i="8"/>
  <c r="H89" i="8"/>
  <c r="H76" i="8"/>
  <c r="AO12" i="10"/>
  <c r="G49" i="10"/>
  <c r="I59" i="9" s="1"/>
  <c r="AT35" i="10"/>
  <c r="BD35" i="10"/>
  <c r="D51" i="10"/>
  <c r="J56" i="9" s="1"/>
  <c r="AA35" i="10"/>
  <c r="N45" i="10"/>
  <c r="G66" i="9" s="1"/>
  <c r="M37" i="13"/>
  <c r="M59" i="13"/>
  <c r="CZ23" i="34"/>
  <c r="BU23" i="34"/>
  <c r="CY22" i="34"/>
  <c r="DJ23" i="34"/>
  <c r="DP22" i="34"/>
  <c r="EA23" i="34"/>
  <c r="J22" i="34"/>
  <c r="O22" i="34"/>
  <c r="CH23" i="34"/>
  <c r="DL22" i="34"/>
  <c r="CG22" i="34"/>
  <c r="ET22" i="34"/>
  <c r="F23" i="34"/>
  <c r="CV22" i="34"/>
  <c r="DY22" i="34"/>
  <c r="AM22" i="34"/>
  <c r="EN22" i="34"/>
  <c r="BB22" i="34"/>
  <c r="CP23" i="34"/>
  <c r="BP23" i="34"/>
  <c r="AM23" i="34"/>
  <c r="W23" i="34"/>
  <c r="EU23" i="34"/>
  <c r="J139" i="9"/>
  <c r="S22" i="14"/>
  <c r="J138" i="9" s="1"/>
  <c r="J141" i="9" s="1"/>
  <c r="W53" i="14"/>
  <c r="W48" i="14"/>
  <c r="W56" i="14"/>
  <c r="W50" i="14"/>
  <c r="W54" i="14"/>
  <c r="AI97" i="17"/>
  <c r="M97" i="17"/>
  <c r="Z97" i="17"/>
  <c r="P97" i="17"/>
  <c r="N10" i="11" s="1"/>
  <c r="AC97" i="17"/>
  <c r="AD97" i="17"/>
  <c r="I97" i="17"/>
  <c r="G10" i="11" s="1"/>
  <c r="AT117" i="17"/>
  <c r="S117" i="17"/>
  <c r="AI117" i="17"/>
  <c r="H117" i="17"/>
  <c r="X117" i="17"/>
  <c r="AN117" i="17"/>
  <c r="M117" i="17"/>
  <c r="K14" i="11" s="1"/>
  <c r="AC117" i="17"/>
  <c r="AC118" i="17" s="1"/>
  <c r="AS117" i="17"/>
  <c r="AS47" i="17" s="1"/>
  <c r="N117" i="17"/>
  <c r="L14" i="11" s="1"/>
  <c r="AD117" i="17"/>
  <c r="AD118" i="17" s="1"/>
  <c r="AB93" i="11" s="1"/>
  <c r="G117" i="17"/>
  <c r="W117" i="17"/>
  <c r="AM117" i="17"/>
  <c r="L117" i="17"/>
  <c r="AB117" i="17"/>
  <c r="AR117" i="17"/>
  <c r="Q117" i="17"/>
  <c r="Q118" i="17" s="1"/>
  <c r="Q119" i="17" s="1"/>
  <c r="AG117" i="17"/>
  <c r="AG118" i="17" s="1"/>
  <c r="R117" i="17"/>
  <c r="R118" i="17" s="1"/>
  <c r="AH117" i="17"/>
  <c r="AF14" i="11" s="1"/>
  <c r="O117" i="17"/>
  <c r="AU117" i="17"/>
  <c r="T117" i="17"/>
  <c r="Y117" i="17"/>
  <c r="J117" i="17"/>
  <c r="AP117" i="17"/>
  <c r="AS132" i="17"/>
  <c r="F132" i="17"/>
  <c r="V132" i="17"/>
  <c r="V62" i="17" s="1"/>
  <c r="AL132" i="17"/>
  <c r="AN132" i="17"/>
  <c r="G132" i="17"/>
  <c r="G62" i="17" s="1"/>
  <c r="W132" i="17"/>
  <c r="W62" i="17" s="1"/>
  <c r="AM132" i="17"/>
  <c r="T132" i="17"/>
  <c r="AR132" i="17"/>
  <c r="AR62" i="17" s="1"/>
  <c r="E132" i="17"/>
  <c r="C17" i="11" s="1"/>
  <c r="AG132" i="17"/>
  <c r="J132" i="17"/>
  <c r="Z132" i="17"/>
  <c r="AP132" i="17"/>
  <c r="AP62" i="17" s="1"/>
  <c r="K132" i="17"/>
  <c r="AA132" i="17"/>
  <c r="AQ132" i="17"/>
  <c r="H132" i="17"/>
  <c r="F17" i="11" s="1"/>
  <c r="AB132" i="17"/>
  <c r="AB62" i="17" s="1"/>
  <c r="AV132" i="17"/>
  <c r="AV133" i="17" s="1"/>
  <c r="M132" i="17"/>
  <c r="M133" i="17" s="1"/>
  <c r="N134" i="17" s="1"/>
  <c r="AK132" i="17"/>
  <c r="AK133" i="17" s="1"/>
  <c r="AH132" i="17"/>
  <c r="AI132" i="17"/>
  <c r="AF132" i="17"/>
  <c r="AD17" i="11" s="1"/>
  <c r="AT137" i="17"/>
  <c r="AT138" i="17" s="1"/>
  <c r="S137" i="17"/>
  <c r="S138" i="17" s="1"/>
  <c r="AN12" i="11"/>
  <c r="E52" i="17"/>
  <c r="H52" i="17"/>
  <c r="AU4" i="29"/>
  <c r="AV17" i="29" s="1"/>
  <c r="C7" i="30"/>
  <c r="AA17" i="11"/>
  <c r="AC133" i="17"/>
  <c r="L133" i="17"/>
  <c r="J17" i="11"/>
  <c r="L11" i="11"/>
  <c r="N103" i="17"/>
  <c r="AR138" i="17"/>
  <c r="J378" i="17"/>
  <c r="H141" i="11" s="1"/>
  <c r="H62" i="11"/>
  <c r="N144" i="19"/>
  <c r="E144" i="19"/>
  <c r="H144" i="19"/>
  <c r="F144" i="19" s="1"/>
  <c r="Q144" i="19"/>
  <c r="O144" i="19" s="1"/>
  <c r="P168" i="19"/>
  <c r="M168" i="19"/>
  <c r="S168" i="19"/>
  <c r="P172" i="19"/>
  <c r="J172" i="19"/>
  <c r="D172" i="19"/>
  <c r="L19" i="29"/>
  <c r="K19" i="29" s="1"/>
  <c r="G73" i="11"/>
  <c r="I438" i="17"/>
  <c r="G152" i="11" s="1"/>
  <c r="I368" i="17"/>
  <c r="G139" i="11" s="1"/>
  <c r="G60" i="11"/>
  <c r="H368" i="17"/>
  <c r="F139" i="11" s="1"/>
  <c r="F60" i="11"/>
  <c r="G318" i="17"/>
  <c r="E130" i="11" s="1"/>
  <c r="E51" i="11"/>
  <c r="AG24" i="15"/>
  <c r="J241" i="20" s="1"/>
  <c r="J242" i="20" s="1"/>
  <c r="U24" i="11"/>
  <c r="W173" i="17"/>
  <c r="U103" i="11" s="1"/>
  <c r="E24" i="11"/>
  <c r="G173" i="17"/>
  <c r="E103" i="11" s="1"/>
  <c r="AE44" i="11"/>
  <c r="AG278" i="17"/>
  <c r="AE123" i="11" s="1"/>
  <c r="F107" i="7"/>
  <c r="F108" i="7" s="1"/>
  <c r="F110" i="7"/>
  <c r="J25" i="29"/>
  <c r="E37" i="13"/>
  <c r="E59" i="13"/>
  <c r="D96" i="8"/>
  <c r="D83" i="8"/>
  <c r="D74" i="8"/>
  <c r="T39" i="11"/>
  <c r="I87" i="17"/>
  <c r="L168" i="17"/>
  <c r="J102" i="11" s="1"/>
  <c r="J23" i="11"/>
  <c r="Q22" i="11"/>
  <c r="S163" i="17"/>
  <c r="X21" i="11"/>
  <c r="Z158" i="17"/>
  <c r="X100" i="11" s="1"/>
  <c r="H21" i="11"/>
  <c r="J158" i="17"/>
  <c r="AI143" i="17"/>
  <c r="AG98" i="11" s="1"/>
  <c r="AG19" i="11"/>
  <c r="Q19" i="11"/>
  <c r="S143" i="17"/>
  <c r="Q98" i="11" s="1"/>
  <c r="AK76" i="11"/>
  <c r="AM453" i="17"/>
  <c r="AK155" i="11" s="1"/>
  <c r="M423" i="17"/>
  <c r="K150" i="11" s="1"/>
  <c r="K71" i="11"/>
  <c r="AC423" i="17"/>
  <c r="AC362" i="17"/>
  <c r="AC360" i="17" s="1"/>
  <c r="AA71" i="11"/>
  <c r="R423" i="17"/>
  <c r="R362" i="17"/>
  <c r="R360" i="17" s="1"/>
  <c r="AF71" i="11"/>
  <c r="AH423" i="17"/>
  <c r="G423" i="17"/>
  <c r="E150" i="11" s="1"/>
  <c r="E71" i="11"/>
  <c r="AB403" i="17"/>
  <c r="Z146" i="11" s="1"/>
  <c r="Z67" i="11"/>
  <c r="AR403" i="17"/>
  <c r="AP146" i="11" s="1"/>
  <c r="AP67" i="11"/>
  <c r="AA67" i="11"/>
  <c r="AC403" i="17"/>
  <c r="AA146" i="11" s="1"/>
  <c r="AQ67" i="11"/>
  <c r="AS403" i="17"/>
  <c r="AQ146" i="11" s="1"/>
  <c r="E67" i="11"/>
  <c r="G403" i="17"/>
  <c r="E146" i="11" s="1"/>
  <c r="U67" i="11"/>
  <c r="W403" i="17"/>
  <c r="U146" i="11" s="1"/>
  <c r="Z63" i="11"/>
  <c r="AB383" i="17"/>
  <c r="Z142" i="11" s="1"/>
  <c r="AC63" i="11"/>
  <c r="AE383" i="17"/>
  <c r="AC142" i="11" s="1"/>
  <c r="AJ353" i="17"/>
  <c r="AH137" i="11" s="1"/>
  <c r="AH58" i="11"/>
  <c r="T58" i="11"/>
  <c r="V353" i="17"/>
  <c r="T137" i="11" s="1"/>
  <c r="AK333" i="17"/>
  <c r="AI133" i="11" s="1"/>
  <c r="AI54" i="11"/>
  <c r="X54" i="11"/>
  <c r="Z333" i="17"/>
  <c r="X133" i="11" s="1"/>
  <c r="W50" i="11"/>
  <c r="Y313" i="17"/>
  <c r="W129" i="11" s="1"/>
  <c r="L50" i="11"/>
  <c r="N313" i="17"/>
  <c r="L129" i="11" s="1"/>
  <c r="AD313" i="17"/>
  <c r="AB129" i="11" s="1"/>
  <c r="AB50" i="11"/>
  <c r="S313" i="17"/>
  <c r="Q129" i="11" s="1"/>
  <c r="Q50" i="11"/>
  <c r="AI313" i="17"/>
  <c r="AG129" i="11" s="1"/>
  <c r="AG50" i="11"/>
  <c r="AN313" i="17"/>
  <c r="AL129" i="11" s="1"/>
  <c r="AN32" i="17"/>
  <c r="AL50" i="11"/>
  <c r="AA243" i="17"/>
  <c r="Y116" i="11" s="1"/>
  <c r="AA32" i="17"/>
  <c r="AQ243" i="17"/>
  <c r="AO116" i="11" s="1"/>
  <c r="AO37" i="11"/>
  <c r="N37" i="11"/>
  <c r="P243" i="17"/>
  <c r="N116" i="11" s="1"/>
  <c r="P32" i="17"/>
  <c r="N243" i="17"/>
  <c r="L116" i="11" s="1"/>
  <c r="L37" i="11"/>
  <c r="AR37" i="11"/>
  <c r="AT243" i="17"/>
  <c r="AR116" i="11" s="1"/>
  <c r="AS71" i="11"/>
  <c r="AU423" i="17"/>
  <c r="AS150" i="11" s="1"/>
  <c r="F28" i="11"/>
  <c r="H193" i="17"/>
  <c r="AO24" i="11"/>
  <c r="AQ173" i="17"/>
  <c r="AP52" i="17"/>
  <c r="AN15" i="11"/>
  <c r="AP123" i="17"/>
  <c r="J123" i="17"/>
  <c r="H94" i="11" s="1"/>
  <c r="H15" i="11"/>
  <c r="J52" i="17"/>
  <c r="C14" i="11"/>
  <c r="E118" i="17"/>
  <c r="C93" i="11" s="1"/>
  <c r="Q12" i="11"/>
  <c r="S108" i="17"/>
  <c r="Q91" i="11" s="1"/>
  <c r="AD103" i="17"/>
  <c r="AB11" i="11"/>
  <c r="AO98" i="17"/>
  <c r="AM89" i="11" s="1"/>
  <c r="AM10" i="11"/>
  <c r="AN73" i="11"/>
  <c r="AP438" i="17"/>
  <c r="AN152" i="11" s="1"/>
  <c r="P68" i="11"/>
  <c r="R408" i="17"/>
  <c r="P147" i="11" s="1"/>
  <c r="Z68" i="11"/>
  <c r="AB408" i="17"/>
  <c r="Z147" i="11" s="1"/>
  <c r="AG388" i="17"/>
  <c r="AE143" i="11" s="1"/>
  <c r="AE64" i="11"/>
  <c r="M64" i="11"/>
  <c r="O388" i="17"/>
  <c r="M143" i="11" s="1"/>
  <c r="AD64" i="11"/>
  <c r="AF388" i="17"/>
  <c r="AD143" i="11" s="1"/>
  <c r="AQ60" i="11"/>
  <c r="AS368" i="17"/>
  <c r="AQ139" i="11" s="1"/>
  <c r="AF60" i="11"/>
  <c r="AH368" i="17"/>
  <c r="AF139" i="11" s="1"/>
  <c r="G368" i="17"/>
  <c r="E139" i="11" s="1"/>
  <c r="E60" i="11"/>
  <c r="U60" i="11"/>
  <c r="W368" i="17"/>
  <c r="U139" i="11" s="1"/>
  <c r="J60" i="11"/>
  <c r="L368" i="17"/>
  <c r="J139" i="11" s="1"/>
  <c r="AB368" i="17"/>
  <c r="Z139" i="11" s="1"/>
  <c r="Z60" i="11"/>
  <c r="AT338" i="17"/>
  <c r="AR134" i="11" s="1"/>
  <c r="AR55" i="11"/>
  <c r="Q55" i="11"/>
  <c r="S338" i="17"/>
  <c r="Q134" i="11" s="1"/>
  <c r="V55" i="11"/>
  <c r="X338" i="17"/>
  <c r="V134" i="11" s="1"/>
  <c r="AL55" i="11"/>
  <c r="AN338" i="17"/>
  <c r="AL134" i="11" s="1"/>
  <c r="W55" i="11"/>
  <c r="Y338" i="17"/>
  <c r="W134" i="11" s="1"/>
  <c r="AD318" i="17"/>
  <c r="AB130" i="11" s="1"/>
  <c r="AB51" i="11"/>
  <c r="W51" i="11"/>
  <c r="Y318" i="17"/>
  <c r="W130" i="11" s="1"/>
  <c r="AO268" i="17"/>
  <c r="AM42" i="11"/>
  <c r="F34" i="11"/>
  <c r="H228" i="17"/>
  <c r="F113" i="11" s="1"/>
  <c r="O198" i="17"/>
  <c r="M108" i="11" s="1"/>
  <c r="M29" i="11"/>
  <c r="AH24" i="11"/>
  <c r="AJ173" i="17"/>
  <c r="AH103" i="11" s="1"/>
  <c r="Q24" i="11"/>
  <c r="S173" i="17"/>
  <c r="Q103" i="11" s="1"/>
  <c r="AK163" i="17"/>
  <c r="AI22" i="11"/>
  <c r="AQ19" i="11"/>
  <c r="AG123" i="17"/>
  <c r="AE15" i="11"/>
  <c r="N14" i="11"/>
  <c r="P118" i="17"/>
  <c r="AK103" i="17"/>
  <c r="AI90" i="11" s="1"/>
  <c r="AI11" i="11"/>
  <c r="C11" i="11"/>
  <c r="E103" i="17"/>
  <c r="AD82" i="11"/>
  <c r="AF483" i="17"/>
  <c r="AD161" i="11" s="1"/>
  <c r="E483" i="17"/>
  <c r="C161" i="11" s="1"/>
  <c r="C82" i="11"/>
  <c r="F483" i="17"/>
  <c r="D161" i="11" s="1"/>
  <c r="D82" i="11"/>
  <c r="I82" i="11"/>
  <c r="K483" i="17"/>
  <c r="I161" i="11" s="1"/>
  <c r="P463" i="17"/>
  <c r="N157" i="11" s="1"/>
  <c r="N78" i="11"/>
  <c r="AV463" i="17"/>
  <c r="AT157" i="11" s="1"/>
  <c r="AT78" i="11"/>
  <c r="D412" i="17"/>
  <c r="D410" i="17" s="1"/>
  <c r="H413" i="17"/>
  <c r="F148" i="11" s="1"/>
  <c r="AB413" i="17"/>
  <c r="Z148" i="11" s="1"/>
  <c r="Z69" i="11"/>
  <c r="AC413" i="17"/>
  <c r="AA148" i="11" s="1"/>
  <c r="AA69" i="11"/>
  <c r="AQ69" i="11"/>
  <c r="AS413" i="17"/>
  <c r="AQ148" i="11" s="1"/>
  <c r="AH393" i="17"/>
  <c r="AF144" i="11" s="1"/>
  <c r="AF65" i="11"/>
  <c r="AM393" i="17"/>
  <c r="AK144" i="11" s="1"/>
  <c r="AK65" i="11"/>
  <c r="L393" i="17"/>
  <c r="J144" i="11" s="1"/>
  <c r="J65" i="11"/>
  <c r="AB393" i="17"/>
  <c r="Z144" i="11" s="1"/>
  <c r="Z65" i="11"/>
  <c r="AP65" i="11"/>
  <c r="AR393" i="17"/>
  <c r="AP144" i="11" s="1"/>
  <c r="M393" i="17"/>
  <c r="K144" i="11" s="1"/>
  <c r="K65" i="11"/>
  <c r="AC393" i="17"/>
  <c r="AA144" i="11" s="1"/>
  <c r="AA65" i="11"/>
  <c r="P61" i="11"/>
  <c r="R373" i="17"/>
  <c r="P140" i="11" s="1"/>
  <c r="AH373" i="17"/>
  <c r="AF140" i="11" s="1"/>
  <c r="AF61" i="11"/>
  <c r="G373" i="17"/>
  <c r="E140" i="11" s="1"/>
  <c r="E61" i="11"/>
  <c r="AK61" i="11"/>
  <c r="AM373" i="17"/>
  <c r="AK140" i="11" s="1"/>
  <c r="L373" i="17"/>
  <c r="J140" i="11" s="1"/>
  <c r="J61" i="11"/>
  <c r="M373" i="17"/>
  <c r="K140" i="11" s="1"/>
  <c r="K61" i="11"/>
  <c r="AC373" i="17"/>
  <c r="AA140" i="11" s="1"/>
  <c r="AA61" i="11"/>
  <c r="AS373" i="17"/>
  <c r="AQ140" i="11" s="1"/>
  <c r="AQ61" i="11"/>
  <c r="S343" i="17"/>
  <c r="Q135" i="11" s="1"/>
  <c r="Q56" i="11"/>
  <c r="AG56" i="11"/>
  <c r="AI343" i="17"/>
  <c r="AG135" i="11" s="1"/>
  <c r="H343" i="17"/>
  <c r="F135" i="11" s="1"/>
  <c r="F56" i="11"/>
  <c r="Z56" i="11"/>
  <c r="AB343" i="17"/>
  <c r="Z135" i="11" s="1"/>
  <c r="AT56" i="11"/>
  <c r="AV343" i="17"/>
  <c r="AT135" i="11" s="1"/>
  <c r="AQ56" i="11"/>
  <c r="AS343" i="17"/>
  <c r="AQ135" i="11" s="1"/>
  <c r="P56" i="11"/>
  <c r="R343" i="17"/>
  <c r="P135" i="11" s="1"/>
  <c r="J48" i="11"/>
  <c r="L303" i="17"/>
  <c r="J127" i="11" s="1"/>
  <c r="AR303" i="17"/>
  <c r="AP127" i="11" s="1"/>
  <c r="AP48" i="11"/>
  <c r="Y133" i="17"/>
  <c r="W17" i="11"/>
  <c r="AK273" i="17"/>
  <c r="AI122" i="11" s="1"/>
  <c r="AI43" i="11"/>
  <c r="H43" i="11"/>
  <c r="J273" i="17"/>
  <c r="H122" i="11" s="1"/>
  <c r="AP273" i="17"/>
  <c r="AN122" i="11" s="1"/>
  <c r="AN43" i="11"/>
  <c r="AG43" i="11"/>
  <c r="AI273" i="17"/>
  <c r="AG122" i="11" s="1"/>
  <c r="V17" i="11"/>
  <c r="X133" i="17"/>
  <c r="AL82" i="11"/>
  <c r="AN483" i="17"/>
  <c r="AL161" i="11" s="1"/>
  <c r="AP43" i="11"/>
  <c r="AS39" i="11"/>
  <c r="AU253" i="17"/>
  <c r="AS118" i="11" s="1"/>
  <c r="J35" i="11"/>
  <c r="L233" i="17"/>
  <c r="J114" i="11" s="1"/>
  <c r="S203" i="17"/>
  <c r="Q30" i="11"/>
  <c r="S62" i="17"/>
  <c r="N30" i="11"/>
  <c r="P203" i="17"/>
  <c r="N109" i="11" s="1"/>
  <c r="AN203" i="17"/>
  <c r="AL109" i="11" s="1"/>
  <c r="AL30" i="11"/>
  <c r="AE30" i="11"/>
  <c r="AG203" i="17"/>
  <c r="N203" i="17"/>
  <c r="L109" i="11" s="1"/>
  <c r="L30" i="11"/>
  <c r="I26" i="11"/>
  <c r="K183" i="17"/>
  <c r="I105" i="11" s="1"/>
  <c r="AI183" i="17"/>
  <c r="AG105" i="11" s="1"/>
  <c r="AG26" i="11"/>
  <c r="AF183" i="17"/>
  <c r="AD105" i="11" s="1"/>
  <c r="AD26" i="11"/>
  <c r="G26" i="11"/>
  <c r="I183" i="17"/>
  <c r="G105" i="11" s="1"/>
  <c r="AC183" i="17"/>
  <c r="AA105" i="11" s="1"/>
  <c r="AA26" i="11"/>
  <c r="D26" i="11"/>
  <c r="F183" i="17"/>
  <c r="D105" i="11" s="1"/>
  <c r="AB26" i="11"/>
  <c r="AD183" i="17"/>
  <c r="AB105" i="11" s="1"/>
  <c r="AV163" i="17"/>
  <c r="AT101" i="11" s="1"/>
  <c r="AT22" i="11"/>
  <c r="Z22" i="11"/>
  <c r="AB163" i="17"/>
  <c r="H163" i="17"/>
  <c r="H164" i="17" s="1"/>
  <c r="F22" i="11"/>
  <c r="AI12" i="11"/>
  <c r="AK108" i="17"/>
  <c r="AI91" i="11" s="1"/>
  <c r="O12" i="11"/>
  <c r="Q108" i="17"/>
  <c r="O91" i="11" s="1"/>
  <c r="Z11" i="11"/>
  <c r="AB103" i="17"/>
  <c r="Z90" i="11" s="1"/>
  <c r="L103" i="17"/>
  <c r="J90" i="11" s="1"/>
  <c r="J11" i="11"/>
  <c r="G488" i="17"/>
  <c r="E162" i="11" s="1"/>
  <c r="E83" i="11"/>
  <c r="X488" i="17"/>
  <c r="V162" i="11" s="1"/>
  <c r="V83" i="11"/>
  <c r="N79" i="11"/>
  <c r="P468" i="17"/>
  <c r="N158" i="11" s="1"/>
  <c r="R448" i="17"/>
  <c r="P154" i="11" s="1"/>
  <c r="P75" i="11"/>
  <c r="AO75" i="11"/>
  <c r="AQ448" i="17"/>
  <c r="AO154" i="11" s="1"/>
  <c r="AG66" i="11"/>
  <c r="AI398" i="17"/>
  <c r="AG145" i="11" s="1"/>
  <c r="AJ378" i="17"/>
  <c r="AH141" i="11" s="1"/>
  <c r="AH62" i="11"/>
  <c r="Z58" i="11"/>
  <c r="AB353" i="17"/>
  <c r="AB293" i="17" s="1"/>
  <c r="L223" i="20"/>
  <c r="L224" i="20" s="1"/>
  <c r="E223" i="20"/>
  <c r="E224" i="20" s="1"/>
  <c r="AG49" i="11"/>
  <c r="K73" i="11"/>
  <c r="S40" i="11"/>
  <c r="L87" i="17"/>
  <c r="L88" i="17" s="1"/>
  <c r="Z87" i="17"/>
  <c r="Z88" i="17" s="1"/>
  <c r="AO303" i="17"/>
  <c r="AM127" i="11" s="1"/>
  <c r="AJ39" i="11"/>
  <c r="AF258" i="17"/>
  <c r="AG259" i="17" s="1"/>
  <c r="AT73" i="11"/>
  <c r="AP54" i="11"/>
  <c r="AR333" i="17"/>
  <c r="AP133" i="11" s="1"/>
  <c r="AO52" i="11"/>
  <c r="AQ323" i="17"/>
  <c r="AO131" i="11" s="1"/>
  <c r="J52" i="11"/>
  <c r="L323" i="17"/>
  <c r="J131" i="11" s="1"/>
  <c r="N51" i="11"/>
  <c r="P318" i="17"/>
  <c r="N130" i="11" s="1"/>
  <c r="L41" i="11"/>
  <c r="N263" i="17"/>
  <c r="L120" i="11" s="1"/>
  <c r="AI253" i="17"/>
  <c r="AG118" i="11" s="1"/>
  <c r="AG39" i="11"/>
  <c r="K22" i="29"/>
  <c r="K23" i="29"/>
  <c r="G41" i="11"/>
  <c r="I263" i="17"/>
  <c r="G120" i="11" s="1"/>
  <c r="T41" i="11"/>
  <c r="V263" i="17"/>
  <c r="T120" i="11" s="1"/>
  <c r="H84" i="8"/>
  <c r="AK34" i="11"/>
  <c r="H338" i="17"/>
  <c r="V28" i="11"/>
  <c r="AG54" i="11"/>
  <c r="L383" i="17"/>
  <c r="J142" i="11" s="1"/>
  <c r="K67" i="11"/>
  <c r="P71" i="11"/>
  <c r="AG58" i="11"/>
  <c r="AI163" i="17"/>
  <c r="AG101" i="11" s="1"/>
  <c r="AA60" i="11"/>
  <c r="AD248" i="17"/>
  <c r="AB117" i="11" s="1"/>
  <c r="AQ121" i="11"/>
  <c r="Y173" i="17"/>
  <c r="W103" i="11" s="1"/>
  <c r="U61" i="11"/>
  <c r="AO15" i="11"/>
  <c r="AQ123" i="17"/>
  <c r="AO94" i="11" s="1"/>
  <c r="I15" i="11"/>
  <c r="K123" i="17"/>
  <c r="I94" i="11" s="1"/>
  <c r="P14" i="11"/>
  <c r="AR108" i="17"/>
  <c r="AP91" i="11" s="1"/>
  <c r="AP12" i="11"/>
  <c r="AG11" i="11"/>
  <c r="AI103" i="17"/>
  <c r="S103" i="17"/>
  <c r="Q11" i="11"/>
  <c r="AB84" i="11"/>
  <c r="AD493" i="17"/>
  <c r="AB163" i="11" s="1"/>
  <c r="U84" i="11"/>
  <c r="W493" i="17"/>
  <c r="U163" i="11" s="1"/>
  <c r="N84" i="11"/>
  <c r="P493" i="17"/>
  <c r="N163" i="11" s="1"/>
  <c r="AK73" i="11"/>
  <c r="AM438" i="17"/>
  <c r="AK152" i="11" s="1"/>
  <c r="R32" i="11"/>
  <c r="U87" i="17"/>
  <c r="AD32" i="11"/>
  <c r="X32" i="11"/>
  <c r="AU258" i="17"/>
  <c r="C48" i="11"/>
  <c r="Q32" i="11"/>
  <c r="AK39" i="11"/>
  <c r="L96" i="9"/>
  <c r="R96" i="9" s="1"/>
  <c r="O39" i="11"/>
  <c r="Y73" i="11"/>
  <c r="I73" i="11"/>
  <c r="K438" i="17"/>
  <c r="I152" i="11" s="1"/>
  <c r="AD73" i="11"/>
  <c r="AF438" i="17"/>
  <c r="AD152" i="11" s="1"/>
  <c r="P54" i="11"/>
  <c r="R333" i="17"/>
  <c r="P133" i="11" s="1"/>
  <c r="C53" i="11"/>
  <c r="E328" i="17"/>
  <c r="C132" i="11" s="1"/>
  <c r="Z328" i="17"/>
  <c r="X53" i="11"/>
  <c r="AQ52" i="11"/>
  <c r="AS323" i="17"/>
  <c r="AQ131" i="11" s="1"/>
  <c r="Z318" i="17"/>
  <c r="X130" i="11" s="1"/>
  <c r="X51" i="11"/>
  <c r="K318" i="17"/>
  <c r="I130" i="11" s="1"/>
  <c r="I51" i="11"/>
  <c r="L62" i="17"/>
  <c r="W408" i="17"/>
  <c r="AJ32" i="17"/>
  <c r="Q69" i="11"/>
  <c r="AO74" i="11"/>
  <c r="T74" i="11"/>
  <c r="AT74" i="11"/>
  <c r="Y78" i="11"/>
  <c r="D78" i="11"/>
  <c r="T82" i="11"/>
  <c r="U163" i="17"/>
  <c r="AM55" i="11"/>
  <c r="AI338" i="17"/>
  <c r="AG134" i="11" s="1"/>
  <c r="AF133" i="17"/>
  <c r="AG23" i="11"/>
  <c r="AI193" i="17"/>
  <c r="AO173" i="17"/>
  <c r="AM103" i="11" s="1"/>
  <c r="AD37" i="11"/>
  <c r="X313" i="17"/>
  <c r="V129" i="11" s="1"/>
  <c r="V54" i="11"/>
  <c r="AM403" i="17"/>
  <c r="AK146" i="11" s="1"/>
  <c r="AS423" i="17"/>
  <c r="AQ150" i="11" s="1"/>
  <c r="L483" i="17"/>
  <c r="J161" i="11" s="1"/>
  <c r="AT168" i="17"/>
  <c r="AR102" i="11" s="1"/>
  <c r="M368" i="17"/>
  <c r="K139" i="11" s="1"/>
  <c r="AP11" i="11"/>
  <c r="S43" i="11"/>
  <c r="AF56" i="11"/>
  <c r="W393" i="17"/>
  <c r="U144" i="11" s="1"/>
  <c r="H23" i="43"/>
  <c r="E493" i="17"/>
  <c r="E432" i="17"/>
  <c r="E430" i="17" s="1"/>
  <c r="AI76" i="11"/>
  <c r="AH243" i="17"/>
  <c r="AF116" i="11" s="1"/>
  <c r="O333" i="17"/>
  <c r="M133" i="11" s="1"/>
  <c r="I76" i="11"/>
  <c r="AL458" i="17"/>
  <c r="AJ156" i="11" s="1"/>
  <c r="F213" i="17"/>
  <c r="D111" i="11" s="1"/>
  <c r="Z28" i="11"/>
  <c r="D76" i="11"/>
  <c r="F453" i="17"/>
  <c r="D155" i="11" s="1"/>
  <c r="AS54" i="11"/>
  <c r="AU333" i="17"/>
  <c r="AS133" i="11" s="1"/>
  <c r="P50" i="11"/>
  <c r="R313" i="17"/>
  <c r="P129" i="11" s="1"/>
  <c r="Z50" i="11"/>
  <c r="AB313" i="17"/>
  <c r="Z129" i="11" s="1"/>
  <c r="AO68" i="11"/>
  <c r="AQ408" i="17"/>
  <c r="AH338" i="17"/>
  <c r="AF134" i="11" s="1"/>
  <c r="AF55" i="11"/>
  <c r="AP55" i="11"/>
  <c r="AR338" i="17"/>
  <c r="AP134" i="11" s="1"/>
  <c r="J51" i="11"/>
  <c r="L318" i="17"/>
  <c r="J130" i="11" s="1"/>
  <c r="AO76" i="11"/>
  <c r="AG158" i="17"/>
  <c r="AE100" i="11" s="1"/>
  <c r="AC313" i="17"/>
  <c r="AA129" i="11" s="1"/>
  <c r="AV423" i="17"/>
  <c r="AT150" i="11" s="1"/>
  <c r="D126" i="7"/>
  <c r="H116" i="7"/>
  <c r="N53" i="10"/>
  <c r="K66" i="9" s="1"/>
  <c r="CA35" i="10"/>
  <c r="AO32" i="11"/>
  <c r="AD50" i="11"/>
  <c r="I50" i="11"/>
  <c r="AE50" i="11"/>
  <c r="AS453" i="17"/>
  <c r="AQ155" i="11" s="1"/>
  <c r="AC473" i="17"/>
  <c r="AA159" i="11" s="1"/>
  <c r="AA28" i="11"/>
  <c r="AQ423" i="17"/>
  <c r="AO150" i="11" s="1"/>
  <c r="D14" i="6"/>
  <c r="H14" i="6"/>
  <c r="N14" i="6"/>
  <c r="F17" i="6"/>
  <c r="H53" i="10"/>
  <c r="K60" i="9" s="1"/>
  <c r="BU35" i="10"/>
  <c r="B100" i="17"/>
  <c r="O104" i="17" s="1"/>
  <c r="C21" i="15"/>
  <c r="AV107" i="17"/>
  <c r="I107" i="17"/>
  <c r="Y107" i="17"/>
  <c r="AO107" i="17"/>
  <c r="AU162" i="17"/>
  <c r="T162" i="17"/>
  <c r="AJ162" i="17"/>
  <c r="D162" i="17" s="1"/>
  <c r="D160" i="17" s="1"/>
  <c r="AL172" i="17"/>
  <c r="F172" i="17"/>
  <c r="D24" i="11" s="1"/>
  <c r="V172" i="17"/>
  <c r="AT172" i="17"/>
  <c r="AP182" i="17"/>
  <c r="Z182" i="17"/>
  <c r="J182" i="17"/>
  <c r="AK182" i="17"/>
  <c r="U182" i="17"/>
  <c r="E182" i="17"/>
  <c r="AJ182" i="17"/>
  <c r="T182" i="17"/>
  <c r="AU182" i="17"/>
  <c r="AE182" i="17"/>
  <c r="O182" i="17"/>
  <c r="AP202" i="17"/>
  <c r="Z202" i="17"/>
  <c r="J202" i="17"/>
  <c r="AK202" i="17"/>
  <c r="U202" i="17"/>
  <c r="U62" i="17" s="1"/>
  <c r="E202" i="17"/>
  <c r="AJ202" i="17"/>
  <c r="T202" i="17"/>
  <c r="AU202" i="17"/>
  <c r="AU62" i="17" s="1"/>
  <c r="AE202" i="17"/>
  <c r="O202" i="17"/>
  <c r="K212" i="17"/>
  <c r="AG212" i="17"/>
  <c r="AB232" i="17"/>
  <c r="G232" i="17"/>
  <c r="AC232" i="17"/>
  <c r="AV272" i="17"/>
  <c r="AV62" i="17" s="1"/>
  <c r="AF272" i="17"/>
  <c r="P272" i="17"/>
  <c r="P62" i="17" s="1"/>
  <c r="AQ272" i="17"/>
  <c r="AA272" i="17"/>
  <c r="W327" i="17"/>
  <c r="P327" i="17"/>
  <c r="AN342" i="17"/>
  <c r="AN343" i="17" s="1"/>
  <c r="AL135" i="11" s="1"/>
  <c r="X342" i="17"/>
  <c r="D342" i="17" s="1"/>
  <c r="D340" i="17" s="1"/>
  <c r="U347" i="17"/>
  <c r="AL347" i="17"/>
  <c r="AJ347" i="17"/>
  <c r="AT377" i="17"/>
  <c r="Y377" i="17"/>
  <c r="H377" i="17"/>
  <c r="AO397" i="17"/>
  <c r="X397" i="17"/>
  <c r="X398" i="17" s="1"/>
  <c r="V145" i="11" s="1"/>
  <c r="Y417" i="17"/>
  <c r="AU417" i="17"/>
  <c r="AB447" i="17"/>
  <c r="G447" i="17"/>
  <c r="AC447" i="17"/>
  <c r="L467" i="17"/>
  <c r="AH467" i="17"/>
  <c r="M467" i="17"/>
  <c r="AQ487" i="17"/>
  <c r="AQ488" i="17" s="1"/>
  <c r="AK487" i="17"/>
  <c r="E10" i="27"/>
  <c r="H50" i="8"/>
  <c r="M16" i="6"/>
  <c r="F21" i="23"/>
  <c r="AD22" i="14"/>
  <c r="D53" i="8"/>
  <c r="C14" i="8"/>
  <c r="D88" i="8"/>
  <c r="D92" i="8"/>
  <c r="C10" i="8"/>
  <c r="T87" i="17"/>
  <c r="AB87" i="17"/>
  <c r="W87" i="17"/>
  <c r="AL87" i="17"/>
  <c r="AU87" i="17"/>
  <c r="AU88" i="17" s="1"/>
  <c r="AA87" i="17"/>
  <c r="Y8" i="11" s="1"/>
  <c r="AT87" i="17"/>
  <c r="AO87" i="17"/>
  <c r="AM8" i="11" s="1"/>
  <c r="Q90" i="11"/>
  <c r="K87" i="17"/>
  <c r="K88" i="17" s="1"/>
  <c r="I87" i="11" s="1"/>
  <c r="AQ87" i="17"/>
  <c r="AQ88" i="17" s="1"/>
  <c r="AO87" i="11" s="1"/>
  <c r="J87" i="17"/>
  <c r="H8" i="11" s="1"/>
  <c r="AK258" i="17"/>
  <c r="Q87" i="17"/>
  <c r="AC87" i="17"/>
  <c r="AE87" i="17"/>
  <c r="AC8" i="11" s="1"/>
  <c r="AS308" i="17"/>
  <c r="AQ128" i="11" s="1"/>
  <c r="AQ49" i="11"/>
  <c r="AP258" i="17"/>
  <c r="AN40" i="11"/>
  <c r="AT32" i="11"/>
  <c r="AV213" i="17"/>
  <c r="AG438" i="17"/>
  <c r="AE152" i="11" s="1"/>
  <c r="AE73" i="11"/>
  <c r="M323" i="17"/>
  <c r="K131" i="11" s="1"/>
  <c r="D322" i="17"/>
  <c r="D320" i="17" s="1"/>
  <c r="M51" i="11"/>
  <c r="O318" i="17"/>
  <c r="M130" i="11" s="1"/>
  <c r="AS263" i="17"/>
  <c r="AQ120" i="11" s="1"/>
  <c r="AQ41" i="11"/>
  <c r="U40" i="11"/>
  <c r="W258" i="17"/>
  <c r="U119" i="11" s="1"/>
  <c r="AD87" i="17"/>
  <c r="AB8" i="11" s="1"/>
  <c r="X48" i="11"/>
  <c r="F132" i="11"/>
  <c r="AG87" i="17"/>
  <c r="P87" i="17"/>
  <c r="G87" i="17"/>
  <c r="E8" i="11" s="1"/>
  <c r="AQ353" i="17"/>
  <c r="AO137" i="11" s="1"/>
  <c r="L45" i="13"/>
  <c r="L45" i="43"/>
  <c r="W353" i="17"/>
  <c r="U137" i="11" s="1"/>
  <c r="U58" i="11"/>
  <c r="AN87" i="17"/>
  <c r="E87" i="17"/>
  <c r="C8" i="11" s="1"/>
  <c r="AP87" i="17"/>
  <c r="C54" i="15"/>
  <c r="C67" i="15" s="1"/>
  <c r="B275" i="17"/>
  <c r="AI87" i="17"/>
  <c r="AI88" i="17" s="1"/>
  <c r="R87" i="17"/>
  <c r="M87" i="17"/>
  <c r="K8" i="11" s="1"/>
  <c r="AH87" i="17"/>
  <c r="Y87" i="17"/>
  <c r="Y88" i="17" s="1"/>
  <c r="AV87" i="17"/>
  <c r="AT8" i="11" s="1"/>
  <c r="Q318" i="17"/>
  <c r="O130" i="11" s="1"/>
  <c r="AB438" i="17"/>
  <c r="Z152" i="11" s="1"/>
  <c r="E16" i="14"/>
  <c r="D2" i="40"/>
  <c r="D18" i="40" s="1"/>
  <c r="C20" i="1"/>
  <c r="O268" i="17"/>
  <c r="M121" i="11" s="1"/>
  <c r="E12" i="11"/>
  <c r="G108" i="17"/>
  <c r="E91" i="11" s="1"/>
  <c r="I98" i="17"/>
  <c r="G89" i="11" s="1"/>
  <c r="AK51" i="11"/>
  <c r="AM318" i="17"/>
  <c r="AK130" i="11" s="1"/>
  <c r="M318" i="17"/>
  <c r="K130" i="11" s="1"/>
  <c r="K51" i="11"/>
  <c r="E268" i="17"/>
  <c r="C42" i="11"/>
  <c r="Z268" i="17"/>
  <c r="X121" i="11" s="1"/>
  <c r="X42" i="11"/>
  <c r="AU268" i="17"/>
  <c r="AS42" i="11"/>
  <c r="AJ248" i="17"/>
  <c r="AH117" i="11" s="1"/>
  <c r="AH38" i="11"/>
  <c r="S38" i="11"/>
  <c r="U248" i="17"/>
  <c r="S117" i="11" s="1"/>
  <c r="N228" i="17"/>
  <c r="L113" i="11" s="1"/>
  <c r="L34" i="11"/>
  <c r="K198" i="17"/>
  <c r="I29" i="11"/>
  <c r="AK488" i="17"/>
  <c r="AH468" i="17"/>
  <c r="AF158" i="11" s="1"/>
  <c r="AF79" i="11"/>
  <c r="AB448" i="17"/>
  <c r="Z154" i="11" s="1"/>
  <c r="Z75" i="11"/>
  <c r="AJ348" i="17"/>
  <c r="AJ292" i="17"/>
  <c r="AJ290" i="17" s="1"/>
  <c r="AH57" i="11"/>
  <c r="T278" i="17"/>
  <c r="R123" i="11" s="1"/>
  <c r="R44" i="11"/>
  <c r="AC188" i="17"/>
  <c r="AA106" i="11" s="1"/>
  <c r="AA27" i="11"/>
  <c r="T268" i="17"/>
  <c r="G49" i="11"/>
  <c r="X40" i="11"/>
  <c r="AP303" i="17"/>
  <c r="AN127" i="11" s="1"/>
  <c r="AC308" i="17"/>
  <c r="AA128" i="11" s="1"/>
  <c r="R97" i="7"/>
  <c r="R110" i="7" s="1"/>
  <c r="AJ51" i="11"/>
  <c r="AL323" i="17"/>
  <c r="AJ131" i="11" s="1"/>
  <c r="AR438" i="17"/>
  <c r="AP152" i="11" s="1"/>
  <c r="AT54" i="11"/>
  <c r="R318" i="17"/>
  <c r="P130" i="11" s="1"/>
  <c r="AK268" i="17"/>
  <c r="AI121" i="11" s="1"/>
  <c r="E119" i="17"/>
  <c r="L116" i="21"/>
  <c r="H126" i="21"/>
  <c r="K132" i="21" s="1"/>
  <c r="AI17" i="11"/>
  <c r="G493" i="17"/>
  <c r="E84" i="11"/>
  <c r="G432" i="17"/>
  <c r="G430" i="17" s="1"/>
  <c r="AM493" i="17"/>
  <c r="AK84" i="11"/>
  <c r="F80" i="11"/>
  <c r="H473" i="17"/>
  <c r="AA453" i="17"/>
  <c r="Y76" i="11"/>
  <c r="AF50" i="11"/>
  <c r="AH313" i="17"/>
  <c r="L313" i="17"/>
  <c r="J129" i="11" s="1"/>
  <c r="J50" i="11"/>
  <c r="AU243" i="17"/>
  <c r="AS37" i="11"/>
  <c r="Y243" i="17"/>
  <c r="W116" i="11" s="1"/>
  <c r="W37" i="11"/>
  <c r="P37" i="11"/>
  <c r="R243" i="17"/>
  <c r="P116" i="11" s="1"/>
  <c r="AJ32" i="11"/>
  <c r="AL213" i="17"/>
  <c r="AJ111" i="11" s="1"/>
  <c r="AT63" i="11"/>
  <c r="AV383" i="17"/>
  <c r="AT142" i="11" s="1"/>
  <c r="AN478" i="17"/>
  <c r="AL160" i="11" s="1"/>
  <c r="AL81" i="11"/>
  <c r="K458" i="17"/>
  <c r="I156" i="11" s="1"/>
  <c r="I77" i="11"/>
  <c r="AR73" i="11"/>
  <c r="AT438" i="17"/>
  <c r="AR152" i="11" s="1"/>
  <c r="F388" i="17"/>
  <c r="D143" i="11" s="1"/>
  <c r="D64" i="11"/>
  <c r="AV388" i="17"/>
  <c r="AT143" i="11" s="1"/>
  <c r="AT64" i="11"/>
  <c r="AK55" i="11"/>
  <c r="AM338" i="17"/>
  <c r="AK134" i="11" s="1"/>
  <c r="AA178" i="17"/>
  <c r="Y104" i="11" s="1"/>
  <c r="Y25" i="11"/>
  <c r="N173" i="17"/>
  <c r="L24" i="11"/>
  <c r="B85" i="17"/>
  <c r="AW85" i="17" s="1"/>
  <c r="AW86" i="17" s="1"/>
  <c r="AW87" i="17" s="1"/>
  <c r="AW88" i="17" s="1"/>
  <c r="AW89" i="17" s="1"/>
  <c r="C18" i="15"/>
  <c r="AH20" i="15"/>
  <c r="AG20" i="15"/>
  <c r="AH33" i="15"/>
  <c r="AG33" i="15" s="1"/>
  <c r="AH50" i="15"/>
  <c r="AG50" i="15" s="1"/>
  <c r="AH63" i="15"/>
  <c r="AG63" i="15" s="1"/>
  <c r="I313" i="20" s="1"/>
  <c r="I314" i="20" s="1"/>
  <c r="G9" i="13"/>
  <c r="G9" i="43"/>
  <c r="H84" i="11"/>
  <c r="Z16" i="11"/>
  <c r="N76" i="11"/>
  <c r="AK62" i="17"/>
  <c r="AM432" i="17"/>
  <c r="AM430" i="17" s="1"/>
  <c r="D77" i="11"/>
  <c r="AA123" i="17"/>
  <c r="S77" i="11"/>
  <c r="U458" i="17"/>
  <c r="S156" i="11" s="1"/>
  <c r="H77" i="11"/>
  <c r="J458" i="17"/>
  <c r="H156" i="11" s="1"/>
  <c r="E408" i="17"/>
  <c r="C68" i="11"/>
  <c r="AJ408" i="17"/>
  <c r="AH147" i="11" s="1"/>
  <c r="AH68" i="11"/>
  <c r="F55" i="13"/>
  <c r="G50" i="13"/>
  <c r="G54" i="14"/>
  <c r="G48" i="14"/>
  <c r="G56" i="14"/>
  <c r="G50" i="14"/>
  <c r="G52" i="14"/>
  <c r="AT97" i="17"/>
  <c r="K97" i="17"/>
  <c r="AQ97" i="17"/>
  <c r="X97" i="17"/>
  <c r="O97" i="17"/>
  <c r="AU97" i="17"/>
  <c r="AB97" i="17"/>
  <c r="S97" i="17"/>
  <c r="AF97" i="17"/>
  <c r="AF98" i="17" s="1"/>
  <c r="AD89" i="11" s="1"/>
  <c r="W97" i="17"/>
  <c r="AJ97" i="17"/>
  <c r="AA97" i="17"/>
  <c r="H97" i="17"/>
  <c r="AN97" i="17"/>
  <c r="AE97" i="17"/>
  <c r="L97" i="17"/>
  <c r="AR97" i="17"/>
  <c r="T97" i="17"/>
  <c r="Q97" i="17"/>
  <c r="Q98" i="17" s="1"/>
  <c r="O89" i="11" s="1"/>
  <c r="AH97" i="17"/>
  <c r="AV97" i="17"/>
  <c r="U97" i="17"/>
  <c r="F97" i="17"/>
  <c r="AL97" i="17"/>
  <c r="AL98" i="17" s="1"/>
  <c r="AJ89" i="11" s="1"/>
  <c r="G97" i="17"/>
  <c r="Y97" i="17"/>
  <c r="J97" i="17"/>
  <c r="AP97" i="17"/>
  <c r="AM97" i="17"/>
  <c r="AG97" i="17"/>
  <c r="AG98" i="17" s="1"/>
  <c r="AE89" i="11" s="1"/>
  <c r="R97" i="17"/>
  <c r="E97" i="17"/>
  <c r="C10" i="11" s="1"/>
  <c r="AK97" i="17"/>
  <c r="AI10" i="11" s="1"/>
  <c r="V97" i="17"/>
  <c r="T10" i="11" s="1"/>
  <c r="O41" i="11"/>
  <c r="I68" i="11"/>
  <c r="G141" i="19"/>
  <c r="AG71" i="11"/>
  <c r="AI423" i="17"/>
  <c r="AG150" i="11" s="1"/>
  <c r="AU383" i="17"/>
  <c r="AS142" i="11" s="1"/>
  <c r="AS63" i="11"/>
  <c r="AD243" i="17"/>
  <c r="AB116" i="11" s="1"/>
  <c r="AB37" i="11"/>
  <c r="AQ32" i="11"/>
  <c r="AS152" i="17"/>
  <c r="AS150" i="17" s="1"/>
  <c r="AA213" i="17"/>
  <c r="Y32" i="11"/>
  <c r="AR368" i="17"/>
  <c r="AP139" i="11" s="1"/>
  <c r="AP60" i="11"/>
  <c r="Q308" i="17"/>
  <c r="O128" i="11" s="1"/>
  <c r="O49" i="11"/>
  <c r="T68" i="11"/>
  <c r="AD77" i="11"/>
  <c r="Z383" i="17"/>
  <c r="X142" i="11" s="1"/>
  <c r="T248" i="17"/>
  <c r="R117" i="11" s="1"/>
  <c r="AS213" i="17"/>
  <c r="AO473" i="17"/>
  <c r="AM159" i="11" s="1"/>
  <c r="S478" i="17"/>
  <c r="Q160" i="11" s="1"/>
  <c r="Q81" i="11"/>
  <c r="N478" i="17"/>
  <c r="L160" i="11" s="1"/>
  <c r="L81" i="11"/>
  <c r="P458" i="17"/>
  <c r="N156" i="11" s="1"/>
  <c r="N77" i="11"/>
  <c r="AV458" i="17"/>
  <c r="AT156" i="11" s="1"/>
  <c r="AT77" i="11"/>
  <c r="AG458" i="17"/>
  <c r="AE77" i="11"/>
  <c r="V458" i="17"/>
  <c r="T156" i="11" s="1"/>
  <c r="T77" i="11"/>
  <c r="Q408" i="17"/>
  <c r="O68" i="11"/>
  <c r="F408" i="17"/>
  <c r="D147" i="11" s="1"/>
  <c r="D68" i="11"/>
  <c r="AL408" i="17"/>
  <c r="AJ147" i="11" s="1"/>
  <c r="AJ68" i="11"/>
  <c r="AA408" i="17"/>
  <c r="Y147" i="11" s="1"/>
  <c r="Y68" i="11"/>
  <c r="P408" i="17"/>
  <c r="N68" i="11"/>
  <c r="AV408" i="17"/>
  <c r="AT68" i="11"/>
  <c r="E23" i="43"/>
  <c r="AH84" i="11"/>
  <c r="AL453" i="17"/>
  <c r="AJ155" i="11" s="1"/>
  <c r="K473" i="17"/>
  <c r="I159" i="11" s="1"/>
  <c r="AO77" i="11"/>
  <c r="D50" i="11"/>
  <c r="AH23" i="11"/>
  <c r="C37" i="11"/>
  <c r="R133" i="17"/>
  <c r="P17" i="11"/>
  <c r="AB54" i="11"/>
  <c r="G54" i="11"/>
  <c r="H80" i="11"/>
  <c r="J12" i="11"/>
  <c r="AE68" i="11"/>
  <c r="AH118" i="17"/>
  <c r="AH119" i="17" s="1"/>
  <c r="X38" i="11"/>
  <c r="Z248" i="17"/>
  <c r="X117" i="11" s="1"/>
  <c r="AI228" i="17"/>
  <c r="AG113" i="11" s="1"/>
  <c r="AG34" i="11"/>
  <c r="AG353" i="17"/>
  <c r="AE137" i="11" s="1"/>
  <c r="G178" i="17"/>
  <c r="E104" i="11" s="1"/>
  <c r="E25" i="11"/>
  <c r="I173" i="17"/>
  <c r="G103" i="11" s="1"/>
  <c r="I32" i="17"/>
  <c r="G24" i="11"/>
  <c r="L453" i="17"/>
  <c r="J155" i="11" s="1"/>
  <c r="J76" i="11"/>
  <c r="S423" i="17"/>
  <c r="Q71" i="11"/>
  <c r="Q383" i="17"/>
  <c r="O142" i="11" s="1"/>
  <c r="O63" i="11"/>
  <c r="J383" i="17"/>
  <c r="H142" i="11" s="1"/>
  <c r="H63" i="11"/>
  <c r="AP383" i="17"/>
  <c r="AN142" i="11" s="1"/>
  <c r="AN63" i="11"/>
  <c r="C54" i="11"/>
  <c r="E333" i="17"/>
  <c r="C133" i="11" s="1"/>
  <c r="AH213" i="17"/>
  <c r="AF32" i="11"/>
  <c r="AH152" i="17"/>
  <c r="AH150" i="17" s="1"/>
  <c r="Z193" i="17"/>
  <c r="X107" i="11" s="1"/>
  <c r="X28" i="11"/>
  <c r="AV453" i="17"/>
  <c r="AT155" i="11" s="1"/>
  <c r="AT76" i="11"/>
  <c r="R368" i="17"/>
  <c r="P139" i="11" s="1"/>
  <c r="P60" i="11"/>
  <c r="AM368" i="17"/>
  <c r="AK139" i="11" s="1"/>
  <c r="AK60" i="11"/>
  <c r="I51" i="10"/>
  <c r="J61" i="9" s="1"/>
  <c r="BI35" i="10"/>
  <c r="AT52" i="17"/>
  <c r="E53" i="7"/>
  <c r="E54" i="7" s="1"/>
  <c r="E56" i="7"/>
  <c r="AX35" i="10"/>
  <c r="K49" i="10"/>
  <c r="I63" i="9" s="1"/>
  <c r="F18" i="40"/>
  <c r="I35" i="7"/>
  <c r="I36" i="7" s="1"/>
  <c r="I38" i="7"/>
  <c r="F14" i="6"/>
  <c r="K41" i="14"/>
  <c r="K33" i="14"/>
  <c r="Y19" i="11"/>
  <c r="I22" i="11"/>
  <c r="F12" i="11"/>
  <c r="O5" i="29"/>
  <c r="AO4" i="29"/>
  <c r="U127" i="17"/>
  <c r="Y127" i="17"/>
  <c r="Y128" i="17" s="1"/>
  <c r="AO127" i="17"/>
  <c r="AS127" i="17"/>
  <c r="J127" i="17"/>
  <c r="N127" i="17"/>
  <c r="AD127" i="17"/>
  <c r="AD57" i="17" s="1"/>
  <c r="AT157" i="17"/>
  <c r="W157" i="17"/>
  <c r="L157" i="17"/>
  <c r="AR157" i="17"/>
  <c r="AA157" i="17"/>
  <c r="P157" i="17"/>
  <c r="AV157" i="17"/>
  <c r="AE157" i="17"/>
  <c r="T157" i="17"/>
  <c r="AI157" i="17"/>
  <c r="X157" i="17"/>
  <c r="G157" i="17"/>
  <c r="G17" i="17" s="1"/>
  <c r="AM157" i="17"/>
  <c r="AB157" i="17"/>
  <c r="K157" i="17"/>
  <c r="K158" i="17" s="1"/>
  <c r="AQ157" i="17"/>
  <c r="AO21" i="11" s="1"/>
  <c r="AF157" i="17"/>
  <c r="M167" i="17"/>
  <c r="AC167" i="17"/>
  <c r="AS167" i="17"/>
  <c r="AS27" i="17" s="1"/>
  <c r="N167" i="17"/>
  <c r="AU177" i="17"/>
  <c r="AQ177" i="17"/>
  <c r="O177" i="17"/>
  <c r="O37" i="17" s="1"/>
  <c r="AK177" i="17"/>
  <c r="E177" i="17"/>
  <c r="T177" i="17"/>
  <c r="AD177" i="17"/>
  <c r="AE177" i="17"/>
  <c r="AG177" i="17"/>
  <c r="AV177" i="17"/>
  <c r="P177" i="17"/>
  <c r="Z177" i="17"/>
  <c r="X25" i="11" s="1"/>
  <c r="AC177" i="17"/>
  <c r="AR177" i="17"/>
  <c r="AP25" i="11" s="1"/>
  <c r="L177" i="17"/>
  <c r="V177" i="17"/>
  <c r="Y177" i="17"/>
  <c r="AN177" i="17"/>
  <c r="H177" i="17"/>
  <c r="R177" i="17"/>
  <c r="U177" i="17"/>
  <c r="AJ177" i="17"/>
  <c r="AT177" i="17"/>
  <c r="N177" i="17"/>
  <c r="N37" i="17" s="1"/>
  <c r="Q177" i="17"/>
  <c r="AF177" i="17"/>
  <c r="AF178" i="17" s="1"/>
  <c r="AP177" i="17"/>
  <c r="AN25" i="11" s="1"/>
  <c r="J177" i="17"/>
  <c r="H25" i="11" s="1"/>
  <c r="AH187" i="17"/>
  <c r="M187" i="17"/>
  <c r="Z187" i="17"/>
  <c r="Z188" i="17" s="1"/>
  <c r="E187" i="17"/>
  <c r="AU187" i="17"/>
  <c r="R187" i="17"/>
  <c r="AR187" i="17"/>
  <c r="AI187" i="17"/>
  <c r="J187" i="17"/>
  <c r="J188" i="17" s="1"/>
  <c r="H106" i="11" s="1"/>
  <c r="AJ187" i="17"/>
  <c r="AH27" i="11" s="1"/>
  <c r="AA187" i="17"/>
  <c r="AS187" i="17"/>
  <c r="AB187" i="17"/>
  <c r="O187" i="17"/>
  <c r="AK187" i="17"/>
  <c r="T187" i="17"/>
  <c r="AS197" i="17"/>
  <c r="M197" i="17"/>
  <c r="AB197" i="17"/>
  <c r="AB147" i="17" s="1"/>
  <c r="AB145" i="17" s="1"/>
  <c r="AM197" i="17"/>
  <c r="G197" i="17"/>
  <c r="R197" i="17"/>
  <c r="AO197" i="17"/>
  <c r="AM29" i="11" s="1"/>
  <c r="I197" i="17"/>
  <c r="X197" i="17"/>
  <c r="AI197" i="17"/>
  <c r="AG29" i="11" s="1"/>
  <c r="AT197" i="17"/>
  <c r="N197" i="17"/>
  <c r="AK197" i="17"/>
  <c r="E197" i="17"/>
  <c r="T197" i="17"/>
  <c r="R29" i="11" s="1"/>
  <c r="AE197" i="17"/>
  <c r="AC29" i="11" s="1"/>
  <c r="AP197" i="17"/>
  <c r="J197" i="17"/>
  <c r="AG197" i="17"/>
  <c r="AV197" i="17"/>
  <c r="P197" i="17"/>
  <c r="AA197" i="17"/>
  <c r="AL197" i="17"/>
  <c r="AJ29" i="11" s="1"/>
  <c r="F197" i="17"/>
  <c r="AC197" i="17"/>
  <c r="AR197" i="17"/>
  <c r="L197" i="17"/>
  <c r="W197" i="17"/>
  <c r="AH197" i="17"/>
  <c r="Y197" i="17"/>
  <c r="AN197" i="17"/>
  <c r="AN198" i="17" s="1"/>
  <c r="H197" i="17"/>
  <c r="S197" i="17"/>
  <c r="AD197" i="17"/>
  <c r="AQ207" i="17"/>
  <c r="Z207" i="17"/>
  <c r="AF207" i="17"/>
  <c r="AI207" i="17"/>
  <c r="Y207" i="17"/>
  <c r="W31" i="11" s="1"/>
  <c r="X207" i="17"/>
  <c r="AA207" i="17"/>
  <c r="Q207" i="17"/>
  <c r="P207" i="17"/>
  <c r="S207" i="17"/>
  <c r="S152" i="17" s="1"/>
  <c r="S150" i="17" s="1"/>
  <c r="I207" i="17"/>
  <c r="H207" i="17"/>
  <c r="K207" i="17"/>
  <c r="K152" i="17" s="1"/>
  <c r="K150" i="17" s="1"/>
  <c r="R207" i="17"/>
  <c r="AV207" i="17"/>
  <c r="G207" i="17"/>
  <c r="E31" i="11" s="1"/>
  <c r="J207" i="17"/>
  <c r="AE227" i="17"/>
  <c r="AP227" i="17"/>
  <c r="J227" i="17"/>
  <c r="U227" i="17"/>
  <c r="AJ227" i="17"/>
  <c r="AA227" i="17"/>
  <c r="AL227" i="17"/>
  <c r="AJ34" i="11" s="1"/>
  <c r="F227" i="17"/>
  <c r="Q227" i="17"/>
  <c r="AF227" i="17"/>
  <c r="W227" i="17"/>
  <c r="AH227" i="17"/>
  <c r="AS227" i="17"/>
  <c r="M227" i="17"/>
  <c r="AB227" i="17"/>
  <c r="S227" i="17"/>
  <c r="AD227" i="17"/>
  <c r="AO227" i="17"/>
  <c r="I227" i="17"/>
  <c r="X227" i="17"/>
  <c r="AU227" i="17"/>
  <c r="O227" i="17"/>
  <c r="Z227" i="17"/>
  <c r="AK227" i="17"/>
  <c r="E227" i="17"/>
  <c r="C34" i="11" s="1"/>
  <c r="AQ227" i="17"/>
  <c r="K227" i="17"/>
  <c r="V227" i="17"/>
  <c r="T34" i="11" s="1"/>
  <c r="AG227" i="17"/>
  <c r="AG228" i="17" s="1"/>
  <c r="AE113" i="11" s="1"/>
  <c r="AV227" i="17"/>
  <c r="AT34" i="11" s="1"/>
  <c r="P227" i="17"/>
  <c r="AM237" i="17"/>
  <c r="G237" i="17"/>
  <c r="R237" i="17"/>
  <c r="AS237" i="17"/>
  <c r="AU247" i="17"/>
  <c r="AQ247" i="17"/>
  <c r="AM247" i="17"/>
  <c r="AE247" i="17"/>
  <c r="AC38" i="11" s="1"/>
  <c r="M257" i="17"/>
  <c r="K40" i="11" s="1"/>
  <c r="AM257" i="17"/>
  <c r="R257" i="17"/>
  <c r="P40" i="11" s="1"/>
  <c r="Y277" i="17"/>
  <c r="AU277" i="17"/>
  <c r="Z277" i="17"/>
  <c r="V277" i="17"/>
  <c r="Q277" i="17"/>
  <c r="O44" i="11" s="1"/>
  <c r="AM277" i="17"/>
  <c r="AK44" i="11" s="1"/>
  <c r="N277" i="17"/>
  <c r="I277" i="17"/>
  <c r="AE277" i="17"/>
  <c r="J277" i="17"/>
  <c r="J278" i="17" s="1"/>
  <c r="H123" i="11" s="1"/>
  <c r="AR277" i="17"/>
  <c r="W277" i="17"/>
  <c r="F277" i="17"/>
  <c r="AJ277" i="17"/>
  <c r="O277" i="17"/>
  <c r="AB277" i="17"/>
  <c r="Z44" i="11" s="1"/>
  <c r="G277" i="17"/>
  <c r="AP307" i="17"/>
  <c r="AV307" i="17"/>
  <c r="AL307" i="17"/>
  <c r="AL308" i="17" s="1"/>
  <c r="AJ128" i="11" s="1"/>
  <c r="AJ307" i="17"/>
  <c r="AJ308" i="17" s="1"/>
  <c r="AH128" i="11" s="1"/>
  <c r="V307" i="17"/>
  <c r="AF307" i="17"/>
  <c r="J307" i="17"/>
  <c r="P307" i="17"/>
  <c r="AQ307" i="17"/>
  <c r="F307" i="17"/>
  <c r="AE307" i="17"/>
  <c r="AG307" i="17"/>
  <c r="G327" i="17"/>
  <c r="G47" i="17" s="1"/>
  <c r="Q327" i="17"/>
  <c r="AH327" i="17"/>
  <c r="AF53" i="11" s="1"/>
  <c r="M327" i="17"/>
  <c r="V327" i="17"/>
  <c r="AV327" i="17"/>
  <c r="R327" i="17"/>
  <c r="AR327" i="17"/>
  <c r="AQ327" i="17"/>
  <c r="F327" i="17"/>
  <c r="AF327" i="17"/>
  <c r="AM327" i="17"/>
  <c r="AS327" i="17"/>
  <c r="AS328" i="17" s="1"/>
  <c r="AB327" i="17"/>
  <c r="Z53" i="11" s="1"/>
  <c r="V347" i="17"/>
  <c r="AS347" i="17"/>
  <c r="Q347" i="17"/>
  <c r="Q292" i="17" s="1"/>
  <c r="AA347" i="17"/>
  <c r="AE347" i="17"/>
  <c r="AD347" i="17"/>
  <c r="AO347" i="17"/>
  <c r="AM57" i="11" s="1"/>
  <c r="M347" i="17"/>
  <c r="W347" i="17"/>
  <c r="W292" i="17" s="1"/>
  <c r="W290" i="17" s="1"/>
  <c r="P347" i="17"/>
  <c r="P292" i="17" s="1"/>
  <c r="P290" i="17" s="1"/>
  <c r="Z347" i="17"/>
  <c r="X57" i="11" s="1"/>
  <c r="X347" i="17"/>
  <c r="AK347" i="17"/>
  <c r="I347" i="17"/>
  <c r="R347" i="17"/>
  <c r="K347" i="17"/>
  <c r="T347" i="17"/>
  <c r="S347" i="17"/>
  <c r="E347" i="17"/>
  <c r="L347" i="17"/>
  <c r="L292" i="17" s="1"/>
  <c r="L290" i="17" s="1"/>
  <c r="O347" i="17"/>
  <c r="N347" i="17"/>
  <c r="AG347" i="17"/>
  <c r="AR347" i="17"/>
  <c r="AR292" i="17" s="1"/>
  <c r="G347" i="17"/>
  <c r="F347" i="17"/>
  <c r="F348" i="17" s="1"/>
  <c r="D136" i="11" s="1"/>
  <c r="J347" i="17"/>
  <c r="H347" i="17"/>
  <c r="H292" i="17" s="1"/>
  <c r="H290" i="17" s="1"/>
  <c r="AV347" i="17"/>
  <c r="AV348" i="17" s="1"/>
  <c r="AC347" i="17"/>
  <c r="AM347" i="17"/>
  <c r="AK57" i="11" s="1"/>
  <c r="AQ347" i="17"/>
  <c r="AU347" i="17"/>
  <c r="AU348" i="17" s="1"/>
  <c r="AT347" i="17"/>
  <c r="AR57" i="11" s="1"/>
  <c r="AL377" i="17"/>
  <c r="F377" i="17"/>
  <c r="Q377" i="17"/>
  <c r="AF377" i="17"/>
  <c r="AQ377" i="17"/>
  <c r="AQ357" i="17" s="1"/>
  <c r="AQ355" i="17" s="1"/>
  <c r="K377" i="17"/>
  <c r="AH377" i="17"/>
  <c r="AS377" i="17"/>
  <c r="AQ62" i="11" s="1"/>
  <c r="M377" i="17"/>
  <c r="M27" i="17" s="1"/>
  <c r="AB377" i="17"/>
  <c r="AM377" i="17"/>
  <c r="AM378" i="17" s="1"/>
  <c r="AK141" i="11" s="1"/>
  <c r="G377" i="17"/>
  <c r="AD377" i="17"/>
  <c r="AO377" i="17"/>
  <c r="I377" i="17"/>
  <c r="X377" i="17"/>
  <c r="AI377" i="17"/>
  <c r="Z377" i="17"/>
  <c r="AK377" i="17"/>
  <c r="E377" i="17"/>
  <c r="T377" i="17"/>
  <c r="AE377" i="17"/>
  <c r="V377" i="17"/>
  <c r="AG377" i="17"/>
  <c r="AV377" i="17"/>
  <c r="AV357" i="17" s="1"/>
  <c r="AV355" i="17" s="1"/>
  <c r="P377" i="17"/>
  <c r="AA377" i="17"/>
  <c r="R377" i="17"/>
  <c r="AC377" i="17"/>
  <c r="AC378" i="17" s="1"/>
  <c r="AA141" i="11" s="1"/>
  <c r="AR377" i="17"/>
  <c r="L377" i="17"/>
  <c r="W377" i="17"/>
  <c r="U62" i="11" s="1"/>
  <c r="Z397" i="17"/>
  <c r="AK397" i="17"/>
  <c r="E397" i="17"/>
  <c r="T397" i="17"/>
  <c r="T47" i="17" s="1"/>
  <c r="AE397" i="17"/>
  <c r="V397" i="17"/>
  <c r="V398" i="17" s="1"/>
  <c r="T145" i="11" s="1"/>
  <c r="AG397" i="17"/>
  <c r="AV397" i="17"/>
  <c r="P397" i="17"/>
  <c r="P398" i="17" s="1"/>
  <c r="N145" i="11" s="1"/>
  <c r="AA397" i="17"/>
  <c r="Y66" i="11" s="1"/>
  <c r="R397" i="17"/>
  <c r="AC397" i="17"/>
  <c r="AR397" i="17"/>
  <c r="L397" i="17"/>
  <c r="W397" i="17"/>
  <c r="AT397" i="17"/>
  <c r="N397" i="17"/>
  <c r="Y397" i="17"/>
  <c r="AN397" i="17"/>
  <c r="H397" i="17"/>
  <c r="S397" i="17"/>
  <c r="AP397" i="17"/>
  <c r="AP357" i="17" s="1"/>
  <c r="AP355" i="17" s="1"/>
  <c r="J397" i="17"/>
  <c r="U397" i="17"/>
  <c r="U357" i="17" s="1"/>
  <c r="U355" i="17" s="1"/>
  <c r="AJ397" i="17"/>
  <c r="AU397" i="17"/>
  <c r="O397" i="17"/>
  <c r="AL397" i="17"/>
  <c r="F397" i="17"/>
  <c r="Q397" i="17"/>
  <c r="Q398" i="17" s="1"/>
  <c r="O145" i="11" s="1"/>
  <c r="AF397" i="17"/>
  <c r="AF398" i="17" s="1"/>
  <c r="AQ397" i="17"/>
  <c r="AQ398" i="17" s="1"/>
  <c r="AO145" i="11" s="1"/>
  <c r="K397" i="17"/>
  <c r="AV417" i="17"/>
  <c r="AT417" i="17"/>
  <c r="J417" i="17"/>
  <c r="U417" i="17"/>
  <c r="AF417" i="17"/>
  <c r="AQ417" i="17"/>
  <c r="K417" i="17"/>
  <c r="AP417" i="17"/>
  <c r="AN70" i="11" s="1"/>
  <c r="F417" i="17"/>
  <c r="F362" i="17" s="1"/>
  <c r="F360" i="17" s="1"/>
  <c r="Q417" i="17"/>
  <c r="O70" i="11" s="1"/>
  <c r="AB417" i="17"/>
  <c r="AM417" i="17"/>
  <c r="G417" i="17"/>
  <c r="V417" i="17"/>
  <c r="AL417" i="17"/>
  <c r="AS417" i="17"/>
  <c r="M417" i="17"/>
  <c r="X417" i="17"/>
  <c r="X418" i="17" s="1"/>
  <c r="AI417" i="17"/>
  <c r="AH417" i="17"/>
  <c r="AO417" i="17"/>
  <c r="I417" i="17"/>
  <c r="I362" i="17" s="1"/>
  <c r="T417" i="17"/>
  <c r="AE417" i="17"/>
  <c r="AE362" i="17" s="1"/>
  <c r="AE360" i="17" s="1"/>
  <c r="AD417" i="17"/>
  <c r="AK417" i="17"/>
  <c r="E417" i="17"/>
  <c r="P417" i="17"/>
  <c r="AA417" i="17"/>
  <c r="Z417" i="17"/>
  <c r="AG417" i="17"/>
  <c r="AG418" i="17" s="1"/>
  <c r="AE149" i="11" s="1"/>
  <c r="AR417" i="17"/>
  <c r="AR362" i="17" s="1"/>
  <c r="AR360" i="17" s="1"/>
  <c r="L417" i="17"/>
  <c r="L362" i="17" s="1"/>
  <c r="L360" i="17" s="1"/>
  <c r="W417" i="17"/>
  <c r="W418" i="17" s="1"/>
  <c r="U149" i="11" s="1"/>
  <c r="X447" i="17"/>
  <c r="AI447" i="17"/>
  <c r="AT447" i="17"/>
  <c r="N447" i="17"/>
  <c r="Y447" i="17"/>
  <c r="Y427" i="17" s="1"/>
  <c r="Y425" i="17" s="1"/>
  <c r="T447" i="17"/>
  <c r="AE447" i="17"/>
  <c r="AC75" i="11" s="1"/>
  <c r="AP447" i="17"/>
  <c r="J447" i="17"/>
  <c r="U447" i="17"/>
  <c r="AV447" i="17"/>
  <c r="P447" i="17"/>
  <c r="AA447" i="17"/>
  <c r="AL447" i="17"/>
  <c r="F447" i="17"/>
  <c r="Q447" i="17"/>
  <c r="AR447" i="17"/>
  <c r="L447" i="17"/>
  <c r="W447" i="17"/>
  <c r="AH447" i="17"/>
  <c r="AS447" i="17"/>
  <c r="M447" i="17"/>
  <c r="AN447" i="17"/>
  <c r="H447" i="17"/>
  <c r="S447" i="17"/>
  <c r="AD447" i="17"/>
  <c r="AO447" i="17"/>
  <c r="I447" i="17"/>
  <c r="AJ447" i="17"/>
  <c r="AH75" i="11" s="1"/>
  <c r="AU447" i="17"/>
  <c r="AU448" i="17" s="1"/>
  <c r="AS154" i="11" s="1"/>
  <c r="O447" i="17"/>
  <c r="Z447" i="17"/>
  <c r="X75" i="11" s="1"/>
  <c r="AK447" i="17"/>
  <c r="E447" i="17"/>
  <c r="C75" i="11" s="1"/>
  <c r="AN467" i="17"/>
  <c r="H467" i="17"/>
  <c r="S467" i="17"/>
  <c r="AD467" i="17"/>
  <c r="AO467" i="17"/>
  <c r="I467" i="17"/>
  <c r="AJ467" i="17"/>
  <c r="AU467" i="17"/>
  <c r="O467" i="17"/>
  <c r="Z467" i="17"/>
  <c r="AK467" i="17"/>
  <c r="E467" i="17"/>
  <c r="AF467" i="17"/>
  <c r="AQ467" i="17"/>
  <c r="K467" i="17"/>
  <c r="V467" i="17"/>
  <c r="AG467" i="17"/>
  <c r="AB467" i="17"/>
  <c r="AM467" i="17"/>
  <c r="G467" i="17"/>
  <c r="R467" i="17"/>
  <c r="AC467" i="17"/>
  <c r="X467" i="17"/>
  <c r="AI467" i="17"/>
  <c r="AT467" i="17"/>
  <c r="N467" i="17"/>
  <c r="Y467" i="17"/>
  <c r="T467" i="17"/>
  <c r="AE467" i="17"/>
  <c r="AP467" i="17"/>
  <c r="J467" i="17"/>
  <c r="U467" i="17"/>
  <c r="U47" i="17" s="1"/>
  <c r="AI487" i="17"/>
  <c r="AT487" i="17"/>
  <c r="N487" i="17"/>
  <c r="N488" i="17" s="1"/>
  <c r="L162" i="11" s="1"/>
  <c r="AC487" i="17"/>
  <c r="AC432" i="17" s="1"/>
  <c r="AC430" i="17" s="1"/>
  <c r="T487" i="17"/>
  <c r="AE487" i="17"/>
  <c r="Y487" i="17"/>
  <c r="AR487" i="17"/>
  <c r="AR432" i="17" s="1"/>
  <c r="AR430" i="17" s="1"/>
  <c r="P487" i="17"/>
  <c r="AA487" i="17"/>
  <c r="AP487" i="17"/>
  <c r="AP432" i="17" s="1"/>
  <c r="AP430" i="17" s="1"/>
  <c r="J487" i="17"/>
  <c r="U487" i="17"/>
  <c r="V487" i="17"/>
  <c r="AN487" i="17"/>
  <c r="AN432" i="17" s="1"/>
  <c r="L487" i="17"/>
  <c r="L432" i="17" s="1"/>
  <c r="L430" i="17" s="1"/>
  <c r="W487" i="17"/>
  <c r="AL487" i="17"/>
  <c r="F487" i="17"/>
  <c r="Q487" i="17"/>
  <c r="Q432" i="17" s="1"/>
  <c r="Q430" i="17" s="1"/>
  <c r="AJ487" i="17"/>
  <c r="H487" i="17"/>
  <c r="S487" i="17"/>
  <c r="AH487" i="17"/>
  <c r="AS487" i="17"/>
  <c r="M487" i="17"/>
  <c r="AF487" i="17"/>
  <c r="AF432" i="17" s="1"/>
  <c r="AF430" i="17" s="1"/>
  <c r="AU487" i="17"/>
  <c r="AU432" i="17" s="1"/>
  <c r="AU430" i="17" s="1"/>
  <c r="O487" i="17"/>
  <c r="AD487" i="17"/>
  <c r="AO487" i="17"/>
  <c r="I487" i="17"/>
  <c r="I432" i="17" s="1"/>
  <c r="I430" i="17" s="1"/>
  <c r="L28" i="29"/>
  <c r="G14" i="6"/>
  <c r="C13" i="8"/>
  <c r="O49" i="14"/>
  <c r="O56" i="14"/>
  <c r="L17" i="6"/>
  <c r="AN19" i="29"/>
  <c r="AM19" i="29" s="1"/>
  <c r="K13" i="19"/>
  <c r="I13" i="19" s="1"/>
  <c r="H242" i="19"/>
  <c r="I14" i="6"/>
  <c r="L44" i="10"/>
  <c r="G1" i="40"/>
  <c r="E7" i="31"/>
  <c r="G2" i="40"/>
  <c r="G3" i="40" s="1"/>
  <c r="C38" i="21"/>
  <c r="C92" i="21"/>
  <c r="J14" i="6"/>
  <c r="M17" i="6"/>
  <c r="E44" i="10"/>
  <c r="F1" i="40"/>
  <c r="M44" i="10"/>
  <c r="E1" i="41"/>
  <c r="H1" i="40"/>
  <c r="E21" i="14"/>
  <c r="E22" i="14" s="1"/>
  <c r="H2" i="40"/>
  <c r="H18" i="40" s="1"/>
  <c r="C17" i="40"/>
  <c r="C14" i="6"/>
  <c r="K14" i="6"/>
  <c r="E17" i="6"/>
  <c r="E60" i="13"/>
  <c r="F60" i="13" s="1"/>
  <c r="G60" i="13" s="1"/>
  <c r="H60" i="13" s="1"/>
  <c r="J60" i="13" s="1"/>
  <c r="K60" i="13" s="1"/>
  <c r="L60" i="13" s="1"/>
  <c r="M60" i="13" s="1"/>
  <c r="O60" i="13" s="1"/>
  <c r="P60" i="13" s="1"/>
  <c r="Q60" i="13" s="1"/>
  <c r="R60" i="13" s="1"/>
  <c r="T60" i="13" s="1"/>
  <c r="U60" i="13" s="1"/>
  <c r="V60" i="13" s="1"/>
  <c r="W60" i="13" s="1"/>
  <c r="Y60" i="13" s="1"/>
  <c r="Z60" i="13" s="1"/>
  <c r="AA60" i="13" s="1"/>
  <c r="AB60" i="13" s="1"/>
  <c r="AD60" i="13" s="1"/>
  <c r="AE60" i="13" s="1"/>
  <c r="AF60" i="13" s="1"/>
  <c r="AG60" i="13" s="1"/>
  <c r="AI60" i="13" s="1"/>
  <c r="AJ60" i="13" s="1"/>
  <c r="AK60" i="13" s="1"/>
  <c r="AL60" i="13" s="1"/>
  <c r="AN60" i="13" s="1"/>
  <c r="AO60" i="13" s="1"/>
  <c r="AP60" i="13" s="1"/>
  <c r="AQ60" i="13" s="1"/>
  <c r="AS60" i="13" s="1"/>
  <c r="AT60" i="13" s="1"/>
  <c r="AU60" i="13" s="1"/>
  <c r="AV60" i="13" s="1"/>
  <c r="AX60" i="13" s="1"/>
  <c r="AY60" i="13" s="1"/>
  <c r="AZ60" i="13" s="1"/>
  <c r="BA60" i="13" s="1"/>
  <c r="BC60" i="13" s="1"/>
  <c r="BD60" i="13" s="1"/>
  <c r="BE60" i="13" s="1"/>
  <c r="BF60" i="13" s="1"/>
  <c r="E60" i="43"/>
  <c r="F60" i="43" s="1"/>
  <c r="G60" i="43" s="1"/>
  <c r="H60" i="43" s="1"/>
  <c r="J60" i="43" s="1"/>
  <c r="K60" i="43" s="1"/>
  <c r="L60" i="43" s="1"/>
  <c r="M60" i="43" s="1"/>
  <c r="O60" i="43" s="1"/>
  <c r="P60" i="43" s="1"/>
  <c r="Q60" i="43" s="1"/>
  <c r="R60" i="43" s="1"/>
  <c r="T60" i="43" s="1"/>
  <c r="U60" i="43" s="1"/>
  <c r="V60" i="43" s="1"/>
  <c r="W60" i="43" s="1"/>
  <c r="Y60" i="43" s="1"/>
  <c r="Z60" i="43" s="1"/>
  <c r="AA60" i="43" s="1"/>
  <c r="AB60" i="43" s="1"/>
  <c r="AD60" i="43" s="1"/>
  <c r="AE60" i="43" s="1"/>
  <c r="AF60" i="43" s="1"/>
  <c r="AG60" i="43" s="1"/>
  <c r="AI60" i="43" s="1"/>
  <c r="AJ60" i="43" s="1"/>
  <c r="AK60" i="43" s="1"/>
  <c r="AL60" i="43" s="1"/>
  <c r="AN60" i="43" s="1"/>
  <c r="AO60" i="43" s="1"/>
  <c r="AP60" i="43" s="1"/>
  <c r="AQ60" i="43" s="1"/>
  <c r="AS60" i="43" s="1"/>
  <c r="AT60" i="43" s="1"/>
  <c r="AU60" i="43" s="1"/>
  <c r="AV60" i="43" s="1"/>
  <c r="AX60" i="43" s="1"/>
  <c r="AY60" i="43" s="1"/>
  <c r="AZ60" i="43" s="1"/>
  <c r="BA60" i="43" s="1"/>
  <c r="BC60" i="43" s="1"/>
  <c r="BD60" i="43" s="1"/>
  <c r="BE60" i="43" s="1"/>
  <c r="BF60" i="43" s="1"/>
  <c r="D52" i="34"/>
  <c r="E18" i="40"/>
  <c r="Q25" i="7"/>
  <c r="Q38" i="7" s="1"/>
  <c r="K75" i="19"/>
  <c r="F242" i="19"/>
  <c r="G34" i="13"/>
  <c r="G34" i="43"/>
  <c r="G37" i="43" s="1"/>
  <c r="Q37" i="43"/>
  <c r="Q64" i="43"/>
  <c r="V34" i="13"/>
  <c r="V37" i="13" s="1"/>
  <c r="V34" i="43"/>
  <c r="V37" i="43" s="1"/>
  <c r="AA34" i="13"/>
  <c r="AA37" i="13" s="1"/>
  <c r="AA34" i="43"/>
  <c r="AA37" i="43" s="1"/>
  <c r="AF34" i="13"/>
  <c r="AF37" i="13" s="1"/>
  <c r="AF34" i="43"/>
  <c r="AF37" i="43" s="1"/>
  <c r="AK34" i="13"/>
  <c r="AK37" i="13" s="1"/>
  <c r="AK34" i="43"/>
  <c r="AK37" i="43" s="1"/>
  <c r="AP34" i="13"/>
  <c r="AP37" i="13" s="1"/>
  <c r="AP34" i="43"/>
  <c r="AP37" i="43" s="1"/>
  <c r="AU34" i="13"/>
  <c r="AU37" i="13" s="1"/>
  <c r="AU34" i="43"/>
  <c r="AU37" i="43" s="1"/>
  <c r="AZ34" i="13"/>
  <c r="AZ37" i="13" s="1"/>
  <c r="AZ34" i="43"/>
  <c r="AZ37" i="43" s="1"/>
  <c r="BE34" i="13"/>
  <c r="BE37" i="13" s="1"/>
  <c r="BE34" i="43"/>
  <c r="BE37" i="43" s="1"/>
  <c r="R31" i="13"/>
  <c r="N31" i="13" s="1"/>
  <c r="R31" i="43"/>
  <c r="W31" i="13"/>
  <c r="W31" i="43"/>
  <c r="AB31" i="13"/>
  <c r="AB31" i="43"/>
  <c r="AG31" i="13"/>
  <c r="AG31" i="43"/>
  <c r="AL31" i="13"/>
  <c r="AL31" i="43"/>
  <c r="AQ31" i="13"/>
  <c r="AQ31" i="43"/>
  <c r="AV31" i="13"/>
  <c r="AV31" i="43"/>
  <c r="BA31" i="13"/>
  <c r="BA31" i="43"/>
  <c r="BF31" i="13"/>
  <c r="BF31" i="43"/>
  <c r="H34" i="13"/>
  <c r="H34" i="43"/>
  <c r="H37" i="43" s="1"/>
  <c r="AQ34" i="13"/>
  <c r="AQ37" i="13" s="1"/>
  <c r="AQ34" i="43"/>
  <c r="AQ37" i="43" s="1"/>
  <c r="BA34" i="13"/>
  <c r="BA37" i="13" s="1"/>
  <c r="BA34" i="43"/>
  <c r="BA37" i="43" s="1"/>
  <c r="G31" i="13"/>
  <c r="G31" i="43"/>
  <c r="Y31" i="13"/>
  <c r="Y31" i="43"/>
  <c r="AS31" i="13"/>
  <c r="AS31" i="43"/>
  <c r="BC31" i="13"/>
  <c r="BC31" i="43"/>
  <c r="T64" i="43"/>
  <c r="T37" i="43"/>
  <c r="Y34" i="13"/>
  <c r="Y64" i="13" s="1"/>
  <c r="Y34" i="43"/>
  <c r="AD34" i="13"/>
  <c r="AD64" i="13" s="1"/>
  <c r="AD34" i="43"/>
  <c r="AI34" i="13"/>
  <c r="AI64" i="13" s="1"/>
  <c r="AI34" i="43"/>
  <c r="AN34" i="13"/>
  <c r="AN64" i="13" s="1"/>
  <c r="AN34" i="43"/>
  <c r="AS34" i="13"/>
  <c r="AS64" i="13" s="1"/>
  <c r="AS34" i="43"/>
  <c r="AX34" i="13"/>
  <c r="AX37" i="13" s="1"/>
  <c r="AX34" i="43"/>
  <c r="BC34" i="13"/>
  <c r="BC37" i="13" s="1"/>
  <c r="BC34" i="43"/>
  <c r="H31" i="13"/>
  <c r="H31" i="43"/>
  <c r="Z31" i="13"/>
  <c r="Z31" i="43"/>
  <c r="AE31" i="13"/>
  <c r="AE31" i="43"/>
  <c r="AJ31" i="13"/>
  <c r="AJ31" i="43"/>
  <c r="AO31" i="13"/>
  <c r="AO31" i="43"/>
  <c r="AT31" i="13"/>
  <c r="AT31" i="43"/>
  <c r="AY31" i="13"/>
  <c r="AY31" i="43"/>
  <c r="BD31" i="13"/>
  <c r="BD31" i="43"/>
  <c r="R34" i="13"/>
  <c r="R37" i="13" s="1"/>
  <c r="R34" i="43"/>
  <c r="R37" i="43" s="1"/>
  <c r="W34" i="13"/>
  <c r="W37" i="13" s="1"/>
  <c r="W34" i="43"/>
  <c r="W37" i="43" s="1"/>
  <c r="AB34" i="13"/>
  <c r="AB37" i="13" s="1"/>
  <c r="AB34" i="43"/>
  <c r="AB37" i="43" s="1"/>
  <c r="AL34" i="13"/>
  <c r="AL37" i="13" s="1"/>
  <c r="AL34" i="43"/>
  <c r="AL37" i="43" s="1"/>
  <c r="AV34" i="13"/>
  <c r="AV37" i="13" s="1"/>
  <c r="AV34" i="43"/>
  <c r="AV37" i="43" s="1"/>
  <c r="BF34" i="13"/>
  <c r="BF37" i="13" s="1"/>
  <c r="BF34" i="43"/>
  <c r="BF37" i="43" s="1"/>
  <c r="T31" i="13"/>
  <c r="T31" i="43"/>
  <c r="AD31" i="13"/>
  <c r="AD31" i="43"/>
  <c r="AX31" i="13"/>
  <c r="AX31" i="43"/>
  <c r="F37" i="43"/>
  <c r="F64" i="43"/>
  <c r="D52" i="29"/>
  <c r="J34" i="43"/>
  <c r="U34" i="13"/>
  <c r="U37" i="13" s="1"/>
  <c r="U34" i="43"/>
  <c r="U37" i="43" s="1"/>
  <c r="AE34" i="13"/>
  <c r="AE37" i="13" s="1"/>
  <c r="AE34" i="43"/>
  <c r="AE37" i="43" s="1"/>
  <c r="AJ34" i="13"/>
  <c r="AJ37" i="13" s="1"/>
  <c r="AJ34" i="43"/>
  <c r="AJ37" i="43" s="1"/>
  <c r="AO34" i="13"/>
  <c r="AO37" i="13" s="1"/>
  <c r="AO34" i="43"/>
  <c r="AO37" i="43" s="1"/>
  <c r="AT34" i="13"/>
  <c r="AT37" i="13" s="1"/>
  <c r="AT34" i="43"/>
  <c r="AT37" i="43" s="1"/>
  <c r="AY34" i="13"/>
  <c r="AY37" i="13" s="1"/>
  <c r="AY34" i="43"/>
  <c r="AY37" i="43" s="1"/>
  <c r="BD34" i="13"/>
  <c r="BD37" i="13" s="1"/>
  <c r="BD34" i="43"/>
  <c r="BD37" i="43" s="1"/>
  <c r="J31" i="13"/>
  <c r="J31" i="43"/>
  <c r="V31" i="13"/>
  <c r="V31" i="43"/>
  <c r="AA31" i="13"/>
  <c r="AA31" i="43"/>
  <c r="AF31" i="13"/>
  <c r="AF31" i="43"/>
  <c r="AP31" i="13"/>
  <c r="AP31" i="43"/>
  <c r="AU31" i="13"/>
  <c r="AU31" i="43"/>
  <c r="AZ31" i="13"/>
  <c r="AZ31" i="43"/>
  <c r="BE31" i="13"/>
  <c r="BE31" i="43"/>
  <c r="D87" i="8"/>
  <c r="C9" i="8"/>
  <c r="D86" i="8"/>
  <c r="O17" i="6"/>
  <c r="D56" i="8"/>
  <c r="D73" i="8"/>
  <c r="O16" i="6"/>
  <c r="C17" i="8"/>
  <c r="O14" i="6"/>
  <c r="C15" i="8"/>
  <c r="D82" i="8"/>
  <c r="D80" i="8"/>
  <c r="D93" i="8"/>
  <c r="P7" i="7"/>
  <c r="P20" i="7" s="1"/>
  <c r="N20" i="7"/>
  <c r="C7" i="7"/>
  <c r="D6" i="8" s="1"/>
  <c r="J92" i="7"/>
  <c r="Q103" i="21"/>
  <c r="Q104" i="21" s="1"/>
  <c r="P25" i="7"/>
  <c r="P38" i="7" s="1"/>
  <c r="J110" i="7"/>
  <c r="Y293" i="17"/>
  <c r="AH32" i="11"/>
  <c r="F275" i="20"/>
  <c r="F276" i="20" s="1"/>
  <c r="F247" i="20"/>
  <c r="F248" i="20" s="1"/>
  <c r="S32" i="11"/>
  <c r="H293" i="20"/>
  <c r="H294" i="20" s="1"/>
  <c r="G211" i="20"/>
  <c r="G212" i="20" s="1"/>
  <c r="L331" i="20"/>
  <c r="L332" i="20" s="1"/>
  <c r="E333" i="20"/>
  <c r="E334" i="20" s="1"/>
  <c r="F259" i="20"/>
  <c r="F260" i="20" s="1"/>
  <c r="J281" i="20"/>
  <c r="J282" i="20" s="1"/>
  <c r="J211" i="20"/>
  <c r="J212" i="20" s="1"/>
  <c r="I231" i="20"/>
  <c r="I232" i="20" s="1"/>
  <c r="K255" i="20"/>
  <c r="K256" i="20" s="1"/>
  <c r="I303" i="20"/>
  <c r="I304" i="20" s="1"/>
  <c r="G319" i="20"/>
  <c r="G320" i="20" s="1"/>
  <c r="H337" i="20"/>
  <c r="H338" i="20" s="1"/>
  <c r="J223" i="20"/>
  <c r="J224" i="20" s="1"/>
  <c r="E249" i="20"/>
  <c r="E250" i="20" s="1"/>
  <c r="G301" i="20"/>
  <c r="G302" i="20" s="1"/>
  <c r="D73" i="11"/>
  <c r="F438" i="17"/>
  <c r="D152" i="11" s="1"/>
  <c r="P333" i="17"/>
  <c r="N133" i="11" s="1"/>
  <c r="N54" i="11"/>
  <c r="H39" i="11"/>
  <c r="J253" i="17"/>
  <c r="H118" i="11" s="1"/>
  <c r="I259" i="20"/>
  <c r="I260" i="20" s="1"/>
  <c r="E279" i="20"/>
  <c r="E280" i="20" s="1"/>
  <c r="F317" i="20"/>
  <c r="F318" i="20" s="1"/>
  <c r="T147" i="11"/>
  <c r="G15" i="36"/>
  <c r="G4" i="36" s="1"/>
  <c r="G6" i="36" s="1"/>
  <c r="G21" i="36"/>
  <c r="AE76" i="11"/>
  <c r="AG453" i="17"/>
  <c r="AE155" i="11" s="1"/>
  <c r="L423" i="17"/>
  <c r="J150" i="11" s="1"/>
  <c r="J71" i="11"/>
  <c r="AN75" i="11"/>
  <c r="AP448" i="17"/>
  <c r="AN154" i="11" s="1"/>
  <c r="AJ448" i="17"/>
  <c r="AH154" i="11" s="1"/>
  <c r="Q418" i="17"/>
  <c r="Z418" i="17"/>
  <c r="X149" i="11" s="1"/>
  <c r="X70" i="11"/>
  <c r="AO66" i="11"/>
  <c r="AD66" i="11"/>
  <c r="AT66" i="11"/>
  <c r="AV398" i="17"/>
  <c r="AT145" i="11" s="1"/>
  <c r="O66" i="11"/>
  <c r="AG398" i="17"/>
  <c r="AE145" i="11" s="1"/>
  <c r="AE66" i="11"/>
  <c r="T66" i="11"/>
  <c r="AK62" i="11"/>
  <c r="L378" i="17"/>
  <c r="J141" i="11" s="1"/>
  <c r="J62" i="11"/>
  <c r="AH378" i="17"/>
  <c r="AF141" i="11" s="1"/>
  <c r="AF62" i="11"/>
  <c r="X348" i="17"/>
  <c r="AS57" i="11"/>
  <c r="U57" i="11"/>
  <c r="W348" i="17"/>
  <c r="K53" i="11"/>
  <c r="AJ49" i="11"/>
  <c r="AE308" i="17"/>
  <c r="AC128" i="11" s="1"/>
  <c r="AC49" i="11"/>
  <c r="AB278" i="17"/>
  <c r="Z123" i="11" s="1"/>
  <c r="AT57" i="11"/>
  <c r="T44" i="11"/>
  <c r="V278" i="17"/>
  <c r="T123" i="11" s="1"/>
  <c r="AG31" i="11"/>
  <c r="AW185" i="17"/>
  <c r="AW186" i="17" s="1"/>
  <c r="AW187" i="17" s="1"/>
  <c r="AW188" i="17" s="1"/>
  <c r="AW189" i="17" s="1"/>
  <c r="K309" i="20"/>
  <c r="K310" i="20" s="1"/>
  <c r="F315" i="20"/>
  <c r="F316" i="20" s="1"/>
  <c r="G241" i="20"/>
  <c r="G242" i="20" s="1"/>
  <c r="I217" i="20"/>
  <c r="I218" i="20" s="1"/>
  <c r="I319" i="20"/>
  <c r="I320" i="20" s="1"/>
  <c r="K303" i="20"/>
  <c r="K304" i="20" s="1"/>
  <c r="L309" i="20"/>
  <c r="L310" i="20" s="1"/>
  <c r="J309" i="20"/>
  <c r="J310" i="20" s="1"/>
  <c r="G217" i="20"/>
  <c r="G218" i="20" s="1"/>
  <c r="H217" i="20"/>
  <c r="H218" i="20" s="1"/>
  <c r="K343" i="20"/>
  <c r="K344" i="20" s="1"/>
  <c r="F309" i="20"/>
  <c r="F310" i="20" s="1"/>
  <c r="F343" i="20"/>
  <c r="F344" i="20" s="1"/>
  <c r="H315" i="20"/>
  <c r="H316" i="20" s="1"/>
  <c r="I315" i="20"/>
  <c r="I316" i="20" s="1"/>
  <c r="E217" i="20"/>
  <c r="E218" i="20" s="1"/>
  <c r="G309" i="20"/>
  <c r="G310" i="20" s="1"/>
  <c r="I239" i="20"/>
  <c r="I240" i="20" s="1"/>
  <c r="E309" i="20"/>
  <c r="E310" i="20" s="1"/>
  <c r="F231" i="20"/>
  <c r="F232" i="20" s="1"/>
  <c r="J255" i="20"/>
  <c r="J256" i="20" s="1"/>
  <c r="J239" i="20"/>
  <c r="J240" i="20" s="1"/>
  <c r="K239" i="20"/>
  <c r="K240" i="20" s="1"/>
  <c r="J311" i="20"/>
  <c r="J312" i="20" s="1"/>
  <c r="L311" i="20"/>
  <c r="L312" i="20" s="1"/>
  <c r="K217" i="20"/>
  <c r="K218" i="20" s="1"/>
  <c r="E239" i="20"/>
  <c r="E240" i="20" s="1"/>
  <c r="L239" i="20"/>
  <c r="L240" i="20" s="1"/>
  <c r="F311" i="20"/>
  <c r="F312" i="20" s="1"/>
  <c r="K311" i="20"/>
  <c r="K312" i="20" s="1"/>
  <c r="F249" i="20"/>
  <c r="F250" i="20" s="1"/>
  <c r="J249" i="20"/>
  <c r="J250" i="20" s="1"/>
  <c r="K249" i="20"/>
  <c r="K250" i="20" s="1"/>
  <c r="K223" i="20"/>
  <c r="K224" i="20" s="1"/>
  <c r="F223" i="20"/>
  <c r="F224" i="20" s="1"/>
  <c r="G337" i="20"/>
  <c r="G338" i="20" s="1"/>
  <c r="K319" i="20"/>
  <c r="K320" i="20" s="1"/>
  <c r="L319" i="20"/>
  <c r="L320" i="20" s="1"/>
  <c r="E255" i="20"/>
  <c r="E256" i="20" s="1"/>
  <c r="I255" i="20"/>
  <c r="I256" i="20" s="1"/>
  <c r="J231" i="20"/>
  <c r="J232" i="20" s="1"/>
  <c r="E231" i="20"/>
  <c r="E232" i="20" s="1"/>
  <c r="H279" i="20"/>
  <c r="H280" i="20" s="1"/>
  <c r="I281" i="20"/>
  <c r="I282" i="20" s="1"/>
  <c r="L259" i="20"/>
  <c r="L260" i="20" s="1"/>
  <c r="J333" i="20"/>
  <c r="J334" i="20" s="1"/>
  <c r="H287" i="20"/>
  <c r="H288" i="20" s="1"/>
  <c r="H339" i="20"/>
  <c r="H340" i="20" s="1"/>
  <c r="E211" i="20"/>
  <c r="E212" i="20" s="1"/>
  <c r="I211" i="20"/>
  <c r="I212" i="20" s="1"/>
  <c r="I293" i="20"/>
  <c r="I294" i="20" s="1"/>
  <c r="H219" i="20"/>
  <c r="H220" i="20" s="1"/>
  <c r="L247" i="20"/>
  <c r="L248" i="20" s="1"/>
  <c r="L275" i="20"/>
  <c r="L276" i="20" s="1"/>
  <c r="L285" i="20"/>
  <c r="L286" i="20" s="1"/>
  <c r="E311" i="20"/>
  <c r="E312" i="20" s="1"/>
  <c r="I249" i="20"/>
  <c r="I250" i="20" s="1"/>
  <c r="H249" i="20"/>
  <c r="H250" i="20" s="1"/>
  <c r="H209" i="20"/>
  <c r="H210" i="20" s="1"/>
  <c r="H231" i="20"/>
  <c r="H232" i="20" s="1"/>
  <c r="G239" i="20"/>
  <c r="G240" i="20" s="1"/>
  <c r="K279" i="20"/>
  <c r="K280" i="20" s="1"/>
  <c r="G249" i="20"/>
  <c r="G250" i="20" s="1"/>
  <c r="F337" i="20"/>
  <c r="F338" i="20" s="1"/>
  <c r="L337" i="20"/>
  <c r="L338" i="20" s="1"/>
  <c r="J319" i="20"/>
  <c r="J320" i="20" s="1"/>
  <c r="J303" i="20"/>
  <c r="J304" i="20" s="1"/>
  <c r="I287" i="20"/>
  <c r="I288" i="20" s="1"/>
  <c r="H255" i="20"/>
  <c r="H256" i="20" s="1"/>
  <c r="K231" i="20"/>
  <c r="K232" i="20" s="1"/>
  <c r="I279" i="20"/>
  <c r="I280" i="20" s="1"/>
  <c r="H281" i="20"/>
  <c r="H282" i="20" s="1"/>
  <c r="J287" i="20"/>
  <c r="J288" i="20" s="1"/>
  <c r="F269" i="20"/>
  <c r="F270" i="20" s="1"/>
  <c r="F211" i="20"/>
  <c r="F212" i="20" s="1"/>
  <c r="I219" i="20"/>
  <c r="I220" i="20" s="1"/>
  <c r="J159" i="21"/>
  <c r="Z28" i="29"/>
  <c r="E233" i="22"/>
  <c r="I219" i="22"/>
  <c r="I8" i="11"/>
  <c r="N119" i="11"/>
  <c r="AD88" i="17"/>
  <c r="AB87" i="11" s="1"/>
  <c r="G308" i="17"/>
  <c r="E128" i="11" s="1"/>
  <c r="L325" i="20"/>
  <c r="L326" i="20" s="1"/>
  <c r="B180" i="17"/>
  <c r="G235" i="20"/>
  <c r="G236" i="20" s="1"/>
  <c r="J347" i="20"/>
  <c r="J348" i="20" s="1"/>
  <c r="F347" i="20"/>
  <c r="F348" i="20" s="1"/>
  <c r="AQ100" i="11"/>
  <c r="E85" i="8"/>
  <c r="AQ39" i="11"/>
  <c r="D40" i="11"/>
  <c r="AM164" i="17"/>
  <c r="J285" i="20"/>
  <c r="J286" i="20" s="1"/>
  <c r="E247" i="20"/>
  <c r="E248" i="20" s="1"/>
  <c r="AC48" i="11"/>
  <c r="AP152" i="17"/>
  <c r="AP150" i="17" s="1"/>
  <c r="BN19" i="29"/>
  <c r="K219" i="20"/>
  <c r="K220" i="20" s="1"/>
  <c r="L211" i="20"/>
  <c r="L212" i="20" s="1"/>
  <c r="K269" i="20"/>
  <c r="K270" i="20" s="1"/>
  <c r="L287" i="20"/>
  <c r="L288" i="20" s="1"/>
  <c r="AN28" i="29"/>
  <c r="AM28" i="29" s="1"/>
  <c r="P5" i="15"/>
  <c r="S5" i="15" s="1"/>
  <c r="U5" i="15" s="1"/>
  <c r="V5" i="15" s="1"/>
  <c r="F331" i="20"/>
  <c r="F332" i="20" s="1"/>
  <c r="S103" i="19"/>
  <c r="BB31" i="29"/>
  <c r="BB32" i="29"/>
  <c r="F321" i="20"/>
  <c r="F322" i="20" s="1"/>
  <c r="AK58" i="11"/>
  <c r="AA292" i="17"/>
  <c r="AA290" i="17" s="1"/>
  <c r="AA353" i="17"/>
  <c r="H308" i="17"/>
  <c r="F128" i="11" s="1"/>
  <c r="F49" i="11"/>
  <c r="AB308" i="17"/>
  <c r="AS48" i="11"/>
  <c r="AU303" i="17"/>
  <c r="AS127" i="11" s="1"/>
  <c r="R40" i="11"/>
  <c r="T258" i="17"/>
  <c r="G279" i="20"/>
  <c r="G280" i="20" s="1"/>
  <c r="L255" i="20"/>
  <c r="L256" i="20" s="1"/>
  <c r="E287" i="20"/>
  <c r="E288" i="20" s="1"/>
  <c r="F303" i="20"/>
  <c r="F304" i="20" s="1"/>
  <c r="F319" i="20"/>
  <c r="F320" i="20" s="1"/>
  <c r="L249" i="20"/>
  <c r="L250" i="20" s="1"/>
  <c r="Q15" i="15"/>
  <c r="AO73" i="11"/>
  <c r="AQ438" i="17"/>
  <c r="AO152" i="11" s="1"/>
  <c r="D90" i="8"/>
  <c r="C90" i="8" s="1"/>
  <c r="C12" i="8"/>
  <c r="Y54" i="11"/>
  <c r="AA333" i="17"/>
  <c r="Y133" i="11" s="1"/>
  <c r="AK54" i="11"/>
  <c r="AM333" i="17"/>
  <c r="AE52" i="11"/>
  <c r="AG323" i="17"/>
  <c r="AE131" i="11" s="1"/>
  <c r="U37" i="17"/>
  <c r="S51" i="11"/>
  <c r="AD51" i="11"/>
  <c r="AP259" i="17"/>
  <c r="V39" i="11"/>
  <c r="X253" i="17"/>
  <c r="V118" i="11" s="1"/>
  <c r="G311" i="20"/>
  <c r="G312" i="20" s="1"/>
  <c r="F239" i="20"/>
  <c r="F240" i="20" s="1"/>
  <c r="AA62" i="11"/>
  <c r="W58" i="11"/>
  <c r="Y292" i="17"/>
  <c r="Y290" i="17" s="1"/>
  <c r="AP39" i="11"/>
  <c r="AR253" i="17"/>
  <c r="AP118" i="11" s="1"/>
  <c r="N32" i="11"/>
  <c r="P213" i="17"/>
  <c r="N111" i="11" s="1"/>
  <c r="V438" i="17"/>
  <c r="T152" i="11" s="1"/>
  <c r="T73" i="11"/>
  <c r="AD54" i="11"/>
  <c r="AF52" i="17"/>
  <c r="I328" i="17"/>
  <c r="G53" i="11"/>
  <c r="AC53" i="11"/>
  <c r="AE328" i="17"/>
  <c r="AP41" i="11"/>
  <c r="AR263" i="17"/>
  <c r="AP120" i="11" s="1"/>
  <c r="L40" i="11"/>
  <c r="N258" i="17"/>
  <c r="L119" i="11" s="1"/>
  <c r="S253" i="17"/>
  <c r="Q118" i="11" s="1"/>
  <c r="Q39" i="11"/>
  <c r="BU4" i="29"/>
  <c r="BV11" i="29" s="1"/>
  <c r="C76" i="15"/>
  <c r="B465" i="17" s="1"/>
  <c r="AS469" i="17" s="1"/>
  <c r="B395" i="17"/>
  <c r="AI399" i="17" s="1"/>
  <c r="J243" i="17"/>
  <c r="H116" i="11" s="1"/>
  <c r="H37" i="11"/>
  <c r="X37" i="11"/>
  <c r="Z243" i="17"/>
  <c r="AN37" i="11"/>
  <c r="AP243" i="17"/>
  <c r="AN116" i="11" s="1"/>
  <c r="T32" i="11"/>
  <c r="V213" i="17"/>
  <c r="T111" i="11" s="1"/>
  <c r="W213" i="17"/>
  <c r="U111" i="11" s="1"/>
  <c r="U32" i="11"/>
  <c r="AU493" i="17"/>
  <c r="J32" i="11"/>
  <c r="L213" i="17"/>
  <c r="J111" i="11" s="1"/>
  <c r="AP32" i="11"/>
  <c r="AR213" i="17"/>
  <c r="AP111" i="11" s="1"/>
  <c r="Q193" i="17"/>
  <c r="O107" i="11" s="1"/>
  <c r="O28" i="11"/>
  <c r="AG193" i="17"/>
  <c r="AE107" i="11" s="1"/>
  <c r="AE28" i="11"/>
  <c r="AE193" i="17"/>
  <c r="AC107" i="11" s="1"/>
  <c r="AC28" i="11"/>
  <c r="T52" i="17"/>
  <c r="AM173" i="17"/>
  <c r="AK103" i="11" s="1"/>
  <c r="AK24" i="11"/>
  <c r="J24" i="11"/>
  <c r="E129" i="17"/>
  <c r="AH123" i="17"/>
  <c r="AF15" i="11"/>
  <c r="R123" i="17"/>
  <c r="P15" i="11"/>
  <c r="AQ14" i="11"/>
  <c r="AS118" i="17"/>
  <c r="AA14" i="11"/>
  <c r="AO12" i="11"/>
  <c r="AQ108" i="17"/>
  <c r="AJ11" i="11"/>
  <c r="AL103" i="17"/>
  <c r="V32" i="17"/>
  <c r="V103" i="17"/>
  <c r="T90" i="11" s="1"/>
  <c r="T11" i="11"/>
  <c r="D11" i="11"/>
  <c r="F103" i="17"/>
  <c r="F32" i="17"/>
  <c r="D102" i="17"/>
  <c r="D100" i="17" s="1"/>
  <c r="O10" i="11"/>
  <c r="X478" i="17"/>
  <c r="V160" i="11" s="1"/>
  <c r="V81" i="11"/>
  <c r="AO478" i="17"/>
  <c r="AM160" i="11" s="1"/>
  <c r="AM81" i="11"/>
  <c r="E77" i="11"/>
  <c r="G458" i="17"/>
  <c r="E156" i="11" s="1"/>
  <c r="J77" i="11"/>
  <c r="L458" i="17"/>
  <c r="J156" i="11" s="1"/>
  <c r="AP77" i="11"/>
  <c r="AR458" i="17"/>
  <c r="AP156" i="11" s="1"/>
  <c r="AA77" i="11"/>
  <c r="AC458" i="17"/>
  <c r="AA156" i="11" s="1"/>
  <c r="P77" i="11"/>
  <c r="R458" i="17"/>
  <c r="P156" i="11" s="1"/>
  <c r="AF77" i="11"/>
  <c r="AH458" i="17"/>
  <c r="AF156" i="11" s="1"/>
  <c r="O438" i="17"/>
  <c r="M152" i="11" s="1"/>
  <c r="M73" i="11"/>
  <c r="AU438" i="17"/>
  <c r="AS152" i="11" s="1"/>
  <c r="AS73" i="11"/>
  <c r="AJ438" i="17"/>
  <c r="AH152" i="11" s="1"/>
  <c r="AH73" i="11"/>
  <c r="U438" i="17"/>
  <c r="S73" i="11"/>
  <c r="J438" i="17"/>
  <c r="H152" i="11" s="1"/>
  <c r="H73" i="11"/>
  <c r="AQ68" i="11"/>
  <c r="AS408" i="17"/>
  <c r="AK68" i="11"/>
  <c r="AM408" i="17"/>
  <c r="P388" i="17"/>
  <c r="N143" i="11" s="1"/>
  <c r="N64" i="11"/>
  <c r="Y368" i="17"/>
  <c r="W139" i="11" s="1"/>
  <c r="W60" i="11"/>
  <c r="AO368" i="17"/>
  <c r="AM139" i="11" s="1"/>
  <c r="AM60" i="11"/>
  <c r="N368" i="17"/>
  <c r="L139" i="11" s="1"/>
  <c r="L60" i="11"/>
  <c r="AD368" i="17"/>
  <c r="AB139" i="11" s="1"/>
  <c r="AB60" i="11"/>
  <c r="AT368" i="17"/>
  <c r="AR139" i="11" s="1"/>
  <c r="AR60" i="11"/>
  <c r="S368" i="17"/>
  <c r="Q139" i="11" s="1"/>
  <c r="Q60" i="11"/>
  <c r="X368" i="17"/>
  <c r="V139" i="11" s="1"/>
  <c r="V60" i="11"/>
  <c r="AL60" i="11"/>
  <c r="AN368" i="17"/>
  <c r="AL139" i="11" s="1"/>
  <c r="J338" i="17"/>
  <c r="H55" i="11"/>
  <c r="X55" i="11"/>
  <c r="Z338" i="17"/>
  <c r="AE338" i="17"/>
  <c r="AC55" i="11"/>
  <c r="AU338" i="17"/>
  <c r="AS55" i="11"/>
  <c r="R55" i="11"/>
  <c r="T338" i="17"/>
  <c r="AJ338" i="17"/>
  <c r="AH134" i="11" s="1"/>
  <c r="AH55" i="11"/>
  <c r="C55" i="11"/>
  <c r="E338" i="17"/>
  <c r="C134" i="11" s="1"/>
  <c r="AE198" i="17"/>
  <c r="AU198" i="17"/>
  <c r="AS108" i="11" s="1"/>
  <c r="AS29" i="11"/>
  <c r="AJ198" i="17"/>
  <c r="AH108" i="11" s="1"/>
  <c r="AH29" i="11"/>
  <c r="S29" i="11"/>
  <c r="U198" i="17"/>
  <c r="D25" i="11"/>
  <c r="F178" i="17"/>
  <c r="D104" i="11" s="1"/>
  <c r="AL178" i="17"/>
  <c r="AJ104" i="11" s="1"/>
  <c r="AJ25" i="11"/>
  <c r="Z25" i="11"/>
  <c r="AB178" i="17"/>
  <c r="Z104" i="11" s="1"/>
  <c r="M178" i="17"/>
  <c r="K104" i="11" s="1"/>
  <c r="K25" i="11"/>
  <c r="AS178" i="17"/>
  <c r="AQ104" i="11" s="1"/>
  <c r="AQ25" i="11"/>
  <c r="O173" i="17"/>
  <c r="M24" i="11"/>
  <c r="AB23" i="11"/>
  <c r="AD168" i="17"/>
  <c r="AB102" i="11" s="1"/>
  <c r="E163" i="17"/>
  <c r="F164" i="17" s="1"/>
  <c r="C22" i="11"/>
  <c r="M143" i="17"/>
  <c r="K98" i="11" s="1"/>
  <c r="AS17" i="11"/>
  <c r="AU133" i="17"/>
  <c r="AU134" i="17" s="1"/>
  <c r="AJ12" i="11"/>
  <c r="AL108" i="17"/>
  <c r="AJ91" i="11" s="1"/>
  <c r="T12" i="11"/>
  <c r="V108" i="17"/>
  <c r="T91" i="11" s="1"/>
  <c r="AE11" i="11"/>
  <c r="AG103" i="17"/>
  <c r="O11" i="11"/>
  <c r="Q103" i="17"/>
  <c r="P98" i="17"/>
  <c r="Q99" i="17" s="1"/>
  <c r="H483" i="17"/>
  <c r="F161" i="11" s="1"/>
  <c r="F82" i="11"/>
  <c r="AB483" i="17"/>
  <c r="Z161" i="11" s="1"/>
  <c r="Z82" i="11"/>
  <c r="AV483" i="17"/>
  <c r="AT161" i="11" s="1"/>
  <c r="AA82" i="11"/>
  <c r="AC483" i="17"/>
  <c r="AA161" i="11" s="1"/>
  <c r="AH483" i="17"/>
  <c r="AF161" i="11" s="1"/>
  <c r="AF82" i="11"/>
  <c r="D482" i="17"/>
  <c r="D480" i="17" s="1"/>
  <c r="E82" i="11"/>
  <c r="G483" i="17"/>
  <c r="E161" i="11" s="1"/>
  <c r="W483" i="17"/>
  <c r="U161" i="11" s="1"/>
  <c r="AK82" i="11"/>
  <c r="L463" i="17"/>
  <c r="J157" i="11" s="1"/>
  <c r="J78" i="11"/>
  <c r="Z78" i="11"/>
  <c r="AB463" i="17"/>
  <c r="Z157" i="11" s="1"/>
  <c r="AC463" i="17"/>
  <c r="AA157" i="11" s="1"/>
  <c r="AA78" i="11"/>
  <c r="AQ78" i="11"/>
  <c r="AS463" i="17"/>
  <c r="AQ157" i="11" s="1"/>
  <c r="G463" i="17"/>
  <c r="E157" i="11" s="1"/>
  <c r="E78" i="11"/>
  <c r="U78" i="11"/>
  <c r="W463" i="17"/>
  <c r="U157" i="11" s="1"/>
  <c r="L443" i="17"/>
  <c r="J153" i="11" s="1"/>
  <c r="J74" i="11"/>
  <c r="AB443" i="17"/>
  <c r="Z153" i="11" s="1"/>
  <c r="Z74" i="11"/>
  <c r="AR443" i="17"/>
  <c r="AP153" i="11" s="1"/>
  <c r="AP74" i="11"/>
  <c r="AC443" i="17"/>
  <c r="AA153" i="11" s="1"/>
  <c r="AA74" i="11"/>
  <c r="AQ74" i="11"/>
  <c r="AS443" i="17"/>
  <c r="AQ153" i="11" s="1"/>
  <c r="AH443" i="17"/>
  <c r="AF153" i="11" s="1"/>
  <c r="AF74" i="11"/>
  <c r="G443" i="17"/>
  <c r="E153" i="11" s="1"/>
  <c r="E74" i="11"/>
  <c r="W443" i="17"/>
  <c r="U153" i="11" s="1"/>
  <c r="U74" i="11"/>
  <c r="J413" i="17"/>
  <c r="H148" i="11" s="1"/>
  <c r="H69" i="11"/>
  <c r="Z413" i="17"/>
  <c r="X148" i="11" s="1"/>
  <c r="X69" i="11"/>
  <c r="AP413" i="17"/>
  <c r="AN148" i="11" s="1"/>
  <c r="AN69" i="11"/>
  <c r="AE413" i="17"/>
  <c r="AC148" i="11" s="1"/>
  <c r="AC69" i="11"/>
  <c r="AU413" i="17"/>
  <c r="AS148" i="11" s="1"/>
  <c r="AS69" i="11"/>
  <c r="T413" i="17"/>
  <c r="R148" i="11" s="1"/>
  <c r="R69" i="11"/>
  <c r="AP69" i="11"/>
  <c r="AR413" i="17"/>
  <c r="Q413" i="17"/>
  <c r="O148" i="11" s="1"/>
  <c r="O69" i="11"/>
  <c r="AM69" i="11"/>
  <c r="AO413" i="17"/>
  <c r="AM148" i="11" s="1"/>
  <c r="AT393" i="17"/>
  <c r="AR144" i="11" s="1"/>
  <c r="AR65" i="11"/>
  <c r="F65" i="11"/>
  <c r="H393" i="17"/>
  <c r="F144" i="11" s="1"/>
  <c r="AL65" i="11"/>
  <c r="AN393" i="17"/>
  <c r="AL144" i="11" s="1"/>
  <c r="Y393" i="17"/>
  <c r="W144" i="11" s="1"/>
  <c r="W65" i="11"/>
  <c r="AD373" i="17"/>
  <c r="AB61" i="11"/>
  <c r="AI373" i="17"/>
  <c r="AG140" i="11" s="1"/>
  <c r="AG61" i="11"/>
  <c r="X373" i="17"/>
  <c r="V140" i="11" s="1"/>
  <c r="V61" i="11"/>
  <c r="AL61" i="11"/>
  <c r="AN373" i="17"/>
  <c r="AL140" i="11" s="1"/>
  <c r="W61" i="11"/>
  <c r="Y373" i="17"/>
  <c r="W140" i="11" s="1"/>
  <c r="M56" i="11"/>
  <c r="O343" i="17"/>
  <c r="M135" i="11" s="1"/>
  <c r="T343" i="17"/>
  <c r="R56" i="11"/>
  <c r="Q343" i="17"/>
  <c r="O135" i="11" s="1"/>
  <c r="O56" i="11"/>
  <c r="AO343" i="17"/>
  <c r="AM135" i="11" s="1"/>
  <c r="AM56" i="11"/>
  <c r="N343" i="17"/>
  <c r="L56" i="11"/>
  <c r="AD343" i="17"/>
  <c r="AB135" i="11" s="1"/>
  <c r="AB56" i="11"/>
  <c r="AT343" i="17"/>
  <c r="AR135" i="11" s="1"/>
  <c r="AR56" i="11"/>
  <c r="AI323" i="17"/>
  <c r="AG131" i="11" s="1"/>
  <c r="AG52" i="11"/>
  <c r="V52" i="11"/>
  <c r="X323" i="17"/>
  <c r="V131" i="11" s="1"/>
  <c r="AO323" i="17"/>
  <c r="AM131" i="11" s="1"/>
  <c r="AM52" i="11"/>
  <c r="AD323" i="17"/>
  <c r="AB131" i="11" s="1"/>
  <c r="AB52" i="11"/>
  <c r="K303" i="17"/>
  <c r="I127" i="11" s="1"/>
  <c r="I48" i="11"/>
  <c r="AO48" i="11"/>
  <c r="AQ303" i="17"/>
  <c r="AO127" i="11" s="1"/>
  <c r="AF303" i="17"/>
  <c r="AD127" i="11" s="1"/>
  <c r="AD48" i="11"/>
  <c r="Q303" i="17"/>
  <c r="O127" i="11" s="1"/>
  <c r="O48" i="11"/>
  <c r="U133" i="17"/>
  <c r="S17" i="11"/>
  <c r="Y343" i="17"/>
  <c r="W56" i="11"/>
  <c r="AE43" i="11"/>
  <c r="AG273" i="17"/>
  <c r="AE122" i="11" s="1"/>
  <c r="AG62" i="17"/>
  <c r="T43" i="11"/>
  <c r="V273" i="17"/>
  <c r="T122" i="11" s="1"/>
  <c r="AJ43" i="11"/>
  <c r="AL273" i="17"/>
  <c r="AJ122" i="11" s="1"/>
  <c r="I43" i="11"/>
  <c r="K273" i="17"/>
  <c r="I122" i="11" s="1"/>
  <c r="Y43" i="11"/>
  <c r="AA273" i="17"/>
  <c r="Y122" i="11" s="1"/>
  <c r="AH100" i="11"/>
  <c r="Z121" i="11"/>
  <c r="AG60" i="11"/>
  <c r="F108" i="17"/>
  <c r="D91" i="11" s="1"/>
  <c r="K21" i="29"/>
  <c r="E275" i="20"/>
  <c r="E276" i="20" s="1"/>
  <c r="BA9" i="29"/>
  <c r="AV292" i="17"/>
  <c r="AV290" i="17" s="1"/>
  <c r="AP47" i="17"/>
  <c r="E23" i="13"/>
  <c r="AI348" i="17"/>
  <c r="AG136" i="11" s="1"/>
  <c r="H27" i="11"/>
  <c r="I49" i="11"/>
  <c r="AH70" i="11"/>
  <c r="M213" i="17"/>
  <c r="K111" i="11" s="1"/>
  <c r="K32" i="11"/>
  <c r="Z32" i="11"/>
  <c r="AB213" i="17"/>
  <c r="Z111" i="11" s="1"/>
  <c r="G193" i="17"/>
  <c r="E107" i="11" s="1"/>
  <c r="E28" i="11"/>
  <c r="J28" i="11"/>
  <c r="L193" i="17"/>
  <c r="J107" i="11" s="1"/>
  <c r="AR193" i="17"/>
  <c r="AP107" i="11" s="1"/>
  <c r="AP28" i="11"/>
  <c r="D382" i="17"/>
  <c r="D380" i="17" s="1"/>
  <c r="AM63" i="11"/>
  <c r="AS173" i="17"/>
  <c r="AQ24" i="11"/>
  <c r="AS32" i="17"/>
  <c r="AU173" i="17"/>
  <c r="AS103" i="11" s="1"/>
  <c r="AS24" i="11"/>
  <c r="AI21" i="11"/>
  <c r="AK158" i="17"/>
  <c r="AI100" i="11" s="1"/>
  <c r="E158" i="17"/>
  <c r="C21" i="11"/>
  <c r="P19" i="11"/>
  <c r="D457" i="17"/>
  <c r="D455" i="17" s="1"/>
  <c r="P55" i="11"/>
  <c r="R338" i="17"/>
  <c r="E55" i="11"/>
  <c r="G338" i="17"/>
  <c r="E134" i="11" s="1"/>
  <c r="U55" i="11"/>
  <c r="W338" i="17"/>
  <c r="L338" i="17"/>
  <c r="J134" i="11" s="1"/>
  <c r="J55" i="11"/>
  <c r="Z55" i="11"/>
  <c r="AB338" i="17"/>
  <c r="Z134" i="11" s="1"/>
  <c r="K55" i="11"/>
  <c r="M338" i="17"/>
  <c r="K134" i="11" s="1"/>
  <c r="Y32" i="17"/>
  <c r="AI82" i="11"/>
  <c r="AK483" i="17"/>
  <c r="AI161" i="11" s="1"/>
  <c r="Z483" i="17"/>
  <c r="X161" i="11" s="1"/>
  <c r="X82" i="11"/>
  <c r="AN82" i="11"/>
  <c r="AP483" i="17"/>
  <c r="AN161" i="11" s="1"/>
  <c r="AC82" i="11"/>
  <c r="AE483" i="17"/>
  <c r="AC161" i="11" s="1"/>
  <c r="R78" i="11"/>
  <c r="T463" i="17"/>
  <c r="R157" i="11" s="1"/>
  <c r="AH78" i="11"/>
  <c r="AJ463" i="17"/>
  <c r="AH157" i="11" s="1"/>
  <c r="U463" i="17"/>
  <c r="S157" i="11" s="1"/>
  <c r="S78" i="11"/>
  <c r="J463" i="17"/>
  <c r="H157" i="11" s="1"/>
  <c r="H78" i="11"/>
  <c r="Z463" i="17"/>
  <c r="X157" i="11" s="1"/>
  <c r="X78" i="11"/>
  <c r="O463" i="17"/>
  <c r="M157" i="11" s="1"/>
  <c r="M78" i="11"/>
  <c r="AU463" i="17"/>
  <c r="AS157" i="11" s="1"/>
  <c r="AS78" i="11"/>
  <c r="R74" i="11"/>
  <c r="T443" i="17"/>
  <c r="R153" i="11" s="1"/>
  <c r="AJ443" i="17"/>
  <c r="AH153" i="11" s="1"/>
  <c r="AH74" i="11"/>
  <c r="C74" i="11"/>
  <c r="E443" i="17"/>
  <c r="C153" i="11" s="1"/>
  <c r="AK443" i="17"/>
  <c r="AI153" i="11" s="1"/>
  <c r="AI74" i="11"/>
  <c r="Z443" i="17"/>
  <c r="X153" i="11" s="1"/>
  <c r="X74" i="11"/>
  <c r="AN74" i="11"/>
  <c r="AP443" i="17"/>
  <c r="AN153" i="11" s="1"/>
  <c r="AE443" i="17"/>
  <c r="AC153" i="11" s="1"/>
  <c r="AC74" i="11"/>
  <c r="AU443" i="17"/>
  <c r="AS153" i="11" s="1"/>
  <c r="AS74" i="11"/>
  <c r="AH413" i="17"/>
  <c r="AF148" i="11" s="1"/>
  <c r="AF69" i="11"/>
  <c r="W413" i="17"/>
  <c r="U69" i="11"/>
  <c r="AK69" i="11"/>
  <c r="AM413" i="17"/>
  <c r="AK148" i="11" s="1"/>
  <c r="T65" i="11"/>
  <c r="V393" i="17"/>
  <c r="T144" i="11" s="1"/>
  <c r="AD61" i="11"/>
  <c r="AF373" i="17"/>
  <c r="AD140" i="11" s="1"/>
  <c r="S323" i="17"/>
  <c r="Q131" i="11" s="1"/>
  <c r="Q52" i="11"/>
  <c r="F52" i="11"/>
  <c r="H323" i="17"/>
  <c r="F131" i="11" s="1"/>
  <c r="Y323" i="17"/>
  <c r="W131" i="11" s="1"/>
  <c r="W52" i="11"/>
  <c r="N323" i="17"/>
  <c r="L131" i="11" s="1"/>
  <c r="L52" i="11"/>
  <c r="AR52" i="11"/>
  <c r="AT323" i="17"/>
  <c r="AR131" i="11" s="1"/>
  <c r="Y453" i="17"/>
  <c r="W155" i="11" s="1"/>
  <c r="W76" i="11"/>
  <c r="I418" i="17"/>
  <c r="G70" i="11"/>
  <c r="N418" i="17"/>
  <c r="L149" i="11" s="1"/>
  <c r="L70" i="11"/>
  <c r="AK353" i="17"/>
  <c r="AI58" i="11"/>
  <c r="I53" i="11"/>
  <c r="K328" i="17"/>
  <c r="AN208" i="17"/>
  <c r="AL31" i="11"/>
  <c r="AH208" i="17"/>
  <c r="AF31" i="11"/>
  <c r="S27" i="11"/>
  <c r="U188" i="17"/>
  <c r="AD473" i="17"/>
  <c r="AB159" i="11" s="1"/>
  <c r="AB80" i="11"/>
  <c r="P423" i="17"/>
  <c r="N150" i="11" s="1"/>
  <c r="N71" i="11"/>
  <c r="AG362" i="17"/>
  <c r="AG360" i="17" s="1"/>
  <c r="C38" i="11"/>
  <c r="E248" i="17"/>
  <c r="C117" i="11" s="1"/>
  <c r="AK248" i="17"/>
  <c r="AI117" i="11" s="1"/>
  <c r="AI38" i="11"/>
  <c r="AF228" i="17"/>
  <c r="AD113" i="11" s="1"/>
  <c r="AD34" i="11"/>
  <c r="AI203" i="17"/>
  <c r="AG109" i="11" s="1"/>
  <c r="AG30" i="11"/>
  <c r="N493" i="17"/>
  <c r="L163" i="11" s="1"/>
  <c r="L84" i="11"/>
  <c r="E71" i="7"/>
  <c r="E72" i="7" s="1"/>
  <c r="E74" i="7"/>
  <c r="X453" i="17"/>
  <c r="V155" i="11" s="1"/>
  <c r="V76" i="11"/>
  <c r="O362" i="17"/>
  <c r="O360" i="17" s="1"/>
  <c r="AJ63" i="11"/>
  <c r="AL383" i="17"/>
  <c r="AJ142" i="11" s="1"/>
  <c r="AU263" i="17"/>
  <c r="AS120" i="11" s="1"/>
  <c r="AS41" i="11"/>
  <c r="G71" i="7"/>
  <c r="G72" i="7" s="1"/>
  <c r="G74" i="7"/>
  <c r="G92" i="8"/>
  <c r="G53" i="8"/>
  <c r="G79" i="8"/>
  <c r="R32" i="17"/>
  <c r="S82" i="17"/>
  <c r="S80" i="17" s="1"/>
  <c r="F86" i="8"/>
  <c r="F47" i="8"/>
  <c r="H52" i="8"/>
  <c r="H91" i="8"/>
  <c r="I53" i="10"/>
  <c r="K61" i="9" s="1"/>
  <c r="BV35" i="10"/>
  <c r="AS11" i="11"/>
  <c r="AU103" i="17"/>
  <c r="AU104" i="17" s="1"/>
  <c r="O357" i="17"/>
  <c r="O355" i="17" s="1"/>
  <c r="G56" i="7"/>
  <c r="G53" i="7"/>
  <c r="G54" i="7" s="1"/>
  <c r="I92" i="7"/>
  <c r="I89" i="7"/>
  <c r="I90" i="7" s="1"/>
  <c r="E107" i="7"/>
  <c r="E108" i="7" s="1"/>
  <c r="E110" i="7"/>
  <c r="I107" i="7"/>
  <c r="I108" i="7" s="1"/>
  <c r="I110" i="7"/>
  <c r="C47" i="10"/>
  <c r="H55" i="9" s="1"/>
  <c r="AC35" i="10"/>
  <c r="BT35" i="10"/>
  <c r="G53" i="10"/>
  <c r="K59" i="9" s="1"/>
  <c r="I143" i="9"/>
  <c r="Q22" i="14"/>
  <c r="K42" i="14"/>
  <c r="K39" i="14"/>
  <c r="K36" i="14"/>
  <c r="K35" i="14"/>
  <c r="AA53" i="14"/>
  <c r="E396" i="20"/>
  <c r="AQ187" i="17"/>
  <c r="S187" i="17"/>
  <c r="AT187" i="17"/>
  <c r="AD187" i="17"/>
  <c r="N187" i="17"/>
  <c r="AO187" i="17"/>
  <c r="Y187" i="17"/>
  <c r="I187" i="17"/>
  <c r="AN187" i="17"/>
  <c r="X187" i="17"/>
  <c r="H187" i="17"/>
  <c r="AE187" i="17"/>
  <c r="K187" i="17"/>
  <c r="AL187" i="17"/>
  <c r="V187" i="17"/>
  <c r="F187" i="17"/>
  <c r="AG187" i="17"/>
  <c r="Q187" i="17"/>
  <c r="AV187" i="17"/>
  <c r="AF187" i="17"/>
  <c r="P187" i="17"/>
  <c r="AM207" i="17"/>
  <c r="AM152" i="17" s="1"/>
  <c r="W207" i="17"/>
  <c r="AL207" i="17"/>
  <c r="V207" i="17"/>
  <c r="F207" i="17"/>
  <c r="AG207" i="17"/>
  <c r="U207" i="17"/>
  <c r="E207" i="17"/>
  <c r="AJ207" i="17"/>
  <c r="T207" i="17"/>
  <c r="AU207" i="17"/>
  <c r="AU152" i="17" s="1"/>
  <c r="AE207" i="17"/>
  <c r="O207" i="17"/>
  <c r="AT207" i="17"/>
  <c r="AD207" i="17"/>
  <c r="AD152" i="17" s="1"/>
  <c r="AD150" i="17" s="1"/>
  <c r="N207" i="17"/>
  <c r="AO207" i="17"/>
  <c r="AC207" i="17"/>
  <c r="M207" i="17"/>
  <c r="AR207" i="17"/>
  <c r="AB207" i="17"/>
  <c r="AB152" i="17" s="1"/>
  <c r="AB150" i="17" s="1"/>
  <c r="L207" i="17"/>
  <c r="AR237" i="17"/>
  <c r="W237" i="17"/>
  <c r="AC237" i="17"/>
  <c r="L237" i="17"/>
  <c r="AH237" i="17"/>
  <c r="Y257" i="17"/>
  <c r="AD257" i="17"/>
  <c r="H257" i="17"/>
  <c r="AK277" i="17"/>
  <c r="U277" i="17"/>
  <c r="E277" i="17"/>
  <c r="AF277" i="17"/>
  <c r="P277" i="17"/>
  <c r="AQ277" i="17"/>
  <c r="AA277" i="17"/>
  <c r="K277" i="17"/>
  <c r="AL277" i="17"/>
  <c r="R277" i="17"/>
  <c r="AV277" i="17"/>
  <c r="AS277" i="17"/>
  <c r="AC277" i="17"/>
  <c r="M277" i="17"/>
  <c r="AN277" i="17"/>
  <c r="X277" i="17"/>
  <c r="H277" i="17"/>
  <c r="AI277" i="17"/>
  <c r="S277" i="17"/>
  <c r="AT277" i="17"/>
  <c r="AD277" i="17"/>
  <c r="AU307" i="17"/>
  <c r="O307" i="17"/>
  <c r="Z307" i="17"/>
  <c r="AK307" i="17"/>
  <c r="E307" i="17"/>
  <c r="T307" i="17"/>
  <c r="AA327" i="17"/>
  <c r="AL327" i="17"/>
  <c r="AD19" i="29"/>
  <c r="D93" i="19"/>
  <c r="E93" i="19" s="1"/>
  <c r="D65" i="19"/>
  <c r="E65" i="19" s="1"/>
  <c r="Q18" i="19"/>
  <c r="K136" i="19"/>
  <c r="H136" i="19"/>
  <c r="G136" i="19" s="1"/>
  <c r="F136" i="19" s="1"/>
  <c r="T13" i="19"/>
  <c r="R13" i="19" s="1"/>
  <c r="H89" i="19"/>
  <c r="K18" i="19"/>
  <c r="AF27" i="29"/>
  <c r="AE27" i="29" s="1"/>
  <c r="D124" i="19"/>
  <c r="E124" i="19" s="1"/>
  <c r="E12" i="19" s="1"/>
  <c r="C12" i="19" s="1"/>
  <c r="C110" i="22"/>
  <c r="C175" i="22"/>
  <c r="J175" i="8"/>
  <c r="C19" i="13"/>
  <c r="Z22" i="14"/>
  <c r="AB22" i="14"/>
  <c r="W51" i="14"/>
  <c r="AL137" i="17"/>
  <c r="Q137" i="17"/>
  <c r="Q138" i="17" s="1"/>
  <c r="T137" i="17"/>
  <c r="F121" i="19"/>
  <c r="G121" i="19" s="1"/>
  <c r="H121" i="19" s="1"/>
  <c r="J137" i="17"/>
  <c r="L137" i="17"/>
  <c r="AQ137" i="17"/>
  <c r="AD137" i="17"/>
  <c r="AO137" i="17"/>
  <c r="AM18" i="11" s="1"/>
  <c r="I137" i="17"/>
  <c r="AJ137" i="17"/>
  <c r="AI137" i="17"/>
  <c r="AI82" i="17" s="1"/>
  <c r="F124" i="19"/>
  <c r="G124" i="19" s="1"/>
  <c r="R137" i="17"/>
  <c r="R138" i="17" s="1"/>
  <c r="AG137" i="17"/>
  <c r="AG82" i="17" s="1"/>
  <c r="AG80" i="17" s="1"/>
  <c r="AB137" i="17"/>
  <c r="AB82" i="17" s="1"/>
  <c r="AB80" i="17" s="1"/>
  <c r="AA137" i="17"/>
  <c r="D126" i="19"/>
  <c r="E126" i="19" s="1"/>
  <c r="E14" i="19" s="1"/>
  <c r="C14" i="19" s="1"/>
  <c r="AR82" i="17"/>
  <c r="AR80" i="17" s="1"/>
  <c r="AH137" i="17"/>
  <c r="N137" i="17"/>
  <c r="AS137" i="17"/>
  <c r="AC137" i="17"/>
  <c r="M137" i="17"/>
  <c r="AF137" i="17"/>
  <c r="P137" i="17"/>
  <c r="AM137" i="17"/>
  <c r="AM82" i="17" s="1"/>
  <c r="W137" i="17"/>
  <c r="G137" i="17"/>
  <c r="AV137" i="17"/>
  <c r="Y82" i="17"/>
  <c r="Y80" i="17" s="1"/>
  <c r="AP137" i="17"/>
  <c r="Z137" i="17"/>
  <c r="F137" i="17"/>
  <c r="AK137" i="17"/>
  <c r="U137" i="17"/>
  <c r="E137" i="17"/>
  <c r="AN137" i="17"/>
  <c r="X137" i="17"/>
  <c r="H137" i="17"/>
  <c r="AU137" i="17"/>
  <c r="AE137" i="17"/>
  <c r="AE82" i="17" s="1"/>
  <c r="O137" i="17"/>
  <c r="V137" i="17"/>
  <c r="R111" i="11"/>
  <c r="X119" i="11"/>
  <c r="AX28" i="29"/>
  <c r="AW5" i="29"/>
  <c r="AK52" i="17"/>
  <c r="AI41" i="11"/>
  <c r="AK263" i="17"/>
  <c r="AI120" i="11" s="1"/>
  <c r="AF41" i="11"/>
  <c r="AH263" i="17"/>
  <c r="AF120" i="11" s="1"/>
  <c r="AH52" i="17"/>
  <c r="AD52" i="17"/>
  <c r="AD263" i="17"/>
  <c r="E40" i="11"/>
  <c r="G258" i="17"/>
  <c r="AT258" i="17"/>
  <c r="AM33" i="29"/>
  <c r="AM21" i="29"/>
  <c r="AM22" i="29"/>
  <c r="AM23" i="29"/>
  <c r="I86" i="8"/>
  <c r="I47" i="8"/>
  <c r="E95" i="11"/>
  <c r="I52" i="34"/>
  <c r="H59" i="34"/>
  <c r="E501" i="17"/>
  <c r="F501" i="17" s="1"/>
  <c r="G501" i="17" s="1"/>
  <c r="H501" i="17" s="1"/>
  <c r="I501" i="17" s="1"/>
  <c r="E503" i="17"/>
  <c r="F503" i="17" s="1"/>
  <c r="G503" i="17" s="1"/>
  <c r="H503" i="17" s="1"/>
  <c r="I503" i="17" s="1"/>
  <c r="J503" i="17" s="1"/>
  <c r="K503" i="17" s="1"/>
  <c r="M3" i="17"/>
  <c r="AT41" i="11"/>
  <c r="AV52" i="17"/>
  <c r="AV263" i="17"/>
  <c r="AM263" i="17"/>
  <c r="AK41" i="11"/>
  <c r="AM52" i="17"/>
  <c r="AL41" i="11"/>
  <c r="AN52" i="17"/>
  <c r="P137" i="11"/>
  <c r="AB41" i="11"/>
  <c r="AN263" i="17"/>
  <c r="AL120" i="11" s="1"/>
  <c r="S130" i="11"/>
  <c r="M263" i="17"/>
  <c r="O71" i="11"/>
  <c r="Q423" i="17"/>
  <c r="Q362" i="17"/>
  <c r="Q360" i="17" s="1"/>
  <c r="D71" i="11"/>
  <c r="F423" i="17"/>
  <c r="D150" i="11" s="1"/>
  <c r="W362" i="17"/>
  <c r="W360" i="17" s="1"/>
  <c r="U71" i="11"/>
  <c r="W423" i="17"/>
  <c r="AM423" i="17"/>
  <c r="AK150" i="11" s="1"/>
  <c r="AK71" i="11"/>
  <c r="P403" i="17"/>
  <c r="N146" i="11" s="1"/>
  <c r="N67" i="11"/>
  <c r="AV403" i="17"/>
  <c r="AT146" i="11" s="1"/>
  <c r="AT67" i="11"/>
  <c r="AE67" i="11"/>
  <c r="AG357" i="17"/>
  <c r="AG355" i="17" s="1"/>
  <c r="D402" i="17"/>
  <c r="D400" i="17" s="1"/>
  <c r="T67" i="11"/>
  <c r="V403" i="17"/>
  <c r="T146" i="11" s="1"/>
  <c r="I67" i="11"/>
  <c r="K403" i="17"/>
  <c r="I146" i="11" s="1"/>
  <c r="K52" i="17"/>
  <c r="AO67" i="11"/>
  <c r="AQ403" i="17"/>
  <c r="AO146" i="11" s="1"/>
  <c r="N63" i="11"/>
  <c r="P383" i="17"/>
  <c r="AF32" i="17"/>
  <c r="C63" i="11"/>
  <c r="E383" i="17"/>
  <c r="S63" i="11"/>
  <c r="U383" i="17"/>
  <c r="AK383" i="17"/>
  <c r="AI63" i="11"/>
  <c r="N383" i="17"/>
  <c r="N32" i="17"/>
  <c r="AB63" i="11"/>
  <c r="AD32" i="17"/>
  <c r="AD383" i="17"/>
  <c r="AT383" i="17"/>
  <c r="AT32" i="17"/>
  <c r="AR63" i="11"/>
  <c r="Q63" i="11"/>
  <c r="S32" i="17"/>
  <c r="S383" i="17"/>
  <c r="AI383" i="17"/>
  <c r="AG63" i="11"/>
  <c r="F58" i="11"/>
  <c r="H353" i="17"/>
  <c r="F137" i="11" s="1"/>
  <c r="G58" i="11"/>
  <c r="I353" i="17"/>
  <c r="L353" i="17"/>
  <c r="J58" i="11"/>
  <c r="W128" i="17"/>
  <c r="U16" i="11"/>
  <c r="AE34" i="11"/>
  <c r="AL228" i="17"/>
  <c r="AJ113" i="11" s="1"/>
  <c r="J128" i="17"/>
  <c r="H95" i="11" s="1"/>
  <c r="H16" i="11"/>
  <c r="W16" i="11"/>
  <c r="T15" i="15"/>
  <c r="W15" i="15" s="1"/>
  <c r="Z15" i="15" s="1"/>
  <c r="AA15" i="15" s="1"/>
  <c r="P15" i="15"/>
  <c r="S15" i="15" s="1"/>
  <c r="U15" i="15" s="1"/>
  <c r="V15" i="15" s="1"/>
  <c r="V132" i="11"/>
  <c r="AT158" i="11"/>
  <c r="AG90" i="11"/>
  <c r="AJ104" i="17"/>
  <c r="AO93" i="11"/>
  <c r="K259" i="20"/>
  <c r="K260" i="20" s="1"/>
  <c r="G259" i="20"/>
  <c r="G260" i="20" s="1"/>
  <c r="K147" i="11"/>
  <c r="AH116" i="11"/>
  <c r="M116" i="11"/>
  <c r="X147" i="11"/>
  <c r="C147" i="11"/>
  <c r="AT111" i="11"/>
  <c r="AA88" i="17"/>
  <c r="AP119" i="11"/>
  <c r="AN132" i="11"/>
  <c r="X132" i="11"/>
  <c r="L333" i="20"/>
  <c r="L334" i="20" s="1"/>
  <c r="H333" i="20"/>
  <c r="H334" i="20" s="1"/>
  <c r="G333" i="20"/>
  <c r="G334" i="20" s="1"/>
  <c r="AM53" i="11"/>
  <c r="AO328" i="17"/>
  <c r="J40" i="11"/>
  <c r="AH39" i="11"/>
  <c r="AJ253" i="17"/>
  <c r="AH118" i="11" s="1"/>
  <c r="AP253" i="17"/>
  <c r="AN118" i="11" s="1"/>
  <c r="AN39" i="11"/>
  <c r="AI110" i="11"/>
  <c r="AK153" i="17"/>
  <c r="AN136" i="11"/>
  <c r="H100" i="11"/>
  <c r="L63" i="11"/>
  <c r="M141" i="19"/>
  <c r="P141" i="19"/>
  <c r="AQ110" i="11"/>
  <c r="U173" i="17"/>
  <c r="U32" i="17"/>
  <c r="AB168" i="17"/>
  <c r="Z23" i="11"/>
  <c r="H168" i="17"/>
  <c r="F102" i="11" s="1"/>
  <c r="F23" i="11"/>
  <c r="D21" i="11"/>
  <c r="F158" i="17"/>
  <c r="Q133" i="17"/>
  <c r="O17" i="11"/>
  <c r="AE123" i="17"/>
  <c r="AC15" i="11"/>
  <c r="AE52" i="17"/>
  <c r="V118" i="17"/>
  <c r="T14" i="11"/>
  <c r="X104" i="17"/>
  <c r="J84" i="11"/>
  <c r="AF493" i="17"/>
  <c r="AD163" i="11" s="1"/>
  <c r="Q493" i="17"/>
  <c r="O163" i="11" s="1"/>
  <c r="O84" i="11"/>
  <c r="X473" i="17"/>
  <c r="V159" i="11" s="1"/>
  <c r="V80" i="11"/>
  <c r="S80" i="11"/>
  <c r="U473" i="17"/>
  <c r="E76" i="11"/>
  <c r="G453" i="17"/>
  <c r="E155" i="11" s="1"/>
  <c r="Z76" i="11"/>
  <c r="AB453" i="17"/>
  <c r="Q453" i="17"/>
  <c r="O76" i="11"/>
  <c r="AD163" i="17"/>
  <c r="AB22" i="11"/>
  <c r="AO158" i="17"/>
  <c r="AM21" i="11"/>
  <c r="Y158" i="17"/>
  <c r="W21" i="11"/>
  <c r="AL143" i="17"/>
  <c r="AT17" i="11"/>
  <c r="H62" i="17"/>
  <c r="D15" i="11"/>
  <c r="F52" i="17"/>
  <c r="AE108" i="17"/>
  <c r="AC91" i="11" s="1"/>
  <c r="AC12" i="11"/>
  <c r="AN458" i="17"/>
  <c r="AL156" i="11" s="1"/>
  <c r="AL77" i="11"/>
  <c r="AG73" i="11"/>
  <c r="AI438" i="17"/>
  <c r="AG152" i="11" s="1"/>
  <c r="AD438" i="17"/>
  <c r="AB152" i="11" s="1"/>
  <c r="AB73" i="11"/>
  <c r="I408" i="17"/>
  <c r="G68" i="11"/>
  <c r="AO408" i="17"/>
  <c r="AM68" i="11"/>
  <c r="AD408" i="17"/>
  <c r="AB68" i="11"/>
  <c r="S408" i="17"/>
  <c r="Q68" i="11"/>
  <c r="N388" i="17"/>
  <c r="L143" i="11" s="1"/>
  <c r="L64" i="11"/>
  <c r="AJ368" i="17"/>
  <c r="AH139" i="11" s="1"/>
  <c r="AH60" i="11"/>
  <c r="V338" i="17"/>
  <c r="T55" i="11"/>
  <c r="K338" i="17"/>
  <c r="I55" i="11"/>
  <c r="H318" i="17"/>
  <c r="F130" i="11" s="1"/>
  <c r="F51" i="11"/>
  <c r="AL51" i="11"/>
  <c r="AN318" i="17"/>
  <c r="AL130" i="11" s="1"/>
  <c r="V42" i="11"/>
  <c r="X268" i="17"/>
  <c r="AN268" i="17"/>
  <c r="AL42" i="11"/>
  <c r="G42" i="11"/>
  <c r="I268" i="17"/>
  <c r="AB42" i="11"/>
  <c r="AD268" i="17"/>
  <c r="AG42" i="11"/>
  <c r="AI268" i="17"/>
  <c r="AL38" i="11"/>
  <c r="AN248" i="17"/>
  <c r="AL117" i="11" s="1"/>
  <c r="S16" i="11"/>
  <c r="U128" i="17"/>
  <c r="H143" i="9"/>
  <c r="M22" i="14"/>
  <c r="B120" i="17"/>
  <c r="T124" i="17" s="1"/>
  <c r="C25" i="15"/>
  <c r="E399" i="20"/>
  <c r="M400" i="20"/>
  <c r="I384" i="20"/>
  <c r="O384" i="20"/>
  <c r="T20" i="19"/>
  <c r="T19" i="19" s="1"/>
  <c r="S19" i="19"/>
  <c r="D22" i="19"/>
  <c r="E22" i="19" s="1"/>
  <c r="D106" i="19"/>
  <c r="E106" i="19" s="1"/>
  <c r="N25" i="29" s="1"/>
  <c r="M25" i="29" s="1"/>
  <c r="D78" i="19"/>
  <c r="D64" i="19"/>
  <c r="D92" i="19"/>
  <c r="E92" i="19" s="1"/>
  <c r="D36" i="19"/>
  <c r="E36" i="19" s="1"/>
  <c r="N16" i="29" s="1"/>
  <c r="M16" i="29" s="1"/>
  <c r="D50" i="19"/>
  <c r="E50" i="19" s="1"/>
  <c r="N17" i="29" s="1"/>
  <c r="M17" i="29" s="1"/>
  <c r="H48" i="19"/>
  <c r="H47" i="19" s="1"/>
  <c r="G47" i="19"/>
  <c r="D105" i="19"/>
  <c r="E105" i="19" s="1"/>
  <c r="D63" i="19"/>
  <c r="E63" i="19" s="1"/>
  <c r="L18" i="29" s="1"/>
  <c r="K18" i="29" s="1"/>
  <c r="D49" i="19"/>
  <c r="E49" i="19" s="1"/>
  <c r="L17" i="29" s="1"/>
  <c r="K17" i="29" s="1"/>
  <c r="N76" i="19"/>
  <c r="N75" i="19" s="1"/>
  <c r="M75" i="19"/>
  <c r="H77" i="19"/>
  <c r="H75" i="19" s="1"/>
  <c r="F75" i="19" s="1"/>
  <c r="G75" i="19"/>
  <c r="AB19" i="29"/>
  <c r="BB19" i="29"/>
  <c r="BA19" i="29" s="1"/>
  <c r="AP19" i="29"/>
  <c r="T78" i="19"/>
  <c r="T138" i="19" s="1"/>
  <c r="S138" i="19" s="1"/>
  <c r="R138" i="19" s="1"/>
  <c r="S75" i="19"/>
  <c r="Q140" i="19"/>
  <c r="P140" i="19" s="1"/>
  <c r="O140" i="19" s="1"/>
  <c r="H140" i="19"/>
  <c r="G140" i="19" s="1"/>
  <c r="F140" i="19" s="1"/>
  <c r="AD25" i="29"/>
  <c r="AC25" i="29" s="1"/>
  <c r="AN25" i="29"/>
  <c r="AM25" i="29" s="1"/>
  <c r="BB25" i="29"/>
  <c r="BA25" i="29" s="1"/>
  <c r="Q121" i="19"/>
  <c r="P117" i="19"/>
  <c r="K123" i="19"/>
  <c r="J117" i="19"/>
  <c r="I159" i="21"/>
  <c r="N28" i="29"/>
  <c r="J28" i="29"/>
  <c r="X28" i="29"/>
  <c r="W28" i="29" s="1"/>
  <c r="AF28" i="29"/>
  <c r="T28" i="29"/>
  <c r="R28" i="29"/>
  <c r="AD28" i="29"/>
  <c r="AC28" i="29" s="1"/>
  <c r="V28" i="29"/>
  <c r="U28" i="29" s="1"/>
  <c r="T6" i="15"/>
  <c r="W6" i="15" s="1"/>
  <c r="Z6" i="15" s="1"/>
  <c r="AA6" i="15" s="1"/>
  <c r="P6" i="15"/>
  <c r="S6" i="15" s="1"/>
  <c r="U6" i="15" s="1"/>
  <c r="V6" i="15" s="1"/>
  <c r="AH293" i="17"/>
  <c r="G73" i="8"/>
  <c r="BN27" i="29"/>
  <c r="T318" i="17"/>
  <c r="R130" i="11" s="1"/>
  <c r="D52" i="11"/>
  <c r="I52" i="11"/>
  <c r="U328" i="17"/>
  <c r="L53" i="11"/>
  <c r="L52" i="17"/>
  <c r="F59" i="34"/>
  <c r="J54" i="11"/>
  <c r="AQ52" i="17"/>
  <c r="D317" i="17"/>
  <c r="D315" i="17" s="1"/>
  <c r="G89" i="19"/>
  <c r="T136" i="19"/>
  <c r="S136" i="19" s="1"/>
  <c r="R136" i="19" s="1"/>
  <c r="BB17" i="29"/>
  <c r="BA17" i="29" s="1"/>
  <c r="F398" i="20"/>
  <c r="N140" i="19"/>
  <c r="AT52" i="11"/>
  <c r="AV323" i="17"/>
  <c r="AT131" i="11" s="1"/>
  <c r="F318" i="17"/>
  <c r="D51" i="11"/>
  <c r="F37" i="17"/>
  <c r="F42" i="11"/>
  <c r="P338" i="17"/>
  <c r="AK368" i="17"/>
  <c r="AI139" i="11" s="1"/>
  <c r="D367" i="17"/>
  <c r="D365" i="17" s="1"/>
  <c r="AP32" i="17"/>
  <c r="AB28" i="29"/>
  <c r="AP28" i="29"/>
  <c r="K138" i="19"/>
  <c r="J138" i="19" s="1"/>
  <c r="I138" i="19" s="1"/>
  <c r="AJ16" i="11"/>
  <c r="G77" i="11"/>
  <c r="Z150" i="11"/>
  <c r="AT121" i="11"/>
  <c r="AO80" i="11"/>
  <c r="D80" i="11"/>
  <c r="AP173" i="17"/>
  <c r="AN103" i="11" s="1"/>
  <c r="J17" i="29"/>
  <c r="G38" i="11"/>
  <c r="AL338" i="17"/>
  <c r="AJ134" i="11" s="1"/>
  <c r="AF76" i="11"/>
  <c r="W42" i="11"/>
  <c r="E6" i="29"/>
  <c r="F22" i="14"/>
  <c r="C24" i="11"/>
  <c r="E173" i="17"/>
  <c r="E32" i="17"/>
  <c r="O163" i="17"/>
  <c r="M101" i="11" s="1"/>
  <c r="M22" i="11"/>
  <c r="V158" i="17"/>
  <c r="T21" i="11"/>
  <c r="AO133" i="17"/>
  <c r="AM17" i="11"/>
  <c r="F16" i="11"/>
  <c r="H128" i="17"/>
  <c r="F95" i="11" s="1"/>
  <c r="O123" i="17"/>
  <c r="M94" i="11" s="1"/>
  <c r="M15" i="11"/>
  <c r="F118" i="17"/>
  <c r="D14" i="11"/>
  <c r="AN104" i="17"/>
  <c r="L10" i="11"/>
  <c r="N98" i="17"/>
  <c r="L89" i="11" s="1"/>
  <c r="Z493" i="17"/>
  <c r="X84" i="11"/>
  <c r="AT84" i="11"/>
  <c r="AV432" i="17"/>
  <c r="AV430" i="17" s="1"/>
  <c r="AG493" i="17"/>
  <c r="AG432" i="17"/>
  <c r="AG430" i="17" s="1"/>
  <c r="AE84" i="11"/>
  <c r="Z473" i="17"/>
  <c r="X80" i="11"/>
  <c r="Z52" i="17"/>
  <c r="W453" i="17"/>
  <c r="U155" i="11" s="1"/>
  <c r="U76" i="11"/>
  <c r="AR453" i="17"/>
  <c r="AP76" i="11"/>
  <c r="AR22" i="11"/>
  <c r="AT163" i="17"/>
  <c r="AR101" i="11" s="1"/>
  <c r="T19" i="11"/>
  <c r="O18" i="11"/>
  <c r="AB133" i="17"/>
  <c r="AS12" i="11"/>
  <c r="AU108" i="17"/>
  <c r="AS91" i="11" s="1"/>
  <c r="X11" i="11"/>
  <c r="Z103" i="17"/>
  <c r="E98" i="17"/>
  <c r="C89" i="11" s="1"/>
  <c r="AI458" i="17"/>
  <c r="AG156" i="11" s="1"/>
  <c r="AG77" i="11"/>
  <c r="X458" i="17"/>
  <c r="V156" i="11" s="1"/>
  <c r="V77" i="11"/>
  <c r="W77" i="11"/>
  <c r="Y458" i="17"/>
  <c r="W156" i="11" s="1"/>
  <c r="L77" i="11"/>
  <c r="N458" i="17"/>
  <c r="L156" i="11" s="1"/>
  <c r="AT458" i="17"/>
  <c r="AR156" i="11" s="1"/>
  <c r="AR77" i="11"/>
  <c r="X438" i="17"/>
  <c r="V73" i="11"/>
  <c r="AO438" i="17"/>
  <c r="AM152" i="11" s="1"/>
  <c r="AM73" i="11"/>
  <c r="L68" i="11"/>
  <c r="AR147" i="11"/>
  <c r="AG68" i="11"/>
  <c r="H408" i="17"/>
  <c r="F68" i="11"/>
  <c r="D407" i="17"/>
  <c r="D405" i="17" s="1"/>
  <c r="AN408" i="17"/>
  <c r="AL68" i="11"/>
  <c r="S60" i="11"/>
  <c r="U368" i="17"/>
  <c r="S139" i="11" s="1"/>
  <c r="Z368" i="17"/>
  <c r="X139" i="11" s="1"/>
  <c r="X60" i="11"/>
  <c r="AN60" i="11"/>
  <c r="AP368" i="17"/>
  <c r="AC60" i="11"/>
  <c r="R60" i="11"/>
  <c r="T368" i="17"/>
  <c r="R139" i="11" s="1"/>
  <c r="AF338" i="17"/>
  <c r="AD55" i="11"/>
  <c r="AQ55" i="11"/>
  <c r="AS338" i="17"/>
  <c r="Y248" i="17"/>
  <c r="W117" i="11" s="1"/>
  <c r="W38" i="11"/>
  <c r="AO248" i="17"/>
  <c r="AM117" i="11" s="1"/>
  <c r="AM38" i="11"/>
  <c r="N248" i="17"/>
  <c r="L117" i="11" s="1"/>
  <c r="AT248" i="17"/>
  <c r="AR117" i="11" s="1"/>
  <c r="AR38" i="11"/>
  <c r="AG38" i="11"/>
  <c r="AI248" i="17"/>
  <c r="AG117" i="11" s="1"/>
  <c r="E228" i="17"/>
  <c r="C113" i="11" s="1"/>
  <c r="BV17" i="29"/>
  <c r="AN293" i="17"/>
  <c r="BN17" i="29"/>
  <c r="G331" i="20"/>
  <c r="G332" i="20" s="1"/>
  <c r="H331" i="20"/>
  <c r="H332" i="20" s="1"/>
  <c r="AF16" i="15"/>
  <c r="AH16" i="15" s="1"/>
  <c r="AG16" i="15" s="1"/>
  <c r="H227" i="20" s="1"/>
  <c r="H228" i="20" s="1"/>
  <c r="J386" i="20"/>
  <c r="T140" i="19"/>
  <c r="S140" i="19" s="1"/>
  <c r="R140" i="19" s="1"/>
  <c r="O111" i="11"/>
  <c r="U90" i="11"/>
  <c r="AP97" i="11"/>
  <c r="AH32" i="17"/>
  <c r="M39" i="11"/>
  <c r="O253" i="17"/>
  <c r="M118" i="11" s="1"/>
  <c r="N268" i="17"/>
  <c r="Y55" i="11"/>
  <c r="T15" i="11"/>
  <c r="Z17" i="11"/>
  <c r="D5" i="19"/>
  <c r="BB28" i="29"/>
  <c r="H138" i="19"/>
  <c r="Q138" i="19"/>
  <c r="Z432" i="17"/>
  <c r="Z430" i="17" s="1"/>
  <c r="AR68" i="11"/>
  <c r="AI178" i="17"/>
  <c r="AG104" i="11" s="1"/>
  <c r="F107" i="11"/>
  <c r="AO104" i="17"/>
  <c r="AM90" i="11"/>
  <c r="AT80" i="11"/>
  <c r="AC93" i="11"/>
  <c r="L32" i="17"/>
  <c r="R34" i="11"/>
  <c r="F338" i="17"/>
  <c r="L493" i="17"/>
  <c r="J163" i="11" s="1"/>
  <c r="I90" i="11"/>
  <c r="AC22" i="11"/>
  <c r="T103" i="19"/>
  <c r="I53" i="8"/>
  <c r="I92" i="8"/>
  <c r="E51" i="10"/>
  <c r="J57" i="9" s="1"/>
  <c r="J109" i="9" s="1"/>
  <c r="BE35" i="10"/>
  <c r="J51" i="10"/>
  <c r="J62" i="9" s="1"/>
  <c r="BJ35" i="10"/>
  <c r="H49" i="10"/>
  <c r="I60" i="9" s="1"/>
  <c r="AU35" i="10"/>
  <c r="AO52" i="17"/>
  <c r="Q374" i="20"/>
  <c r="Q401" i="20" s="1"/>
  <c r="N385" i="20"/>
  <c r="I96" i="9"/>
  <c r="O96" i="9" s="1"/>
  <c r="I182" i="19"/>
  <c r="G126" i="19"/>
  <c r="H126" i="19" s="1"/>
  <c r="I453" i="17"/>
  <c r="G76" i="11"/>
  <c r="R24" i="11"/>
  <c r="T173" i="17"/>
  <c r="AK77" i="11"/>
  <c r="AM458" i="17"/>
  <c r="AK156" i="11" s="1"/>
  <c r="M458" i="17"/>
  <c r="K156" i="11" s="1"/>
  <c r="K77" i="11"/>
  <c r="AS458" i="17"/>
  <c r="AQ156" i="11" s="1"/>
  <c r="AQ77" i="11"/>
  <c r="BB38" i="29"/>
  <c r="BA38" i="29" s="1"/>
  <c r="D78" i="8"/>
  <c r="D52" i="8"/>
  <c r="E74" i="8"/>
  <c r="E48" i="8"/>
  <c r="E87" i="8"/>
  <c r="E52" i="8"/>
  <c r="E91" i="8"/>
  <c r="E92" i="7"/>
  <c r="E89" i="7"/>
  <c r="E90" i="7" s="1"/>
  <c r="I89" i="8"/>
  <c r="I76" i="8"/>
  <c r="I50" i="8"/>
  <c r="I47" i="10"/>
  <c r="H61" i="9" s="1"/>
  <c r="AI35" i="10"/>
  <c r="CR22" i="34"/>
  <c r="EQ23" i="34"/>
  <c r="I22" i="14"/>
  <c r="G143" i="9"/>
  <c r="S37" i="14"/>
  <c r="S38" i="14"/>
  <c r="S39" i="14"/>
  <c r="S34" i="14"/>
  <c r="S36" i="14"/>
  <c r="S32" i="14"/>
  <c r="S40" i="14"/>
  <c r="S50" i="14"/>
  <c r="S52" i="14"/>
  <c r="C22" i="15"/>
  <c r="B105" i="17"/>
  <c r="AV127" i="17"/>
  <c r="Q127" i="17"/>
  <c r="AG127" i="17"/>
  <c r="R127" i="17"/>
  <c r="AH127" i="17"/>
  <c r="K127" i="17"/>
  <c r="AA127" i="17"/>
  <c r="AQ127" i="17"/>
  <c r="T127" i="17"/>
  <c r="AJ127" i="17"/>
  <c r="I127" i="17"/>
  <c r="I57" i="17" s="1"/>
  <c r="AC127" i="17"/>
  <c r="V127" i="17"/>
  <c r="AP127" i="17"/>
  <c r="O127" i="17"/>
  <c r="AI127" i="17"/>
  <c r="M127" i="17"/>
  <c r="AK127" i="17"/>
  <c r="F127" i="17"/>
  <c r="Z127" i="17"/>
  <c r="AT127" i="17"/>
  <c r="S127" i="17"/>
  <c r="AM127" i="17"/>
  <c r="X127" i="17"/>
  <c r="V16" i="11" s="1"/>
  <c r="AR127" i="17"/>
  <c r="J169" i="19"/>
  <c r="D169" i="19"/>
  <c r="I4" i="20"/>
  <c r="P237" i="20" s="1"/>
  <c r="P238" i="20" s="1"/>
  <c r="E315" i="20"/>
  <c r="E316" i="20" s="1"/>
  <c r="L315" i="20"/>
  <c r="L316" i="20" s="1"/>
  <c r="K315" i="20"/>
  <c r="K316" i="20" s="1"/>
  <c r="J315" i="20"/>
  <c r="J316" i="20" s="1"/>
  <c r="E241" i="20"/>
  <c r="E242" i="20" s="1"/>
  <c r="F217" i="20"/>
  <c r="F218" i="20" s="1"/>
  <c r="F255" i="20"/>
  <c r="F256" i="20" s="1"/>
  <c r="E343" i="20"/>
  <c r="E344" i="20" s="1"/>
  <c r="G303" i="20"/>
  <c r="G304" i="20" s="1"/>
  <c r="K345" i="20"/>
  <c r="K346" i="20" s="1"/>
  <c r="H309" i="20"/>
  <c r="H310" i="20" s="1"/>
  <c r="G315" i="20"/>
  <c r="G316" i="20" s="1"/>
  <c r="I309" i="20"/>
  <c r="I310" i="20" s="1"/>
  <c r="J217" i="20"/>
  <c r="J218" i="20" s="1"/>
  <c r="L217" i="20"/>
  <c r="L218" i="20" s="1"/>
  <c r="G343" i="20"/>
  <c r="G344" i="20" s="1"/>
  <c r="F37" i="11"/>
  <c r="AE423" i="17"/>
  <c r="R473" i="17"/>
  <c r="P159" i="11" s="1"/>
  <c r="T168" i="17"/>
  <c r="R102" i="11" s="1"/>
  <c r="AL56" i="11"/>
  <c r="AP61" i="11"/>
  <c r="AQ65" i="11"/>
  <c r="E65" i="11"/>
  <c r="U483" i="17"/>
  <c r="S161" i="11" s="1"/>
  <c r="Z77" i="11"/>
  <c r="U77" i="11"/>
  <c r="W193" i="17"/>
  <c r="U107" i="11" s="1"/>
  <c r="AN108" i="17"/>
  <c r="AL91" i="11" s="1"/>
  <c r="AL16" i="11"/>
  <c r="AN128" i="17"/>
  <c r="L76" i="11"/>
  <c r="N453" i="17"/>
  <c r="F76" i="11"/>
  <c r="H453" i="17"/>
  <c r="F155" i="11" s="1"/>
  <c r="J353" i="17"/>
  <c r="H137" i="11" s="1"/>
  <c r="H58" i="11"/>
  <c r="AN29" i="11"/>
  <c r="AP198" i="17"/>
  <c r="E96" i="8"/>
  <c r="FH23" i="34"/>
  <c r="F17" i="7"/>
  <c r="F18" i="7" s="1"/>
  <c r="F20" i="7"/>
  <c r="H35" i="7"/>
  <c r="H36" i="7" s="1"/>
  <c r="H38" i="7"/>
  <c r="D56" i="7"/>
  <c r="D53" i="7"/>
  <c r="D54" i="7" s="1"/>
  <c r="AV228" i="17"/>
  <c r="AT113" i="11" s="1"/>
  <c r="AN38" i="11"/>
  <c r="D63" i="11"/>
  <c r="Z353" i="17"/>
  <c r="AK292" i="17"/>
  <c r="AK290" i="17" s="1"/>
  <c r="H239" i="20"/>
  <c r="H240" i="20" s="1"/>
  <c r="K45" i="10"/>
  <c r="G63" i="9" s="1"/>
  <c r="M8" i="34"/>
  <c r="N8" i="34" s="1"/>
  <c r="O8" i="34" s="1"/>
  <c r="P8" i="34" s="1"/>
  <c r="Q8" i="34" s="1"/>
  <c r="R8" i="34" s="1"/>
  <c r="S8" i="34" s="1"/>
  <c r="T8" i="34" s="1"/>
  <c r="U8" i="34" s="1"/>
  <c r="V8" i="34" s="1"/>
  <c r="W8" i="34" s="1"/>
  <c r="X8" i="34" s="1"/>
  <c r="Y8" i="34" s="1"/>
  <c r="Z8" i="34" s="1"/>
  <c r="AA8" i="34" s="1"/>
  <c r="AB8" i="34" s="1"/>
  <c r="AC8" i="34" s="1"/>
  <c r="AD8" i="34" s="1"/>
  <c r="AE8" i="34" s="1"/>
  <c r="AF8" i="34" s="1"/>
  <c r="AG8" i="34" s="1"/>
  <c r="AH8" i="34" s="1"/>
  <c r="AI8" i="34" s="1"/>
  <c r="AJ8" i="34" s="1"/>
  <c r="AK8" i="34" s="1"/>
  <c r="AL8" i="34" s="1"/>
  <c r="AM8" i="34" s="1"/>
  <c r="AN8" i="34" s="1"/>
  <c r="AO8" i="34" s="1"/>
  <c r="AP8" i="34" s="1"/>
  <c r="AQ8" i="34" s="1"/>
  <c r="AR8" i="34" s="1"/>
  <c r="AS8" i="34" s="1"/>
  <c r="AT8" i="34" s="1"/>
  <c r="AU8" i="34" s="1"/>
  <c r="AV8" i="34" s="1"/>
  <c r="AW8" i="34" s="1"/>
  <c r="AX8" i="34" s="1"/>
  <c r="AY8" i="34" s="1"/>
  <c r="AZ8" i="34" s="1"/>
  <c r="BA8" i="34" s="1"/>
  <c r="BB8" i="34" s="1"/>
  <c r="BC8" i="34" s="1"/>
  <c r="BD8" i="34" s="1"/>
  <c r="BE8" i="34" s="1"/>
  <c r="BF8" i="34" s="1"/>
  <c r="BG8" i="34" s="1"/>
  <c r="BH8" i="34" s="1"/>
  <c r="BI8" i="34" s="1"/>
  <c r="BJ8" i="34" s="1"/>
  <c r="BK8" i="34" s="1"/>
  <c r="BL8" i="34" s="1"/>
  <c r="BM8" i="34" s="1"/>
  <c r="BN8" i="34" s="1"/>
  <c r="BO8" i="34" s="1"/>
  <c r="BP8" i="34" s="1"/>
  <c r="BQ8" i="34" s="1"/>
  <c r="BR8" i="34" s="1"/>
  <c r="BS8" i="34" s="1"/>
  <c r="BT8" i="34" s="1"/>
  <c r="BU8" i="34" s="1"/>
  <c r="BV8" i="34" s="1"/>
  <c r="BW8" i="34" s="1"/>
  <c r="BX8" i="34" s="1"/>
  <c r="BY8" i="34" s="1"/>
  <c r="BZ8" i="34" s="1"/>
  <c r="CA8" i="34" s="1"/>
  <c r="CB8" i="34" s="1"/>
  <c r="CC8" i="34" s="1"/>
  <c r="CD8" i="34" s="1"/>
  <c r="CE8" i="34" s="1"/>
  <c r="CF8" i="34" s="1"/>
  <c r="CG8" i="34" s="1"/>
  <c r="CH8" i="34" s="1"/>
  <c r="CI8" i="34" s="1"/>
  <c r="CJ8" i="34" s="1"/>
  <c r="CK8" i="34" s="1"/>
  <c r="CL8" i="34" s="1"/>
  <c r="CM8" i="34" s="1"/>
  <c r="CN8" i="34" s="1"/>
  <c r="CO8" i="34" s="1"/>
  <c r="CP8" i="34" s="1"/>
  <c r="CQ8" i="34" s="1"/>
  <c r="CR8" i="34" s="1"/>
  <c r="CS8" i="34" s="1"/>
  <c r="CT8" i="34" s="1"/>
  <c r="CU8" i="34" s="1"/>
  <c r="CV8" i="34" s="1"/>
  <c r="CW8" i="34" s="1"/>
  <c r="CX8" i="34" s="1"/>
  <c r="CY8" i="34" s="1"/>
  <c r="CZ8" i="34" s="1"/>
  <c r="DA8" i="34" s="1"/>
  <c r="DB8" i="34" s="1"/>
  <c r="DC8" i="34" s="1"/>
  <c r="DD8" i="34" s="1"/>
  <c r="DE8" i="34" s="1"/>
  <c r="DF8" i="34" s="1"/>
  <c r="DG8" i="34" s="1"/>
  <c r="DH8" i="34" s="1"/>
  <c r="DI8" i="34" s="1"/>
  <c r="DJ8" i="34" s="1"/>
  <c r="DK8" i="34" s="1"/>
  <c r="DL8" i="34" s="1"/>
  <c r="DM8" i="34" s="1"/>
  <c r="DN8" i="34" s="1"/>
  <c r="DO8" i="34" s="1"/>
  <c r="DP8" i="34" s="1"/>
  <c r="DQ8" i="34" s="1"/>
  <c r="DR8" i="34" s="1"/>
  <c r="DS8" i="34" s="1"/>
  <c r="DT8" i="34" s="1"/>
  <c r="DU8" i="34" s="1"/>
  <c r="DV8" i="34" s="1"/>
  <c r="DW8" i="34" s="1"/>
  <c r="DX8" i="34" s="1"/>
  <c r="DY8" i="34" s="1"/>
  <c r="DZ8" i="34" s="1"/>
  <c r="EA8" i="34" s="1"/>
  <c r="EB8" i="34" s="1"/>
  <c r="EC8" i="34" s="1"/>
  <c r="ED8" i="34" s="1"/>
  <c r="EE8" i="34" s="1"/>
  <c r="EF8" i="34" s="1"/>
  <c r="EG8" i="34" s="1"/>
  <c r="EH8" i="34" s="1"/>
  <c r="EI8" i="34" s="1"/>
  <c r="EJ8" i="34" s="1"/>
  <c r="EK8" i="34" s="1"/>
  <c r="EL8" i="34" s="1"/>
  <c r="EM8" i="34" s="1"/>
  <c r="EN8" i="34" s="1"/>
  <c r="EO8" i="34" s="1"/>
  <c r="EP8" i="34" s="1"/>
  <c r="EQ8" i="34" s="1"/>
  <c r="ER8" i="34" s="1"/>
  <c r="ES8" i="34" s="1"/>
  <c r="ET8" i="34" s="1"/>
  <c r="EU8" i="34" s="1"/>
  <c r="EV8" i="34" s="1"/>
  <c r="EW8" i="34" s="1"/>
  <c r="EX8" i="34" s="1"/>
  <c r="EY8" i="34" s="1"/>
  <c r="EZ8" i="34" s="1"/>
  <c r="FA8" i="34" s="1"/>
  <c r="FB8" i="34" s="1"/>
  <c r="FC8" i="34" s="1"/>
  <c r="FD8" i="34" s="1"/>
  <c r="FE8" i="34" s="1"/>
  <c r="FF8" i="34" s="1"/>
  <c r="FG8" i="34" s="1"/>
  <c r="FH8" i="34" s="1"/>
  <c r="C16" i="6"/>
  <c r="J17" i="6"/>
  <c r="K17" i="6"/>
  <c r="AO17" i="6"/>
  <c r="BB17" i="6"/>
  <c r="R8" i="7"/>
  <c r="R13" i="7" s="1"/>
  <c r="R12" i="7"/>
  <c r="R7" i="7"/>
  <c r="R11" i="7"/>
  <c r="I74" i="7"/>
  <c r="I71" i="7"/>
  <c r="I72" i="7" s="1"/>
  <c r="E49" i="10"/>
  <c r="I57" i="9" s="1"/>
  <c r="AR35" i="10"/>
  <c r="E53" i="10"/>
  <c r="K57" i="9" s="1"/>
  <c r="BR35" i="10"/>
  <c r="H34" i="10"/>
  <c r="H35" i="10" s="1"/>
  <c r="V35" i="10"/>
  <c r="F73" i="8"/>
  <c r="I20" i="7"/>
  <c r="J49" i="10"/>
  <c r="I62" i="9" s="1"/>
  <c r="AW35" i="10"/>
  <c r="F51" i="10"/>
  <c r="J58" i="9" s="1"/>
  <c r="BF35" i="10"/>
  <c r="BP35" i="10"/>
  <c r="C53" i="10"/>
  <c r="K55" i="9" s="1"/>
  <c r="AM187" i="17"/>
  <c r="W187" i="17"/>
  <c r="T10" i="19"/>
  <c r="R10" i="19" s="1"/>
  <c r="P67" i="21"/>
  <c r="P68" i="21" s="1"/>
  <c r="P69" i="21" s="1"/>
  <c r="H16" i="6"/>
  <c r="D17" i="6"/>
  <c r="H17" i="6"/>
  <c r="I17" i="6"/>
  <c r="N17" i="6"/>
  <c r="I53" i="7"/>
  <c r="I54" i="7" s="1"/>
  <c r="I56" i="7"/>
  <c r="E45" i="10"/>
  <c r="G57" i="9" s="1"/>
  <c r="R35" i="10"/>
  <c r="D53" i="10"/>
  <c r="K56" i="9" s="1"/>
  <c r="BQ35" i="10"/>
  <c r="N24" i="13"/>
  <c r="J167" i="19"/>
  <c r="D167" i="19"/>
  <c r="E12" i="27"/>
  <c r="E16" i="27"/>
  <c r="D166" i="19"/>
  <c r="AB17" i="29"/>
  <c r="Q34" i="10"/>
  <c r="BB24" i="13"/>
  <c r="L2" i="14"/>
  <c r="N14" i="19"/>
  <c r="L14" i="19" s="1"/>
  <c r="N136" i="19"/>
  <c r="M136" i="19" s="1"/>
  <c r="L136" i="19" s="1"/>
  <c r="G242" i="19"/>
  <c r="C110" i="21"/>
  <c r="BB16" i="6"/>
  <c r="CB16" i="6"/>
  <c r="G16" i="6"/>
  <c r="K16" i="6"/>
  <c r="AB32" i="29"/>
  <c r="E299" i="20"/>
  <c r="E300" i="20" s="1"/>
  <c r="F299" i="20"/>
  <c r="F300" i="20" s="1"/>
  <c r="L299" i="20"/>
  <c r="L300" i="20" s="1"/>
  <c r="H299" i="20"/>
  <c r="H300" i="20" s="1"/>
  <c r="J299" i="20"/>
  <c r="J300" i="20" s="1"/>
  <c r="K299" i="20"/>
  <c r="K300" i="20" s="1"/>
  <c r="AE119" i="11"/>
  <c r="AH259" i="17"/>
  <c r="AD213" i="17"/>
  <c r="AB32" i="11"/>
  <c r="G28" i="36"/>
  <c r="H28" i="36" s="1"/>
  <c r="I28" i="36" s="1"/>
  <c r="J28" i="36" s="1"/>
  <c r="K28" i="36" s="1"/>
  <c r="L28" i="36" s="1"/>
  <c r="G339" i="20"/>
  <c r="G340" i="20" s="1"/>
  <c r="AN91" i="11"/>
  <c r="D212" i="17"/>
  <c r="D210" i="17" s="1"/>
  <c r="J49" i="11"/>
  <c r="L308" i="17"/>
  <c r="X303" i="17"/>
  <c r="V127" i="11" s="1"/>
  <c r="V48" i="11"/>
  <c r="H307" i="20"/>
  <c r="H308" i="20" s="1"/>
  <c r="W49" i="11"/>
  <c r="Y308" i="17"/>
  <c r="W128" i="11" s="1"/>
  <c r="C8" i="8"/>
  <c r="I73" i="8"/>
  <c r="L339" i="20"/>
  <c r="L340" i="20" s="1"/>
  <c r="E339" i="20"/>
  <c r="E340" i="20" s="1"/>
  <c r="J339" i="20"/>
  <c r="J340" i="20" s="1"/>
  <c r="I339" i="20"/>
  <c r="I340" i="20" s="1"/>
  <c r="F339" i="20"/>
  <c r="F340" i="20" s="1"/>
  <c r="K339" i="20"/>
  <c r="K340" i="20" s="1"/>
  <c r="V258" i="17"/>
  <c r="T40" i="11"/>
  <c r="R253" i="17"/>
  <c r="P118" i="11" s="1"/>
  <c r="R217" i="17"/>
  <c r="R215" i="17" s="1"/>
  <c r="L32" i="11"/>
  <c r="N213" i="17"/>
  <c r="L111" i="11" s="1"/>
  <c r="K247" i="20"/>
  <c r="K248" i="20" s="1"/>
  <c r="W80" i="11"/>
  <c r="Y473" i="17"/>
  <c r="W159" i="11" s="1"/>
  <c r="F73" i="11"/>
  <c r="H438" i="17"/>
  <c r="F152" i="11" s="1"/>
  <c r="H427" i="17"/>
  <c r="H425" i="17" s="1"/>
  <c r="W73" i="11"/>
  <c r="Y438" i="17"/>
  <c r="W152" i="11" s="1"/>
  <c r="M50" i="11"/>
  <c r="X108" i="17"/>
  <c r="V12" i="11"/>
  <c r="AE103" i="17"/>
  <c r="AC11" i="11"/>
  <c r="AF80" i="11"/>
  <c r="AH473" i="17"/>
  <c r="AF159" i="11" s="1"/>
  <c r="AI473" i="17"/>
  <c r="AG159" i="11" s="1"/>
  <c r="AG80" i="11"/>
  <c r="J327" i="20"/>
  <c r="J328" i="20" s="1"/>
  <c r="K327" i="20"/>
  <c r="K328" i="20" s="1"/>
  <c r="F327" i="20"/>
  <c r="F328" i="20" s="1"/>
  <c r="G327" i="20"/>
  <c r="G328" i="20" s="1"/>
  <c r="L327" i="20"/>
  <c r="L328" i="20" s="1"/>
  <c r="H327" i="20"/>
  <c r="H328" i="20" s="1"/>
  <c r="I327" i="20"/>
  <c r="I328" i="20" s="1"/>
  <c r="N93" i="11"/>
  <c r="I133" i="21"/>
  <c r="AK22" i="11"/>
  <c r="AT427" i="17"/>
  <c r="AT425" i="17" s="1"/>
  <c r="T71" i="11"/>
  <c r="V423" i="17"/>
  <c r="AD67" i="11"/>
  <c r="AF403" i="17"/>
  <c r="AL403" i="17"/>
  <c r="AJ146" i="11" s="1"/>
  <c r="AJ67" i="11"/>
  <c r="AA403" i="17"/>
  <c r="Y146" i="11" s="1"/>
  <c r="Y67" i="11"/>
  <c r="N58" i="11"/>
  <c r="P353" i="17"/>
  <c r="S318" i="17"/>
  <c r="Q130" i="11" s="1"/>
  <c r="Q51" i="11"/>
  <c r="AQ258" i="17"/>
  <c r="F293" i="20"/>
  <c r="F294" i="20" s="1"/>
  <c r="AH493" i="17"/>
  <c r="AK423" i="17"/>
  <c r="AI150" i="11" s="1"/>
  <c r="AK362" i="17"/>
  <c r="AK360" i="17" s="1"/>
  <c r="AI71" i="11"/>
  <c r="AI28" i="11"/>
  <c r="AK193" i="17"/>
  <c r="AI107" i="11" s="1"/>
  <c r="F163" i="17"/>
  <c r="D101" i="11" s="1"/>
  <c r="D22" i="11"/>
  <c r="K337" i="20"/>
  <c r="K338" i="20" s="1"/>
  <c r="I337" i="20"/>
  <c r="I338" i="20" s="1"/>
  <c r="AH292" i="17"/>
  <c r="AH290" i="17" s="1"/>
  <c r="M331" i="20"/>
  <c r="M332" i="20" s="1"/>
  <c r="AV318" i="17"/>
  <c r="AT130" i="11" s="1"/>
  <c r="D54" i="11"/>
  <c r="J133" i="21"/>
  <c r="AT453" i="17"/>
  <c r="J131" i="21"/>
  <c r="H130" i="21"/>
  <c r="AU32" i="17"/>
  <c r="O263" i="17"/>
  <c r="M41" i="11"/>
  <c r="H133" i="21"/>
  <c r="E327" i="20"/>
  <c r="E328" i="20" s="1"/>
  <c r="R453" i="17"/>
  <c r="P155" i="11" s="1"/>
  <c r="P76" i="11"/>
  <c r="AQ35" i="10"/>
  <c r="J47" i="19"/>
  <c r="Q12" i="19"/>
  <c r="O12" i="19" s="1"/>
  <c r="AI32" i="17"/>
  <c r="M432" i="17"/>
  <c r="M430" i="17" s="1"/>
  <c r="AB292" i="17"/>
  <c r="AB290" i="17" s="1"/>
  <c r="I3" i="34"/>
  <c r="S33" i="14"/>
  <c r="S35" i="14"/>
  <c r="T17" i="19"/>
  <c r="T190" i="19" s="1"/>
  <c r="U50" i="11"/>
  <c r="AJ21" i="11"/>
  <c r="D55" i="34"/>
  <c r="F53" i="10"/>
  <c r="K58" i="9" s="1"/>
  <c r="AC24" i="13"/>
  <c r="Q162" i="19"/>
  <c r="P162" i="19" s="1"/>
  <c r="O162" i="19" s="1"/>
  <c r="Q10" i="19"/>
  <c r="O10" i="19" s="1"/>
  <c r="D79" i="19"/>
  <c r="E79" i="19" s="1"/>
  <c r="D123" i="19"/>
  <c r="E123" i="19" s="1"/>
  <c r="E11" i="19" s="1"/>
  <c r="C11" i="19" s="1"/>
  <c r="J22" i="14"/>
  <c r="N22" i="14"/>
  <c r="R22" i="14"/>
  <c r="W22" i="14"/>
  <c r="K138" i="9" s="1"/>
  <c r="K141" i="9" s="1"/>
  <c r="D51" i="19"/>
  <c r="E51" i="19" s="1"/>
  <c r="P85" i="21"/>
  <c r="V22" i="14"/>
  <c r="K32" i="14"/>
  <c r="AG44" i="15"/>
  <c r="D122" i="19"/>
  <c r="E122" i="19" s="1"/>
  <c r="E10" i="19" s="1"/>
  <c r="C10" i="19" s="1"/>
  <c r="AT432" i="17"/>
  <c r="AT430" i="17" s="1"/>
  <c r="E20" i="7"/>
  <c r="AM35" i="10"/>
  <c r="C25" i="13"/>
  <c r="C24" i="13" s="1"/>
  <c r="AH30" i="13"/>
  <c r="C36" i="13"/>
  <c r="E64" i="13"/>
  <c r="AF25" i="29"/>
  <c r="D192" i="17"/>
  <c r="D190" i="17" s="1"/>
  <c r="B6" i="6"/>
  <c r="D37" i="9"/>
  <c r="M7" i="10"/>
  <c r="H6" i="40" s="1"/>
  <c r="E34" i="10"/>
  <c r="E35" i="10" s="1"/>
  <c r="AA55" i="14"/>
  <c r="N8" i="19"/>
  <c r="L8" i="19" s="1"/>
  <c r="T12" i="19"/>
  <c r="R12" i="19" s="1"/>
  <c r="Q14" i="19"/>
  <c r="O14" i="19" s="1"/>
  <c r="Q16" i="19"/>
  <c r="O16" i="19" s="1"/>
  <c r="N12" i="19"/>
  <c r="L12" i="19" s="1"/>
  <c r="AF19" i="29"/>
  <c r="Q49" i="21"/>
  <c r="Q50" i="21" s="1"/>
  <c r="E17" i="19"/>
  <c r="E190" i="19" s="1"/>
  <c r="L245" i="20"/>
  <c r="L246" i="20" s="1"/>
  <c r="K245" i="20"/>
  <c r="K246" i="20" s="1"/>
  <c r="G245" i="20"/>
  <c r="G246" i="20" s="1"/>
  <c r="I245" i="20"/>
  <c r="I246" i="20" s="1"/>
  <c r="H245" i="20"/>
  <c r="H246" i="20" s="1"/>
  <c r="E245" i="20"/>
  <c r="E246" i="20" s="1"/>
  <c r="F245" i="20"/>
  <c r="F246" i="20" s="1"/>
  <c r="AJ100" i="11"/>
  <c r="BR22" i="6"/>
  <c r="Y22" i="14"/>
  <c r="K143" i="9"/>
  <c r="AA40" i="14"/>
  <c r="AA39" i="14"/>
  <c r="AA32" i="14"/>
  <c r="AA35" i="14"/>
  <c r="AA33" i="14"/>
  <c r="AA34" i="14"/>
  <c r="AA36" i="14"/>
  <c r="AA38" i="14"/>
  <c r="AA37" i="14"/>
  <c r="AA42" i="14"/>
  <c r="G184" i="19"/>
  <c r="G122" i="19"/>
  <c r="H122" i="19" s="1"/>
  <c r="H10" i="19" s="1"/>
  <c r="F10" i="19" s="1"/>
  <c r="S17" i="19"/>
  <c r="J17" i="19"/>
  <c r="J190" i="19" s="1"/>
  <c r="J207" i="19" s="1"/>
  <c r="P17" i="19"/>
  <c r="P190" i="19" s="1"/>
  <c r="P207" i="19" s="1"/>
  <c r="M17" i="19"/>
  <c r="G17" i="19"/>
  <c r="G190" i="19" s="1"/>
  <c r="G207" i="19" s="1"/>
  <c r="K20" i="19"/>
  <c r="K19" i="19" s="1"/>
  <c r="J19" i="19"/>
  <c r="Q21" i="19"/>
  <c r="P19" i="19"/>
  <c r="H27" i="19"/>
  <c r="T34" i="19"/>
  <c r="S33" i="19"/>
  <c r="M198" i="19"/>
  <c r="M215" i="19" s="1"/>
  <c r="M213" i="19" s="1"/>
  <c r="K37" i="19"/>
  <c r="K9" i="19" s="1"/>
  <c r="I9" i="19" s="1"/>
  <c r="J33" i="19"/>
  <c r="T135" i="19"/>
  <c r="AB16" i="29"/>
  <c r="AD16" i="29"/>
  <c r="AC16" i="29" s="1"/>
  <c r="N135" i="19"/>
  <c r="M135" i="19" s="1"/>
  <c r="L135" i="19" s="1"/>
  <c r="Q135" i="19"/>
  <c r="P135" i="19" s="1"/>
  <c r="O135" i="19" s="1"/>
  <c r="AF16" i="29"/>
  <c r="AE16" i="29" s="1"/>
  <c r="BB16" i="29"/>
  <c r="BA16" i="29" s="1"/>
  <c r="BN16" i="29"/>
  <c r="H135" i="19"/>
  <c r="G135" i="19" s="1"/>
  <c r="F135" i="19" s="1"/>
  <c r="N53" i="19"/>
  <c r="M47" i="19"/>
  <c r="K15" i="19"/>
  <c r="I15" i="19" s="1"/>
  <c r="K47" i="19"/>
  <c r="T60" i="19"/>
  <c r="S47" i="19"/>
  <c r="Q62" i="19"/>
  <c r="P61" i="19"/>
  <c r="AB18" i="29"/>
  <c r="AD18" i="29"/>
  <c r="AC18" i="29" s="1"/>
  <c r="J18" i="29"/>
  <c r="T137" i="19"/>
  <c r="S137" i="19" s="1"/>
  <c r="R137" i="19" s="1"/>
  <c r="N137" i="19"/>
  <c r="M137" i="19" s="1"/>
  <c r="L137" i="19" s="1"/>
  <c r="BB18" i="29"/>
  <c r="BA18" i="29" s="1"/>
  <c r="AF18" i="29"/>
  <c r="BN18" i="29"/>
  <c r="K137" i="19"/>
  <c r="J137" i="19" s="1"/>
  <c r="I137" i="19" s="1"/>
  <c r="H137" i="19"/>
  <c r="G137" i="19" s="1"/>
  <c r="F137" i="19" s="1"/>
  <c r="N17" i="19"/>
  <c r="T102" i="19"/>
  <c r="T162" i="19" s="1"/>
  <c r="S162" i="19" s="1"/>
  <c r="R162" i="19" s="1"/>
  <c r="S89" i="19"/>
  <c r="K103" i="19"/>
  <c r="BN25" i="29"/>
  <c r="K140" i="19"/>
  <c r="J140" i="19" s="1"/>
  <c r="I140" i="19" s="1"/>
  <c r="H112" i="19"/>
  <c r="G103" i="19"/>
  <c r="N121" i="19"/>
  <c r="N117" i="19" s="1"/>
  <c r="M117" i="19"/>
  <c r="AP8" i="11"/>
  <c r="AR88" i="17"/>
  <c r="J245" i="20"/>
  <c r="J246" i="20" s="1"/>
  <c r="Q119" i="11"/>
  <c r="AK120" i="11"/>
  <c r="G253" i="17"/>
  <c r="E39" i="11"/>
  <c r="AJ116" i="11"/>
  <c r="AE116" i="11"/>
  <c r="O120" i="11"/>
  <c r="W122" i="11"/>
  <c r="AD119" i="11"/>
  <c r="AO133" i="11"/>
  <c r="K295" i="20"/>
  <c r="K296" i="20" s="1"/>
  <c r="F295" i="20"/>
  <c r="F296" i="20" s="1"/>
  <c r="G295" i="20"/>
  <c r="G296" i="20" s="1"/>
  <c r="P74" i="7"/>
  <c r="AA41" i="14"/>
  <c r="AA222" i="17"/>
  <c r="Y45" i="11"/>
  <c r="AA283" i="17"/>
  <c r="M108" i="7"/>
  <c r="M109" i="7" s="1"/>
  <c r="O41" i="14"/>
  <c r="O35" i="14"/>
  <c r="O40" i="14"/>
  <c r="O33" i="14"/>
  <c r="O38" i="14"/>
  <c r="O32" i="14"/>
  <c r="O39" i="14"/>
  <c r="O34" i="14"/>
  <c r="O42" i="14"/>
  <c r="O36" i="14"/>
  <c r="O37" i="14"/>
  <c r="P15" i="29"/>
  <c r="J15" i="29"/>
  <c r="T15" i="29"/>
  <c r="S15" i="29" s="1"/>
  <c r="N161" i="19"/>
  <c r="M161" i="19" s="1"/>
  <c r="L161" i="19" s="1"/>
  <c r="N134" i="19"/>
  <c r="M134" i="19" s="1"/>
  <c r="L134" i="19" s="1"/>
  <c r="K161" i="19"/>
  <c r="Q159" i="19"/>
  <c r="P159" i="19" s="1"/>
  <c r="O159" i="19" s="1"/>
  <c r="H157" i="19"/>
  <c r="K160" i="19"/>
  <c r="Q160" i="19"/>
  <c r="P160" i="19" s="1"/>
  <c r="O160" i="19" s="1"/>
  <c r="K163" i="19"/>
  <c r="H162" i="19"/>
  <c r="G162" i="19" s="1"/>
  <c r="F162" i="19" s="1"/>
  <c r="BB15" i="29"/>
  <c r="BA15" i="29" s="1"/>
  <c r="Q161" i="19"/>
  <c r="N159" i="19"/>
  <c r="M159" i="19" s="1"/>
  <c r="L159" i="19" s="1"/>
  <c r="H159" i="19"/>
  <c r="T134" i="19"/>
  <c r="S134" i="19" s="1"/>
  <c r="R134" i="19" s="1"/>
  <c r="K159" i="19"/>
  <c r="J159" i="19" s="1"/>
  <c r="H158" i="19"/>
  <c r="H163" i="19"/>
  <c r="G163" i="19" s="1"/>
  <c r="F163" i="19" s="1"/>
  <c r="Q163" i="19"/>
  <c r="P163" i="19" s="1"/>
  <c r="AN15" i="29"/>
  <c r="H134" i="19"/>
  <c r="K157" i="19"/>
  <c r="K134" i="19"/>
  <c r="J134" i="19" s="1"/>
  <c r="I134" i="19" s="1"/>
  <c r="X15" i="29"/>
  <c r="W15" i="29" s="1"/>
  <c r="T161" i="19"/>
  <c r="N157" i="19"/>
  <c r="AF15" i="29"/>
  <c r="V15" i="29"/>
  <c r="U15" i="29" s="1"/>
  <c r="AD15" i="29"/>
  <c r="AC15" i="29" s="1"/>
  <c r="T163" i="19"/>
  <c r="E157" i="19"/>
  <c r="D157" i="19" s="1"/>
  <c r="N162" i="19"/>
  <c r="N160" i="19"/>
  <c r="M160" i="19" s="1"/>
  <c r="L160" i="19" s="1"/>
  <c r="BN15" i="29"/>
  <c r="BV15" i="29"/>
  <c r="T158" i="19"/>
  <c r="S158" i="19" s="1"/>
  <c r="R158" i="19" s="1"/>
  <c r="K162" i="19"/>
  <c r="J162" i="19" s="1"/>
  <c r="Q157" i="19"/>
  <c r="K158" i="19"/>
  <c r="J158" i="19" s="1"/>
  <c r="H161" i="19"/>
  <c r="Q134" i="19"/>
  <c r="P134" i="19" s="1"/>
  <c r="O134" i="19" s="1"/>
  <c r="Z15" i="29"/>
  <c r="AV15" i="29"/>
  <c r="AB15" i="29"/>
  <c r="Q158" i="19"/>
  <c r="P158" i="19" s="1"/>
  <c r="O158" i="19" s="1"/>
  <c r="T157" i="19"/>
  <c r="S157" i="19" s="1"/>
  <c r="N114" i="19"/>
  <c r="N103" i="19" s="1"/>
  <c r="M103" i="19"/>
  <c r="T119" i="19"/>
  <c r="T117" i="19" s="1"/>
  <c r="S117" i="19"/>
  <c r="K10" i="19"/>
  <c r="I10" i="19" s="1"/>
  <c r="U88" i="17"/>
  <c r="S8" i="11"/>
  <c r="M3" i="13"/>
  <c r="N3" i="13"/>
  <c r="K3" i="13"/>
  <c r="L3" i="13"/>
  <c r="R15" i="29"/>
  <c r="AM107" i="11"/>
  <c r="AJ120" i="11"/>
  <c r="AE135" i="11"/>
  <c r="AQ87" i="11"/>
  <c r="AQ8" i="11"/>
  <c r="I119" i="11"/>
  <c r="AN16" i="29"/>
  <c r="AM16" i="29" s="1"/>
  <c r="AN18" i="29"/>
  <c r="AM18" i="29" s="1"/>
  <c r="M132" i="11"/>
  <c r="AQ133" i="11"/>
  <c r="B300" i="17"/>
  <c r="C58" i="15"/>
  <c r="J133" i="11"/>
  <c r="T292" i="17"/>
  <c r="T353" i="17"/>
  <c r="AT292" i="17"/>
  <c r="AR58" i="11"/>
  <c r="D352" i="17"/>
  <c r="E353" i="17"/>
  <c r="AE93" i="11"/>
  <c r="AB107" i="11"/>
  <c r="G107" i="11"/>
  <c r="AR122" i="11"/>
  <c r="AC144" i="11"/>
  <c r="AF11" i="29"/>
  <c r="Z11" i="29"/>
  <c r="AB11" i="29"/>
  <c r="V11" i="29"/>
  <c r="U11" i="29" s="1"/>
  <c r="X11" i="29"/>
  <c r="W11" i="29" s="1"/>
  <c r="AN11" i="29"/>
  <c r="AM11" i="29" s="1"/>
  <c r="H56" i="7"/>
  <c r="H53" i="7"/>
  <c r="H54" i="7" s="1"/>
  <c r="C43" i="7"/>
  <c r="P43" i="7"/>
  <c r="P56" i="7" s="1"/>
  <c r="F7" i="8"/>
  <c r="F79" i="8"/>
  <c r="F53" i="8"/>
  <c r="F92" i="8"/>
  <c r="G74" i="8"/>
  <c r="G87" i="8"/>
  <c r="G48" i="8"/>
  <c r="P22" i="14"/>
  <c r="I140" i="9"/>
  <c r="K53" i="14"/>
  <c r="K50" i="14"/>
  <c r="K55" i="14"/>
  <c r="K48" i="14"/>
  <c r="K57" i="14"/>
  <c r="K52" i="14"/>
  <c r="K49" i="14"/>
  <c r="K58" i="14"/>
  <c r="K56" i="14"/>
  <c r="C56" i="14" s="1"/>
  <c r="K54" i="14"/>
  <c r="K51" i="14"/>
  <c r="C20" i="15"/>
  <c r="F384" i="20"/>
  <c r="B95" i="17"/>
  <c r="G391" i="20"/>
  <c r="E389" i="20"/>
  <c r="L403" i="20"/>
  <c r="L399" i="20"/>
  <c r="I400" i="20"/>
  <c r="J398" i="20"/>
  <c r="L392" i="20"/>
  <c r="K385" i="20"/>
  <c r="J396" i="20"/>
  <c r="L391" i="20"/>
  <c r="I393" i="20"/>
  <c r="K394" i="20"/>
  <c r="K386" i="20"/>
  <c r="K391" i="20"/>
  <c r="H399" i="20"/>
  <c r="E400" i="20"/>
  <c r="H385" i="20"/>
  <c r="E392" i="20"/>
  <c r="F396" i="20"/>
  <c r="H394" i="20"/>
  <c r="H396" i="20"/>
  <c r="G388" i="20"/>
  <c r="H395" i="20"/>
  <c r="G385" i="20"/>
  <c r="H392" i="20"/>
  <c r="E403" i="20"/>
  <c r="E385" i="20"/>
  <c r="L389" i="20"/>
  <c r="K396" i="20"/>
  <c r="J399" i="20"/>
  <c r="I395" i="20"/>
  <c r="I391" i="20"/>
  <c r="L384" i="20"/>
  <c r="L395" i="20"/>
  <c r="K388" i="20"/>
  <c r="I399" i="20"/>
  <c r="J392" i="20"/>
  <c r="L393" i="20"/>
  <c r="L385" i="20"/>
  <c r="I389" i="20"/>
  <c r="G396" i="20"/>
  <c r="F399" i="20"/>
  <c r="E388" i="20"/>
  <c r="H393" i="20"/>
  <c r="G399" i="20"/>
  <c r="G395" i="20"/>
  <c r="G401" i="20"/>
  <c r="H391" i="20"/>
  <c r="H398" i="20"/>
  <c r="F386" i="20"/>
  <c r="F394" i="20"/>
  <c r="K403" i="20"/>
  <c r="J394" i="20"/>
  <c r="K399" i="20"/>
  <c r="L387" i="20"/>
  <c r="L394" i="20"/>
  <c r="J391" i="20"/>
  <c r="G400" i="20"/>
  <c r="E384" i="20"/>
  <c r="F395" i="20"/>
  <c r="G393" i="20"/>
  <c r="E394" i="20"/>
  <c r="E391" i="20"/>
  <c r="J388" i="20"/>
  <c r="J403" i="20"/>
  <c r="K393" i="20"/>
  <c r="K392" i="20"/>
  <c r="K384" i="20"/>
  <c r="I403" i="20"/>
  <c r="I385" i="20"/>
  <c r="G403" i="20"/>
  <c r="H389" i="20"/>
  <c r="E401" i="20"/>
  <c r="G384" i="20"/>
  <c r="F400" i="20"/>
  <c r="E395" i="20"/>
  <c r="K400" i="20"/>
  <c r="L388" i="20"/>
  <c r="K395" i="20"/>
  <c r="H403" i="20"/>
  <c r="G394" i="20"/>
  <c r="F393" i="20"/>
  <c r="P403" i="20"/>
  <c r="P399" i="20"/>
  <c r="N403" i="20"/>
  <c r="N399" i="20"/>
  <c r="P400" i="20"/>
  <c r="O393" i="20"/>
  <c r="P388" i="20"/>
  <c r="N386" i="20"/>
  <c r="N400" i="20"/>
  <c r="O392" i="20"/>
  <c r="P387" i="20"/>
  <c r="M403" i="20"/>
  <c r="O395" i="20"/>
  <c r="N392" i="20"/>
  <c r="N395" i="20"/>
  <c r="N391" i="20"/>
  <c r="O386" i="20"/>
  <c r="M385" i="20"/>
  <c r="N384" i="20"/>
  <c r="F392" i="20"/>
  <c r="I396" i="20"/>
  <c r="I394" i="20"/>
  <c r="J395" i="20"/>
  <c r="F403" i="20"/>
  <c r="E393" i="20"/>
  <c r="H384" i="20"/>
  <c r="M402" i="20"/>
  <c r="M398" i="20"/>
  <c r="O402" i="20"/>
  <c r="O398" i="20"/>
  <c r="M399" i="20"/>
  <c r="P392" i="20"/>
  <c r="M387" i="20"/>
  <c r="O385" i="20"/>
  <c r="P398" i="20"/>
  <c r="P391" i="20"/>
  <c r="M386" i="20"/>
  <c r="O401" i="20"/>
  <c r="P394" i="20"/>
  <c r="P402" i="20"/>
  <c r="O394" i="20"/>
  <c r="P389" i="20"/>
  <c r="P385" i="20"/>
  <c r="O387" i="20"/>
  <c r="G387" i="20"/>
  <c r="K401" i="20"/>
  <c r="I392" i="20"/>
  <c r="G392" i="20"/>
  <c r="O396" i="20"/>
  <c r="M396" i="20"/>
  <c r="M391" i="20"/>
  <c r="P384" i="20"/>
  <c r="N389" i="20"/>
  <c r="N398" i="20"/>
  <c r="O399" i="20"/>
  <c r="M388" i="20"/>
  <c r="N388" i="20"/>
  <c r="K389" i="20"/>
  <c r="L386" i="20"/>
  <c r="H387" i="20"/>
  <c r="O403" i="20"/>
  <c r="N402" i="20"/>
  <c r="O389" i="20"/>
  <c r="O388" i="20"/>
  <c r="P396" i="20"/>
  <c r="N396" i="20"/>
  <c r="N387" i="20"/>
  <c r="M389" i="20"/>
  <c r="I398" i="20"/>
  <c r="L402" i="20"/>
  <c r="I388" i="20"/>
  <c r="G402" i="20"/>
  <c r="F385" i="20"/>
  <c r="F388" i="20"/>
  <c r="L401" i="20"/>
  <c r="J385" i="20"/>
  <c r="K387" i="20"/>
  <c r="F387" i="20"/>
  <c r="F402" i="20"/>
  <c r="L396" i="20"/>
  <c r="F391" i="20"/>
  <c r="O400" i="20"/>
  <c r="N394" i="20"/>
  <c r="P395" i="20"/>
  <c r="M393" i="20"/>
  <c r="M384" i="20"/>
  <c r="K402" i="20"/>
  <c r="J402" i="20"/>
  <c r="E398" i="20"/>
  <c r="F389" i="20"/>
  <c r="J389" i="20"/>
  <c r="J384" i="20"/>
  <c r="E386" i="20"/>
  <c r="J393" i="20"/>
  <c r="E387" i="20"/>
  <c r="P401" i="20"/>
  <c r="M394" i="20"/>
  <c r="N393" i="20"/>
  <c r="M392" i="20"/>
  <c r="O391" i="20"/>
  <c r="K398" i="20"/>
  <c r="J400" i="20"/>
  <c r="G398" i="20"/>
  <c r="H388" i="20"/>
  <c r="J401" i="20"/>
  <c r="L400" i="20"/>
  <c r="F401" i="20"/>
  <c r="G389" i="20"/>
  <c r="M401" i="20"/>
  <c r="P393" i="20"/>
  <c r="I402" i="20"/>
  <c r="E402" i="20"/>
  <c r="H386" i="20"/>
  <c r="L398" i="20"/>
  <c r="N401" i="20"/>
  <c r="P386" i="20"/>
  <c r="I387" i="20"/>
  <c r="G386" i="20"/>
  <c r="J387" i="20"/>
  <c r="F209" i="20"/>
  <c r="F210" i="20" s="1"/>
  <c r="E209" i="20"/>
  <c r="E210" i="20" s="1"/>
  <c r="K209" i="20"/>
  <c r="K210" i="20" s="1"/>
  <c r="J209" i="20"/>
  <c r="J210" i="20" s="1"/>
  <c r="G209" i="20"/>
  <c r="G210" i="20" s="1"/>
  <c r="L209" i="20"/>
  <c r="L210" i="20" s="1"/>
  <c r="I209" i="20"/>
  <c r="I210" i="20" s="1"/>
  <c r="AS112" i="17"/>
  <c r="J112" i="17"/>
  <c r="Z112" i="17"/>
  <c r="AP112" i="17"/>
  <c r="G112" i="17"/>
  <c r="G42" i="17" s="1"/>
  <c r="W112" i="17"/>
  <c r="AM112" i="17"/>
  <c r="N112" i="17"/>
  <c r="N42" i="17" s="1"/>
  <c r="AD112" i="17"/>
  <c r="AT112" i="17"/>
  <c r="K112" i="17"/>
  <c r="AA112" i="17"/>
  <c r="AA42" i="17" s="1"/>
  <c r="AQ112" i="17"/>
  <c r="V112" i="17"/>
  <c r="AI112" i="17"/>
  <c r="P112" i="17"/>
  <c r="P42" i="17" s="1"/>
  <c r="AF112" i="17"/>
  <c r="AR112" i="17"/>
  <c r="M112" i="17"/>
  <c r="AC112" i="17"/>
  <c r="AC42" i="17" s="1"/>
  <c r="AH112" i="17"/>
  <c r="O112" i="17"/>
  <c r="AU112" i="17"/>
  <c r="T112" i="17"/>
  <c r="AV112" i="17"/>
  <c r="Q112" i="17"/>
  <c r="AG112" i="17"/>
  <c r="R112" i="17"/>
  <c r="H112" i="17"/>
  <c r="AJ112" i="17"/>
  <c r="I112" i="17"/>
  <c r="AO112" i="17"/>
  <c r="AL112" i="17"/>
  <c r="S112" i="17"/>
  <c r="L112" i="17"/>
  <c r="AN112" i="17"/>
  <c r="AN42" i="17" s="1"/>
  <c r="U112" i="17"/>
  <c r="F112" i="17"/>
  <c r="AE112" i="17"/>
  <c r="AB112" i="17"/>
  <c r="AB42" i="17" s="1"/>
  <c r="AK112" i="17"/>
  <c r="E112" i="17"/>
  <c r="X112" i="17"/>
  <c r="Y112" i="17"/>
  <c r="Z124" i="17"/>
  <c r="V124" i="17"/>
  <c r="L124" i="17"/>
  <c r="U124" i="17"/>
  <c r="AS15" i="11"/>
  <c r="AU123" i="17"/>
  <c r="AS94" i="11" s="1"/>
  <c r="D122" i="17"/>
  <c r="D120" i="17" s="1"/>
  <c r="B140" i="17"/>
  <c r="AH144" i="17" s="1"/>
  <c r="C29" i="15"/>
  <c r="K253" i="20"/>
  <c r="K254" i="20" s="1"/>
  <c r="J253" i="20"/>
  <c r="J254" i="20" s="1"/>
  <c r="I253" i="20"/>
  <c r="I254" i="20" s="1"/>
  <c r="L253" i="20"/>
  <c r="L254" i="20" s="1"/>
  <c r="G253" i="20"/>
  <c r="G254" i="20" s="1"/>
  <c r="F253" i="20"/>
  <c r="F254" i="20" s="1"/>
  <c r="E253" i="20"/>
  <c r="E254" i="20" s="1"/>
  <c r="H253" i="20"/>
  <c r="H254" i="20" s="1"/>
  <c r="AH35" i="15"/>
  <c r="AG35" i="15" s="1"/>
  <c r="F263" i="20"/>
  <c r="F264" i="20" s="1"/>
  <c r="K263" i="20"/>
  <c r="K264" i="20" s="1"/>
  <c r="E263" i="20"/>
  <c r="E264" i="20" s="1"/>
  <c r="I263" i="20"/>
  <c r="I264" i="20" s="1"/>
  <c r="AH37" i="15"/>
  <c r="AG37" i="15" s="1"/>
  <c r="J269" i="20"/>
  <c r="J270" i="20" s="1"/>
  <c r="I269" i="20"/>
  <c r="I270" i="20" s="1"/>
  <c r="H269" i="20"/>
  <c r="H270" i="20" s="1"/>
  <c r="E269" i="20"/>
  <c r="E270" i="20" s="1"/>
  <c r="L269" i="20"/>
  <c r="L270" i="20" s="1"/>
  <c r="E271" i="20"/>
  <c r="E272" i="20" s="1"/>
  <c r="L271" i="20"/>
  <c r="L272" i="20" s="1"/>
  <c r="F271" i="20"/>
  <c r="F272" i="20" s="1"/>
  <c r="K271" i="20"/>
  <c r="K272" i="20" s="1"/>
  <c r="I271" i="20"/>
  <c r="I272" i="20" s="1"/>
  <c r="J271" i="20"/>
  <c r="J272" i="20" s="1"/>
  <c r="G271" i="20"/>
  <c r="G272" i="20" s="1"/>
  <c r="E273" i="20"/>
  <c r="E274" i="20" s="1"/>
  <c r="K273" i="20"/>
  <c r="K274" i="20" s="1"/>
  <c r="H273" i="20"/>
  <c r="H274" i="20" s="1"/>
  <c r="F273" i="20"/>
  <c r="F274" i="20" s="1"/>
  <c r="G273" i="20"/>
  <c r="G274" i="20" s="1"/>
  <c r="I273" i="20"/>
  <c r="I274" i="20" s="1"/>
  <c r="L273" i="20"/>
  <c r="L274" i="20" s="1"/>
  <c r="AT282" i="17"/>
  <c r="AT72" i="17" s="1"/>
  <c r="AD282" i="17"/>
  <c r="N282" i="17"/>
  <c r="AO282" i="17"/>
  <c r="AC282" i="17"/>
  <c r="M282" i="17"/>
  <c r="AR282" i="17"/>
  <c r="AB282" i="17"/>
  <c r="AM282" i="17"/>
  <c r="W282" i="17"/>
  <c r="K282" i="17"/>
  <c r="AP282" i="17"/>
  <c r="Z282" i="17"/>
  <c r="J282" i="17"/>
  <c r="AK282" i="17"/>
  <c r="Y282" i="17"/>
  <c r="I282" i="17"/>
  <c r="I72" i="17" s="1"/>
  <c r="AN282" i="17"/>
  <c r="X282" i="17"/>
  <c r="L282" i="17"/>
  <c r="AI282" i="17"/>
  <c r="G282" i="17"/>
  <c r="AH282" i="17"/>
  <c r="AS282" i="17"/>
  <c r="Q282" i="17"/>
  <c r="AF282" i="17"/>
  <c r="AQ282" i="17"/>
  <c r="O282" i="17"/>
  <c r="V282" i="17"/>
  <c r="AG282" i="17"/>
  <c r="AG72" i="17" s="1"/>
  <c r="E282" i="17"/>
  <c r="T282" i="17"/>
  <c r="AE282" i="17"/>
  <c r="F282" i="17"/>
  <c r="AJ282" i="17"/>
  <c r="S282" i="17"/>
  <c r="S283" i="17" s="1"/>
  <c r="AU282" i="17"/>
  <c r="AU72" i="17" s="1"/>
  <c r="P282" i="17"/>
  <c r="U282" i="17"/>
  <c r="AV282" i="17"/>
  <c r="AL282" i="17"/>
  <c r="AL222" i="17" s="1"/>
  <c r="R282" i="17"/>
  <c r="H282" i="17"/>
  <c r="AO297" i="17"/>
  <c r="Y297" i="17"/>
  <c r="Y17" i="17" s="1"/>
  <c r="I297" i="17"/>
  <c r="I287" i="17" s="1"/>
  <c r="I285" i="17" s="1"/>
  <c r="AN297" i="17"/>
  <c r="X297" i="17"/>
  <c r="L297" i="17"/>
  <c r="AQ297" i="17"/>
  <c r="O297" i="17"/>
  <c r="AP297" i="17"/>
  <c r="AP17" i="17" s="1"/>
  <c r="AD297" i="17"/>
  <c r="AD287" i="17" s="1"/>
  <c r="R297" i="17"/>
  <c r="F297" i="17"/>
  <c r="AK297" i="17"/>
  <c r="Q297" i="17"/>
  <c r="AR297" i="17"/>
  <c r="T297" i="17"/>
  <c r="AU297" i="17"/>
  <c r="AE297" i="17"/>
  <c r="K297" i="17"/>
  <c r="AL297" i="17"/>
  <c r="V297" i="17"/>
  <c r="AG297" i="17"/>
  <c r="M297" i="17"/>
  <c r="AJ297" i="17"/>
  <c r="AA297" i="17"/>
  <c r="G297" i="17"/>
  <c r="AH297" i="17"/>
  <c r="AH287" i="17" s="1"/>
  <c r="N297" i="17"/>
  <c r="E297" i="17"/>
  <c r="P297" i="17"/>
  <c r="W297" i="17"/>
  <c r="Z297" i="17"/>
  <c r="AS297" i="17"/>
  <c r="AV297" i="17"/>
  <c r="H297" i="17"/>
  <c r="H287" i="17" s="1"/>
  <c r="H285" i="17" s="1"/>
  <c r="S297" i="17"/>
  <c r="AB297" i="17"/>
  <c r="AC297" i="17"/>
  <c r="AM297" i="17"/>
  <c r="J297" i="17"/>
  <c r="AT297" i="17"/>
  <c r="U297" i="17"/>
  <c r="AF297" i="17"/>
  <c r="AI297" i="17"/>
  <c r="J188" i="19"/>
  <c r="J18" i="19"/>
  <c r="I18" i="19" s="1"/>
  <c r="M18" i="19"/>
  <c r="S18" i="19"/>
  <c r="G18" i="19"/>
  <c r="P18" i="19"/>
  <c r="N20" i="19"/>
  <c r="M19" i="19"/>
  <c r="P185" i="19"/>
  <c r="H34" i="19"/>
  <c r="H33" i="19" s="1"/>
  <c r="G33" i="19"/>
  <c r="Q45" i="19"/>
  <c r="Q33" i="19" s="1"/>
  <c r="P33" i="19"/>
  <c r="N46" i="19"/>
  <c r="N33" i="19" s="1"/>
  <c r="M33" i="19"/>
  <c r="Q50" i="19"/>
  <c r="Q136" i="19" s="1"/>
  <c r="P47" i="19"/>
  <c r="E18" i="19"/>
  <c r="C18" i="19" s="1"/>
  <c r="N63" i="19"/>
  <c r="N61" i="19" s="1"/>
  <c r="M61" i="19"/>
  <c r="K61" i="19"/>
  <c r="H17" i="19"/>
  <c r="K101" i="19"/>
  <c r="J89" i="19"/>
  <c r="T133" i="11"/>
  <c r="AW205" i="17"/>
  <c r="AW206" i="17" s="1"/>
  <c r="AW207" i="17" s="1"/>
  <c r="AW208" i="17" s="1"/>
  <c r="AW209" i="17" s="1"/>
  <c r="Y119" i="11"/>
  <c r="AA259" i="17"/>
  <c r="AB259" i="17"/>
  <c r="M124" i="17"/>
  <c r="G269" i="20"/>
  <c r="G270" i="20" s="1"/>
  <c r="F301" i="20"/>
  <c r="F302" i="20" s="1"/>
  <c r="M89" i="19"/>
  <c r="V49" i="11"/>
  <c r="X308" i="17"/>
  <c r="V128" i="11" s="1"/>
  <c r="S308" i="17"/>
  <c r="Q128" i="11" s="1"/>
  <c r="Q49" i="11"/>
  <c r="AR308" i="17"/>
  <c r="AP49" i="11"/>
  <c r="G48" i="11"/>
  <c r="I303" i="17"/>
  <c r="G127" i="11" s="1"/>
  <c r="AD303" i="17"/>
  <c r="AB127" i="11" s="1"/>
  <c r="AB48" i="11"/>
  <c r="AJ40" i="11"/>
  <c r="AE40" i="11"/>
  <c r="O258" i="17"/>
  <c r="AJ258" i="17"/>
  <c r="M253" i="17"/>
  <c r="K39" i="11"/>
  <c r="AF39" i="11"/>
  <c r="AB253" i="17"/>
  <c r="D39" i="11"/>
  <c r="F253" i="17"/>
  <c r="D118" i="11" s="1"/>
  <c r="Y39" i="11"/>
  <c r="AA253" i="17"/>
  <c r="Y118" i="11" s="1"/>
  <c r="AV253" i="17"/>
  <c r="AT118" i="11" s="1"/>
  <c r="AT39" i="11"/>
  <c r="AC32" i="11"/>
  <c r="AE152" i="17"/>
  <c r="AE213" i="17"/>
  <c r="G32" i="11"/>
  <c r="I213" i="17"/>
  <c r="I152" i="17"/>
  <c r="AU213" i="17"/>
  <c r="AS32" i="11"/>
  <c r="H401" i="20"/>
  <c r="H400" i="20"/>
  <c r="B250" i="17"/>
  <c r="C49" i="15"/>
  <c r="I124" i="17"/>
  <c r="X52" i="17"/>
  <c r="X263" i="17"/>
  <c r="O158" i="11"/>
  <c r="G156" i="11"/>
  <c r="L90" i="11"/>
  <c r="AN363" i="17"/>
  <c r="AS119" i="11"/>
  <c r="L307" i="20"/>
  <c r="L308" i="20" s="1"/>
  <c r="F307" i="20"/>
  <c r="F308" i="20" s="1"/>
  <c r="E307" i="20"/>
  <c r="E308" i="20" s="1"/>
  <c r="K307" i="20"/>
  <c r="K308" i="20" s="1"/>
  <c r="E321" i="20"/>
  <c r="E322" i="20" s="1"/>
  <c r="J321" i="20"/>
  <c r="J322" i="20" s="1"/>
  <c r="I321" i="20"/>
  <c r="I322" i="20" s="1"/>
  <c r="H321" i="20"/>
  <c r="H322" i="20" s="1"/>
  <c r="Q353" i="17"/>
  <c r="I301" i="20"/>
  <c r="I302" i="20" s="1"/>
  <c r="E301" i="20"/>
  <c r="E302" i="20" s="1"/>
  <c r="J301" i="20"/>
  <c r="J302" i="20" s="1"/>
  <c r="L301" i="20"/>
  <c r="L302" i="20" s="1"/>
  <c r="K301" i="20"/>
  <c r="K302" i="20" s="1"/>
  <c r="H301" i="20"/>
  <c r="H302" i="20" s="1"/>
  <c r="AA130" i="11"/>
  <c r="AG107" i="11"/>
  <c r="F76" i="8"/>
  <c r="F50" i="8"/>
  <c r="F89" i="8"/>
  <c r="C11" i="8"/>
  <c r="AI259" i="17"/>
  <c r="AB184" i="17"/>
  <c r="AP58" i="11"/>
  <c r="AN111" i="11"/>
  <c r="N124" i="17"/>
  <c r="G6" i="18"/>
  <c r="E227" i="20"/>
  <c r="E228" i="20" s="1"/>
  <c r="G227" i="20"/>
  <c r="G228" i="20" s="1"/>
  <c r="D179" i="19"/>
  <c r="BA28" i="29"/>
  <c r="BA37" i="29"/>
  <c r="BA33" i="29"/>
  <c r="BA22" i="29"/>
  <c r="BA23" i="29"/>
  <c r="AL49" i="11"/>
  <c r="AN308" i="17"/>
  <c r="AL128" i="11" s="1"/>
  <c r="L49" i="11"/>
  <c r="N308" i="17"/>
  <c r="L128" i="11" s="1"/>
  <c r="K49" i="11"/>
  <c r="F48" i="11"/>
  <c r="I40" i="11"/>
  <c r="J258" i="17"/>
  <c r="H40" i="11"/>
  <c r="AE258" i="17"/>
  <c r="AC40" i="11"/>
  <c r="E258" i="17"/>
  <c r="AA39" i="11"/>
  <c r="U39" i="11"/>
  <c r="E213" i="17"/>
  <c r="Y152" i="17"/>
  <c r="Y213" i="17"/>
  <c r="AT213" i="17"/>
  <c r="AR111" i="11" s="1"/>
  <c r="I401" i="20"/>
  <c r="H402" i="20"/>
  <c r="H271" i="20"/>
  <c r="H272" i="20" s="1"/>
  <c r="J273" i="20"/>
  <c r="J274" i="20" s="1"/>
  <c r="E2" i="36"/>
  <c r="E19" i="36"/>
  <c r="D8" i="36"/>
  <c r="I7" i="36"/>
  <c r="J317" i="20"/>
  <c r="J318" i="20" s="1"/>
  <c r="L317" i="20"/>
  <c r="L318" i="20" s="1"/>
  <c r="J132" i="11"/>
  <c r="AF145" i="11"/>
  <c r="C121" i="11"/>
  <c r="X159" i="11"/>
  <c r="M395" i="20"/>
  <c r="AN129" i="11"/>
  <c r="AL142" i="11"/>
  <c r="L161" i="11"/>
  <c r="H285" i="20"/>
  <c r="H286" i="20" s="1"/>
  <c r="F285" i="20"/>
  <c r="F286" i="20" s="1"/>
  <c r="K331" i="20"/>
  <c r="K332" i="20" s="1"/>
  <c r="E331" i="20"/>
  <c r="E332" i="20" s="1"/>
  <c r="I331" i="20"/>
  <c r="I332" i="20" s="1"/>
  <c r="I299" i="20"/>
  <c r="I300" i="20" s="1"/>
  <c r="G299" i="20"/>
  <c r="G300" i="20" s="1"/>
  <c r="AC52" i="17"/>
  <c r="AA54" i="11"/>
  <c r="D332" i="17"/>
  <c r="D330" i="17" s="1"/>
  <c r="Z54" i="11"/>
  <c r="AB333" i="17"/>
  <c r="AB53" i="11"/>
  <c r="AK52" i="11"/>
  <c r="AM323" i="17"/>
  <c r="AK131" i="11" s="1"/>
  <c r="AF52" i="11"/>
  <c r="AH323" i="17"/>
  <c r="AF131" i="11" s="1"/>
  <c r="AO51" i="11"/>
  <c r="AA263" i="17"/>
  <c r="AA52" i="17"/>
  <c r="G263" i="17"/>
  <c r="E41" i="11"/>
  <c r="AI263" i="17"/>
  <c r="AI52" i="17"/>
  <c r="Q40" i="11"/>
  <c r="X258" i="17"/>
  <c r="U253" i="17"/>
  <c r="S39" i="11"/>
  <c r="AV18" i="29"/>
  <c r="S120" i="11"/>
  <c r="V318" i="17"/>
  <c r="T130" i="11" s="1"/>
  <c r="T51" i="11"/>
  <c r="AN110" i="11"/>
  <c r="AI135" i="11"/>
  <c r="F90" i="11"/>
  <c r="AT93" i="11"/>
  <c r="J117" i="11"/>
  <c r="O121" i="11"/>
  <c r="AD121" i="11"/>
  <c r="S107" i="11"/>
  <c r="H493" i="17"/>
  <c r="F84" i="11"/>
  <c r="H432" i="17"/>
  <c r="H430" i="17" s="1"/>
  <c r="AB493" i="17"/>
  <c r="Z84" i="11"/>
  <c r="AP84" i="11"/>
  <c r="AR493" i="17"/>
  <c r="L215" i="20"/>
  <c r="L216" i="20" s="1"/>
  <c r="K215" i="20"/>
  <c r="K216" i="20" s="1"/>
  <c r="H215" i="20"/>
  <c r="H216" i="20" s="1"/>
  <c r="K8" i="19"/>
  <c r="I8" i="19" s="1"/>
  <c r="Q52" i="17"/>
  <c r="O54" i="11"/>
  <c r="Q333" i="17"/>
  <c r="I54" i="11"/>
  <c r="K333" i="17"/>
  <c r="AH53" i="11"/>
  <c r="AJ328" i="17"/>
  <c r="J328" i="17"/>
  <c r="H53" i="11"/>
  <c r="AC323" i="17"/>
  <c r="AA131" i="11" s="1"/>
  <c r="AA52" i="11"/>
  <c r="H51" i="11"/>
  <c r="J318" i="17"/>
  <c r="H130" i="11" s="1"/>
  <c r="E37" i="17"/>
  <c r="C51" i="11"/>
  <c r="E318" i="17"/>
  <c r="AG318" i="17"/>
  <c r="AE130" i="11" s="1"/>
  <c r="AG37" i="17"/>
  <c r="AX17" i="29"/>
  <c r="BW4" i="29"/>
  <c r="AX11" i="29"/>
  <c r="AW7" i="29"/>
  <c r="AW6" i="29"/>
  <c r="AX16" i="29"/>
  <c r="AX15" i="29"/>
  <c r="AX19" i="29"/>
  <c r="AX18" i="29"/>
  <c r="C41" i="11"/>
  <c r="E263" i="17"/>
  <c r="W263" i="17"/>
  <c r="U41" i="11"/>
  <c r="P41" i="11"/>
  <c r="R52" i="17"/>
  <c r="R263" i="17"/>
  <c r="AN258" i="17"/>
  <c r="AL40" i="11"/>
  <c r="E259" i="20"/>
  <c r="E260" i="20" s="1"/>
  <c r="H259" i="20"/>
  <c r="H260" i="20" s="1"/>
  <c r="J259" i="20"/>
  <c r="J260" i="20" s="1"/>
  <c r="K104" i="17"/>
  <c r="J104" i="17"/>
  <c r="D51" i="8"/>
  <c r="C51" i="8" s="1"/>
  <c r="D77" i="8"/>
  <c r="C77" i="8" s="1"/>
  <c r="T9" i="19"/>
  <c r="R9" i="19" s="1"/>
  <c r="E145" i="11"/>
  <c r="AS100" i="11"/>
  <c r="V104" i="11"/>
  <c r="K117" i="11"/>
  <c r="AT144" i="11"/>
  <c r="AF111" i="11"/>
  <c r="X152" i="17"/>
  <c r="X213" i="17"/>
  <c r="S28" i="11"/>
  <c r="U52" i="17"/>
  <c r="D28" i="11"/>
  <c r="F193" i="17"/>
  <c r="V193" i="17"/>
  <c r="T28" i="11"/>
  <c r="V52" i="17"/>
  <c r="AL193" i="17"/>
  <c r="AJ28" i="11"/>
  <c r="M28" i="11"/>
  <c r="O193" i="17"/>
  <c r="AU193" i="17"/>
  <c r="AS107" i="11" s="1"/>
  <c r="AS28" i="11"/>
  <c r="R28" i="11"/>
  <c r="T193" i="17"/>
  <c r="AJ193" i="17"/>
  <c r="AJ52" i="17"/>
  <c r="AI24" i="11"/>
  <c r="AK173" i="17"/>
  <c r="AK32" i="17"/>
  <c r="AQ72" i="17"/>
  <c r="F287" i="20"/>
  <c r="F288" i="20" s="1"/>
  <c r="D117" i="11"/>
  <c r="AK90" i="11"/>
  <c r="D140" i="11"/>
  <c r="AF107" i="11"/>
  <c r="K107" i="11"/>
  <c r="AM213" i="17"/>
  <c r="AS58" i="11"/>
  <c r="AU292" i="17"/>
  <c r="M38" i="11"/>
  <c r="O248" i="17"/>
  <c r="AE248" i="17"/>
  <c r="L228" i="17"/>
  <c r="J34" i="11"/>
  <c r="AA228" i="17"/>
  <c r="Y34" i="11"/>
  <c r="AO34" i="11"/>
  <c r="AQ228" i="17"/>
  <c r="AL198" i="17"/>
  <c r="F29" i="11"/>
  <c r="V29" i="11"/>
  <c r="X198" i="17"/>
  <c r="G29" i="11"/>
  <c r="I198" i="17"/>
  <c r="J178" i="17"/>
  <c r="Z178" i="17"/>
  <c r="X104" i="11" s="1"/>
  <c r="M52" i="17"/>
  <c r="K28" i="29"/>
  <c r="Q8" i="19"/>
  <c r="O8" i="19" s="1"/>
  <c r="AH121" i="11"/>
  <c r="Z137" i="11"/>
  <c r="R395" i="20"/>
  <c r="N89" i="11"/>
  <c r="M173" i="17"/>
  <c r="K24" i="11"/>
  <c r="M32" i="17"/>
  <c r="W163" i="17"/>
  <c r="U101" i="11" s="1"/>
  <c r="U22" i="11"/>
  <c r="AD158" i="17"/>
  <c r="AB21" i="11"/>
  <c r="AK19" i="11"/>
  <c r="W82" i="17"/>
  <c r="E133" i="17"/>
  <c r="AD16" i="11"/>
  <c r="AF128" i="17"/>
  <c r="W123" i="17"/>
  <c r="U94" i="11" s="1"/>
  <c r="U15" i="11"/>
  <c r="E15" i="11"/>
  <c r="G123" i="17"/>
  <c r="H124" i="17" s="1"/>
  <c r="N118" i="17"/>
  <c r="AD12" i="11"/>
  <c r="AF108" i="17"/>
  <c r="P108" i="17"/>
  <c r="N12" i="11"/>
  <c r="AM32" i="17"/>
  <c r="AK11" i="11"/>
  <c r="U11" i="11"/>
  <c r="W32" i="17"/>
  <c r="G103" i="17"/>
  <c r="G32" i="17"/>
  <c r="AD98" i="17"/>
  <c r="AB89" i="11" s="1"/>
  <c r="AB10" i="11"/>
  <c r="F493" i="17"/>
  <c r="D84" i="11"/>
  <c r="F432" i="17"/>
  <c r="F430" i="17" s="1"/>
  <c r="AN84" i="11"/>
  <c r="S493" i="17"/>
  <c r="Q84" i="11"/>
  <c r="AG84" i="11"/>
  <c r="AI493" i="17"/>
  <c r="AT473" i="17"/>
  <c r="AR80" i="11"/>
  <c r="Y80" i="11"/>
  <c r="AA473" i="17"/>
  <c r="Y159" i="11" s="1"/>
  <c r="J453" i="17"/>
  <c r="H76" i="11"/>
  <c r="AA55" i="11"/>
  <c r="AC338" i="17"/>
  <c r="F56" i="7"/>
  <c r="F53" i="7"/>
  <c r="F54" i="7" s="1"/>
  <c r="AO32" i="17"/>
  <c r="AM50" i="11"/>
  <c r="AN173" i="17"/>
  <c r="AL103" i="11" s="1"/>
  <c r="AL24" i="11"/>
  <c r="AV32" i="17"/>
  <c r="AT50" i="11"/>
  <c r="X32" i="17"/>
  <c r="X173" i="17"/>
  <c r="H32" i="17"/>
  <c r="H173" i="17"/>
  <c r="F24" i="11"/>
  <c r="N163" i="17"/>
  <c r="L22" i="11"/>
  <c r="AT82" i="17"/>
  <c r="AD143" i="17"/>
  <c r="AB98" i="11" s="1"/>
  <c r="P133" i="17"/>
  <c r="N17" i="11"/>
  <c r="AR178" i="17"/>
  <c r="AA25" i="11"/>
  <c r="AC178" i="17"/>
  <c r="Q62" i="17"/>
  <c r="O82" i="11"/>
  <c r="AO62" i="17"/>
  <c r="AO483" i="17"/>
  <c r="AD483" i="17"/>
  <c r="AB161" i="11" s="1"/>
  <c r="AB82" i="11"/>
  <c r="AT483" i="17"/>
  <c r="AR161" i="11" s="1"/>
  <c r="AR82" i="11"/>
  <c r="AT62" i="17"/>
  <c r="AI483" i="17"/>
  <c r="AG161" i="11" s="1"/>
  <c r="AG82" i="11"/>
  <c r="D462" i="17"/>
  <c r="D460" i="17" s="1"/>
  <c r="F78" i="11"/>
  <c r="H463" i="17"/>
  <c r="F157" i="11" s="1"/>
  <c r="AN463" i="17"/>
  <c r="AL157" i="11" s="1"/>
  <c r="AL78" i="11"/>
  <c r="G78" i="11"/>
  <c r="I463" i="17"/>
  <c r="G157" i="11" s="1"/>
  <c r="N463" i="17"/>
  <c r="L157" i="11" s="1"/>
  <c r="L78" i="11"/>
  <c r="AB78" i="11"/>
  <c r="AD463" i="17"/>
  <c r="AB157" i="11" s="1"/>
  <c r="AI463" i="17"/>
  <c r="AG157" i="11" s="1"/>
  <c r="AG78" i="11"/>
  <c r="H443" i="17"/>
  <c r="F153" i="11" s="1"/>
  <c r="D442" i="17"/>
  <c r="D440" i="17" s="1"/>
  <c r="V74" i="11"/>
  <c r="AN443" i="17"/>
  <c r="AL74" i="11"/>
  <c r="G74" i="11"/>
  <c r="I443" i="17"/>
  <c r="G153" i="11" s="1"/>
  <c r="W74" i="11"/>
  <c r="N443" i="17"/>
  <c r="L153" i="11" s="1"/>
  <c r="L74" i="11"/>
  <c r="AB74" i="11"/>
  <c r="AD443" i="17"/>
  <c r="AB153" i="11" s="1"/>
  <c r="S443" i="17"/>
  <c r="Q153" i="11" s="1"/>
  <c r="Q74" i="11"/>
  <c r="AG74" i="11"/>
  <c r="AI443" i="17"/>
  <c r="AG153" i="11" s="1"/>
  <c r="F413" i="17"/>
  <c r="D148" i="11" s="1"/>
  <c r="F62" i="17"/>
  <c r="T69" i="11"/>
  <c r="AL413" i="17"/>
  <c r="AJ148" i="11" s="1"/>
  <c r="AJ69" i="11"/>
  <c r="K413" i="17"/>
  <c r="I69" i="11"/>
  <c r="AQ413" i="17"/>
  <c r="AO69" i="11"/>
  <c r="N69" i="11"/>
  <c r="P413" i="17"/>
  <c r="D392" i="17"/>
  <c r="D390" i="17" s="1"/>
  <c r="U393" i="17"/>
  <c r="S65" i="11"/>
  <c r="O373" i="17"/>
  <c r="M140" i="11" s="1"/>
  <c r="M61" i="11"/>
  <c r="D372" i="17"/>
  <c r="D370" i="17" s="1"/>
  <c r="AA343" i="17"/>
  <c r="Y135" i="11" s="1"/>
  <c r="Y56" i="11"/>
  <c r="AQ62" i="17"/>
  <c r="J343" i="17"/>
  <c r="H135" i="11" s="1"/>
  <c r="H56" i="11"/>
  <c r="H253" i="17"/>
  <c r="F118" i="11" s="1"/>
  <c r="F39" i="11"/>
  <c r="E30" i="11"/>
  <c r="G203" i="17"/>
  <c r="E109" i="11" s="1"/>
  <c r="AM203" i="17"/>
  <c r="AK109" i="11" s="1"/>
  <c r="AK30" i="11"/>
  <c r="J30" i="11"/>
  <c r="L203" i="17"/>
  <c r="M203" i="17"/>
  <c r="K109" i="11" s="1"/>
  <c r="K30" i="11"/>
  <c r="AC62" i="17"/>
  <c r="AC203" i="17"/>
  <c r="AA109" i="11" s="1"/>
  <c r="AA30" i="11"/>
  <c r="R203" i="17"/>
  <c r="R62" i="17"/>
  <c r="P30" i="11"/>
  <c r="AF30" i="11"/>
  <c r="AH62" i="17"/>
  <c r="AH203" i="17"/>
  <c r="G183" i="17"/>
  <c r="W183" i="17"/>
  <c r="U105" i="11" s="1"/>
  <c r="U26" i="11"/>
  <c r="AK26" i="11"/>
  <c r="AM183" i="17"/>
  <c r="AR183" i="17"/>
  <c r="AP26" i="11"/>
  <c r="K26" i="11"/>
  <c r="M183" i="17"/>
  <c r="AS183" i="17"/>
  <c r="AQ105" i="11" s="1"/>
  <c r="AQ26" i="11"/>
  <c r="R183" i="17"/>
  <c r="P105" i="11" s="1"/>
  <c r="P26" i="11"/>
  <c r="J38" i="7"/>
  <c r="J35" i="7"/>
  <c r="J36" i="7" s="1"/>
  <c r="AE71" i="11"/>
  <c r="AG423" i="17"/>
  <c r="AE150" i="11" s="1"/>
  <c r="AE63" i="11"/>
  <c r="AG383" i="17"/>
  <c r="O383" i="17"/>
  <c r="M63" i="11"/>
  <c r="Z313" i="17"/>
  <c r="Z32" i="17"/>
  <c r="X50" i="11"/>
  <c r="AP50" i="11"/>
  <c r="AR313" i="17"/>
  <c r="AH41" i="11"/>
  <c r="AJ263" i="17"/>
  <c r="AQ32" i="17"/>
  <c r="L243" i="17"/>
  <c r="J37" i="11"/>
  <c r="AB32" i="17"/>
  <c r="Z37" i="11"/>
  <c r="Q32" i="17"/>
  <c r="AG32" i="17"/>
  <c r="E32" i="11"/>
  <c r="G152" i="17"/>
  <c r="AP24" i="11"/>
  <c r="AR32" i="17"/>
  <c r="Q25" i="11"/>
  <c r="S178" i="17"/>
  <c r="AP51" i="11"/>
  <c r="AR318" i="17"/>
  <c r="AP130" i="11" s="1"/>
  <c r="AC17" i="11"/>
  <c r="AT173" i="17"/>
  <c r="AR24" i="11"/>
  <c r="F173" i="17"/>
  <c r="D103" i="11" s="1"/>
  <c r="AF163" i="17"/>
  <c r="AD101" i="11" s="1"/>
  <c r="AD22" i="11"/>
  <c r="AQ158" i="17"/>
  <c r="Q18" i="11"/>
  <c r="AD133" i="17"/>
  <c r="AD62" i="17"/>
  <c r="N62" i="17"/>
  <c r="L17" i="11"/>
  <c r="AW115" i="17"/>
  <c r="AW116" i="17" s="1"/>
  <c r="AW117" i="17" s="1"/>
  <c r="AW118" i="17" s="1"/>
  <c r="AW119" i="17" s="1"/>
  <c r="D57" i="11"/>
  <c r="Y7" i="29"/>
  <c r="Y5" i="29"/>
  <c r="AY4" i="29"/>
  <c r="Y6" i="29"/>
  <c r="O64" i="13"/>
  <c r="P64" i="13" s="1"/>
  <c r="O37" i="13"/>
  <c r="I493" i="17"/>
  <c r="G84" i="11"/>
  <c r="AG108" i="17"/>
  <c r="AE12" i="11"/>
  <c r="AV103" i="17"/>
  <c r="AT90" i="11" s="1"/>
  <c r="AT11" i="11"/>
  <c r="P103" i="17"/>
  <c r="P104" i="17" s="1"/>
  <c r="N11" i="11"/>
  <c r="L83" i="11"/>
  <c r="X432" i="17"/>
  <c r="X430" i="17" s="1"/>
  <c r="X493" i="17"/>
  <c r="V84" i="11"/>
  <c r="Z468" i="17"/>
  <c r="X79" i="11"/>
  <c r="Q448" i="17"/>
  <c r="O154" i="11" s="1"/>
  <c r="O75" i="11"/>
  <c r="F448" i="17"/>
  <c r="D75" i="11"/>
  <c r="AF448" i="17"/>
  <c r="AD154" i="11" s="1"/>
  <c r="AD75" i="11"/>
  <c r="S362" i="17"/>
  <c r="S360" i="17" s="1"/>
  <c r="Q70" i="11"/>
  <c r="H418" i="17"/>
  <c r="X362" i="17"/>
  <c r="X360" i="17" s="1"/>
  <c r="V70" i="11"/>
  <c r="I311" i="20"/>
  <c r="I312" i="20" s="1"/>
  <c r="F55" i="34"/>
  <c r="E60" i="34"/>
  <c r="I7" i="29"/>
  <c r="I23" i="29" s="1"/>
  <c r="I6" i="29"/>
  <c r="AI4" i="29"/>
  <c r="D20" i="7"/>
  <c r="D17" i="7"/>
  <c r="D18" i="7" s="1"/>
  <c r="F38" i="7"/>
  <c r="F35" i="7"/>
  <c r="F36" i="7" s="1"/>
  <c r="D110" i="7"/>
  <c r="D107" i="7"/>
  <c r="D108" i="7" s="1"/>
  <c r="H110" i="7"/>
  <c r="H107" i="7"/>
  <c r="H108" i="7" s="1"/>
  <c r="I93" i="8"/>
  <c r="I80" i="8"/>
  <c r="I54" i="8"/>
  <c r="AP35" i="10"/>
  <c r="C49" i="10"/>
  <c r="I55" i="9" s="1"/>
  <c r="M53" i="10"/>
  <c r="K65" i="9" s="1"/>
  <c r="BZ35" i="10"/>
  <c r="F47" i="13"/>
  <c r="E54" i="13"/>
  <c r="E42" i="27"/>
  <c r="F41" i="27"/>
  <c r="D41" i="27" s="1"/>
  <c r="S453" i="17"/>
  <c r="Q76" i="11"/>
  <c r="Q403" i="17"/>
  <c r="O146" i="11" s="1"/>
  <c r="O67" i="11"/>
  <c r="F403" i="17"/>
  <c r="D67" i="11"/>
  <c r="AF383" i="17"/>
  <c r="AF33" i="17" s="1"/>
  <c r="AF30" i="17" s="1"/>
  <c r="AD63" i="11"/>
  <c r="M313" i="17"/>
  <c r="K50" i="11"/>
  <c r="AS313" i="17"/>
  <c r="AQ50" i="11"/>
  <c r="J32" i="17"/>
  <c r="I345" i="20"/>
  <c r="I346" i="20" s="1"/>
  <c r="H223" i="20"/>
  <c r="H224" i="20" s="1"/>
  <c r="I223" i="20"/>
  <c r="I224" i="20" s="1"/>
  <c r="M62" i="17"/>
  <c r="Q80" i="11"/>
  <c r="S473" i="17"/>
  <c r="H343" i="20"/>
  <c r="H344" i="20" s="1"/>
  <c r="L343" i="20"/>
  <c r="L344" i="20" s="1"/>
  <c r="I343" i="20"/>
  <c r="I344" i="20" s="1"/>
  <c r="E319" i="20"/>
  <c r="E320" i="20" s="1"/>
  <c r="V22" i="34"/>
  <c r="ES23" i="34"/>
  <c r="AT23" i="34"/>
  <c r="AK4" i="29"/>
  <c r="K6" i="29"/>
  <c r="AN9" i="6"/>
  <c r="M14" i="6"/>
  <c r="D16" i="6"/>
  <c r="E16" i="6"/>
  <c r="I16" i="6"/>
  <c r="AB17" i="6"/>
  <c r="F21" i="9"/>
  <c r="C21" i="9" s="1"/>
  <c r="AH35" i="10"/>
  <c r="H47" i="10"/>
  <c r="H60" i="9" s="1"/>
  <c r="AW24" i="13"/>
  <c r="O53" i="14"/>
  <c r="O52" i="14"/>
  <c r="O58" i="14"/>
  <c r="O55" i="14"/>
  <c r="O54" i="14"/>
  <c r="O51" i="14"/>
  <c r="O50" i="14"/>
  <c r="O52" i="17"/>
  <c r="E7" i="34"/>
  <c r="AA5" i="29"/>
  <c r="AA9" i="29" s="1"/>
  <c r="AA7" i="29"/>
  <c r="AA33" i="29" s="1"/>
  <c r="C10" i="31"/>
  <c r="F74" i="7"/>
  <c r="F71" i="7"/>
  <c r="F72" i="7" s="1"/>
  <c r="G49" i="8"/>
  <c r="G88" i="8"/>
  <c r="G135" i="9"/>
  <c r="H135" i="9" s="1"/>
  <c r="I135" i="9" s="1"/>
  <c r="J135" i="9" s="1"/>
  <c r="K135" i="9" s="1"/>
  <c r="L135" i="9" s="1"/>
  <c r="C135" i="9"/>
  <c r="F31" i="23"/>
  <c r="AE18" i="6" s="1"/>
  <c r="F30" i="23"/>
  <c r="B266" i="11" s="1"/>
  <c r="F50" i="23"/>
  <c r="B63" i="23" s="1"/>
  <c r="F32" i="23"/>
  <c r="J140" i="9"/>
  <c r="T22" i="14"/>
  <c r="O57" i="14"/>
  <c r="K292" i="17"/>
  <c r="AO12" i="6"/>
  <c r="AO16" i="6"/>
  <c r="C17" i="6"/>
  <c r="BO17" i="6"/>
  <c r="S91" i="9"/>
  <c r="AW30" i="13"/>
  <c r="D21" i="14"/>
  <c r="D22" i="14" s="1"/>
  <c r="AH54" i="15"/>
  <c r="AG54" i="15" s="1"/>
  <c r="N13" i="19"/>
  <c r="L13" i="19" s="1"/>
  <c r="Q6" i="15"/>
  <c r="R6" i="15"/>
  <c r="X62" i="17"/>
  <c r="Y62" i="17"/>
  <c r="AB432" i="17"/>
  <c r="AB430" i="17" s="1"/>
  <c r="AA9" i="6"/>
  <c r="N12" i="6"/>
  <c r="F16" i="6"/>
  <c r="W58" i="14"/>
  <c r="W55" i="14"/>
  <c r="W49" i="14"/>
  <c r="W57" i="14"/>
  <c r="T11" i="19"/>
  <c r="R11" i="19" s="1"/>
  <c r="K14" i="19"/>
  <c r="I14" i="19" s="1"/>
  <c r="N182" i="19"/>
  <c r="H182" i="19"/>
  <c r="H96" i="9" s="1"/>
  <c r="N96" i="9" s="1"/>
  <c r="E37" i="9"/>
  <c r="BB12" i="10"/>
  <c r="X30" i="13"/>
  <c r="BB30" i="13"/>
  <c r="AC30" i="13"/>
  <c r="G15" i="23"/>
  <c r="H15" i="23" s="1"/>
  <c r="H22" i="23" s="1"/>
  <c r="G18" i="23"/>
  <c r="G23" i="23" s="1"/>
  <c r="Q13" i="19"/>
  <c r="O13" i="19" s="1"/>
  <c r="Q103" i="19"/>
  <c r="M171" i="19"/>
  <c r="S171" i="19"/>
  <c r="D171" i="19"/>
  <c r="J171" i="19"/>
  <c r="Q85" i="21"/>
  <c r="AG13" i="15"/>
  <c r="C56" i="21"/>
  <c r="T15" i="19"/>
  <c r="R15" i="19" s="1"/>
  <c r="L144" i="19"/>
  <c r="C74" i="21"/>
  <c r="D39" i="27"/>
  <c r="D40" i="27"/>
  <c r="AM119" i="11"/>
  <c r="AI130" i="11"/>
  <c r="AN130" i="11"/>
  <c r="AC53" i="17"/>
  <c r="AA120" i="11"/>
  <c r="E131" i="11"/>
  <c r="AL132" i="11"/>
  <c r="L251" i="20"/>
  <c r="L252" i="20" s="1"/>
  <c r="F251" i="20"/>
  <c r="F252" i="20" s="1"/>
  <c r="G251" i="20"/>
  <c r="G252" i="20" s="1"/>
  <c r="E251" i="20"/>
  <c r="E252" i="20" s="1"/>
  <c r="K251" i="20"/>
  <c r="K252" i="20" s="1"/>
  <c r="H251" i="20"/>
  <c r="H252" i="20" s="1"/>
  <c r="P251" i="20"/>
  <c r="P252" i="20" s="1"/>
  <c r="J251" i="20"/>
  <c r="J252" i="20" s="1"/>
  <c r="G325" i="20"/>
  <c r="G326" i="20" s="1"/>
  <c r="E325" i="20"/>
  <c r="E326" i="20" s="1"/>
  <c r="K325" i="20"/>
  <c r="K326" i="20" s="1"/>
  <c r="I325" i="20"/>
  <c r="I326" i="20" s="1"/>
  <c r="H237" i="20"/>
  <c r="H238" i="20" s="1"/>
  <c r="E237" i="20"/>
  <c r="E238" i="20" s="1"/>
  <c r="F237" i="20"/>
  <c r="F238" i="20" s="1"/>
  <c r="L237" i="20"/>
  <c r="L238" i="20" s="1"/>
  <c r="I237" i="20"/>
  <c r="I238" i="20" s="1"/>
  <c r="M308" i="17"/>
  <c r="R164" i="17"/>
  <c r="AB164" i="17"/>
  <c r="AT164" i="17"/>
  <c r="AW160" i="17"/>
  <c r="AW161" i="17" s="1"/>
  <c r="AW162" i="17" s="1"/>
  <c r="AW163" i="17" s="1"/>
  <c r="AW164" i="17" s="1"/>
  <c r="AE164" i="17"/>
  <c r="R53" i="11"/>
  <c r="M53" i="11"/>
  <c r="V323" i="17"/>
  <c r="D262" i="17"/>
  <c r="D260" i="17" s="1"/>
  <c r="Z41" i="11"/>
  <c r="AF40" i="11"/>
  <c r="AH47" i="17"/>
  <c r="R39" i="11"/>
  <c r="T253" i="17"/>
  <c r="AV11" i="29"/>
  <c r="AV28" i="29"/>
  <c r="AP122" i="11"/>
  <c r="AB140" i="11"/>
  <c r="AO153" i="11"/>
  <c r="Y157" i="11"/>
  <c r="O161" i="11"/>
  <c r="I108" i="11"/>
  <c r="AJ117" i="11"/>
  <c r="F134" i="11"/>
  <c r="AR22" i="6"/>
  <c r="C40" i="15"/>
  <c r="B200" i="17"/>
  <c r="AQ17" i="11"/>
  <c r="M267" i="20"/>
  <c r="M268" i="20" s="1"/>
  <c r="I267" i="20"/>
  <c r="I268" i="20" s="1"/>
  <c r="H267" i="20"/>
  <c r="H268" i="20" s="1"/>
  <c r="K267" i="20"/>
  <c r="K268" i="20" s="1"/>
  <c r="J267" i="20"/>
  <c r="J268" i="20" s="1"/>
  <c r="L267" i="20"/>
  <c r="L268" i="20" s="1"/>
  <c r="E267" i="20"/>
  <c r="E268" i="20" s="1"/>
  <c r="F267" i="20"/>
  <c r="F268" i="20" s="1"/>
  <c r="G267" i="20"/>
  <c r="G268" i="20" s="1"/>
  <c r="P200" i="19"/>
  <c r="S201" i="19"/>
  <c r="S179" i="19"/>
  <c r="H72" i="19"/>
  <c r="G61" i="19"/>
  <c r="T72" i="19"/>
  <c r="S61" i="19"/>
  <c r="Q87" i="19"/>
  <c r="Q17" i="19" s="1"/>
  <c r="P75" i="19"/>
  <c r="Q95" i="19"/>
  <c r="Q11" i="19" s="1"/>
  <c r="O11" i="19" s="1"/>
  <c r="P89" i="19"/>
  <c r="H139" i="19"/>
  <c r="G139" i="19" s="1"/>
  <c r="F139" i="19" s="1"/>
  <c r="T139" i="19"/>
  <c r="S139" i="19" s="1"/>
  <c r="R139" i="19" s="1"/>
  <c r="N139" i="19"/>
  <c r="AL137" i="11"/>
  <c r="AM9" i="29"/>
  <c r="AE120" i="11"/>
  <c r="K285" i="20"/>
  <c r="K286" i="20" s="1"/>
  <c r="E285" i="20"/>
  <c r="E286" i="20" s="1"/>
  <c r="G285" i="20"/>
  <c r="G286" i="20" s="1"/>
  <c r="I285" i="20"/>
  <c r="I286" i="20" s="1"/>
  <c r="AL58" i="11"/>
  <c r="AN292" i="17"/>
  <c r="H295" i="20"/>
  <c r="H296" i="20" s="1"/>
  <c r="L295" i="20"/>
  <c r="L296" i="20" s="1"/>
  <c r="J295" i="20"/>
  <c r="J296" i="20" s="1"/>
  <c r="E295" i="20"/>
  <c r="E296" i="20" s="1"/>
  <c r="I295" i="20"/>
  <c r="I296" i="20" s="1"/>
  <c r="F215" i="20"/>
  <c r="F216" i="20" s="1"/>
  <c r="J215" i="20"/>
  <c r="J216" i="20" s="1"/>
  <c r="G215" i="20"/>
  <c r="G216" i="20" s="1"/>
  <c r="I215" i="20"/>
  <c r="I216" i="20" s="1"/>
  <c r="E215" i="20"/>
  <c r="E216" i="20" s="1"/>
  <c r="E111" i="11"/>
  <c r="AC116" i="11"/>
  <c r="G317" i="20"/>
  <c r="G318" i="20" s="1"/>
  <c r="H317" i="20"/>
  <c r="H318" i="20" s="1"/>
  <c r="I317" i="20"/>
  <c r="I318" i="20" s="1"/>
  <c r="K317" i="20"/>
  <c r="K318" i="20" s="1"/>
  <c r="E317" i="20"/>
  <c r="E318" i="20" s="1"/>
  <c r="Q139" i="19"/>
  <c r="P139" i="19" s="1"/>
  <c r="O139" i="19" s="1"/>
  <c r="G138" i="19"/>
  <c r="F138" i="19" s="1"/>
  <c r="S143" i="11"/>
  <c r="AB147" i="11"/>
  <c r="S152" i="11"/>
  <c r="AJ109" i="11"/>
  <c r="M287" i="17"/>
  <c r="AP164" i="17"/>
  <c r="AQ164" i="17"/>
  <c r="AO164" i="17"/>
  <c r="AH48" i="11"/>
  <c r="F333" i="20"/>
  <c r="K333" i="20"/>
  <c r="K334" i="20" s="1"/>
  <c r="BE18" i="10"/>
  <c r="AS258" i="17"/>
  <c r="AM41" i="11"/>
  <c r="AA323" i="17"/>
  <c r="T328" i="17"/>
  <c r="N253" i="17"/>
  <c r="AC258" i="17"/>
  <c r="N89" i="19"/>
  <c r="AV42" i="17"/>
  <c r="AD72" i="17"/>
  <c r="AM17" i="29"/>
  <c r="I307" i="20"/>
  <c r="I308" i="20" s="1"/>
  <c r="G307" i="20"/>
  <c r="J307" i="20"/>
  <c r="J308" i="20" s="1"/>
  <c r="E219" i="20"/>
  <c r="E220" i="20" s="1"/>
  <c r="G219" i="20"/>
  <c r="G220" i="20" s="1"/>
  <c r="F219" i="20"/>
  <c r="F220" i="20" s="1"/>
  <c r="L219" i="20"/>
  <c r="L220" i="20" s="1"/>
  <c r="AJ87" i="17"/>
  <c r="O87" i="17"/>
  <c r="AK87" i="17"/>
  <c r="H87" i="17"/>
  <c r="F87" i="17"/>
  <c r="X87" i="17"/>
  <c r="V87" i="17"/>
  <c r="T8" i="11" s="1"/>
  <c r="S87" i="17"/>
  <c r="AM87" i="17"/>
  <c r="N87" i="17"/>
  <c r="N88" i="17" s="1"/>
  <c r="AF87" i="17"/>
  <c r="E235" i="20"/>
  <c r="E236" i="20" s="1"/>
  <c r="F235" i="20"/>
  <c r="F236" i="20" s="1"/>
  <c r="K235" i="20"/>
  <c r="K236" i="20" s="1"/>
  <c r="I235" i="20"/>
  <c r="I236" i="20" s="1"/>
  <c r="J235" i="20"/>
  <c r="J236" i="20" s="1"/>
  <c r="E504" i="17"/>
  <c r="F504" i="17" s="1"/>
  <c r="G504" i="17" s="1"/>
  <c r="H504" i="17" s="1"/>
  <c r="I504" i="17" s="1"/>
  <c r="J504" i="17" s="1"/>
  <c r="K504" i="17" s="1"/>
  <c r="L504" i="17" s="1"/>
  <c r="E502" i="17"/>
  <c r="AF42" i="17"/>
  <c r="AF253" i="17"/>
  <c r="H247" i="20"/>
  <c r="H248" i="20" s="1"/>
  <c r="G247" i="20"/>
  <c r="E281" i="20"/>
  <c r="E282" i="20" s="1"/>
  <c r="F281" i="20"/>
  <c r="F282" i="20" s="1"/>
  <c r="L281" i="20"/>
  <c r="L282" i="20" s="1"/>
  <c r="G281" i="20"/>
  <c r="G282" i="20" s="1"/>
  <c r="BA12" i="29"/>
  <c r="AM15" i="29"/>
  <c r="M164" i="17"/>
  <c r="L164" i="17"/>
  <c r="AN164" i="17"/>
  <c r="Q164" i="17"/>
  <c r="W48" i="11"/>
  <c r="H303" i="17"/>
  <c r="AH308" i="17"/>
  <c r="AO263" i="17"/>
  <c r="K52" i="11"/>
  <c r="AI53" i="11"/>
  <c r="AD328" i="17"/>
  <c r="L39" i="11"/>
  <c r="AA40" i="11"/>
  <c r="N8" i="6"/>
  <c r="R157" i="19"/>
  <c r="AS130" i="11"/>
  <c r="L293" i="20"/>
  <c r="L294" i="20" s="1"/>
  <c r="E293" i="20"/>
  <c r="E294" i="20" s="1"/>
  <c r="K293" i="20"/>
  <c r="K294" i="20" s="1"/>
  <c r="J293" i="20"/>
  <c r="J294" i="20" s="1"/>
  <c r="AD308" i="17"/>
  <c r="AS95" i="11"/>
  <c r="AP104" i="17"/>
  <c r="AF98" i="11"/>
  <c r="V107" i="11"/>
  <c r="AF150" i="11"/>
  <c r="AR160" i="11"/>
  <c r="W160" i="11"/>
  <c r="AD147" i="11"/>
  <c r="AE156" i="11"/>
  <c r="AO156" i="11"/>
  <c r="P164" i="17"/>
  <c r="G237" i="20"/>
  <c r="G238" i="20" s="1"/>
  <c r="J237" i="20"/>
  <c r="J238" i="20" s="1"/>
  <c r="AT303" i="17"/>
  <c r="M48" i="11"/>
  <c r="V40" i="11"/>
  <c r="T52" i="11"/>
  <c r="AK42" i="17"/>
  <c r="D302" i="17"/>
  <c r="K139" i="19"/>
  <c r="J139" i="19" s="1"/>
  <c r="I139" i="19" s="1"/>
  <c r="J75" i="19"/>
  <c r="D437" i="17"/>
  <c r="AF130" i="11"/>
  <c r="C139" i="11"/>
  <c r="AV433" i="17"/>
  <c r="AT162" i="11"/>
  <c r="AD135" i="11"/>
  <c r="AN106" i="11"/>
  <c r="I360" i="17"/>
  <c r="O90" i="11"/>
  <c r="J141" i="19"/>
  <c r="S141" i="19"/>
  <c r="C40" i="11"/>
  <c r="J275" i="20"/>
  <c r="J276" i="20" s="1"/>
  <c r="I275" i="20"/>
  <c r="I276" i="20" s="1"/>
  <c r="H275" i="20"/>
  <c r="N275" i="20"/>
  <c r="N276" i="20" s="1"/>
  <c r="K275" i="20"/>
  <c r="K276" i="20" s="1"/>
  <c r="D252" i="17"/>
  <c r="D250" i="17" s="1"/>
  <c r="K321" i="20"/>
  <c r="K322" i="20" s="1"/>
  <c r="L321" i="20"/>
  <c r="L322" i="20" s="1"/>
  <c r="G321" i="20"/>
  <c r="H211" i="20"/>
  <c r="M138" i="19"/>
  <c r="L138" i="19" s="1"/>
  <c r="AH163" i="11"/>
  <c r="E116" i="11"/>
  <c r="AD145" i="11"/>
  <c r="C118" i="11"/>
  <c r="AO140" i="11"/>
  <c r="AA76" i="11"/>
  <c r="AC453" i="17"/>
  <c r="D452" i="17"/>
  <c r="D450" i="17" s="1"/>
  <c r="H362" i="17"/>
  <c r="H423" i="17"/>
  <c r="F71" i="11"/>
  <c r="T423" i="17"/>
  <c r="R71" i="11"/>
  <c r="T362" i="17"/>
  <c r="AJ362" i="17"/>
  <c r="AH71" i="11"/>
  <c r="AJ423" i="17"/>
  <c r="E362" i="17"/>
  <c r="C71" i="11"/>
  <c r="D422" i="17"/>
  <c r="E423" i="17"/>
  <c r="AG268" i="17"/>
  <c r="AE42" i="11"/>
  <c r="F268" i="17"/>
  <c r="D267" i="17"/>
  <c r="D265" i="17" s="1"/>
  <c r="D42" i="11"/>
  <c r="T42" i="11"/>
  <c r="V268" i="17"/>
  <c r="AL268" i="17"/>
  <c r="AJ42" i="11"/>
  <c r="K268" i="17"/>
  <c r="I42" i="11"/>
  <c r="Y42" i="11"/>
  <c r="AA268" i="17"/>
  <c r="AM268" i="17"/>
  <c r="AK42" i="11"/>
  <c r="F38" i="11"/>
  <c r="H248" i="17"/>
  <c r="X248" i="17"/>
  <c r="AG102" i="11"/>
  <c r="AO120" i="11"/>
  <c r="AG103" i="11"/>
  <c r="Y111" i="11"/>
  <c r="Q15" i="19"/>
  <c r="O15" i="19" s="1"/>
  <c r="F156" i="11"/>
  <c r="AF142" i="11"/>
  <c r="Z91" i="11"/>
  <c r="AO109" i="11"/>
  <c r="X150" i="11"/>
  <c r="AL155" i="11"/>
  <c r="AN94" i="11"/>
  <c r="P162" i="11"/>
  <c r="K133" i="21"/>
  <c r="K134" i="21"/>
  <c r="I134" i="21"/>
  <c r="I130" i="21"/>
  <c r="J134" i="21"/>
  <c r="J130" i="21"/>
  <c r="AN493" i="17"/>
  <c r="AL84" i="11"/>
  <c r="D492" i="17"/>
  <c r="S84" i="11"/>
  <c r="U432" i="17"/>
  <c r="R80" i="11"/>
  <c r="S124" i="17"/>
  <c r="AO362" i="17"/>
  <c r="AO423" i="17"/>
  <c r="Z362" i="17"/>
  <c r="X71" i="11"/>
  <c r="S248" i="17"/>
  <c r="Q38" i="11"/>
  <c r="I62" i="17"/>
  <c r="I343" i="17"/>
  <c r="O43" i="11"/>
  <c r="Q273" i="17"/>
  <c r="E35" i="7"/>
  <c r="E36" i="7" s="1"/>
  <c r="E38" i="7"/>
  <c r="AC19" i="29"/>
  <c r="AL423" i="17"/>
  <c r="AJ71" i="11"/>
  <c r="T313" i="17"/>
  <c r="D312" i="17"/>
  <c r="D310" i="17" s="1"/>
  <c r="H28" i="11"/>
  <c r="J193" i="17"/>
  <c r="AM37" i="11"/>
  <c r="AO243" i="17"/>
  <c r="Z163" i="17"/>
  <c r="X22" i="11"/>
  <c r="L279" i="20"/>
  <c r="F91" i="8"/>
  <c r="F52" i="8"/>
  <c r="F78" i="8"/>
  <c r="D71" i="7"/>
  <c r="D72" i="7" s="1"/>
  <c r="D74" i="7"/>
  <c r="G89" i="8"/>
  <c r="G50" i="8"/>
  <c r="G76" i="8"/>
  <c r="G83" i="8"/>
  <c r="G96" i="8"/>
  <c r="C18" i="8"/>
  <c r="G57" i="8"/>
  <c r="I75" i="8"/>
  <c r="I88" i="8"/>
  <c r="I49" i="8"/>
  <c r="N51" i="10"/>
  <c r="J66" i="9" s="1"/>
  <c r="BN35" i="10"/>
  <c r="U25" i="11"/>
  <c r="W178" i="17"/>
  <c r="AC32" i="17"/>
  <c r="AA24" i="11"/>
  <c r="AL23" i="11"/>
  <c r="AN168" i="17"/>
  <c r="O368" i="17"/>
  <c r="M60" i="11"/>
  <c r="AO55" i="11"/>
  <c r="AQ338" i="17"/>
  <c r="L51" i="11"/>
  <c r="N318" i="17"/>
  <c r="AT318" i="17"/>
  <c r="AR51" i="11"/>
  <c r="AG51" i="11"/>
  <c r="AI318" i="17"/>
  <c r="X318" i="17"/>
  <c r="V51" i="11"/>
  <c r="E139" i="19"/>
  <c r="D139" i="19" s="1"/>
  <c r="C139" i="19" s="1"/>
  <c r="O7" i="29"/>
  <c r="O37" i="29" s="1"/>
  <c r="O6" i="29"/>
  <c r="P11" i="29"/>
  <c r="AS4" i="29"/>
  <c r="S5" i="29"/>
  <c r="S6" i="29"/>
  <c r="T11" i="29"/>
  <c r="S11" i="29" s="1"/>
  <c r="F48" i="8"/>
  <c r="F74" i="8"/>
  <c r="F87" i="8"/>
  <c r="F93" i="8"/>
  <c r="F54" i="8"/>
  <c r="H74" i="7"/>
  <c r="H71" i="7"/>
  <c r="H72" i="7" s="1"/>
  <c r="D92" i="7"/>
  <c r="D89" i="7"/>
  <c r="D90" i="7" s="1"/>
  <c r="BX35" i="10"/>
  <c r="BO34" i="10"/>
  <c r="BO35" i="10" s="1"/>
  <c r="AH18" i="15"/>
  <c r="AG18" i="15" s="1"/>
  <c r="AV167" i="17"/>
  <c r="I167" i="17"/>
  <c r="Y167" i="17"/>
  <c r="AO167" i="17"/>
  <c r="J167" i="17"/>
  <c r="Z167" i="17"/>
  <c r="AP167" i="17"/>
  <c r="O167" i="17"/>
  <c r="AE167" i="17"/>
  <c r="AU167" i="17"/>
  <c r="E167" i="17"/>
  <c r="U167" i="17"/>
  <c r="AK167" i="17"/>
  <c r="F167" i="17"/>
  <c r="V167" i="17"/>
  <c r="AL167" i="17"/>
  <c r="K167" i="17"/>
  <c r="AA167" i="17"/>
  <c r="AQ167" i="17"/>
  <c r="Q167" i="17"/>
  <c r="AG167" i="17"/>
  <c r="R167" i="17"/>
  <c r="AH167" i="17"/>
  <c r="G167" i="17"/>
  <c r="W167" i="17"/>
  <c r="AM167" i="17"/>
  <c r="P167" i="17"/>
  <c r="AF167" i="17"/>
  <c r="D337" i="17"/>
  <c r="D335" i="17" s="1"/>
  <c r="Q7" i="29"/>
  <c r="AQ4" i="29"/>
  <c r="R11" i="29"/>
  <c r="Q5" i="29"/>
  <c r="Q6" i="29"/>
  <c r="AE6" i="29"/>
  <c r="AF17" i="29"/>
  <c r="AE17" i="29" s="1"/>
  <c r="BE4" i="29"/>
  <c r="J74" i="7"/>
  <c r="J71" i="7"/>
  <c r="J72" i="7" s="1"/>
  <c r="G46" i="8"/>
  <c r="G85" i="8"/>
  <c r="G89" i="7"/>
  <c r="G90" i="7" s="1"/>
  <c r="G92" i="7"/>
  <c r="I57" i="8"/>
  <c r="I96" i="8"/>
  <c r="I83" i="8"/>
  <c r="AB36" i="29"/>
  <c r="AB38" i="29"/>
  <c r="P253" i="20"/>
  <c r="P254" i="20" s="1"/>
  <c r="N253" i="20"/>
  <c r="AV232" i="17"/>
  <c r="AF232" i="17"/>
  <c r="P232" i="17"/>
  <c r="AQ232" i="17"/>
  <c r="AA232" i="17"/>
  <c r="K232" i="17"/>
  <c r="AL232" i="17"/>
  <c r="V232" i="17"/>
  <c r="F232" i="17"/>
  <c r="AG232" i="17"/>
  <c r="AG22" i="17" s="1"/>
  <c r="Q232" i="17"/>
  <c r="AJ232" i="17"/>
  <c r="AJ22" i="17" s="1"/>
  <c r="T232" i="17"/>
  <c r="AU232" i="17"/>
  <c r="AE232" i="17"/>
  <c r="O232" i="17"/>
  <c r="O22" i="17" s="1"/>
  <c r="AP232" i="17"/>
  <c r="Z232" i="17"/>
  <c r="J232" i="17"/>
  <c r="AK232" i="17"/>
  <c r="U232" i="17"/>
  <c r="E232" i="17"/>
  <c r="AN232" i="17"/>
  <c r="X232" i="17"/>
  <c r="H232" i="17"/>
  <c r="AI232" i="17"/>
  <c r="S232" i="17"/>
  <c r="S22" i="17" s="1"/>
  <c r="AT232" i="17"/>
  <c r="AD232" i="17"/>
  <c r="AD22" i="17" s="1"/>
  <c r="N232" i="17"/>
  <c r="AO232" i="17"/>
  <c r="Y232" i="17"/>
  <c r="I232" i="17"/>
  <c r="AG237" i="17"/>
  <c r="Q237" i="17"/>
  <c r="AV237" i="17"/>
  <c r="AF237" i="17"/>
  <c r="P237" i="17"/>
  <c r="AQ237" i="17"/>
  <c r="AA237" i="17"/>
  <c r="K237" i="17"/>
  <c r="AL237" i="17"/>
  <c r="V237" i="17"/>
  <c r="F237" i="17"/>
  <c r="AK237" i="17"/>
  <c r="U237" i="17"/>
  <c r="E237" i="17"/>
  <c r="AJ237" i="17"/>
  <c r="T237" i="17"/>
  <c r="AU237" i="17"/>
  <c r="AE237" i="17"/>
  <c r="O237" i="17"/>
  <c r="AP237" i="17"/>
  <c r="Z237" i="17"/>
  <c r="J237" i="17"/>
  <c r="AO237" i="17"/>
  <c r="Y237" i="17"/>
  <c r="I237" i="17"/>
  <c r="AN237" i="17"/>
  <c r="X237" i="17"/>
  <c r="H237" i="17"/>
  <c r="AI237" i="17"/>
  <c r="S237" i="17"/>
  <c r="AT237" i="17"/>
  <c r="AD237" i="17"/>
  <c r="N237" i="17"/>
  <c r="K12" i="19"/>
  <c r="I12" i="19" s="1"/>
  <c r="J263" i="20"/>
  <c r="J264" i="20" s="1"/>
  <c r="H263" i="20"/>
  <c r="H264" i="20" s="1"/>
  <c r="G263" i="20"/>
  <c r="L263" i="20"/>
  <c r="L264" i="20" s="1"/>
  <c r="V138" i="17"/>
  <c r="BB11" i="29"/>
  <c r="BA11" i="29" s="1"/>
  <c r="CA4" i="29"/>
  <c r="G27" i="18"/>
  <c r="G44" i="18" s="1"/>
  <c r="J83" i="9" s="1"/>
  <c r="P83" i="9" s="1"/>
  <c r="I27" i="18"/>
  <c r="I44" i="18" s="1"/>
  <c r="L83" i="9" s="1"/>
  <c r="R83" i="9" s="1"/>
  <c r="E27" i="18"/>
  <c r="E44" i="18" s="1"/>
  <c r="H83" i="9" s="1"/>
  <c r="F27" i="18"/>
  <c r="F44" i="18" s="1"/>
  <c r="I83" i="9" s="1"/>
  <c r="O83" i="9" s="1"/>
  <c r="H27" i="18"/>
  <c r="H44" i="18" s="1"/>
  <c r="K83" i="9" s="1"/>
  <c r="Q83" i="9" s="1"/>
  <c r="L11" i="29"/>
  <c r="K11" i="29" s="1"/>
  <c r="N11" i="29"/>
  <c r="M11" i="29" s="1"/>
  <c r="J11" i="29"/>
  <c r="D46" i="8"/>
  <c r="D72" i="8"/>
  <c r="D85" i="8"/>
  <c r="D76" i="8"/>
  <c r="D89" i="8"/>
  <c r="E75" i="8"/>
  <c r="E88" i="8"/>
  <c r="E49" i="8"/>
  <c r="E79" i="8"/>
  <c r="E92" i="8"/>
  <c r="F82" i="8"/>
  <c r="F56" i="8"/>
  <c r="G93" i="8"/>
  <c r="G54" i="8"/>
  <c r="H53" i="8"/>
  <c r="H79" i="8"/>
  <c r="I85" i="8"/>
  <c r="I46" i="8"/>
  <c r="BL35" i="10"/>
  <c r="L34" i="10"/>
  <c r="AT12" i="11"/>
  <c r="AV108" i="17"/>
  <c r="O277" i="20"/>
  <c r="O278" i="20" s="1"/>
  <c r="M277" i="20"/>
  <c r="AH59" i="15"/>
  <c r="AG59" i="15" s="1"/>
  <c r="AJ387" i="17"/>
  <c r="T387" i="17"/>
  <c r="AU387" i="17"/>
  <c r="S387" i="17"/>
  <c r="AT387" i="17"/>
  <c r="AD387" i="17"/>
  <c r="R387" i="17"/>
  <c r="J387" i="17"/>
  <c r="AK387" i="17"/>
  <c r="AK37" i="17" s="1"/>
  <c r="I387" i="17"/>
  <c r="AN387" i="17"/>
  <c r="X387" i="17"/>
  <c r="X37" i="17" s="1"/>
  <c r="H387" i="17"/>
  <c r="AI387" i="17"/>
  <c r="W387" i="17"/>
  <c r="G387" i="17"/>
  <c r="G37" i="17" s="1"/>
  <c r="AH387" i="17"/>
  <c r="V387" i="17"/>
  <c r="AO387" i="17"/>
  <c r="Y387" i="17"/>
  <c r="M387" i="17"/>
  <c r="AR387" i="17"/>
  <c r="AB387" i="17"/>
  <c r="L387" i="17"/>
  <c r="AM387" i="17"/>
  <c r="AA387" i="17"/>
  <c r="K387" i="17"/>
  <c r="K37" i="17" s="1"/>
  <c r="AL387" i="17"/>
  <c r="Z387" i="17"/>
  <c r="AS387" i="17"/>
  <c r="AC387" i="17"/>
  <c r="Q387" i="17"/>
  <c r="AH72" i="15"/>
  <c r="AG72" i="15" s="1"/>
  <c r="M337" i="20"/>
  <c r="AS472" i="17"/>
  <c r="AG472" i="17"/>
  <c r="I472" i="17"/>
  <c r="AR472" i="17"/>
  <c r="AB472" i="17"/>
  <c r="AB52" i="17" s="1"/>
  <c r="P472" i="17"/>
  <c r="AU472" i="17"/>
  <c r="W472" i="17"/>
  <c r="G472" i="17"/>
  <c r="AL472" i="17"/>
  <c r="N472" i="17"/>
  <c r="AH477" i="17"/>
  <c r="R477" i="17"/>
  <c r="AS477" i="17"/>
  <c r="AC477" i="17"/>
  <c r="M477" i="17"/>
  <c r="AR477" i="17"/>
  <c r="AB477" i="17"/>
  <c r="L477" i="17"/>
  <c r="AM477" i="17"/>
  <c r="W477" i="17"/>
  <c r="G477" i="17"/>
  <c r="AL477" i="17"/>
  <c r="V477" i="17"/>
  <c r="V57" i="17" s="1"/>
  <c r="F477" i="17"/>
  <c r="AG477" i="17"/>
  <c r="Q477" i="17"/>
  <c r="AV477" i="17"/>
  <c r="AF477" i="17"/>
  <c r="P477" i="17"/>
  <c r="AQ477" i="17"/>
  <c r="AA477" i="17"/>
  <c r="K477" i="17"/>
  <c r="AP477" i="17"/>
  <c r="Z477" i="17"/>
  <c r="J477" i="17"/>
  <c r="AK477" i="17"/>
  <c r="U477" i="17"/>
  <c r="E477" i="17"/>
  <c r="AJ477" i="17"/>
  <c r="T477" i="17"/>
  <c r="AU477" i="17"/>
  <c r="AE477" i="17"/>
  <c r="O477" i="17"/>
  <c r="BC4" i="29"/>
  <c r="AD17" i="29"/>
  <c r="AC17" i="29" s="1"/>
  <c r="AD24" i="29"/>
  <c r="AD20" i="29" s="1"/>
  <c r="AC20" i="29" s="1"/>
  <c r="AD27" i="29"/>
  <c r="AC27" i="29" s="1"/>
  <c r="AC6" i="29"/>
  <c r="AD11" i="29"/>
  <c r="AC11" i="29" s="1"/>
  <c r="AD13" i="29"/>
  <c r="AC13" i="29" s="1"/>
  <c r="G345" i="20"/>
  <c r="G346" i="20" s="1"/>
  <c r="Y493" i="17"/>
  <c r="AG75" i="15"/>
  <c r="M169" i="19"/>
  <c r="S169" i="19"/>
  <c r="P169" i="19"/>
  <c r="BT22" i="34"/>
  <c r="CU22" i="34"/>
  <c r="M12" i="6"/>
  <c r="E161" i="19"/>
  <c r="D161" i="19" s="1"/>
  <c r="J16" i="6"/>
  <c r="C25" i="7"/>
  <c r="N30" i="13"/>
  <c r="AM30" i="13"/>
  <c r="D73" i="23"/>
  <c r="AG9" i="15"/>
  <c r="AG25" i="15"/>
  <c r="K16" i="19"/>
  <c r="I16" i="19" s="1"/>
  <c r="AH47" i="15"/>
  <c r="AG47" i="15" s="1"/>
  <c r="N16" i="6"/>
  <c r="N10" i="19"/>
  <c r="Q137" i="19"/>
  <c r="P137" i="19" s="1"/>
  <c r="O137" i="19" s="1"/>
  <c r="F73" i="23"/>
  <c r="K135" i="19"/>
  <c r="E163" i="19"/>
  <c r="D163" i="19" s="1"/>
  <c r="C163" i="19" s="1"/>
  <c r="H18" i="19"/>
  <c r="N15" i="19"/>
  <c r="L15" i="19" s="1"/>
  <c r="E160" i="19"/>
  <c r="D160" i="19" s="1"/>
  <c r="C160" i="19" s="1"/>
  <c r="D107" i="19"/>
  <c r="E107" i="19" s="1"/>
  <c r="D37" i="19"/>
  <c r="E37" i="19" s="1"/>
  <c r="V16" i="29" s="1"/>
  <c r="U16" i="29" s="1"/>
  <c r="D170" i="19"/>
  <c r="P170" i="19"/>
  <c r="J170" i="19"/>
  <c r="I73" i="23"/>
  <c r="AH51" i="15"/>
  <c r="AG51" i="15" s="1"/>
  <c r="AG68" i="15"/>
  <c r="AH78" i="15"/>
  <c r="AG78" i="15" s="1"/>
  <c r="E158" i="19"/>
  <c r="D158" i="19" s="1"/>
  <c r="C158" i="19" s="1"/>
  <c r="P103" i="19"/>
  <c r="I235" i="19"/>
  <c r="Q67" i="21"/>
  <c r="Q68" i="21" s="1"/>
  <c r="Q69" i="21" s="1"/>
  <c r="P103" i="21"/>
  <c r="P104" i="21" s="1"/>
  <c r="P105" i="21" s="1"/>
  <c r="E162" i="19"/>
  <c r="D162" i="19" s="1"/>
  <c r="C162" i="19" s="1"/>
  <c r="D120" i="19"/>
  <c r="E120" i="19" s="1"/>
  <c r="I232" i="19"/>
  <c r="G36" i="14"/>
  <c r="G33" i="14"/>
  <c r="I237" i="19"/>
  <c r="I239" i="19"/>
  <c r="G42" i="14"/>
  <c r="G15" i="14" s="1"/>
  <c r="C15" i="14" s="1"/>
  <c r="E5" i="29" s="1"/>
  <c r="G39" i="14"/>
  <c r="G34" i="14"/>
  <c r="G35" i="14"/>
  <c r="I5" i="29"/>
  <c r="D142" i="19"/>
  <c r="C5" i="14"/>
  <c r="U9" i="29"/>
  <c r="P31" i="21"/>
  <c r="P32" i="21" s="1"/>
  <c r="P34" i="21" s="1"/>
  <c r="P35" i="21" s="1"/>
  <c r="P36" i="21" s="1"/>
  <c r="W9" i="29"/>
  <c r="E134" i="19"/>
  <c r="D134" i="19" s="1"/>
  <c r="C134" i="19" s="1"/>
  <c r="N15" i="29"/>
  <c r="M15" i="29" s="1"/>
  <c r="D196" i="19"/>
  <c r="D54" i="29"/>
  <c r="F120" i="19"/>
  <c r="G120" i="19" s="1"/>
  <c r="H120" i="19" s="1"/>
  <c r="H8" i="19" s="1"/>
  <c r="F8" i="19" s="1"/>
  <c r="C92" i="18"/>
  <c r="D16" i="14"/>
  <c r="C9" i="27" s="1"/>
  <c r="E159" i="19"/>
  <c r="D159" i="19" s="1"/>
  <c r="C159" i="19" s="1"/>
  <c r="D128" i="19"/>
  <c r="E128" i="19" s="1"/>
  <c r="E16" i="19" s="1"/>
  <c r="C16" i="19" s="1"/>
  <c r="I231" i="19"/>
  <c r="I234" i="19"/>
  <c r="I236" i="19"/>
  <c r="I238" i="19"/>
  <c r="I240" i="19"/>
  <c r="R13" i="21"/>
  <c r="R14" i="21" s="1"/>
  <c r="C182" i="19"/>
  <c r="C89" i="18"/>
  <c r="C95" i="18"/>
  <c r="AH9" i="11"/>
  <c r="W21" i="29"/>
  <c r="W23" i="29"/>
  <c r="W22" i="29"/>
  <c r="S93" i="17"/>
  <c r="Q9" i="11"/>
  <c r="F125" i="19"/>
  <c r="G125" i="19" s="1"/>
  <c r="H125" i="19" s="1"/>
  <c r="H13" i="19" s="1"/>
  <c r="F13" i="19" s="1"/>
  <c r="D125" i="19"/>
  <c r="E125" i="19" s="1"/>
  <c r="E13" i="19" s="1"/>
  <c r="C13" i="19" s="1"/>
  <c r="S21" i="29"/>
  <c r="S33" i="29"/>
  <c r="S28" i="29"/>
  <c r="S22" i="29"/>
  <c r="J9" i="11"/>
  <c r="L93" i="17"/>
  <c r="K9" i="11"/>
  <c r="M22" i="17"/>
  <c r="AO92" i="17"/>
  <c r="AC92" i="17"/>
  <c r="Q92" i="17"/>
  <c r="I92" i="17"/>
  <c r="AR92" i="17"/>
  <c r="P92" i="17"/>
  <c r="AM92" i="17"/>
  <c r="W92" i="17"/>
  <c r="G92" i="17"/>
  <c r="F92" i="17"/>
  <c r="AS92" i="17"/>
  <c r="U92" i="17"/>
  <c r="AF92" i="17"/>
  <c r="T92" i="17"/>
  <c r="H92" i="17"/>
  <c r="AA92" i="17"/>
  <c r="K92" i="17"/>
  <c r="AL92" i="17"/>
  <c r="V92" i="17"/>
  <c r="J92" i="17"/>
  <c r="Y92" i="17"/>
  <c r="Y77" i="17" s="1"/>
  <c r="AV92" i="17"/>
  <c r="X92" i="17"/>
  <c r="AQ92" i="17"/>
  <c r="AP92" i="17"/>
  <c r="N92" i="17"/>
  <c r="E92" i="17"/>
  <c r="AB92" i="17"/>
  <c r="AU92" i="17"/>
  <c r="Z92" i="17"/>
  <c r="AT92" i="17"/>
  <c r="R92" i="17"/>
  <c r="G140" i="9"/>
  <c r="H22" i="14"/>
  <c r="AB9" i="11"/>
  <c r="AD93" i="17"/>
  <c r="AG93" i="17"/>
  <c r="AE9" i="11"/>
  <c r="F123" i="19"/>
  <c r="K88" i="11"/>
  <c r="AI93" i="17"/>
  <c r="AL9" i="11"/>
  <c r="AN93" i="17"/>
  <c r="AI9" i="11"/>
  <c r="AK93" i="17"/>
  <c r="AJ93" i="17"/>
  <c r="D21" i="19"/>
  <c r="D91" i="19"/>
  <c r="D35" i="19"/>
  <c r="I230" i="19"/>
  <c r="C242" i="19"/>
  <c r="P49" i="21"/>
  <c r="P50" i="21" s="1"/>
  <c r="U22" i="29"/>
  <c r="U23" i="29"/>
  <c r="D215" i="19"/>
  <c r="D213" i="19" s="1"/>
  <c r="I241" i="19"/>
  <c r="C87" i="18"/>
  <c r="C88" i="18"/>
  <c r="C90" i="18"/>
  <c r="C91" i="18"/>
  <c r="C93" i="18"/>
  <c r="C94" i="18"/>
  <c r="G22" i="14"/>
  <c r="G138" i="9" s="1"/>
  <c r="G139" i="9"/>
  <c r="E76" i="19"/>
  <c r="AG87" i="11"/>
  <c r="G8" i="11"/>
  <c r="I88" i="17"/>
  <c r="AO88" i="17"/>
  <c r="Q17" i="17"/>
  <c r="U8" i="11"/>
  <c r="W17" i="17"/>
  <c r="W88" i="17"/>
  <c r="E88" i="17"/>
  <c r="G88" i="17"/>
  <c r="X8" i="11"/>
  <c r="M88" i="17"/>
  <c r="J16" i="29"/>
  <c r="AE33" i="29"/>
  <c r="AE21" i="29"/>
  <c r="AE22" i="29"/>
  <c r="AF8" i="11"/>
  <c r="AH88" i="17"/>
  <c r="M83" i="9"/>
  <c r="AC21" i="29"/>
  <c r="AC23" i="29"/>
  <c r="AC33" i="29"/>
  <c r="M21" i="29"/>
  <c r="M23" i="29"/>
  <c r="M28" i="29"/>
  <c r="M22" i="29"/>
  <c r="AA12" i="29"/>
  <c r="W33" i="29"/>
  <c r="I233" i="19"/>
  <c r="D242" i="19"/>
  <c r="Q31" i="21"/>
  <c r="Q32" i="21" s="1"/>
  <c r="Q33" i="21" s="1"/>
  <c r="G128" i="19"/>
  <c r="H128" i="19" s="1"/>
  <c r="E54" i="29"/>
  <c r="H54" i="29"/>
  <c r="J34" i="13"/>
  <c r="J59" i="13" s="1"/>
  <c r="AG52" i="29"/>
  <c r="K31" i="13"/>
  <c r="E52" i="29"/>
  <c r="Q34" i="13"/>
  <c r="H52" i="29"/>
  <c r="AG34" i="13"/>
  <c r="AG37" i="13" s="1"/>
  <c r="AK31" i="13"/>
  <c r="C20" i="23"/>
  <c r="BR18" i="6"/>
  <c r="F44" i="23"/>
  <c r="BR18" i="10"/>
  <c r="H100" i="8"/>
  <c r="B318" i="11"/>
  <c r="G52" i="29"/>
  <c r="Z34" i="13"/>
  <c r="I100" i="22"/>
  <c r="F45" i="23"/>
  <c r="L109" i="9" s="1"/>
  <c r="I100" i="8"/>
  <c r="CE18" i="6"/>
  <c r="F52" i="29"/>
  <c r="T34" i="13"/>
  <c r="AI31" i="13"/>
  <c r="AG54" i="29"/>
  <c r="G100" i="22"/>
  <c r="G100" i="8"/>
  <c r="BE18" i="6"/>
  <c r="B305" i="11"/>
  <c r="AN31" i="13"/>
  <c r="AH54" i="29"/>
  <c r="H23" i="13"/>
  <c r="AH52" i="29"/>
  <c r="H73" i="23"/>
  <c r="E73" i="23"/>
  <c r="C17" i="23"/>
  <c r="F34" i="13"/>
  <c r="F59" i="13" s="1"/>
  <c r="C52" i="29"/>
  <c r="C54" i="29"/>
  <c r="F31" i="13"/>
  <c r="U31" i="13"/>
  <c r="F54" i="29"/>
  <c r="G54" i="29"/>
  <c r="P205" i="20" l="1"/>
  <c r="P206" i="20" s="1"/>
  <c r="I205" i="20"/>
  <c r="I206" i="20" s="1"/>
  <c r="H205" i="20"/>
  <c r="H206" i="20" s="1"/>
  <c r="J205" i="20"/>
  <c r="J206" i="20" s="1"/>
  <c r="L205" i="20"/>
  <c r="L206" i="20" s="1"/>
  <c r="G205" i="20"/>
  <c r="G206" i="20" s="1"/>
  <c r="K205" i="20"/>
  <c r="K206" i="20" s="1"/>
  <c r="E205" i="20"/>
  <c r="E206" i="20" s="1"/>
  <c r="F205" i="20"/>
  <c r="F206" i="20" s="1"/>
  <c r="I17" i="17"/>
  <c r="M23" i="17"/>
  <c r="G23" i="13"/>
  <c r="L345" i="20"/>
  <c r="L346" i="20" s="1"/>
  <c r="L53" i="17"/>
  <c r="G84" i="8"/>
  <c r="R61" i="7"/>
  <c r="R74" i="7" s="1"/>
  <c r="E329" i="17"/>
  <c r="BM27" i="29"/>
  <c r="O143" i="17"/>
  <c r="AP293" i="17"/>
  <c r="S47" i="17"/>
  <c r="AE24" i="29"/>
  <c r="W8" i="11"/>
  <c r="AH93" i="17"/>
  <c r="AC9" i="11"/>
  <c r="E345" i="20"/>
  <c r="E346" i="20" s="1"/>
  <c r="AI22" i="17"/>
  <c r="R433" i="17"/>
  <c r="AF293" i="17"/>
  <c r="K164" i="17"/>
  <c r="Y329" i="17"/>
  <c r="Y287" i="17"/>
  <c r="D132" i="17"/>
  <c r="D130" i="17" s="1"/>
  <c r="AR164" i="17"/>
  <c r="AQ53" i="17"/>
  <c r="K17" i="11"/>
  <c r="H345" i="20"/>
  <c r="H346" i="20" s="1"/>
  <c r="E124" i="17"/>
  <c r="AT143" i="17"/>
  <c r="AP37" i="17"/>
  <c r="W143" i="17"/>
  <c r="R402" i="20"/>
  <c r="AP178" i="17"/>
  <c r="AI198" i="17"/>
  <c r="AG108" i="11" s="1"/>
  <c r="F227" i="20"/>
  <c r="F228" i="20" s="1"/>
  <c r="J227" i="20"/>
  <c r="J228" i="20" s="1"/>
  <c r="S104" i="17"/>
  <c r="Z17" i="17"/>
  <c r="O287" i="17"/>
  <c r="Q124" i="17"/>
  <c r="T42" i="17"/>
  <c r="AE11" i="29"/>
  <c r="AR89" i="17"/>
  <c r="I103" i="19"/>
  <c r="AE33" i="17"/>
  <c r="AE30" i="17" s="1"/>
  <c r="AR18" i="11"/>
  <c r="V98" i="17"/>
  <c r="T89" i="11" s="1"/>
  <c r="N363" i="17"/>
  <c r="L104" i="17"/>
  <c r="AE28" i="29"/>
  <c r="O14" i="11"/>
  <c r="H133" i="17"/>
  <c r="H63" i="17" s="1"/>
  <c r="H60" i="17" s="1"/>
  <c r="AJ33" i="17"/>
  <c r="AW230" i="17"/>
  <c r="AW231" i="17" s="1"/>
  <c r="AW232" i="17" s="1"/>
  <c r="AW233" i="17" s="1"/>
  <c r="AW234" i="17" s="1"/>
  <c r="K138" i="17"/>
  <c r="I97" i="11" s="1"/>
  <c r="L82" i="17"/>
  <c r="L80" i="17" s="1"/>
  <c r="T198" i="17"/>
  <c r="R108" i="11" s="1"/>
  <c r="AE10" i="11"/>
  <c r="AO8" i="11"/>
  <c r="Q278" i="17"/>
  <c r="O123" i="11" s="1"/>
  <c r="AS378" i="17"/>
  <c r="AQ141" i="11" s="1"/>
  <c r="W378" i="17"/>
  <c r="U141" i="11" s="1"/>
  <c r="AE70" i="11"/>
  <c r="AN47" i="17"/>
  <c r="AQ37" i="17"/>
  <c r="AI147" i="17"/>
  <c r="AI145" i="17" s="1"/>
  <c r="AE37" i="17"/>
  <c r="Q143" i="17"/>
  <c r="O98" i="11" s="1"/>
  <c r="V66" i="11"/>
  <c r="R79" i="7"/>
  <c r="R92" i="7" s="1"/>
  <c r="T104" i="17"/>
  <c r="O62" i="17"/>
  <c r="AJ147" i="17"/>
  <c r="AJ145" i="17" s="1"/>
  <c r="Z329" i="17"/>
  <c r="AI14" i="11"/>
  <c r="N104" i="17"/>
  <c r="AD77" i="17"/>
  <c r="AD75" i="17" s="1"/>
  <c r="F23" i="43"/>
  <c r="D23" i="43" s="1"/>
  <c r="AJ133" i="17"/>
  <c r="AH17" i="11"/>
  <c r="K118" i="17"/>
  <c r="I93" i="11" s="1"/>
  <c r="I14" i="11"/>
  <c r="AA118" i="17"/>
  <c r="Y93" i="11" s="1"/>
  <c r="Y14" i="11"/>
  <c r="AF222" i="17"/>
  <c r="BM19" i="29"/>
  <c r="AD427" i="17"/>
  <c r="AD425" i="17" s="1"/>
  <c r="O182" i="19"/>
  <c r="K96" i="9"/>
  <c r="Q96" i="9" s="1"/>
  <c r="V19" i="11"/>
  <c r="AP53" i="17"/>
  <c r="BM18" i="29"/>
  <c r="AI293" i="17"/>
  <c r="AH22" i="17"/>
  <c r="M17" i="11"/>
  <c r="Y208" i="17"/>
  <c r="W110" i="11" s="1"/>
  <c r="J88" i="17"/>
  <c r="H45" i="8"/>
  <c r="Z118" i="17"/>
  <c r="H74" i="8"/>
  <c r="H87" i="8"/>
  <c r="H48" i="8"/>
  <c r="C48" i="8" s="1"/>
  <c r="G8" i="29"/>
  <c r="AG8" i="11"/>
  <c r="E140" i="19"/>
  <c r="D140" i="19" s="1"/>
  <c r="C140" i="19" s="1"/>
  <c r="J345" i="20"/>
  <c r="J346" i="20" s="1"/>
  <c r="AN22" i="17"/>
  <c r="AE22" i="17"/>
  <c r="AQ124" i="17"/>
  <c r="X164" i="17"/>
  <c r="AS164" i="17"/>
  <c r="Y164" i="17"/>
  <c r="O163" i="19"/>
  <c r="I164" i="17"/>
  <c r="J8" i="11"/>
  <c r="N432" i="17"/>
  <c r="N430" i="17" s="1"/>
  <c r="F292" i="17"/>
  <c r="O164" i="17"/>
  <c r="R104" i="17"/>
  <c r="F101" i="11"/>
  <c r="Y72" i="17"/>
  <c r="Y124" i="17"/>
  <c r="G45" i="8"/>
  <c r="AE18" i="29"/>
  <c r="AE19" i="29"/>
  <c r="AE25" i="29"/>
  <c r="AJ14" i="11"/>
  <c r="F7" i="4"/>
  <c r="J164" i="17"/>
  <c r="Y138" i="17"/>
  <c r="AJ188" i="17"/>
  <c r="AJ48" i="17" s="1"/>
  <c r="AJ45" i="17" s="1"/>
  <c r="G208" i="17"/>
  <c r="AT348" i="17"/>
  <c r="AR136" i="11" s="1"/>
  <c r="M134" i="17"/>
  <c r="O363" i="17"/>
  <c r="Q17" i="11"/>
  <c r="S133" i="17"/>
  <c r="S134" i="17" s="1"/>
  <c r="AD14" i="11"/>
  <c r="AF118" i="17"/>
  <c r="AD93" i="11" s="1"/>
  <c r="AJ118" i="17"/>
  <c r="AH93" i="11" s="1"/>
  <c r="AH14" i="11"/>
  <c r="BN11" i="29"/>
  <c r="BM5" i="29"/>
  <c r="CM4" i="29"/>
  <c r="BM6" i="29"/>
  <c r="BM9" i="29" s="1"/>
  <c r="BM7" i="29"/>
  <c r="BM15" i="29" s="1"/>
  <c r="G47" i="8"/>
  <c r="C47" i="8" s="1"/>
  <c r="G86" i="8"/>
  <c r="AK433" i="17"/>
  <c r="AI162" i="11"/>
  <c r="C163" i="11"/>
  <c r="E433" i="17"/>
  <c r="S101" i="11"/>
  <c r="V164" i="17"/>
  <c r="E136" i="19"/>
  <c r="D136" i="19" s="1"/>
  <c r="C136" i="19" s="1"/>
  <c r="AL82" i="17"/>
  <c r="AL80" i="17" s="1"/>
  <c r="AJ18" i="11"/>
  <c r="M219" i="22"/>
  <c r="I233" i="22"/>
  <c r="AV98" i="17"/>
  <c r="AT89" i="11" s="1"/>
  <c r="AT10" i="11"/>
  <c r="Y94" i="11"/>
  <c r="AB124" i="17"/>
  <c r="AA124" i="17"/>
  <c r="G233" i="20"/>
  <c r="G234" i="20" s="1"/>
  <c r="J233" i="20"/>
  <c r="J234" i="20" s="1"/>
  <c r="AI101" i="11"/>
  <c r="AL164" i="17"/>
  <c r="AD33" i="17"/>
  <c r="AB90" i="11"/>
  <c r="G77" i="17"/>
  <c r="O77" i="17"/>
  <c r="D373" i="17"/>
  <c r="H8" i="22" s="1"/>
  <c r="I128" i="17"/>
  <c r="AK98" i="17"/>
  <c r="AI89" i="11" s="1"/>
  <c r="AT120" i="11"/>
  <c r="AV53" i="17"/>
  <c r="AD104" i="17"/>
  <c r="AQ111" i="11"/>
  <c r="AS153" i="17"/>
  <c r="Z134" i="17"/>
  <c r="AE94" i="11"/>
  <c r="AG124" i="17"/>
  <c r="Q19" i="19"/>
  <c r="Q7" i="19"/>
  <c r="O7" i="19" s="1"/>
  <c r="AK16" i="11"/>
  <c r="AM128" i="17"/>
  <c r="AK95" i="11" s="1"/>
  <c r="E78" i="19"/>
  <c r="D75" i="19"/>
  <c r="Y87" i="11"/>
  <c r="G7" i="14"/>
  <c r="D144" i="19" s="1"/>
  <c r="C144" i="19" s="1"/>
  <c r="C34" i="14"/>
  <c r="W104" i="17"/>
  <c r="AD10" i="11"/>
  <c r="M75" i="11"/>
  <c r="O448" i="17"/>
  <c r="M154" i="11" s="1"/>
  <c r="AO427" i="17"/>
  <c r="AO425" i="17" s="1"/>
  <c r="AN427" i="17"/>
  <c r="AN425" i="17" s="1"/>
  <c r="J70" i="11"/>
  <c r="L418" i="17"/>
  <c r="AO418" i="17"/>
  <c r="AM149" i="11" s="1"/>
  <c r="AM70" i="11"/>
  <c r="E70" i="11"/>
  <c r="G362" i="17"/>
  <c r="G360" i="17" s="1"/>
  <c r="G418" i="17"/>
  <c r="E149" i="11" s="1"/>
  <c r="D397" i="17"/>
  <c r="D395" i="17" s="1"/>
  <c r="AP62" i="11"/>
  <c r="AR378" i="17"/>
  <c r="AP141" i="11" s="1"/>
  <c r="Z62" i="11"/>
  <c r="AB378" i="17"/>
  <c r="Z141" i="11" s="1"/>
  <c r="AQ292" i="17"/>
  <c r="AQ290" i="17" s="1"/>
  <c r="AQ348" i="17"/>
  <c r="AQ293" i="17" s="1"/>
  <c r="AO57" i="11"/>
  <c r="V57" i="11"/>
  <c r="X292" i="17"/>
  <c r="X290" i="17" s="1"/>
  <c r="M292" i="17"/>
  <c r="M290" i="17" s="1"/>
  <c r="K57" i="11"/>
  <c r="L44" i="11"/>
  <c r="N278" i="17"/>
  <c r="L123" i="11" s="1"/>
  <c r="E36" i="11"/>
  <c r="G238" i="17"/>
  <c r="E115" i="11" s="1"/>
  <c r="Q228" i="17"/>
  <c r="O34" i="11"/>
  <c r="AH34" i="11"/>
  <c r="AJ228" i="17"/>
  <c r="AH113" i="11" s="1"/>
  <c r="X208" i="17"/>
  <c r="V110" i="11" s="1"/>
  <c r="V31" i="11"/>
  <c r="H57" i="17"/>
  <c r="H198" i="17"/>
  <c r="H58" i="17" s="1"/>
  <c r="T188" i="17"/>
  <c r="R27" i="11"/>
  <c r="C27" i="11"/>
  <c r="E188" i="17"/>
  <c r="C106" i="11" s="1"/>
  <c r="E47" i="17"/>
  <c r="T158" i="17"/>
  <c r="R100" i="11" s="1"/>
  <c r="T147" i="17"/>
  <c r="T145" i="17" s="1"/>
  <c r="R21" i="11"/>
  <c r="AR21" i="11"/>
  <c r="AT158" i="17"/>
  <c r="AR100" i="11" s="1"/>
  <c r="AP16" i="29"/>
  <c r="AP11" i="29"/>
  <c r="BO4" i="29"/>
  <c r="BP15" i="29" s="1"/>
  <c r="AP18" i="29"/>
  <c r="AO6" i="29"/>
  <c r="AP17" i="29"/>
  <c r="AG77" i="17"/>
  <c r="AG75" i="17" s="1"/>
  <c r="AI119" i="11"/>
  <c r="AL259" i="17"/>
  <c r="AB88" i="17"/>
  <c r="Z87" i="11" s="1"/>
  <c r="Z8" i="11"/>
  <c r="E32" i="13"/>
  <c r="E33" i="13" s="1"/>
  <c r="E32" i="43"/>
  <c r="E33" i="43" s="1"/>
  <c r="AK432" i="17"/>
  <c r="AK430" i="17" s="1"/>
  <c r="AI83" i="11"/>
  <c r="AU418" i="17"/>
  <c r="AS70" i="11"/>
  <c r="AU362" i="17"/>
  <c r="AU360" i="17" s="1"/>
  <c r="G217" i="17"/>
  <c r="G215" i="17" s="1"/>
  <c r="AO103" i="11"/>
  <c r="AQ33" i="17"/>
  <c r="AQ30" i="17" s="1"/>
  <c r="AG17" i="11"/>
  <c r="AI62" i="17"/>
  <c r="AI133" i="17"/>
  <c r="AJ134" i="17" s="1"/>
  <c r="AA133" i="17"/>
  <c r="AB134" i="17" s="1"/>
  <c r="Y17" i="11"/>
  <c r="AA62" i="17"/>
  <c r="J133" i="17"/>
  <c r="J63" i="17" s="1"/>
  <c r="J60" i="17" s="1"/>
  <c r="H17" i="11"/>
  <c r="J62" i="17"/>
  <c r="R17" i="11"/>
  <c r="T133" i="17"/>
  <c r="T63" i="17" s="1"/>
  <c r="T60" i="17" s="1"/>
  <c r="T62" i="17"/>
  <c r="AL17" i="11"/>
  <c r="AN133" i="17"/>
  <c r="AN63" i="17" s="1"/>
  <c r="AN62" i="17"/>
  <c r="AS133" i="17"/>
  <c r="AS63" i="17" s="1"/>
  <c r="AS62" i="17"/>
  <c r="R14" i="11"/>
  <c r="T118" i="17"/>
  <c r="AB118" i="17"/>
  <c r="Z14" i="11"/>
  <c r="E14" i="11"/>
  <c r="G118" i="17"/>
  <c r="D117" i="17"/>
  <c r="D115" i="17" s="1"/>
  <c r="F14" i="11"/>
  <c r="H118" i="17"/>
  <c r="Z98" i="17"/>
  <c r="X89" i="11" s="1"/>
  <c r="X10" i="11"/>
  <c r="W90" i="11"/>
  <c r="Y33" i="17"/>
  <c r="Y30" i="17" s="1"/>
  <c r="AF143" i="17"/>
  <c r="AD98" i="11" s="1"/>
  <c r="AD19" i="11"/>
  <c r="D19" i="11"/>
  <c r="F143" i="17"/>
  <c r="D98" i="11" s="1"/>
  <c r="E19" i="11"/>
  <c r="G143" i="17"/>
  <c r="N19" i="11"/>
  <c r="P143" i="17"/>
  <c r="N98" i="11" s="1"/>
  <c r="I143" i="17"/>
  <c r="G98" i="11" s="1"/>
  <c r="G19" i="11"/>
  <c r="AQ143" i="17"/>
  <c r="AO98" i="11" s="1"/>
  <c r="AO19" i="11"/>
  <c r="Z143" i="17"/>
  <c r="X98" i="11" s="1"/>
  <c r="X19" i="11"/>
  <c r="C19" i="11"/>
  <c r="E143" i="17"/>
  <c r="C98" i="11" s="1"/>
  <c r="D142" i="17"/>
  <c r="D140" i="17" s="1"/>
  <c r="E72" i="17"/>
  <c r="AD82" i="17"/>
  <c r="AD80" i="17" s="1"/>
  <c r="AO47" i="17"/>
  <c r="AF17" i="11"/>
  <c r="AH133" i="17"/>
  <c r="K133" i="17"/>
  <c r="L134" i="17" s="1"/>
  <c r="I17" i="11"/>
  <c r="AG133" i="17"/>
  <c r="AH134" i="17" s="1"/>
  <c r="AE17" i="11"/>
  <c r="AM133" i="17"/>
  <c r="AN134" i="17" s="1"/>
  <c r="AK17" i="11"/>
  <c r="AL133" i="17"/>
  <c r="AL62" i="17"/>
  <c r="AJ17" i="11"/>
  <c r="AP118" i="17"/>
  <c r="AN14" i="11"/>
  <c r="AS14" i="11"/>
  <c r="AU118" i="17"/>
  <c r="L118" i="17"/>
  <c r="J14" i="11"/>
  <c r="AG14" i="11"/>
  <c r="AI118" i="17"/>
  <c r="K10" i="11"/>
  <c r="M98" i="17"/>
  <c r="K89" i="11" s="1"/>
  <c r="AB143" i="17"/>
  <c r="Z98" i="11" s="1"/>
  <c r="Z19" i="11"/>
  <c r="AL19" i="11"/>
  <c r="AN143" i="17"/>
  <c r="AL98" i="11" s="1"/>
  <c r="H19" i="11"/>
  <c r="J143" i="17"/>
  <c r="H98" i="11" s="1"/>
  <c r="AJ143" i="17"/>
  <c r="AH98" i="11" s="1"/>
  <c r="AH19" i="11"/>
  <c r="C39" i="15"/>
  <c r="B195" i="17"/>
  <c r="AW195" i="17" s="1"/>
  <c r="AW196" i="17" s="1"/>
  <c r="AW197" i="17" s="1"/>
  <c r="AW198" i="17" s="1"/>
  <c r="AW199" i="17" s="1"/>
  <c r="J77" i="17"/>
  <c r="K57" i="17"/>
  <c r="F23" i="13"/>
  <c r="I132" i="21"/>
  <c r="H132" i="21"/>
  <c r="AU6" i="29"/>
  <c r="AU7" i="29"/>
  <c r="X27" i="11"/>
  <c r="Y9" i="29"/>
  <c r="H44" i="11"/>
  <c r="N143" i="17"/>
  <c r="AD138" i="17"/>
  <c r="AB97" i="11" s="1"/>
  <c r="AV19" i="29"/>
  <c r="AU19" i="29" s="1"/>
  <c r="AP50" i="17"/>
  <c r="AG47" i="17"/>
  <c r="AV287" i="17"/>
  <c r="AV285" i="17" s="1"/>
  <c r="AE72" i="17"/>
  <c r="C48" i="14"/>
  <c r="AA72" i="17"/>
  <c r="AV16" i="29"/>
  <c r="AP15" i="29"/>
  <c r="AJ10" i="11"/>
  <c r="K241" i="20"/>
  <c r="K242" i="20" s="1"/>
  <c r="AE143" i="17"/>
  <c r="AE144" i="17" s="1"/>
  <c r="L47" i="17"/>
  <c r="AJ30" i="17"/>
  <c r="V228" i="17"/>
  <c r="T113" i="11" s="1"/>
  <c r="M234" i="17"/>
  <c r="G82" i="17"/>
  <c r="N82" i="17"/>
  <c r="R83" i="17"/>
  <c r="AR67" i="17"/>
  <c r="K62" i="17"/>
  <c r="M118" i="17"/>
  <c r="N119" i="17" s="1"/>
  <c r="AU5" i="29"/>
  <c r="L241" i="20"/>
  <c r="L242" i="20" s="1"/>
  <c r="AM278" i="17"/>
  <c r="AK123" i="11" s="1"/>
  <c r="AS75" i="11"/>
  <c r="E448" i="17"/>
  <c r="C154" i="11" s="1"/>
  <c r="H134" i="21"/>
  <c r="AB27" i="17"/>
  <c r="AB14" i="11"/>
  <c r="AP124" i="17"/>
  <c r="AP133" i="17"/>
  <c r="AQ134" i="17" s="1"/>
  <c r="AN17" i="11"/>
  <c r="W133" i="17"/>
  <c r="X134" i="17" s="1"/>
  <c r="U17" i="11"/>
  <c r="T17" i="11"/>
  <c r="V133" i="17"/>
  <c r="J118" i="17"/>
  <c r="H14" i="11"/>
  <c r="M14" i="11"/>
  <c r="O118" i="17"/>
  <c r="AM118" i="17"/>
  <c r="AK14" i="11"/>
  <c r="AL14" i="11"/>
  <c r="AN118" i="17"/>
  <c r="S118" i="17"/>
  <c r="S119" i="17" s="1"/>
  <c r="Q14" i="11"/>
  <c r="AC98" i="17"/>
  <c r="AA89" i="11" s="1"/>
  <c r="AA10" i="11"/>
  <c r="AG10" i="11"/>
  <c r="AI98" i="17"/>
  <c r="AG89" i="11" s="1"/>
  <c r="L143" i="17"/>
  <c r="J98" i="11" s="1"/>
  <c r="J19" i="11"/>
  <c r="AR143" i="17"/>
  <c r="AP19" i="11"/>
  <c r="AM19" i="11"/>
  <c r="AO143" i="17"/>
  <c r="AM98" i="11" s="1"/>
  <c r="K143" i="17"/>
  <c r="I98" i="11" s="1"/>
  <c r="K82" i="17"/>
  <c r="K80" i="17" s="1"/>
  <c r="I19" i="11"/>
  <c r="AI19" i="11"/>
  <c r="AK143" i="17"/>
  <c r="AI98" i="11" s="1"/>
  <c r="R19" i="11"/>
  <c r="T143" i="17"/>
  <c r="T73" i="17" s="1"/>
  <c r="M17" i="17"/>
  <c r="E47" i="19"/>
  <c r="AM217" i="17"/>
  <c r="AM215" i="17" s="1"/>
  <c r="H147" i="17"/>
  <c r="H145" i="17" s="1"/>
  <c r="C91" i="8"/>
  <c r="AE119" i="17"/>
  <c r="H129" i="21"/>
  <c r="J23" i="13" s="1"/>
  <c r="I131" i="21"/>
  <c r="K130" i="21"/>
  <c r="I75" i="19"/>
  <c r="AI164" i="17"/>
  <c r="AH53" i="17"/>
  <c r="G164" i="17"/>
  <c r="J222" i="17"/>
  <c r="AI138" i="17"/>
  <c r="AG97" i="11" s="1"/>
  <c r="Y53" i="17"/>
  <c r="Y50" i="17" s="1"/>
  <c r="AO198" i="17"/>
  <c r="I104" i="17"/>
  <c r="I61" i="19"/>
  <c r="AB17" i="17"/>
  <c r="AS17" i="17"/>
  <c r="AA287" i="17"/>
  <c r="J124" i="17"/>
  <c r="F241" i="20"/>
  <c r="F242" i="20" s="1"/>
  <c r="H241" i="20"/>
  <c r="H242" i="20" s="1"/>
  <c r="AE14" i="11"/>
  <c r="F47" i="19"/>
  <c r="R134" i="17"/>
  <c r="V82" i="17"/>
  <c r="V80" i="17" s="1"/>
  <c r="AM62" i="17"/>
  <c r="I241" i="20"/>
  <c r="I242" i="20" s="1"/>
  <c r="AQ53" i="11"/>
  <c r="AF134" i="17"/>
  <c r="K131" i="21"/>
  <c r="X93" i="11"/>
  <c r="AA119" i="17"/>
  <c r="AQ133" i="17"/>
  <c r="AO17" i="11"/>
  <c r="X17" i="11"/>
  <c r="Z133" i="17"/>
  <c r="AP17" i="11"/>
  <c r="AR133" i="17"/>
  <c r="AS134" i="17" s="1"/>
  <c r="E17" i="11"/>
  <c r="G133" i="17"/>
  <c r="F133" i="17"/>
  <c r="F134" i="17" s="1"/>
  <c r="D17" i="11"/>
  <c r="W14" i="11"/>
  <c r="Y118" i="17"/>
  <c r="AR118" i="17"/>
  <c r="AS119" i="17" s="1"/>
  <c r="AP14" i="11"/>
  <c r="W118" i="17"/>
  <c r="U14" i="11"/>
  <c r="X118" i="17"/>
  <c r="V14" i="11"/>
  <c r="AR14" i="11"/>
  <c r="AT118" i="17"/>
  <c r="AW325" i="17"/>
  <c r="AW326" i="17" s="1"/>
  <c r="AW327" i="17" s="1"/>
  <c r="AW328" i="17" s="1"/>
  <c r="AW329" i="17" s="1"/>
  <c r="O329" i="17"/>
  <c r="AV143" i="17"/>
  <c r="AT98" i="11" s="1"/>
  <c r="AT19" i="11"/>
  <c r="Y143" i="17"/>
  <c r="W98" i="11" s="1"/>
  <c r="W19" i="11"/>
  <c r="F19" i="11"/>
  <c r="H143" i="17"/>
  <c r="F98" i="11" s="1"/>
  <c r="AP143" i="17"/>
  <c r="AN98" i="11" s="1"/>
  <c r="AN19" i="11"/>
  <c r="S19" i="11"/>
  <c r="U143" i="17"/>
  <c r="S98" i="11" s="1"/>
  <c r="AS19" i="11"/>
  <c r="AU143" i="17"/>
  <c r="AS98" i="11" s="1"/>
  <c r="G37" i="13"/>
  <c r="G59" i="13"/>
  <c r="H37" i="13"/>
  <c r="H59" i="13"/>
  <c r="D134" i="11"/>
  <c r="L257" i="20"/>
  <c r="L258" i="20" s="1"/>
  <c r="I257" i="20"/>
  <c r="I258" i="20" s="1"/>
  <c r="H257" i="20"/>
  <c r="H258" i="20" s="1"/>
  <c r="K257" i="20"/>
  <c r="K258" i="20" s="1"/>
  <c r="G257" i="20"/>
  <c r="G258" i="20" s="1"/>
  <c r="J257" i="20"/>
  <c r="J258" i="20" s="1"/>
  <c r="AL8" i="11"/>
  <c r="AN88" i="17"/>
  <c r="AL87" i="11" s="1"/>
  <c r="W62" i="11"/>
  <c r="Y378" i="17"/>
  <c r="W141" i="11" s="1"/>
  <c r="AF273" i="17"/>
  <c r="AD43" i="11"/>
  <c r="D272" i="17"/>
  <c r="D270" i="17" s="1"/>
  <c r="AF62" i="17"/>
  <c r="E203" i="17"/>
  <c r="C109" i="11" s="1"/>
  <c r="D202" i="17"/>
  <c r="D200" i="17" s="1"/>
  <c r="E62" i="17"/>
  <c r="C30" i="11"/>
  <c r="S26" i="11"/>
  <c r="U183" i="17"/>
  <c r="D182" i="17"/>
  <c r="D180" i="17" s="1"/>
  <c r="D172" i="17"/>
  <c r="D170" i="17" s="1"/>
  <c r="AL32" i="17"/>
  <c r="D32" i="17" s="1"/>
  <c r="AC31" i="17" s="1"/>
  <c r="AO108" i="17"/>
  <c r="AM91" i="11" s="1"/>
  <c r="AM12" i="11"/>
  <c r="D107" i="17"/>
  <c r="D105" i="17" s="1"/>
  <c r="B170" i="17"/>
  <c r="AU174" i="17" s="1"/>
  <c r="C34" i="15"/>
  <c r="C38" i="7"/>
  <c r="S139" i="17"/>
  <c r="O34" i="10"/>
  <c r="D34" i="10"/>
  <c r="AL121" i="11"/>
  <c r="Q147" i="11"/>
  <c r="T93" i="11"/>
  <c r="V119" i="17"/>
  <c r="F233" i="20"/>
  <c r="F234" i="20" s="1"/>
  <c r="L233" i="20"/>
  <c r="L234" i="20" s="1"/>
  <c r="E233" i="20"/>
  <c r="E234" i="20" s="1"/>
  <c r="K233" i="20"/>
  <c r="K234" i="20" s="1"/>
  <c r="AF129" i="11"/>
  <c r="AH33" i="17"/>
  <c r="AH30" i="17" s="1"/>
  <c r="F159" i="11"/>
  <c r="H53" i="17"/>
  <c r="H50" i="17" s="1"/>
  <c r="AM121" i="11"/>
  <c r="AK133" i="11"/>
  <c r="AM53" i="17"/>
  <c r="AM50" i="17" s="1"/>
  <c r="AC448" i="17"/>
  <c r="AA154" i="11" s="1"/>
  <c r="AA75" i="11"/>
  <c r="W328" i="17"/>
  <c r="U53" i="11"/>
  <c r="AC30" i="11"/>
  <c r="AE203" i="17"/>
  <c r="AE62" i="17"/>
  <c r="AU183" i="17"/>
  <c r="AS105" i="11" s="1"/>
  <c r="AS26" i="11"/>
  <c r="AN77" i="17"/>
  <c r="AN75" i="17" s="1"/>
  <c r="AV17" i="17"/>
  <c r="U42" i="17"/>
  <c r="B345" i="17"/>
  <c r="AE88" i="17"/>
  <c r="E64" i="19"/>
  <c r="E61" i="19" s="1"/>
  <c r="D61" i="19"/>
  <c r="E257" i="20"/>
  <c r="E258" i="20" s="1"/>
  <c r="AF94" i="11"/>
  <c r="AH124" i="17"/>
  <c r="AI124" i="17"/>
  <c r="AC488" i="17"/>
  <c r="AC433" i="17" s="1"/>
  <c r="AA83" i="11"/>
  <c r="U448" i="17"/>
  <c r="S154" i="11" s="1"/>
  <c r="S75" i="11"/>
  <c r="R75" i="11"/>
  <c r="T448" i="17"/>
  <c r="R154" i="11" s="1"/>
  <c r="AI427" i="17"/>
  <c r="AI425" i="17" s="1"/>
  <c r="AR418" i="17"/>
  <c r="AP70" i="11"/>
  <c r="AC70" i="11"/>
  <c r="AE418" i="17"/>
  <c r="AC149" i="11" s="1"/>
  <c r="AK70" i="11"/>
  <c r="AM418" i="17"/>
  <c r="AM362" i="17"/>
  <c r="AM360" i="17" s="1"/>
  <c r="AP418" i="17"/>
  <c r="AN149" i="11" s="1"/>
  <c r="AP362" i="17"/>
  <c r="AP360" i="17" s="1"/>
  <c r="I66" i="11"/>
  <c r="K398" i="17"/>
  <c r="F398" i="17"/>
  <c r="D145" i="11" s="1"/>
  <c r="D66" i="11"/>
  <c r="F357" i="17"/>
  <c r="F355" i="17" s="1"/>
  <c r="N357" i="17"/>
  <c r="N355" i="17" s="1"/>
  <c r="N47" i="17"/>
  <c r="N66" i="11"/>
  <c r="P357" i="17"/>
  <c r="P355" i="17" s="1"/>
  <c r="AE47" i="17"/>
  <c r="AE357" i="17"/>
  <c r="AE355" i="17" s="1"/>
  <c r="M378" i="17"/>
  <c r="K141" i="11" s="1"/>
  <c r="K62" i="11"/>
  <c r="AM292" i="17"/>
  <c r="AM290" i="17" s="1"/>
  <c r="AM348" i="17"/>
  <c r="AM293" i="17" s="1"/>
  <c r="E292" i="17"/>
  <c r="E290" i="17" s="1"/>
  <c r="D347" i="17"/>
  <c r="D345" i="17" s="1"/>
  <c r="Z292" i="17"/>
  <c r="Z290" i="17" s="1"/>
  <c r="Z348" i="17"/>
  <c r="X136" i="11" s="1"/>
  <c r="AO348" i="17"/>
  <c r="AO292" i="17"/>
  <c r="AO290" i="17" s="1"/>
  <c r="AQ132" i="11"/>
  <c r="AT329" i="17"/>
  <c r="M258" i="17"/>
  <c r="M259" i="17" s="1"/>
  <c r="M217" i="17"/>
  <c r="M215" i="17" s="1"/>
  <c r="D247" i="17"/>
  <c r="D245" i="17" s="1"/>
  <c r="AU248" i="17"/>
  <c r="AS117" i="11" s="1"/>
  <c r="AS38" i="11"/>
  <c r="F228" i="17"/>
  <c r="D113" i="11" s="1"/>
  <c r="D34" i="11"/>
  <c r="AL29" i="11"/>
  <c r="AN57" i="17"/>
  <c r="AI27" i="11"/>
  <c r="AK188" i="17"/>
  <c r="AI106" i="11" s="1"/>
  <c r="AK47" i="17"/>
  <c r="AT147" i="17"/>
  <c r="AT145" i="17" s="1"/>
  <c r="L147" i="17"/>
  <c r="L145" i="17" s="1"/>
  <c r="P178" i="17"/>
  <c r="N25" i="11"/>
  <c r="P37" i="17"/>
  <c r="AO57" i="17"/>
  <c r="G313" i="20"/>
  <c r="G314" i="20" s="1"/>
  <c r="K313" i="20"/>
  <c r="K314" i="20" s="1"/>
  <c r="H313" i="20"/>
  <c r="H314" i="20" s="1"/>
  <c r="J313" i="20"/>
  <c r="J314" i="20" s="1"/>
  <c r="F313" i="20"/>
  <c r="F314" i="20" s="1"/>
  <c r="Z101" i="11"/>
  <c r="AC164" i="17"/>
  <c r="AE109" i="11"/>
  <c r="Q109" i="11"/>
  <c r="AQ432" i="17"/>
  <c r="AQ430" i="17" s="1"/>
  <c r="AO83" i="11"/>
  <c r="Y362" i="17"/>
  <c r="Y360" i="17" s="1"/>
  <c r="Y418" i="17"/>
  <c r="W70" i="11"/>
  <c r="U292" i="17"/>
  <c r="U290" i="17" s="1"/>
  <c r="S57" i="11"/>
  <c r="Z35" i="11"/>
  <c r="AB233" i="17"/>
  <c r="AB217" i="17"/>
  <c r="AB215" i="17" s="1"/>
  <c r="X30" i="11"/>
  <c r="Z203" i="17"/>
  <c r="Z62" i="17"/>
  <c r="AP183" i="17"/>
  <c r="AN26" i="11"/>
  <c r="AL173" i="17"/>
  <c r="AL33" i="17" s="1"/>
  <c r="AL30" i="17" s="1"/>
  <c r="J17" i="17"/>
  <c r="AS8" i="11"/>
  <c r="AJ24" i="11"/>
  <c r="AV88" i="17"/>
  <c r="AT87" i="11" s="1"/>
  <c r="C42" i="14"/>
  <c r="I9" i="29"/>
  <c r="Z363" i="17"/>
  <c r="D447" i="17"/>
  <c r="D445" i="17" s="1"/>
  <c r="Z53" i="17"/>
  <c r="Z50" i="17" s="1"/>
  <c r="F257" i="20"/>
  <c r="F258" i="20" s="1"/>
  <c r="O147" i="11"/>
  <c r="F98" i="17"/>
  <c r="D89" i="11" s="1"/>
  <c r="D10" i="11"/>
  <c r="U348" i="17"/>
  <c r="U293" i="17" s="1"/>
  <c r="AV259" i="17"/>
  <c r="AU259" i="17"/>
  <c r="AA67" i="17"/>
  <c r="AA12" i="17" s="1"/>
  <c r="K79" i="11"/>
  <c r="M468" i="17"/>
  <c r="K158" i="11" s="1"/>
  <c r="G448" i="17"/>
  <c r="E154" i="11" s="1"/>
  <c r="E75" i="11"/>
  <c r="AR62" i="11"/>
  <c r="AT378" i="17"/>
  <c r="AR141" i="11" s="1"/>
  <c r="V56" i="11"/>
  <c r="X343" i="17"/>
  <c r="D343" i="17" s="1"/>
  <c r="AV273" i="17"/>
  <c r="AT122" i="11" s="1"/>
  <c r="AT43" i="11"/>
  <c r="AE32" i="11"/>
  <c r="AG213" i="17"/>
  <c r="AE111" i="11" s="1"/>
  <c r="AU203" i="17"/>
  <c r="AS109" i="11" s="1"/>
  <c r="AS30" i="11"/>
  <c r="S30" i="11"/>
  <c r="U203" i="17"/>
  <c r="AP203" i="17"/>
  <c r="AN30" i="11"/>
  <c r="R26" i="11"/>
  <c r="T183" i="17"/>
  <c r="R105" i="11" s="1"/>
  <c r="AI26" i="11"/>
  <c r="AK183" i="17"/>
  <c r="AI105" i="11" s="1"/>
  <c r="AH22" i="11"/>
  <c r="AJ163" i="17"/>
  <c r="D163" i="17" s="1"/>
  <c r="Y108" i="17"/>
  <c r="W91" i="11" s="1"/>
  <c r="W12" i="11"/>
  <c r="AW100" i="17"/>
  <c r="AW101" i="17" s="1"/>
  <c r="AW102" i="17" s="1"/>
  <c r="AW103" i="17" s="1"/>
  <c r="AW104" i="17" s="1"/>
  <c r="AT104" i="17"/>
  <c r="Y104" i="17"/>
  <c r="AS104" i="17"/>
  <c r="AK104" i="17"/>
  <c r="AC104" i="17"/>
  <c r="AB104" i="17"/>
  <c r="AQ104" i="17"/>
  <c r="U104" i="17"/>
  <c r="AI104" i="17"/>
  <c r="M104" i="17"/>
  <c r="L116" i="7"/>
  <c r="H126" i="7"/>
  <c r="AO147" i="11"/>
  <c r="AA150" i="11"/>
  <c r="AC363" i="17"/>
  <c r="AB33" i="17"/>
  <c r="W33" i="17"/>
  <c r="W30" i="17" s="1"/>
  <c r="AI33" i="17"/>
  <c r="AI30" i="17" s="1"/>
  <c r="F67" i="17"/>
  <c r="AV67" i="17"/>
  <c r="F89" i="19"/>
  <c r="AH217" i="17"/>
  <c r="AH215" i="17" s="1"/>
  <c r="F47" i="17"/>
  <c r="AB328" i="17"/>
  <c r="M348" i="17"/>
  <c r="AA398" i="17"/>
  <c r="Y145" i="11" s="1"/>
  <c r="AE448" i="17"/>
  <c r="AC154" i="11" s="1"/>
  <c r="AC147" i="17"/>
  <c r="AC145" i="17" s="1"/>
  <c r="AR104" i="17"/>
  <c r="AM66" i="11"/>
  <c r="AO398" i="17"/>
  <c r="AM145" i="11" s="1"/>
  <c r="AO43" i="11"/>
  <c r="AQ273" i="17"/>
  <c r="AO122" i="11" s="1"/>
  <c r="AA35" i="11"/>
  <c r="AC233" i="17"/>
  <c r="AA114" i="11" s="1"/>
  <c r="K213" i="17"/>
  <c r="I111" i="11" s="1"/>
  <c r="I32" i="11"/>
  <c r="R30" i="11"/>
  <c r="T203" i="17"/>
  <c r="R109" i="11" s="1"/>
  <c r="AK203" i="17"/>
  <c r="AI109" i="11" s="1"/>
  <c r="AI30" i="11"/>
  <c r="O183" i="17"/>
  <c r="M105" i="11" s="1"/>
  <c r="M26" i="11"/>
  <c r="AJ183" i="17"/>
  <c r="AH26" i="11"/>
  <c r="H26" i="11"/>
  <c r="J183" i="17"/>
  <c r="H105" i="11" s="1"/>
  <c r="T24" i="11"/>
  <c r="V173" i="17"/>
  <c r="D173" i="17" s="1"/>
  <c r="T163" i="17"/>
  <c r="R22" i="11"/>
  <c r="I108" i="17"/>
  <c r="G91" i="11" s="1"/>
  <c r="G12" i="11"/>
  <c r="Y134" i="17"/>
  <c r="E104" i="17"/>
  <c r="C90" i="11"/>
  <c r="R363" i="17"/>
  <c r="P150" i="11"/>
  <c r="Q101" i="11"/>
  <c r="S164" i="17"/>
  <c r="AW16" i="29"/>
  <c r="K109" i="9"/>
  <c r="AO77" i="17"/>
  <c r="C53" i="8"/>
  <c r="AJ77" i="17"/>
  <c r="AJ75" i="17" s="1"/>
  <c r="I162" i="19"/>
  <c r="N7" i="19"/>
  <c r="L7" i="19" s="1"/>
  <c r="Q47" i="19"/>
  <c r="Y174" i="17"/>
  <c r="AE17" i="17"/>
  <c r="Y176" i="11"/>
  <c r="AH77" i="17"/>
  <c r="AH75" i="17" s="1"/>
  <c r="J79" i="11"/>
  <c r="L468" i="17"/>
  <c r="J158" i="11" s="1"/>
  <c r="H378" i="17"/>
  <c r="F141" i="11" s="1"/>
  <c r="F62" i="11"/>
  <c r="AJ57" i="11"/>
  <c r="AL348" i="17"/>
  <c r="AL292" i="17"/>
  <c r="AL290" i="17" s="1"/>
  <c r="N53" i="11"/>
  <c r="P328" i="17"/>
  <c r="P273" i="17"/>
  <c r="N122" i="11" s="1"/>
  <c r="N43" i="11"/>
  <c r="G233" i="17"/>
  <c r="E114" i="11" s="1"/>
  <c r="E35" i="11"/>
  <c r="M30" i="11"/>
  <c r="O203" i="17"/>
  <c r="M109" i="11" s="1"/>
  <c r="AH30" i="11"/>
  <c r="AJ203" i="17"/>
  <c r="AK204" i="17" s="1"/>
  <c r="AJ62" i="17"/>
  <c r="H30" i="11"/>
  <c r="J203" i="17"/>
  <c r="H109" i="11" s="1"/>
  <c r="AC26" i="11"/>
  <c r="AE183" i="17"/>
  <c r="AC105" i="11" s="1"/>
  <c r="C26" i="11"/>
  <c r="E183" i="17"/>
  <c r="C105" i="11" s="1"/>
  <c r="Z183" i="17"/>
  <c r="X105" i="11" s="1"/>
  <c r="X26" i="11"/>
  <c r="AU163" i="17"/>
  <c r="AS22" i="11"/>
  <c r="U147" i="11"/>
  <c r="P93" i="11"/>
  <c r="AK119" i="17"/>
  <c r="AI93" i="11"/>
  <c r="R18" i="6"/>
  <c r="C92" i="8"/>
  <c r="B14" i="6"/>
  <c r="C88" i="8"/>
  <c r="D24" i="40"/>
  <c r="E135" i="19"/>
  <c r="D135" i="19" s="1"/>
  <c r="C135" i="19" s="1"/>
  <c r="AB120" i="11"/>
  <c r="AD53" i="17"/>
  <c r="AD50" i="17" s="1"/>
  <c r="O97" i="11"/>
  <c r="Q83" i="17"/>
  <c r="Q80" i="17" s="1"/>
  <c r="AW275" i="17"/>
  <c r="AW276" i="17" s="1"/>
  <c r="AW277" i="17" s="1"/>
  <c r="AW278" i="17" s="1"/>
  <c r="AW279" i="17" s="1"/>
  <c r="AP279" i="17"/>
  <c r="AH279" i="17"/>
  <c r="AG88" i="17"/>
  <c r="AE87" i="11" s="1"/>
  <c r="AE8" i="11"/>
  <c r="AT57" i="17"/>
  <c r="AR16" i="11"/>
  <c r="AH18" i="11"/>
  <c r="AJ82" i="17"/>
  <c r="AJ80" i="17" s="1"/>
  <c r="AB121" i="11"/>
  <c r="J157" i="19"/>
  <c r="I157" i="19" s="1"/>
  <c r="AP98" i="17"/>
  <c r="AN89" i="11" s="1"/>
  <c r="AN10" i="11"/>
  <c r="AR8" i="11"/>
  <c r="AT88" i="17"/>
  <c r="AR87" i="11" s="1"/>
  <c r="B78" i="11"/>
  <c r="AU293" i="17"/>
  <c r="AS136" i="11"/>
  <c r="X116" i="11"/>
  <c r="V10" i="11"/>
  <c r="X98" i="17"/>
  <c r="V89" i="11" s="1"/>
  <c r="D97" i="17"/>
  <c r="D95" i="17" s="1"/>
  <c r="O8" i="11"/>
  <c r="Q88" i="17"/>
  <c r="O87" i="11" s="1"/>
  <c r="Y28" i="29"/>
  <c r="Y21" i="29"/>
  <c r="Y23" i="29"/>
  <c r="N134" i="11"/>
  <c r="AH98" i="17"/>
  <c r="AF89" i="11" s="1"/>
  <c r="AF10" i="11"/>
  <c r="AA98" i="17"/>
  <c r="Y89" i="11" s="1"/>
  <c r="Y10" i="11"/>
  <c r="AD119" i="17"/>
  <c r="Q159" i="11"/>
  <c r="S53" i="17"/>
  <c r="S50" i="17" s="1"/>
  <c r="AQ134" i="11"/>
  <c r="AN139" i="11"/>
  <c r="J82" i="17"/>
  <c r="J80" i="17" s="1"/>
  <c r="J67" i="17"/>
  <c r="H18" i="11"/>
  <c r="J138" i="17"/>
  <c r="K139" i="17" s="1"/>
  <c r="AL47" i="17"/>
  <c r="G27" i="11"/>
  <c r="I188" i="17"/>
  <c r="I47" i="17"/>
  <c r="I145" i="11"/>
  <c r="AL134" i="17"/>
  <c r="AK134" i="17"/>
  <c r="AT128" i="17"/>
  <c r="AU129" i="17" s="1"/>
  <c r="AO488" i="17"/>
  <c r="AM83" i="11"/>
  <c r="AO432" i="17"/>
  <c r="AO430" i="17" s="1"/>
  <c r="S488" i="17"/>
  <c r="Q162" i="11" s="1"/>
  <c r="Q83" i="11"/>
  <c r="S432" i="17"/>
  <c r="S430" i="17" s="1"/>
  <c r="AL83" i="11"/>
  <c r="AN488" i="17"/>
  <c r="AL162" i="11" s="1"/>
  <c r="W83" i="11"/>
  <c r="Y488" i="17"/>
  <c r="W162" i="11" s="1"/>
  <c r="Y432" i="17"/>
  <c r="Y430" i="17" s="1"/>
  <c r="J468" i="17"/>
  <c r="H79" i="11"/>
  <c r="D467" i="17"/>
  <c r="D465" i="17" s="1"/>
  <c r="J47" i="17"/>
  <c r="X468" i="17"/>
  <c r="V158" i="11" s="1"/>
  <c r="V79" i="11"/>
  <c r="X47" i="17"/>
  <c r="K468" i="17"/>
  <c r="I79" i="11"/>
  <c r="K47" i="17"/>
  <c r="AJ468" i="17"/>
  <c r="AH79" i="11"/>
  <c r="AJ47" i="17"/>
  <c r="AK448" i="17"/>
  <c r="AI154" i="11" s="1"/>
  <c r="AI75" i="11"/>
  <c r="S448" i="17"/>
  <c r="Q154" i="11" s="1"/>
  <c r="Q75" i="11"/>
  <c r="S427" i="17"/>
  <c r="S425" i="17" s="1"/>
  <c r="AR448" i="17"/>
  <c r="AP154" i="11" s="1"/>
  <c r="AP75" i="11"/>
  <c r="J448" i="17"/>
  <c r="H154" i="11" s="1"/>
  <c r="H75" i="11"/>
  <c r="X448" i="17"/>
  <c r="V154" i="11" s="1"/>
  <c r="V75" i="11"/>
  <c r="X427" i="17"/>
  <c r="X425" i="17" s="1"/>
  <c r="E418" i="17"/>
  <c r="C149" i="11" s="1"/>
  <c r="C70" i="11"/>
  <c r="D417" i="17"/>
  <c r="D415" i="17" s="1"/>
  <c r="AG70" i="11"/>
  <c r="AI418" i="17"/>
  <c r="AI362" i="17"/>
  <c r="AI360" i="17" s="1"/>
  <c r="AB418" i="17"/>
  <c r="AB362" i="17"/>
  <c r="AB360" i="17" s="1"/>
  <c r="Z70" i="11"/>
  <c r="J418" i="17"/>
  <c r="J362" i="17"/>
  <c r="J360" i="17" s="1"/>
  <c r="H70" i="11"/>
  <c r="AL398" i="17"/>
  <c r="AJ145" i="11" s="1"/>
  <c r="AJ66" i="11"/>
  <c r="H398" i="17"/>
  <c r="F145" i="11" s="1"/>
  <c r="F66" i="11"/>
  <c r="AC398" i="17"/>
  <c r="AA145" i="11" s="1"/>
  <c r="AA66" i="11"/>
  <c r="AC47" i="17"/>
  <c r="T398" i="17"/>
  <c r="R145" i="11" s="1"/>
  <c r="R66" i="11"/>
  <c r="R378" i="17"/>
  <c r="P141" i="11" s="1"/>
  <c r="P62" i="11"/>
  <c r="E378" i="17"/>
  <c r="E358" i="17" s="1"/>
  <c r="C62" i="11"/>
  <c r="D377" i="17"/>
  <c r="D375" i="17" s="1"/>
  <c r="E357" i="17"/>
  <c r="E355" i="17" s="1"/>
  <c r="G378" i="17"/>
  <c r="E141" i="11" s="1"/>
  <c r="E62" i="11"/>
  <c r="AD62" i="11"/>
  <c r="AF378" i="17"/>
  <c r="AD141" i="11" s="1"/>
  <c r="AF357" i="17"/>
  <c r="AF355" i="17" s="1"/>
  <c r="AC348" i="17"/>
  <c r="AC293" i="17" s="1"/>
  <c r="AA57" i="11"/>
  <c r="AC292" i="17"/>
  <c r="AC290" i="17" s="1"/>
  <c r="L57" i="11"/>
  <c r="N292" i="17"/>
  <c r="N290" i="17" s="1"/>
  <c r="N348" i="17"/>
  <c r="N293" i="17" s="1"/>
  <c r="I348" i="17"/>
  <c r="G136" i="11" s="1"/>
  <c r="G57" i="11"/>
  <c r="I292" i="17"/>
  <c r="I290" i="17" s="1"/>
  <c r="AD348" i="17"/>
  <c r="AB57" i="11"/>
  <c r="AD292" i="17"/>
  <c r="AD290" i="17" s="1"/>
  <c r="AM328" i="17"/>
  <c r="AK53" i="11"/>
  <c r="M328" i="17"/>
  <c r="M47" i="17"/>
  <c r="P308" i="17"/>
  <c r="N128" i="11" s="1"/>
  <c r="N49" i="11"/>
  <c r="E44" i="11"/>
  <c r="G278" i="17"/>
  <c r="E123" i="11" s="1"/>
  <c r="D277" i="17"/>
  <c r="AE278" i="17"/>
  <c r="AC123" i="11" s="1"/>
  <c r="AC44" i="11"/>
  <c r="Y278" i="17"/>
  <c r="W44" i="11"/>
  <c r="Y67" i="17"/>
  <c r="Y12" i="17" s="1"/>
  <c r="AQ36" i="11"/>
  <c r="AS238" i="17"/>
  <c r="AQ115" i="11" s="1"/>
  <c r="I34" i="11"/>
  <c r="K228" i="17"/>
  <c r="I113" i="11" s="1"/>
  <c r="I228" i="17"/>
  <c r="G113" i="11" s="1"/>
  <c r="G34" i="11"/>
  <c r="D227" i="17"/>
  <c r="D225" i="17" s="1"/>
  <c r="W228" i="17"/>
  <c r="U113" i="11" s="1"/>
  <c r="U34" i="11"/>
  <c r="W217" i="17"/>
  <c r="W215" i="17" s="1"/>
  <c r="H34" i="11"/>
  <c r="J228" i="17"/>
  <c r="H113" i="11" s="1"/>
  <c r="H152" i="17"/>
  <c r="H150" i="17" s="1"/>
  <c r="H208" i="17"/>
  <c r="H209" i="17" s="1"/>
  <c r="F31" i="11"/>
  <c r="AI152" i="17"/>
  <c r="AI150" i="17" s="1"/>
  <c r="AI208" i="17"/>
  <c r="W29" i="11"/>
  <c r="Y198" i="17"/>
  <c r="Y58" i="17" s="1"/>
  <c r="Y57" i="17"/>
  <c r="AA198" i="17"/>
  <c r="Y29" i="11"/>
  <c r="C29" i="11"/>
  <c r="D197" i="17"/>
  <c r="D195" i="17" s="1"/>
  <c r="E198" i="17"/>
  <c r="R198" i="17"/>
  <c r="P29" i="11"/>
  <c r="O47" i="17"/>
  <c r="O188" i="17"/>
  <c r="M27" i="11"/>
  <c r="P27" i="11"/>
  <c r="R188" i="17"/>
  <c r="P106" i="11" s="1"/>
  <c r="R47" i="17"/>
  <c r="AF37" i="17"/>
  <c r="D177" i="17"/>
  <c r="D175" i="17" s="1"/>
  <c r="AD25" i="11"/>
  <c r="AN178" i="17"/>
  <c r="AL104" i="11" s="1"/>
  <c r="AL25" i="11"/>
  <c r="AL20" i="11" s="1"/>
  <c r="AT25" i="11"/>
  <c r="AV178" i="17"/>
  <c r="AT104" i="11" s="1"/>
  <c r="AV37" i="17"/>
  <c r="AQ178" i="17"/>
  <c r="AO104" i="11" s="1"/>
  <c r="AO25" i="11"/>
  <c r="D157" i="17"/>
  <c r="D155" i="17" s="1"/>
  <c r="I21" i="11"/>
  <c r="AV158" i="17"/>
  <c r="AT100" i="11" s="1"/>
  <c r="AT21" i="11"/>
  <c r="N128" i="17"/>
  <c r="N58" i="17" s="1"/>
  <c r="N55" i="17" s="1"/>
  <c r="L16" i="11"/>
  <c r="N57" i="17"/>
  <c r="L289" i="20"/>
  <c r="L290" i="20" s="1"/>
  <c r="J289" i="20"/>
  <c r="J290" i="20" s="1"/>
  <c r="I289" i="20"/>
  <c r="I290" i="20" s="1"/>
  <c r="K289" i="20"/>
  <c r="K290" i="20" s="1"/>
  <c r="E289" i="20"/>
  <c r="E290" i="20" s="1"/>
  <c r="G289" i="20"/>
  <c r="G290" i="20" s="1"/>
  <c r="H289" i="20"/>
  <c r="H290" i="20" s="1"/>
  <c r="F289" i="20"/>
  <c r="F290" i="20" s="1"/>
  <c r="N33" i="17"/>
  <c r="L103" i="11"/>
  <c r="AS116" i="11"/>
  <c r="O381" i="20"/>
  <c r="O370" i="20" s="1"/>
  <c r="B65" i="11"/>
  <c r="C40" i="14"/>
  <c r="AD432" i="17"/>
  <c r="AD430" i="17" s="1"/>
  <c r="AB83" i="11"/>
  <c r="AD488" i="17"/>
  <c r="F83" i="11"/>
  <c r="F72" i="11" s="1"/>
  <c r="H488" i="17"/>
  <c r="F162" i="11" s="1"/>
  <c r="V488" i="17"/>
  <c r="V432" i="17"/>
  <c r="V430" i="17" s="1"/>
  <c r="T83" i="11"/>
  <c r="AE488" i="17"/>
  <c r="AE432" i="17"/>
  <c r="AE430" i="17" s="1"/>
  <c r="AC83" i="11"/>
  <c r="AN79" i="11"/>
  <c r="AP468" i="17"/>
  <c r="AN158" i="11" s="1"/>
  <c r="AC468" i="17"/>
  <c r="AC48" i="17" s="1"/>
  <c r="AC45" i="17" s="1"/>
  <c r="AA79" i="11"/>
  <c r="AQ468" i="17"/>
  <c r="AO79" i="11"/>
  <c r="G79" i="11"/>
  <c r="I468" i="17"/>
  <c r="G158" i="11" s="1"/>
  <c r="H448" i="17"/>
  <c r="F154" i="11" s="1"/>
  <c r="F75" i="11"/>
  <c r="AI70" i="11"/>
  <c r="AK418" i="17"/>
  <c r="X363" i="17"/>
  <c r="V149" i="11"/>
  <c r="AT362" i="17"/>
  <c r="AT360" i="17" s="1"/>
  <c r="AR70" i="11"/>
  <c r="AT418" i="17"/>
  <c r="O398" i="17"/>
  <c r="M145" i="11" s="1"/>
  <c r="M66" i="11"/>
  <c r="M59" i="11" s="1"/>
  <c r="AL66" i="11"/>
  <c r="AN398" i="17"/>
  <c r="AL145" i="11" s="1"/>
  <c r="P66" i="11"/>
  <c r="R398" i="17"/>
  <c r="P145" i="11" s="1"/>
  <c r="E398" i="17"/>
  <c r="E399" i="17" s="1"/>
  <c r="C66" i="11"/>
  <c r="AA378" i="17"/>
  <c r="Y141" i="11" s="1"/>
  <c r="Y62" i="11"/>
  <c r="AI62" i="11"/>
  <c r="AK378" i="17"/>
  <c r="AI141" i="11" s="1"/>
  <c r="Q378" i="17"/>
  <c r="O141" i="11" s="1"/>
  <c r="O62" i="11"/>
  <c r="M57" i="11"/>
  <c r="O348" i="17"/>
  <c r="O292" i="17"/>
  <c r="O290" i="17" s="1"/>
  <c r="AI57" i="11"/>
  <c r="AK348" i="17"/>
  <c r="AI136" i="11" s="1"/>
  <c r="AE348" i="17"/>
  <c r="AE292" i="17"/>
  <c r="AE290" i="17" s="1"/>
  <c r="AC57" i="11"/>
  <c r="AF328" i="17"/>
  <c r="AF329" i="17" s="1"/>
  <c r="AD53" i="11"/>
  <c r="J308" i="17"/>
  <c r="H128" i="11" s="1"/>
  <c r="H49" i="11"/>
  <c r="G44" i="11"/>
  <c r="I278" i="17"/>
  <c r="G123" i="11" s="1"/>
  <c r="R238" i="17"/>
  <c r="P115" i="11" s="1"/>
  <c r="P36" i="11"/>
  <c r="AM34" i="11"/>
  <c r="AO228" i="17"/>
  <c r="AM113" i="11" s="1"/>
  <c r="AP228" i="17"/>
  <c r="AN113" i="11" s="1"/>
  <c r="AN34" i="11"/>
  <c r="G31" i="11"/>
  <c r="I208" i="17"/>
  <c r="I153" i="17" s="1"/>
  <c r="AD31" i="11"/>
  <c r="AF208" i="17"/>
  <c r="AF29" i="11"/>
  <c r="AH198" i="17"/>
  <c r="AF108" i="11" s="1"/>
  <c r="P198" i="17"/>
  <c r="N29" i="11"/>
  <c r="AK198" i="17"/>
  <c r="AI108" i="11" s="1"/>
  <c r="AI29" i="11"/>
  <c r="E29" i="11"/>
  <c r="G198" i="17"/>
  <c r="E108" i="11" s="1"/>
  <c r="AB188" i="17"/>
  <c r="Z27" i="11"/>
  <c r="AU188" i="17"/>
  <c r="AS27" i="11"/>
  <c r="Q178" i="17"/>
  <c r="O104" i="11" s="1"/>
  <c r="O25" i="11"/>
  <c r="Y178" i="17"/>
  <c r="W104" i="11" s="1"/>
  <c r="W25" i="11"/>
  <c r="AE25" i="11"/>
  <c r="AG178" i="17"/>
  <c r="AE104" i="11" s="1"/>
  <c r="AS25" i="11"/>
  <c r="AU178" i="17"/>
  <c r="AS104" i="11" s="1"/>
  <c r="Z21" i="11"/>
  <c r="AB158" i="17"/>
  <c r="Z100" i="11" s="1"/>
  <c r="N21" i="11"/>
  <c r="P158" i="17"/>
  <c r="N100" i="11" s="1"/>
  <c r="J98" i="17"/>
  <c r="H89" i="11" s="1"/>
  <c r="H10" i="11"/>
  <c r="AJ98" i="17"/>
  <c r="AH89" i="11" s="1"/>
  <c r="AH10" i="11"/>
  <c r="AO10" i="11"/>
  <c r="AQ98" i="17"/>
  <c r="AO89" i="11" s="1"/>
  <c r="AM63" i="17"/>
  <c r="AM60" i="17" s="1"/>
  <c r="AW19" i="29"/>
  <c r="AU47" i="17"/>
  <c r="AF152" i="17"/>
  <c r="AF150" i="17" s="1"/>
  <c r="Z448" i="17"/>
  <c r="X154" i="11" s="1"/>
  <c r="J132" i="21"/>
  <c r="O488" i="17"/>
  <c r="O432" i="17"/>
  <c r="O430" i="17" s="1"/>
  <c r="M83" i="11"/>
  <c r="AJ488" i="17"/>
  <c r="AJ432" i="17"/>
  <c r="AJ430" i="17" s="1"/>
  <c r="AH83" i="11"/>
  <c r="S83" i="11"/>
  <c r="U488" i="17"/>
  <c r="R83" i="11"/>
  <c r="T432" i="17"/>
  <c r="T430" i="17" s="1"/>
  <c r="T488" i="17"/>
  <c r="AC79" i="11"/>
  <c r="AE468" i="17"/>
  <c r="AC158" i="11" s="1"/>
  <c r="R468" i="17"/>
  <c r="P158" i="11" s="1"/>
  <c r="P79" i="11"/>
  <c r="AF468" i="17"/>
  <c r="AD158" i="11" s="1"/>
  <c r="AD79" i="11"/>
  <c r="AO468" i="17"/>
  <c r="AM158" i="11" s="1"/>
  <c r="AM79" i="11"/>
  <c r="AN448" i="17"/>
  <c r="AL154" i="11" s="1"/>
  <c r="AL75" i="11"/>
  <c r="AD418" i="17"/>
  <c r="AD362" i="17"/>
  <c r="AD360" i="17" s="1"/>
  <c r="AB70" i="11"/>
  <c r="M418" i="17"/>
  <c r="M362" i="17"/>
  <c r="M360" i="17" s="1"/>
  <c r="K70" i="11"/>
  <c r="D70" i="11"/>
  <c r="F418" i="17"/>
  <c r="AT70" i="11"/>
  <c r="AV418" i="17"/>
  <c r="AV362" i="17"/>
  <c r="AV360" i="17" s="1"/>
  <c r="AS66" i="11"/>
  <c r="AU398" i="17"/>
  <c r="AS145" i="11" s="1"/>
  <c r="Y398" i="17"/>
  <c r="W145" i="11" s="1"/>
  <c r="W66" i="11"/>
  <c r="AK398" i="17"/>
  <c r="AI66" i="11"/>
  <c r="P378" i="17"/>
  <c r="N141" i="11" s="1"/>
  <c r="N62" i="11"/>
  <c r="Z378" i="17"/>
  <c r="X141" i="11" s="1"/>
  <c r="X62" i="11"/>
  <c r="D62" i="11"/>
  <c r="F378" i="17"/>
  <c r="D141" i="11" s="1"/>
  <c r="H348" i="17"/>
  <c r="F136" i="11" s="1"/>
  <c r="F57" i="11"/>
  <c r="L348" i="17"/>
  <c r="J136" i="11" s="1"/>
  <c r="J57" i="11"/>
  <c r="AA348" i="17"/>
  <c r="Y136" i="11" s="1"/>
  <c r="Y57" i="11"/>
  <c r="F328" i="17"/>
  <c r="D53" i="11"/>
  <c r="O53" i="11"/>
  <c r="Q328" i="17"/>
  <c r="AF308" i="17"/>
  <c r="AD128" i="11" s="1"/>
  <c r="AD49" i="11"/>
  <c r="M44" i="11"/>
  <c r="O278" i="17"/>
  <c r="M123" i="11" s="1"/>
  <c r="AM258" i="17"/>
  <c r="AN259" i="17" s="1"/>
  <c r="AK40" i="11"/>
  <c r="AB34" i="11"/>
  <c r="AD228" i="17"/>
  <c r="AB113" i="11" s="1"/>
  <c r="AE228" i="17"/>
  <c r="AC113" i="11" s="1"/>
  <c r="AC34" i="11"/>
  <c r="Q31" i="11"/>
  <c r="S208" i="17"/>
  <c r="X31" i="11"/>
  <c r="Z208" i="17"/>
  <c r="Z152" i="17"/>
  <c r="Z150" i="17" s="1"/>
  <c r="W198" i="17"/>
  <c r="U29" i="11"/>
  <c r="AV198" i="17"/>
  <c r="AT29" i="11"/>
  <c r="L29" i="11"/>
  <c r="N198" i="17"/>
  <c r="AK29" i="11"/>
  <c r="AM198" i="17"/>
  <c r="AK108" i="11" s="1"/>
  <c r="AS188" i="17"/>
  <c r="AQ106" i="11" s="1"/>
  <c r="AQ27" i="11"/>
  <c r="AQ20" i="11" s="1"/>
  <c r="L25" i="11"/>
  <c r="N178" i="17"/>
  <c r="L104" i="11" s="1"/>
  <c r="V178" i="17"/>
  <c r="T104" i="11" s="1"/>
  <c r="T25" i="11"/>
  <c r="AE178" i="17"/>
  <c r="AC104" i="11" s="1"/>
  <c r="AC25" i="11"/>
  <c r="N168" i="17"/>
  <c r="L102" i="11" s="1"/>
  <c r="L23" i="11"/>
  <c r="AM158" i="17"/>
  <c r="AK100" i="11" s="1"/>
  <c r="AK21" i="11"/>
  <c r="AA158" i="17"/>
  <c r="Y100" i="11" s="1"/>
  <c r="Y21" i="11"/>
  <c r="AS128" i="17"/>
  <c r="AQ95" i="11" s="1"/>
  <c r="AQ16" i="11"/>
  <c r="Y98" i="17"/>
  <c r="W89" i="11" s="1"/>
  <c r="W10" i="11"/>
  <c r="R10" i="11"/>
  <c r="T98" i="17"/>
  <c r="R89" i="11" s="1"/>
  <c r="W98" i="17"/>
  <c r="U10" i="11"/>
  <c r="K98" i="17"/>
  <c r="I89" i="11" s="1"/>
  <c r="I10" i="11"/>
  <c r="H50" i="13"/>
  <c r="G55" i="13"/>
  <c r="L126" i="21"/>
  <c r="P116" i="21"/>
  <c r="AN119" i="11"/>
  <c r="AW15" i="29"/>
  <c r="Q82" i="17"/>
  <c r="AM33" i="17"/>
  <c r="AM30" i="17" s="1"/>
  <c r="AB47" i="17"/>
  <c r="AH328" i="17"/>
  <c r="U70" i="11"/>
  <c r="N433" i="17"/>
  <c r="AH49" i="11"/>
  <c r="H131" i="21"/>
  <c r="AS83" i="11"/>
  <c r="AU488" i="17"/>
  <c r="AS162" i="11" s="1"/>
  <c r="O83" i="11"/>
  <c r="Q488" i="17"/>
  <c r="J432" i="17"/>
  <c r="J430" i="17" s="1"/>
  <c r="J488" i="17"/>
  <c r="H83" i="11"/>
  <c r="R79" i="11"/>
  <c r="T468" i="17"/>
  <c r="G468" i="17"/>
  <c r="E158" i="11" s="1"/>
  <c r="E79" i="11"/>
  <c r="C79" i="11"/>
  <c r="E468" i="17"/>
  <c r="F469" i="17" s="1"/>
  <c r="AD468" i="17"/>
  <c r="AB79" i="11"/>
  <c r="M448" i="17"/>
  <c r="K154" i="11" s="1"/>
  <c r="K75" i="11"/>
  <c r="AL448" i="17"/>
  <c r="AJ154" i="11" s="1"/>
  <c r="AJ75" i="11"/>
  <c r="AS418" i="17"/>
  <c r="AS362" i="17"/>
  <c r="AS360" i="17" s="1"/>
  <c r="AQ70" i="11"/>
  <c r="AJ398" i="17"/>
  <c r="AH66" i="11"/>
  <c r="L66" i="11"/>
  <c r="L59" i="11" s="1"/>
  <c r="N398" i="17"/>
  <c r="O399" i="17" s="1"/>
  <c r="Z398" i="17"/>
  <c r="X145" i="11" s="1"/>
  <c r="X66" i="11"/>
  <c r="AT62" i="11"/>
  <c r="AV378" i="17"/>
  <c r="AT141" i="11" s="1"/>
  <c r="AG62" i="11"/>
  <c r="AI378" i="17"/>
  <c r="AG141" i="11" s="1"/>
  <c r="AL378" i="17"/>
  <c r="AJ141" i="11" s="1"/>
  <c r="AJ62" i="11"/>
  <c r="H57" i="11"/>
  <c r="J348" i="17"/>
  <c r="J292" i="17"/>
  <c r="J290" i="17" s="1"/>
  <c r="E348" i="17"/>
  <c r="C136" i="11" s="1"/>
  <c r="C57" i="11"/>
  <c r="Q348" i="17"/>
  <c r="O136" i="11" s="1"/>
  <c r="O57" i="11"/>
  <c r="AO53" i="11"/>
  <c r="AQ328" i="17"/>
  <c r="G328" i="17"/>
  <c r="E53" i="11"/>
  <c r="V308" i="17"/>
  <c r="T128" i="11" s="1"/>
  <c r="T49" i="11"/>
  <c r="AH44" i="11"/>
  <c r="AJ278" i="17"/>
  <c r="AH123" i="11" s="1"/>
  <c r="AK36" i="11"/>
  <c r="AM238" i="17"/>
  <c r="AK115" i="11" s="1"/>
  <c r="AK228" i="17"/>
  <c r="AI113" i="11" s="1"/>
  <c r="AI34" i="11"/>
  <c r="Q34" i="11"/>
  <c r="S228" i="17"/>
  <c r="Q113" i="11" s="1"/>
  <c r="J208" i="17"/>
  <c r="J68" i="17" s="1"/>
  <c r="J65" i="17" s="1"/>
  <c r="H31" i="11"/>
  <c r="J152" i="17"/>
  <c r="J150" i="17" s="1"/>
  <c r="N31" i="11"/>
  <c r="P152" i="17"/>
  <c r="P150" i="17" s="1"/>
  <c r="P208" i="17"/>
  <c r="AQ208" i="17"/>
  <c r="AQ152" i="17"/>
  <c r="AQ150" i="17" s="1"/>
  <c r="AO31" i="11"/>
  <c r="L198" i="17"/>
  <c r="J29" i="11"/>
  <c r="AG198" i="17"/>
  <c r="AE29" i="11"/>
  <c r="AT198" i="17"/>
  <c r="AR108" i="11" s="1"/>
  <c r="AR29" i="11"/>
  <c r="Z29" i="11"/>
  <c r="AB198" i="17"/>
  <c r="AA188" i="17"/>
  <c r="AA189" i="17" s="1"/>
  <c r="Y27" i="11"/>
  <c r="Z47" i="17"/>
  <c r="AT178" i="17"/>
  <c r="AR104" i="11" s="1"/>
  <c r="AR25" i="11"/>
  <c r="L178" i="17"/>
  <c r="J104" i="11" s="1"/>
  <c r="J25" i="11"/>
  <c r="AD178" i="17"/>
  <c r="AB104" i="11" s="1"/>
  <c r="AB25" i="11"/>
  <c r="AS168" i="17"/>
  <c r="AQ102" i="11" s="1"/>
  <c r="AQ23" i="11"/>
  <c r="AS147" i="17"/>
  <c r="AS145" i="17" s="1"/>
  <c r="G158" i="17"/>
  <c r="E100" i="11" s="1"/>
  <c r="E21" i="11"/>
  <c r="AP21" i="11"/>
  <c r="AR158" i="17"/>
  <c r="AP100" i="11" s="1"/>
  <c r="AR147" i="17"/>
  <c r="AR145" i="17" s="1"/>
  <c r="AO128" i="17"/>
  <c r="AM95" i="11" s="1"/>
  <c r="AM16" i="11"/>
  <c r="AT147" i="11"/>
  <c r="G98" i="17"/>
  <c r="E89" i="11" s="1"/>
  <c r="E10" i="11"/>
  <c r="AP10" i="11"/>
  <c r="AR98" i="17"/>
  <c r="AP89" i="11" s="1"/>
  <c r="AR10" i="11"/>
  <c r="AT98" i="17"/>
  <c r="AR89" i="11" s="1"/>
  <c r="I233" i="20"/>
  <c r="I234" i="20" s="1"/>
  <c r="H233" i="20"/>
  <c r="H234" i="20" s="1"/>
  <c r="AK163" i="11"/>
  <c r="AM433" i="17"/>
  <c r="R121" i="11"/>
  <c r="AP88" i="17"/>
  <c r="AP89" i="17" s="1"/>
  <c r="AN8" i="11"/>
  <c r="AJ8" i="11"/>
  <c r="AL88" i="17"/>
  <c r="AJ87" i="11" s="1"/>
  <c r="V104" i="17"/>
  <c r="I9" i="36"/>
  <c r="J45" i="43"/>
  <c r="AF488" i="17"/>
  <c r="AD162" i="11" s="1"/>
  <c r="AD83" i="11"/>
  <c r="D487" i="17"/>
  <c r="D485" i="17" s="1"/>
  <c r="F488" i="17"/>
  <c r="F433" i="17" s="1"/>
  <c r="D83" i="11"/>
  <c r="AN83" i="11"/>
  <c r="AP488" i="17"/>
  <c r="Y468" i="17"/>
  <c r="W158" i="11" s="1"/>
  <c r="W79" i="11"/>
  <c r="AM468" i="17"/>
  <c r="AM469" i="17" s="1"/>
  <c r="AK79" i="11"/>
  <c r="AI79" i="11"/>
  <c r="AK468" i="17"/>
  <c r="Q79" i="11"/>
  <c r="S468" i="17"/>
  <c r="Q158" i="11" s="1"/>
  <c r="AQ75" i="11"/>
  <c r="AS448" i="17"/>
  <c r="AQ154" i="11" s="1"/>
  <c r="AA448" i="17"/>
  <c r="Y154" i="11" s="1"/>
  <c r="Y75" i="11"/>
  <c r="W75" i="11"/>
  <c r="W72" i="11" s="1"/>
  <c r="Y448" i="17"/>
  <c r="W154" i="11" s="1"/>
  <c r="T418" i="17"/>
  <c r="R149" i="11" s="1"/>
  <c r="R70" i="11"/>
  <c r="AL418" i="17"/>
  <c r="AJ149" i="11" s="1"/>
  <c r="AJ70" i="11"/>
  <c r="I70" i="11"/>
  <c r="K418" i="17"/>
  <c r="K362" i="17"/>
  <c r="K360" i="17" s="1"/>
  <c r="U398" i="17"/>
  <c r="S145" i="11" s="1"/>
  <c r="S66" i="11"/>
  <c r="AT398" i="17"/>
  <c r="AR145" i="11" s="1"/>
  <c r="AR66" i="11"/>
  <c r="AG378" i="17"/>
  <c r="AE141" i="11" s="1"/>
  <c r="AE62" i="11"/>
  <c r="AE59" i="11" s="1"/>
  <c r="X378" i="17"/>
  <c r="V141" i="11" s="1"/>
  <c r="V62" i="11"/>
  <c r="S348" i="17"/>
  <c r="Q57" i="11"/>
  <c r="S292" i="17"/>
  <c r="S290" i="17" s="1"/>
  <c r="N57" i="11"/>
  <c r="P348" i="17"/>
  <c r="N136" i="11" s="1"/>
  <c r="AS348" i="17"/>
  <c r="AQ57" i="11"/>
  <c r="AS292" i="17"/>
  <c r="AS290" i="17" s="1"/>
  <c r="AR328" i="17"/>
  <c r="AP53" i="11"/>
  <c r="AG308" i="17"/>
  <c r="AE128" i="11" s="1"/>
  <c r="AE49" i="11"/>
  <c r="D44" i="11"/>
  <c r="F278" i="17"/>
  <c r="D123" i="11" s="1"/>
  <c r="N34" i="11"/>
  <c r="P228" i="17"/>
  <c r="N113" i="11" s="1"/>
  <c r="Z228" i="17"/>
  <c r="X113" i="11" s="1"/>
  <c r="X34" i="11"/>
  <c r="Z34" i="11"/>
  <c r="AB228" i="17"/>
  <c r="Z113" i="11" s="1"/>
  <c r="Q208" i="17"/>
  <c r="Q152" i="17"/>
  <c r="Q150" i="17" s="1"/>
  <c r="O31" i="11"/>
  <c r="AD198" i="17"/>
  <c r="AB108" i="11" s="1"/>
  <c r="AB29" i="11"/>
  <c r="AP29" i="11"/>
  <c r="AR198" i="17"/>
  <c r="J198" i="17"/>
  <c r="H29" i="11"/>
  <c r="M198" i="17"/>
  <c r="M148" i="17" s="1"/>
  <c r="K29" i="11"/>
  <c r="K27" i="11"/>
  <c r="M188" i="17"/>
  <c r="AH25" i="11"/>
  <c r="AJ178" i="17"/>
  <c r="AH104" i="11" s="1"/>
  <c r="R25" i="11"/>
  <c r="T178" i="17"/>
  <c r="R104" i="11" s="1"/>
  <c r="AC168" i="17"/>
  <c r="AA102" i="11" s="1"/>
  <c r="AA23" i="11"/>
  <c r="V21" i="11"/>
  <c r="X158" i="17"/>
  <c r="V100" i="11" s="1"/>
  <c r="J21" i="11"/>
  <c r="L158" i="17"/>
  <c r="J100" i="11" s="1"/>
  <c r="Q150" i="11"/>
  <c r="S363" i="17"/>
  <c r="J10" i="11"/>
  <c r="J167" i="11" s="1"/>
  <c r="L98" i="17"/>
  <c r="J89" i="11" s="1"/>
  <c r="S98" i="17"/>
  <c r="Q89" i="11" s="1"/>
  <c r="Q10" i="11"/>
  <c r="AS121" i="11"/>
  <c r="C2" i="40"/>
  <c r="C18" i="40" s="1"/>
  <c r="N9" i="19"/>
  <c r="L9" i="19" s="1"/>
  <c r="AW9" i="29"/>
  <c r="I47" i="19"/>
  <c r="Q67" i="17"/>
  <c r="R258" i="17"/>
  <c r="P119" i="11" s="1"/>
  <c r="K129" i="21"/>
  <c r="M488" i="17"/>
  <c r="K83" i="11"/>
  <c r="AL432" i="17"/>
  <c r="AL430" i="17" s="1"/>
  <c r="AJ83" i="11"/>
  <c r="AL488" i="17"/>
  <c r="AA432" i="17"/>
  <c r="AA430" i="17" s="1"/>
  <c r="Y83" i="11"/>
  <c r="AA488" i="17"/>
  <c r="AT488" i="17"/>
  <c r="AR83" i="11"/>
  <c r="N468" i="17"/>
  <c r="L79" i="11"/>
  <c r="AB468" i="17"/>
  <c r="Z158" i="11" s="1"/>
  <c r="Z79" i="11"/>
  <c r="H468" i="17"/>
  <c r="F158" i="11" s="1"/>
  <c r="F79" i="11"/>
  <c r="G75" i="11"/>
  <c r="I448" i="17"/>
  <c r="G154" i="11" s="1"/>
  <c r="AH448" i="17"/>
  <c r="AF154" i="11" s="1"/>
  <c r="AF75" i="11"/>
  <c r="P448" i="17"/>
  <c r="N154" i="11" s="1"/>
  <c r="N75" i="11"/>
  <c r="N448" i="17"/>
  <c r="L154" i="11" s="1"/>
  <c r="L75" i="11"/>
  <c r="V418" i="17"/>
  <c r="T149" i="11" s="1"/>
  <c r="T70" i="11"/>
  <c r="AQ362" i="17"/>
  <c r="AQ360" i="17" s="1"/>
  <c r="AO70" i="11"/>
  <c r="AQ418" i="17"/>
  <c r="J398" i="17"/>
  <c r="H145" i="11" s="1"/>
  <c r="H66" i="11"/>
  <c r="U66" i="11"/>
  <c r="W398" i="17"/>
  <c r="W399" i="17" s="1"/>
  <c r="V378" i="17"/>
  <c r="T141" i="11" s="1"/>
  <c r="T62" i="11"/>
  <c r="G62" i="11"/>
  <c r="I378" i="17"/>
  <c r="G141" i="11" s="1"/>
  <c r="G348" i="17"/>
  <c r="G292" i="17"/>
  <c r="G290" i="17" s="1"/>
  <c r="E57" i="11"/>
  <c r="R57" i="11"/>
  <c r="T348" i="17"/>
  <c r="R136" i="11" s="1"/>
  <c r="V348" i="17"/>
  <c r="T57" i="11"/>
  <c r="V292" i="17"/>
  <c r="V290" i="17" s="1"/>
  <c r="R328" i="17"/>
  <c r="P53" i="11"/>
  <c r="U44" i="11"/>
  <c r="W278" i="17"/>
  <c r="U123" i="11" s="1"/>
  <c r="AM248" i="17"/>
  <c r="AK117" i="11" s="1"/>
  <c r="AK38" i="11"/>
  <c r="O228" i="17"/>
  <c r="M113" i="11" s="1"/>
  <c r="M34" i="11"/>
  <c r="K34" i="11"/>
  <c r="M228" i="17"/>
  <c r="K113" i="11" s="1"/>
  <c r="AV208" i="17"/>
  <c r="AT31" i="11"/>
  <c r="AV152" i="17"/>
  <c r="AV150" i="17" s="1"/>
  <c r="Y31" i="11"/>
  <c r="AA208" i="17"/>
  <c r="AA152" i="17"/>
  <c r="AA150" i="17" s="1"/>
  <c r="Q29" i="11"/>
  <c r="S198" i="17"/>
  <c r="Q108" i="11" s="1"/>
  <c r="AA29" i="11"/>
  <c r="AC198" i="17"/>
  <c r="AC148" i="17" s="1"/>
  <c r="AQ29" i="11"/>
  <c r="AS198" i="17"/>
  <c r="AS148" i="17" s="1"/>
  <c r="AR119" i="7" s="1"/>
  <c r="AF27" i="11"/>
  <c r="AH188" i="17"/>
  <c r="U178" i="17"/>
  <c r="S25" i="11"/>
  <c r="C25" i="11"/>
  <c r="E178" i="17"/>
  <c r="C104" i="11" s="1"/>
  <c r="M168" i="17"/>
  <c r="K102" i="11" s="1"/>
  <c r="K23" i="11"/>
  <c r="M147" i="17"/>
  <c r="M145" i="17" s="1"/>
  <c r="AI158" i="17"/>
  <c r="AG100" i="11" s="1"/>
  <c r="AG21" i="11"/>
  <c r="U21" i="11"/>
  <c r="W158" i="17"/>
  <c r="U100" i="11" s="1"/>
  <c r="N147" i="11"/>
  <c r="P10" i="11"/>
  <c r="R98" i="17"/>
  <c r="P89" i="11" s="1"/>
  <c r="AC10" i="11"/>
  <c r="AE98" i="17"/>
  <c r="AC89" i="11" s="1"/>
  <c r="AB98" i="17"/>
  <c r="Z89" i="11" s="1"/>
  <c r="Z10" i="11"/>
  <c r="L313" i="20"/>
  <c r="L314" i="20" s="1"/>
  <c r="E313" i="20"/>
  <c r="E314" i="20" s="1"/>
  <c r="B155" i="17"/>
  <c r="AQ159" i="17" s="1"/>
  <c r="C31" i="15"/>
  <c r="AL362" i="17"/>
  <c r="AL360" i="17" s="1"/>
  <c r="R88" i="17"/>
  <c r="P87" i="11" s="1"/>
  <c r="P8" i="11"/>
  <c r="O9" i="29"/>
  <c r="BP18" i="29"/>
  <c r="J129" i="21"/>
  <c r="AQ83" i="11"/>
  <c r="AS488" i="17"/>
  <c r="AS432" i="17"/>
  <c r="AS430" i="17" s="1"/>
  <c r="W432" i="17"/>
  <c r="W430" i="17" s="1"/>
  <c r="U83" i="11"/>
  <c r="W488" i="17"/>
  <c r="P488" i="17"/>
  <c r="P432" i="17"/>
  <c r="P430" i="17" s="1"/>
  <c r="N83" i="11"/>
  <c r="AI488" i="17"/>
  <c r="AG162" i="11" s="1"/>
  <c r="AG83" i="11"/>
  <c r="AT468" i="17"/>
  <c r="AR158" i="11" s="1"/>
  <c r="AR79" i="11"/>
  <c r="AG468" i="17"/>
  <c r="AE158" i="11" s="1"/>
  <c r="AE79" i="11"/>
  <c r="O468" i="17"/>
  <c r="M158" i="11" s="1"/>
  <c r="M79" i="11"/>
  <c r="AL79" i="11"/>
  <c r="AN468" i="17"/>
  <c r="AL158" i="11" s="1"/>
  <c r="AO448" i="17"/>
  <c r="AM154" i="11" s="1"/>
  <c r="AM75" i="11"/>
  <c r="W448" i="17"/>
  <c r="U154" i="11" s="1"/>
  <c r="U75" i="11"/>
  <c r="AV448" i="17"/>
  <c r="AT154" i="11" s="1"/>
  <c r="AT75" i="11"/>
  <c r="AT448" i="17"/>
  <c r="AR154" i="11" s="1"/>
  <c r="AR75" i="11"/>
  <c r="AR72" i="11" s="1"/>
  <c r="Y70" i="11"/>
  <c r="AA362" i="17"/>
  <c r="AA360" i="17" s="1"/>
  <c r="AA418" i="17"/>
  <c r="AD70" i="11"/>
  <c r="AF418" i="17"/>
  <c r="AF362" i="17"/>
  <c r="AF360" i="17" s="1"/>
  <c r="AP398" i="17"/>
  <c r="AN66" i="11"/>
  <c r="AN59" i="11" s="1"/>
  <c r="L398" i="17"/>
  <c r="J66" i="11"/>
  <c r="AC62" i="11"/>
  <c r="AE378" i="17"/>
  <c r="AO378" i="17"/>
  <c r="AM141" i="11" s="1"/>
  <c r="AM62" i="11"/>
  <c r="K378" i="17"/>
  <c r="I141" i="11" s="1"/>
  <c r="I62" i="11"/>
  <c r="AP57" i="11"/>
  <c r="AR348" i="17"/>
  <c r="K348" i="17"/>
  <c r="I57" i="11"/>
  <c r="AT53" i="11"/>
  <c r="AV328" i="17"/>
  <c r="F308" i="17"/>
  <c r="D128" i="11" s="1"/>
  <c r="D49" i="11"/>
  <c r="AV308" i="17"/>
  <c r="AT128" i="11" s="1"/>
  <c r="AT49" i="11"/>
  <c r="AR278" i="17"/>
  <c r="AP123" i="11" s="1"/>
  <c r="AP44" i="11"/>
  <c r="X44" i="11"/>
  <c r="Z278" i="17"/>
  <c r="X123" i="11" s="1"/>
  <c r="AQ248" i="17"/>
  <c r="AO117" i="11" s="1"/>
  <c r="AO38" i="11"/>
  <c r="AU228" i="17"/>
  <c r="AS113" i="11" s="1"/>
  <c r="AS34" i="11"/>
  <c r="AS228" i="17"/>
  <c r="AQ113" i="11" s="1"/>
  <c r="AQ34" i="11"/>
  <c r="AS217" i="17"/>
  <c r="AS215" i="17" s="1"/>
  <c r="P31" i="11"/>
  <c r="R152" i="17"/>
  <c r="R150" i="17" s="1"/>
  <c r="R208" i="17"/>
  <c r="D29" i="11"/>
  <c r="F198" i="17"/>
  <c r="AI188" i="17"/>
  <c r="AG27" i="11"/>
  <c r="AI47" i="17"/>
  <c r="R178" i="17"/>
  <c r="P104" i="11" s="1"/>
  <c r="P25" i="11"/>
  <c r="AK178" i="17"/>
  <c r="AI104" i="11" s="1"/>
  <c r="AI25" i="11"/>
  <c r="AD21" i="11"/>
  <c r="AF158" i="17"/>
  <c r="AD100" i="11" s="1"/>
  <c r="S10" i="11"/>
  <c r="U98" i="17"/>
  <c r="S89" i="11" s="1"/>
  <c r="AN98" i="17"/>
  <c r="AL89" i="11" s="1"/>
  <c r="AL10" i="11"/>
  <c r="AS10" i="11"/>
  <c r="AU98" i="17"/>
  <c r="AS89" i="11" s="1"/>
  <c r="E163" i="11"/>
  <c r="G433" i="17"/>
  <c r="R8" i="11"/>
  <c r="T88" i="17"/>
  <c r="R87" i="11" s="1"/>
  <c r="C39" i="14"/>
  <c r="Q89" i="19"/>
  <c r="O89" i="19" s="1"/>
  <c r="C110" i="7"/>
  <c r="D263" i="17"/>
  <c r="F14" i="22" s="1"/>
  <c r="AW11" i="29"/>
  <c r="AP33" i="17"/>
  <c r="AP30" i="17" s="1"/>
  <c r="L33" i="19"/>
  <c r="O18" i="19"/>
  <c r="R103" i="19"/>
  <c r="I129" i="21"/>
  <c r="G83" i="11"/>
  <c r="I488" i="17"/>
  <c r="G162" i="11" s="1"/>
  <c r="AH488" i="17"/>
  <c r="AF162" i="11" s="1"/>
  <c r="AH432" i="17"/>
  <c r="AH430" i="17" s="1"/>
  <c r="AF83" i="11"/>
  <c r="L488" i="17"/>
  <c r="J162" i="11" s="1"/>
  <c r="J83" i="11"/>
  <c r="AR488" i="17"/>
  <c r="AP162" i="11" s="1"/>
  <c r="AP83" i="11"/>
  <c r="U468" i="17"/>
  <c r="S79" i="11"/>
  <c r="AI468" i="17"/>
  <c r="AG79" i="11"/>
  <c r="AG72" i="11" s="1"/>
  <c r="V468" i="17"/>
  <c r="T158" i="11" s="1"/>
  <c r="T79" i="11"/>
  <c r="AU468" i="17"/>
  <c r="AS158" i="11" s="1"/>
  <c r="AS79" i="11"/>
  <c r="AD448" i="17"/>
  <c r="AB154" i="11" s="1"/>
  <c r="AB75" i="11"/>
  <c r="L448" i="17"/>
  <c r="J154" i="11" s="1"/>
  <c r="J75" i="11"/>
  <c r="AI448" i="17"/>
  <c r="AG154" i="11" s="1"/>
  <c r="AG75" i="11"/>
  <c r="P418" i="17"/>
  <c r="N149" i="11" s="1"/>
  <c r="P362" i="17"/>
  <c r="P360" i="17" s="1"/>
  <c r="N70" i="11"/>
  <c r="AH362" i="17"/>
  <c r="AH360" i="17" s="1"/>
  <c r="AF70" i="11"/>
  <c r="AH418" i="17"/>
  <c r="U418" i="17"/>
  <c r="U362" i="17"/>
  <c r="U360" i="17" s="1"/>
  <c r="S70" i="11"/>
  <c r="S398" i="17"/>
  <c r="Q145" i="11" s="1"/>
  <c r="Q66" i="11"/>
  <c r="AP66" i="11"/>
  <c r="AR398" i="17"/>
  <c r="AP145" i="11" s="1"/>
  <c r="AE398" i="17"/>
  <c r="AC145" i="11" s="1"/>
  <c r="AC66" i="11"/>
  <c r="R62" i="11"/>
  <c r="T378" i="17"/>
  <c r="R141" i="11" s="1"/>
  <c r="AB62" i="11"/>
  <c r="AD378" i="17"/>
  <c r="AB141" i="11" s="1"/>
  <c r="AO62" i="11"/>
  <c r="AO59" i="11" s="1"/>
  <c r="AQ378" i="17"/>
  <c r="AE57" i="11"/>
  <c r="AG292" i="17"/>
  <c r="AG290" i="17" s="1"/>
  <c r="AG348" i="17"/>
  <c r="R348" i="17"/>
  <c r="P57" i="11"/>
  <c r="R292" i="17"/>
  <c r="R290" i="17" s="1"/>
  <c r="V328" i="17"/>
  <c r="V329" i="17" s="1"/>
  <c r="T53" i="11"/>
  <c r="AQ308" i="17"/>
  <c r="AO128" i="11" s="1"/>
  <c r="AO49" i="11"/>
  <c r="AN49" i="11"/>
  <c r="AP308" i="17"/>
  <c r="AN128" i="11" s="1"/>
  <c r="AS44" i="11"/>
  <c r="AU278" i="17"/>
  <c r="AS123" i="11" s="1"/>
  <c r="X228" i="17"/>
  <c r="V113" i="11" s="1"/>
  <c r="V34" i="11"/>
  <c r="AF34" i="11"/>
  <c r="AH228" i="17"/>
  <c r="AF113" i="11" s="1"/>
  <c r="S34" i="11"/>
  <c r="U228" i="17"/>
  <c r="S113" i="11" s="1"/>
  <c r="K208" i="17"/>
  <c r="I31" i="11"/>
  <c r="AP27" i="11"/>
  <c r="AR47" i="17"/>
  <c r="AR188" i="17"/>
  <c r="H178" i="17"/>
  <c r="F104" i="11" s="1"/>
  <c r="F25" i="11"/>
  <c r="M25" i="11"/>
  <c r="O178" i="17"/>
  <c r="M104" i="11" s="1"/>
  <c r="AC21" i="11"/>
  <c r="AE158" i="17"/>
  <c r="AC100" i="11" s="1"/>
  <c r="AD128" i="17"/>
  <c r="AB16" i="11"/>
  <c r="AO7" i="29"/>
  <c r="AO19" i="29" s="1"/>
  <c r="AO5" i="29"/>
  <c r="V362" i="17"/>
  <c r="V360" i="17" s="1"/>
  <c r="AI432" i="17"/>
  <c r="AI430" i="17" s="1"/>
  <c r="AF93" i="11"/>
  <c r="F293" i="17"/>
  <c r="AM98" i="17"/>
  <c r="AN99" i="17" s="1"/>
  <c r="AK10" i="11"/>
  <c r="H98" i="17"/>
  <c r="F89" i="11" s="1"/>
  <c r="F10" i="11"/>
  <c r="O98" i="17"/>
  <c r="M89" i="11" s="1"/>
  <c r="M10" i="11"/>
  <c r="Y155" i="11"/>
  <c r="AA33" i="17"/>
  <c r="AA30" i="17" s="1"/>
  <c r="AH136" i="11"/>
  <c r="AJ293" i="17"/>
  <c r="AQ433" i="17"/>
  <c r="AO162" i="11"/>
  <c r="P88" i="17"/>
  <c r="N87" i="11" s="1"/>
  <c r="N8" i="11"/>
  <c r="AA8" i="11"/>
  <c r="AC88" i="17"/>
  <c r="AN37" i="13"/>
  <c r="Y37" i="13"/>
  <c r="AH31" i="43"/>
  <c r="AT64" i="13"/>
  <c r="AU64" i="13" s="1"/>
  <c r="AV64" i="13" s="1"/>
  <c r="AI37" i="13"/>
  <c r="AJ64" i="13"/>
  <c r="AK64" i="13" s="1"/>
  <c r="AL64" i="13" s="1"/>
  <c r="BC64" i="13"/>
  <c r="BD64" i="13" s="1"/>
  <c r="BE64" i="13" s="1"/>
  <c r="BF64" i="13" s="1"/>
  <c r="X31" i="13"/>
  <c r="AM31" i="43"/>
  <c r="N34" i="43"/>
  <c r="N37" i="43" s="1"/>
  <c r="AW34" i="13"/>
  <c r="AW37" i="13" s="1"/>
  <c r="I31" i="13"/>
  <c r="AW31" i="13"/>
  <c r="AC31" i="13"/>
  <c r="AO64" i="13"/>
  <c r="AP64" i="13" s="1"/>
  <c r="AQ64" i="13" s="1"/>
  <c r="AE64" i="13"/>
  <c r="AF64" i="13" s="1"/>
  <c r="AG64" i="13" s="1"/>
  <c r="D31" i="43"/>
  <c r="AS37" i="13"/>
  <c r="Z64" i="13"/>
  <c r="AA64" i="13" s="1"/>
  <c r="AB64" i="13" s="1"/>
  <c r="AM34" i="13"/>
  <c r="AM37" i="13" s="1"/>
  <c r="AR31" i="13"/>
  <c r="BB31" i="13"/>
  <c r="I31" i="43"/>
  <c r="J64" i="43"/>
  <c r="K64" i="43" s="1"/>
  <c r="L64" i="43" s="1"/>
  <c r="M64" i="43" s="1"/>
  <c r="I34" i="43"/>
  <c r="I37" i="43" s="1"/>
  <c r="J37" i="43"/>
  <c r="AN37" i="43"/>
  <c r="AM34" i="43"/>
  <c r="AM37" i="43" s="1"/>
  <c r="AN64" i="43"/>
  <c r="AO64" i="43" s="1"/>
  <c r="AP64" i="43" s="1"/>
  <c r="AQ64" i="43" s="1"/>
  <c r="AH34" i="13"/>
  <c r="AH37" i="13" s="1"/>
  <c r="BB34" i="13"/>
  <c r="BB37" i="13" s="1"/>
  <c r="AW31" i="43"/>
  <c r="AC31" i="43"/>
  <c r="AR31" i="43"/>
  <c r="X31" i="43"/>
  <c r="AX64" i="13"/>
  <c r="AY64" i="13" s="1"/>
  <c r="AZ64" i="13" s="1"/>
  <c r="BA64" i="13" s="1"/>
  <c r="AD37" i="13"/>
  <c r="G64" i="43"/>
  <c r="H64" i="43" s="1"/>
  <c r="BC64" i="43"/>
  <c r="BD64" i="43" s="1"/>
  <c r="BE64" i="43" s="1"/>
  <c r="BF64" i="43" s="1"/>
  <c r="BC37" i="43"/>
  <c r="BB34" i="43"/>
  <c r="BB37" i="43" s="1"/>
  <c r="AS64" i="43"/>
  <c r="AT64" i="43" s="1"/>
  <c r="AU64" i="43" s="1"/>
  <c r="AV64" i="43" s="1"/>
  <c r="AS37" i="43"/>
  <c r="AR34" i="43"/>
  <c r="AR37" i="43" s="1"/>
  <c r="AI64" i="43"/>
  <c r="AJ64" i="43" s="1"/>
  <c r="AK64" i="43" s="1"/>
  <c r="AL64" i="43" s="1"/>
  <c r="AH34" i="43"/>
  <c r="AH37" i="43" s="1"/>
  <c r="AI37" i="43"/>
  <c r="Y37" i="43"/>
  <c r="Y64" i="43"/>
  <c r="Z64" i="43" s="1"/>
  <c r="AA64" i="43" s="1"/>
  <c r="AB64" i="43" s="1"/>
  <c r="X34" i="43"/>
  <c r="X37" i="43" s="1"/>
  <c r="U64" i="43"/>
  <c r="V64" i="43" s="1"/>
  <c r="W64" i="43" s="1"/>
  <c r="AX64" i="43"/>
  <c r="AY64" i="43" s="1"/>
  <c r="AZ64" i="43" s="1"/>
  <c r="BA64" i="43" s="1"/>
  <c r="AX37" i="43"/>
  <c r="AW34" i="43"/>
  <c r="AW37" i="43" s="1"/>
  <c r="AD64" i="43"/>
  <c r="AE64" i="43" s="1"/>
  <c r="AF64" i="43" s="1"/>
  <c r="AG64" i="43" s="1"/>
  <c r="AC34" i="43"/>
  <c r="AC37" i="43" s="1"/>
  <c r="AD37" i="43"/>
  <c r="S31" i="13"/>
  <c r="S34" i="43"/>
  <c r="S37" i="43" s="1"/>
  <c r="AR34" i="13"/>
  <c r="AR37" i="13" s="1"/>
  <c r="D34" i="43"/>
  <c r="S31" i="43"/>
  <c r="BB31" i="43"/>
  <c r="N31" i="43"/>
  <c r="R64" i="43"/>
  <c r="C52" i="8"/>
  <c r="C86" i="8"/>
  <c r="C56" i="8"/>
  <c r="C20" i="7"/>
  <c r="C82" i="8"/>
  <c r="D45" i="8"/>
  <c r="D71" i="8"/>
  <c r="D84" i="8"/>
  <c r="Q7" i="7"/>
  <c r="Q20" i="7" s="1"/>
  <c r="C80" i="8"/>
  <c r="X137" i="11"/>
  <c r="M327" i="20"/>
  <c r="M328" i="20" s="1"/>
  <c r="N205" i="20"/>
  <c r="N206" i="20" s="1"/>
  <c r="O263" i="20"/>
  <c r="O264" i="20" s="1"/>
  <c r="M215" i="20"/>
  <c r="M216" i="20" s="1"/>
  <c r="N317" i="20"/>
  <c r="N318" i="20" s="1"/>
  <c r="M247" i="20"/>
  <c r="M248" i="20" s="1"/>
  <c r="O293" i="20"/>
  <c r="O294" i="20" s="1"/>
  <c r="P211" i="20"/>
  <c r="P212" i="20" s="1"/>
  <c r="AJ109" i="17"/>
  <c r="R403" i="20"/>
  <c r="Q385" i="20"/>
  <c r="Q388" i="20"/>
  <c r="S400" i="20"/>
  <c r="T388" i="20"/>
  <c r="S398" i="20"/>
  <c r="S159" i="11"/>
  <c r="U53" i="17"/>
  <c r="U50" i="17" s="1"/>
  <c r="AP329" i="17"/>
  <c r="AO329" i="17"/>
  <c r="O113" i="11"/>
  <c r="I67" i="17"/>
  <c r="I12" i="17" s="1"/>
  <c r="I138" i="17"/>
  <c r="G18" i="11"/>
  <c r="AL138" i="17"/>
  <c r="AL67" i="17"/>
  <c r="X18" i="29"/>
  <c r="W18" i="29" s="1"/>
  <c r="T18" i="29"/>
  <c r="S18" i="29" s="1"/>
  <c r="R18" i="29"/>
  <c r="Q18" i="29" s="1"/>
  <c r="V18" i="29"/>
  <c r="U18" i="29" s="1"/>
  <c r="P18" i="29"/>
  <c r="Y53" i="11"/>
  <c r="AA328" i="17"/>
  <c r="AA47" i="17"/>
  <c r="D327" i="17"/>
  <c r="D325" i="17" s="1"/>
  <c r="X49" i="11"/>
  <c r="Z308" i="17"/>
  <c r="X128" i="11" s="1"/>
  <c r="AR44" i="11"/>
  <c r="AT278" i="17"/>
  <c r="X278" i="17"/>
  <c r="V44" i="11"/>
  <c r="AQ44" i="11"/>
  <c r="AS278" i="17"/>
  <c r="I44" i="11"/>
  <c r="K278" i="17"/>
  <c r="AD44" i="11"/>
  <c r="AF278" i="17"/>
  <c r="H258" i="17"/>
  <c r="F40" i="11"/>
  <c r="D257" i="17"/>
  <c r="D255" i="17" s="1"/>
  <c r="J36" i="11"/>
  <c r="L27" i="17"/>
  <c r="L238" i="17"/>
  <c r="J115" i="11" s="1"/>
  <c r="L217" i="17"/>
  <c r="L215" i="17" s="1"/>
  <c r="L152" i="17"/>
  <c r="L150" i="17" s="1"/>
  <c r="L208" i="17"/>
  <c r="J31" i="11"/>
  <c r="AC208" i="17"/>
  <c r="AA31" i="11"/>
  <c r="AC152" i="17"/>
  <c r="AC150" i="17" s="1"/>
  <c r="AR31" i="11"/>
  <c r="AT208" i="17"/>
  <c r="AT153" i="17" s="1"/>
  <c r="AT152" i="17"/>
  <c r="AT150" i="17" s="1"/>
  <c r="R31" i="11"/>
  <c r="T208" i="17"/>
  <c r="T67" i="17"/>
  <c r="T152" i="17"/>
  <c r="T150" i="17" s="1"/>
  <c r="AG208" i="17"/>
  <c r="AE31" i="11"/>
  <c r="AG152" i="17"/>
  <c r="AG150" i="17" s="1"/>
  <c r="W152" i="17"/>
  <c r="W150" i="17" s="1"/>
  <c r="W208" i="17"/>
  <c r="U31" i="11"/>
  <c r="AT27" i="11"/>
  <c r="AV47" i="17"/>
  <c r="AV188" i="17"/>
  <c r="V188" i="17"/>
  <c r="T106" i="11" s="1"/>
  <c r="T27" i="11"/>
  <c r="V47" i="17"/>
  <c r="H188" i="17"/>
  <c r="I189" i="17" s="1"/>
  <c r="F27" i="11"/>
  <c r="H47" i="17"/>
  <c r="D187" i="17"/>
  <c r="D185" i="17" s="1"/>
  <c r="W27" i="11"/>
  <c r="Y188" i="17"/>
  <c r="Z189" i="17" s="1"/>
  <c r="AT188" i="17"/>
  <c r="AR27" i="11"/>
  <c r="AT67" i="17"/>
  <c r="AT12" i="17" s="1"/>
  <c r="Q399" i="17"/>
  <c r="P399" i="17"/>
  <c r="K399" i="17"/>
  <c r="AW395" i="17"/>
  <c r="AW396" i="17" s="1"/>
  <c r="AW397" i="17" s="1"/>
  <c r="AW398" i="17" s="1"/>
  <c r="AW399" i="17" s="1"/>
  <c r="V399" i="17"/>
  <c r="AJ399" i="17"/>
  <c r="AH399" i="17"/>
  <c r="AV399" i="17"/>
  <c r="AO399" i="17"/>
  <c r="BU7" i="29"/>
  <c r="BU15" i="29" s="1"/>
  <c r="CU4" i="29"/>
  <c r="CV17" i="29" s="1"/>
  <c r="BV28" i="29"/>
  <c r="BU6" i="29"/>
  <c r="BV19" i="29"/>
  <c r="BU19" i="29" s="1"/>
  <c r="AC132" i="11"/>
  <c r="Y47" i="17"/>
  <c r="R119" i="11"/>
  <c r="U259" i="17"/>
  <c r="Y137" i="11"/>
  <c r="AC184" i="17"/>
  <c r="E184" i="17"/>
  <c r="AO184" i="17"/>
  <c r="T184" i="17"/>
  <c r="AW180" i="17"/>
  <c r="AW181" i="17" s="1"/>
  <c r="AW182" i="17" s="1"/>
  <c r="AW183" i="17" s="1"/>
  <c r="AW184" i="17" s="1"/>
  <c r="L184" i="17"/>
  <c r="I184" i="17"/>
  <c r="U184" i="17"/>
  <c r="AH184" i="17"/>
  <c r="AQ184" i="17"/>
  <c r="Q184" i="17"/>
  <c r="Y184" i="17"/>
  <c r="P184" i="17"/>
  <c r="F184" i="17"/>
  <c r="AV184" i="17"/>
  <c r="AG184" i="17"/>
  <c r="AI184" i="17"/>
  <c r="AD184" i="17"/>
  <c r="C22" i="14"/>
  <c r="C36" i="14"/>
  <c r="F18" i="19"/>
  <c r="M241" i="20"/>
  <c r="AJ199" i="17"/>
  <c r="AF433" i="17"/>
  <c r="AI109" i="17"/>
  <c r="AG399" i="17"/>
  <c r="N211" i="20"/>
  <c r="N212" i="20" s="1"/>
  <c r="Z287" i="17"/>
  <c r="Z285" i="17" s="1"/>
  <c r="AF164" i="17"/>
  <c r="P235" i="20"/>
  <c r="P236" i="20" s="1"/>
  <c r="M219" i="20"/>
  <c r="M220" i="20" s="1"/>
  <c r="O307" i="20"/>
  <c r="O308" i="20" s="1"/>
  <c r="BU5" i="29"/>
  <c r="BP11" i="29"/>
  <c r="AM184" i="17"/>
  <c r="AO148" i="11"/>
  <c r="S388" i="20"/>
  <c r="O215" i="20"/>
  <c r="O216" i="20" s="1"/>
  <c r="J45" i="13"/>
  <c r="I45" i="13" s="1"/>
  <c r="R33" i="17"/>
  <c r="R30" i="17" s="1"/>
  <c r="M269" i="20"/>
  <c r="M270" i="20" s="1"/>
  <c r="AM132" i="11"/>
  <c r="T259" i="17"/>
  <c r="BV18" i="29"/>
  <c r="Z18" i="29"/>
  <c r="Y18" i="29" s="1"/>
  <c r="T8" i="19"/>
  <c r="R8" i="19" s="1"/>
  <c r="AN53" i="17"/>
  <c r="AN50" i="17" s="1"/>
  <c r="H28" i="29"/>
  <c r="K117" i="19"/>
  <c r="K11" i="19"/>
  <c r="I11" i="19" s="1"/>
  <c r="AR399" i="17"/>
  <c r="K67" i="17"/>
  <c r="I82" i="17"/>
  <c r="I80" i="17" s="1"/>
  <c r="AQ138" i="17"/>
  <c r="AQ67" i="17"/>
  <c r="AQ12" i="17" s="1"/>
  <c r="R49" i="11"/>
  <c r="T308" i="17"/>
  <c r="R128" i="11" s="1"/>
  <c r="M49" i="11"/>
  <c r="O308" i="17"/>
  <c r="M128" i="11" s="1"/>
  <c r="Q44" i="11"/>
  <c r="S278" i="17"/>
  <c r="S67" i="17"/>
  <c r="AL44" i="11"/>
  <c r="AN278" i="17"/>
  <c r="AT44" i="11"/>
  <c r="AV278" i="17"/>
  <c r="Y44" i="11"/>
  <c r="AA278" i="17"/>
  <c r="C44" i="11"/>
  <c r="E278" i="17"/>
  <c r="AB40" i="11"/>
  <c r="AD258" i="17"/>
  <c r="AB119" i="11" s="1"/>
  <c r="AD47" i="17"/>
  <c r="AA36" i="11"/>
  <c r="AC238" i="17"/>
  <c r="AC27" i="17"/>
  <c r="AC217" i="17"/>
  <c r="AC215" i="17" s="1"/>
  <c r="AB208" i="17"/>
  <c r="Z31" i="11"/>
  <c r="AM31" i="11"/>
  <c r="AO152" i="17"/>
  <c r="AO150" i="17" s="1"/>
  <c r="AO208" i="17"/>
  <c r="M31" i="11"/>
  <c r="O152" i="17"/>
  <c r="O150" i="17" s="1"/>
  <c r="O208" i="17"/>
  <c r="AJ208" i="17"/>
  <c r="AH31" i="11"/>
  <c r="AJ152" i="17"/>
  <c r="AJ150" i="17" s="1"/>
  <c r="F208" i="17"/>
  <c r="F152" i="17"/>
  <c r="F150" i="17" s="1"/>
  <c r="D31" i="11"/>
  <c r="AM208" i="17"/>
  <c r="AM153" i="17" s="1"/>
  <c r="AK31" i="11"/>
  <c r="Q188" i="17"/>
  <c r="Q48" i="17" s="1"/>
  <c r="O27" i="11"/>
  <c r="Q47" i="17"/>
  <c r="AL188" i="17"/>
  <c r="AJ27" i="11"/>
  <c r="X188" i="17"/>
  <c r="X148" i="17" s="1"/>
  <c r="V27" i="11"/>
  <c r="X147" i="17"/>
  <c r="X145" i="17" s="1"/>
  <c r="AO188" i="17"/>
  <c r="AM27" i="11"/>
  <c r="Q27" i="11"/>
  <c r="Q20" i="11" s="1"/>
  <c r="S188" i="17"/>
  <c r="S147" i="17"/>
  <c r="S145" i="17" s="1"/>
  <c r="AS90" i="11"/>
  <c r="AU33" i="17"/>
  <c r="AU30" i="17" s="1"/>
  <c r="AP148" i="11"/>
  <c r="AR63" i="17"/>
  <c r="AR60" i="17" s="1"/>
  <c r="R134" i="11"/>
  <c r="AK147" i="11"/>
  <c r="D90" i="11"/>
  <c r="F104" i="17"/>
  <c r="J469" i="17"/>
  <c r="W469" i="17"/>
  <c r="AW465" i="17"/>
  <c r="AW466" i="17" s="1"/>
  <c r="AW467" i="17" s="1"/>
  <c r="AW468" i="17" s="1"/>
  <c r="AW469" i="17" s="1"/>
  <c r="AI469" i="17"/>
  <c r="AP469" i="17"/>
  <c r="Q469" i="17"/>
  <c r="R469" i="17"/>
  <c r="Z128" i="11"/>
  <c r="BU11" i="29"/>
  <c r="P202" i="19"/>
  <c r="P219" i="19" s="1"/>
  <c r="P179" i="19"/>
  <c r="P271" i="20"/>
  <c r="P272" i="20" s="1"/>
  <c r="S389" i="20"/>
  <c r="R400" i="20"/>
  <c r="E99" i="17"/>
  <c r="AF110" i="11"/>
  <c r="AH153" i="17"/>
  <c r="AI137" i="11"/>
  <c r="G149" i="11"/>
  <c r="I363" i="17"/>
  <c r="U148" i="11"/>
  <c r="W63" i="17"/>
  <c r="W60" i="17" s="1"/>
  <c r="U134" i="11"/>
  <c r="P134" i="11"/>
  <c r="W135" i="11"/>
  <c r="Y63" i="17"/>
  <c r="Y60" i="17" s="1"/>
  <c r="L135" i="11"/>
  <c r="N63" i="17"/>
  <c r="N60" i="17" s="1"/>
  <c r="O134" i="17"/>
  <c r="AC134" i="11"/>
  <c r="H134" i="11"/>
  <c r="AJ90" i="11"/>
  <c r="AL104" i="17"/>
  <c r="AM104" i="17"/>
  <c r="K93" i="11"/>
  <c r="P94" i="11"/>
  <c r="R124" i="17"/>
  <c r="AT293" i="17"/>
  <c r="P345" i="20"/>
  <c r="P346" i="20" s="1"/>
  <c r="N337" i="20"/>
  <c r="N338" i="20" s="1"/>
  <c r="N277" i="20"/>
  <c r="N278" i="20" s="1"/>
  <c r="P263" i="20"/>
  <c r="P264" i="20" s="1"/>
  <c r="O253" i="20"/>
  <c r="O254" i="20" s="1"/>
  <c r="Q9" i="29"/>
  <c r="C78" i="8"/>
  <c r="AA93" i="11"/>
  <c r="Y99" i="17"/>
  <c r="T75" i="19"/>
  <c r="R75" i="19" s="1"/>
  <c r="P321" i="20"/>
  <c r="P322" i="20" s="1"/>
  <c r="AD30" i="17"/>
  <c r="BV25" i="29"/>
  <c r="M325" i="20"/>
  <c r="M326" i="20" s="1"/>
  <c r="S385" i="20"/>
  <c r="AO99" i="17"/>
  <c r="AV358" i="17"/>
  <c r="D307" i="17"/>
  <c r="D305" i="17" s="1"/>
  <c r="AU63" i="17"/>
  <c r="AU60" i="17" s="1"/>
  <c r="S395" i="20"/>
  <c r="BV27" i="29"/>
  <c r="AT47" i="17"/>
  <c r="N19" i="29"/>
  <c r="M19" i="29" s="1"/>
  <c r="E138" i="19"/>
  <c r="D138" i="19" s="1"/>
  <c r="C138" i="19" s="1"/>
  <c r="S106" i="11"/>
  <c r="I132" i="11"/>
  <c r="L329" i="17"/>
  <c r="AQ103" i="11"/>
  <c r="AK189" i="17"/>
  <c r="R106" i="11"/>
  <c r="U189" i="17"/>
  <c r="E110" i="11"/>
  <c r="G153" i="17"/>
  <c r="S259" i="17"/>
  <c r="O149" i="11"/>
  <c r="H87" i="11"/>
  <c r="K89" i="17"/>
  <c r="N133" i="19"/>
  <c r="L133" i="19" s="1"/>
  <c r="AC50" i="17"/>
  <c r="D23" i="34"/>
  <c r="B61" i="11"/>
  <c r="AW18" i="29"/>
  <c r="AW17" i="29"/>
  <c r="R17" i="19"/>
  <c r="AA17" i="29"/>
  <c r="L75" i="19"/>
  <c r="AG67" i="17"/>
  <c r="AG12" i="17" s="1"/>
  <c r="J136" i="19"/>
  <c r="I136" i="19" s="1"/>
  <c r="C49" i="11"/>
  <c r="E308" i="17"/>
  <c r="C128" i="11" s="1"/>
  <c r="AS49" i="11"/>
  <c r="AU308" i="17"/>
  <c r="AS128" i="11" s="1"/>
  <c r="AI278" i="17"/>
  <c r="AG44" i="11"/>
  <c r="K44" i="11"/>
  <c r="M278" i="17"/>
  <c r="P44" i="11"/>
  <c r="R278" i="17"/>
  <c r="AO44" i="11"/>
  <c r="AQ278" i="17"/>
  <c r="S44" i="11"/>
  <c r="U278" i="17"/>
  <c r="W40" i="11"/>
  <c r="Y258" i="17"/>
  <c r="Y259" i="17" s="1"/>
  <c r="W238" i="17"/>
  <c r="U115" i="11" s="1"/>
  <c r="U36" i="11"/>
  <c r="AP31" i="11"/>
  <c r="AR208" i="17"/>
  <c r="AR152" i="17"/>
  <c r="AR150" i="17" s="1"/>
  <c r="L31" i="11"/>
  <c r="N152" i="17"/>
  <c r="N150" i="17" s="1"/>
  <c r="N208" i="17"/>
  <c r="AC31" i="11"/>
  <c r="AE208" i="17"/>
  <c r="AE153" i="17" s="1"/>
  <c r="D207" i="17"/>
  <c r="C31" i="11"/>
  <c r="E208" i="17"/>
  <c r="E153" i="17" s="1"/>
  <c r="E152" i="17"/>
  <c r="E150" i="17" s="1"/>
  <c r="T31" i="11"/>
  <c r="V208" i="17"/>
  <c r="V152" i="17"/>
  <c r="V150" i="17" s="1"/>
  <c r="N27" i="11"/>
  <c r="P188" i="17"/>
  <c r="P47" i="17"/>
  <c r="AG188" i="17"/>
  <c r="AE27" i="11"/>
  <c r="K188" i="17"/>
  <c r="I27" i="11"/>
  <c r="AN188" i="17"/>
  <c r="AN147" i="17"/>
  <c r="AN145" i="17" s="1"/>
  <c r="AL27" i="11"/>
  <c r="L27" i="11"/>
  <c r="N188" i="17"/>
  <c r="AQ188" i="17"/>
  <c r="AO27" i="11"/>
  <c r="AQ47" i="17"/>
  <c r="N147" i="17"/>
  <c r="N145" i="17" s="1"/>
  <c r="AN153" i="17"/>
  <c r="AL110" i="11"/>
  <c r="C100" i="11"/>
  <c r="E159" i="17"/>
  <c r="AE90" i="11"/>
  <c r="AG104" i="17"/>
  <c r="AH104" i="17"/>
  <c r="S108" i="11"/>
  <c r="U199" i="17"/>
  <c r="AC108" i="11"/>
  <c r="X134" i="11"/>
  <c r="AQ147" i="11"/>
  <c r="AT119" i="17"/>
  <c r="AQ93" i="11"/>
  <c r="AS163" i="11"/>
  <c r="U136" i="11"/>
  <c r="W293" i="17"/>
  <c r="V136" i="11"/>
  <c r="X293" i="17"/>
  <c r="AK53" i="17"/>
  <c r="AK50" i="17" s="1"/>
  <c r="B73" i="11"/>
  <c r="B68" i="11"/>
  <c r="AL328" i="17"/>
  <c r="AJ53" i="11"/>
  <c r="AI49" i="11"/>
  <c r="AK308" i="17"/>
  <c r="AI128" i="11" s="1"/>
  <c r="AB44" i="11"/>
  <c r="AD278" i="17"/>
  <c r="F44" i="11"/>
  <c r="H278" i="17"/>
  <c r="AC278" i="17"/>
  <c r="AA44" i="11"/>
  <c r="AJ44" i="11"/>
  <c r="AL278" i="17"/>
  <c r="N44" i="11"/>
  <c r="P278" i="17"/>
  <c r="AI44" i="11"/>
  <c r="AK278" i="17"/>
  <c r="AF36" i="11"/>
  <c r="AH238" i="17"/>
  <c r="AP36" i="11"/>
  <c r="AR238" i="17"/>
  <c r="AR27" i="17"/>
  <c r="AR217" i="17"/>
  <c r="AR215" i="17" s="1"/>
  <c r="M152" i="17"/>
  <c r="M150" i="17" s="1"/>
  <c r="M208" i="17"/>
  <c r="K31" i="11"/>
  <c r="AB31" i="11"/>
  <c r="AD208" i="17"/>
  <c r="AU208" i="17"/>
  <c r="AU153" i="17" s="1"/>
  <c r="AS31" i="11"/>
  <c r="S31" i="11"/>
  <c r="U152" i="17"/>
  <c r="U150" i="17" s="1"/>
  <c r="U208" i="17"/>
  <c r="AJ31" i="11"/>
  <c r="AL208" i="17"/>
  <c r="AL152" i="17"/>
  <c r="AL150" i="17" s="1"/>
  <c r="AD27" i="11"/>
  <c r="AF188" i="17"/>
  <c r="AF47" i="17"/>
  <c r="F188" i="17"/>
  <c r="D27" i="11"/>
  <c r="AC27" i="11"/>
  <c r="AE188" i="17"/>
  <c r="AB27" i="11"/>
  <c r="AD188" i="17"/>
  <c r="AD147" i="17"/>
  <c r="AD145" i="17" s="1"/>
  <c r="R135" i="11"/>
  <c r="C101" i="11"/>
  <c r="E164" i="17"/>
  <c r="M103" i="11"/>
  <c r="O174" i="17"/>
  <c r="AS134" i="11"/>
  <c r="AO91" i="11"/>
  <c r="I329" i="17"/>
  <c r="G132" i="11"/>
  <c r="AT136" i="11"/>
  <c r="AV293" i="17"/>
  <c r="J390" i="20"/>
  <c r="AN26" i="29"/>
  <c r="AM26" i="29" s="1"/>
  <c r="R18" i="11"/>
  <c r="T138" i="17"/>
  <c r="P70" i="21"/>
  <c r="P71" i="21" s="1"/>
  <c r="P72" i="21" s="1"/>
  <c r="T82" i="17"/>
  <c r="T80" i="17" s="1"/>
  <c r="R139" i="17"/>
  <c r="R82" i="17"/>
  <c r="AO18" i="11"/>
  <c r="AQ82" i="17"/>
  <c r="AQ80" i="17" s="1"/>
  <c r="J18" i="11"/>
  <c r="L138" i="17"/>
  <c r="L67" i="17"/>
  <c r="H124" i="19"/>
  <c r="H12" i="19" s="1"/>
  <c r="F12" i="19" s="1"/>
  <c r="P97" i="11"/>
  <c r="R67" i="17"/>
  <c r="P18" i="11"/>
  <c r="AO67" i="17"/>
  <c r="T18" i="11"/>
  <c r="K381" i="20"/>
  <c r="K370" i="20" s="1"/>
  <c r="P382" i="20"/>
  <c r="P371" i="20" s="1"/>
  <c r="K383" i="20"/>
  <c r="L380" i="20"/>
  <c r="L369" i="20" s="1"/>
  <c r="L378" i="20"/>
  <c r="L367" i="20" s="1"/>
  <c r="AG138" i="17"/>
  <c r="K83" i="17"/>
  <c r="AO82" i="17"/>
  <c r="AO80" i="17" s="1"/>
  <c r="AG18" i="11"/>
  <c r="AI67" i="17"/>
  <c r="AB18" i="11"/>
  <c r="AD67" i="17"/>
  <c r="AD12" i="17" s="1"/>
  <c r="G380" i="20"/>
  <c r="G369" i="20" s="1"/>
  <c r="F138" i="17"/>
  <c r="F83" i="17" s="1"/>
  <c r="AE18" i="11"/>
  <c r="Y18" i="11"/>
  <c r="AA138" i="17"/>
  <c r="AA82" i="17"/>
  <c r="AA80" i="17" s="1"/>
  <c r="AR139" i="17"/>
  <c r="AJ67" i="17"/>
  <c r="F82" i="17"/>
  <c r="F80" i="17" s="1"/>
  <c r="AO138" i="17"/>
  <c r="AJ138" i="17"/>
  <c r="AJ68" i="17" s="1"/>
  <c r="Z18" i="11"/>
  <c r="AB138" i="17"/>
  <c r="AB67" i="17"/>
  <c r="N67" i="17"/>
  <c r="L382" i="20"/>
  <c r="R14" i="7"/>
  <c r="R16" i="7" s="1"/>
  <c r="R17" i="7" s="1"/>
  <c r="R18" i="7" s="1"/>
  <c r="V67" i="17"/>
  <c r="W97" i="11"/>
  <c r="M379" i="20"/>
  <c r="M368" i="20" s="1"/>
  <c r="I377" i="20"/>
  <c r="I366" i="20" s="1"/>
  <c r="I390" i="20"/>
  <c r="H378" i="20"/>
  <c r="H367" i="20" s="1"/>
  <c r="D18" i="11"/>
  <c r="F33" i="19"/>
  <c r="AS18" i="11"/>
  <c r="AU82" i="17"/>
  <c r="AU80" i="17" s="1"/>
  <c r="AU67" i="17"/>
  <c r="AU12" i="17" s="1"/>
  <c r="AU138" i="17"/>
  <c r="E138" i="17"/>
  <c r="C18" i="11"/>
  <c r="E82" i="17"/>
  <c r="E80" i="17" s="1"/>
  <c r="E67" i="17"/>
  <c r="E12" i="17" s="1"/>
  <c r="X18" i="11"/>
  <c r="Z67" i="17"/>
  <c r="Z138" i="17"/>
  <c r="Z82" i="17"/>
  <c r="Z80" i="17" s="1"/>
  <c r="AV82" i="17"/>
  <c r="AV80" i="17" s="1"/>
  <c r="AT18" i="11"/>
  <c r="AV138" i="17"/>
  <c r="N18" i="11"/>
  <c r="P138" i="17"/>
  <c r="P82" i="17"/>
  <c r="P67" i="17"/>
  <c r="AQ18" i="11"/>
  <c r="AS138" i="17"/>
  <c r="AT139" i="17" s="1"/>
  <c r="AS67" i="17"/>
  <c r="AS82" i="17"/>
  <c r="AS80" i="17" s="1"/>
  <c r="D137" i="17"/>
  <c r="D82" i="17" s="1"/>
  <c r="AL81" i="17" s="1"/>
  <c r="H82" i="17"/>
  <c r="H80" i="17" s="1"/>
  <c r="H67" i="17"/>
  <c r="H138" i="17"/>
  <c r="F18" i="11"/>
  <c r="U138" i="17"/>
  <c r="S18" i="11"/>
  <c r="U82" i="17"/>
  <c r="U80" i="17" s="1"/>
  <c r="U67" i="17"/>
  <c r="AN18" i="11"/>
  <c r="AP67" i="17"/>
  <c r="AP138" i="17"/>
  <c r="AP82" i="17"/>
  <c r="AP80" i="17" s="1"/>
  <c r="G67" i="17"/>
  <c r="G138" i="17"/>
  <c r="E18" i="11"/>
  <c r="AD18" i="11"/>
  <c r="AF67" i="17"/>
  <c r="AF138" i="17"/>
  <c r="AF82" i="17"/>
  <c r="AF80" i="17" s="1"/>
  <c r="N138" i="17"/>
  <c r="N83" i="17" s="1"/>
  <c r="L18" i="11"/>
  <c r="O67" i="17"/>
  <c r="O138" i="17"/>
  <c r="O83" i="17" s="1"/>
  <c r="M18" i="11"/>
  <c r="V18" i="11"/>
  <c r="X67" i="17"/>
  <c r="X138" i="17"/>
  <c r="X82" i="17"/>
  <c r="X80" i="17" s="1"/>
  <c r="AK82" i="17"/>
  <c r="AK80" i="17" s="1"/>
  <c r="AK67" i="17"/>
  <c r="AK138" i="17"/>
  <c r="AI18" i="11"/>
  <c r="W67" i="17"/>
  <c r="W138" i="17"/>
  <c r="W139" i="17" s="1"/>
  <c r="U18" i="11"/>
  <c r="K18" i="11"/>
  <c r="M67" i="17"/>
  <c r="M82" i="17"/>
  <c r="M80" i="17" s="1"/>
  <c r="M138" i="17"/>
  <c r="AH82" i="17"/>
  <c r="AH80" i="17" s="1"/>
  <c r="AH67" i="17"/>
  <c r="AH138" i="17"/>
  <c r="AF18" i="11"/>
  <c r="D100" i="8"/>
  <c r="C157" i="19"/>
  <c r="H381" i="20"/>
  <c r="H370" i="20" s="1"/>
  <c r="F143" i="9"/>
  <c r="C143" i="9" s="1"/>
  <c r="O82" i="17"/>
  <c r="AE67" i="17"/>
  <c r="AE12" i="17" s="1"/>
  <c r="AE138" i="17"/>
  <c r="AC18" i="11"/>
  <c r="AN82" i="17"/>
  <c r="AN80" i="17" s="1"/>
  <c r="AN67" i="17"/>
  <c r="AN138" i="17"/>
  <c r="AL18" i="11"/>
  <c r="AK18" i="11"/>
  <c r="AM67" i="17"/>
  <c r="AM138" i="17"/>
  <c r="AC138" i="17"/>
  <c r="AC67" i="17"/>
  <c r="AC82" i="17"/>
  <c r="AC80" i="17" s="1"/>
  <c r="AA18" i="11"/>
  <c r="AN108" i="11"/>
  <c r="AL95" i="11"/>
  <c r="AO129" i="17"/>
  <c r="P309" i="20"/>
  <c r="P310" i="20" s="1"/>
  <c r="N309" i="20"/>
  <c r="N310" i="20" s="1"/>
  <c r="N233" i="20"/>
  <c r="N234" i="20" s="1"/>
  <c r="O241" i="20"/>
  <c r="O242" i="20" s="1"/>
  <c r="O309" i="20"/>
  <c r="O310" i="20" s="1"/>
  <c r="N257" i="20"/>
  <c r="N258" i="20" s="1"/>
  <c r="N319" i="20"/>
  <c r="N320" i="20" s="1"/>
  <c r="M311" i="20"/>
  <c r="M312" i="20" s="1"/>
  <c r="N217" i="20"/>
  <c r="N218" i="20" s="1"/>
  <c r="N315" i="20"/>
  <c r="N316" i="20" s="1"/>
  <c r="P343" i="20"/>
  <c r="P344" i="20" s="1"/>
  <c r="M345" i="20"/>
  <c r="M346" i="20" s="1"/>
  <c r="M315" i="20"/>
  <c r="M316" i="20" s="1"/>
  <c r="M309" i="20"/>
  <c r="M310" i="20" s="1"/>
  <c r="P233" i="20"/>
  <c r="P234" i="20" s="1"/>
  <c r="P257" i="20"/>
  <c r="P258" i="20" s="1"/>
  <c r="P217" i="20"/>
  <c r="P218" i="20" s="1"/>
  <c r="M231" i="20"/>
  <c r="M232" i="20" s="1"/>
  <c r="P239" i="20"/>
  <c r="P240" i="20" s="1"/>
  <c r="M239" i="20"/>
  <c r="M240" i="20" s="1"/>
  <c r="M289" i="20"/>
  <c r="M290" i="20" s="1"/>
  <c r="O249" i="20"/>
  <c r="O250" i="20" s="1"/>
  <c r="O223" i="20"/>
  <c r="O224" i="20" s="1"/>
  <c r="P337" i="20"/>
  <c r="P338" i="20" s="1"/>
  <c r="M303" i="20"/>
  <c r="M304" i="20" s="1"/>
  <c r="N343" i="20"/>
  <c r="N344" i="20" s="1"/>
  <c r="N231" i="20"/>
  <c r="N232" i="20" s="1"/>
  <c r="P231" i="20"/>
  <c r="P232" i="20" s="1"/>
  <c r="P279" i="20"/>
  <c r="P280" i="20" s="1"/>
  <c r="O289" i="20"/>
  <c r="O290" i="20" s="1"/>
  <c r="P313" i="20"/>
  <c r="P314" i="20" s="1"/>
  <c r="P315" i="20"/>
  <c r="P316" i="20" s="1"/>
  <c r="M4" i="20"/>
  <c r="O345" i="20"/>
  <c r="O346" i="20" s="1"/>
  <c r="P255" i="20"/>
  <c r="P256" i="20" s="1"/>
  <c r="P311" i="20"/>
  <c r="P312" i="20" s="1"/>
  <c r="O273" i="20"/>
  <c r="O274" i="20" s="1"/>
  <c r="O303" i="20"/>
  <c r="O304" i="20" s="1"/>
  <c r="M343" i="20"/>
  <c r="M344" i="20" s="1"/>
  <c r="O287" i="20"/>
  <c r="O288" i="20" s="1"/>
  <c r="O255" i="20"/>
  <c r="O256" i="20" s="1"/>
  <c r="O279" i="20"/>
  <c r="O280" i="20" s="1"/>
  <c r="P289" i="20"/>
  <c r="P290" i="20" s="1"/>
  <c r="O315" i="20"/>
  <c r="O316" i="20" s="1"/>
  <c r="O239" i="20"/>
  <c r="O240" i="20" s="1"/>
  <c r="N313" i="20"/>
  <c r="N314" i="20" s="1"/>
  <c r="O337" i="20"/>
  <c r="O338" i="20" s="1"/>
  <c r="O319" i="20"/>
  <c r="O320" i="20" s="1"/>
  <c r="M319" i="20"/>
  <c r="M320" i="20" s="1"/>
  <c r="M255" i="20"/>
  <c r="M256" i="20" s="1"/>
  <c r="N279" i="20"/>
  <c r="N280" i="20" s="1"/>
  <c r="P259" i="20"/>
  <c r="P260" i="20" s="1"/>
  <c r="N333" i="20"/>
  <c r="N334" i="20" s="1"/>
  <c r="P269" i="20"/>
  <c r="P270" i="20" s="1"/>
  <c r="N321" i="20"/>
  <c r="N322" i="20" s="1"/>
  <c r="N215" i="20"/>
  <c r="N216" i="20" s="1"/>
  <c r="M275" i="20"/>
  <c r="M276" i="20" s="1"/>
  <c r="P347" i="20"/>
  <c r="P348" i="20" s="1"/>
  <c r="N251" i="20"/>
  <c r="N252" i="20" s="1"/>
  <c r="N235" i="20"/>
  <c r="N236" i="20" s="1"/>
  <c r="M227" i="20"/>
  <c r="M228" i="20" s="1"/>
  <c r="N249" i="20"/>
  <c r="N250" i="20" s="1"/>
  <c r="P249" i="20"/>
  <c r="P250" i="20" s="1"/>
  <c r="M257" i="20"/>
  <c r="M258" i="20" s="1"/>
  <c r="O311" i="20"/>
  <c r="O312" i="20" s="1"/>
  <c r="M249" i="20"/>
  <c r="M250" i="20" s="1"/>
  <c r="P223" i="20"/>
  <c r="P224" i="20" s="1"/>
  <c r="M223" i="20"/>
  <c r="M224" i="20" s="1"/>
  <c r="M279" i="20"/>
  <c r="M280" i="20" s="1"/>
  <c r="N281" i="20"/>
  <c r="N282" i="20" s="1"/>
  <c r="O259" i="20"/>
  <c r="O260" i="20" s="1"/>
  <c r="P287" i="20"/>
  <c r="P288" i="20" s="1"/>
  <c r="O333" i="20"/>
  <c r="O334" i="20" s="1"/>
  <c r="O331" i="20"/>
  <c r="O332" i="20" s="1"/>
  <c r="M211" i="20"/>
  <c r="M212" i="20" s="1"/>
  <c r="P295" i="20"/>
  <c r="P296" i="20" s="1"/>
  <c r="P303" i="20"/>
  <c r="P304" i="20" s="1"/>
  <c r="N223" i="20"/>
  <c r="N224" i="20" s="1"/>
  <c r="N303" i="20"/>
  <c r="N304" i="20" s="1"/>
  <c r="P281" i="20"/>
  <c r="P282" i="20" s="1"/>
  <c r="N289" i="20"/>
  <c r="N290" i="20" s="1"/>
  <c r="N287" i="20"/>
  <c r="N288" i="20" s="1"/>
  <c r="M293" i="20"/>
  <c r="M294" i="20" s="1"/>
  <c r="N219" i="20"/>
  <c r="N220" i="20" s="1"/>
  <c r="O347" i="20"/>
  <c r="O348" i="20" s="1"/>
  <c r="N347" i="20"/>
  <c r="N348" i="20" s="1"/>
  <c r="P285" i="20"/>
  <c r="P286" i="20" s="1"/>
  <c r="N239" i="20"/>
  <c r="N240" i="20" s="1"/>
  <c r="M339" i="20"/>
  <c r="M340" i="20" s="1"/>
  <c r="O285" i="20"/>
  <c r="O286" i="20" s="1"/>
  <c r="M235" i="20"/>
  <c r="M236" i="20" s="1"/>
  <c r="P325" i="20"/>
  <c r="P326" i="20" s="1"/>
  <c r="P227" i="20"/>
  <c r="P228" i="20" s="1"/>
  <c r="O231" i="20"/>
  <c r="O232" i="20" s="1"/>
  <c r="O275" i="20"/>
  <c r="O276" i="20" s="1"/>
  <c r="P219" i="20"/>
  <c r="P220" i="20" s="1"/>
  <c r="P333" i="20"/>
  <c r="P334" i="20" s="1"/>
  <c r="P247" i="20"/>
  <c r="P248" i="20" s="1"/>
  <c r="O257" i="20"/>
  <c r="O258" i="20" s="1"/>
  <c r="N241" i="20"/>
  <c r="N242" i="20" s="1"/>
  <c r="N255" i="20"/>
  <c r="N256" i="20" s="1"/>
  <c r="P299" i="20"/>
  <c r="P300" i="20" s="1"/>
  <c r="N307" i="20"/>
  <c r="N308" i="20" s="1"/>
  <c r="M347" i="20"/>
  <c r="M348" i="20" s="1"/>
  <c r="N327" i="20"/>
  <c r="N328" i="20" s="1"/>
  <c r="M245" i="20"/>
  <c r="M246" i="20" s="1"/>
  <c r="N295" i="20"/>
  <c r="N296" i="20" s="1"/>
  <c r="M295" i="20"/>
  <c r="M296" i="20" s="1"/>
  <c r="O209" i="20"/>
  <c r="O210" i="20" s="1"/>
  <c r="N269" i="20"/>
  <c r="N270" i="20" s="1"/>
  <c r="M271" i="20"/>
  <c r="M272" i="20" s="1"/>
  <c r="N301" i="20"/>
  <c r="N302" i="20" s="1"/>
  <c r="O227" i="20"/>
  <c r="O228" i="20" s="1"/>
  <c r="N209" i="20"/>
  <c r="N210" i="20" s="1"/>
  <c r="N259" i="20"/>
  <c r="N260" i="20" s="1"/>
  <c r="O343" i="20"/>
  <c r="O344" i="20" s="1"/>
  <c r="O251" i="20"/>
  <c r="O252" i="20" s="1"/>
  <c r="O325" i="20"/>
  <c r="O326" i="20" s="1"/>
  <c r="M237" i="20"/>
  <c r="M238" i="20" s="1"/>
  <c r="P267" i="20"/>
  <c r="P268" i="20" s="1"/>
  <c r="O219" i="20"/>
  <c r="O220" i="20" s="1"/>
  <c r="O247" i="20"/>
  <c r="O248" i="20" s="1"/>
  <c r="M281" i="20"/>
  <c r="M282" i="20" s="1"/>
  <c r="P275" i="20"/>
  <c r="P276" i="20" s="1"/>
  <c r="M299" i="20"/>
  <c r="M300" i="20" s="1"/>
  <c r="M313" i="20"/>
  <c r="M314" i="20" s="1"/>
  <c r="O205" i="20"/>
  <c r="O206" i="20" s="1"/>
  <c r="M209" i="20"/>
  <c r="M210" i="20" s="1"/>
  <c r="M253" i="20"/>
  <c r="M254" i="20" s="1"/>
  <c r="M263" i="20"/>
  <c r="M264" i="20" s="1"/>
  <c r="O269" i="20"/>
  <c r="O270" i="20" s="1"/>
  <c r="N273" i="20"/>
  <c r="N274" i="20" s="1"/>
  <c r="P307" i="20"/>
  <c r="P308" i="20" s="1"/>
  <c r="P301" i="20"/>
  <c r="P302" i="20" s="1"/>
  <c r="M301" i="20"/>
  <c r="M302" i="20" s="1"/>
  <c r="N227" i="20"/>
  <c r="N228" i="20" s="1"/>
  <c r="P317" i="20"/>
  <c r="P318" i="20" s="1"/>
  <c r="P331" i="20"/>
  <c r="P332" i="20" s="1"/>
  <c r="M287" i="20"/>
  <c r="M288" i="20" s="1"/>
  <c r="M251" i="20"/>
  <c r="M252" i="20" s="1"/>
  <c r="N325" i="20"/>
  <c r="N326" i="20" s="1"/>
  <c r="N237" i="20"/>
  <c r="N238" i="20" s="1"/>
  <c r="O267" i="20"/>
  <c r="O268" i="20" s="1"/>
  <c r="N285" i="20"/>
  <c r="N286" i="20" s="1"/>
  <c r="O295" i="20"/>
  <c r="O296" i="20" s="1"/>
  <c r="M317" i="20"/>
  <c r="M318" i="20" s="1"/>
  <c r="O235" i="20"/>
  <c r="O236" i="20" s="1"/>
  <c r="O281" i="20"/>
  <c r="O282" i="20" s="1"/>
  <c r="O237" i="20"/>
  <c r="O238" i="20" s="1"/>
  <c r="N263" i="20"/>
  <c r="N264" i="20" s="1"/>
  <c r="P241" i="20"/>
  <c r="P242" i="20" s="1"/>
  <c r="N345" i="20"/>
  <c r="N346" i="20" s="1"/>
  <c r="N267" i="20"/>
  <c r="N268" i="20" s="1"/>
  <c r="M285" i="20"/>
  <c r="M286" i="20" s="1"/>
  <c r="M333" i="20"/>
  <c r="M334" i="20" s="1"/>
  <c r="M217" i="20"/>
  <c r="M218" i="20" s="1"/>
  <c r="N299" i="20"/>
  <c r="N300" i="20" s="1"/>
  <c r="O339" i="20"/>
  <c r="O340" i="20" s="1"/>
  <c r="N339" i="20"/>
  <c r="N340" i="20" s="1"/>
  <c r="P327" i="20"/>
  <c r="P328" i="20" s="1"/>
  <c r="O327" i="20"/>
  <c r="O328" i="20" s="1"/>
  <c r="N331" i="20"/>
  <c r="N332" i="20" s="1"/>
  <c r="O313" i="20"/>
  <c r="O314" i="20" s="1"/>
  <c r="O217" i="20"/>
  <c r="O218" i="20" s="1"/>
  <c r="M205" i="20"/>
  <c r="M206" i="20" s="1"/>
  <c r="N245" i="20"/>
  <c r="N246" i="20" s="1"/>
  <c r="O271" i="20"/>
  <c r="O272" i="20" s="1"/>
  <c r="N271" i="20"/>
  <c r="N272" i="20" s="1"/>
  <c r="P273" i="20"/>
  <c r="P274" i="20" s="1"/>
  <c r="M273" i="20"/>
  <c r="M274" i="20" s="1"/>
  <c r="O321" i="20"/>
  <c r="O322" i="20" s="1"/>
  <c r="O317" i="20"/>
  <c r="O318" i="20" s="1"/>
  <c r="M259" i="20"/>
  <c r="M260" i="20" s="1"/>
  <c r="N311" i="20"/>
  <c r="N312" i="20" s="1"/>
  <c r="P319" i="20"/>
  <c r="P320" i="20" s="1"/>
  <c r="M307" i="20"/>
  <c r="M308" i="20" s="1"/>
  <c r="N247" i="20"/>
  <c r="N248" i="20" s="1"/>
  <c r="N293" i="20"/>
  <c r="N294" i="20" s="1"/>
  <c r="P293" i="20"/>
  <c r="P294" i="20" s="1"/>
  <c r="M321" i="20"/>
  <c r="M322" i="20" s="1"/>
  <c r="O211" i="20"/>
  <c r="O212" i="20" s="1"/>
  <c r="X128" i="17"/>
  <c r="X58" i="17" s="1"/>
  <c r="X57" i="17"/>
  <c r="X16" i="11"/>
  <c r="Z128" i="17"/>
  <c r="Z129" i="17" s="1"/>
  <c r="AG16" i="11"/>
  <c r="AI128" i="17"/>
  <c r="AI57" i="17"/>
  <c r="AA16" i="11"/>
  <c r="AC128" i="17"/>
  <c r="AQ128" i="17"/>
  <c r="AO16" i="11"/>
  <c r="P16" i="11"/>
  <c r="R128" i="17"/>
  <c r="W109" i="17"/>
  <c r="AE109" i="17"/>
  <c r="G109" i="17"/>
  <c r="M109" i="17"/>
  <c r="AS109" i="17"/>
  <c r="AC109" i="17"/>
  <c r="AT109" i="17"/>
  <c r="O109" i="17"/>
  <c r="AM109" i="17"/>
  <c r="AD109" i="17"/>
  <c r="AL109" i="17"/>
  <c r="F109" i="17"/>
  <c r="AN109" i="17"/>
  <c r="N109" i="17"/>
  <c r="AB109" i="17"/>
  <c r="U109" i="17"/>
  <c r="L109" i="17"/>
  <c r="AK109" i="17"/>
  <c r="V109" i="17"/>
  <c r="K109" i="17"/>
  <c r="S109" i="17"/>
  <c r="AW105" i="17"/>
  <c r="AW106" i="17" s="1"/>
  <c r="AW107" i="17" s="1"/>
  <c r="AW108" i="17" s="1"/>
  <c r="AW109" i="17" s="1"/>
  <c r="E109" i="17"/>
  <c r="H109" i="17"/>
  <c r="AA109" i="17"/>
  <c r="R109" i="17"/>
  <c r="T109" i="17"/>
  <c r="AR109" i="17"/>
  <c r="AQ109" i="17"/>
  <c r="AU109" i="17"/>
  <c r="B77" i="11"/>
  <c r="R103" i="11"/>
  <c r="T174" i="17"/>
  <c r="Q392" i="20"/>
  <c r="U374" i="20"/>
  <c r="T384" i="20"/>
  <c r="R387" i="20"/>
  <c r="Q403" i="20"/>
  <c r="S386" i="20"/>
  <c r="R401" i="20"/>
  <c r="R394" i="20"/>
  <c r="T401" i="20"/>
  <c r="Q400" i="20"/>
  <c r="Q394" i="20"/>
  <c r="R399" i="20"/>
  <c r="R386" i="20"/>
  <c r="S384" i="20"/>
  <c r="T389" i="20"/>
  <c r="Q402" i="20"/>
  <c r="T396" i="20"/>
  <c r="S399" i="20"/>
  <c r="Q399" i="20"/>
  <c r="Q384" i="20"/>
  <c r="S396" i="20"/>
  <c r="T391" i="20"/>
  <c r="R384" i="20"/>
  <c r="S403" i="20"/>
  <c r="R389" i="20"/>
  <c r="S391" i="20"/>
  <c r="Q395" i="20"/>
  <c r="T395" i="20"/>
  <c r="Q386" i="20"/>
  <c r="R385" i="20"/>
  <c r="T403" i="20"/>
  <c r="R398" i="20"/>
  <c r="T402" i="20"/>
  <c r="T393" i="20"/>
  <c r="T385" i="20"/>
  <c r="Q398" i="20"/>
  <c r="T392" i="20"/>
  <c r="S392" i="20"/>
  <c r="R392" i="20"/>
  <c r="Q389" i="20"/>
  <c r="T399" i="20"/>
  <c r="S393" i="20"/>
  <c r="R393" i="20"/>
  <c r="Q393" i="20"/>
  <c r="R388" i="20"/>
  <c r="S402" i="20"/>
  <c r="Q387" i="20"/>
  <c r="Q380" i="20" s="1"/>
  <c r="Q369" i="20" s="1"/>
  <c r="T387" i="20"/>
  <c r="S394" i="20"/>
  <c r="R391" i="20"/>
  <c r="Q396" i="20"/>
  <c r="T400" i="20"/>
  <c r="S401" i="20"/>
  <c r="T386" i="20"/>
  <c r="R396" i="20"/>
  <c r="T394" i="20"/>
  <c r="B190" i="17"/>
  <c r="O194" i="17" s="1"/>
  <c r="C38" i="15"/>
  <c r="S95" i="11"/>
  <c r="D23" i="13"/>
  <c r="G7" i="29"/>
  <c r="F7" i="31" s="1"/>
  <c r="B82" i="11"/>
  <c r="D163" i="11"/>
  <c r="O299" i="20"/>
  <c r="O300" i="20" s="1"/>
  <c r="S387" i="20"/>
  <c r="T398" i="20"/>
  <c r="H14" i="19"/>
  <c r="F14" i="19" s="1"/>
  <c r="AV25" i="29"/>
  <c r="AU25" i="29" s="1"/>
  <c r="O245" i="20"/>
  <c r="O246" i="20" s="1"/>
  <c r="P245" i="20"/>
  <c r="P246" i="20" s="1"/>
  <c r="M233" i="20"/>
  <c r="M234" i="20" s="1"/>
  <c r="P215" i="20"/>
  <c r="P216" i="20" s="1"/>
  <c r="R20" i="7"/>
  <c r="O233" i="20"/>
  <c r="O234" i="20" s="1"/>
  <c r="P339" i="20"/>
  <c r="P340" i="20" s="1"/>
  <c r="L121" i="11"/>
  <c r="Q117" i="19"/>
  <c r="O117" i="19" s="1"/>
  <c r="Q9" i="19"/>
  <c r="O9" i="19" s="1"/>
  <c r="I59" i="34"/>
  <c r="J52" i="34"/>
  <c r="J59" i="34" s="1"/>
  <c r="V152" i="11"/>
  <c r="D438" i="17"/>
  <c r="I7" i="22" s="1"/>
  <c r="Z104" i="17"/>
  <c r="X90" i="11"/>
  <c r="AA104" i="17"/>
  <c r="AC134" i="17"/>
  <c r="AB63" i="17"/>
  <c r="AB60" i="17" s="1"/>
  <c r="V144" i="17"/>
  <c r="T98" i="11"/>
  <c r="AP155" i="11"/>
  <c r="AE163" i="11"/>
  <c r="AG433" i="17"/>
  <c r="X163" i="11"/>
  <c r="Z433" i="17"/>
  <c r="AO134" i="17"/>
  <c r="AE80" i="17"/>
  <c r="T213" i="20"/>
  <c r="T214" i="20" s="1"/>
  <c r="AK33" i="17"/>
  <c r="AK30" i="17" s="1"/>
  <c r="AI103" i="11"/>
  <c r="AU194" i="17"/>
  <c r="O301" i="20"/>
  <c r="O302" i="20" s="1"/>
  <c r="P209" i="20"/>
  <c r="P210" i="20" s="1"/>
  <c r="Q391" i="20"/>
  <c r="S135" i="19"/>
  <c r="R135" i="19" s="1"/>
  <c r="T133" i="19"/>
  <c r="R133" i="19" s="1"/>
  <c r="AF163" i="11"/>
  <c r="AH433" i="17"/>
  <c r="AT159" i="17"/>
  <c r="D130" i="11"/>
  <c r="F38" i="17"/>
  <c r="F35" i="17" s="1"/>
  <c r="V121" i="11"/>
  <c r="R119" i="17"/>
  <c r="O93" i="11"/>
  <c r="AJ98" i="11"/>
  <c r="AM100" i="11"/>
  <c r="O155" i="11"/>
  <c r="Q33" i="17"/>
  <c r="Q30" i="17" s="1"/>
  <c r="AC94" i="11"/>
  <c r="AE53" i="17"/>
  <c r="AE50" i="17" s="1"/>
  <c r="D100" i="11"/>
  <c r="S103" i="11"/>
  <c r="U33" i="17"/>
  <c r="U30" i="17" s="1"/>
  <c r="W95" i="11"/>
  <c r="G137" i="11"/>
  <c r="Q142" i="11"/>
  <c r="AI142" i="11"/>
  <c r="B63" i="11"/>
  <c r="U150" i="11"/>
  <c r="W363" i="17"/>
  <c r="K120" i="11"/>
  <c r="M53" i="17"/>
  <c r="M50" i="17" s="1"/>
  <c r="AN60" i="17"/>
  <c r="Q53" i="17"/>
  <c r="Q50" i="17" s="1"/>
  <c r="AV50" i="17"/>
  <c r="O377" i="20"/>
  <c r="O366" i="20" s="1"/>
  <c r="L50" i="17"/>
  <c r="AR97" i="11"/>
  <c r="AC150" i="11"/>
  <c r="F128" i="17"/>
  <c r="D16" i="11"/>
  <c r="D127" i="17"/>
  <c r="D125" i="17" s="1"/>
  <c r="M16" i="11"/>
  <c r="O128" i="17"/>
  <c r="O129" i="17" s="1"/>
  <c r="Y16" i="11"/>
  <c r="AA128" i="17"/>
  <c r="AG128" i="17"/>
  <c r="AG129" i="17" s="1"/>
  <c r="AE16" i="11"/>
  <c r="C35" i="15"/>
  <c r="B175" i="17"/>
  <c r="K179" i="17" s="1"/>
  <c r="BP17" i="29"/>
  <c r="BO5" i="29"/>
  <c r="BP28" i="29"/>
  <c r="BO7" i="29"/>
  <c r="BO6" i="29"/>
  <c r="CO4" i="29"/>
  <c r="CP27" i="29" s="1"/>
  <c r="BP19" i="29"/>
  <c r="AD134" i="11"/>
  <c r="F147" i="11"/>
  <c r="D408" i="17"/>
  <c r="AE124" i="17"/>
  <c r="T134" i="11"/>
  <c r="G147" i="11"/>
  <c r="I134" i="17"/>
  <c r="Z155" i="11"/>
  <c r="U95" i="11"/>
  <c r="AR142" i="11"/>
  <c r="S142" i="11"/>
  <c r="M233" i="22"/>
  <c r="Q219" i="22"/>
  <c r="H129" i="17"/>
  <c r="AS184" i="17"/>
  <c r="B14" i="11"/>
  <c r="C87" i="8"/>
  <c r="S9" i="29"/>
  <c r="B28" i="11"/>
  <c r="AV33" i="17"/>
  <c r="AV30" i="17" s="1"/>
  <c r="AD63" i="17"/>
  <c r="AD60" i="17" s="1"/>
  <c r="AH50" i="17"/>
  <c r="AQ50" i="17"/>
  <c r="Y120" i="11"/>
  <c r="Q221" i="20"/>
  <c r="Q222" i="20" s="1"/>
  <c r="G16" i="11"/>
  <c r="AV124" i="17"/>
  <c r="N30" i="17"/>
  <c r="D458" i="17"/>
  <c r="AT124" i="17"/>
  <c r="AL124" i="17"/>
  <c r="O124" i="17"/>
  <c r="AO124" i="17"/>
  <c r="AK124" i="17"/>
  <c r="AN124" i="17"/>
  <c r="AF124" i="17"/>
  <c r="AW120" i="17"/>
  <c r="AW121" i="17" s="1"/>
  <c r="AW122" i="17" s="1"/>
  <c r="AW123" i="17" s="1"/>
  <c r="AW124" i="17" s="1"/>
  <c r="C37" i="14"/>
  <c r="C73" i="8"/>
  <c r="U27" i="11"/>
  <c r="W188" i="17"/>
  <c r="L155" i="11"/>
  <c r="Q16" i="11"/>
  <c r="S128" i="17"/>
  <c r="S57" i="17"/>
  <c r="AK128" i="17"/>
  <c r="AI16" i="11"/>
  <c r="AN16" i="11"/>
  <c r="AP128" i="17"/>
  <c r="AJ128" i="17"/>
  <c r="AH16" i="11"/>
  <c r="I16" i="11"/>
  <c r="K128" i="17"/>
  <c r="O16" i="11"/>
  <c r="Q128" i="17"/>
  <c r="P138" i="19"/>
  <c r="O138" i="19" s="1"/>
  <c r="K227" i="20"/>
  <c r="K228" i="20" s="1"/>
  <c r="I227" i="20"/>
  <c r="I228" i="20" s="1"/>
  <c r="L227" i="20"/>
  <c r="L228" i="20" s="1"/>
  <c r="AL147" i="11"/>
  <c r="D93" i="11"/>
  <c r="F119" i="17"/>
  <c r="M140" i="19"/>
  <c r="L140" i="19" s="1"/>
  <c r="AG121" i="11"/>
  <c r="W100" i="11"/>
  <c r="Z159" i="17"/>
  <c r="AD164" i="17"/>
  <c r="AB101" i="11"/>
  <c r="M98" i="11"/>
  <c r="Z102" i="11"/>
  <c r="AB148" i="17"/>
  <c r="AB142" i="11"/>
  <c r="L142" i="11"/>
  <c r="BP25" i="29"/>
  <c r="BO25" i="29" s="1"/>
  <c r="AR119" i="11"/>
  <c r="N9" i="6"/>
  <c r="B17" i="6"/>
  <c r="Z33" i="17"/>
  <c r="Z30" i="17" s="1"/>
  <c r="C56" i="7"/>
  <c r="P124" i="17"/>
  <c r="AC124" i="17"/>
  <c r="D47" i="19"/>
  <c r="AS124" i="17"/>
  <c r="AD124" i="17"/>
  <c r="F124" i="17"/>
  <c r="K124" i="17"/>
  <c r="AM124" i="17"/>
  <c r="AJ124" i="17"/>
  <c r="AR124" i="17"/>
  <c r="BP27" i="29"/>
  <c r="N163" i="19"/>
  <c r="M163" i="19" s="1"/>
  <c r="L163" i="19" s="1"/>
  <c r="AM47" i="17"/>
  <c r="AM188" i="17"/>
  <c r="AK27" i="11"/>
  <c r="AP16" i="11"/>
  <c r="AR128" i="17"/>
  <c r="M128" i="17"/>
  <c r="N129" i="17" s="1"/>
  <c r="K16" i="11"/>
  <c r="T16" i="11"/>
  <c r="V128" i="17"/>
  <c r="T95" i="11" s="1"/>
  <c r="R16" i="11"/>
  <c r="T128" i="17"/>
  <c r="AF16" i="11"/>
  <c r="AH128" i="17"/>
  <c r="AV128" i="17"/>
  <c r="AT16" i="11"/>
  <c r="G155" i="11"/>
  <c r="I33" i="17"/>
  <c r="I30" i="17" s="1"/>
  <c r="W47" i="17"/>
  <c r="T100" i="11"/>
  <c r="E33" i="17"/>
  <c r="E30" i="17" s="1"/>
  <c r="C103" i="11"/>
  <c r="S132" i="11"/>
  <c r="AB6" i="15"/>
  <c r="AC6" i="15"/>
  <c r="G121" i="11"/>
  <c r="I134" i="11"/>
  <c r="AM147" i="11"/>
  <c r="AV63" i="17"/>
  <c r="AV60" i="17" s="1"/>
  <c r="AV134" i="17"/>
  <c r="L433" i="17"/>
  <c r="AC15" i="15"/>
  <c r="AB15" i="15"/>
  <c r="J137" i="11"/>
  <c r="AG142" i="11"/>
  <c r="C142" i="11"/>
  <c r="N142" i="11"/>
  <c r="O150" i="11"/>
  <c r="Q363" i="17"/>
  <c r="Q3" i="17"/>
  <c r="E505" i="17"/>
  <c r="F505" i="17" s="1"/>
  <c r="G505" i="17" s="1"/>
  <c r="H505" i="17" s="1"/>
  <c r="I505" i="17" s="1"/>
  <c r="J505" i="17" s="1"/>
  <c r="K505" i="17" s="1"/>
  <c r="L505" i="17" s="1"/>
  <c r="M505" i="17" s="1"/>
  <c r="E508" i="17"/>
  <c r="F508" i="17" s="1"/>
  <c r="G508" i="17" s="1"/>
  <c r="H508" i="17" s="1"/>
  <c r="I508" i="17" s="1"/>
  <c r="J508" i="17" s="1"/>
  <c r="K508" i="17" s="1"/>
  <c r="L508" i="17" s="1"/>
  <c r="M508" i="17" s="1"/>
  <c r="N508" i="17" s="1"/>
  <c r="O508" i="17" s="1"/>
  <c r="P508" i="17" s="1"/>
  <c r="E506" i="17"/>
  <c r="F506" i="17" s="1"/>
  <c r="G506" i="17" s="1"/>
  <c r="H506" i="17" s="1"/>
  <c r="I506" i="17" s="1"/>
  <c r="J506" i="17" s="1"/>
  <c r="K506" i="17" s="1"/>
  <c r="L506" i="17" s="1"/>
  <c r="M506" i="17" s="1"/>
  <c r="N506" i="17" s="1"/>
  <c r="E507" i="17"/>
  <c r="F507" i="17" s="1"/>
  <c r="G507" i="17" s="1"/>
  <c r="H507" i="17" s="1"/>
  <c r="I507" i="17" s="1"/>
  <c r="J507" i="17" s="1"/>
  <c r="K507" i="17" s="1"/>
  <c r="L507" i="17" s="1"/>
  <c r="M507" i="17" s="1"/>
  <c r="N507" i="17" s="1"/>
  <c r="O507" i="17" s="1"/>
  <c r="E119" i="11"/>
  <c r="H259" i="17"/>
  <c r="G259" i="17"/>
  <c r="AC24" i="29"/>
  <c r="AE18" i="10"/>
  <c r="E22" i="6"/>
  <c r="D103" i="17"/>
  <c r="S6" i="10" s="1"/>
  <c r="D463" i="17"/>
  <c r="I12" i="22" s="1"/>
  <c r="C58" i="14"/>
  <c r="AR259" i="17"/>
  <c r="AO119" i="11"/>
  <c r="AQ259" i="17"/>
  <c r="O22" i="29"/>
  <c r="O15" i="29"/>
  <c r="C49" i="14"/>
  <c r="Y15" i="29"/>
  <c r="W259" i="17"/>
  <c r="T119" i="11"/>
  <c r="V259" i="17"/>
  <c r="AF77" i="17"/>
  <c r="AF75" i="17" s="1"/>
  <c r="AK174" i="17"/>
  <c r="D87" i="17"/>
  <c r="B67" i="11"/>
  <c r="B15" i="11"/>
  <c r="C41" i="14"/>
  <c r="C17" i="19"/>
  <c r="P19" i="29"/>
  <c r="O19" i="29" s="1"/>
  <c r="V19" i="29"/>
  <c r="U19" i="29" s="1"/>
  <c r="T19" i="29"/>
  <c r="S19" i="29" s="1"/>
  <c r="Z19" i="29"/>
  <c r="Y19" i="29" s="1"/>
  <c r="R19" i="29"/>
  <c r="Q19" i="29" s="1"/>
  <c r="X19" i="29"/>
  <c r="W19" i="29" s="1"/>
  <c r="B11" i="11"/>
  <c r="C38" i="14"/>
  <c r="AR155" i="11"/>
  <c r="C55" i="14"/>
  <c r="I77" i="17"/>
  <c r="I75" i="17" s="1"/>
  <c r="Y11" i="29"/>
  <c r="N16" i="19"/>
  <c r="L16" i="19" s="1"/>
  <c r="G277" i="20"/>
  <c r="G278" i="20" s="1"/>
  <c r="L277" i="20"/>
  <c r="L278" i="20" s="1"/>
  <c r="I277" i="20"/>
  <c r="I278" i="20" s="1"/>
  <c r="H277" i="20"/>
  <c r="H278" i="20" s="1"/>
  <c r="F277" i="20"/>
  <c r="F278" i="20" s="1"/>
  <c r="K277" i="20"/>
  <c r="K278" i="20" s="1"/>
  <c r="J277" i="20"/>
  <c r="J278" i="20" s="1"/>
  <c r="E277" i="20"/>
  <c r="E278" i="20" s="1"/>
  <c r="P277" i="20"/>
  <c r="P278" i="20" s="1"/>
  <c r="AD146" i="11"/>
  <c r="AF53" i="17"/>
  <c r="AF50" i="17" s="1"/>
  <c r="E29" i="36"/>
  <c r="E13" i="36" s="1"/>
  <c r="W77" i="17"/>
  <c r="W75" i="17" s="1"/>
  <c r="I381" i="20"/>
  <c r="I370" i="20" s="1"/>
  <c r="F377" i="20"/>
  <c r="F366" i="20" s="1"/>
  <c r="N382" i="20"/>
  <c r="N371" i="20" s="1"/>
  <c r="K382" i="20"/>
  <c r="K371" i="20" s="1"/>
  <c r="I379" i="20"/>
  <c r="I368" i="20" s="1"/>
  <c r="C51" i="14"/>
  <c r="C32" i="14"/>
  <c r="AN129" i="17"/>
  <c r="AM129" i="17"/>
  <c r="AC90" i="11"/>
  <c r="AE104" i="17"/>
  <c r="AF104" i="17"/>
  <c r="J128" i="11"/>
  <c r="AB111" i="11"/>
  <c r="N90" i="11"/>
  <c r="B76" i="11"/>
  <c r="AG164" i="17"/>
  <c r="T18" i="19"/>
  <c r="R18" i="19" s="1"/>
  <c r="N137" i="11"/>
  <c r="P293" i="17"/>
  <c r="T150" i="11"/>
  <c r="V363" i="17"/>
  <c r="M20" i="17"/>
  <c r="B56" i="11"/>
  <c r="AL63" i="17"/>
  <c r="AL60" i="17" s="1"/>
  <c r="B54" i="11"/>
  <c r="I4" i="34"/>
  <c r="J4" i="34" s="1"/>
  <c r="K4" i="34" s="1"/>
  <c r="L4" i="34" s="1"/>
  <c r="M3" i="34"/>
  <c r="M120" i="11"/>
  <c r="V91" i="11"/>
  <c r="X109" i="17"/>
  <c r="K380" i="20"/>
  <c r="K369" i="20" s="1"/>
  <c r="O378" i="20"/>
  <c r="O367" i="20" s="1"/>
  <c r="I382" i="20"/>
  <c r="I371" i="20" s="1"/>
  <c r="F40" i="23"/>
  <c r="G109" i="9" s="1"/>
  <c r="M378" i="20"/>
  <c r="M367" i="20" s="1"/>
  <c r="G382" i="20"/>
  <c r="G371" i="20" s="1"/>
  <c r="H390" i="20"/>
  <c r="H382" i="20"/>
  <c r="H371" i="20" s="1"/>
  <c r="H383" i="20"/>
  <c r="R18" i="10"/>
  <c r="AD14" i="29"/>
  <c r="AC14" i="29" s="1"/>
  <c r="H379" i="20"/>
  <c r="H368" i="20" s="1"/>
  <c r="AF14" i="29"/>
  <c r="AE14" i="29" s="1"/>
  <c r="D100" i="22"/>
  <c r="AN27" i="29"/>
  <c r="AM27" i="29" s="1"/>
  <c r="I397" i="20"/>
  <c r="N26" i="29"/>
  <c r="M26" i="29" s="1"/>
  <c r="I380" i="20"/>
  <c r="I369" i="20" s="1"/>
  <c r="H380" i="20"/>
  <c r="H369" i="20" s="1"/>
  <c r="J380" i="20"/>
  <c r="J369" i="20" s="1"/>
  <c r="P379" i="20"/>
  <c r="P368" i="20" s="1"/>
  <c r="E381" i="20"/>
  <c r="E370" i="20" s="1"/>
  <c r="L397" i="20"/>
  <c r="J379" i="20"/>
  <c r="J368" i="20" s="1"/>
  <c r="M380" i="20"/>
  <c r="M369" i="20" s="1"/>
  <c r="E379" i="20"/>
  <c r="E368" i="20" s="1"/>
  <c r="M377" i="20"/>
  <c r="M366" i="20" s="1"/>
  <c r="O379" i="20"/>
  <c r="O368" i="20" s="1"/>
  <c r="F380" i="20"/>
  <c r="F369" i="20" s="1"/>
  <c r="F381" i="20"/>
  <c r="F370" i="20" s="1"/>
  <c r="N380" i="20"/>
  <c r="N369" i="20" s="1"/>
  <c r="O382" i="20"/>
  <c r="O371" i="20" s="1"/>
  <c r="G390" i="20"/>
  <c r="O380" i="20"/>
  <c r="O369" i="20" s="1"/>
  <c r="P378" i="20"/>
  <c r="P367" i="20" s="1"/>
  <c r="M397" i="20"/>
  <c r="F382" i="20"/>
  <c r="F371" i="20" s="1"/>
  <c r="F378" i="20"/>
  <c r="F367" i="20" s="1"/>
  <c r="N390" i="20"/>
  <c r="M382" i="20"/>
  <c r="M371" i="20" s="1"/>
  <c r="N379" i="20"/>
  <c r="N368" i="20" s="1"/>
  <c r="N397" i="20"/>
  <c r="G383" i="20"/>
  <c r="I378" i="20"/>
  <c r="I367" i="20" s="1"/>
  <c r="K397" i="20"/>
  <c r="J378" i="20"/>
  <c r="J367" i="20" s="1"/>
  <c r="P390" i="20"/>
  <c r="L390" i="20"/>
  <c r="J382" i="20"/>
  <c r="J371" i="20" s="1"/>
  <c r="M383" i="20"/>
  <c r="I383" i="20"/>
  <c r="O390" i="20"/>
  <c r="M381" i="20"/>
  <c r="M370" i="20" s="1"/>
  <c r="N381" i="20"/>
  <c r="N370" i="20" s="1"/>
  <c r="O383" i="20"/>
  <c r="O397" i="20"/>
  <c r="P383" i="20"/>
  <c r="F397" i="20"/>
  <c r="E390" i="20"/>
  <c r="F390" i="20"/>
  <c r="M390" i="20"/>
  <c r="J381" i="20"/>
  <c r="J370" i="20" s="1"/>
  <c r="P381" i="20"/>
  <c r="P370" i="20" s="1"/>
  <c r="H397" i="20"/>
  <c r="L377" i="20"/>
  <c r="L366" i="20" s="1"/>
  <c r="K378" i="20"/>
  <c r="K367" i="20" s="1"/>
  <c r="L383" i="20"/>
  <c r="N378" i="20"/>
  <c r="N367" i="20" s="1"/>
  <c r="E397" i="20"/>
  <c r="L379" i="20"/>
  <c r="L368" i="20" s="1"/>
  <c r="L381" i="20"/>
  <c r="L370" i="20" s="1"/>
  <c r="F379" i="20"/>
  <c r="F368" i="20" s="1"/>
  <c r="G381" i="20"/>
  <c r="G370" i="20" s="1"/>
  <c r="K390" i="20"/>
  <c r="J397" i="20"/>
  <c r="J377" i="20"/>
  <c r="J366" i="20" s="1"/>
  <c r="P397" i="20"/>
  <c r="N383" i="20"/>
  <c r="P380" i="20"/>
  <c r="P369" i="20" s="1"/>
  <c r="G397" i="20"/>
  <c r="H377" i="20"/>
  <c r="H366" i="20" s="1"/>
  <c r="H18" i="23"/>
  <c r="H23" i="23" s="1"/>
  <c r="H21" i="23" s="1"/>
  <c r="G32" i="43" s="1"/>
  <c r="G33" i="43" s="1"/>
  <c r="F297" i="20"/>
  <c r="F298" i="20" s="1"/>
  <c r="K297" i="20"/>
  <c r="K298" i="20" s="1"/>
  <c r="O297" i="20"/>
  <c r="O298" i="20" s="1"/>
  <c r="I297" i="20"/>
  <c r="I298" i="20" s="1"/>
  <c r="J297" i="20"/>
  <c r="J298" i="20" s="1"/>
  <c r="H297" i="20"/>
  <c r="H298" i="20" s="1"/>
  <c r="E297" i="20"/>
  <c r="E298" i="20" s="1"/>
  <c r="L297" i="20"/>
  <c r="L298" i="20" s="1"/>
  <c r="N297" i="20"/>
  <c r="N298" i="20" s="1"/>
  <c r="G297" i="20"/>
  <c r="G298" i="20" s="1"/>
  <c r="M297" i="20"/>
  <c r="M298" i="20" s="1"/>
  <c r="P297" i="20"/>
  <c r="P298" i="20" s="1"/>
  <c r="AF220" i="17"/>
  <c r="I22" i="29"/>
  <c r="I21" i="29"/>
  <c r="I28" i="29"/>
  <c r="G106" i="11"/>
  <c r="J189" i="17"/>
  <c r="D275" i="17"/>
  <c r="F290" i="17"/>
  <c r="E105" i="11"/>
  <c r="G184" i="17"/>
  <c r="J109" i="11"/>
  <c r="L63" i="17"/>
  <c r="L60" i="17" s="1"/>
  <c r="S144" i="11"/>
  <c r="B144" i="11" s="1"/>
  <c r="D393" i="17"/>
  <c r="B69" i="11"/>
  <c r="Q134" i="17"/>
  <c r="P63" i="17"/>
  <c r="P60" i="17" s="1"/>
  <c r="P134" i="17"/>
  <c r="N80" i="17"/>
  <c r="AR98" i="11"/>
  <c r="AT83" i="17"/>
  <c r="AA134" i="11"/>
  <c r="AG163" i="11"/>
  <c r="E90" i="11"/>
  <c r="H104" i="17"/>
  <c r="G104" i="17"/>
  <c r="E98" i="11"/>
  <c r="D143" i="17"/>
  <c r="AM80" i="17"/>
  <c r="K103" i="11"/>
  <c r="M33" i="17"/>
  <c r="M30" i="17" s="1"/>
  <c r="AN104" i="11"/>
  <c r="AP179" i="17"/>
  <c r="H104" i="11"/>
  <c r="AM108" i="11"/>
  <c r="V108" i="11"/>
  <c r="AO113" i="11"/>
  <c r="AC117" i="11"/>
  <c r="Z163" i="11"/>
  <c r="AB433" i="17"/>
  <c r="Q290" i="17"/>
  <c r="K17" i="19"/>
  <c r="K89" i="19"/>
  <c r="I89" i="19" s="1"/>
  <c r="P17" i="29"/>
  <c r="V17" i="29"/>
  <c r="U17" i="29" s="1"/>
  <c r="T17" i="29"/>
  <c r="S17" i="29" s="1"/>
  <c r="X17" i="29"/>
  <c r="W17" i="29" s="1"/>
  <c r="Z17" i="29"/>
  <c r="Y17" i="29" s="1"/>
  <c r="R17" i="29"/>
  <c r="Q17" i="29" s="1"/>
  <c r="D297" i="17"/>
  <c r="D295" i="17" s="1"/>
  <c r="E298" i="17"/>
  <c r="E18" i="17" s="1"/>
  <c r="E287" i="17"/>
  <c r="E285" i="17" s="1"/>
  <c r="C47" i="11"/>
  <c r="AU298" i="17"/>
  <c r="AU18" i="17" s="1"/>
  <c r="AS47" i="11"/>
  <c r="AU287" i="17"/>
  <c r="AU285" i="17" s="1"/>
  <c r="AP298" i="17"/>
  <c r="AN47" i="11"/>
  <c r="AN46" i="11" s="1"/>
  <c r="AP287" i="17"/>
  <c r="AP285" i="17" s="1"/>
  <c r="AO298" i="17"/>
  <c r="AM47" i="11"/>
  <c r="AM46" i="11" s="1"/>
  <c r="AO287" i="17"/>
  <c r="AO285" i="17" s="1"/>
  <c r="T283" i="17"/>
  <c r="R45" i="11"/>
  <c r="R176" i="11" s="1"/>
  <c r="T222" i="17"/>
  <c r="AS283" i="17"/>
  <c r="AQ45" i="11"/>
  <c r="AS222" i="17"/>
  <c r="AS72" i="17"/>
  <c r="Y283" i="17"/>
  <c r="Y73" i="17" s="1"/>
  <c r="Y70" i="17" s="1"/>
  <c r="W45" i="11"/>
  <c r="W176" i="11" s="1"/>
  <c r="Y222" i="17"/>
  <c r="Z45" i="11"/>
  <c r="AB283" i="17"/>
  <c r="AB72" i="17"/>
  <c r="AB222" i="17"/>
  <c r="AE42" i="17"/>
  <c r="AE113" i="17"/>
  <c r="AC13" i="11"/>
  <c r="J13" i="11"/>
  <c r="L113" i="17"/>
  <c r="L42" i="17"/>
  <c r="AG113" i="17"/>
  <c r="AE13" i="11"/>
  <c r="M113" i="17"/>
  <c r="K13" i="11"/>
  <c r="M42" i="17"/>
  <c r="AI113" i="17"/>
  <c r="AG13" i="11"/>
  <c r="AI42" i="17"/>
  <c r="AK13" i="11"/>
  <c r="AM113" i="17"/>
  <c r="R137" i="11"/>
  <c r="T293" i="17"/>
  <c r="B415" i="17"/>
  <c r="C80" i="15"/>
  <c r="B485" i="17" s="1"/>
  <c r="E100" i="8"/>
  <c r="G22" i="23"/>
  <c r="G21" i="23" s="1"/>
  <c r="AA37" i="29"/>
  <c r="J383" i="20"/>
  <c r="AA28" i="29"/>
  <c r="AA22" i="29"/>
  <c r="AE15" i="29"/>
  <c r="E9" i="19"/>
  <c r="C9" i="19" s="1"/>
  <c r="M77" i="17"/>
  <c r="AU17" i="17"/>
  <c r="E17" i="17"/>
  <c r="F140" i="9"/>
  <c r="C140" i="9" s="1"/>
  <c r="C35" i="14"/>
  <c r="C74" i="8"/>
  <c r="S83" i="17"/>
  <c r="G33" i="17"/>
  <c r="G30" i="17" s="1"/>
  <c r="I159" i="19"/>
  <c r="F42" i="23"/>
  <c r="I109" i="9" s="1"/>
  <c r="AR18" i="6"/>
  <c r="B292" i="11"/>
  <c r="AR18" i="10"/>
  <c r="F100" i="8"/>
  <c r="F100" i="22"/>
  <c r="BN26" i="29"/>
  <c r="BM26" i="29" s="1"/>
  <c r="BY4" i="29"/>
  <c r="AY5" i="29"/>
  <c r="AZ19" i="29"/>
  <c r="AZ11" i="29"/>
  <c r="AZ25" i="29"/>
  <c r="AY6" i="29"/>
  <c r="AZ16" i="29"/>
  <c r="AZ28" i="29"/>
  <c r="AY7" i="29"/>
  <c r="AZ18" i="29"/>
  <c r="AZ17" i="29"/>
  <c r="AZ15" i="29"/>
  <c r="I58" i="17"/>
  <c r="I55" i="17" s="1"/>
  <c r="G95" i="11"/>
  <c r="J129" i="17"/>
  <c r="I129" i="17"/>
  <c r="AI83" i="17"/>
  <c r="AF109" i="11"/>
  <c r="AH63" i="17"/>
  <c r="AH60" i="17" s="1"/>
  <c r="I148" i="11"/>
  <c r="K63" i="17"/>
  <c r="K60" i="17" s="1"/>
  <c r="AD104" i="11"/>
  <c r="G108" i="11"/>
  <c r="AL108" i="11"/>
  <c r="AN58" i="17"/>
  <c r="AN55" i="17" s="1"/>
  <c r="J113" i="11"/>
  <c r="M117" i="11"/>
  <c r="AK111" i="11"/>
  <c r="M107" i="11"/>
  <c r="P194" i="17"/>
  <c r="O53" i="17"/>
  <c r="O50" i="17" s="1"/>
  <c r="AP163" i="11"/>
  <c r="Z133" i="11"/>
  <c r="C111" i="11"/>
  <c r="R184" i="17"/>
  <c r="O137" i="11"/>
  <c r="H190" i="19"/>
  <c r="F17" i="19"/>
  <c r="O47" i="19"/>
  <c r="P5" i="19"/>
  <c r="N6" i="19"/>
  <c r="L6" i="19" s="1"/>
  <c r="N19" i="19"/>
  <c r="AI298" i="17"/>
  <c r="AI288" i="17" s="1"/>
  <c r="AG47" i="11"/>
  <c r="AG46" i="11" s="1"/>
  <c r="AI287" i="17"/>
  <c r="AI285" i="17" s="1"/>
  <c r="Z298" i="17"/>
  <c r="X47" i="11"/>
  <c r="X46" i="11" s="1"/>
  <c r="AJ298" i="17"/>
  <c r="AH47" i="11"/>
  <c r="R47" i="11"/>
  <c r="T298" i="17"/>
  <c r="T288" i="17" s="1"/>
  <c r="T17" i="17"/>
  <c r="AN298" i="17"/>
  <c r="AN18" i="17" s="1"/>
  <c r="AL47" i="11"/>
  <c r="AL46" i="11" s="1"/>
  <c r="U283" i="17"/>
  <c r="S45" i="11"/>
  <c r="U222" i="17"/>
  <c r="U72" i="17"/>
  <c r="E283" i="17"/>
  <c r="E73" i="17" s="1"/>
  <c r="C45" i="11"/>
  <c r="E222" i="17"/>
  <c r="D282" i="17"/>
  <c r="AF45" i="11"/>
  <c r="AF176" i="11" s="1"/>
  <c r="AH283" i="17"/>
  <c r="AH72" i="17"/>
  <c r="AH222" i="17"/>
  <c r="X283" i="17"/>
  <c r="X73" i="17" s="1"/>
  <c r="X222" i="17"/>
  <c r="V45" i="11"/>
  <c r="V176" i="11" s="1"/>
  <c r="X72" i="17"/>
  <c r="K222" i="17"/>
  <c r="K283" i="17"/>
  <c r="I45" i="11"/>
  <c r="K72" i="17"/>
  <c r="N283" i="17"/>
  <c r="N73" i="17" s="1"/>
  <c r="L45" i="11"/>
  <c r="L176" i="11" s="1"/>
  <c r="N222" i="17"/>
  <c r="N72" i="17"/>
  <c r="F113" i="17"/>
  <c r="D13" i="11"/>
  <c r="F42" i="17"/>
  <c r="Q13" i="11"/>
  <c r="S42" i="17"/>
  <c r="S113" i="17"/>
  <c r="O13" i="11"/>
  <c r="Q113" i="17"/>
  <c r="Q42" i="17"/>
  <c r="O113" i="17"/>
  <c r="M13" i="11"/>
  <c r="O42" i="17"/>
  <c r="V113" i="17"/>
  <c r="V43" i="17" s="1"/>
  <c r="T13" i="11"/>
  <c r="V42" i="17"/>
  <c r="AT113" i="17"/>
  <c r="AR13" i="11"/>
  <c r="AT42" i="17"/>
  <c r="J113" i="17"/>
  <c r="H13" i="11"/>
  <c r="J42" i="17"/>
  <c r="G379" i="20"/>
  <c r="G368" i="20" s="1"/>
  <c r="K379" i="20"/>
  <c r="K368" i="20" s="1"/>
  <c r="D350" i="17"/>
  <c r="D292" i="17"/>
  <c r="F291" i="17" s="1"/>
  <c r="T290" i="17"/>
  <c r="R117" i="19"/>
  <c r="T159" i="19"/>
  <c r="S159" i="19" s="1"/>
  <c r="R159" i="19" s="1"/>
  <c r="J161" i="19"/>
  <c r="I161" i="19" s="1"/>
  <c r="I15" i="29"/>
  <c r="F36" i="23"/>
  <c r="P377" i="20"/>
  <c r="P366" i="20" s="1"/>
  <c r="V77" i="17"/>
  <c r="V75" i="17" s="1"/>
  <c r="AA21" i="29"/>
  <c r="AA11" i="29"/>
  <c r="AN17" i="17"/>
  <c r="S87" i="11"/>
  <c r="K377" i="20"/>
  <c r="K366" i="20" s="1"/>
  <c r="AO17" i="17"/>
  <c r="AI77" i="17"/>
  <c r="E378" i="20"/>
  <c r="E367" i="20" s="1"/>
  <c r="O36" i="29"/>
  <c r="G378" i="20"/>
  <c r="G367" i="20" s="1"/>
  <c r="E380" i="20"/>
  <c r="E369" i="20" s="1"/>
  <c r="F182" i="19"/>
  <c r="T47" i="19"/>
  <c r="R47" i="19" s="1"/>
  <c r="D22" i="34"/>
  <c r="AA38" i="29"/>
  <c r="Q11" i="29"/>
  <c r="C54" i="8"/>
  <c r="C50" i="8"/>
  <c r="B37" i="11"/>
  <c r="AN33" i="17"/>
  <c r="AN30" i="17" s="1"/>
  <c r="Q97" i="11"/>
  <c r="AC63" i="17"/>
  <c r="AC60" i="17" s="1"/>
  <c r="H133" i="19"/>
  <c r="H151" i="19" s="1"/>
  <c r="F151" i="19" s="1"/>
  <c r="K156" i="19"/>
  <c r="I156" i="19" s="1"/>
  <c r="AN287" i="17"/>
  <c r="B39" i="11"/>
  <c r="U358" i="17"/>
  <c r="D483" i="17"/>
  <c r="D443" i="17"/>
  <c r="I8" i="22" s="1"/>
  <c r="AA53" i="17"/>
  <c r="AA50" i="17" s="1"/>
  <c r="P221" i="20"/>
  <c r="P222" i="20" s="1"/>
  <c r="N221" i="20"/>
  <c r="N222" i="20" s="1"/>
  <c r="M221" i="20"/>
  <c r="M222" i="20" s="1"/>
  <c r="E221" i="20"/>
  <c r="E222" i="20" s="1"/>
  <c r="L221" i="20"/>
  <c r="L222" i="20" s="1"/>
  <c r="K221" i="20"/>
  <c r="K222" i="20" s="1"/>
  <c r="J221" i="20"/>
  <c r="J222" i="20" s="1"/>
  <c r="O221" i="20"/>
  <c r="O222" i="20" s="1"/>
  <c r="H221" i="20"/>
  <c r="H222" i="20" s="1"/>
  <c r="G221" i="20"/>
  <c r="G222" i="20" s="1"/>
  <c r="I221" i="20"/>
  <c r="I222" i="20" s="1"/>
  <c r="F221" i="20"/>
  <c r="F222" i="20" s="1"/>
  <c r="J96" i="9"/>
  <c r="L182" i="19"/>
  <c r="E6" i="34"/>
  <c r="F7" i="34"/>
  <c r="E14" i="34"/>
  <c r="E24" i="34" s="1"/>
  <c r="F54" i="13"/>
  <c r="G47" i="13"/>
  <c r="G54" i="13" s="1"/>
  <c r="AI7" i="29"/>
  <c r="BI4" i="29"/>
  <c r="AJ28" i="29"/>
  <c r="AI28" i="29" s="1"/>
  <c r="AJ18" i="29"/>
  <c r="AJ16" i="29"/>
  <c r="AI16" i="29" s="1"/>
  <c r="AI5" i="29"/>
  <c r="AJ17" i="29"/>
  <c r="AI17" i="29" s="1"/>
  <c r="AJ19" i="29"/>
  <c r="AI6" i="29"/>
  <c r="AJ11" i="29"/>
  <c r="AJ25" i="29"/>
  <c r="AI25" i="29" s="1"/>
  <c r="F60" i="34"/>
  <c r="G55" i="34"/>
  <c r="X106" i="11"/>
  <c r="Z48" i="17"/>
  <c r="Z45" i="17" s="1"/>
  <c r="Q104" i="17"/>
  <c r="P33" i="17"/>
  <c r="P30" i="17" s="1"/>
  <c r="AE91" i="11"/>
  <c r="AH109" i="17"/>
  <c r="J220" i="17"/>
  <c r="L136" i="11"/>
  <c r="AE134" i="17"/>
  <c r="AD134" i="17"/>
  <c r="AI80" i="17"/>
  <c r="K159" i="17"/>
  <c r="I100" i="11"/>
  <c r="AT33" i="17"/>
  <c r="AT30" i="17" s="1"/>
  <c r="AR103" i="11"/>
  <c r="AR95" i="11"/>
  <c r="AE142" i="11"/>
  <c r="AE138" i="11" s="1"/>
  <c r="AG358" i="17"/>
  <c r="F33" i="17"/>
  <c r="F30" i="17" s="1"/>
  <c r="AG363" i="17"/>
  <c r="AP105" i="11"/>
  <c r="AR184" i="17"/>
  <c r="P109" i="11"/>
  <c r="R63" i="17"/>
  <c r="R60" i="17" s="1"/>
  <c r="AL153" i="11"/>
  <c r="B153" i="11" s="1"/>
  <c r="AN428" i="17"/>
  <c r="N91" i="11"/>
  <c r="P109" i="17"/>
  <c r="Q109" i="17"/>
  <c r="P38" i="17"/>
  <c r="L93" i="11"/>
  <c r="O119" i="17"/>
  <c r="E134" i="17"/>
  <c r="AM150" i="17"/>
  <c r="AV104" i="17"/>
  <c r="AH107" i="11"/>
  <c r="AK194" i="17"/>
  <c r="AJ53" i="17"/>
  <c r="AJ50" i="17" s="1"/>
  <c r="X153" i="17"/>
  <c r="V111" i="11"/>
  <c r="H174" i="17"/>
  <c r="AL119" i="11"/>
  <c r="AO259" i="17"/>
  <c r="K329" i="17"/>
  <c r="H132" i="11"/>
  <c r="J329" i="17"/>
  <c r="AI53" i="17"/>
  <c r="AI50" i="17" s="1"/>
  <c r="AG120" i="11"/>
  <c r="Y153" i="17"/>
  <c r="W111" i="11"/>
  <c r="D1" i="18"/>
  <c r="G16" i="18"/>
  <c r="H184" i="17"/>
  <c r="AS111" i="11"/>
  <c r="AC111" i="11"/>
  <c r="M218" i="17"/>
  <c r="K118" i="11"/>
  <c r="M119" i="11"/>
  <c r="P259" i="17"/>
  <c r="P136" i="19"/>
  <c r="O136" i="19" s="1"/>
  <c r="O33" i="19"/>
  <c r="AF298" i="17"/>
  <c r="AD47" i="11"/>
  <c r="AF287" i="17"/>
  <c r="AF285" i="17" s="1"/>
  <c r="AM298" i="17"/>
  <c r="AK47" i="11"/>
  <c r="AK46" i="11" s="1"/>
  <c r="AM287" i="17"/>
  <c r="AM285" i="17" s="1"/>
  <c r="H298" i="17"/>
  <c r="F47" i="11"/>
  <c r="F46" i="11" s="1"/>
  <c r="U47" i="11"/>
  <c r="W298" i="17"/>
  <c r="W287" i="17"/>
  <c r="W285" i="17" s="1"/>
  <c r="AH298" i="17"/>
  <c r="AF126" i="11" s="1"/>
  <c r="AF47" i="11"/>
  <c r="AF46" i="11" s="1"/>
  <c r="AH17" i="17"/>
  <c r="M298" i="17"/>
  <c r="K47" i="11"/>
  <c r="K298" i="17"/>
  <c r="I47" i="11"/>
  <c r="K17" i="17"/>
  <c r="K287" i="17"/>
  <c r="K285" i="17" s="1"/>
  <c r="AR298" i="17"/>
  <c r="AP47" i="11"/>
  <c r="AR287" i="17"/>
  <c r="AR285" i="17" s="1"/>
  <c r="R298" i="17"/>
  <c r="P47" i="11"/>
  <c r="R17" i="17"/>
  <c r="R287" i="17"/>
  <c r="R285" i="17" s="1"/>
  <c r="AQ298" i="17"/>
  <c r="AO126" i="11" s="1"/>
  <c r="AO47" i="11"/>
  <c r="AO46" i="11" s="1"/>
  <c r="AQ287" i="17"/>
  <c r="AQ285" i="17" s="1"/>
  <c r="AQ17" i="17"/>
  <c r="G47" i="11"/>
  <c r="I298" i="17"/>
  <c r="G126" i="11" s="1"/>
  <c r="P45" i="11"/>
  <c r="R283" i="17"/>
  <c r="R222" i="17"/>
  <c r="R72" i="17"/>
  <c r="R12" i="17" s="1"/>
  <c r="P222" i="17"/>
  <c r="N45" i="11"/>
  <c r="N176" i="11" s="1"/>
  <c r="P283" i="17"/>
  <c r="P72" i="17"/>
  <c r="F222" i="17"/>
  <c r="F283" i="17"/>
  <c r="D45" i="11"/>
  <c r="F72" i="17"/>
  <c r="AG222" i="17"/>
  <c r="AG283" i="17"/>
  <c r="AE45" i="11"/>
  <c r="AE176" i="11" s="1"/>
  <c r="AF283" i="17"/>
  <c r="AD45" i="11"/>
  <c r="AD176" i="11" s="1"/>
  <c r="AF72" i="17"/>
  <c r="G283" i="17"/>
  <c r="G73" i="17" s="1"/>
  <c r="E45" i="11"/>
  <c r="G222" i="17"/>
  <c r="G72" i="17"/>
  <c r="AN283" i="17"/>
  <c r="AL45" i="11"/>
  <c r="AN222" i="17"/>
  <c r="AN72" i="17"/>
  <c r="H45" i="11"/>
  <c r="H176" i="11" s="1"/>
  <c r="J283" i="17"/>
  <c r="J72" i="17"/>
  <c r="W283" i="17"/>
  <c r="W73" i="17" s="1"/>
  <c r="W222" i="17"/>
  <c r="U45" i="11"/>
  <c r="U176" i="11" s="1"/>
  <c r="W72" i="17"/>
  <c r="M283" i="17"/>
  <c r="K45" i="11"/>
  <c r="K176" i="11" s="1"/>
  <c r="M72" i="17"/>
  <c r="M222" i="17"/>
  <c r="AB45" i="11"/>
  <c r="AB176" i="11" s="1"/>
  <c r="AD222" i="17"/>
  <c r="AD283" i="17"/>
  <c r="K265" i="20"/>
  <c r="K266" i="20" s="1"/>
  <c r="P265" i="20"/>
  <c r="P266" i="20" s="1"/>
  <c r="E265" i="20"/>
  <c r="E266" i="20" s="1"/>
  <c r="O265" i="20"/>
  <c r="O266" i="20" s="1"/>
  <c r="I265" i="20"/>
  <c r="I266" i="20" s="1"/>
  <c r="L265" i="20"/>
  <c r="L266" i="20" s="1"/>
  <c r="J265" i="20"/>
  <c r="J266" i="20" s="1"/>
  <c r="H265" i="20"/>
  <c r="H266" i="20" s="1"/>
  <c r="G265" i="20"/>
  <c r="G266" i="20" s="1"/>
  <c r="F265" i="20"/>
  <c r="F266" i="20" s="1"/>
  <c r="M265" i="20"/>
  <c r="M266" i="20" s="1"/>
  <c r="N265" i="20"/>
  <c r="N266" i="20" s="1"/>
  <c r="O261" i="20"/>
  <c r="O262" i="20" s="1"/>
  <c r="P261" i="20"/>
  <c r="P262" i="20" s="1"/>
  <c r="R261" i="20"/>
  <c r="R262" i="20" s="1"/>
  <c r="H261" i="20"/>
  <c r="H262" i="20" s="1"/>
  <c r="I261" i="20"/>
  <c r="I262" i="20" s="1"/>
  <c r="K261" i="20"/>
  <c r="K262" i="20" s="1"/>
  <c r="N261" i="20"/>
  <c r="N262" i="20" s="1"/>
  <c r="L261" i="20"/>
  <c r="L262" i="20" s="1"/>
  <c r="J261" i="20"/>
  <c r="J262" i="20" s="1"/>
  <c r="G261" i="20"/>
  <c r="G262" i="20" s="1"/>
  <c r="E261" i="20"/>
  <c r="E262" i="20" s="1"/>
  <c r="F261" i="20"/>
  <c r="F262" i="20" s="1"/>
  <c r="M261" i="20"/>
  <c r="M262" i="20" s="1"/>
  <c r="B210" i="17"/>
  <c r="I214" i="17" s="1"/>
  <c r="C42" i="15"/>
  <c r="X124" i="17"/>
  <c r="AK113" i="17"/>
  <c r="AI13" i="11"/>
  <c r="U113" i="17"/>
  <c r="S13" i="11"/>
  <c r="AL113" i="17"/>
  <c r="AJ13" i="11"/>
  <c r="AL42" i="17"/>
  <c r="H113" i="17"/>
  <c r="F13" i="11"/>
  <c r="H42" i="17"/>
  <c r="AT13" i="11"/>
  <c r="AV113" i="17"/>
  <c r="AH113" i="17"/>
  <c r="AF13" i="11"/>
  <c r="AH42" i="17"/>
  <c r="AD13" i="11"/>
  <c r="AF113" i="17"/>
  <c r="AF43" i="17" s="1"/>
  <c r="AF40" i="17" s="1"/>
  <c r="AO13" i="11"/>
  <c r="AQ113" i="17"/>
  <c r="AQ42" i="17"/>
  <c r="AD42" i="17"/>
  <c r="AB13" i="11"/>
  <c r="AB7" i="11" s="1"/>
  <c r="AD113" i="17"/>
  <c r="E13" i="11"/>
  <c r="G113" i="17"/>
  <c r="AQ13" i="11"/>
  <c r="AS113" i="17"/>
  <c r="AS42" i="17"/>
  <c r="AW95" i="17"/>
  <c r="AW96" i="17" s="1"/>
  <c r="AW97" i="17" s="1"/>
  <c r="AW98" i="17" s="1"/>
  <c r="AW99" i="17" s="1"/>
  <c r="AV99" i="17"/>
  <c r="I99" i="17"/>
  <c r="W99" i="17"/>
  <c r="H99" i="17"/>
  <c r="AG99" i="17"/>
  <c r="AQ99" i="17"/>
  <c r="AB99" i="17"/>
  <c r="C54" i="14"/>
  <c r="C52" i="14"/>
  <c r="C50" i="14"/>
  <c r="F6" i="8"/>
  <c r="R43" i="7"/>
  <c r="R56" i="7" s="1"/>
  <c r="AT63" i="17"/>
  <c r="AT60" i="17" s="1"/>
  <c r="AG304" i="17"/>
  <c r="AC304" i="17"/>
  <c r="S304" i="17"/>
  <c r="AS304" i="17"/>
  <c r="AE304" i="17"/>
  <c r="U304" i="17"/>
  <c r="T304" i="17"/>
  <c r="AK304" i="17"/>
  <c r="AB304" i="17"/>
  <c r="L304" i="17"/>
  <c r="Q304" i="17"/>
  <c r="AN304" i="17"/>
  <c r="AR304" i="17"/>
  <c r="AP304" i="17"/>
  <c r="M304" i="17"/>
  <c r="V304" i="17"/>
  <c r="AW300" i="17"/>
  <c r="AW301" i="17" s="1"/>
  <c r="AW302" i="17" s="1"/>
  <c r="AW303" i="17" s="1"/>
  <c r="AW304" i="17" s="1"/>
  <c r="AA304" i="17"/>
  <c r="AI304" i="17"/>
  <c r="K304" i="17"/>
  <c r="W304" i="17"/>
  <c r="AJ304" i="17"/>
  <c r="AQ304" i="17"/>
  <c r="O304" i="17"/>
  <c r="AV304" i="17"/>
  <c r="E304" i="17"/>
  <c r="AO304" i="17"/>
  <c r="AD304" i="17"/>
  <c r="P304" i="17"/>
  <c r="AL304" i="17"/>
  <c r="G304" i="17"/>
  <c r="AM304" i="17"/>
  <c r="X304" i="17"/>
  <c r="AH304" i="17"/>
  <c r="Y304" i="17"/>
  <c r="AF304" i="17"/>
  <c r="J304" i="17"/>
  <c r="N304" i="17"/>
  <c r="F304" i="17"/>
  <c r="Z304" i="17"/>
  <c r="R304" i="17"/>
  <c r="Q156" i="19"/>
  <c r="O156" i="19" s="1"/>
  <c r="P157" i="19"/>
  <c r="O157" i="19" s="1"/>
  <c r="M162" i="19"/>
  <c r="L162" i="19" s="1"/>
  <c r="M157" i="19"/>
  <c r="L157" i="19" s="1"/>
  <c r="G159" i="19"/>
  <c r="F159" i="19" s="1"/>
  <c r="G157" i="19"/>
  <c r="F157" i="19" s="1"/>
  <c r="Y124" i="11"/>
  <c r="AA73" i="17"/>
  <c r="AA70" i="17" s="1"/>
  <c r="AG33" i="17"/>
  <c r="AG30" i="17" s="1"/>
  <c r="AR17" i="17"/>
  <c r="N190" i="19"/>
  <c r="L17" i="19"/>
  <c r="K33" i="19"/>
  <c r="D76" i="16" s="1"/>
  <c r="BP16" i="29"/>
  <c r="BV16" i="29"/>
  <c r="T33" i="19"/>
  <c r="T6" i="19"/>
  <c r="R6" i="19" s="1"/>
  <c r="S190" i="19"/>
  <c r="S207" i="19" s="1"/>
  <c r="S196" i="19" s="1"/>
  <c r="S5" i="19"/>
  <c r="BK4" i="29"/>
  <c r="AK7" i="29"/>
  <c r="AL15" i="29"/>
  <c r="AL11" i="29"/>
  <c r="AL17" i="29"/>
  <c r="AL28" i="29"/>
  <c r="AL18" i="29"/>
  <c r="AL19" i="29"/>
  <c r="AK5" i="29"/>
  <c r="AL25" i="29"/>
  <c r="AK25" i="29" s="1"/>
  <c r="AK6" i="29"/>
  <c r="AL16" i="29"/>
  <c r="V98" i="11"/>
  <c r="AO100" i="11"/>
  <c r="AJ107" i="11"/>
  <c r="D107" i="11"/>
  <c r="F53" i="17"/>
  <c r="F50" i="17" s="1"/>
  <c r="E53" i="17"/>
  <c r="E50" i="17" s="1"/>
  <c r="E120" i="11"/>
  <c r="F259" i="17"/>
  <c r="C119" i="11"/>
  <c r="E259" i="17"/>
  <c r="E48" i="17"/>
  <c r="E45" i="17" s="1"/>
  <c r="AF259" i="17"/>
  <c r="AC119" i="11"/>
  <c r="S184" i="17"/>
  <c r="AP254" i="17"/>
  <c r="E254" i="17"/>
  <c r="AM254" i="17"/>
  <c r="R254" i="17"/>
  <c r="AV254" i="17"/>
  <c r="F254" i="17"/>
  <c r="V254" i="17"/>
  <c r="AO254" i="17"/>
  <c r="AI254" i="17"/>
  <c r="AJ254" i="17"/>
  <c r="Z254" i="17"/>
  <c r="AR254" i="17"/>
  <c r="W254" i="17"/>
  <c r="AS254" i="17"/>
  <c r="P254" i="17"/>
  <c r="Q254" i="17"/>
  <c r="AW250" i="17"/>
  <c r="AW251" i="17" s="1"/>
  <c r="AW252" i="17" s="1"/>
  <c r="AW253" i="17" s="1"/>
  <c r="AW254" i="17" s="1"/>
  <c r="H254" i="17"/>
  <c r="X254" i="17"/>
  <c r="J254" i="17"/>
  <c r="G254" i="17"/>
  <c r="AA254" i="17"/>
  <c r="AN254" i="17"/>
  <c r="AT254" i="17"/>
  <c r="AK254" i="17"/>
  <c r="AH254" i="17"/>
  <c r="AL254" i="17"/>
  <c r="S254" i="17"/>
  <c r="Y254" i="17"/>
  <c r="AE254" i="17"/>
  <c r="M254" i="17"/>
  <c r="I254" i="17"/>
  <c r="AQ254" i="17"/>
  <c r="L254" i="17"/>
  <c r="K254" i="17"/>
  <c r="AU254" i="17"/>
  <c r="AC254" i="17"/>
  <c r="AD254" i="17"/>
  <c r="AB254" i="17"/>
  <c r="AU150" i="17"/>
  <c r="G111" i="11"/>
  <c r="Z118" i="11"/>
  <c r="AB218" i="17"/>
  <c r="AH119" i="11"/>
  <c r="AK259" i="17"/>
  <c r="AJ259" i="17"/>
  <c r="AP128" i="11"/>
  <c r="J205" i="19"/>
  <c r="J179" i="19"/>
  <c r="AT298" i="17"/>
  <c r="AR47" i="11"/>
  <c r="AR46" i="11" s="1"/>
  <c r="AT287" i="17"/>
  <c r="AT285" i="17" s="1"/>
  <c r="AB298" i="17"/>
  <c r="Z47" i="11"/>
  <c r="Z46" i="11" s="1"/>
  <c r="AB287" i="17"/>
  <c r="AB285" i="17" s="1"/>
  <c r="AQ47" i="11"/>
  <c r="AS287" i="17"/>
  <c r="AS285" i="17" s="1"/>
  <c r="AS298" i="17"/>
  <c r="Y47" i="11"/>
  <c r="AA298" i="17"/>
  <c r="Y126" i="11" s="1"/>
  <c r="AA17" i="17"/>
  <c r="T47" i="11"/>
  <c r="T46" i="11" s="1"/>
  <c r="V298" i="17"/>
  <c r="AK298" i="17"/>
  <c r="AI47" i="11"/>
  <c r="AK287" i="17"/>
  <c r="AK285" i="17" s="1"/>
  <c r="X298" i="17"/>
  <c r="V47" i="11"/>
  <c r="V46" i="11" s="1"/>
  <c r="X287" i="17"/>
  <c r="X285" i="17" s="1"/>
  <c r="AV222" i="17"/>
  <c r="AV283" i="17"/>
  <c r="AT45" i="11"/>
  <c r="AT176" i="11" s="1"/>
  <c r="AV72" i="17"/>
  <c r="AV12" i="17" s="1"/>
  <c r="S72" i="17"/>
  <c r="S12" i="17" s="1"/>
  <c r="S222" i="17"/>
  <c r="O283" i="17"/>
  <c r="O222" i="17"/>
  <c r="M45" i="11"/>
  <c r="M176" i="11" s="1"/>
  <c r="O72" i="17"/>
  <c r="L283" i="17"/>
  <c r="L72" i="17"/>
  <c r="J45" i="11"/>
  <c r="J176" i="11" s="1"/>
  <c r="L222" i="17"/>
  <c r="AP283" i="17"/>
  <c r="AN45" i="11"/>
  <c r="AN176" i="11" s="1"/>
  <c r="AP72" i="17"/>
  <c r="AP222" i="17"/>
  <c r="AM45" i="11"/>
  <c r="AO222" i="17"/>
  <c r="AO72" i="17"/>
  <c r="AO283" i="17"/>
  <c r="V13" i="11"/>
  <c r="X113" i="17"/>
  <c r="I42" i="17"/>
  <c r="I113" i="17"/>
  <c r="G13" i="11"/>
  <c r="AU42" i="17"/>
  <c r="AS13" i="11"/>
  <c r="AU113" i="17"/>
  <c r="I13" i="11"/>
  <c r="K113" i="17"/>
  <c r="K42" i="17"/>
  <c r="Z42" i="17"/>
  <c r="X13" i="11"/>
  <c r="Z113" i="17"/>
  <c r="C33" i="15"/>
  <c r="B165" i="17"/>
  <c r="F46" i="8"/>
  <c r="C46" i="8" s="1"/>
  <c r="F72" i="8"/>
  <c r="C72" i="8" s="1"/>
  <c r="F85" i="8"/>
  <c r="C85" i="8" s="1"/>
  <c r="C7" i="8"/>
  <c r="S163" i="19"/>
  <c r="R163" i="19" s="1"/>
  <c r="P161" i="19"/>
  <c r="O161" i="19" s="1"/>
  <c r="AA220" i="17"/>
  <c r="AS89" i="17"/>
  <c r="AP87" i="11"/>
  <c r="L77" i="17"/>
  <c r="AP25" i="29"/>
  <c r="AO25" i="29" s="1"/>
  <c r="H103" i="19"/>
  <c r="F103" i="19" s="1"/>
  <c r="AX25" i="29"/>
  <c r="AW25" i="29" s="1"/>
  <c r="C190" i="19"/>
  <c r="G104" i="9"/>
  <c r="Q6" i="19"/>
  <c r="O6" i="19" s="1"/>
  <c r="Q61" i="19"/>
  <c r="O61" i="19" s="1"/>
  <c r="N11" i="19"/>
  <c r="L11" i="19" s="1"/>
  <c r="N47" i="19"/>
  <c r="L47" i="19" s="1"/>
  <c r="I25" i="29"/>
  <c r="AU77" i="17"/>
  <c r="AU75" i="17" s="1"/>
  <c r="I18" i="29"/>
  <c r="N27" i="29"/>
  <c r="M27" i="29" s="1"/>
  <c r="AE77" i="17"/>
  <c r="AE75" i="17" s="1"/>
  <c r="G6" i="29"/>
  <c r="F6" i="31" s="1"/>
  <c r="C75" i="8"/>
  <c r="Q45" i="11"/>
  <c r="Q176" i="11" s="1"/>
  <c r="AD428" i="17"/>
  <c r="G63" i="17"/>
  <c r="G60" i="17" s="1"/>
  <c r="C120" i="11"/>
  <c r="K290" i="17"/>
  <c r="AQ129" i="11"/>
  <c r="AD142" i="11"/>
  <c r="F42" i="27"/>
  <c r="D42" i="27" s="1"/>
  <c r="E43" i="27"/>
  <c r="E53" i="13"/>
  <c r="E58" i="34"/>
  <c r="E20" i="34" s="1"/>
  <c r="F149" i="11"/>
  <c r="D154" i="11"/>
  <c r="X158" i="11"/>
  <c r="AA469" i="17"/>
  <c r="G163" i="11"/>
  <c r="I433" i="17"/>
  <c r="AH120" i="11"/>
  <c r="M142" i="11"/>
  <c r="O33" i="17"/>
  <c r="O30" i="17" s="1"/>
  <c r="D383" i="17"/>
  <c r="AR179" i="17"/>
  <c r="AP104" i="11"/>
  <c r="AT80" i="17"/>
  <c r="F103" i="11"/>
  <c r="I174" i="17"/>
  <c r="B50" i="11"/>
  <c r="AA25" i="29"/>
  <c r="AD83" i="17"/>
  <c r="W80" i="17"/>
  <c r="AB30" i="17"/>
  <c r="BX25" i="29"/>
  <c r="CW4" i="29"/>
  <c r="BX27" i="29"/>
  <c r="BX19" i="29"/>
  <c r="BW7" i="29"/>
  <c r="BW5" i="29"/>
  <c r="BX16" i="29"/>
  <c r="BX11" i="29"/>
  <c r="BX28" i="29"/>
  <c r="BW28" i="29" s="1"/>
  <c r="BX18" i="29"/>
  <c r="BX15" i="29"/>
  <c r="BX17" i="29"/>
  <c r="BW6" i="29"/>
  <c r="C130" i="11"/>
  <c r="K53" i="17"/>
  <c r="K50" i="17" s="1"/>
  <c r="I133" i="11"/>
  <c r="X259" i="17"/>
  <c r="V119" i="11"/>
  <c r="L61" i="19"/>
  <c r="J298" i="17"/>
  <c r="H47" i="11"/>
  <c r="J287" i="17"/>
  <c r="J285" i="17" s="1"/>
  <c r="S298" i="17"/>
  <c r="Q47" i="11"/>
  <c r="Q46" i="11" s="1"/>
  <c r="S287" i="17"/>
  <c r="S285" i="17" s="1"/>
  <c r="N298" i="17"/>
  <c r="N18" i="17" s="1"/>
  <c r="N287" i="17"/>
  <c r="N285" i="17" s="1"/>
  <c r="L47" i="11"/>
  <c r="AL298" i="17"/>
  <c r="AL287" i="17"/>
  <c r="AL285" i="17" s="1"/>
  <c r="AJ47" i="11"/>
  <c r="AL17" i="17"/>
  <c r="F298" i="17"/>
  <c r="D47" i="11"/>
  <c r="F287" i="17"/>
  <c r="F285" i="17" s="1"/>
  <c r="O298" i="17"/>
  <c r="M47" i="11"/>
  <c r="F45" i="11"/>
  <c r="H283" i="17"/>
  <c r="H73" i="17" s="1"/>
  <c r="H222" i="17"/>
  <c r="AJ283" i="17"/>
  <c r="AJ222" i="17"/>
  <c r="AH45" i="11"/>
  <c r="AJ72" i="17"/>
  <c r="AQ283" i="17"/>
  <c r="AO45" i="11"/>
  <c r="AO176" i="11" s="1"/>
  <c r="AQ222" i="17"/>
  <c r="AK283" i="17"/>
  <c r="AI45" i="11"/>
  <c r="AK222" i="17"/>
  <c r="AK72" i="17"/>
  <c r="AR283" i="17"/>
  <c r="AR222" i="17"/>
  <c r="AP45" i="11"/>
  <c r="AR72" i="17"/>
  <c r="E42" i="17"/>
  <c r="E113" i="17"/>
  <c r="D112" i="17"/>
  <c r="D110" i="17" s="1"/>
  <c r="C13" i="11"/>
  <c r="AH13" i="11"/>
  <c r="AJ113" i="17"/>
  <c r="AJ42" i="17"/>
  <c r="AP13" i="11"/>
  <c r="AR113" i="17"/>
  <c r="AR42" i="17"/>
  <c r="W113" i="17"/>
  <c r="U13" i="11"/>
  <c r="C71" i="15"/>
  <c r="B440" i="17" s="1"/>
  <c r="B370" i="17"/>
  <c r="J160" i="19"/>
  <c r="I160" i="19" s="1"/>
  <c r="E118" i="11"/>
  <c r="AA18" i="29"/>
  <c r="I19" i="19"/>
  <c r="G201" i="19"/>
  <c r="G179" i="19"/>
  <c r="F41" i="23"/>
  <c r="H109" i="9" s="1"/>
  <c r="H16" i="19"/>
  <c r="F16" i="19" s="1"/>
  <c r="F383" i="20"/>
  <c r="Q22" i="29"/>
  <c r="D103" i="19"/>
  <c r="G377" i="20"/>
  <c r="G366" i="20" s="1"/>
  <c r="S77" i="17"/>
  <c r="S75" i="17" s="1"/>
  <c r="E377" i="20"/>
  <c r="E366" i="20" s="1"/>
  <c r="E382" i="20"/>
  <c r="E371" i="20" s="1"/>
  <c r="B279" i="11"/>
  <c r="E100" i="22"/>
  <c r="AA23" i="29"/>
  <c r="AA15" i="29"/>
  <c r="E383" i="20"/>
  <c r="AI17" i="17"/>
  <c r="R27" i="29"/>
  <c r="Q27" i="29" s="1"/>
  <c r="N377" i="20"/>
  <c r="N366" i="20" s="1"/>
  <c r="O21" i="29"/>
  <c r="O103" i="19"/>
  <c r="D164" i="19"/>
  <c r="C49" i="8"/>
  <c r="C76" i="8"/>
  <c r="AA36" i="29"/>
  <c r="C93" i="8"/>
  <c r="O11" i="29"/>
  <c r="C96" i="8"/>
  <c r="D413" i="17"/>
  <c r="H72" i="17"/>
  <c r="AI428" i="17"/>
  <c r="W42" i="17"/>
  <c r="AM42" i="17"/>
  <c r="AU16" i="29"/>
  <c r="I158" i="19"/>
  <c r="AT17" i="17"/>
  <c r="B52" i="11"/>
  <c r="AJ287" i="17"/>
  <c r="AJ285" i="17" s="1"/>
  <c r="W164" i="17"/>
  <c r="AF38" i="17"/>
  <c r="AF35" i="17" s="1"/>
  <c r="K6" i="19"/>
  <c r="I6" i="19" s="1"/>
  <c r="V287" i="17"/>
  <c r="V285" i="17" s="1"/>
  <c r="T287" i="17"/>
  <c r="T285" i="17" s="1"/>
  <c r="D333" i="17"/>
  <c r="G14" i="22" s="1"/>
  <c r="AP38" i="17"/>
  <c r="T89" i="19"/>
  <c r="R89" i="19" s="1"/>
  <c r="K129" i="11"/>
  <c r="D146" i="11"/>
  <c r="D403" i="17"/>
  <c r="Q155" i="11"/>
  <c r="S33" i="17"/>
  <c r="S30" i="17" s="1"/>
  <c r="V163" i="11"/>
  <c r="X433" i="17"/>
  <c r="Y33" i="29"/>
  <c r="Y22" i="29"/>
  <c r="Q104" i="11"/>
  <c r="S179" i="17"/>
  <c r="G150" i="17"/>
  <c r="J116" i="11"/>
  <c r="L33" i="17"/>
  <c r="L30" i="17" s="1"/>
  <c r="AP129" i="11"/>
  <c r="AR33" i="17"/>
  <c r="AR30" i="17" s="1"/>
  <c r="X129" i="11"/>
  <c r="I17" i="29"/>
  <c r="K105" i="11"/>
  <c r="M184" i="17"/>
  <c r="N184" i="17"/>
  <c r="AK105" i="11"/>
  <c r="AN184" i="17"/>
  <c r="N148" i="11"/>
  <c r="B74" i="11"/>
  <c r="AM161" i="11"/>
  <c r="AO63" i="17"/>
  <c r="AO60" i="17" s="1"/>
  <c r="AA104" i="11"/>
  <c r="L98" i="11"/>
  <c r="L101" i="11"/>
  <c r="N164" i="17"/>
  <c r="X33" i="17"/>
  <c r="X30" i="17" s="1"/>
  <c r="V103" i="11"/>
  <c r="M63" i="17"/>
  <c r="M60" i="17" s="1"/>
  <c r="X42" i="17"/>
  <c r="AA19" i="29"/>
  <c r="H155" i="11"/>
  <c r="J33" i="17"/>
  <c r="J30" i="17" s="1"/>
  <c r="AR159" i="11"/>
  <c r="AT53" i="17"/>
  <c r="AT50" i="17" s="1"/>
  <c r="Q163" i="11"/>
  <c r="AD91" i="11"/>
  <c r="AF109" i="17"/>
  <c r="AG109" i="17"/>
  <c r="E94" i="11"/>
  <c r="D123" i="17"/>
  <c r="G124" i="17"/>
  <c r="AD95" i="11"/>
  <c r="AF129" i="17"/>
  <c r="H97" i="11"/>
  <c r="G80" i="17"/>
  <c r="U98" i="11"/>
  <c r="AE159" i="17"/>
  <c r="AB100" i="11"/>
  <c r="T7" i="19"/>
  <c r="R7" i="19" s="1"/>
  <c r="AG42" i="17"/>
  <c r="N104" i="11"/>
  <c r="F108" i="11"/>
  <c r="AJ108" i="11"/>
  <c r="AM199" i="17"/>
  <c r="Y113" i="11"/>
  <c r="AU290" i="17"/>
  <c r="AS33" i="17"/>
  <c r="AS30" i="17" s="1"/>
  <c r="F358" i="17"/>
  <c r="R107" i="11"/>
  <c r="T53" i="17"/>
  <c r="T50" i="17" s="1"/>
  <c r="T107" i="11"/>
  <c r="W194" i="17"/>
  <c r="V53" i="17"/>
  <c r="V50" i="17" s="1"/>
  <c r="X150" i="17"/>
  <c r="X174" i="17"/>
  <c r="P120" i="11"/>
  <c r="R53" i="17"/>
  <c r="R50" i="17" s="1"/>
  <c r="U120" i="11"/>
  <c r="AW33" i="29"/>
  <c r="AW22" i="29"/>
  <c r="AW23" i="29"/>
  <c r="AW21" i="29"/>
  <c r="AJ329" i="17"/>
  <c r="AH132" i="11"/>
  <c r="AK329" i="17"/>
  <c r="O133" i="11"/>
  <c r="F163" i="11"/>
  <c r="H433" i="17"/>
  <c r="H33" i="17"/>
  <c r="H30" i="17" s="1"/>
  <c r="F63" i="17"/>
  <c r="F60" i="17" s="1"/>
  <c r="S118" i="11"/>
  <c r="T72" i="17"/>
  <c r="Y150" i="17"/>
  <c r="H119" i="11"/>
  <c r="J259" i="17"/>
  <c r="K259" i="17"/>
  <c r="X184" i="17"/>
  <c r="W184" i="17"/>
  <c r="AT184" i="17"/>
  <c r="CG6" i="10"/>
  <c r="I11" i="22"/>
  <c r="V120" i="11"/>
  <c r="X53" i="17"/>
  <c r="X50" i="17" s="1"/>
  <c r="B320" i="17"/>
  <c r="AA324" i="17" s="1"/>
  <c r="C62" i="15"/>
  <c r="I150" i="17"/>
  <c r="AE150" i="17"/>
  <c r="J5" i="19"/>
  <c r="S47" i="11"/>
  <c r="S46" i="11" s="1"/>
  <c r="U298" i="17"/>
  <c r="U287" i="17"/>
  <c r="U285" i="17" s="1"/>
  <c r="U17" i="17"/>
  <c r="AC298" i="17"/>
  <c r="AA47" i="11"/>
  <c r="AC287" i="17"/>
  <c r="AC285" i="17" s="1"/>
  <c r="AC17" i="17"/>
  <c r="AT47" i="11"/>
  <c r="AV298" i="17"/>
  <c r="P298" i="17"/>
  <c r="N47" i="11"/>
  <c r="P287" i="17"/>
  <c r="P285" i="17" s="1"/>
  <c r="P17" i="17"/>
  <c r="G298" i="17"/>
  <c r="G18" i="17" s="1"/>
  <c r="E47" i="11"/>
  <c r="G287" i="17"/>
  <c r="G285" i="17" s="1"/>
  <c r="AE47" i="11"/>
  <c r="AG287" i="17"/>
  <c r="AG285" i="17" s="1"/>
  <c r="AG298" i="17"/>
  <c r="AG17" i="17"/>
  <c r="AC47" i="11"/>
  <c r="AE298" i="17"/>
  <c r="AE287" i="17"/>
  <c r="AE285" i="17" s="1"/>
  <c r="Q298" i="17"/>
  <c r="O47" i="11"/>
  <c r="Q287" i="17"/>
  <c r="Q285" i="17" s="1"/>
  <c r="AD298" i="17"/>
  <c r="AB47" i="11"/>
  <c r="AB46" i="11" s="1"/>
  <c r="AD17" i="17"/>
  <c r="J47" i="11"/>
  <c r="L298" i="17"/>
  <c r="L287" i="17"/>
  <c r="L285" i="17" s="1"/>
  <c r="Y298" i="17"/>
  <c r="Y18" i="17" s="1"/>
  <c r="W47" i="11"/>
  <c r="W46" i="11" s="1"/>
  <c r="AL283" i="17"/>
  <c r="AL73" i="17" s="1"/>
  <c r="AL72" i="17"/>
  <c r="AJ45" i="11"/>
  <c r="AJ176" i="11" s="1"/>
  <c r="AU283" i="17"/>
  <c r="AS45" i="11"/>
  <c r="AU222" i="17"/>
  <c r="AC45" i="11"/>
  <c r="AC176" i="11" s="1"/>
  <c r="AE222" i="17"/>
  <c r="AE283" i="17"/>
  <c r="V222" i="17"/>
  <c r="T45" i="11"/>
  <c r="T176" i="11" s="1"/>
  <c r="V72" i="17"/>
  <c r="V283" i="17"/>
  <c r="Q222" i="17"/>
  <c r="O45" i="11"/>
  <c r="O176" i="11" s="1"/>
  <c r="Q283" i="17"/>
  <c r="Q72" i="17"/>
  <c r="Q12" i="17" s="1"/>
  <c r="AI283" i="17"/>
  <c r="AG45" i="11"/>
  <c r="AG176" i="11" s="1"/>
  <c r="AI222" i="17"/>
  <c r="AI72" i="17"/>
  <c r="I283" i="17"/>
  <c r="G45" i="11"/>
  <c r="G176" i="11" s="1"/>
  <c r="I222" i="17"/>
  <c r="I220" i="17" s="1"/>
  <c r="Z283" i="17"/>
  <c r="X45" i="11"/>
  <c r="X176" i="11" s="1"/>
  <c r="Z222" i="17"/>
  <c r="Z72" i="17"/>
  <c r="AK45" i="11"/>
  <c r="AM283" i="17"/>
  <c r="AM73" i="17" s="1"/>
  <c r="AM72" i="17"/>
  <c r="AM222" i="17"/>
  <c r="AA45" i="11"/>
  <c r="AA176" i="11" s="1"/>
  <c r="AC72" i="17"/>
  <c r="AC222" i="17"/>
  <c r="AC283" i="17"/>
  <c r="AT283" i="17"/>
  <c r="AT73" i="17" s="1"/>
  <c r="AT222" i="17"/>
  <c r="AR45" i="11"/>
  <c r="AR176" i="11" s="1"/>
  <c r="AW140" i="17"/>
  <c r="AW141" i="17" s="1"/>
  <c r="AW142" i="17" s="1"/>
  <c r="AW143" i="17" s="1"/>
  <c r="AW144" i="17" s="1"/>
  <c r="P144" i="17"/>
  <c r="G144" i="17"/>
  <c r="H144" i="17"/>
  <c r="S144" i="17"/>
  <c r="O144" i="17"/>
  <c r="AS144" i="17"/>
  <c r="F144" i="17"/>
  <c r="AC144" i="17"/>
  <c r="AB144" i="17"/>
  <c r="R144" i="17"/>
  <c r="X144" i="17"/>
  <c r="W144" i="17"/>
  <c r="AN144" i="17"/>
  <c r="AR144" i="17"/>
  <c r="AD144" i="17"/>
  <c r="AT144" i="17"/>
  <c r="N144" i="17"/>
  <c r="AI144" i="17"/>
  <c r="AM144" i="17"/>
  <c r="AU124" i="17"/>
  <c r="W124" i="17"/>
  <c r="W13" i="11"/>
  <c r="Y42" i="17"/>
  <c r="Y113" i="17"/>
  <c r="AB113" i="17"/>
  <c r="AB43" i="17" s="1"/>
  <c r="AB40" i="17" s="1"/>
  <c r="Z13" i="11"/>
  <c r="AN113" i="17"/>
  <c r="AL13" i="11"/>
  <c r="AO113" i="17"/>
  <c r="AO42" i="17"/>
  <c r="AM13" i="11"/>
  <c r="P13" i="11"/>
  <c r="R113" i="17"/>
  <c r="R42" i="17"/>
  <c r="T113" i="17"/>
  <c r="R13" i="11"/>
  <c r="AA13" i="11"/>
  <c r="AC113" i="17"/>
  <c r="N13" i="11"/>
  <c r="P113" i="17"/>
  <c r="AA113" i="17"/>
  <c r="AA43" i="17" s="1"/>
  <c r="AA40" i="17" s="1"/>
  <c r="Y13" i="11"/>
  <c r="L13" i="11"/>
  <c r="N113" i="17"/>
  <c r="N43" i="17" s="1"/>
  <c r="N40" i="17" s="1"/>
  <c r="AP113" i="17"/>
  <c r="AN13" i="11"/>
  <c r="AP42" i="17"/>
  <c r="C57" i="14"/>
  <c r="C53" i="14"/>
  <c r="C137" i="11"/>
  <c r="D353" i="17"/>
  <c r="AT290" i="17"/>
  <c r="Q3" i="13"/>
  <c r="O3" i="13"/>
  <c r="P3" i="13"/>
  <c r="S3" i="13"/>
  <c r="R3" i="13"/>
  <c r="L117" i="19"/>
  <c r="L103" i="19"/>
  <c r="G161" i="19"/>
  <c r="F161" i="19" s="1"/>
  <c r="S161" i="19"/>
  <c r="R161" i="19" s="1"/>
  <c r="G134" i="19"/>
  <c r="F134" i="19" s="1"/>
  <c r="G158" i="19"/>
  <c r="F158" i="19" s="1"/>
  <c r="J163" i="19"/>
  <c r="I163" i="19" s="1"/>
  <c r="N158" i="19"/>
  <c r="M158" i="19" s="1"/>
  <c r="L158" i="19" s="1"/>
  <c r="O259" i="17"/>
  <c r="AN349" i="17"/>
  <c r="M349" i="17"/>
  <c r="AF349" i="17"/>
  <c r="AT349" i="17"/>
  <c r="T349" i="17"/>
  <c r="AC87" i="11"/>
  <c r="AE89" i="17"/>
  <c r="L17" i="17"/>
  <c r="AA16" i="29"/>
  <c r="N18" i="19"/>
  <c r="O19" i="19"/>
  <c r="M5" i="19"/>
  <c r="M190" i="19"/>
  <c r="G5" i="19"/>
  <c r="O329" i="20"/>
  <c r="O330" i="20" s="1"/>
  <c r="H329" i="20"/>
  <c r="H330" i="20" s="1"/>
  <c r="S329" i="20"/>
  <c r="S330" i="20" s="1"/>
  <c r="I329" i="20"/>
  <c r="I330" i="20" s="1"/>
  <c r="K329" i="20"/>
  <c r="K330" i="20" s="1"/>
  <c r="G329" i="20"/>
  <c r="G330" i="20" s="1"/>
  <c r="L329" i="20"/>
  <c r="L330" i="20" s="1"/>
  <c r="M329" i="20"/>
  <c r="M330" i="20" s="1"/>
  <c r="N329" i="20"/>
  <c r="N330" i="20" s="1"/>
  <c r="E329" i="20"/>
  <c r="E330" i="20" s="1"/>
  <c r="J329" i="20"/>
  <c r="J330" i="20" s="1"/>
  <c r="F329" i="20"/>
  <c r="F330" i="20" s="1"/>
  <c r="P329" i="20"/>
  <c r="P330" i="20" s="1"/>
  <c r="Q329" i="20"/>
  <c r="Q330" i="20" s="1"/>
  <c r="M305" i="20"/>
  <c r="M306" i="20" s="1"/>
  <c r="P305" i="20"/>
  <c r="P306" i="20" s="1"/>
  <c r="O305" i="20"/>
  <c r="O306" i="20" s="1"/>
  <c r="I305" i="20"/>
  <c r="I306" i="20" s="1"/>
  <c r="J305" i="20"/>
  <c r="J306" i="20" s="1"/>
  <c r="H305" i="20"/>
  <c r="H306" i="20" s="1"/>
  <c r="K305" i="20"/>
  <c r="K306" i="20" s="1"/>
  <c r="Q305" i="20"/>
  <c r="Q306" i="20" s="1"/>
  <c r="L305" i="20"/>
  <c r="L306" i="20" s="1"/>
  <c r="T305" i="20"/>
  <c r="T306" i="20" s="1"/>
  <c r="N305" i="20"/>
  <c r="N306" i="20" s="1"/>
  <c r="E305" i="20"/>
  <c r="E306" i="20" s="1"/>
  <c r="F305" i="20"/>
  <c r="F306" i="20" s="1"/>
  <c r="G305" i="20"/>
  <c r="G306" i="20" s="1"/>
  <c r="R305" i="20"/>
  <c r="R306" i="20" s="1"/>
  <c r="I291" i="20"/>
  <c r="I292" i="20" s="1"/>
  <c r="T291" i="20"/>
  <c r="T292" i="20" s="1"/>
  <c r="P291" i="20"/>
  <c r="P292" i="20" s="1"/>
  <c r="E291" i="20"/>
  <c r="E292" i="20" s="1"/>
  <c r="M291" i="20"/>
  <c r="M292" i="20" s="1"/>
  <c r="O291" i="20"/>
  <c r="O292" i="20" s="1"/>
  <c r="K291" i="20"/>
  <c r="K292" i="20" s="1"/>
  <c r="N291" i="20"/>
  <c r="N292" i="20" s="1"/>
  <c r="J291" i="20"/>
  <c r="J292" i="20" s="1"/>
  <c r="L291" i="20"/>
  <c r="L292" i="20" s="1"/>
  <c r="G291" i="20"/>
  <c r="G292" i="20" s="1"/>
  <c r="H291" i="20"/>
  <c r="H292" i="20" s="1"/>
  <c r="F291" i="20"/>
  <c r="F292" i="20" s="1"/>
  <c r="Q291" i="20"/>
  <c r="Q292" i="20" s="1"/>
  <c r="P229" i="20"/>
  <c r="P230" i="20" s="1"/>
  <c r="O229" i="20"/>
  <c r="O230" i="20" s="1"/>
  <c r="N229" i="20"/>
  <c r="N230" i="20" s="1"/>
  <c r="I229" i="20"/>
  <c r="I230" i="20" s="1"/>
  <c r="H229" i="20"/>
  <c r="H230" i="20" s="1"/>
  <c r="G229" i="20"/>
  <c r="G230" i="20" s="1"/>
  <c r="J229" i="20"/>
  <c r="J230" i="20" s="1"/>
  <c r="T229" i="20"/>
  <c r="T230" i="20" s="1"/>
  <c r="M229" i="20"/>
  <c r="M230" i="20" s="1"/>
  <c r="L229" i="20"/>
  <c r="L230" i="20" s="1"/>
  <c r="K229" i="20"/>
  <c r="K230" i="20" s="1"/>
  <c r="S229" i="20"/>
  <c r="S230" i="20" s="1"/>
  <c r="F229" i="20"/>
  <c r="F230" i="20" s="1"/>
  <c r="E229" i="20"/>
  <c r="E230" i="20" s="1"/>
  <c r="Q229" i="20"/>
  <c r="Q230" i="20" s="1"/>
  <c r="M323" i="20"/>
  <c r="M324" i="20" s="1"/>
  <c r="N323" i="20"/>
  <c r="N324" i="20" s="1"/>
  <c r="E323" i="20"/>
  <c r="E324" i="20" s="1"/>
  <c r="L323" i="20"/>
  <c r="L324" i="20" s="1"/>
  <c r="J323" i="20"/>
  <c r="J324" i="20" s="1"/>
  <c r="R323" i="20"/>
  <c r="R324" i="20" s="1"/>
  <c r="K323" i="20"/>
  <c r="K324" i="20" s="1"/>
  <c r="Q323" i="20"/>
  <c r="Q324" i="20" s="1"/>
  <c r="P323" i="20"/>
  <c r="P324" i="20" s="1"/>
  <c r="O323" i="20"/>
  <c r="O324" i="20" s="1"/>
  <c r="H323" i="20"/>
  <c r="H324" i="20" s="1"/>
  <c r="F323" i="20"/>
  <c r="F324" i="20" s="1"/>
  <c r="G323" i="20"/>
  <c r="G324" i="20" s="1"/>
  <c r="I323" i="20"/>
  <c r="I324" i="20" s="1"/>
  <c r="J135" i="19"/>
  <c r="I135" i="19" s="1"/>
  <c r="M242" i="20"/>
  <c r="M164" i="19"/>
  <c r="AS81" i="11"/>
  <c r="AU478" i="17"/>
  <c r="AU57" i="17"/>
  <c r="U478" i="17"/>
  <c r="S81" i="11"/>
  <c r="S72" i="11" s="1"/>
  <c r="U427" i="17"/>
  <c r="U57" i="17"/>
  <c r="AP478" i="17"/>
  <c r="AN81" i="11"/>
  <c r="AN72" i="11" s="1"/>
  <c r="AP427" i="17"/>
  <c r="AP57" i="17"/>
  <c r="P478" i="17"/>
  <c r="N81" i="11"/>
  <c r="P57" i="17"/>
  <c r="AG478" i="17"/>
  <c r="AE81" i="11"/>
  <c r="G478" i="17"/>
  <c r="E81" i="11"/>
  <c r="G57" i="17"/>
  <c r="AB478" i="17"/>
  <c r="Z81" i="11"/>
  <c r="AB57" i="17"/>
  <c r="AQ81" i="11"/>
  <c r="AS478" i="17"/>
  <c r="AS57" i="17"/>
  <c r="AJ80" i="11"/>
  <c r="AL473" i="17"/>
  <c r="AL427" i="17"/>
  <c r="N80" i="11"/>
  <c r="P473" i="17"/>
  <c r="P427" i="17"/>
  <c r="P52" i="17"/>
  <c r="AE80" i="11"/>
  <c r="AG473" i="17"/>
  <c r="AG52" i="17"/>
  <c r="AG427" i="17"/>
  <c r="AQ64" i="11"/>
  <c r="AQ59" i="11" s="1"/>
  <c r="AS388" i="17"/>
  <c r="AS357" i="17"/>
  <c r="AS37" i="17"/>
  <c r="AA388" i="17"/>
  <c r="AA357" i="17"/>
  <c r="Y64" i="11"/>
  <c r="AA37" i="17"/>
  <c r="AP64" i="11"/>
  <c r="AR37" i="17"/>
  <c r="AR388" i="17"/>
  <c r="AR357" i="17"/>
  <c r="T64" i="11"/>
  <c r="T59" i="11" s="1"/>
  <c r="V388" i="17"/>
  <c r="V357" i="17"/>
  <c r="AG64" i="11"/>
  <c r="AI388" i="17"/>
  <c r="AI38" i="17" s="1"/>
  <c r="AI357" i="17"/>
  <c r="AI37" i="17"/>
  <c r="G64" i="11"/>
  <c r="I357" i="17"/>
  <c r="I388" i="17"/>
  <c r="I37" i="17"/>
  <c r="AD388" i="17"/>
  <c r="AB64" i="11"/>
  <c r="AD37" i="17"/>
  <c r="AD357" i="17"/>
  <c r="T357" i="17"/>
  <c r="R64" i="11"/>
  <c r="T388" i="17"/>
  <c r="T37" i="17"/>
  <c r="M278" i="20"/>
  <c r="G264" i="20"/>
  <c r="AB36" i="11"/>
  <c r="AD238" i="17"/>
  <c r="AD27" i="17"/>
  <c r="F36" i="11"/>
  <c r="H238" i="17"/>
  <c r="H27" i="17"/>
  <c r="W36" i="11"/>
  <c r="Y238" i="17"/>
  <c r="AP238" i="17"/>
  <c r="AN36" i="11"/>
  <c r="R36" i="11"/>
  <c r="T238" i="17"/>
  <c r="T27" i="17"/>
  <c r="AI36" i="11"/>
  <c r="AK238" i="17"/>
  <c r="I36" i="11"/>
  <c r="K238" i="17"/>
  <c r="AF238" i="17"/>
  <c r="AD36" i="11"/>
  <c r="G35" i="11"/>
  <c r="I233" i="17"/>
  <c r="I217" i="17"/>
  <c r="AB35" i="11"/>
  <c r="AD233" i="17"/>
  <c r="AD23" i="17" s="1"/>
  <c r="AD217" i="17"/>
  <c r="H233" i="17"/>
  <c r="F35" i="11"/>
  <c r="H217" i="17"/>
  <c r="U233" i="17"/>
  <c r="S35" i="11"/>
  <c r="U217" i="17"/>
  <c r="AN35" i="11"/>
  <c r="AP233" i="17"/>
  <c r="AP217" i="17"/>
  <c r="R35" i="11"/>
  <c r="T233" i="17"/>
  <c r="T217" i="17"/>
  <c r="F233" i="17"/>
  <c r="D35" i="11"/>
  <c r="F217" i="17"/>
  <c r="Y35" i="11"/>
  <c r="AA233" i="17"/>
  <c r="AA217" i="17"/>
  <c r="AT35" i="11"/>
  <c r="AV233" i="17"/>
  <c r="AV217" i="17"/>
  <c r="AF27" i="17"/>
  <c r="AD23" i="11"/>
  <c r="AF168" i="17"/>
  <c r="AF147" i="17"/>
  <c r="E23" i="11"/>
  <c r="G168" i="17"/>
  <c r="G147" i="17"/>
  <c r="G27" i="17"/>
  <c r="Q168" i="17"/>
  <c r="O23" i="11"/>
  <c r="Q27" i="17"/>
  <c r="Q147" i="17"/>
  <c r="AJ23" i="11"/>
  <c r="AL168" i="17"/>
  <c r="AL147" i="17"/>
  <c r="AL27" i="17"/>
  <c r="U168" i="17"/>
  <c r="U27" i="17"/>
  <c r="S23" i="11"/>
  <c r="U147" i="17"/>
  <c r="O168" i="17"/>
  <c r="M23" i="11"/>
  <c r="O147" i="17"/>
  <c r="O27" i="17"/>
  <c r="AO168" i="17"/>
  <c r="AO147" i="17"/>
  <c r="AM23" i="11"/>
  <c r="AO27" i="17"/>
  <c r="BS4" i="29"/>
  <c r="AT18" i="29"/>
  <c r="AT25" i="29"/>
  <c r="AT28" i="29"/>
  <c r="AS6" i="29"/>
  <c r="AS5" i="29"/>
  <c r="AT19" i="29"/>
  <c r="AT16" i="29"/>
  <c r="AS7" i="29"/>
  <c r="AT11" i="29"/>
  <c r="AT15" i="29"/>
  <c r="AT17" i="29"/>
  <c r="AG130" i="11"/>
  <c r="L130" i="11"/>
  <c r="D318" i="17"/>
  <c r="N38" i="17"/>
  <c r="N35" i="17" s="1"/>
  <c r="B60" i="11"/>
  <c r="B24" i="11"/>
  <c r="Q124" i="11"/>
  <c r="S223" i="17"/>
  <c r="S73" i="17"/>
  <c r="AJ150" i="11"/>
  <c r="Q117" i="11"/>
  <c r="AO360" i="17"/>
  <c r="D490" i="17"/>
  <c r="D432" i="17"/>
  <c r="AN431" i="17" s="1"/>
  <c r="B156" i="11"/>
  <c r="F117" i="11"/>
  <c r="Y121" i="11"/>
  <c r="I121" i="11"/>
  <c r="B71" i="11"/>
  <c r="AJ360" i="17"/>
  <c r="H276" i="20"/>
  <c r="D435" i="17"/>
  <c r="AD285" i="17"/>
  <c r="AN285" i="17"/>
  <c r="G248" i="20"/>
  <c r="N17" i="17"/>
  <c r="L8" i="11"/>
  <c r="X88" i="17"/>
  <c r="Y89" i="17" s="1"/>
  <c r="X17" i="17"/>
  <c r="V8" i="11"/>
  <c r="O17" i="17"/>
  <c r="O88" i="17"/>
  <c r="O89" i="17" s="1"/>
  <c r="M8" i="11"/>
  <c r="L89" i="19"/>
  <c r="AA285" i="17"/>
  <c r="AN291" i="17"/>
  <c r="AN290" i="17"/>
  <c r="M139" i="19"/>
  <c r="L139" i="19" s="1"/>
  <c r="AP204" i="17"/>
  <c r="AO204" i="17"/>
  <c r="AR204" i="17"/>
  <c r="L204" i="17"/>
  <c r="S204" i="17"/>
  <c r="AQ204" i="17"/>
  <c r="N204" i="17"/>
  <c r="AW200" i="17"/>
  <c r="AW201" i="17" s="1"/>
  <c r="AW202" i="17" s="1"/>
  <c r="AW203" i="17" s="1"/>
  <c r="AW204" i="17" s="1"/>
  <c r="X204" i="17"/>
  <c r="AE204" i="17"/>
  <c r="R204" i="17"/>
  <c r="I204" i="17"/>
  <c r="AI204" i="17"/>
  <c r="AF204" i="17"/>
  <c r="H204" i="17"/>
  <c r="Q204" i="17"/>
  <c r="AD204" i="17"/>
  <c r="AM204" i="17"/>
  <c r="Z204" i="17"/>
  <c r="AA204" i="17"/>
  <c r="V204" i="17"/>
  <c r="AN204" i="17"/>
  <c r="O204" i="17"/>
  <c r="AU204" i="17"/>
  <c r="U204" i="17"/>
  <c r="AS204" i="17"/>
  <c r="G204" i="17"/>
  <c r="AG204" i="17"/>
  <c r="W204" i="17"/>
  <c r="AT204" i="17"/>
  <c r="AH204" i="17"/>
  <c r="AB204" i="17"/>
  <c r="Y204" i="17"/>
  <c r="P204" i="17"/>
  <c r="M204" i="17"/>
  <c r="AC204" i="17"/>
  <c r="CD6" i="10"/>
  <c r="L89" i="17"/>
  <c r="J87" i="11"/>
  <c r="B34" i="10"/>
  <c r="B16" i="6"/>
  <c r="C79" i="8"/>
  <c r="C89" i="8"/>
  <c r="Q133" i="19"/>
  <c r="K133" i="19"/>
  <c r="B55" i="11"/>
  <c r="AU11" i="29"/>
  <c r="AU18" i="29"/>
  <c r="M341" i="20"/>
  <c r="M342" i="20" s="1"/>
  <c r="N341" i="20"/>
  <c r="N342" i="20" s="1"/>
  <c r="J341" i="20"/>
  <c r="J342" i="20" s="1"/>
  <c r="T341" i="20"/>
  <c r="T342" i="20" s="1"/>
  <c r="L341" i="20"/>
  <c r="L342" i="20" s="1"/>
  <c r="G341" i="20"/>
  <c r="G342" i="20" s="1"/>
  <c r="E341" i="20"/>
  <c r="E342" i="20" s="1"/>
  <c r="P341" i="20"/>
  <c r="P342" i="20" s="1"/>
  <c r="F341" i="20"/>
  <c r="F342" i="20" s="1"/>
  <c r="O341" i="20"/>
  <c r="O342" i="20" s="1"/>
  <c r="K341" i="20"/>
  <c r="K342" i="20" s="1"/>
  <c r="H341" i="20"/>
  <c r="H342" i="20" s="1"/>
  <c r="I341" i="20"/>
  <c r="I342" i="20" s="1"/>
  <c r="J164" i="19"/>
  <c r="K170" i="19" s="1"/>
  <c r="I170" i="19" s="1"/>
  <c r="R25" i="29"/>
  <c r="Q25" i="29" s="1"/>
  <c r="P25" i="29"/>
  <c r="O25" i="29" s="1"/>
  <c r="X25" i="29"/>
  <c r="W25" i="29" s="1"/>
  <c r="V25" i="29"/>
  <c r="U25" i="29" s="1"/>
  <c r="Z25" i="29"/>
  <c r="Y25" i="29" s="1"/>
  <c r="T25" i="29"/>
  <c r="S25" i="29" s="1"/>
  <c r="L10" i="19"/>
  <c r="M283" i="20"/>
  <c r="M284" i="20" s="1"/>
  <c r="N283" i="20"/>
  <c r="N284" i="20" s="1"/>
  <c r="L283" i="20"/>
  <c r="L284" i="20" s="1"/>
  <c r="O283" i="20"/>
  <c r="O284" i="20" s="1"/>
  <c r="F283" i="20"/>
  <c r="F284" i="20" s="1"/>
  <c r="G283" i="20"/>
  <c r="G284" i="20" s="1"/>
  <c r="K283" i="20"/>
  <c r="K284" i="20" s="1"/>
  <c r="I283" i="20"/>
  <c r="I284" i="20" s="1"/>
  <c r="E283" i="20"/>
  <c r="E284" i="20" s="1"/>
  <c r="P283" i="20"/>
  <c r="P284" i="20" s="1"/>
  <c r="H283" i="20"/>
  <c r="H284" i="20" s="1"/>
  <c r="Q283" i="20"/>
  <c r="Q284" i="20" s="1"/>
  <c r="J283" i="20"/>
  <c r="J284" i="20" s="1"/>
  <c r="P213" i="20"/>
  <c r="P214" i="20" s="1"/>
  <c r="N213" i="20"/>
  <c r="N214" i="20" s="1"/>
  <c r="I213" i="20"/>
  <c r="I214" i="20" s="1"/>
  <c r="H213" i="20"/>
  <c r="H214" i="20" s="1"/>
  <c r="G213" i="20"/>
  <c r="G214" i="20" s="1"/>
  <c r="J213" i="20"/>
  <c r="J214" i="20" s="1"/>
  <c r="M213" i="20"/>
  <c r="M214" i="20" s="1"/>
  <c r="L213" i="20"/>
  <c r="L214" i="20" s="1"/>
  <c r="K213" i="20"/>
  <c r="K214" i="20" s="1"/>
  <c r="F213" i="20"/>
  <c r="F214" i="20" s="1"/>
  <c r="O213" i="20"/>
  <c r="O214" i="20" s="1"/>
  <c r="E213" i="20"/>
  <c r="E214" i="20" s="1"/>
  <c r="Q213" i="20"/>
  <c r="Q214" i="20" s="1"/>
  <c r="E6" i="8"/>
  <c r="R25" i="7"/>
  <c r="R38" i="7" s="1"/>
  <c r="S164" i="19"/>
  <c r="AE478" i="17"/>
  <c r="AC81" i="11"/>
  <c r="AE427" i="17"/>
  <c r="AE57" i="17"/>
  <c r="D477" i="17"/>
  <c r="D475" i="17" s="1"/>
  <c r="E478" i="17"/>
  <c r="C81" i="11"/>
  <c r="E427" i="17"/>
  <c r="E57" i="17"/>
  <c r="X81" i="11"/>
  <c r="X72" i="11" s="1"/>
  <c r="Z427" i="17"/>
  <c r="Z478" i="17"/>
  <c r="Z57" i="17"/>
  <c r="AO81" i="11"/>
  <c r="AO72" i="11" s="1"/>
  <c r="AQ478" i="17"/>
  <c r="AQ57" i="17"/>
  <c r="AQ427" i="17"/>
  <c r="O81" i="11"/>
  <c r="Q478" i="17"/>
  <c r="Q57" i="17"/>
  <c r="Q427" i="17"/>
  <c r="AJ81" i="11"/>
  <c r="AL478" i="17"/>
  <c r="AL58" i="17" s="1"/>
  <c r="L478" i="17"/>
  <c r="J81" i="11"/>
  <c r="L57" i="17"/>
  <c r="L427" i="17"/>
  <c r="AC478" i="17"/>
  <c r="AA81" i="11"/>
  <c r="AA72" i="11" s="1"/>
  <c r="AC57" i="17"/>
  <c r="AC427" i="17"/>
  <c r="L80" i="11"/>
  <c r="L72" i="11" s="1"/>
  <c r="N473" i="17"/>
  <c r="N427" i="17"/>
  <c r="N52" i="17"/>
  <c r="AS80" i="11"/>
  <c r="AU473" i="17"/>
  <c r="AU427" i="17"/>
  <c r="AU52" i="17"/>
  <c r="I473" i="17"/>
  <c r="I427" i="17"/>
  <c r="G80" i="11"/>
  <c r="I52" i="17"/>
  <c r="AC388" i="17"/>
  <c r="AA64" i="11"/>
  <c r="AC37" i="17"/>
  <c r="AC357" i="17"/>
  <c r="K388" i="17"/>
  <c r="K357" i="17"/>
  <c r="I64" i="11"/>
  <c r="Z64" i="11"/>
  <c r="AB388" i="17"/>
  <c r="AB37" i="17"/>
  <c r="AB357" i="17"/>
  <c r="AO357" i="17"/>
  <c r="AO388" i="17"/>
  <c r="AM64" i="11"/>
  <c r="AM59" i="11" s="1"/>
  <c r="AO37" i="17"/>
  <c r="U64" i="11"/>
  <c r="W388" i="17"/>
  <c r="W38" i="17" s="1"/>
  <c r="W357" i="17"/>
  <c r="W37" i="17"/>
  <c r="AN388" i="17"/>
  <c r="AN37" i="17"/>
  <c r="AL64" i="11"/>
  <c r="AL59" i="11" s="1"/>
  <c r="AN357" i="17"/>
  <c r="R37" i="17"/>
  <c r="R388" i="17"/>
  <c r="R357" i="17"/>
  <c r="P64" i="11"/>
  <c r="AS64" i="11"/>
  <c r="AU388" i="17"/>
  <c r="AU357" i="17"/>
  <c r="AU37" i="17"/>
  <c r="AT91" i="11"/>
  <c r="AV109" i="17"/>
  <c r="AV38" i="17"/>
  <c r="AV35" i="17" s="1"/>
  <c r="T97" i="11"/>
  <c r="V83" i="17"/>
  <c r="N238" i="17"/>
  <c r="L36" i="11"/>
  <c r="N27" i="17"/>
  <c r="AI238" i="17"/>
  <c r="AG36" i="11"/>
  <c r="AI27" i="17"/>
  <c r="G36" i="11"/>
  <c r="I238" i="17"/>
  <c r="X36" i="11"/>
  <c r="Z238" i="17"/>
  <c r="AS36" i="11"/>
  <c r="AU238" i="17"/>
  <c r="S36" i="11"/>
  <c r="U238" i="17"/>
  <c r="AJ36" i="11"/>
  <c r="AL238" i="17"/>
  <c r="N36" i="11"/>
  <c r="P238" i="17"/>
  <c r="AG238" i="17"/>
  <c r="AE36" i="11"/>
  <c r="L35" i="11"/>
  <c r="N233" i="17"/>
  <c r="N217" i="17"/>
  <c r="AG35" i="11"/>
  <c r="AI233" i="17"/>
  <c r="AI217" i="17"/>
  <c r="D232" i="17"/>
  <c r="C35" i="11"/>
  <c r="E233" i="17"/>
  <c r="E217" i="17"/>
  <c r="X35" i="11"/>
  <c r="Z233" i="17"/>
  <c r="Z217" i="17"/>
  <c r="AS35" i="11"/>
  <c r="AU233" i="17"/>
  <c r="AU217" i="17"/>
  <c r="AE35" i="11"/>
  <c r="AG233" i="17"/>
  <c r="AG23" i="17" s="1"/>
  <c r="AG217" i="17"/>
  <c r="K233" i="17"/>
  <c r="I35" i="11"/>
  <c r="K217" i="17"/>
  <c r="AF233" i="17"/>
  <c r="AD35" i="11"/>
  <c r="AF217" i="17"/>
  <c r="BF24" i="29"/>
  <c r="BF27" i="29"/>
  <c r="BF13" i="29"/>
  <c r="BF17" i="29"/>
  <c r="BF18" i="29"/>
  <c r="BE6" i="29"/>
  <c r="BF15" i="29"/>
  <c r="BF25" i="29"/>
  <c r="BF19" i="29"/>
  <c r="BF11" i="29"/>
  <c r="CE4" i="29"/>
  <c r="BF28" i="29"/>
  <c r="BF16" i="29"/>
  <c r="BE8" i="29"/>
  <c r="AL220" i="17"/>
  <c r="W168" i="17"/>
  <c r="U23" i="11"/>
  <c r="W147" i="17"/>
  <c r="W27" i="17"/>
  <c r="AG27" i="17"/>
  <c r="AE23" i="11"/>
  <c r="AG168" i="17"/>
  <c r="AG147" i="17"/>
  <c r="K168" i="17"/>
  <c r="I23" i="11"/>
  <c r="K27" i="17"/>
  <c r="K147" i="17"/>
  <c r="AI23" i="11"/>
  <c r="AK168" i="17"/>
  <c r="AK27" i="17"/>
  <c r="AK147" i="17"/>
  <c r="AE168" i="17"/>
  <c r="AC23" i="11"/>
  <c r="AE27" i="17"/>
  <c r="AE147" i="17"/>
  <c r="J147" i="17"/>
  <c r="J27" i="17"/>
  <c r="J168" i="17"/>
  <c r="H23" i="11"/>
  <c r="AV147" i="17"/>
  <c r="AV27" i="17"/>
  <c r="AV168" i="17"/>
  <c r="AT23" i="11"/>
  <c r="O23" i="29"/>
  <c r="O28" i="29"/>
  <c r="O38" i="29"/>
  <c r="O18" i="29"/>
  <c r="V130" i="11"/>
  <c r="AR130" i="11"/>
  <c r="L280" i="20"/>
  <c r="AO33" i="17"/>
  <c r="AO30" i="17" s="1"/>
  <c r="AM116" i="11"/>
  <c r="AO363" i="17"/>
  <c r="AM150" i="11"/>
  <c r="B84" i="11"/>
  <c r="AL163" i="11"/>
  <c r="AK121" i="11"/>
  <c r="AJ121" i="11"/>
  <c r="D420" i="17"/>
  <c r="D362" i="17"/>
  <c r="E361" i="17" s="1"/>
  <c r="R150" i="11"/>
  <c r="T363" i="17"/>
  <c r="H360" i="17"/>
  <c r="G322" i="20"/>
  <c r="AR290" i="17"/>
  <c r="B48" i="11"/>
  <c r="AB128" i="11"/>
  <c r="AD288" i="17"/>
  <c r="AB132" i="11"/>
  <c r="AD329" i="17"/>
  <c r="AE329" i="17"/>
  <c r="AM120" i="11"/>
  <c r="AO53" i="17"/>
  <c r="AO50" i="17" s="1"/>
  <c r="BA32" i="29"/>
  <c r="BA31" i="29"/>
  <c r="AD118" i="11"/>
  <c r="AF254" i="17"/>
  <c r="AG254" i="17"/>
  <c r="AD8" i="11"/>
  <c r="AF17" i="17"/>
  <c r="AF88" i="17"/>
  <c r="V17" i="17"/>
  <c r="V88" i="17"/>
  <c r="W89" i="17" s="1"/>
  <c r="AK77" i="17"/>
  <c r="AK75" i="17" s="1"/>
  <c r="AK88" i="17"/>
  <c r="AK17" i="17"/>
  <c r="AI8" i="11"/>
  <c r="Y131" i="11"/>
  <c r="AB324" i="17"/>
  <c r="F334" i="20"/>
  <c r="B152" i="11"/>
  <c r="N145" i="19"/>
  <c r="N147" i="19"/>
  <c r="N148" i="19"/>
  <c r="N143" i="19"/>
  <c r="T160" i="19"/>
  <c r="T61" i="19"/>
  <c r="R61" i="19" s="1"/>
  <c r="T16" i="19"/>
  <c r="S218" i="19"/>
  <c r="S213" i="19" s="1"/>
  <c r="B157" i="11"/>
  <c r="T131" i="11"/>
  <c r="V324" i="17"/>
  <c r="K128" i="11"/>
  <c r="C73" i="23"/>
  <c r="C161" i="19"/>
  <c r="R341" i="20"/>
  <c r="R342" i="20" s="1"/>
  <c r="C57" i="8"/>
  <c r="B42" i="11"/>
  <c r="AG57" i="17"/>
  <c r="D243" i="17"/>
  <c r="AU28" i="29"/>
  <c r="P16" i="29"/>
  <c r="O16" i="29" s="1"/>
  <c r="X16" i="29"/>
  <c r="W16" i="29" s="1"/>
  <c r="Z16" i="29"/>
  <c r="Y16" i="29" s="1"/>
  <c r="R16" i="29"/>
  <c r="Q16" i="29" s="1"/>
  <c r="T16" i="29"/>
  <c r="S16" i="29" s="1"/>
  <c r="N243" i="20"/>
  <c r="N244" i="20" s="1"/>
  <c r="L243" i="20"/>
  <c r="L244" i="20" s="1"/>
  <c r="F243" i="20"/>
  <c r="F244" i="20" s="1"/>
  <c r="O243" i="20"/>
  <c r="O244" i="20" s="1"/>
  <c r="E243" i="20"/>
  <c r="E244" i="20" s="1"/>
  <c r="J243" i="20"/>
  <c r="J244" i="20" s="1"/>
  <c r="T243" i="20"/>
  <c r="T244" i="20" s="1"/>
  <c r="M243" i="20"/>
  <c r="M244" i="20" s="1"/>
  <c r="P243" i="20"/>
  <c r="P244" i="20" s="1"/>
  <c r="G243" i="20"/>
  <c r="G244" i="20" s="1"/>
  <c r="K243" i="20"/>
  <c r="K244" i="20" s="1"/>
  <c r="I243" i="20"/>
  <c r="I244" i="20" s="1"/>
  <c r="H243" i="20"/>
  <c r="H244" i="20" s="1"/>
  <c r="P164" i="19"/>
  <c r="W163" i="11"/>
  <c r="Y433" i="17"/>
  <c r="D493" i="17"/>
  <c r="M81" i="11"/>
  <c r="M72" i="11" s="1"/>
  <c r="O478" i="17"/>
  <c r="O427" i="17"/>
  <c r="O57" i="17"/>
  <c r="AH81" i="11"/>
  <c r="AH72" i="11" s="1"/>
  <c r="AJ427" i="17"/>
  <c r="AJ57" i="17"/>
  <c r="AJ478" i="17"/>
  <c r="H81" i="11"/>
  <c r="J478" i="17"/>
  <c r="J427" i="17"/>
  <c r="J57" i="17"/>
  <c r="Y81" i="11"/>
  <c r="Y72" i="11" s="1"/>
  <c r="AA478" i="17"/>
  <c r="AA427" i="17"/>
  <c r="AT81" i="11"/>
  <c r="AT72" i="11" s="1"/>
  <c r="AV478" i="17"/>
  <c r="AV57" i="17"/>
  <c r="AV427" i="17"/>
  <c r="T81" i="11"/>
  <c r="V478" i="17"/>
  <c r="V427" i="17"/>
  <c r="AK81" i="11"/>
  <c r="AM478" i="17"/>
  <c r="AM57" i="17"/>
  <c r="AM427" i="17"/>
  <c r="M478" i="17"/>
  <c r="K81" i="11"/>
  <c r="M57" i="17"/>
  <c r="M427" i="17"/>
  <c r="AH478" i="17"/>
  <c r="AF81" i="11"/>
  <c r="AH57" i="17"/>
  <c r="AH427" i="17"/>
  <c r="W473" i="17"/>
  <c r="U80" i="11"/>
  <c r="W427" i="17"/>
  <c r="W52" i="17"/>
  <c r="AR473" i="17"/>
  <c r="AP80" i="11"/>
  <c r="AR52" i="17"/>
  <c r="AR427" i="17"/>
  <c r="M338" i="20"/>
  <c r="O64" i="11"/>
  <c r="Q357" i="17"/>
  <c r="Q388" i="17"/>
  <c r="Q37" i="17"/>
  <c r="AJ64" i="11"/>
  <c r="AJ59" i="11" s="1"/>
  <c r="AL357" i="17"/>
  <c r="AL388" i="17"/>
  <c r="AL37" i="17"/>
  <c r="J64" i="11"/>
  <c r="J59" i="11" s="1"/>
  <c r="L388" i="17"/>
  <c r="L37" i="17"/>
  <c r="L357" i="17"/>
  <c r="W64" i="11"/>
  <c r="Y388" i="17"/>
  <c r="Y37" i="17"/>
  <c r="Y357" i="17"/>
  <c r="E64" i="11"/>
  <c r="D387" i="17"/>
  <c r="G388" i="17"/>
  <c r="G357" i="17"/>
  <c r="V64" i="11"/>
  <c r="X357" i="17"/>
  <c r="X388" i="17"/>
  <c r="X38" i="17" s="1"/>
  <c r="X35" i="17" s="1"/>
  <c r="J388" i="17"/>
  <c r="H64" i="11"/>
  <c r="J37" i="17"/>
  <c r="J357" i="17"/>
  <c r="Q64" i="11"/>
  <c r="Q59" i="11" s="1"/>
  <c r="S357" i="17"/>
  <c r="S37" i="17"/>
  <c r="S388" i="17"/>
  <c r="S38" i="17" s="1"/>
  <c r="S238" i="17"/>
  <c r="Q36" i="11"/>
  <c r="S27" i="17"/>
  <c r="AN238" i="17"/>
  <c r="AL36" i="11"/>
  <c r="AN27" i="17"/>
  <c r="H36" i="11"/>
  <c r="J238" i="17"/>
  <c r="AE238" i="17"/>
  <c r="AC36" i="11"/>
  <c r="D237" i="17"/>
  <c r="D235" i="17" s="1"/>
  <c r="C36" i="11"/>
  <c r="E238" i="17"/>
  <c r="V238" i="17"/>
  <c r="T36" i="11"/>
  <c r="AO36" i="11"/>
  <c r="AQ238" i="17"/>
  <c r="O36" i="11"/>
  <c r="Q238" i="17"/>
  <c r="AO233" i="17"/>
  <c r="AM35" i="11"/>
  <c r="AO217" i="17"/>
  <c r="Q35" i="11"/>
  <c r="S233" i="17"/>
  <c r="S23" i="17" s="1"/>
  <c r="S217" i="17"/>
  <c r="AL35" i="11"/>
  <c r="AN233" i="17"/>
  <c r="AN23" i="17" s="1"/>
  <c r="AN20" i="17" s="1"/>
  <c r="AN217" i="17"/>
  <c r="J233" i="17"/>
  <c r="H35" i="11"/>
  <c r="J217" i="17"/>
  <c r="AE233" i="17"/>
  <c r="AE23" i="17" s="1"/>
  <c r="AC35" i="11"/>
  <c r="AE217" i="17"/>
  <c r="O35" i="11"/>
  <c r="Q233" i="17"/>
  <c r="Q217" i="17"/>
  <c r="AJ35" i="11"/>
  <c r="AL233" i="17"/>
  <c r="AL217" i="17"/>
  <c r="P233" i="17"/>
  <c r="N35" i="11"/>
  <c r="P217" i="17"/>
  <c r="Q23" i="29"/>
  <c r="Q21" i="29"/>
  <c r="Q28" i="29"/>
  <c r="AJ103" i="11"/>
  <c r="AM168" i="17"/>
  <c r="AK23" i="11"/>
  <c r="AM147" i="17"/>
  <c r="AM27" i="17"/>
  <c r="R168" i="17"/>
  <c r="P23" i="11"/>
  <c r="P20" i="11" s="1"/>
  <c r="R147" i="17"/>
  <c r="R27" i="17"/>
  <c r="Y23" i="11"/>
  <c r="AA27" i="17"/>
  <c r="AA147" i="17"/>
  <c r="AA168" i="17"/>
  <c r="F168" i="17"/>
  <c r="F27" i="17"/>
  <c r="D23" i="11"/>
  <c r="F147" i="17"/>
  <c r="AS23" i="11"/>
  <c r="AU27" i="17"/>
  <c r="AU147" i="17"/>
  <c r="AU168" i="17"/>
  <c r="Z27" i="17"/>
  <c r="Z168" i="17"/>
  <c r="Z148" i="17" s="1"/>
  <c r="Z147" i="17"/>
  <c r="X23" i="11"/>
  <c r="G23" i="11"/>
  <c r="I168" i="17"/>
  <c r="I147" i="17"/>
  <c r="I27" i="17"/>
  <c r="AO134" i="11"/>
  <c r="D338" i="17"/>
  <c r="AL102" i="11"/>
  <c r="AN148" i="17"/>
  <c r="U104" i="11"/>
  <c r="X101" i="11"/>
  <c r="R129" i="11"/>
  <c r="T33" i="17"/>
  <c r="T30" i="17" s="1"/>
  <c r="D313" i="17"/>
  <c r="O122" i="11"/>
  <c r="Q63" i="17"/>
  <c r="Q60" i="17" s="1"/>
  <c r="Z360" i="17"/>
  <c r="Z361" i="17"/>
  <c r="U430" i="17"/>
  <c r="V117" i="11"/>
  <c r="D121" i="11"/>
  <c r="D268" i="17"/>
  <c r="E363" i="17"/>
  <c r="D423" i="17"/>
  <c r="C150" i="11"/>
  <c r="AH150" i="11"/>
  <c r="AJ363" i="17"/>
  <c r="F150" i="11"/>
  <c r="H363" i="17"/>
  <c r="D300" i="17"/>
  <c r="AR127" i="11"/>
  <c r="AT304" i="17"/>
  <c r="AU304" i="17"/>
  <c r="AT89" i="17"/>
  <c r="CC6" i="10"/>
  <c r="O285" i="17"/>
  <c r="AF128" i="11"/>
  <c r="H304" i="17"/>
  <c r="F127" i="11"/>
  <c r="I304" i="17"/>
  <c r="S88" i="17"/>
  <c r="S17" i="17"/>
  <c r="Q8" i="11"/>
  <c r="H17" i="17"/>
  <c r="H88" i="17"/>
  <c r="H89" i="17" s="1"/>
  <c r="F8" i="11"/>
  <c r="G308" i="20"/>
  <c r="L118" i="11"/>
  <c r="D253" i="17"/>
  <c r="O254" i="17"/>
  <c r="N254" i="17"/>
  <c r="T329" i="17"/>
  <c r="U329" i="17"/>
  <c r="R132" i="11"/>
  <c r="T48" i="17"/>
  <c r="AS48" i="17"/>
  <c r="AS45" i="17" s="1"/>
  <c r="AS259" i="17"/>
  <c r="AT259" i="17"/>
  <c r="AS218" i="17"/>
  <c r="AQ119" i="11"/>
  <c r="M285" i="17"/>
  <c r="Q190" i="19"/>
  <c r="O17" i="19"/>
  <c r="CH6" i="10"/>
  <c r="R118" i="11"/>
  <c r="T254" i="17"/>
  <c r="U254" i="17"/>
  <c r="BJ6" i="10"/>
  <c r="C27" i="18"/>
  <c r="C44" i="18" s="1"/>
  <c r="F83" i="9" s="1"/>
  <c r="C83" i="9" s="1"/>
  <c r="C30" i="13"/>
  <c r="S213" i="20"/>
  <c r="S214" i="20" s="1"/>
  <c r="Q243" i="20"/>
  <c r="Q244" i="20" s="1"/>
  <c r="C83" i="8"/>
  <c r="C74" i="7"/>
  <c r="V37" i="17"/>
  <c r="Q15" i="29"/>
  <c r="AA57" i="17"/>
  <c r="AA164" i="17"/>
  <c r="B41" i="11"/>
  <c r="D323" i="17"/>
  <c r="I335" i="20"/>
  <c r="I336" i="20" s="1"/>
  <c r="N335" i="20"/>
  <c r="N336" i="20" s="1"/>
  <c r="P335" i="20"/>
  <c r="P336" i="20" s="1"/>
  <c r="H335" i="20"/>
  <c r="H336" i="20" s="1"/>
  <c r="T335" i="20"/>
  <c r="T336" i="20" s="1"/>
  <c r="G335" i="20"/>
  <c r="G336" i="20" s="1"/>
  <c r="M335" i="20"/>
  <c r="M336" i="20" s="1"/>
  <c r="J335" i="20"/>
  <c r="J336" i="20" s="1"/>
  <c r="E335" i="20"/>
  <c r="E336" i="20" s="1"/>
  <c r="L335" i="20"/>
  <c r="L336" i="20" s="1"/>
  <c r="O335" i="20"/>
  <c r="O336" i="20" s="1"/>
  <c r="F335" i="20"/>
  <c r="F336" i="20" s="1"/>
  <c r="K335" i="20"/>
  <c r="K336" i="20" s="1"/>
  <c r="BC8" i="29"/>
  <c r="BD13" i="29"/>
  <c r="CC4" i="29"/>
  <c r="BD24" i="29"/>
  <c r="BD27" i="29"/>
  <c r="BD18" i="29"/>
  <c r="BD19" i="29"/>
  <c r="BD25" i="29"/>
  <c r="BD16" i="29"/>
  <c r="BD15" i="29"/>
  <c r="BD28" i="29"/>
  <c r="BD17" i="29"/>
  <c r="BC6" i="29"/>
  <c r="BD11" i="29"/>
  <c r="R81" i="11"/>
  <c r="R72" i="11" s="1"/>
  <c r="T478" i="17"/>
  <c r="T57" i="17"/>
  <c r="AK427" i="17"/>
  <c r="AI81" i="11"/>
  <c r="AI72" i="11" s="1"/>
  <c r="AK57" i="17"/>
  <c r="AK478" i="17"/>
  <c r="K478" i="17"/>
  <c r="K58" i="17" s="1"/>
  <c r="K55" i="17" s="1"/>
  <c r="I81" i="11"/>
  <c r="I72" i="11" s="1"/>
  <c r="K427" i="17"/>
  <c r="AF478" i="17"/>
  <c r="AD81" i="11"/>
  <c r="AF57" i="17"/>
  <c r="AF427" i="17"/>
  <c r="F478" i="17"/>
  <c r="D81" i="11"/>
  <c r="D72" i="11" s="1"/>
  <c r="F427" i="17"/>
  <c r="U81" i="11"/>
  <c r="W478" i="17"/>
  <c r="W57" i="17"/>
  <c r="AP81" i="11"/>
  <c r="AR478" i="17"/>
  <c r="AR57" i="17"/>
  <c r="P81" i="11"/>
  <c r="R478" i="17"/>
  <c r="R57" i="17"/>
  <c r="R427" i="17"/>
  <c r="G473" i="17"/>
  <c r="E80" i="11"/>
  <c r="D472" i="17"/>
  <c r="D470" i="17" s="1"/>
  <c r="G427" i="17"/>
  <c r="AB473" i="17"/>
  <c r="Z80" i="11"/>
  <c r="AB427" i="17"/>
  <c r="AS473" i="17"/>
  <c r="AQ80" i="11"/>
  <c r="AS427" i="17"/>
  <c r="AS52" i="17"/>
  <c r="X64" i="11"/>
  <c r="Z388" i="17"/>
  <c r="Z357" i="17"/>
  <c r="Z37" i="17"/>
  <c r="AK64" i="11"/>
  <c r="AM37" i="17"/>
  <c r="AM388" i="17"/>
  <c r="AM357" i="17"/>
  <c r="M388" i="17"/>
  <c r="M37" i="17"/>
  <c r="K64" i="11"/>
  <c r="K59" i="11" s="1"/>
  <c r="M357" i="17"/>
  <c r="AH388" i="17"/>
  <c r="AF64" i="11"/>
  <c r="AF59" i="11" s="1"/>
  <c r="AH37" i="17"/>
  <c r="AH357" i="17"/>
  <c r="H357" i="17"/>
  <c r="H388" i="17"/>
  <c r="F64" i="11"/>
  <c r="F59" i="11" s="1"/>
  <c r="H37" i="17"/>
  <c r="AK357" i="17"/>
  <c r="AK388" i="17"/>
  <c r="AI64" i="11"/>
  <c r="AI59" i="11" s="1"/>
  <c r="AT388" i="17"/>
  <c r="AT357" i="17"/>
  <c r="AR64" i="11"/>
  <c r="AT37" i="17"/>
  <c r="AJ357" i="17"/>
  <c r="AJ388" i="17"/>
  <c r="AH64" i="11"/>
  <c r="AJ37" i="17"/>
  <c r="F64" i="9"/>
  <c r="C64" i="9" s="1"/>
  <c r="L35" i="10"/>
  <c r="I11" i="29"/>
  <c r="H11" i="29"/>
  <c r="G11" i="29" s="1"/>
  <c r="CB17" i="29"/>
  <c r="DA4" i="29"/>
  <c r="CB12" i="29"/>
  <c r="CB38" i="29"/>
  <c r="CA6" i="29"/>
  <c r="CB16" i="29"/>
  <c r="CB11" i="29"/>
  <c r="CB15" i="29"/>
  <c r="CA7" i="29"/>
  <c r="CB27" i="29"/>
  <c r="CB19" i="29"/>
  <c r="CB18" i="29"/>
  <c r="CA5" i="29"/>
  <c r="CB36" i="29"/>
  <c r="CB28" i="29"/>
  <c r="CB37" i="29"/>
  <c r="CB25" i="29"/>
  <c r="AR36" i="11"/>
  <c r="AT238" i="17"/>
  <c r="AT27" i="17"/>
  <c r="X238" i="17"/>
  <c r="V36" i="11"/>
  <c r="X27" i="17"/>
  <c r="AO238" i="17"/>
  <c r="AM36" i="11"/>
  <c r="M36" i="11"/>
  <c r="O238" i="17"/>
  <c r="AJ238" i="17"/>
  <c r="AH36" i="11"/>
  <c r="AJ27" i="17"/>
  <c r="F238" i="17"/>
  <c r="D36" i="11"/>
  <c r="AA238" i="17"/>
  <c r="Y36" i="11"/>
  <c r="AV238" i="17"/>
  <c r="AT115" i="11" s="1"/>
  <c r="AT36" i="11"/>
  <c r="W35" i="11"/>
  <c r="Y233" i="17"/>
  <c r="Y217" i="17"/>
  <c r="AT233" i="17"/>
  <c r="AR35" i="11"/>
  <c r="AT217" i="17"/>
  <c r="X233" i="17"/>
  <c r="X217" i="17"/>
  <c r="V35" i="11"/>
  <c r="AI35" i="11"/>
  <c r="AK233" i="17"/>
  <c r="AK23" i="17" s="1"/>
  <c r="AK217" i="17"/>
  <c r="AK22" i="17"/>
  <c r="M35" i="11"/>
  <c r="O233" i="17"/>
  <c r="O217" i="17"/>
  <c r="AJ233" i="17"/>
  <c r="AH35" i="11"/>
  <c r="AJ217" i="17"/>
  <c r="T35" i="11"/>
  <c r="V233" i="17"/>
  <c r="V217" i="17"/>
  <c r="AO35" i="11"/>
  <c r="AQ233" i="17"/>
  <c r="AQ217" i="17"/>
  <c r="N254" i="20"/>
  <c r="AQ7" i="29"/>
  <c r="BQ4" i="29"/>
  <c r="AR17" i="29"/>
  <c r="AQ6" i="29"/>
  <c r="AR11" i="29"/>
  <c r="AR19" i="29"/>
  <c r="AR25" i="29"/>
  <c r="AQ5" i="29"/>
  <c r="AR16" i="29"/>
  <c r="AR18" i="29"/>
  <c r="AR15" i="29"/>
  <c r="AR28" i="29"/>
  <c r="P168" i="17"/>
  <c r="P27" i="17"/>
  <c r="N23" i="11"/>
  <c r="P147" i="17"/>
  <c r="AF23" i="11"/>
  <c r="AF20" i="11" s="1"/>
  <c r="AH168" i="17"/>
  <c r="AH147" i="17"/>
  <c r="AH27" i="17"/>
  <c r="AQ27" i="17"/>
  <c r="AQ168" i="17"/>
  <c r="AO23" i="11"/>
  <c r="AQ147" i="17"/>
  <c r="V168" i="17"/>
  <c r="V27" i="17"/>
  <c r="V147" i="17"/>
  <c r="T23" i="11"/>
  <c r="E27" i="17"/>
  <c r="E168" i="17"/>
  <c r="D167" i="17"/>
  <c r="C23" i="11"/>
  <c r="E147" i="17"/>
  <c r="AP147" i="17"/>
  <c r="AN23" i="11"/>
  <c r="AP27" i="17"/>
  <c r="AP168" i="17"/>
  <c r="Y168" i="17"/>
  <c r="W23" i="11"/>
  <c r="Y147" i="17"/>
  <c r="Y27" i="17"/>
  <c r="B51" i="11"/>
  <c r="M139" i="11"/>
  <c r="O358" i="17"/>
  <c r="D368" i="17"/>
  <c r="B22" i="11"/>
  <c r="H107" i="11"/>
  <c r="J53" i="17"/>
  <c r="J50" i="17" s="1"/>
  <c r="K194" i="17"/>
  <c r="D193" i="17"/>
  <c r="J194" i="17"/>
  <c r="G135" i="11"/>
  <c r="I63" i="17"/>
  <c r="I60" i="17" s="1"/>
  <c r="AN430" i="17"/>
  <c r="B140" i="11"/>
  <c r="T121" i="11"/>
  <c r="AE121" i="11"/>
  <c r="E360" i="17"/>
  <c r="T360" i="17"/>
  <c r="AA155" i="11"/>
  <c r="AC33" i="17"/>
  <c r="AC30" i="17" s="1"/>
  <c r="D453" i="17"/>
  <c r="H212" i="20"/>
  <c r="AH285" i="17"/>
  <c r="AW6" i="10"/>
  <c r="F502" i="17"/>
  <c r="G502" i="17" s="1"/>
  <c r="H502" i="17" s="1"/>
  <c r="I502" i="17" s="1"/>
  <c r="J502" i="17" s="1"/>
  <c r="AK8" i="11"/>
  <c r="AM88" i="17"/>
  <c r="AM17" i="17"/>
  <c r="D8" i="11"/>
  <c r="F17" i="17"/>
  <c r="F88" i="17"/>
  <c r="F89" i="17" s="1"/>
  <c r="AH8" i="11"/>
  <c r="AJ88" i="17"/>
  <c r="AJ17" i="17"/>
  <c r="AA119" i="11"/>
  <c r="AC259" i="17"/>
  <c r="Y285" i="17"/>
  <c r="R19" i="19"/>
  <c r="AL176" i="11"/>
  <c r="B58" i="11"/>
  <c r="H61" i="19"/>
  <c r="F61" i="19" s="1"/>
  <c r="H160" i="19"/>
  <c r="P217" i="19"/>
  <c r="P213" i="19" s="1"/>
  <c r="C53" i="15"/>
  <c r="B270" i="17"/>
  <c r="BQ6" i="10"/>
  <c r="AU21" i="29"/>
  <c r="AU17" i="29"/>
  <c r="AU22" i="29"/>
  <c r="AU33" i="29"/>
  <c r="AU23" i="29"/>
  <c r="AU15" i="29"/>
  <c r="L104" i="9"/>
  <c r="R104" i="9" s="1"/>
  <c r="Q341" i="20"/>
  <c r="Q342" i="20" s="1"/>
  <c r="C92" i="7"/>
  <c r="T427" i="17"/>
  <c r="AL57" i="17"/>
  <c r="F57" i="17"/>
  <c r="AL52" i="17"/>
  <c r="Z164" i="17"/>
  <c r="D303" i="17"/>
  <c r="G52" i="17"/>
  <c r="Q75" i="19"/>
  <c r="G6" i="14"/>
  <c r="C33" i="14"/>
  <c r="P106" i="21"/>
  <c r="P107" i="21" s="1"/>
  <c r="P108" i="21" s="1"/>
  <c r="V27" i="29"/>
  <c r="U27" i="29" s="1"/>
  <c r="P27" i="29"/>
  <c r="O27" i="29" s="1"/>
  <c r="T27" i="29"/>
  <c r="S27" i="29" s="1"/>
  <c r="I15" i="23"/>
  <c r="I22" i="23" s="1"/>
  <c r="I242" i="19"/>
  <c r="X27" i="29"/>
  <c r="W27" i="29" s="1"/>
  <c r="Z27" i="29"/>
  <c r="Y27" i="29" s="1"/>
  <c r="E156" i="19"/>
  <c r="Q70" i="21"/>
  <c r="Q71" i="21" s="1"/>
  <c r="Q72" i="21" s="1"/>
  <c r="P33" i="21"/>
  <c r="P39" i="21" s="1"/>
  <c r="P37" i="21" s="1"/>
  <c r="AC34" i="13"/>
  <c r="AC37" i="13" s="1"/>
  <c r="H9" i="19"/>
  <c r="F9" i="19" s="1"/>
  <c r="N93" i="17"/>
  <c r="N78" i="17" s="1"/>
  <c r="N22" i="17"/>
  <c r="L9" i="11"/>
  <c r="AV22" i="17"/>
  <c r="AT9" i="11"/>
  <c r="AV93" i="17"/>
  <c r="AJ9" i="11"/>
  <c r="AL93" i="17"/>
  <c r="AL94" i="17" s="1"/>
  <c r="AL77" i="17"/>
  <c r="AL75" i="17" s="1"/>
  <c r="AL22" i="17"/>
  <c r="T93" i="17"/>
  <c r="T94" i="17" s="1"/>
  <c r="T22" i="17"/>
  <c r="R9" i="11"/>
  <c r="T77" i="17"/>
  <c r="T75" i="17" s="1"/>
  <c r="F22" i="17"/>
  <c r="F77" i="17"/>
  <c r="F75" i="17" s="1"/>
  <c r="F93" i="17"/>
  <c r="D9" i="11"/>
  <c r="P22" i="17"/>
  <c r="P93" i="17"/>
  <c r="P77" i="17"/>
  <c r="P75" i="17" s="1"/>
  <c r="N9" i="11"/>
  <c r="AA9" i="11"/>
  <c r="AC22" i="17"/>
  <c r="AC93" i="17"/>
  <c r="AC77" i="17"/>
  <c r="AC75" i="17" s="1"/>
  <c r="M94" i="17"/>
  <c r="L23" i="17"/>
  <c r="J88" i="11"/>
  <c r="AC88" i="11"/>
  <c r="AK94" i="17"/>
  <c r="AH88" i="11"/>
  <c r="AI88" i="11"/>
  <c r="AE94" i="17"/>
  <c r="AB88" i="11"/>
  <c r="AT22" i="17"/>
  <c r="AR9" i="11"/>
  <c r="AT77" i="17"/>
  <c r="AT75" i="17" s="1"/>
  <c r="AT93" i="17"/>
  <c r="C9" i="11"/>
  <c r="E22" i="17"/>
  <c r="D92" i="17"/>
  <c r="E77" i="17"/>
  <c r="E75" i="17" s="1"/>
  <c r="E93" i="17"/>
  <c r="V9" i="11"/>
  <c r="X22" i="17"/>
  <c r="X77" i="17"/>
  <c r="X75" i="17" s="1"/>
  <c r="X93" i="17"/>
  <c r="V22" i="17"/>
  <c r="V93" i="17"/>
  <c r="T9" i="11"/>
  <c r="H93" i="17"/>
  <c r="H22" i="17"/>
  <c r="H77" i="17"/>
  <c r="H75" i="17" s="1"/>
  <c r="F9" i="11"/>
  <c r="AS93" i="17"/>
  <c r="AS22" i="17"/>
  <c r="AS77" i="17"/>
  <c r="AS75" i="17" s="1"/>
  <c r="AQ9" i="11"/>
  <c r="AK9" i="11"/>
  <c r="AM22" i="17"/>
  <c r="AM77" i="17"/>
  <c r="AM75" i="17" s="1"/>
  <c r="AM93" i="17"/>
  <c r="Q93" i="17"/>
  <c r="Q22" i="17"/>
  <c r="Q77" i="17"/>
  <c r="Q75" i="17" s="1"/>
  <c r="O9" i="11"/>
  <c r="G21" i="29"/>
  <c r="G22" i="29"/>
  <c r="Q88" i="11"/>
  <c r="P52" i="21"/>
  <c r="P53" i="21" s="1"/>
  <c r="P54" i="21" s="1"/>
  <c r="P51" i="21"/>
  <c r="E91" i="19"/>
  <c r="D89" i="19"/>
  <c r="G123" i="19"/>
  <c r="H123" i="19" s="1"/>
  <c r="E103" i="19"/>
  <c r="L25" i="29"/>
  <c r="AE88" i="11"/>
  <c r="AH94" i="17"/>
  <c r="P9" i="11"/>
  <c r="R93" i="17"/>
  <c r="R22" i="17"/>
  <c r="R77" i="17"/>
  <c r="R75" i="17" s="1"/>
  <c r="AB22" i="17"/>
  <c r="Z9" i="11"/>
  <c r="AB93" i="17"/>
  <c r="AB77" i="17"/>
  <c r="AB75" i="17" s="1"/>
  <c r="AO9" i="11"/>
  <c r="AQ22" i="17"/>
  <c r="AQ93" i="17"/>
  <c r="AQ77" i="17"/>
  <c r="AQ75" i="17" s="1"/>
  <c r="J93" i="17"/>
  <c r="J22" i="17"/>
  <c r="H9" i="11"/>
  <c r="AA93" i="17"/>
  <c r="AA22" i="17"/>
  <c r="AA77" i="17"/>
  <c r="AA75" i="17" s="1"/>
  <c r="Y9" i="11"/>
  <c r="U93" i="17"/>
  <c r="S9" i="11"/>
  <c r="U22" i="17"/>
  <c r="U77" i="17"/>
  <c r="U75" i="17" s="1"/>
  <c r="W22" i="17"/>
  <c r="W93" i="17"/>
  <c r="U9" i="11"/>
  <c r="I93" i="17"/>
  <c r="I22" i="17"/>
  <c r="G9" i="11"/>
  <c r="N77" i="17"/>
  <c r="Z93" i="17"/>
  <c r="X9" i="11"/>
  <c r="Z22" i="17"/>
  <c r="Z77" i="17"/>
  <c r="Z75" i="17" s="1"/>
  <c r="D19" i="19"/>
  <c r="E21" i="19"/>
  <c r="E35" i="19"/>
  <c r="D33" i="19"/>
  <c r="AL88" i="11"/>
  <c r="AG88" i="11"/>
  <c r="AI23" i="17"/>
  <c r="AI20" i="17" s="1"/>
  <c r="AJ94" i="17"/>
  <c r="AH23" i="17"/>
  <c r="AH20" i="17" s="1"/>
  <c r="AI94" i="17"/>
  <c r="AF88" i="11"/>
  <c r="AU22" i="17"/>
  <c r="AS9" i="11"/>
  <c r="AU93" i="17"/>
  <c r="AN9" i="11"/>
  <c r="AP93" i="17"/>
  <c r="AP77" i="17"/>
  <c r="AP75" i="17" s="1"/>
  <c r="AP22" i="17"/>
  <c r="Y22" i="17"/>
  <c r="W9" i="11"/>
  <c r="Y93" i="17"/>
  <c r="K22" i="17"/>
  <c r="K93" i="17"/>
  <c r="I9" i="11"/>
  <c r="K77" i="17"/>
  <c r="AD9" i="11"/>
  <c r="AF93" i="17"/>
  <c r="AF22" i="17"/>
  <c r="G93" i="17"/>
  <c r="E9" i="11"/>
  <c r="G22" i="17"/>
  <c r="AP9" i="11"/>
  <c r="AR77" i="17"/>
  <c r="AR75" i="17" s="1"/>
  <c r="AR93" i="17"/>
  <c r="AR22" i="17"/>
  <c r="AO93" i="17"/>
  <c r="AO94" i="17" s="1"/>
  <c r="AO22" i="17"/>
  <c r="AM9" i="11"/>
  <c r="Q34" i="21"/>
  <c r="Q35" i="21" s="1"/>
  <c r="Q36" i="21" s="1"/>
  <c r="AV77" i="17"/>
  <c r="Z89" i="17"/>
  <c r="W87" i="11"/>
  <c r="AO18" i="17"/>
  <c r="AM87" i="11"/>
  <c r="AV89" i="17"/>
  <c r="AU89" i="17"/>
  <c r="AS87" i="11"/>
  <c r="C87" i="11"/>
  <c r="E89" i="17"/>
  <c r="U87" i="11"/>
  <c r="AO75" i="17"/>
  <c r="F13" i="27"/>
  <c r="F10" i="27"/>
  <c r="F17" i="27"/>
  <c r="F16" i="27"/>
  <c r="F15" i="27"/>
  <c r="F14" i="27"/>
  <c r="F11" i="27"/>
  <c r="F9" i="27"/>
  <c r="F12" i="27"/>
  <c r="F8" i="27"/>
  <c r="R16" i="21"/>
  <c r="R17" i="21" s="1"/>
  <c r="R18" i="21" s="1"/>
  <c r="R15" i="21"/>
  <c r="L87" i="11"/>
  <c r="AA31" i="29"/>
  <c r="AA32" i="29"/>
  <c r="J19" i="29"/>
  <c r="E75" i="19"/>
  <c r="K87" i="11"/>
  <c r="N89" i="17"/>
  <c r="M78" i="17"/>
  <c r="M89" i="17"/>
  <c r="E87" i="11"/>
  <c r="Y75" i="17"/>
  <c r="G87" i="11"/>
  <c r="J89" i="17"/>
  <c r="AI75" i="17"/>
  <c r="F138" i="9"/>
  <c r="G141" i="9"/>
  <c r="N83" i="9"/>
  <c r="S83" i="9" s="1"/>
  <c r="Q52" i="21"/>
  <c r="Q53" i="21" s="1"/>
  <c r="Q54" i="21" s="1"/>
  <c r="Q51" i="21"/>
  <c r="Q105" i="21"/>
  <c r="Q106" i="21"/>
  <c r="Q107" i="21" s="1"/>
  <c r="Q108" i="21" s="1"/>
  <c r="F8" i="31"/>
  <c r="AI89" i="17"/>
  <c r="AF87" i="11"/>
  <c r="L371" i="20"/>
  <c r="AO89" i="17"/>
  <c r="I16" i="29"/>
  <c r="X87" i="11"/>
  <c r="AA89" i="17"/>
  <c r="Z18" i="17"/>
  <c r="G75" i="17"/>
  <c r="F139" i="9"/>
  <c r="I34" i="13"/>
  <c r="J64" i="13"/>
  <c r="K64" i="13" s="1"/>
  <c r="L64" i="13" s="1"/>
  <c r="M64" i="13" s="1"/>
  <c r="J37" i="13"/>
  <c r="C27" i="23"/>
  <c r="E20" i="3" s="1"/>
  <c r="D31" i="13"/>
  <c r="D34" i="13"/>
  <c r="F37" i="13"/>
  <c r="F64" i="13"/>
  <c r="T64" i="13"/>
  <c r="U64" i="13" s="1"/>
  <c r="V64" i="13" s="1"/>
  <c r="W64" i="13" s="1"/>
  <c r="T37" i="13"/>
  <c r="S34" i="13"/>
  <c r="S37" i="13" s="1"/>
  <c r="AM31" i="13"/>
  <c r="AH31" i="13"/>
  <c r="Z37" i="13"/>
  <c r="X34" i="13"/>
  <c r="X37" i="13" s="1"/>
  <c r="Q37" i="13"/>
  <c r="N34" i="13"/>
  <c r="N37" i="13" s="1"/>
  <c r="Q64" i="13"/>
  <c r="R64" i="13" s="1"/>
  <c r="B34" i="11" l="1"/>
  <c r="L46" i="11"/>
  <c r="R349" i="17"/>
  <c r="P196" i="19"/>
  <c r="AH59" i="11"/>
  <c r="P72" i="11"/>
  <c r="AD72" i="11"/>
  <c r="D133" i="17"/>
  <c r="X179" i="17"/>
  <c r="H59" i="11"/>
  <c r="T72" i="11"/>
  <c r="N151" i="19"/>
  <c r="N146" i="19"/>
  <c r="T142" i="19"/>
  <c r="AM218" i="17"/>
  <c r="T204" i="17"/>
  <c r="AB167" i="11"/>
  <c r="AD349" i="17"/>
  <c r="AP349" i="17"/>
  <c r="E293" i="17"/>
  <c r="T43" i="17"/>
  <c r="T40" i="17" s="1"/>
  <c r="AN78" i="17"/>
  <c r="Y144" i="17"/>
  <c r="AL144" i="17"/>
  <c r="AQ144" i="17"/>
  <c r="O46" i="11"/>
  <c r="AE46" i="11"/>
  <c r="AV18" i="17"/>
  <c r="AA46" i="11"/>
  <c r="F151" i="11"/>
  <c r="I199" i="17"/>
  <c r="J83" i="17"/>
  <c r="AC179" i="17"/>
  <c r="T179" i="17"/>
  <c r="AP35" i="17"/>
  <c r="H428" i="17"/>
  <c r="AS179" i="17"/>
  <c r="AG38" i="17"/>
  <c r="AG35" i="17" s="1"/>
  <c r="Y46" i="11"/>
  <c r="L95" i="11"/>
  <c r="AL99" i="17"/>
  <c r="N99" i="17"/>
  <c r="R99" i="17"/>
  <c r="AP46" i="11"/>
  <c r="W18" i="17"/>
  <c r="AI11" i="29"/>
  <c r="C176" i="11"/>
  <c r="AS12" i="17"/>
  <c r="N358" i="17"/>
  <c r="M122" i="7" s="1"/>
  <c r="E8" i="19"/>
  <c r="C8" i="19" s="1"/>
  <c r="AC98" i="11"/>
  <c r="AG68" i="17"/>
  <c r="AG65" i="17" s="1"/>
  <c r="N48" i="17"/>
  <c r="N45" i="17" s="1"/>
  <c r="G363" i="17"/>
  <c r="AS28" i="17"/>
  <c r="AS25" i="17" s="1"/>
  <c r="AH106" i="11"/>
  <c r="Y399" i="17"/>
  <c r="Y428" i="17"/>
  <c r="O63" i="17"/>
  <c r="O60" i="17" s="1"/>
  <c r="AU99" i="17"/>
  <c r="AH469" i="17"/>
  <c r="W119" i="7"/>
  <c r="BO11" i="29"/>
  <c r="AP109" i="17"/>
  <c r="AD78" i="17"/>
  <c r="K23" i="43"/>
  <c r="AP167" i="11"/>
  <c r="Y83" i="17"/>
  <c r="B43" i="11"/>
  <c r="S63" i="17"/>
  <c r="S60" i="17" s="1"/>
  <c r="B17" i="11"/>
  <c r="AS60" i="17"/>
  <c r="D62" i="17"/>
  <c r="CN11" i="29"/>
  <c r="CM7" i="29"/>
  <c r="CN19" i="29"/>
  <c r="CN16" i="29"/>
  <c r="CN26" i="29"/>
  <c r="CM5" i="29"/>
  <c r="CN17" i="29"/>
  <c r="CN25" i="29"/>
  <c r="CM6" i="29"/>
  <c r="DM4" i="29"/>
  <c r="CN15" i="29"/>
  <c r="CN27" i="29"/>
  <c r="CN28" i="29"/>
  <c r="CN18" i="29"/>
  <c r="CM18" i="29" s="1"/>
  <c r="G7" i="4"/>
  <c r="E7" i="4" s="1"/>
  <c r="BM16" i="29"/>
  <c r="AG119" i="17"/>
  <c r="AY9" i="29"/>
  <c r="AJ7" i="11"/>
  <c r="W179" i="17"/>
  <c r="AO12" i="17"/>
  <c r="Q293" i="17"/>
  <c r="AG179" i="17"/>
  <c r="J179" i="17"/>
  <c r="AQ199" i="17"/>
  <c r="AQ38" i="17"/>
  <c r="AQ35" i="17" s="1"/>
  <c r="E189" i="17"/>
  <c r="AT469" i="17"/>
  <c r="AQ83" i="17"/>
  <c r="B21" i="11"/>
  <c r="R20" i="11"/>
  <c r="K20" i="11"/>
  <c r="B30" i="11"/>
  <c r="B19" i="11"/>
  <c r="T134" i="17"/>
  <c r="C75" i="19"/>
  <c r="AN89" i="17"/>
  <c r="I288" i="17"/>
  <c r="AJ23" i="17"/>
  <c r="Y20" i="11"/>
  <c r="AA58" i="17"/>
  <c r="N149" i="19"/>
  <c r="N142" i="19"/>
  <c r="N150" i="19"/>
  <c r="AL151" i="11"/>
  <c r="B116" i="11"/>
  <c r="AI20" i="11"/>
  <c r="D108" i="17"/>
  <c r="AA59" i="11"/>
  <c r="J72" i="11"/>
  <c r="AJ204" i="17"/>
  <c r="D248" i="17"/>
  <c r="E20" i="11"/>
  <c r="R33" i="11"/>
  <c r="AK349" i="17"/>
  <c r="X349" i="17"/>
  <c r="W349" i="17"/>
  <c r="AG144" i="17"/>
  <c r="AS176" i="11"/>
  <c r="R218" i="17"/>
  <c r="AO428" i="17"/>
  <c r="G218" i="17"/>
  <c r="AR12" i="17"/>
  <c r="AH176" i="11"/>
  <c r="AJ46" i="11"/>
  <c r="AO58" i="17"/>
  <c r="AR18" i="17"/>
  <c r="AR159" i="17"/>
  <c r="BO16" i="29"/>
  <c r="CV27" i="29"/>
  <c r="AT99" i="17"/>
  <c r="AK99" i="17"/>
  <c r="U43" i="17"/>
  <c r="U40" i="17" s="1"/>
  <c r="AN73" i="17"/>
  <c r="D176" i="11"/>
  <c r="K46" i="11"/>
  <c r="J139" i="17"/>
  <c r="AI19" i="29"/>
  <c r="AI18" i="29"/>
  <c r="G53" i="13"/>
  <c r="F77" i="16"/>
  <c r="AO199" i="17"/>
  <c r="AP199" i="17"/>
  <c r="AI433" i="17"/>
  <c r="T148" i="17"/>
  <c r="C47" i="19"/>
  <c r="AE363" i="17"/>
  <c r="R381" i="20"/>
  <c r="R370" i="20" s="1"/>
  <c r="AO109" i="17"/>
  <c r="AP20" i="11"/>
  <c r="AI99" i="17"/>
  <c r="H469" i="17"/>
  <c r="G469" i="17"/>
  <c r="J184" i="17"/>
  <c r="K184" i="17"/>
  <c r="U399" i="17"/>
  <c r="AB20" i="11"/>
  <c r="AT59" i="11"/>
  <c r="Z209" i="17"/>
  <c r="N59" i="11"/>
  <c r="AG63" i="17"/>
  <c r="AG60" i="17" s="1"/>
  <c r="H134" i="17"/>
  <c r="M7" i="17"/>
  <c r="AA167" i="11"/>
  <c r="M119" i="17"/>
  <c r="BM22" i="29"/>
  <c r="BM23" i="29"/>
  <c r="BM21" i="29"/>
  <c r="BM33" i="29"/>
  <c r="BM28" i="29"/>
  <c r="BM11" i="29"/>
  <c r="BM25" i="29"/>
  <c r="AF119" i="17"/>
  <c r="BM17" i="29"/>
  <c r="N61" i="17"/>
  <c r="AT61" i="17"/>
  <c r="W61" i="17"/>
  <c r="AP61" i="17"/>
  <c r="AK61" i="17"/>
  <c r="X61" i="17"/>
  <c r="I61" i="17"/>
  <c r="J61" i="17"/>
  <c r="E61" i="17"/>
  <c r="Y61" i="17"/>
  <c r="U61" i="17"/>
  <c r="AI61" i="17"/>
  <c r="AQ61" i="17"/>
  <c r="AO61" i="17"/>
  <c r="H61" i="17"/>
  <c r="F61" i="17"/>
  <c r="AJ61" i="17"/>
  <c r="AH61" i="17"/>
  <c r="L61" i="17"/>
  <c r="AM61" i="17"/>
  <c r="AC61" i="17"/>
  <c r="AE61" i="17"/>
  <c r="AF61" i="17"/>
  <c r="Z61" i="17"/>
  <c r="AO119" i="17"/>
  <c r="AL93" i="11"/>
  <c r="M93" i="11"/>
  <c r="P119" i="17"/>
  <c r="V63" i="17"/>
  <c r="V60" i="17" s="1"/>
  <c r="W134" i="17"/>
  <c r="Q89" i="17"/>
  <c r="V59" i="11"/>
  <c r="W59" i="11"/>
  <c r="AF72" i="11"/>
  <c r="K72" i="11"/>
  <c r="AS72" i="11"/>
  <c r="AC428" i="17"/>
  <c r="F204" i="17"/>
  <c r="AP59" i="11"/>
  <c r="AJ349" i="17"/>
  <c r="AV349" i="17"/>
  <c r="L349" i="17"/>
  <c r="P349" i="17"/>
  <c r="AL349" i="17"/>
  <c r="O349" i="17"/>
  <c r="E349" i="17"/>
  <c r="AW345" i="17"/>
  <c r="AW346" i="17" s="1"/>
  <c r="AW347" i="17" s="1"/>
  <c r="AW348" i="17" s="1"/>
  <c r="AW349" i="17" s="1"/>
  <c r="AR349" i="17"/>
  <c r="U349" i="17"/>
  <c r="Z469" i="17"/>
  <c r="F174" i="17"/>
  <c r="AT129" i="17"/>
  <c r="AF179" i="17"/>
  <c r="M174" i="17"/>
  <c r="D183" i="17"/>
  <c r="AH6" i="10" s="1"/>
  <c r="AO83" i="17"/>
  <c r="AA399" i="17"/>
  <c r="AK199" i="17"/>
  <c r="AM399" i="17"/>
  <c r="AA184" i="17"/>
  <c r="AD399" i="17"/>
  <c r="AP48" i="17"/>
  <c r="AP45" i="17" s="1"/>
  <c r="R98" i="11"/>
  <c r="B98" i="11" s="1"/>
  <c r="T144" i="17"/>
  <c r="AG93" i="11"/>
  <c r="AJ119" i="17"/>
  <c r="AV119" i="17"/>
  <c r="AS93" i="11"/>
  <c r="F93" i="11"/>
  <c r="I119" i="17"/>
  <c r="H119" i="17"/>
  <c r="E93" i="11"/>
  <c r="G119" i="17"/>
  <c r="R93" i="11"/>
  <c r="U119" i="17"/>
  <c r="U49" i="17" s="1"/>
  <c r="K134" i="17"/>
  <c r="AU363" i="17"/>
  <c r="AS149" i="11"/>
  <c r="Y78" i="17"/>
  <c r="X118" i="7" s="1"/>
  <c r="H7" i="11"/>
  <c r="AT79" i="16"/>
  <c r="AO20" i="11"/>
  <c r="N20" i="11"/>
  <c r="W33" i="11"/>
  <c r="AK59" i="11"/>
  <c r="X59" i="11"/>
  <c r="AL363" i="17"/>
  <c r="AT134" i="17"/>
  <c r="X20" i="11"/>
  <c r="AM174" i="17"/>
  <c r="AL167" i="11"/>
  <c r="AK72" i="11"/>
  <c r="M28" i="17"/>
  <c r="M25" i="17" s="1"/>
  <c r="T148" i="19"/>
  <c r="AS59" i="11"/>
  <c r="U59" i="11"/>
  <c r="Z59" i="11"/>
  <c r="AQ58" i="17"/>
  <c r="AV204" i="17"/>
  <c r="AL204" i="17"/>
  <c r="J204" i="17"/>
  <c r="K204" i="17"/>
  <c r="AJ20" i="11"/>
  <c r="G59" i="11"/>
  <c r="AG59" i="11"/>
  <c r="Y349" i="17"/>
  <c r="N349" i="17"/>
  <c r="AA349" i="17"/>
  <c r="AC349" i="17"/>
  <c r="AS349" i="17"/>
  <c r="Z349" i="17"/>
  <c r="AB349" i="17"/>
  <c r="AG349" i="17"/>
  <c r="AQ349" i="17"/>
  <c r="F349" i="17"/>
  <c r="K144" i="17"/>
  <c r="K84" i="17" s="1"/>
  <c r="AA144" i="17"/>
  <c r="Z144" i="17"/>
  <c r="L144" i="17"/>
  <c r="AU144" i="17"/>
  <c r="AV144" i="17"/>
  <c r="AK144" i="17"/>
  <c r="AJ144" i="17"/>
  <c r="AK33" i="11"/>
  <c r="N46" i="11"/>
  <c r="AN174" i="17"/>
  <c r="AD179" i="17"/>
  <c r="AI176" i="11"/>
  <c r="M46" i="11"/>
  <c r="H46" i="11"/>
  <c r="N174" i="17"/>
  <c r="AM176" i="11"/>
  <c r="AQ46" i="11"/>
  <c r="AD99" i="17"/>
  <c r="T99" i="17"/>
  <c r="AJ99" i="17"/>
  <c r="E176" i="11"/>
  <c r="U46" i="11"/>
  <c r="G174" i="17"/>
  <c r="E63" i="17"/>
  <c r="AI148" i="17"/>
  <c r="I176" i="11"/>
  <c r="AI199" i="17"/>
  <c r="L78" i="17"/>
  <c r="L75" i="17" s="1"/>
  <c r="Z176" i="11"/>
  <c r="X199" i="17"/>
  <c r="I48" i="17"/>
  <c r="I45" i="17" s="1"/>
  <c r="Y109" i="17"/>
  <c r="C61" i="19"/>
  <c r="G48" i="17"/>
  <c r="G45" i="17" s="1"/>
  <c r="L293" i="17"/>
  <c r="I109" i="17"/>
  <c r="R80" i="17"/>
  <c r="AA136" i="11"/>
  <c r="U134" i="17"/>
  <c r="W279" i="17"/>
  <c r="AF199" i="17"/>
  <c r="V199" i="17"/>
  <c r="AO136" i="11"/>
  <c r="AL184" i="17"/>
  <c r="BU25" i="29"/>
  <c r="AV469" i="17"/>
  <c r="I469" i="17"/>
  <c r="X469" i="17"/>
  <c r="S68" i="17"/>
  <c r="AQ63" i="17"/>
  <c r="AQ60" i="17" s="1"/>
  <c r="C7" i="14"/>
  <c r="Z184" i="17"/>
  <c r="AS399" i="17"/>
  <c r="AQ399" i="17"/>
  <c r="AO9" i="29"/>
  <c r="AM72" i="11"/>
  <c r="B38" i="11"/>
  <c r="AQ174" i="17"/>
  <c r="J20" i="11"/>
  <c r="S59" i="11"/>
  <c r="Q72" i="11"/>
  <c r="AA162" i="11"/>
  <c r="AJ209" i="17"/>
  <c r="V72" i="11"/>
  <c r="AK63" i="17"/>
  <c r="AK60" i="17" s="1"/>
  <c r="AP358" i="17"/>
  <c r="P174" i="17"/>
  <c r="B12" i="11"/>
  <c r="V93" i="11"/>
  <c r="Y119" i="17"/>
  <c r="AP93" i="11"/>
  <c r="AR119" i="17"/>
  <c r="G134" i="17"/>
  <c r="AR134" i="17"/>
  <c r="AG134" i="17"/>
  <c r="B265" i="17"/>
  <c r="C52" i="15"/>
  <c r="AI134" i="17"/>
  <c r="J134" i="17"/>
  <c r="D134" i="17" s="1"/>
  <c r="Y209" i="17"/>
  <c r="X119" i="17"/>
  <c r="U93" i="11"/>
  <c r="W119" i="17"/>
  <c r="L119" i="17"/>
  <c r="J93" i="11"/>
  <c r="AN93" i="11"/>
  <c r="AP119" i="17"/>
  <c r="AQ119" i="17"/>
  <c r="Z93" i="11"/>
  <c r="AB119" i="17"/>
  <c r="J149" i="11"/>
  <c r="L363" i="17"/>
  <c r="AR59" i="11"/>
  <c r="AT20" i="11"/>
  <c r="H20" i="11"/>
  <c r="E204" i="17"/>
  <c r="I144" i="17"/>
  <c r="AP144" i="17"/>
  <c r="AF144" i="17"/>
  <c r="AL12" i="17"/>
  <c r="Q18" i="17"/>
  <c r="AL199" i="17"/>
  <c r="Q179" i="17"/>
  <c r="D46" i="11"/>
  <c r="AP99" i="17"/>
  <c r="AA99" i="17"/>
  <c r="L99" i="17"/>
  <c r="AH78" i="17"/>
  <c r="J12" i="17"/>
  <c r="I46" i="11"/>
  <c r="AD46" i="11"/>
  <c r="D118" i="17"/>
  <c r="AO174" i="17"/>
  <c r="Y199" i="17"/>
  <c r="O48" i="17"/>
  <c r="O45" i="17" s="1"/>
  <c r="H55" i="17"/>
  <c r="U174" i="17"/>
  <c r="AE199" i="17"/>
  <c r="AK293" i="17"/>
  <c r="G99" i="17"/>
  <c r="Y469" i="17"/>
  <c r="AK184" i="17"/>
  <c r="AB399" i="17"/>
  <c r="AL174" i="17"/>
  <c r="M23" i="43"/>
  <c r="AP7" i="11"/>
  <c r="I7" i="11"/>
  <c r="I6" i="11" s="1"/>
  <c r="W7" i="11"/>
  <c r="S78" i="17"/>
  <c r="O7" i="11"/>
  <c r="R190" i="19"/>
  <c r="AT38" i="17"/>
  <c r="AN28" i="17"/>
  <c r="W151" i="11"/>
  <c r="T151" i="19"/>
  <c r="R151" i="19" s="1"/>
  <c r="AN433" i="17"/>
  <c r="AC167" i="11"/>
  <c r="AE20" i="11"/>
  <c r="U20" i="11"/>
  <c r="I59" i="11"/>
  <c r="G72" i="11"/>
  <c r="O72" i="11"/>
  <c r="AC72" i="11"/>
  <c r="Y59" i="11"/>
  <c r="V349" i="17"/>
  <c r="AO349" i="17"/>
  <c r="AM349" i="17"/>
  <c r="AH349" i="17"/>
  <c r="K349" i="17"/>
  <c r="AI349" i="17"/>
  <c r="AU349" i="17"/>
  <c r="AE349" i="17"/>
  <c r="Q349" i="17"/>
  <c r="Q144" i="17"/>
  <c r="AO144" i="17"/>
  <c r="E144" i="17"/>
  <c r="M144" i="17"/>
  <c r="T12" i="17"/>
  <c r="AT174" i="17"/>
  <c r="P179" i="17"/>
  <c r="AD148" i="17"/>
  <c r="S433" i="17"/>
  <c r="P358" i="17"/>
  <c r="O122" i="7" s="1"/>
  <c r="V151" i="11"/>
  <c r="AT428" i="17"/>
  <c r="AI63" i="17"/>
  <c r="AI60" i="17" s="1"/>
  <c r="E38" i="17"/>
  <c r="E35" i="17" s="1"/>
  <c r="AO55" i="17"/>
  <c r="AE48" i="17"/>
  <c r="AE45" i="17" s="1"/>
  <c r="BU16" i="29"/>
  <c r="AA63" i="17"/>
  <c r="AA60" i="17" s="1"/>
  <c r="M99" i="17"/>
  <c r="F99" i="17"/>
  <c r="S99" i="17"/>
  <c r="O99" i="17"/>
  <c r="G46" i="11"/>
  <c r="P35" i="17"/>
  <c r="J84" i="17"/>
  <c r="S176" i="11"/>
  <c r="D213" i="17"/>
  <c r="O38" i="17"/>
  <c r="O35" i="17" s="1"/>
  <c r="AN199" i="17"/>
  <c r="J199" i="17"/>
  <c r="M23" i="13"/>
  <c r="D203" i="17"/>
  <c r="BO19" i="29"/>
  <c r="BO28" i="29"/>
  <c r="AP134" i="17"/>
  <c r="Z109" i="17"/>
  <c r="J109" i="17"/>
  <c r="AE83" i="17"/>
  <c r="V134" i="17"/>
  <c r="AU433" i="17"/>
  <c r="AN48" i="17"/>
  <c r="AN45" i="17" s="1"/>
  <c r="AI68" i="17"/>
  <c r="AI65" i="17" s="1"/>
  <c r="B49" i="11"/>
  <c r="Q68" i="17"/>
  <c r="Q65" i="17" s="1"/>
  <c r="BU27" i="29"/>
  <c r="AH99" i="17"/>
  <c r="V20" i="11"/>
  <c r="M5" i="29"/>
  <c r="M9" i="29" s="1"/>
  <c r="AU184" i="17"/>
  <c r="AC399" i="17"/>
  <c r="Z399" i="17"/>
  <c r="AL399" i="17"/>
  <c r="I83" i="17"/>
  <c r="H118" i="7" s="1"/>
  <c r="AI119" i="17"/>
  <c r="J23" i="43"/>
  <c r="Z99" i="17"/>
  <c r="AL72" i="11"/>
  <c r="C59" i="11"/>
  <c r="AQ469" i="17"/>
  <c r="B26" i="11"/>
  <c r="B32" i="11"/>
  <c r="AR93" i="11"/>
  <c r="AU119" i="17"/>
  <c r="Z119" i="17"/>
  <c r="W93" i="11"/>
  <c r="AA134" i="17"/>
  <c r="U144" i="17"/>
  <c r="J144" i="17"/>
  <c r="AP98" i="11"/>
  <c r="AR83" i="17"/>
  <c r="Q93" i="11"/>
  <c r="T119" i="17"/>
  <c r="AK93" i="11"/>
  <c r="AN119" i="17"/>
  <c r="AN49" i="17" s="1"/>
  <c r="AM119" i="17"/>
  <c r="J119" i="17"/>
  <c r="H93" i="11"/>
  <c r="B93" i="11" s="1"/>
  <c r="K119" i="17"/>
  <c r="AU9" i="29"/>
  <c r="AM134" i="17"/>
  <c r="AC119" i="17"/>
  <c r="AC49" i="17" s="1"/>
  <c r="AB89" i="17"/>
  <c r="I37" i="13"/>
  <c r="I59" i="13"/>
  <c r="K305" i="11"/>
  <c r="S305" i="11"/>
  <c r="AC305" i="11"/>
  <c r="F305" i="11"/>
  <c r="D144" i="17"/>
  <c r="Q78" i="17"/>
  <c r="AH7" i="11"/>
  <c r="AR28" i="17"/>
  <c r="AR25" i="17" s="1"/>
  <c r="AI79" i="16"/>
  <c r="AC99" i="17"/>
  <c r="AS99" i="17"/>
  <c r="K99" i="17"/>
  <c r="J99" i="17"/>
  <c r="F12" i="17"/>
  <c r="P46" i="11"/>
  <c r="G97" i="11"/>
  <c r="AS46" i="11"/>
  <c r="K52" i="34"/>
  <c r="W159" i="17"/>
  <c r="X129" i="17"/>
  <c r="V194" i="17"/>
  <c r="AO159" i="17"/>
  <c r="AU159" i="17"/>
  <c r="AQ48" i="17"/>
  <c r="AK136" i="11"/>
  <c r="AF184" i="17"/>
  <c r="P99" i="17"/>
  <c r="AB28" i="17"/>
  <c r="AB25" i="17" s="1"/>
  <c r="M469" i="17"/>
  <c r="AH20" i="11"/>
  <c r="Z20" i="11"/>
  <c r="G28" i="29"/>
  <c r="BU9" i="29"/>
  <c r="O184" i="17"/>
  <c r="AA293" i="17"/>
  <c r="BU28" i="29"/>
  <c r="AF399" i="17"/>
  <c r="AE399" i="17"/>
  <c r="Z293" i="17"/>
  <c r="L23" i="43"/>
  <c r="I23" i="43" s="1"/>
  <c r="B70" i="11"/>
  <c r="S136" i="11"/>
  <c r="AS101" i="11"/>
  <c r="AV164" i="17"/>
  <c r="AU164" i="17"/>
  <c r="AC329" i="17"/>
  <c r="Z132" i="11"/>
  <c r="AH101" i="11"/>
  <c r="AJ164" i="17"/>
  <c r="AK164" i="17"/>
  <c r="S109" i="11"/>
  <c r="U63" i="17"/>
  <c r="U60" i="17" s="1"/>
  <c r="V135" i="11"/>
  <c r="X63" i="17"/>
  <c r="X60" i="17" s="1"/>
  <c r="X109" i="11"/>
  <c r="Z63" i="17"/>
  <c r="Z60" i="17" s="1"/>
  <c r="W149" i="11"/>
  <c r="Y363" i="17"/>
  <c r="K119" i="11"/>
  <c r="N259" i="17"/>
  <c r="AM136" i="11"/>
  <c r="AO293" i="17"/>
  <c r="AP149" i="11"/>
  <c r="AR363" i="17"/>
  <c r="B57" i="11"/>
  <c r="B53" i="11"/>
  <c r="B83" i="11"/>
  <c r="AH46" i="11"/>
  <c r="O189" i="17"/>
  <c r="O49" i="17" s="1"/>
  <c r="M288" i="17"/>
  <c r="AI209" i="17"/>
  <c r="AE7" i="11"/>
  <c r="AJ136" i="11"/>
  <c r="AL293" i="17"/>
  <c r="R101" i="11"/>
  <c r="U164" i="17"/>
  <c r="T164" i="17"/>
  <c r="D164" i="17" s="1"/>
  <c r="E137" i="19"/>
  <c r="D137" i="19" s="1"/>
  <c r="C137" i="19" s="1"/>
  <c r="N18" i="29"/>
  <c r="M18" i="29" s="1"/>
  <c r="U132" i="11"/>
  <c r="X329" i="17"/>
  <c r="AH18" i="17"/>
  <c r="I89" i="17"/>
  <c r="M75" i="17"/>
  <c r="AK20" i="11"/>
  <c r="AY15" i="29"/>
  <c r="AP159" i="17"/>
  <c r="AO97" i="11"/>
  <c r="AI153" i="17"/>
  <c r="AH119" i="7" s="1"/>
  <c r="T199" i="17"/>
  <c r="R259" i="17"/>
  <c r="D273" i="17"/>
  <c r="AP363" i="17"/>
  <c r="AO122" i="7" s="1"/>
  <c r="AO469" i="17"/>
  <c r="S65" i="17"/>
  <c r="C19" i="4"/>
  <c r="C21" i="4" s="1"/>
  <c r="H15" i="18"/>
  <c r="C19" i="18" s="1"/>
  <c r="T399" i="17"/>
  <c r="G399" i="17"/>
  <c r="BU17" i="29"/>
  <c r="B10" i="11"/>
  <c r="AE266" i="11" s="1"/>
  <c r="AD159" i="17"/>
  <c r="AG20" i="11"/>
  <c r="B29" i="11"/>
  <c r="R48" i="17"/>
  <c r="R45" i="17" s="1"/>
  <c r="B75" i="11"/>
  <c r="AF331" i="11" s="1"/>
  <c r="B79" i="11"/>
  <c r="B25" i="11"/>
  <c r="AD59" i="11"/>
  <c r="AH109" i="11"/>
  <c r="AJ63" i="17"/>
  <c r="AJ60" i="17" s="1"/>
  <c r="N132" i="11"/>
  <c r="P329" i="17"/>
  <c r="T103" i="11"/>
  <c r="B103" i="11" s="1"/>
  <c r="V33" i="17"/>
  <c r="V30" i="17" s="1"/>
  <c r="L126" i="7"/>
  <c r="AV129" i="7" s="1"/>
  <c r="P116" i="7"/>
  <c r="V174" i="17"/>
  <c r="AN105" i="11"/>
  <c r="AP184" i="17"/>
  <c r="AC109" i="11"/>
  <c r="AE63" i="17"/>
  <c r="AE60" i="17" s="1"/>
  <c r="B240" i="17"/>
  <c r="C47" i="15"/>
  <c r="S105" i="11"/>
  <c r="V184" i="17"/>
  <c r="AQ288" i="17"/>
  <c r="AH288" i="17"/>
  <c r="Q169" i="19"/>
  <c r="O169" i="19" s="1"/>
  <c r="H167" i="11"/>
  <c r="AK20" i="17"/>
  <c r="X167" i="11"/>
  <c r="AO169" i="17"/>
  <c r="W12" i="17"/>
  <c r="J7" i="11"/>
  <c r="BO9" i="29"/>
  <c r="F159" i="17"/>
  <c r="D159" i="17" s="1"/>
  <c r="H68" i="17"/>
  <c r="H65" i="17" s="1"/>
  <c r="AG110" i="11"/>
  <c r="AN76" i="16"/>
  <c r="AE184" i="17"/>
  <c r="AN399" i="17"/>
  <c r="B66" i="11"/>
  <c r="AB72" i="11"/>
  <c r="AH105" i="11"/>
  <c r="AJ184" i="17"/>
  <c r="K136" i="11"/>
  <c r="M293" i="17"/>
  <c r="AN109" i="11"/>
  <c r="AP63" i="17"/>
  <c r="AP60" i="17" s="1"/>
  <c r="Z114" i="11"/>
  <c r="AC234" i="17"/>
  <c r="AK149" i="11"/>
  <c r="AM363" i="17"/>
  <c r="AH174" i="17"/>
  <c r="AB174" i="17"/>
  <c r="AE174" i="17"/>
  <c r="Z174" i="17"/>
  <c r="S174" i="17"/>
  <c r="AA174" i="17"/>
  <c r="AS174" i="17"/>
  <c r="R174" i="17"/>
  <c r="AD174" i="17"/>
  <c r="AR174" i="17"/>
  <c r="E174" i="17"/>
  <c r="AF174" i="17"/>
  <c r="AC174" i="17"/>
  <c r="Q174" i="17"/>
  <c r="AP174" i="17"/>
  <c r="AI174" i="17"/>
  <c r="AV174" i="17"/>
  <c r="K174" i="17"/>
  <c r="AW170" i="17"/>
  <c r="AW171" i="17" s="1"/>
  <c r="AW172" i="17" s="1"/>
  <c r="AW173" i="17" s="1"/>
  <c r="AW174" i="17" s="1"/>
  <c r="AG174" i="17"/>
  <c r="J174" i="17"/>
  <c r="AJ174" i="17"/>
  <c r="W174" i="17"/>
  <c r="L174" i="17"/>
  <c r="AD122" i="11"/>
  <c r="B122" i="11" s="1"/>
  <c r="AF63" i="17"/>
  <c r="AF60" i="17" s="1"/>
  <c r="E18" i="6"/>
  <c r="H145" i="19"/>
  <c r="F145" i="19" s="1"/>
  <c r="S7" i="7"/>
  <c r="R15" i="7"/>
  <c r="R19" i="7" s="1"/>
  <c r="R21" i="7" s="1"/>
  <c r="L21" i="7" s="1"/>
  <c r="H331" i="11"/>
  <c r="C331" i="11"/>
  <c r="F331" i="11"/>
  <c r="AG331" i="11"/>
  <c r="AD331" i="11"/>
  <c r="AB331" i="11"/>
  <c r="AA331" i="11"/>
  <c r="AJ331" i="11"/>
  <c r="Q331" i="11"/>
  <c r="P136" i="11"/>
  <c r="B136" i="11" s="1"/>
  <c r="R293" i="17"/>
  <c r="AD149" i="11"/>
  <c r="AF363" i="17"/>
  <c r="S104" i="11"/>
  <c r="B104" i="11" s="1"/>
  <c r="U38" i="17"/>
  <c r="U35" i="17" s="1"/>
  <c r="E136" i="11"/>
  <c r="G293" i="17"/>
  <c r="I45" i="43"/>
  <c r="M134" i="21"/>
  <c r="L131" i="21"/>
  <c r="N133" i="21"/>
  <c r="O132" i="21"/>
  <c r="N132" i="21"/>
  <c r="O129" i="21"/>
  <c r="M132" i="21"/>
  <c r="O131" i="21"/>
  <c r="L133" i="21"/>
  <c r="L134" i="21"/>
  <c r="N134" i="21"/>
  <c r="N129" i="21"/>
  <c r="N131" i="21"/>
  <c r="M133" i="21"/>
  <c r="M131" i="21"/>
  <c r="L132" i="21"/>
  <c r="M130" i="21"/>
  <c r="N130" i="21"/>
  <c r="O134" i="21"/>
  <c r="L130" i="21"/>
  <c r="O133" i="21"/>
  <c r="M129" i="21"/>
  <c r="O130" i="21"/>
  <c r="AT108" i="11"/>
  <c r="AV199" i="17"/>
  <c r="Z149" i="11"/>
  <c r="AB363" i="17"/>
  <c r="I158" i="11"/>
  <c r="L469" i="17"/>
  <c r="AM20" i="11"/>
  <c r="I349" i="17"/>
  <c r="P189" i="17"/>
  <c r="D188" i="17"/>
  <c r="E13" i="22" s="1"/>
  <c r="E52" i="22" s="1"/>
  <c r="S469" i="17"/>
  <c r="AG293" i="17"/>
  <c r="AE136" i="11"/>
  <c r="AC141" i="11"/>
  <c r="AC138" i="11" s="1"/>
  <c r="AE358" i="17"/>
  <c r="AD122" i="7" s="1"/>
  <c r="P433" i="17"/>
  <c r="N162" i="11"/>
  <c r="AF106" i="11"/>
  <c r="AH48" i="17"/>
  <c r="AH45" i="17" s="1"/>
  <c r="AI189" i="17"/>
  <c r="AO149" i="11"/>
  <c r="AQ363" i="17"/>
  <c r="AL433" i="17"/>
  <c r="AJ162" i="11"/>
  <c r="E132" i="11"/>
  <c r="H329" i="17"/>
  <c r="H136" i="11"/>
  <c r="J293" i="17"/>
  <c r="AQ149" i="11"/>
  <c r="AS363" i="17"/>
  <c r="J433" i="17"/>
  <c r="H162" i="11"/>
  <c r="AV363" i="17"/>
  <c r="AU122" i="7" s="1"/>
  <c r="AT149" i="11"/>
  <c r="AT138" i="11" s="1"/>
  <c r="AE433" i="17"/>
  <c r="AC162" i="11"/>
  <c r="AR199" i="17"/>
  <c r="AP108" i="11"/>
  <c r="AS199" i="17"/>
  <c r="AN162" i="11"/>
  <c r="AP433" i="17"/>
  <c r="C158" i="11"/>
  <c r="E469" i="17"/>
  <c r="Y108" i="11"/>
  <c r="AB199" i="17"/>
  <c r="AA199" i="17"/>
  <c r="N305" i="11"/>
  <c r="AQ305" i="11"/>
  <c r="W305" i="11"/>
  <c r="AP79" i="16"/>
  <c r="E49" i="17"/>
  <c r="V305" i="11"/>
  <c r="AM7" i="11"/>
  <c r="J79" i="16"/>
  <c r="O59" i="11"/>
  <c r="AG7" i="17"/>
  <c r="AB59" i="11"/>
  <c r="N72" i="11"/>
  <c r="AI12" i="17"/>
  <c r="E46" i="11"/>
  <c r="L76" i="16"/>
  <c r="L159" i="17"/>
  <c r="U89" i="17"/>
  <c r="M106" i="11"/>
  <c r="AT58" i="17"/>
  <c r="AT55" i="17" s="1"/>
  <c r="I117" i="19"/>
  <c r="BO18" i="29"/>
  <c r="H399" i="17"/>
  <c r="AT399" i="17"/>
  <c r="AA20" i="11"/>
  <c r="AO33" i="29"/>
  <c r="AO21" i="29"/>
  <c r="AO23" i="29"/>
  <c r="AO22" i="29"/>
  <c r="S149" i="11"/>
  <c r="U363" i="17"/>
  <c r="T122" i="7" s="1"/>
  <c r="H199" i="17"/>
  <c r="AI48" i="17"/>
  <c r="AI45" i="17" s="1"/>
  <c r="AG106" i="11"/>
  <c r="AG99" i="11" s="1"/>
  <c r="AJ189" i="17"/>
  <c r="I136" i="11"/>
  <c r="K293" i="17"/>
  <c r="AC59" i="11"/>
  <c r="Y149" i="11"/>
  <c r="AA363" i="17"/>
  <c r="U162" i="11"/>
  <c r="W433" i="17"/>
  <c r="AO11" i="29"/>
  <c r="C44" i="15"/>
  <c r="B225" i="17"/>
  <c r="Y110" i="11"/>
  <c r="AA153" i="17"/>
  <c r="K106" i="11"/>
  <c r="M189" i="17"/>
  <c r="AP132" i="11"/>
  <c r="AS329" i="17"/>
  <c r="AS49" i="17" s="1"/>
  <c r="Q136" i="11"/>
  <c r="S293" i="17"/>
  <c r="AL469" i="17"/>
  <c r="AI158" i="11"/>
  <c r="AH199" i="17"/>
  <c r="AE108" i="11"/>
  <c r="AG199" i="17"/>
  <c r="AO132" i="11"/>
  <c r="AR329" i="17"/>
  <c r="AQ329" i="17"/>
  <c r="H55" i="13"/>
  <c r="J50" i="13"/>
  <c r="U108" i="11"/>
  <c r="W199" i="17"/>
  <c r="O132" i="11"/>
  <c r="Q329" i="17"/>
  <c r="R329" i="17"/>
  <c r="AB149" i="11"/>
  <c r="AD363" i="17"/>
  <c r="G110" i="11"/>
  <c r="J209" i="17"/>
  <c r="AE293" i="17"/>
  <c r="AC136" i="11"/>
  <c r="AO158" i="11"/>
  <c r="AR469" i="17"/>
  <c r="AB48" i="17"/>
  <c r="AB45" i="17" s="1"/>
  <c r="W108" i="11"/>
  <c r="Z199" i="17"/>
  <c r="AK132" i="11"/>
  <c r="AN329" i="17"/>
  <c r="AG149" i="11"/>
  <c r="AI363" i="17"/>
  <c r="AM162" i="11"/>
  <c r="AM151" i="11" s="1"/>
  <c r="AO433" i="17"/>
  <c r="AO17" i="29"/>
  <c r="H45" i="13"/>
  <c r="D45" i="13" s="1"/>
  <c r="C45" i="13" s="1"/>
  <c r="C27" i="31" s="1"/>
  <c r="H45" i="43"/>
  <c r="AT46" i="11"/>
  <c r="N138" i="11"/>
  <c r="I305" i="11"/>
  <c r="X7" i="11"/>
  <c r="H18" i="29"/>
  <c r="G18" i="29" s="1"/>
  <c r="BC16" i="29"/>
  <c r="AF305" i="11"/>
  <c r="AR305" i="11"/>
  <c r="E7" i="17"/>
  <c r="E79" i="16"/>
  <c r="D10" i="22"/>
  <c r="D88" i="22" s="1"/>
  <c r="D178" i="17"/>
  <c r="H349" i="17"/>
  <c r="Z12" i="17"/>
  <c r="J46" i="11"/>
  <c r="B146" i="11"/>
  <c r="AI7" i="17"/>
  <c r="Z76" i="16"/>
  <c r="W76" i="16"/>
  <c r="AF99" i="17"/>
  <c r="D158" i="17"/>
  <c r="AC6" i="10" s="1"/>
  <c r="AR433" i="17"/>
  <c r="I293" i="17"/>
  <c r="H121" i="7" s="1"/>
  <c r="G159" i="17"/>
  <c r="AQ45" i="17"/>
  <c r="P363" i="17"/>
  <c r="AB469" i="17"/>
  <c r="D104" i="17"/>
  <c r="L23" i="13"/>
  <c r="S399" i="17"/>
  <c r="AC89" i="17"/>
  <c r="AA87" i="11"/>
  <c r="AD89" i="17"/>
  <c r="AM99" i="17"/>
  <c r="AK89" i="11"/>
  <c r="AP106" i="11"/>
  <c r="AS189" i="17"/>
  <c r="AR48" i="17"/>
  <c r="AR45" i="17" s="1"/>
  <c r="AF149" i="11"/>
  <c r="AH363" i="17"/>
  <c r="D108" i="11"/>
  <c r="G199" i="17"/>
  <c r="AP136" i="11"/>
  <c r="AR293" i="17"/>
  <c r="S159" i="17"/>
  <c r="AW155" i="17"/>
  <c r="AW156" i="17" s="1"/>
  <c r="AW157" i="17" s="1"/>
  <c r="AW158" i="17" s="1"/>
  <c r="AW159" i="17" s="1"/>
  <c r="Q159" i="17"/>
  <c r="AA159" i="17"/>
  <c r="AN159" i="17"/>
  <c r="AH159" i="17"/>
  <c r="M159" i="17"/>
  <c r="R159" i="17"/>
  <c r="H159" i="17"/>
  <c r="O159" i="17"/>
  <c r="N159" i="17"/>
  <c r="AK159" i="17"/>
  <c r="X159" i="17"/>
  <c r="AL159" i="17"/>
  <c r="AG159" i="17"/>
  <c r="P159" i="17"/>
  <c r="I159" i="17"/>
  <c r="AM159" i="17"/>
  <c r="AI159" i="17"/>
  <c r="AS159" i="17"/>
  <c r="AV159" i="17"/>
  <c r="AB159" i="17"/>
  <c r="T159" i="17"/>
  <c r="V159" i="17"/>
  <c r="AC159" i="17"/>
  <c r="AJ159" i="17"/>
  <c r="J159" i="17"/>
  <c r="Y159" i="17"/>
  <c r="AF159" i="17"/>
  <c r="AQ108" i="11"/>
  <c r="AQ99" i="11" s="1"/>
  <c r="AT199" i="17"/>
  <c r="T136" i="11"/>
  <c r="V293" i="17"/>
  <c r="L158" i="11"/>
  <c r="N469" i="17"/>
  <c r="O469" i="17"/>
  <c r="D162" i="11"/>
  <c r="D488" i="17"/>
  <c r="L145" i="11"/>
  <c r="L138" i="11" s="1"/>
  <c r="N399" i="17"/>
  <c r="Q433" i="17"/>
  <c r="O162" i="11"/>
  <c r="AF132" i="11"/>
  <c r="AF125" i="11" s="1"/>
  <c r="AH329" i="17"/>
  <c r="AI329" i="17"/>
  <c r="AI145" i="11"/>
  <c r="AK48" i="17"/>
  <c r="AK45" i="17" s="1"/>
  <c r="D149" i="11"/>
  <c r="D138" i="11" s="1"/>
  <c r="F363" i="17"/>
  <c r="E122" i="7" s="1"/>
  <c r="AK363" i="17"/>
  <c r="AI149" i="11"/>
  <c r="H293" i="17"/>
  <c r="R199" i="17"/>
  <c r="P108" i="11"/>
  <c r="S199" i="17"/>
  <c r="AE38" i="17"/>
  <c r="AE35" i="17" s="1"/>
  <c r="Q305" i="11"/>
  <c r="J305" i="11"/>
  <c r="AN305" i="11"/>
  <c r="AC46" i="11"/>
  <c r="J76" i="16"/>
  <c r="Q45" i="17"/>
  <c r="R399" i="17"/>
  <c r="AC469" i="17"/>
  <c r="AG469" i="17"/>
  <c r="D398" i="17"/>
  <c r="J399" i="17"/>
  <c r="F20" i="11"/>
  <c r="B40" i="11"/>
  <c r="AB95" i="11"/>
  <c r="AE129" i="17"/>
  <c r="AE79" i="17" s="1"/>
  <c r="AO141" i="11"/>
  <c r="AQ358" i="17"/>
  <c r="AG158" i="11"/>
  <c r="AJ469" i="17"/>
  <c r="AJ49" i="17" s="1"/>
  <c r="J145" i="11"/>
  <c r="L48" i="17"/>
  <c r="L45" i="17" s="1"/>
  <c r="I149" i="11"/>
  <c r="K363" i="17"/>
  <c r="Y106" i="11"/>
  <c r="AB189" i="17"/>
  <c r="M199" i="17"/>
  <c r="J108" i="11"/>
  <c r="L199" i="17"/>
  <c r="R158" i="11"/>
  <c r="U469" i="17"/>
  <c r="AA209" i="17"/>
  <c r="Z153" i="17"/>
  <c r="X110" i="11"/>
  <c r="AH162" i="11"/>
  <c r="AJ433" i="17"/>
  <c r="AA158" i="11"/>
  <c r="AD469" i="17"/>
  <c r="T162" i="11"/>
  <c r="V433" i="17"/>
  <c r="C108" i="11"/>
  <c r="F199" i="17"/>
  <c r="E199" i="17"/>
  <c r="AG151" i="11"/>
  <c r="N110" i="11"/>
  <c r="Q209" i="17"/>
  <c r="P153" i="17"/>
  <c r="S162" i="11"/>
  <c r="U433" i="17"/>
  <c r="AD110" i="11"/>
  <c r="AF153" i="17"/>
  <c r="K132" i="11"/>
  <c r="K125" i="11" s="1"/>
  <c r="N329" i="17"/>
  <c r="M329" i="17"/>
  <c r="K23" i="13"/>
  <c r="D79" i="16"/>
  <c r="AD259" i="17"/>
  <c r="P59" i="11"/>
  <c r="S349" i="17"/>
  <c r="AF358" i="17"/>
  <c r="L218" i="17"/>
  <c r="L148" i="17"/>
  <c r="E305" i="11"/>
  <c r="AP305" i="11"/>
  <c r="AG305" i="11"/>
  <c r="R89" i="17"/>
  <c r="S7" i="17"/>
  <c r="H72" i="11"/>
  <c r="J349" i="17"/>
  <c r="G123" i="7"/>
  <c r="AJ76" i="16"/>
  <c r="AA76" i="16"/>
  <c r="B154" i="11"/>
  <c r="U99" i="17"/>
  <c r="V99" i="17"/>
  <c r="I8" i="36"/>
  <c r="I10" i="36" s="1"/>
  <c r="AT148" i="17"/>
  <c r="AS119" i="7" s="1"/>
  <c r="O167" i="11"/>
  <c r="V40" i="17"/>
  <c r="AY17" i="29"/>
  <c r="AY19" i="29"/>
  <c r="AD68" i="17"/>
  <c r="AD65" i="17" s="1"/>
  <c r="L20" i="11"/>
  <c r="D47" i="17"/>
  <c r="AS46" i="17" s="1"/>
  <c r="AF469" i="17"/>
  <c r="AU199" i="17"/>
  <c r="T132" i="11"/>
  <c r="W329" i="17"/>
  <c r="P110" i="11"/>
  <c r="S209" i="17"/>
  <c r="R153" i="17"/>
  <c r="AD199" i="17"/>
  <c r="AA108" i="11"/>
  <c r="U145" i="11"/>
  <c r="X399" i="17"/>
  <c r="AT433" i="17"/>
  <c r="AS123" i="7" s="1"/>
  <c r="AR162" i="11"/>
  <c r="AR151" i="11" s="1"/>
  <c r="M433" i="17"/>
  <c r="K162" i="11"/>
  <c r="D468" i="17"/>
  <c r="N199" i="17"/>
  <c r="K108" i="11"/>
  <c r="AQ136" i="11"/>
  <c r="AS293" i="17"/>
  <c r="AK158" i="11"/>
  <c r="AN469" i="17"/>
  <c r="Z108" i="11"/>
  <c r="AC199" i="17"/>
  <c r="H110" i="11"/>
  <c r="J153" i="17"/>
  <c r="K209" i="17"/>
  <c r="U159" i="17"/>
  <c r="L108" i="11"/>
  <c r="O199" i="17"/>
  <c r="AK119" i="11"/>
  <c r="AM259" i="17"/>
  <c r="D132" i="11"/>
  <c r="F329" i="17"/>
  <c r="G329" i="17"/>
  <c r="D59" i="11"/>
  <c r="R162" i="11"/>
  <c r="T433" i="17"/>
  <c r="AO15" i="29"/>
  <c r="AS106" i="11"/>
  <c r="AU48" i="17"/>
  <c r="AU45" i="17" s="1"/>
  <c r="P199" i="17"/>
  <c r="N108" i="11"/>
  <c r="Q199" i="17"/>
  <c r="AB136" i="11"/>
  <c r="AB125" i="11" s="1"/>
  <c r="AD293" i="17"/>
  <c r="H149" i="11"/>
  <c r="J363" i="17"/>
  <c r="AH158" i="11"/>
  <c r="AK469" i="17"/>
  <c r="J279" i="17"/>
  <c r="V58" i="17"/>
  <c r="V55" i="17" s="1"/>
  <c r="AU7" i="17"/>
  <c r="J7" i="17"/>
  <c r="N76" i="16"/>
  <c r="D98" i="17"/>
  <c r="D9" i="22" s="1"/>
  <c r="T305" i="11"/>
  <c r="U305" i="11"/>
  <c r="AI305" i="11"/>
  <c r="AM79" i="16"/>
  <c r="AH167" i="11"/>
  <c r="AK78" i="17"/>
  <c r="R59" i="11"/>
  <c r="S428" i="17"/>
  <c r="R123" i="7" s="1"/>
  <c r="J48" i="17"/>
  <c r="J45" i="17" s="1"/>
  <c r="W218" i="17"/>
  <c r="AI76" i="16"/>
  <c r="AR148" i="17"/>
  <c r="D418" i="17"/>
  <c r="CP17" i="29"/>
  <c r="AE259" i="17"/>
  <c r="AE99" i="17"/>
  <c r="AJ148" i="17"/>
  <c r="R46" i="11"/>
  <c r="B142" i="11"/>
  <c r="AT48" i="17"/>
  <c r="AT45" i="17" s="1"/>
  <c r="S138" i="11"/>
  <c r="Z179" i="17"/>
  <c r="Y55" i="17"/>
  <c r="V189" i="17"/>
  <c r="V49" i="17" s="1"/>
  <c r="M48" i="17"/>
  <c r="M45" i="17" s="1"/>
  <c r="AR99" i="17"/>
  <c r="AU469" i="17"/>
  <c r="P469" i="17"/>
  <c r="AD58" i="17"/>
  <c r="AD55" i="17" s="1"/>
  <c r="M399" i="17"/>
  <c r="AU399" i="17"/>
  <c r="AR20" i="11"/>
  <c r="S158" i="11"/>
  <c r="V469" i="17"/>
  <c r="AH89" i="17"/>
  <c r="AN145" i="11"/>
  <c r="AP399" i="17"/>
  <c r="AS433" i="17"/>
  <c r="AQ162" i="11"/>
  <c r="AT110" i="11"/>
  <c r="AV153" i="17"/>
  <c r="AA433" i="17"/>
  <c r="Y162" i="11"/>
  <c r="O110" i="11"/>
  <c r="R209" i="17"/>
  <c r="Q153" i="17"/>
  <c r="AH145" i="11"/>
  <c r="AK399" i="17"/>
  <c r="U89" i="11"/>
  <c r="X99" i="17"/>
  <c r="Q110" i="11"/>
  <c r="S153" i="17"/>
  <c r="AO16" i="29"/>
  <c r="O293" i="17"/>
  <c r="M136" i="11"/>
  <c r="AR149" i="11"/>
  <c r="AT363" i="17"/>
  <c r="B62" i="11"/>
  <c r="U48" i="17"/>
  <c r="U45" i="17" s="1"/>
  <c r="G279" i="17"/>
  <c r="AO18" i="29"/>
  <c r="S329" i="17"/>
  <c r="P132" i="11"/>
  <c r="AQ89" i="17"/>
  <c r="AN87" i="11"/>
  <c r="AE167" i="11"/>
  <c r="Z72" i="11"/>
  <c r="AC20" i="11"/>
  <c r="D448" i="17"/>
  <c r="CE6" i="10" s="1"/>
  <c r="AD138" i="11"/>
  <c r="AE78" i="17"/>
  <c r="AE305" i="11"/>
  <c r="AH305" i="11"/>
  <c r="D305" i="11"/>
  <c r="AI167" i="11"/>
  <c r="I78" i="17"/>
  <c r="AR7" i="11"/>
  <c r="AV78" i="17"/>
  <c r="D287" i="17"/>
  <c r="Y286" i="17" s="1"/>
  <c r="AD48" i="17"/>
  <c r="AD45" i="17" s="1"/>
  <c r="B91" i="11"/>
  <c r="R167" i="11"/>
  <c r="G349" i="17"/>
  <c r="AG78" i="17"/>
  <c r="K291" i="17"/>
  <c r="D228" i="17"/>
  <c r="H9" i="13"/>
  <c r="H9" i="43"/>
  <c r="D348" i="17"/>
  <c r="D198" i="17"/>
  <c r="AH123" i="7"/>
  <c r="D124" i="17"/>
  <c r="F139" i="17"/>
  <c r="X428" i="17"/>
  <c r="W123" i="7" s="1"/>
  <c r="N68" i="17"/>
  <c r="AN138" i="11"/>
  <c r="T469" i="17"/>
  <c r="I399" i="17"/>
  <c r="I110" i="11"/>
  <c r="K153" i="17"/>
  <c r="AT132" i="11"/>
  <c r="AV329" i="17"/>
  <c r="H108" i="11"/>
  <c r="K199" i="17"/>
  <c r="AV129" i="21"/>
  <c r="AQ209" i="17"/>
  <c r="AQ153" i="17"/>
  <c r="AO110" i="11"/>
  <c r="AB158" i="11"/>
  <c r="AE469" i="17"/>
  <c r="AO28" i="29"/>
  <c r="P126" i="21"/>
  <c r="T116" i="21"/>
  <c r="K149" i="11"/>
  <c r="M363" i="17"/>
  <c r="M162" i="11"/>
  <c r="O433" i="17"/>
  <c r="AC189" i="17"/>
  <c r="Z106" i="11"/>
  <c r="AD132" i="11"/>
  <c r="AG329" i="17"/>
  <c r="C145" i="11"/>
  <c r="F399" i="17"/>
  <c r="AD433" i="17"/>
  <c r="AC123" i="7" s="1"/>
  <c r="AB162" i="11"/>
  <c r="F110" i="11"/>
  <c r="H153" i="17"/>
  <c r="I209" i="17"/>
  <c r="I154" i="17" s="1"/>
  <c r="W123" i="11"/>
  <c r="Z279" i="17"/>
  <c r="C141" i="11"/>
  <c r="D378" i="17"/>
  <c r="H158" i="11"/>
  <c r="K469" i="17"/>
  <c r="L399" i="17"/>
  <c r="Y68" i="17"/>
  <c r="O279" i="17"/>
  <c r="F32" i="13"/>
  <c r="F33" i="13" s="1"/>
  <c r="F32" i="43"/>
  <c r="D37" i="43"/>
  <c r="C34" i="43"/>
  <c r="C37" i="43" s="1"/>
  <c r="D65" i="43"/>
  <c r="C31" i="43"/>
  <c r="B120" i="11"/>
  <c r="B16" i="11"/>
  <c r="AD106" i="11"/>
  <c r="AF48" i="17"/>
  <c r="AF45" i="17" s="1"/>
  <c r="AG189" i="17"/>
  <c r="AG49" i="17" s="1"/>
  <c r="AA123" i="11"/>
  <c r="AD279" i="17"/>
  <c r="AJ132" i="11"/>
  <c r="AL329" i="17"/>
  <c r="AM329" i="17"/>
  <c r="V153" i="17"/>
  <c r="T110" i="11"/>
  <c r="W209" i="17"/>
  <c r="B31" i="11"/>
  <c r="L110" i="11"/>
  <c r="O209" i="17"/>
  <c r="N153" i="17"/>
  <c r="AP110" i="11"/>
  <c r="AR153" i="17"/>
  <c r="AS209" i="17"/>
  <c r="AR68" i="17"/>
  <c r="AR65" i="17" s="1"/>
  <c r="AR209" i="17"/>
  <c r="W119" i="11"/>
  <c r="Z259" i="17"/>
  <c r="AO123" i="11"/>
  <c r="AR279" i="17"/>
  <c r="AQ279" i="17"/>
  <c r="M279" i="17"/>
  <c r="N279" i="17"/>
  <c r="K123" i="11"/>
  <c r="V106" i="11"/>
  <c r="V99" i="11" s="1"/>
  <c r="Y189" i="17"/>
  <c r="Y49" i="17" s="1"/>
  <c r="AA115" i="11"/>
  <c r="AC28" i="17"/>
  <c r="AC25" i="17" s="1"/>
  <c r="Y48" i="17"/>
  <c r="Y45" i="17" s="1"/>
  <c r="W106" i="11"/>
  <c r="R110" i="11"/>
  <c r="R99" i="11" s="1"/>
  <c r="T209" i="17"/>
  <c r="T153" i="17"/>
  <c r="U209" i="17"/>
  <c r="I123" i="11"/>
  <c r="L279" i="17"/>
  <c r="K279" i="17"/>
  <c r="Y132" i="11"/>
  <c r="Y125" i="11" s="1"/>
  <c r="AA48" i="17"/>
  <c r="AA45" i="17" s="1"/>
  <c r="AA329" i="17"/>
  <c r="AA49" i="17" s="1"/>
  <c r="AB329" i="17"/>
  <c r="AJ97" i="11"/>
  <c r="AL68" i="17"/>
  <c r="AL65" i="17" s="1"/>
  <c r="K68" i="17"/>
  <c r="K65" i="17" s="1"/>
  <c r="AM305" i="11"/>
  <c r="X305" i="11"/>
  <c r="O305" i="11"/>
  <c r="R305" i="11"/>
  <c r="M305" i="11"/>
  <c r="L305" i="11"/>
  <c r="AA305" i="11"/>
  <c r="Z305" i="11"/>
  <c r="Y305" i="11"/>
  <c r="AO305" i="11"/>
  <c r="H305" i="11"/>
  <c r="U167" i="11"/>
  <c r="Z167" i="11"/>
  <c r="Q167" i="11"/>
  <c r="AM167" i="11"/>
  <c r="I18" i="17"/>
  <c r="AO7" i="17"/>
  <c r="G78" i="17"/>
  <c r="AS7" i="11"/>
  <c r="Z78" i="17"/>
  <c r="G7" i="11"/>
  <c r="AO7" i="11"/>
  <c r="P7" i="11"/>
  <c r="G23" i="29"/>
  <c r="E78" i="17"/>
  <c r="C7" i="11"/>
  <c r="AS61" i="17"/>
  <c r="S335" i="20"/>
  <c r="S336" i="20" s="1"/>
  <c r="W79" i="16"/>
  <c r="AA79" i="16"/>
  <c r="R79" i="16"/>
  <c r="AC218" i="17"/>
  <c r="R335" i="20"/>
  <c r="R336" i="20" s="1"/>
  <c r="S243" i="20"/>
  <c r="S244" i="20" s="1"/>
  <c r="U431" i="17"/>
  <c r="R243" i="20"/>
  <c r="R244" i="20" s="1"/>
  <c r="R213" i="20"/>
  <c r="R214" i="20" s="1"/>
  <c r="K5" i="19"/>
  <c r="T149" i="19"/>
  <c r="R149" i="19" s="1"/>
  <c r="V68" i="17"/>
  <c r="V65" i="17" s="1"/>
  <c r="S341" i="20"/>
  <c r="S342" i="20" s="1"/>
  <c r="AG58" i="17"/>
  <c r="T323" i="20"/>
  <c r="T324" i="20" s="1"/>
  <c r="S291" i="20"/>
  <c r="S292" i="20" s="1"/>
  <c r="S61" i="17"/>
  <c r="AR61" i="17"/>
  <c r="AV61" i="17"/>
  <c r="M61" i="17"/>
  <c r="R61" i="17"/>
  <c r="AU61" i="17"/>
  <c r="AN61" i="17"/>
  <c r="P61" i="17"/>
  <c r="O61" i="17"/>
  <c r="V61" i="17"/>
  <c r="R329" i="20"/>
  <c r="R330" i="20" s="1"/>
  <c r="AT291" i="17"/>
  <c r="B137" i="11"/>
  <c r="AR84" i="17"/>
  <c r="U194" i="17"/>
  <c r="AU291" i="17"/>
  <c r="G81" i="17"/>
  <c r="AD76" i="16"/>
  <c r="AK76" i="16"/>
  <c r="AP33" i="11"/>
  <c r="X48" i="17"/>
  <c r="X45" i="17" s="1"/>
  <c r="F194" i="17"/>
  <c r="AM194" i="17"/>
  <c r="AK9" i="29"/>
  <c r="S261" i="20"/>
  <c r="S262" i="20" s="1"/>
  <c r="T261" i="20"/>
  <c r="T262" i="20" s="1"/>
  <c r="Q265" i="20"/>
  <c r="Q266" i="20" s="1"/>
  <c r="I68" i="17"/>
  <c r="I65" i="17" s="1"/>
  <c r="X12" i="17"/>
  <c r="U12" i="17"/>
  <c r="H77" i="16"/>
  <c r="Q291" i="17"/>
  <c r="L28" i="17"/>
  <c r="L25" i="17" s="1"/>
  <c r="B27" i="11"/>
  <c r="AF6" i="15"/>
  <c r="AH6" i="15" s="1"/>
  <c r="AG6" i="15" s="1"/>
  <c r="R207" i="20" s="1"/>
  <c r="R208" i="20" s="1"/>
  <c r="AL194" i="17"/>
  <c r="T194" i="17"/>
  <c r="B147" i="11"/>
  <c r="AL83" i="17"/>
  <c r="AJ194" i="17"/>
  <c r="I139" i="17"/>
  <c r="I84" i="17" s="1"/>
  <c r="AH97" i="11"/>
  <c r="AB106" i="11"/>
  <c r="AE189" i="17"/>
  <c r="AD189" i="17"/>
  <c r="S110" i="11"/>
  <c r="V209" i="17"/>
  <c r="U153" i="17"/>
  <c r="AV209" i="17"/>
  <c r="AS110" i="11"/>
  <c r="K110" i="11"/>
  <c r="K99" i="11" s="1"/>
  <c r="M153" i="17"/>
  <c r="L119" i="7" s="1"/>
  <c r="N209" i="17"/>
  <c r="AP115" i="11"/>
  <c r="AR218" i="17"/>
  <c r="AI123" i="11"/>
  <c r="AK279" i="17"/>
  <c r="AL279" i="17"/>
  <c r="AJ123" i="11"/>
  <c r="AM279" i="17"/>
  <c r="F123" i="11"/>
  <c r="I279" i="17"/>
  <c r="H279" i="17"/>
  <c r="I106" i="11"/>
  <c r="L189" i="17"/>
  <c r="K189" i="17"/>
  <c r="K48" i="17"/>
  <c r="K45" i="17" s="1"/>
  <c r="P48" i="17"/>
  <c r="P45" i="17" s="1"/>
  <c r="N106" i="11"/>
  <c r="Q189" i="17"/>
  <c r="D205" i="17"/>
  <c r="D152" i="17"/>
  <c r="AM106" i="11"/>
  <c r="AO48" i="17"/>
  <c r="AO45" i="17" s="1"/>
  <c r="AP189" i="17"/>
  <c r="O106" i="11"/>
  <c r="R189" i="17"/>
  <c r="AJ153" i="17"/>
  <c r="AK209" i="17"/>
  <c r="AH110" i="11"/>
  <c r="AM110" i="11"/>
  <c r="AO153" i="17"/>
  <c r="AP209" i="17"/>
  <c r="AO209" i="17"/>
  <c r="Z110" i="11"/>
  <c r="AB153" i="17"/>
  <c r="AB209" i="17"/>
  <c r="AC209" i="17"/>
  <c r="C123" i="11"/>
  <c r="F279" i="17"/>
  <c r="E279" i="17"/>
  <c r="D278" i="17"/>
  <c r="AT123" i="11"/>
  <c r="AV279" i="17"/>
  <c r="CV28" i="29"/>
  <c r="CV19" i="29"/>
  <c r="DU4" i="29"/>
  <c r="CU5" i="29"/>
  <c r="CV11" i="29"/>
  <c r="CV25" i="29"/>
  <c r="CV18" i="29"/>
  <c r="CV15" i="29"/>
  <c r="CU6" i="29"/>
  <c r="CU7" i="29"/>
  <c r="CV16" i="29"/>
  <c r="F106" i="11"/>
  <c r="H189" i="17"/>
  <c r="AV189" i="17"/>
  <c r="AV48" i="17"/>
  <c r="AV45" i="17" s="1"/>
  <c r="AT106" i="11"/>
  <c r="U110" i="11"/>
  <c r="W153" i="17"/>
  <c r="X209" i="17"/>
  <c r="AE110" i="11"/>
  <c r="AH209" i="17"/>
  <c r="AG209" i="17"/>
  <c r="AG153" i="17"/>
  <c r="L153" i="17"/>
  <c r="L209" i="17"/>
  <c r="J110" i="11"/>
  <c r="M209" i="17"/>
  <c r="H48" i="17"/>
  <c r="H45" i="17" s="1"/>
  <c r="I259" i="17"/>
  <c r="F119" i="11"/>
  <c r="X279" i="17"/>
  <c r="Y279" i="17"/>
  <c r="V123" i="11"/>
  <c r="AJ78" i="17"/>
  <c r="H12" i="17"/>
  <c r="AQ68" i="17"/>
  <c r="AQ65" i="17" s="1"/>
  <c r="D106" i="11"/>
  <c r="G189" i="17"/>
  <c r="AB110" i="11"/>
  <c r="AE209" i="17"/>
  <c r="AR189" i="17"/>
  <c r="AR49" i="17" s="1"/>
  <c r="AQ189" i="17"/>
  <c r="AO106" i="11"/>
  <c r="AC110" i="11"/>
  <c r="AF209" i="17"/>
  <c r="S123" i="11"/>
  <c r="U279" i="17"/>
  <c r="V279" i="17"/>
  <c r="S279" i="17"/>
  <c r="R279" i="17"/>
  <c r="R68" i="17"/>
  <c r="R65" i="17" s="1"/>
  <c r="P123" i="11"/>
  <c r="F189" i="17"/>
  <c r="AC279" i="17"/>
  <c r="S48" i="17"/>
  <c r="S45" i="17" s="1"/>
  <c r="Q106" i="11"/>
  <c r="Q99" i="11" s="1"/>
  <c r="T189" i="17"/>
  <c r="T49" i="17" s="1"/>
  <c r="S189" i="17"/>
  <c r="S148" i="17"/>
  <c r="AJ106" i="11"/>
  <c r="AL48" i="17"/>
  <c r="AL45" i="17" s="1"/>
  <c r="AL189" i="17"/>
  <c r="D110" i="11"/>
  <c r="F153" i="17"/>
  <c r="G209" i="17"/>
  <c r="M110" i="11"/>
  <c r="O153" i="17"/>
  <c r="P209" i="17"/>
  <c r="B44" i="11"/>
  <c r="Q123" i="11"/>
  <c r="T279" i="17"/>
  <c r="BU21" i="29"/>
  <c r="BU33" i="29"/>
  <c r="BU23" i="29"/>
  <c r="BU22" i="29"/>
  <c r="AD123" i="11"/>
  <c r="AF279" i="17"/>
  <c r="AG279" i="17"/>
  <c r="AQ123" i="11"/>
  <c r="AT279" i="17"/>
  <c r="AS279" i="17"/>
  <c r="AU279" i="17"/>
  <c r="AR123" i="11"/>
  <c r="AK305" i="11"/>
  <c r="AJ305" i="11"/>
  <c r="AL305" i="11"/>
  <c r="G305" i="11"/>
  <c r="AS305" i="11"/>
  <c r="AD305" i="11"/>
  <c r="AB305" i="11"/>
  <c r="C305" i="11"/>
  <c r="P305" i="11"/>
  <c r="AT305" i="11"/>
  <c r="AF167" i="11"/>
  <c r="AJ167" i="11"/>
  <c r="E167" i="11"/>
  <c r="P167" i="11"/>
  <c r="G33" i="29"/>
  <c r="R7" i="11"/>
  <c r="E171" i="19"/>
  <c r="C171" i="19" s="1"/>
  <c r="N79" i="16"/>
  <c r="AC79" i="16"/>
  <c r="AH79" i="16"/>
  <c r="D258" i="17"/>
  <c r="F13" i="22" s="1"/>
  <c r="M138" i="11"/>
  <c r="Q335" i="20"/>
  <c r="Q336" i="20" s="1"/>
  <c r="S323" i="20"/>
  <c r="S324" i="20" s="1"/>
  <c r="D328" i="17"/>
  <c r="D308" i="17"/>
  <c r="BE6" i="10" s="1"/>
  <c r="T146" i="19"/>
  <c r="T150" i="19"/>
  <c r="AE49" i="17"/>
  <c r="AG167" i="11"/>
  <c r="R283" i="20"/>
  <c r="R284" i="20" s="1"/>
  <c r="T283" i="20"/>
  <c r="T284" i="20" s="1"/>
  <c r="S283" i="20"/>
  <c r="S284" i="20" s="1"/>
  <c r="L18" i="17"/>
  <c r="L15" i="17" s="1"/>
  <c r="M20" i="11"/>
  <c r="O20" i="11"/>
  <c r="AN33" i="11"/>
  <c r="F167" i="11"/>
  <c r="R229" i="20"/>
  <c r="R230" i="20" s="1"/>
  <c r="R291" i="20"/>
  <c r="R292" i="20" s="1"/>
  <c r="S305" i="20"/>
  <c r="S306" i="20" s="1"/>
  <c r="G61" i="17"/>
  <c r="Q61" i="17"/>
  <c r="AG61" i="17"/>
  <c r="T61" i="17"/>
  <c r="AD61" i="17"/>
  <c r="AL61" i="17"/>
  <c r="K61" i="17"/>
  <c r="AB61" i="17"/>
  <c r="AA61" i="17"/>
  <c r="T329" i="20"/>
  <c r="T330" i="20" s="1"/>
  <c r="E33" i="11"/>
  <c r="K49" i="17"/>
  <c r="B94" i="11"/>
  <c r="AC76" i="16"/>
  <c r="AS76" i="16"/>
  <c r="AH76" i="16"/>
  <c r="AE76" i="16"/>
  <c r="W81" i="17"/>
  <c r="AI46" i="11"/>
  <c r="G194" i="17"/>
  <c r="T297" i="20"/>
  <c r="T298" i="20" s="1"/>
  <c r="Q261" i="20"/>
  <c r="Q262" i="20" s="1"/>
  <c r="R265" i="20"/>
  <c r="R266" i="20" s="1"/>
  <c r="AH99" i="11"/>
  <c r="S297" i="20"/>
  <c r="S298" i="20" s="1"/>
  <c r="B90" i="11"/>
  <c r="AD153" i="17"/>
  <c r="AC119" i="7" s="1"/>
  <c r="V48" i="17"/>
  <c r="V45" i="17" s="1"/>
  <c r="AA119" i="7"/>
  <c r="F48" i="17"/>
  <c r="F45" i="17" s="1"/>
  <c r="AH139" i="17"/>
  <c r="AH84" i="17" s="1"/>
  <c r="S381" i="20"/>
  <c r="S370" i="20" s="1"/>
  <c r="S378" i="20"/>
  <c r="S367" i="20" s="1"/>
  <c r="AC106" i="11"/>
  <c r="AF189" i="17"/>
  <c r="AL209" i="17"/>
  <c r="AM209" i="17"/>
  <c r="AL153" i="17"/>
  <c r="AJ110" i="11"/>
  <c r="AF115" i="11"/>
  <c r="AH218" i="17"/>
  <c r="N123" i="11"/>
  <c r="P279" i="17"/>
  <c r="Q279" i="17"/>
  <c r="AB123" i="11"/>
  <c r="AE279" i="17"/>
  <c r="N189" i="17"/>
  <c r="L106" i="11"/>
  <c r="N148" i="17"/>
  <c r="M119" i="7" s="1"/>
  <c r="AL106" i="11"/>
  <c r="AL99" i="11" s="1"/>
  <c r="AO189" i="17"/>
  <c r="AH189" i="17"/>
  <c r="AG48" i="17"/>
  <c r="AG45" i="17" s="1"/>
  <c r="AE106" i="11"/>
  <c r="C110" i="11"/>
  <c r="F209" i="17"/>
  <c r="D208" i="17"/>
  <c r="E209" i="17"/>
  <c r="AG123" i="11"/>
  <c r="AJ279" i="17"/>
  <c r="AI279" i="17"/>
  <c r="AK110" i="11"/>
  <c r="AN209" i="17"/>
  <c r="AA279" i="17"/>
  <c r="AA223" i="17"/>
  <c r="AB279" i="17"/>
  <c r="Y123" i="11"/>
  <c r="AO279" i="17"/>
  <c r="AN279" i="17"/>
  <c r="AL123" i="11"/>
  <c r="BU18" i="29"/>
  <c r="AR106" i="11"/>
  <c r="AT189" i="17"/>
  <c r="AT49" i="17" s="1"/>
  <c r="AU189" i="17"/>
  <c r="AU49" i="17" s="1"/>
  <c r="AR110" i="11"/>
  <c r="AT209" i="17"/>
  <c r="AU209" i="17"/>
  <c r="AT68" i="17"/>
  <c r="AT65" i="17" s="1"/>
  <c r="AA110" i="11"/>
  <c r="AC153" i="17"/>
  <c r="AB119" i="7" s="1"/>
  <c r="AD209" i="17"/>
  <c r="H148" i="17"/>
  <c r="G119" i="7" s="1"/>
  <c r="W83" i="17"/>
  <c r="J97" i="11"/>
  <c r="L68" i="17"/>
  <c r="L65" i="17" s="1"/>
  <c r="L83" i="17"/>
  <c r="R97" i="11"/>
  <c r="T83" i="17"/>
  <c r="T68" i="17"/>
  <c r="T65" i="17" s="1"/>
  <c r="Y7" i="11"/>
  <c r="AL7" i="11"/>
  <c r="AK12" i="17"/>
  <c r="O80" i="17"/>
  <c r="S382" i="20"/>
  <c r="S371" i="20" s="1"/>
  <c r="Q377" i="20"/>
  <c r="Q366" i="20" s="1"/>
  <c r="AJ12" i="17"/>
  <c r="L12" i="17"/>
  <c r="P75" i="21"/>
  <c r="P73" i="21" s="1"/>
  <c r="E7" i="11"/>
  <c r="R118" i="7"/>
  <c r="O12" i="17"/>
  <c r="T139" i="17"/>
  <c r="T84" i="17" s="1"/>
  <c r="AB12" i="17"/>
  <c r="AO68" i="17"/>
  <c r="AO65" i="17" s="1"/>
  <c r="AJ65" i="17"/>
  <c r="L139" i="17"/>
  <c r="V7" i="11"/>
  <c r="AJ139" i="17"/>
  <c r="M12" i="17"/>
  <c r="N12" i="17"/>
  <c r="Q381" i="20"/>
  <c r="Q370" i="20" s="1"/>
  <c r="R397" i="20"/>
  <c r="AJ83" i="17"/>
  <c r="AA7" i="11"/>
  <c r="AM12" i="17"/>
  <c r="AE139" i="17"/>
  <c r="AE84" i="17" s="1"/>
  <c r="AD81" i="17"/>
  <c r="AH12" i="17"/>
  <c r="AG7" i="11"/>
  <c r="D97" i="11"/>
  <c r="AG83" i="17"/>
  <c r="AF118" i="7" s="1"/>
  <c r="T379" i="20"/>
  <c r="T368" i="20" s="1"/>
  <c r="R377" i="20"/>
  <c r="R366" i="20" s="1"/>
  <c r="AM97" i="11"/>
  <c r="AB68" i="17"/>
  <c r="AB65" i="17" s="1"/>
  <c r="AB83" i="17"/>
  <c r="Z97" i="11"/>
  <c r="F68" i="17"/>
  <c r="F65" i="17" s="1"/>
  <c r="AE97" i="11"/>
  <c r="D67" i="17"/>
  <c r="AH66" i="17" s="1"/>
  <c r="I376" i="20"/>
  <c r="Y97" i="11"/>
  <c r="AA83" i="17"/>
  <c r="AA68" i="17"/>
  <c r="AB139" i="17"/>
  <c r="AB84" i="17" s="1"/>
  <c r="AN12" i="17"/>
  <c r="M365" i="20"/>
  <c r="T381" i="20"/>
  <c r="T370" i="20" s="1"/>
  <c r="T390" i="20"/>
  <c r="S377" i="20"/>
  <c r="S366" i="20" s="1"/>
  <c r="M376" i="20"/>
  <c r="V12" i="17"/>
  <c r="S383" i="20"/>
  <c r="Q379" i="20"/>
  <c r="Q368" i="20" s="1"/>
  <c r="C103" i="19"/>
  <c r="M7" i="11"/>
  <c r="G12" i="17"/>
  <c r="AF12" i="17"/>
  <c r="AM81" i="17"/>
  <c r="S390" i="20"/>
  <c r="S397" i="20"/>
  <c r="S379" i="20"/>
  <c r="S368" i="20" s="1"/>
  <c r="B18" i="11"/>
  <c r="AT7" i="11"/>
  <c r="R390" i="20"/>
  <c r="AT81" i="17"/>
  <c r="AJ81" i="17"/>
  <c r="N81" i="17"/>
  <c r="O365" i="20"/>
  <c r="AF83" i="17"/>
  <c r="AD97" i="11"/>
  <c r="AF68" i="17"/>
  <c r="AF65" i="17" s="1"/>
  <c r="AG139" i="17"/>
  <c r="AG84" i="17" s="1"/>
  <c r="G68" i="17"/>
  <c r="G65" i="17" s="1"/>
  <c r="E97" i="11"/>
  <c r="AS97" i="11"/>
  <c r="AU83" i="17"/>
  <c r="AV139" i="17"/>
  <c r="AV84" i="17" s="1"/>
  <c r="AU68" i="17"/>
  <c r="AU65" i="17" s="1"/>
  <c r="K376" i="20"/>
  <c r="O376" i="20"/>
  <c r="AI7" i="11"/>
  <c r="AC83" i="17"/>
  <c r="AA97" i="11"/>
  <c r="AC139" i="17"/>
  <c r="AC84" i="17" s="1"/>
  <c r="AC68" i="17"/>
  <c r="AC65" i="17" s="1"/>
  <c r="M83" i="17"/>
  <c r="L118" i="7" s="1"/>
  <c r="N139" i="17"/>
  <c r="N84" i="17" s="1"/>
  <c r="K97" i="11"/>
  <c r="M139" i="17"/>
  <c r="M84" i="17" s="1"/>
  <c r="M68" i="17"/>
  <c r="M65" i="17" s="1"/>
  <c r="AI97" i="11"/>
  <c r="AK68" i="17"/>
  <c r="AK65" i="17" s="1"/>
  <c r="AK139" i="17"/>
  <c r="AK84" i="17" s="1"/>
  <c r="AK83" i="17"/>
  <c r="AL139" i="17"/>
  <c r="AL84" i="17" s="1"/>
  <c r="V97" i="11"/>
  <c r="X68" i="17"/>
  <c r="X65" i="17" s="1"/>
  <c r="Y139" i="17"/>
  <c r="Y84" i="17" s="1"/>
  <c r="M97" i="11"/>
  <c r="P139" i="17"/>
  <c r="P84" i="17" s="1"/>
  <c r="O68" i="17"/>
  <c r="O65" i="17" s="1"/>
  <c r="U83" i="17"/>
  <c r="S97" i="11"/>
  <c r="U68" i="17"/>
  <c r="U65" i="17" s="1"/>
  <c r="U139" i="17"/>
  <c r="U84" i="17" s="1"/>
  <c r="AT97" i="11"/>
  <c r="AV68" i="17"/>
  <c r="AV65" i="17" s="1"/>
  <c r="AV83" i="17"/>
  <c r="Z83" i="17"/>
  <c r="X97" i="11"/>
  <c r="Z68" i="17"/>
  <c r="Z65" i="17" s="1"/>
  <c r="Z139" i="17"/>
  <c r="Z84" i="17" s="1"/>
  <c r="AA139" i="17"/>
  <c r="AA84" i="17" s="1"/>
  <c r="V139" i="17"/>
  <c r="V84" i="17" s="1"/>
  <c r="F84" i="17"/>
  <c r="AC12" i="17"/>
  <c r="AD139" i="17"/>
  <c r="AD84" i="17" s="1"/>
  <c r="X83" i="17"/>
  <c r="V81" i="17"/>
  <c r="T81" i="17"/>
  <c r="AI81" i="17"/>
  <c r="AC7" i="11"/>
  <c r="G139" i="17"/>
  <c r="G84" i="17" s="1"/>
  <c r="AE81" i="17"/>
  <c r="AK97" i="11"/>
  <c r="AM139" i="17"/>
  <c r="AM84" i="17" s="1"/>
  <c r="AN139" i="17"/>
  <c r="AN84" i="17" s="1"/>
  <c r="AM83" i="17"/>
  <c r="AM68" i="17"/>
  <c r="AM65" i="17" s="1"/>
  <c r="AO139" i="17"/>
  <c r="AN68" i="17"/>
  <c r="AN65" i="17" s="1"/>
  <c r="AN83" i="17"/>
  <c r="AM118" i="7" s="1"/>
  <c r="AL97" i="11"/>
  <c r="AC97" i="11"/>
  <c r="AF139" i="17"/>
  <c r="AE68" i="17"/>
  <c r="AE65" i="17" s="1"/>
  <c r="AH83" i="17"/>
  <c r="AG118" i="7" s="1"/>
  <c r="AH68" i="17"/>
  <c r="AH65" i="17" s="1"/>
  <c r="AI139" i="17"/>
  <c r="AI84" i="17" s="1"/>
  <c r="AF97" i="11"/>
  <c r="U97" i="11"/>
  <c r="X139" i="17"/>
  <c r="X84" i="17" s="1"/>
  <c r="W68" i="17"/>
  <c r="W65" i="17" s="1"/>
  <c r="O139" i="17"/>
  <c r="O84" i="17" s="1"/>
  <c r="L97" i="11"/>
  <c r="N7" i="11"/>
  <c r="C100" i="8"/>
  <c r="S7" i="11"/>
  <c r="AD118" i="7"/>
  <c r="I365" i="20"/>
  <c r="D138" i="17"/>
  <c r="AP12" i="17"/>
  <c r="P12" i="17"/>
  <c r="G83" i="17"/>
  <c r="K7" i="11"/>
  <c r="AU139" i="17"/>
  <c r="R382" i="20"/>
  <c r="R371" i="20" s="1"/>
  <c r="Q382" i="20"/>
  <c r="Q371" i="20" s="1"/>
  <c r="Q383" i="20"/>
  <c r="R379" i="20"/>
  <c r="R368" i="20" s="1"/>
  <c r="R378" i="20"/>
  <c r="R367" i="20" s="1"/>
  <c r="T378" i="20"/>
  <c r="T367" i="20" s="1"/>
  <c r="T397" i="20"/>
  <c r="R383" i="20"/>
  <c r="Q378" i="20"/>
  <c r="Q367" i="20" s="1"/>
  <c r="T382" i="20"/>
  <c r="T371" i="20" s="1"/>
  <c r="Q390" i="20"/>
  <c r="T377" i="20"/>
  <c r="T366" i="20" s="1"/>
  <c r="AN97" i="11"/>
  <c r="AP83" i="17"/>
  <c r="AP68" i="17"/>
  <c r="AP65" i="17" s="1"/>
  <c r="AP139" i="17"/>
  <c r="AP84" i="17" s="1"/>
  <c r="AQ139" i="17"/>
  <c r="AQ84" i="17" s="1"/>
  <c r="H139" i="17"/>
  <c r="H84" i="17" s="1"/>
  <c r="H83" i="17"/>
  <c r="F97" i="11"/>
  <c r="AQ97" i="11"/>
  <c r="AS83" i="17"/>
  <c r="AS139" i="17"/>
  <c r="AS84" i="17" s="1"/>
  <c r="AS68" i="17"/>
  <c r="AS65" i="17" s="1"/>
  <c r="Q139" i="17"/>
  <c r="Q84" i="17" s="1"/>
  <c r="N97" i="11"/>
  <c r="P68" i="17"/>
  <c r="P65" i="17" s="1"/>
  <c r="P83" i="17"/>
  <c r="P80" i="17" s="1"/>
  <c r="E68" i="17"/>
  <c r="E65" i="17" s="1"/>
  <c r="E83" i="17"/>
  <c r="C97" i="11"/>
  <c r="E139" i="17"/>
  <c r="W20" i="11"/>
  <c r="W167" i="11"/>
  <c r="AN20" i="11"/>
  <c r="AN167" i="11"/>
  <c r="T286" i="17"/>
  <c r="B134" i="11"/>
  <c r="G20" i="11"/>
  <c r="G167" i="11"/>
  <c r="AS20" i="11"/>
  <c r="AS167" i="11"/>
  <c r="D17" i="17"/>
  <c r="AI16" i="17" s="1"/>
  <c r="C167" i="11"/>
  <c r="T20" i="11"/>
  <c r="T167" i="11"/>
  <c r="H143" i="19"/>
  <c r="F143" i="19" s="1"/>
  <c r="I33" i="11"/>
  <c r="E77" i="16"/>
  <c r="AG55" i="17"/>
  <c r="B161" i="11"/>
  <c r="BW18" i="29"/>
  <c r="Q5" i="19"/>
  <c r="O5" i="19" s="1"/>
  <c r="AE7" i="17"/>
  <c r="AR126" i="11"/>
  <c r="K126" i="11"/>
  <c r="M18" i="17"/>
  <c r="M15" i="17" s="1"/>
  <c r="F126" i="11"/>
  <c r="F125" i="11" s="1"/>
  <c r="H288" i="17"/>
  <c r="P96" i="9"/>
  <c r="S96" i="9" s="1"/>
  <c r="L167" i="11"/>
  <c r="AK167" i="11"/>
  <c r="S20" i="11"/>
  <c r="S167" i="11"/>
  <c r="AD7" i="17"/>
  <c r="F133" i="19"/>
  <c r="H147" i="19"/>
  <c r="F147" i="19" s="1"/>
  <c r="H149" i="19"/>
  <c r="F149" i="19" s="1"/>
  <c r="AT167" i="11"/>
  <c r="D77" i="17"/>
  <c r="W76" i="17" s="1"/>
  <c r="AV7" i="17"/>
  <c r="AD79" i="16"/>
  <c r="AQ79" i="16"/>
  <c r="M79" i="16"/>
  <c r="AS79" i="16"/>
  <c r="AN79" i="16"/>
  <c r="AO79" i="16"/>
  <c r="AQ55" i="17"/>
  <c r="H142" i="19"/>
  <c r="F142" i="19" s="1"/>
  <c r="H146" i="19"/>
  <c r="F146" i="19" s="1"/>
  <c r="T361" i="17"/>
  <c r="H361" i="17"/>
  <c r="AJ77" i="16"/>
  <c r="J77" i="16"/>
  <c r="O7" i="17"/>
  <c r="AD20" i="11"/>
  <c r="AD167" i="11"/>
  <c r="M167" i="11"/>
  <c r="X89" i="17"/>
  <c r="AD7" i="11"/>
  <c r="W78" i="17"/>
  <c r="V118" i="7" s="1"/>
  <c r="Q7" i="17"/>
  <c r="L7" i="11"/>
  <c r="X79" i="16"/>
  <c r="H79" i="16"/>
  <c r="Q79" i="16"/>
  <c r="AE79" i="16"/>
  <c r="L79" i="16"/>
  <c r="AR79" i="16"/>
  <c r="AT288" i="17"/>
  <c r="AS121" i="7" s="1"/>
  <c r="D20" i="11"/>
  <c r="D167" i="11"/>
  <c r="AJ33" i="11"/>
  <c r="AN7" i="17"/>
  <c r="H150" i="19"/>
  <c r="F150" i="19" s="1"/>
  <c r="H148" i="19"/>
  <c r="F148" i="19" s="1"/>
  <c r="I20" i="11"/>
  <c r="I167" i="11"/>
  <c r="AU77" i="16"/>
  <c r="T79" i="16"/>
  <c r="F79" i="16"/>
  <c r="K79" i="16"/>
  <c r="AK79" i="16"/>
  <c r="V79" i="16"/>
  <c r="AJ79" i="16"/>
  <c r="AG79" i="16"/>
  <c r="U79" i="16"/>
  <c r="E511" i="17"/>
  <c r="F511" i="17" s="1"/>
  <c r="G511" i="17" s="1"/>
  <c r="H511" i="17" s="1"/>
  <c r="I511" i="17" s="1"/>
  <c r="J511" i="17" s="1"/>
  <c r="K511" i="17" s="1"/>
  <c r="L511" i="17" s="1"/>
  <c r="M511" i="17" s="1"/>
  <c r="N511" i="17" s="1"/>
  <c r="O511" i="17" s="1"/>
  <c r="P511" i="17" s="1"/>
  <c r="Q511" i="17" s="1"/>
  <c r="R511" i="17" s="1"/>
  <c r="S511" i="17" s="1"/>
  <c r="E510" i="17"/>
  <c r="F510" i="17" s="1"/>
  <c r="G510" i="17" s="1"/>
  <c r="H510" i="17" s="1"/>
  <c r="I510" i="17" s="1"/>
  <c r="J510" i="17" s="1"/>
  <c r="K510" i="17" s="1"/>
  <c r="L510" i="17" s="1"/>
  <c r="M510" i="17" s="1"/>
  <c r="N510" i="17" s="1"/>
  <c r="O510" i="17" s="1"/>
  <c r="P510" i="17" s="1"/>
  <c r="Q510" i="17" s="1"/>
  <c r="R510" i="17" s="1"/>
  <c r="U3" i="17"/>
  <c r="E512" i="17"/>
  <c r="F512" i="17" s="1"/>
  <c r="G512" i="17" s="1"/>
  <c r="H512" i="17" s="1"/>
  <c r="I512" i="17" s="1"/>
  <c r="J512" i="17" s="1"/>
  <c r="K512" i="17" s="1"/>
  <c r="L512" i="17" s="1"/>
  <c r="M512" i="17" s="1"/>
  <c r="N512" i="17" s="1"/>
  <c r="O512" i="17" s="1"/>
  <c r="P512" i="17" s="1"/>
  <c r="Q512" i="17" s="1"/>
  <c r="R512" i="17" s="1"/>
  <c r="S512" i="17" s="1"/>
  <c r="T512" i="17" s="1"/>
  <c r="E509" i="17"/>
  <c r="F509" i="17" s="1"/>
  <c r="G509" i="17" s="1"/>
  <c r="H509" i="17" s="1"/>
  <c r="I509" i="17" s="1"/>
  <c r="J509" i="17" s="1"/>
  <c r="K509" i="17" s="1"/>
  <c r="L509" i="17" s="1"/>
  <c r="M509" i="17" s="1"/>
  <c r="N509" i="17" s="1"/>
  <c r="O509" i="17" s="1"/>
  <c r="P509" i="17" s="1"/>
  <c r="Q509" i="17" s="1"/>
  <c r="I95" i="11"/>
  <c r="L129" i="17"/>
  <c r="K129" i="17"/>
  <c r="AP129" i="17"/>
  <c r="AQ129" i="17"/>
  <c r="AN95" i="11"/>
  <c r="C48" i="15"/>
  <c r="B245" i="17"/>
  <c r="AO95" i="11"/>
  <c r="AR129" i="17"/>
  <c r="AJ129" i="17"/>
  <c r="AG95" i="11"/>
  <c r="G7" i="17"/>
  <c r="AN7" i="11"/>
  <c r="U7" i="11"/>
  <c r="Z7" i="11"/>
  <c r="AQ7" i="11"/>
  <c r="F7" i="11"/>
  <c r="T7" i="11"/>
  <c r="AC118" i="7"/>
  <c r="B8" i="11"/>
  <c r="AG5" i="29"/>
  <c r="H5" i="31" s="1"/>
  <c r="M33" i="11"/>
  <c r="AI33" i="11"/>
  <c r="Y167" i="11"/>
  <c r="V167" i="11"/>
  <c r="AR167" i="11"/>
  <c r="AR125" i="11"/>
  <c r="T145" i="19"/>
  <c r="T143" i="19"/>
  <c r="T147" i="19"/>
  <c r="AR291" i="17"/>
  <c r="D119" i="17"/>
  <c r="AT84" i="17"/>
  <c r="AQ18" i="17"/>
  <c r="AQ15" i="17" s="1"/>
  <c r="S331" i="11"/>
  <c r="W331" i="11"/>
  <c r="Y331" i="11"/>
  <c r="X55" i="17"/>
  <c r="F76" i="16"/>
  <c r="K76" i="16"/>
  <c r="AB76" i="16"/>
  <c r="P76" i="16"/>
  <c r="R76" i="16"/>
  <c r="AT76" i="16"/>
  <c r="Y76" i="16"/>
  <c r="G76" i="16"/>
  <c r="BW17" i="29"/>
  <c r="BW11" i="29"/>
  <c r="BW19" i="29"/>
  <c r="F49" i="17"/>
  <c r="AP331" i="11"/>
  <c r="T291" i="17"/>
  <c r="AI58" i="17"/>
  <c r="AI55" i="17" s="1"/>
  <c r="AQ179" i="17"/>
  <c r="AG266" i="11"/>
  <c r="S380" i="20"/>
  <c r="S369" i="20" s="1"/>
  <c r="S207" i="20"/>
  <c r="S208" i="20" s="1"/>
  <c r="D331" i="11"/>
  <c r="AR331" i="11"/>
  <c r="AK331" i="11"/>
  <c r="AE331" i="11"/>
  <c r="AF15" i="15"/>
  <c r="AH15" i="15" s="1"/>
  <c r="AG15" i="15" s="1"/>
  <c r="Q225" i="20" s="1"/>
  <c r="Q226" i="20" s="1"/>
  <c r="T129" i="17"/>
  <c r="R95" i="11"/>
  <c r="U129" i="17"/>
  <c r="BO27" i="29"/>
  <c r="M81" i="17"/>
  <c r="AH81" i="17"/>
  <c r="L81" i="17"/>
  <c r="AB81" i="17"/>
  <c r="I81" i="17"/>
  <c r="J81" i="17"/>
  <c r="AV81" i="17"/>
  <c r="S81" i="17"/>
  <c r="AC81" i="17"/>
  <c r="AR81" i="17"/>
  <c r="U81" i="17"/>
  <c r="Y81" i="17"/>
  <c r="AA81" i="17"/>
  <c r="F81" i="17"/>
  <c r="AF81" i="17"/>
  <c r="K81" i="17"/>
  <c r="R81" i="17"/>
  <c r="AQ81" i="17"/>
  <c r="AO81" i="17"/>
  <c r="AS81" i="17"/>
  <c r="Z81" i="17"/>
  <c r="AU81" i="17"/>
  <c r="E81" i="17"/>
  <c r="Q81" i="17"/>
  <c r="H81" i="17"/>
  <c r="P81" i="17"/>
  <c r="O81" i="17"/>
  <c r="AG81" i="17"/>
  <c r="AP81" i="17"/>
  <c r="AK81" i="17"/>
  <c r="AN81" i="17"/>
  <c r="X81" i="17"/>
  <c r="S58" i="17"/>
  <c r="S55" i="17" s="1"/>
  <c r="Q95" i="11"/>
  <c r="U106" i="11"/>
  <c r="W48" i="17"/>
  <c r="W45" i="17" s="1"/>
  <c r="X189" i="17"/>
  <c r="W189" i="17"/>
  <c r="Q233" i="22"/>
  <c r="U219" i="22"/>
  <c r="CO5" i="29"/>
  <c r="DO4" i="29"/>
  <c r="CP25" i="29"/>
  <c r="CO6" i="29"/>
  <c r="CP19" i="29"/>
  <c r="CO7" i="29"/>
  <c r="CO27" i="29" s="1"/>
  <c r="CP28" i="29"/>
  <c r="CP15" i="29"/>
  <c r="CP11" i="29"/>
  <c r="CP16" i="29"/>
  <c r="CO16" i="29" s="1"/>
  <c r="CP18" i="29"/>
  <c r="P129" i="17"/>
  <c r="M95" i="11"/>
  <c r="F129" i="17"/>
  <c r="G129" i="17"/>
  <c r="D95" i="11"/>
  <c r="BO15" i="29"/>
  <c r="B260" i="17"/>
  <c r="C51" i="15"/>
  <c r="Y374" i="20"/>
  <c r="W391" i="20"/>
  <c r="U393" i="20"/>
  <c r="W399" i="20"/>
  <c r="U398" i="20"/>
  <c r="V399" i="20"/>
  <c r="X401" i="20"/>
  <c r="V400" i="20"/>
  <c r="X385" i="20"/>
  <c r="X403" i="20"/>
  <c r="W402" i="20"/>
  <c r="X389" i="20"/>
  <c r="W396" i="20"/>
  <c r="W395" i="20"/>
  <c r="V396" i="20"/>
  <c r="U399" i="20"/>
  <c r="X387" i="20"/>
  <c r="V387" i="20"/>
  <c r="U386" i="20"/>
  <c r="U401" i="20"/>
  <c r="X386" i="20"/>
  <c r="W387" i="20"/>
  <c r="V398" i="20"/>
  <c r="X394" i="20"/>
  <c r="W393" i="20"/>
  <c r="W389" i="20"/>
  <c r="V385" i="20"/>
  <c r="X398" i="20"/>
  <c r="X391" i="20"/>
  <c r="U400" i="20"/>
  <c r="V389" i="20"/>
  <c r="W398" i="20"/>
  <c r="X396" i="20"/>
  <c r="U389" i="20"/>
  <c r="X399" i="20"/>
  <c r="U388" i="20"/>
  <c r="U402" i="20"/>
  <c r="W384" i="20"/>
  <c r="X395" i="20"/>
  <c r="V384" i="20"/>
  <c r="U387" i="20"/>
  <c r="U384" i="20"/>
  <c r="W388" i="20"/>
  <c r="V393" i="20"/>
  <c r="U385" i="20"/>
  <c r="V401" i="20"/>
  <c r="V394" i="20"/>
  <c r="W400" i="20"/>
  <c r="V386" i="20"/>
  <c r="U403" i="20"/>
  <c r="W386" i="20"/>
  <c r="U395" i="20"/>
  <c r="U391" i="20"/>
  <c r="W385" i="20"/>
  <c r="W401" i="20"/>
  <c r="X392" i="20"/>
  <c r="X393" i="20"/>
  <c r="V388" i="20"/>
  <c r="W394" i="20"/>
  <c r="X388" i="20"/>
  <c r="V395" i="20"/>
  <c r="V402" i="20"/>
  <c r="V403" i="20"/>
  <c r="X384" i="20"/>
  <c r="V391" i="20"/>
  <c r="X402" i="20"/>
  <c r="U396" i="20"/>
  <c r="W392" i="20"/>
  <c r="U392" i="20"/>
  <c r="U394" i="20"/>
  <c r="X400" i="20"/>
  <c r="W403" i="20"/>
  <c r="V392" i="20"/>
  <c r="S129" i="17"/>
  <c r="P95" i="11"/>
  <c r="AC129" i="17"/>
  <c r="AA95" i="11"/>
  <c r="AD129" i="17"/>
  <c r="V95" i="11"/>
  <c r="Y129" i="17"/>
  <c r="B113" i="11"/>
  <c r="E331" i="11"/>
  <c r="AI331" i="11"/>
  <c r="X331" i="11"/>
  <c r="J331" i="11"/>
  <c r="Q76" i="16"/>
  <c r="AL76" i="16"/>
  <c r="O76" i="16"/>
  <c r="AP76" i="16"/>
  <c r="E76" i="16"/>
  <c r="AF76" i="16"/>
  <c r="AU76" i="16"/>
  <c r="M76" i="16"/>
  <c r="BW15" i="29"/>
  <c r="BW16" i="29"/>
  <c r="BW27" i="29"/>
  <c r="AK19" i="29"/>
  <c r="AF33" i="11"/>
  <c r="P365" i="20"/>
  <c r="T383" i="20"/>
  <c r="AH331" i="11"/>
  <c r="V331" i="11"/>
  <c r="AT331" i="11"/>
  <c r="Z331" i="11"/>
  <c r="AT95" i="11"/>
  <c r="AV129" i="17"/>
  <c r="K95" i="11"/>
  <c r="M129" i="17"/>
  <c r="AM189" i="17"/>
  <c r="AK106" i="11"/>
  <c r="AM48" i="17"/>
  <c r="AM45" i="17" s="1"/>
  <c r="AN189" i="17"/>
  <c r="O95" i="11"/>
  <c r="Q129" i="17"/>
  <c r="R129" i="17"/>
  <c r="W129" i="17"/>
  <c r="H15" i="22"/>
  <c r="BX6" i="10"/>
  <c r="BO17" i="29"/>
  <c r="AE95" i="11"/>
  <c r="AH129" i="17"/>
  <c r="AB194" i="17"/>
  <c r="AW190" i="17"/>
  <c r="AW191" i="17" s="1"/>
  <c r="AW192" i="17" s="1"/>
  <c r="AW193" i="17" s="1"/>
  <c r="AW194" i="17" s="1"/>
  <c r="AR194" i="17"/>
  <c r="AG194" i="17"/>
  <c r="AI194" i="17"/>
  <c r="AS194" i="17"/>
  <c r="Q194" i="17"/>
  <c r="AA194" i="17"/>
  <c r="X194" i="17"/>
  <c r="Z194" i="17"/>
  <c r="AT194" i="17"/>
  <c r="L194" i="17"/>
  <c r="AN194" i="17"/>
  <c r="AC194" i="17"/>
  <c r="E194" i="17"/>
  <c r="H194" i="17"/>
  <c r="I194" i="17"/>
  <c r="M194" i="17"/>
  <c r="AQ194" i="17"/>
  <c r="AP194" i="17"/>
  <c r="AE194" i="17"/>
  <c r="N194" i="17"/>
  <c r="Y194" i="17"/>
  <c r="AF194" i="17"/>
  <c r="AV194" i="17"/>
  <c r="AD194" i="17"/>
  <c r="AH194" i="17"/>
  <c r="S194" i="17"/>
  <c r="AO194" i="17"/>
  <c r="R194" i="17"/>
  <c r="X95" i="11"/>
  <c r="AA129" i="17"/>
  <c r="Q345" i="20"/>
  <c r="Q346" i="20" s="1"/>
  <c r="S303" i="20"/>
  <c r="S304" i="20" s="1"/>
  <c r="T217" i="20"/>
  <c r="T218" i="20" s="1"/>
  <c r="S233" i="20"/>
  <c r="S234" i="20" s="1"/>
  <c r="Q257" i="20"/>
  <c r="Q258" i="20" s="1"/>
  <c r="R217" i="20"/>
  <c r="R218" i="20" s="1"/>
  <c r="R345" i="20"/>
  <c r="R346" i="20" s="1"/>
  <c r="Q311" i="20"/>
  <c r="Q312" i="20" s="1"/>
  <c r="T311" i="20"/>
  <c r="T312" i="20" s="1"/>
  <c r="Q303" i="20"/>
  <c r="Q304" i="20" s="1"/>
  <c r="S249" i="20"/>
  <c r="S250" i="20" s="1"/>
  <c r="T223" i="20"/>
  <c r="T224" i="20" s="1"/>
  <c r="S337" i="20"/>
  <c r="S338" i="20" s="1"/>
  <c r="T319" i="20"/>
  <c r="T320" i="20" s="1"/>
  <c r="T303" i="20"/>
  <c r="T304" i="20" s="1"/>
  <c r="Q343" i="20"/>
  <c r="Q344" i="20" s="1"/>
  <c r="Q287" i="20"/>
  <c r="Q288" i="20" s="1"/>
  <c r="Q255" i="20"/>
  <c r="Q256" i="20" s="1"/>
  <c r="R241" i="20"/>
  <c r="R242" i="20" s="1"/>
  <c r="T231" i="20"/>
  <c r="T232" i="20" s="1"/>
  <c r="S289" i="20"/>
  <c r="S290" i="20" s="1"/>
  <c r="R289" i="20"/>
  <c r="R290" i="20" s="1"/>
  <c r="S311" i="20"/>
  <c r="S312" i="20" s="1"/>
  <c r="Q249" i="20"/>
  <c r="Q250" i="20" s="1"/>
  <c r="Q209" i="20"/>
  <c r="Q210" i="20" s="1"/>
  <c r="S223" i="20"/>
  <c r="S224" i="20" s="1"/>
  <c r="R231" i="20"/>
  <c r="R232" i="20" s="1"/>
  <c r="T281" i="20"/>
  <c r="T282" i="20" s="1"/>
  <c r="S281" i="20"/>
  <c r="S282" i="20" s="1"/>
  <c r="Q259" i="20"/>
  <c r="Q260" i="20" s="1"/>
  <c r="T339" i="20"/>
  <c r="T340" i="20" s="1"/>
  <c r="T211" i="20"/>
  <c r="T212" i="20" s="1"/>
  <c r="S247" i="20"/>
  <c r="S248" i="20" s="1"/>
  <c r="Q275" i="20"/>
  <c r="Q276" i="20" s="1"/>
  <c r="Q285" i="20"/>
  <c r="Q286" i="20" s="1"/>
  <c r="R325" i="20"/>
  <c r="R326" i="20" s="1"/>
  <c r="Q223" i="20"/>
  <c r="Q224" i="20" s="1"/>
  <c r="S231" i="20"/>
  <c r="S232" i="20" s="1"/>
  <c r="T289" i="20"/>
  <c r="T290" i="20" s="1"/>
  <c r="T249" i="20"/>
  <c r="T250" i="20" s="1"/>
  <c r="Q217" i="20"/>
  <c r="Q218" i="20" s="1"/>
  <c r="S255" i="20"/>
  <c r="S256" i="20" s="1"/>
  <c r="S239" i="20"/>
  <c r="S240" i="20" s="1"/>
  <c r="Q289" i="20"/>
  <c r="Q290" i="20" s="1"/>
  <c r="R249" i="20"/>
  <c r="R250" i="20" s="1"/>
  <c r="R319" i="20"/>
  <c r="R320" i="20" s="1"/>
  <c r="R303" i="20"/>
  <c r="R304" i="20" s="1"/>
  <c r="R343" i="20"/>
  <c r="R344" i="20" s="1"/>
  <c r="R255" i="20"/>
  <c r="R256" i="20" s="1"/>
  <c r="Q333" i="20"/>
  <c r="Q334" i="20" s="1"/>
  <c r="T333" i="20"/>
  <c r="T334" i="20" s="1"/>
  <c r="Q331" i="20"/>
  <c r="Q332" i="20" s="1"/>
  <c r="S339" i="20"/>
  <c r="S340" i="20" s="1"/>
  <c r="R293" i="20"/>
  <c r="R294" i="20" s="1"/>
  <c r="T219" i="20"/>
  <c r="T220" i="20" s="1"/>
  <c r="S275" i="20"/>
  <c r="S276" i="20" s="1"/>
  <c r="T347" i="20"/>
  <c r="T348" i="20" s="1"/>
  <c r="R347" i="20"/>
  <c r="R348" i="20" s="1"/>
  <c r="S235" i="20"/>
  <c r="S236" i="20" s="1"/>
  <c r="Q235" i="20"/>
  <c r="Q236" i="20" s="1"/>
  <c r="Q325" i="20"/>
  <c r="Q326" i="20" s="1"/>
  <c r="T227" i="20"/>
  <c r="T228" i="20" s="1"/>
  <c r="T255" i="20"/>
  <c r="T256" i="20" s="1"/>
  <c r="T239" i="20"/>
  <c r="T240" i="20" s="1"/>
  <c r="T279" i="20"/>
  <c r="T280" i="20" s="1"/>
  <c r="R223" i="20"/>
  <c r="R224" i="20" s="1"/>
  <c r="R279" i="20"/>
  <c r="R280" i="20" s="1"/>
  <c r="Q279" i="20"/>
  <c r="Q280" i="20" s="1"/>
  <c r="R333" i="20"/>
  <c r="R334" i="20" s="1"/>
  <c r="T287" i="20"/>
  <c r="T288" i="20" s="1"/>
  <c r="Q339" i="20"/>
  <c r="Q340" i="20" s="1"/>
  <c r="R219" i="20"/>
  <c r="R220" i="20" s="1"/>
  <c r="R275" i="20"/>
  <c r="R276" i="20" s="1"/>
  <c r="Q231" i="20"/>
  <c r="Q232" i="20" s="1"/>
  <c r="S227" i="20"/>
  <c r="S228" i="20" s="1"/>
  <c r="S287" i="20"/>
  <c r="S288" i="20" s="1"/>
  <c r="R337" i="20"/>
  <c r="R338" i="20" s="1"/>
  <c r="R301" i="20"/>
  <c r="R302" i="20" s="1"/>
  <c r="S285" i="20"/>
  <c r="S286" i="20" s="1"/>
  <c r="R311" i="20"/>
  <c r="R312" i="20" s="1"/>
  <c r="S347" i="20"/>
  <c r="S348" i="20" s="1"/>
  <c r="T215" i="20"/>
  <c r="T216" i="20" s="1"/>
  <c r="T299" i="20"/>
  <c r="T300" i="20" s="1"/>
  <c r="R339" i="20"/>
  <c r="R340" i="20" s="1"/>
  <c r="R287" i="20"/>
  <c r="R288" i="20" s="1"/>
  <c r="Q327" i="20"/>
  <c r="Q328" i="20" s="1"/>
  <c r="S313" i="20"/>
  <c r="S314" i="20" s="1"/>
  <c r="R205" i="20"/>
  <c r="R206" i="20" s="1"/>
  <c r="T245" i="20"/>
  <c r="T246" i="20" s="1"/>
  <c r="T209" i="20"/>
  <c r="T210" i="20" s="1"/>
  <c r="R269" i="20"/>
  <c r="R270" i="20" s="1"/>
  <c r="T273" i="20"/>
  <c r="T274" i="20" s="1"/>
  <c r="S301" i="20"/>
  <c r="S302" i="20" s="1"/>
  <c r="Q269" i="20"/>
  <c r="Q270" i="20" s="1"/>
  <c r="R227" i="20"/>
  <c r="R228" i="20" s="1"/>
  <c r="Q319" i="20"/>
  <c r="Q320" i="20" s="1"/>
  <c r="T233" i="20"/>
  <c r="T234" i="20" s="1"/>
  <c r="T309" i="20"/>
  <c r="T310" i="20" s="1"/>
  <c r="R253" i="20"/>
  <c r="R254" i="20" s="1"/>
  <c r="Q251" i="20"/>
  <c r="Q252" i="20" s="1"/>
  <c r="Q295" i="20"/>
  <c r="Q296" i="20" s="1"/>
  <c r="S215" i="20"/>
  <c r="S216" i="20" s="1"/>
  <c r="T307" i="20"/>
  <c r="T308" i="20" s="1"/>
  <c r="S219" i="20"/>
  <c r="S220" i="20" s="1"/>
  <c r="T235" i="20"/>
  <c r="T236" i="20" s="1"/>
  <c r="S237" i="20"/>
  <c r="S238" i="20" s="1"/>
  <c r="T313" i="20"/>
  <c r="T314" i="20" s="1"/>
  <c r="Q299" i="20"/>
  <c r="Q300" i="20" s="1"/>
  <c r="Q307" i="20"/>
  <c r="Q308" i="20" s="1"/>
  <c r="R237" i="20"/>
  <c r="R238" i="20" s="1"/>
  <c r="Q347" i="20"/>
  <c r="Q348" i="20" s="1"/>
  <c r="T343" i="20"/>
  <c r="T344" i="20" s="1"/>
  <c r="S205" i="20"/>
  <c r="S206" i="20" s="1"/>
  <c r="Q245" i="20"/>
  <c r="Q246" i="20" s="1"/>
  <c r="T295" i="20"/>
  <c r="T296" i="20" s="1"/>
  <c r="R209" i="20"/>
  <c r="R210" i="20" s="1"/>
  <c r="T271" i="20"/>
  <c r="T272" i="20" s="1"/>
  <c r="S321" i="20"/>
  <c r="S322" i="20" s="1"/>
  <c r="Q227" i="20"/>
  <c r="Q228" i="20" s="1"/>
  <c r="T225" i="20"/>
  <c r="T226" i="20" s="1"/>
  <c r="R317" i="20"/>
  <c r="R318" i="20" s="1"/>
  <c r="R215" i="20"/>
  <c r="R216" i="20" s="1"/>
  <c r="R259" i="20"/>
  <c r="R260" i="20" s="1"/>
  <c r="Q337" i="20"/>
  <c r="Q338" i="20" s="1"/>
  <c r="S271" i="20"/>
  <c r="S272" i="20" s="1"/>
  <c r="Q239" i="20"/>
  <c r="Q240" i="20" s="1"/>
  <c r="Q313" i="20"/>
  <c r="Q314" i="20" s="1"/>
  <c r="S257" i="20"/>
  <c r="S258" i="20" s="1"/>
  <c r="R251" i="20"/>
  <c r="R252" i="20" s="1"/>
  <c r="T325" i="20"/>
  <c r="T326" i="20" s="1"/>
  <c r="R285" i="20"/>
  <c r="R286" i="20" s="1"/>
  <c r="S333" i="20"/>
  <c r="S334" i="20" s="1"/>
  <c r="S307" i="20"/>
  <c r="S308" i="20" s="1"/>
  <c r="Q219" i="20"/>
  <c r="Q220" i="20" s="1"/>
  <c r="R247" i="20"/>
  <c r="R248" i="20" s="1"/>
  <c r="S293" i="20"/>
  <c r="S294" i="20" s="1"/>
  <c r="Q293" i="20"/>
  <c r="Q294" i="20" s="1"/>
  <c r="R321" i="20"/>
  <c r="R322" i="20" s="1"/>
  <c r="Q211" i="20"/>
  <c r="Q212" i="20" s="1"/>
  <c r="S345" i="20"/>
  <c r="S346" i="20" s="1"/>
  <c r="R297" i="20"/>
  <c r="R298" i="20" s="1"/>
  <c r="Q297" i="20"/>
  <c r="Q298" i="20" s="1"/>
  <c r="R315" i="20"/>
  <c r="R316" i="20" s="1"/>
  <c r="R257" i="20"/>
  <c r="R258" i="20" s="1"/>
  <c r="R263" i="20"/>
  <c r="R264" i="20" s="1"/>
  <c r="R277" i="20"/>
  <c r="R278" i="20" s="1"/>
  <c r="Q277" i="20"/>
  <c r="Q278" i="20" s="1"/>
  <c r="S241" i="20"/>
  <c r="S242" i="20" s="1"/>
  <c r="S221" i="20"/>
  <c r="S222" i="20" s="1"/>
  <c r="S331" i="20"/>
  <c r="S332" i="20" s="1"/>
  <c r="R299" i="20"/>
  <c r="R300" i="20" s="1"/>
  <c r="S263" i="20"/>
  <c r="S264" i="20" s="1"/>
  <c r="S251" i="20"/>
  <c r="S252" i="20" s="1"/>
  <c r="S325" i="20"/>
  <c r="S326" i="20" s="1"/>
  <c r="Q237" i="20"/>
  <c r="Q238" i="20" s="1"/>
  <c r="T285" i="20"/>
  <c r="T286" i="20" s="1"/>
  <c r="Q317" i="20"/>
  <c r="Q318" i="20" s="1"/>
  <c r="T237" i="20"/>
  <c r="T238" i="20" s="1"/>
  <c r="T275" i="20"/>
  <c r="T276" i="20" s="1"/>
  <c r="S299" i="20"/>
  <c r="S300" i="20" s="1"/>
  <c r="Q247" i="20"/>
  <c r="Q248" i="20" s="1"/>
  <c r="T205" i="20"/>
  <c r="T206" i="20" s="1"/>
  <c r="Q205" i="20"/>
  <c r="Q206" i="20" s="1"/>
  <c r="S245" i="20"/>
  <c r="S246" i="20" s="1"/>
  <c r="R245" i="20"/>
  <c r="R246" i="20" s="1"/>
  <c r="S295" i="20"/>
  <c r="S296" i="20" s="1"/>
  <c r="S209" i="20"/>
  <c r="S210" i="20" s="1"/>
  <c r="S269" i="20"/>
  <c r="S270" i="20" s="1"/>
  <c r="S273" i="20"/>
  <c r="S274" i="20" s="1"/>
  <c r="R307" i="20"/>
  <c r="R308" i="20" s="1"/>
  <c r="T301" i="20"/>
  <c r="T302" i="20" s="1"/>
  <c r="Q301" i="20"/>
  <c r="Q302" i="20" s="1"/>
  <c r="T317" i="20"/>
  <c r="T318" i="20" s="1"/>
  <c r="T259" i="20"/>
  <c r="T260" i="20" s="1"/>
  <c r="Q315" i="20"/>
  <c r="Q316" i="20" s="1"/>
  <c r="Q263" i="20"/>
  <c r="Q264" i="20" s="1"/>
  <c r="Q4" i="20"/>
  <c r="R235" i="20"/>
  <c r="R236" i="20" s="1"/>
  <c r="S211" i="20"/>
  <c r="S212" i="20" s="1"/>
  <c r="T293" i="20"/>
  <c r="T294" i="20" s="1"/>
  <c r="T253" i="20"/>
  <c r="T254" i="20" s="1"/>
  <c r="S317" i="20"/>
  <c r="S318" i="20" s="1"/>
  <c r="T331" i="20"/>
  <c r="T332" i="20" s="1"/>
  <c r="S259" i="20"/>
  <c r="S260" i="20" s="1"/>
  <c r="S265" i="20"/>
  <c r="S266" i="20" s="1"/>
  <c r="T251" i="20"/>
  <c r="T252" i="20" s="1"/>
  <c r="T267" i="20"/>
  <c r="T268" i="20" s="1"/>
  <c r="T247" i="20"/>
  <c r="T248" i="20" s="1"/>
  <c r="Q281" i="20"/>
  <c r="Q282" i="20" s="1"/>
  <c r="Q321" i="20"/>
  <c r="Q322" i="20" s="1"/>
  <c r="S319" i="20"/>
  <c r="S320" i="20" s="1"/>
  <c r="S309" i="20"/>
  <c r="S310" i="20" s="1"/>
  <c r="Q309" i="20"/>
  <c r="Q310" i="20" s="1"/>
  <c r="S277" i="20"/>
  <c r="S278" i="20" s="1"/>
  <c r="Q233" i="20"/>
  <c r="Q234" i="20" s="1"/>
  <c r="R267" i="20"/>
  <c r="R268" i="20" s="1"/>
  <c r="S217" i="20"/>
  <c r="S218" i="20" s="1"/>
  <c r="T269" i="20"/>
  <c r="T270" i="20" s="1"/>
  <c r="Q273" i="20"/>
  <c r="Q274" i="20" s="1"/>
  <c r="R239" i="20"/>
  <c r="R240" i="20" s="1"/>
  <c r="R295" i="20"/>
  <c r="R296" i="20" s="1"/>
  <c r="R281" i="20"/>
  <c r="R282" i="20" s="1"/>
  <c r="S343" i="20"/>
  <c r="S344" i="20" s="1"/>
  <c r="R327" i="20"/>
  <c r="R328" i="20" s="1"/>
  <c r="R309" i="20"/>
  <c r="R310" i="20" s="1"/>
  <c r="Q267" i="20"/>
  <c r="Q268" i="20" s="1"/>
  <c r="S253" i="20"/>
  <c r="S254" i="20" s="1"/>
  <c r="T265" i="20"/>
  <c r="T266" i="20" s="1"/>
  <c r="Q253" i="20"/>
  <c r="Q254" i="20" s="1"/>
  <c r="R221" i="20"/>
  <c r="R222" i="20" s="1"/>
  <c r="T321" i="20"/>
  <c r="T322" i="20" s="1"/>
  <c r="R331" i="20"/>
  <c r="R332" i="20" s="1"/>
  <c r="T337" i="20"/>
  <c r="T338" i="20" s="1"/>
  <c r="R211" i="20"/>
  <c r="R212" i="20" s="1"/>
  <c r="S327" i="20"/>
  <c r="S328" i="20" s="1"/>
  <c r="T315" i="20"/>
  <c r="T316" i="20" s="1"/>
  <c r="T327" i="20"/>
  <c r="T328" i="20" s="1"/>
  <c r="R233" i="20"/>
  <c r="R234" i="20" s="1"/>
  <c r="Q241" i="20"/>
  <c r="Q242" i="20" s="1"/>
  <c r="T257" i="20"/>
  <c r="T258" i="20" s="1"/>
  <c r="T241" i="20"/>
  <c r="T242" i="20" s="1"/>
  <c r="R273" i="20"/>
  <c r="R274" i="20" s="1"/>
  <c r="T345" i="20"/>
  <c r="T346" i="20" s="1"/>
  <c r="S267" i="20"/>
  <c r="S268" i="20" s="1"/>
  <c r="Q215" i="20"/>
  <c r="Q216" i="20" s="1"/>
  <c r="S279" i="20"/>
  <c r="S280" i="20" s="1"/>
  <c r="R313" i="20"/>
  <c r="R314" i="20" s="1"/>
  <c r="S315" i="20"/>
  <c r="S316" i="20" s="1"/>
  <c r="T277" i="20"/>
  <c r="T278" i="20" s="1"/>
  <c r="R271" i="20"/>
  <c r="R272" i="20" s="1"/>
  <c r="Q271" i="20"/>
  <c r="Q272" i="20" s="1"/>
  <c r="T263" i="20"/>
  <c r="T264" i="20" s="1"/>
  <c r="T221" i="20"/>
  <c r="T222" i="20" s="1"/>
  <c r="AF7" i="11"/>
  <c r="D128" i="17"/>
  <c r="D15" i="22" s="1"/>
  <c r="Q397" i="20"/>
  <c r="AN331" i="11"/>
  <c r="I331" i="11"/>
  <c r="G331" i="11"/>
  <c r="AF95" i="11"/>
  <c r="AI129" i="17"/>
  <c r="AP95" i="11"/>
  <c r="AS129" i="17"/>
  <c r="AK129" i="17"/>
  <c r="AH95" i="11"/>
  <c r="AI95" i="11"/>
  <c r="AL129" i="17"/>
  <c r="BO22" i="29"/>
  <c r="BO33" i="29"/>
  <c r="BO23" i="29"/>
  <c r="BO21" i="29"/>
  <c r="AW175" i="17"/>
  <c r="AW176" i="17" s="1"/>
  <c r="AW177" i="17" s="1"/>
  <c r="AW178" i="17" s="1"/>
  <c r="AW179" i="17" s="1"/>
  <c r="I179" i="17"/>
  <c r="H179" i="17"/>
  <c r="R179" i="17"/>
  <c r="AU179" i="17"/>
  <c r="E179" i="17"/>
  <c r="U179" i="17"/>
  <c r="N179" i="17"/>
  <c r="AN179" i="17"/>
  <c r="L179" i="17"/>
  <c r="AI179" i="17"/>
  <c r="AJ179" i="17"/>
  <c r="F179" i="17"/>
  <c r="O179" i="17"/>
  <c r="AH179" i="17"/>
  <c r="AO179" i="17"/>
  <c r="AO149" i="17" s="1"/>
  <c r="G179" i="17"/>
  <c r="V179" i="17"/>
  <c r="AE179" i="17"/>
  <c r="AT179" i="17"/>
  <c r="Y179" i="17"/>
  <c r="AL179" i="17"/>
  <c r="AV179" i="17"/>
  <c r="M179" i="17"/>
  <c r="AA179" i="17"/>
  <c r="AK179" i="17"/>
  <c r="AM179" i="17"/>
  <c r="AB179" i="17"/>
  <c r="AB129" i="17"/>
  <c r="Y95" i="11"/>
  <c r="V129" i="17"/>
  <c r="T380" i="20"/>
  <c r="T369" i="20" s="1"/>
  <c r="R380" i="20"/>
  <c r="R369" i="20" s="1"/>
  <c r="C100" i="22"/>
  <c r="E18" i="10"/>
  <c r="F8" i="40" s="1"/>
  <c r="F46" i="23"/>
  <c r="E168" i="19"/>
  <c r="G168" i="19" s="1"/>
  <c r="Q39" i="21"/>
  <c r="Q37" i="21" s="1"/>
  <c r="I18" i="23"/>
  <c r="I23" i="23" s="1"/>
  <c r="I21" i="23" s="1"/>
  <c r="G16" i="17"/>
  <c r="AN16" i="17"/>
  <c r="AT70" i="17"/>
  <c r="BC15" i="29"/>
  <c r="BC13" i="29"/>
  <c r="B118" i="11"/>
  <c r="AS15" i="29"/>
  <c r="AS25" i="29"/>
  <c r="B133" i="11"/>
  <c r="AK16" i="29"/>
  <c r="AK11" i="29"/>
  <c r="U76" i="16"/>
  <c r="AS11" i="29"/>
  <c r="AS18" i="29"/>
  <c r="AK15" i="29"/>
  <c r="D88" i="17"/>
  <c r="D7" i="22" s="1"/>
  <c r="AK7" i="11"/>
  <c r="AJ7" i="17"/>
  <c r="AY18" i="29"/>
  <c r="BC18" i="29"/>
  <c r="AA55" i="17"/>
  <c r="B163" i="11"/>
  <c r="AS19" i="29"/>
  <c r="R84" i="17"/>
  <c r="Q7" i="11"/>
  <c r="N167" i="11"/>
  <c r="AJ84" i="17"/>
  <c r="AK18" i="29"/>
  <c r="AI9" i="29"/>
  <c r="AY28" i="29"/>
  <c r="R266" i="11"/>
  <c r="CA25" i="29"/>
  <c r="AO167" i="11"/>
  <c r="BC27" i="29"/>
  <c r="E173" i="19"/>
  <c r="C173" i="19" s="1"/>
  <c r="N33" i="11"/>
  <c r="AK28" i="29"/>
  <c r="N156" i="19"/>
  <c r="N166" i="19" s="1"/>
  <c r="AY16" i="29"/>
  <c r="AA33" i="11"/>
  <c r="W7" i="17"/>
  <c r="E165" i="19"/>
  <c r="C165" i="19" s="1"/>
  <c r="D7" i="11"/>
  <c r="B139" i="11"/>
  <c r="Q151" i="11"/>
  <c r="AK17" i="29"/>
  <c r="K167" i="11"/>
  <c r="Q3" i="34"/>
  <c r="M4" i="34"/>
  <c r="N4" i="34" s="1"/>
  <c r="O4" i="34" s="1"/>
  <c r="P4" i="34" s="1"/>
  <c r="Q75" i="21"/>
  <c r="Q73" i="21" s="1"/>
  <c r="F365" i="20"/>
  <c r="P376" i="20"/>
  <c r="K365" i="20"/>
  <c r="E376" i="20"/>
  <c r="L376" i="20"/>
  <c r="N376" i="20"/>
  <c r="N365" i="20"/>
  <c r="J376" i="20"/>
  <c r="F376" i="20"/>
  <c r="G376" i="20"/>
  <c r="H376" i="20"/>
  <c r="AR92" i="11"/>
  <c r="AU114" i="17"/>
  <c r="AT43" i="17"/>
  <c r="AT40" i="17" s="1"/>
  <c r="O92" i="11"/>
  <c r="Q43" i="17"/>
  <c r="Q40" i="17" s="1"/>
  <c r="R114" i="17"/>
  <c r="K12" i="17"/>
  <c r="D72" i="17"/>
  <c r="AV71" i="17" s="1"/>
  <c r="AH220" i="17"/>
  <c r="D280" i="17"/>
  <c r="D222" i="17"/>
  <c r="M221" i="17" s="1"/>
  <c r="X126" i="11"/>
  <c r="X125" i="11" s="1"/>
  <c r="Z288" i="17"/>
  <c r="Y121" i="7" s="1"/>
  <c r="L19" i="19"/>
  <c r="I77" i="16"/>
  <c r="AI77" i="16"/>
  <c r="AF77" i="16"/>
  <c r="Q77" i="16"/>
  <c r="AN77" i="16"/>
  <c r="AG77" i="16"/>
  <c r="AK77" i="16"/>
  <c r="AM77" i="16"/>
  <c r="AD77" i="16"/>
  <c r="M77" i="16"/>
  <c r="S77" i="16"/>
  <c r="AS77" i="16"/>
  <c r="P77" i="16"/>
  <c r="AC77" i="16"/>
  <c r="AQ77" i="16"/>
  <c r="AE77" i="16"/>
  <c r="AA77" i="16"/>
  <c r="Z77" i="16"/>
  <c r="T77" i="16"/>
  <c r="AR77" i="16"/>
  <c r="U77" i="16"/>
  <c r="AB77" i="16"/>
  <c r="AH77" i="16"/>
  <c r="R77" i="16"/>
  <c r="AO77" i="16"/>
  <c r="X77" i="16"/>
  <c r="AP77" i="16"/>
  <c r="K77" i="16"/>
  <c r="W77" i="16"/>
  <c r="AT77" i="16"/>
  <c r="N77" i="16"/>
  <c r="V77" i="16"/>
  <c r="D77" i="16"/>
  <c r="L77" i="16"/>
  <c r="O77" i="16"/>
  <c r="Y77" i="16"/>
  <c r="AL77" i="16"/>
  <c r="G77" i="16"/>
  <c r="F58" i="34"/>
  <c r="F20" i="34" s="1"/>
  <c r="O7" i="21"/>
  <c r="AA6" i="10"/>
  <c r="D18" i="22"/>
  <c r="G89" i="17"/>
  <c r="L18" i="19"/>
  <c r="N5" i="19"/>
  <c r="F33" i="4" s="1"/>
  <c r="N75" i="17"/>
  <c r="AM70" i="17"/>
  <c r="C46" i="15"/>
  <c r="B235" i="17"/>
  <c r="E239" i="17" s="1"/>
  <c r="D42" i="17"/>
  <c r="AQ41" i="17" s="1"/>
  <c r="AM124" i="11"/>
  <c r="AO223" i="17"/>
  <c r="AO73" i="17"/>
  <c r="D283" i="17"/>
  <c r="F18" i="22" s="1"/>
  <c r="AP220" i="17"/>
  <c r="L220" i="17"/>
  <c r="S220" i="17"/>
  <c r="AT124" i="11"/>
  <c r="AV223" i="17"/>
  <c r="AV73" i="17"/>
  <c r="V126" i="11"/>
  <c r="X288" i="17"/>
  <c r="T126" i="11"/>
  <c r="V288" i="17"/>
  <c r="U121" i="7" s="1"/>
  <c r="V33" i="11"/>
  <c r="V6" i="11" s="1"/>
  <c r="AR33" i="11"/>
  <c r="AQ72" i="11"/>
  <c r="AN286" i="17"/>
  <c r="M286" i="17"/>
  <c r="T46" i="17"/>
  <c r="M207" i="19"/>
  <c r="M196" i="19" s="1"/>
  <c r="M179" i="19"/>
  <c r="U92" i="11"/>
  <c r="X114" i="17"/>
  <c r="W43" i="17"/>
  <c r="W40" i="17" s="1"/>
  <c r="AK220" i="17"/>
  <c r="AJ220" i="17"/>
  <c r="AJ221" i="17"/>
  <c r="F176" i="11"/>
  <c r="B45" i="11"/>
  <c r="L126" i="11"/>
  <c r="L125" i="11" s="1"/>
  <c r="N288" i="17"/>
  <c r="M121" i="7" s="1"/>
  <c r="R33" i="19"/>
  <c r="S79" i="16"/>
  <c r="AF79" i="16"/>
  <c r="Z79" i="16"/>
  <c r="I79" i="16"/>
  <c r="G79" i="16"/>
  <c r="Y79" i="16"/>
  <c r="AU79" i="16"/>
  <c r="O79" i="16"/>
  <c r="P79" i="16"/>
  <c r="AL79" i="16"/>
  <c r="AB79" i="16"/>
  <c r="AT92" i="11"/>
  <c r="AV43" i="17"/>
  <c r="AV40" i="17" s="1"/>
  <c r="F92" i="11"/>
  <c r="H43" i="17"/>
  <c r="H40" i="17" s="1"/>
  <c r="I114" i="17"/>
  <c r="M220" i="17"/>
  <c r="AN220" i="17"/>
  <c r="G220" i="17"/>
  <c r="AG220" i="17"/>
  <c r="F220" i="17"/>
  <c r="P220" i="17"/>
  <c r="P176" i="11"/>
  <c r="P33" i="11"/>
  <c r="U126" i="11"/>
  <c r="U125" i="11" s="1"/>
  <c r="W288" i="17"/>
  <c r="V121" i="7" s="1"/>
  <c r="N61" i="21"/>
  <c r="G17" i="22"/>
  <c r="D293" i="17"/>
  <c r="BM6" i="10"/>
  <c r="T33" i="11"/>
  <c r="V286" i="17"/>
  <c r="AN25" i="17"/>
  <c r="S35" i="17"/>
  <c r="D349" i="17"/>
  <c r="G18" i="22"/>
  <c r="BN6" i="10"/>
  <c r="O61" i="21"/>
  <c r="L92" i="11"/>
  <c r="O114" i="17"/>
  <c r="N92" i="11"/>
  <c r="P43" i="17"/>
  <c r="P40" i="17" s="1"/>
  <c r="Q114" i="17"/>
  <c r="W92" i="11"/>
  <c r="Y43" i="17"/>
  <c r="Y40" i="17" s="1"/>
  <c r="Z114" i="17"/>
  <c r="AA124" i="11"/>
  <c r="AA112" i="11" s="1"/>
  <c r="AC223" i="17"/>
  <c r="AC73" i="17"/>
  <c r="AM220" i="17"/>
  <c r="AM221" i="17"/>
  <c r="AI220" i="17"/>
  <c r="O124" i="11"/>
  <c r="Q73" i="17"/>
  <c r="Q223" i="17"/>
  <c r="AE220" i="17"/>
  <c r="AS124" i="11"/>
  <c r="AU223" i="17"/>
  <c r="AU73" i="17"/>
  <c r="AC126" i="11"/>
  <c r="AE288" i="17"/>
  <c r="AE18" i="17"/>
  <c r="AE15" i="17" s="1"/>
  <c r="G288" i="17"/>
  <c r="F121" i="7" s="1"/>
  <c r="E126" i="11"/>
  <c r="N126" i="11"/>
  <c r="P18" i="17"/>
  <c r="P15" i="17" s="1"/>
  <c r="P288" i="17"/>
  <c r="O121" i="7" s="1"/>
  <c r="B390" i="17"/>
  <c r="C75" i="15"/>
  <c r="B460" i="17" s="1"/>
  <c r="H10" i="22"/>
  <c r="BS6" i="10"/>
  <c r="F6" i="10" s="1"/>
  <c r="X70" i="17"/>
  <c r="F53" i="13"/>
  <c r="E15" i="34"/>
  <c r="E35" i="34"/>
  <c r="E13" i="34"/>
  <c r="Q138" i="20" a="1"/>
  <c r="Q138" i="20" s="1"/>
  <c r="K92" i="11"/>
  <c r="M43" i="17"/>
  <c r="M40" i="17" s="1"/>
  <c r="N114" i="17"/>
  <c r="J92" i="11"/>
  <c r="L43" i="17"/>
  <c r="L40" i="17" s="1"/>
  <c r="M114" i="17"/>
  <c r="T220" i="17"/>
  <c r="AN126" i="11"/>
  <c r="AN125" i="11" s="1"/>
  <c r="AP288" i="17"/>
  <c r="AO121" i="7" s="1"/>
  <c r="AP18" i="17"/>
  <c r="AP15" i="17" s="1"/>
  <c r="C46" i="11"/>
  <c r="B47" i="11"/>
  <c r="W35" i="17"/>
  <c r="O33" i="11"/>
  <c r="Q33" i="11"/>
  <c r="X33" i="11"/>
  <c r="X6" i="11" s="1"/>
  <c r="R92" i="11"/>
  <c r="U114" i="17"/>
  <c r="AN43" i="17"/>
  <c r="AN40" i="17" s="1"/>
  <c r="AO114" i="17"/>
  <c r="AL92" i="11"/>
  <c r="AC220" i="17"/>
  <c r="Z220" i="17"/>
  <c r="W126" i="11"/>
  <c r="W125" i="11" s="1"/>
  <c r="Y288" i="17"/>
  <c r="X121" i="7" s="1"/>
  <c r="AT126" i="11"/>
  <c r="AT125" i="11" s="1"/>
  <c r="AV288" i="17"/>
  <c r="AU121" i="7" s="1"/>
  <c r="G70" i="17"/>
  <c r="AP176" i="11"/>
  <c r="B111" i="11"/>
  <c r="Z33" i="11"/>
  <c r="S126" i="11"/>
  <c r="U288" i="17"/>
  <c r="T121" i="7" s="1"/>
  <c r="N324" i="17"/>
  <c r="AR324" i="17"/>
  <c r="AL324" i="17"/>
  <c r="AN324" i="17"/>
  <c r="Z324" i="17"/>
  <c r="AF324" i="17"/>
  <c r="U324" i="17"/>
  <c r="AS324" i="17"/>
  <c r="M324" i="17"/>
  <c r="P324" i="17"/>
  <c r="AO324" i="17"/>
  <c r="L324" i="17"/>
  <c r="R324" i="17"/>
  <c r="T324" i="17"/>
  <c r="F324" i="17"/>
  <c r="H324" i="17"/>
  <c r="AV324" i="17"/>
  <c r="AW320" i="17"/>
  <c r="AW321" i="17" s="1"/>
  <c r="AW322" i="17" s="1"/>
  <c r="AW323" i="17" s="1"/>
  <c r="AW324" i="17" s="1"/>
  <c r="AI324" i="17"/>
  <c r="AH324" i="17"/>
  <c r="Y324" i="17"/>
  <c r="AK324" i="17"/>
  <c r="AC324" i="17"/>
  <c r="AU324" i="17"/>
  <c r="J324" i="17"/>
  <c r="Q324" i="17"/>
  <c r="AP324" i="17"/>
  <c r="AM324" i="17"/>
  <c r="AE324" i="17"/>
  <c r="O324" i="17"/>
  <c r="AD324" i="17"/>
  <c r="S324" i="17"/>
  <c r="X324" i="17"/>
  <c r="I324" i="17"/>
  <c r="E324" i="17"/>
  <c r="AJ324" i="17"/>
  <c r="AT324" i="17"/>
  <c r="AQ324" i="17"/>
  <c r="G324" i="17"/>
  <c r="K324" i="17"/>
  <c r="AG324" i="17"/>
  <c r="I76" i="22"/>
  <c r="I89" i="22"/>
  <c r="I50" i="22"/>
  <c r="N70" i="17"/>
  <c r="BW6" i="10"/>
  <c r="H14" i="22"/>
  <c r="AG374" i="17"/>
  <c r="Y374" i="17"/>
  <c r="AV374" i="17"/>
  <c r="O374" i="17"/>
  <c r="H374" i="17"/>
  <c r="K374" i="17"/>
  <c r="AK374" i="17"/>
  <c r="AB374" i="17"/>
  <c r="L374" i="17"/>
  <c r="AR374" i="17"/>
  <c r="AE374" i="17"/>
  <c r="AT374" i="17"/>
  <c r="V374" i="17"/>
  <c r="R374" i="17"/>
  <c r="AJ374" i="17"/>
  <c r="AD374" i="17"/>
  <c r="AA374" i="17"/>
  <c r="E374" i="17"/>
  <c r="N374" i="17"/>
  <c r="X374" i="17"/>
  <c r="AI374" i="17"/>
  <c r="P374" i="17"/>
  <c r="G374" i="17"/>
  <c r="AS374" i="17"/>
  <c r="AU374" i="17"/>
  <c r="W374" i="17"/>
  <c r="S374" i="17"/>
  <c r="U374" i="17"/>
  <c r="AP374" i="17"/>
  <c r="Q374" i="17"/>
  <c r="AL374" i="17"/>
  <c r="T374" i="17"/>
  <c r="AH374" i="17"/>
  <c r="Z374" i="17"/>
  <c r="J374" i="17"/>
  <c r="M374" i="17"/>
  <c r="I374" i="17"/>
  <c r="AM374" i="17"/>
  <c r="AC374" i="17"/>
  <c r="AF374" i="17"/>
  <c r="AW370" i="17"/>
  <c r="AW371" i="17" s="1"/>
  <c r="AW372" i="17" s="1"/>
  <c r="AW373" i="17" s="1"/>
  <c r="AW374" i="17" s="1"/>
  <c r="AN374" i="17"/>
  <c r="F374" i="17"/>
  <c r="AO374" i="17"/>
  <c r="AQ374" i="17"/>
  <c r="AH92" i="11"/>
  <c r="AK114" i="17"/>
  <c r="AJ43" i="17"/>
  <c r="AJ40" i="17" s="1"/>
  <c r="C92" i="11"/>
  <c r="F114" i="17"/>
  <c r="E114" i="17"/>
  <c r="E43" i="17"/>
  <c r="D113" i="17"/>
  <c r="AR220" i="17"/>
  <c r="AO124" i="11"/>
  <c r="AQ223" i="17"/>
  <c r="AQ73" i="17"/>
  <c r="AH124" i="11"/>
  <c r="AJ223" i="17"/>
  <c r="D126" i="11"/>
  <c r="D125" i="11" s="1"/>
  <c r="F288" i="17"/>
  <c r="E121" i="7" s="1"/>
  <c r="AJ126" i="11"/>
  <c r="AL288" i="17"/>
  <c r="AL18" i="17"/>
  <c r="AL15" i="17" s="1"/>
  <c r="CX18" i="29"/>
  <c r="CX11" i="29"/>
  <c r="CW6" i="29"/>
  <c r="CW7" i="29"/>
  <c r="CX25" i="29"/>
  <c r="CX16" i="29"/>
  <c r="CW5" i="29"/>
  <c r="DW4" i="29"/>
  <c r="CX15" i="29"/>
  <c r="CX28" i="29"/>
  <c r="CX19" i="29"/>
  <c r="CX27" i="29"/>
  <c r="CW27" i="29" s="1"/>
  <c r="CX17" i="29"/>
  <c r="I9" i="22"/>
  <c r="F43" i="27"/>
  <c r="D43" i="27" s="1"/>
  <c r="E44" i="27"/>
  <c r="AE356" i="11"/>
  <c r="G356" i="11"/>
  <c r="AJ356" i="11"/>
  <c r="W356" i="11"/>
  <c r="U356" i="11"/>
  <c r="AS356" i="11"/>
  <c r="AD356" i="11"/>
  <c r="AP356" i="11"/>
  <c r="H356" i="11"/>
  <c r="L356" i="11"/>
  <c r="AL356" i="11"/>
  <c r="D356" i="11"/>
  <c r="E356" i="11"/>
  <c r="AQ356" i="11"/>
  <c r="M104" i="9"/>
  <c r="K356" i="11"/>
  <c r="AC356" i="11"/>
  <c r="AF356" i="11"/>
  <c r="AB356" i="11"/>
  <c r="O356" i="11"/>
  <c r="C356" i="11"/>
  <c r="S356" i="11"/>
  <c r="AK356" i="11"/>
  <c r="AO356" i="11"/>
  <c r="AG356" i="11"/>
  <c r="AN356" i="11"/>
  <c r="AM356" i="11"/>
  <c r="X356" i="11"/>
  <c r="P356" i="11"/>
  <c r="M356" i="11"/>
  <c r="AR356" i="11"/>
  <c r="I356" i="11"/>
  <c r="V356" i="11"/>
  <c r="J356" i="11"/>
  <c r="Z356" i="11"/>
  <c r="T356" i="11"/>
  <c r="AH356" i="11"/>
  <c r="Q356" i="11"/>
  <c r="AA356" i="11"/>
  <c r="AI356" i="11"/>
  <c r="N356" i="11"/>
  <c r="Y356" i="11"/>
  <c r="AT356" i="11"/>
  <c r="R356" i="11"/>
  <c r="F356" i="11"/>
  <c r="AR15" i="17"/>
  <c r="Z43" i="17"/>
  <c r="Z40" i="17" s="1"/>
  <c r="X92" i="11"/>
  <c r="AA114" i="17"/>
  <c r="I92" i="11"/>
  <c r="L114" i="17"/>
  <c r="K43" i="17"/>
  <c r="K40" i="17" s="1"/>
  <c r="V92" i="11"/>
  <c r="Y114" i="17"/>
  <c r="X43" i="17"/>
  <c r="X40" i="17" s="1"/>
  <c r="AV220" i="17"/>
  <c r="AQ126" i="11"/>
  <c r="AS288" i="17"/>
  <c r="AS18" i="17"/>
  <c r="AS15" i="17" s="1"/>
  <c r="J104" i="9"/>
  <c r="L190" i="19"/>
  <c r="F45" i="8"/>
  <c r="F71" i="8"/>
  <c r="F84" i="8"/>
  <c r="AQ92" i="11"/>
  <c r="AS43" i="17"/>
  <c r="AS40" i="17" s="1"/>
  <c r="AT114" i="17"/>
  <c r="AD43" i="17"/>
  <c r="AD40" i="17" s="1"/>
  <c r="AE114" i="17"/>
  <c r="AB92" i="11"/>
  <c r="AB86" i="11" s="1"/>
  <c r="AO92" i="11"/>
  <c r="AR114" i="17"/>
  <c r="AQ43" i="17"/>
  <c r="AQ40" i="17" s="1"/>
  <c r="S92" i="11"/>
  <c r="V114" i="17"/>
  <c r="C55" i="15"/>
  <c r="B280" i="17"/>
  <c r="AB124" i="11"/>
  <c r="AD223" i="17"/>
  <c r="AD73" i="17"/>
  <c r="AD70" i="17" s="1"/>
  <c r="H124" i="11"/>
  <c r="J223" i="17"/>
  <c r="J73" i="17"/>
  <c r="AF223" i="17"/>
  <c r="AD124" i="11"/>
  <c r="AF73" i="17"/>
  <c r="AP126" i="11"/>
  <c r="AR288" i="17"/>
  <c r="I126" i="11"/>
  <c r="I125" i="11" s="1"/>
  <c r="K288" i="17"/>
  <c r="AD126" i="11"/>
  <c r="AF288" i="17"/>
  <c r="AE121" i="7" s="1"/>
  <c r="BJ16" i="29"/>
  <c r="BJ11" i="29"/>
  <c r="BI5" i="29"/>
  <c r="CI4" i="29"/>
  <c r="BJ18" i="29"/>
  <c r="BJ15" i="29"/>
  <c r="BI7" i="29"/>
  <c r="BI6" i="29"/>
  <c r="BJ25" i="29"/>
  <c r="BJ27" i="29"/>
  <c r="BJ28" i="29"/>
  <c r="BJ17" i="29"/>
  <c r="BJ19" i="29"/>
  <c r="H92" i="11"/>
  <c r="K114" i="17"/>
  <c r="J43" i="17"/>
  <c r="J40" i="17" s="1"/>
  <c r="N220" i="17"/>
  <c r="E220" i="17"/>
  <c r="U220" i="17"/>
  <c r="AL126" i="11"/>
  <c r="AL125" i="11" s="1"/>
  <c r="AN288" i="17"/>
  <c r="AM121" i="7" s="1"/>
  <c r="H104" i="9"/>
  <c r="F190" i="19"/>
  <c r="AK92" i="11"/>
  <c r="AN114" i="17"/>
  <c r="AM43" i="17"/>
  <c r="AM40" i="17" s="1"/>
  <c r="AG92" i="11"/>
  <c r="AI43" i="17"/>
  <c r="AI40" i="17" s="1"/>
  <c r="AJ114" i="17"/>
  <c r="AI78" i="17"/>
  <c r="AH118" i="7" s="1"/>
  <c r="AB220" i="17"/>
  <c r="Y220" i="17"/>
  <c r="AS220" i="17"/>
  <c r="AM126" i="11"/>
  <c r="AO288" i="17"/>
  <c r="AN121" i="7" s="1"/>
  <c r="H17" i="29"/>
  <c r="G17" i="29" s="1"/>
  <c r="H12" i="22"/>
  <c r="BU6" i="10"/>
  <c r="S84" i="17"/>
  <c r="AQ167" i="11"/>
  <c r="B107" i="11"/>
  <c r="AO33" i="11"/>
  <c r="AT35" i="17"/>
  <c r="D37" i="17"/>
  <c r="AT18" i="17"/>
  <c r="AT15" i="17" s="1"/>
  <c r="AJ73" i="17"/>
  <c r="AJ13" i="17" s="1"/>
  <c r="AJ10" i="17" s="1"/>
  <c r="AC33" i="11"/>
  <c r="W324" i="17"/>
  <c r="AA288" i="17"/>
  <c r="Z121" i="7" s="1"/>
  <c r="BE13" i="29"/>
  <c r="AD33" i="11"/>
  <c r="AG33" i="11"/>
  <c r="AG6" i="11" s="1"/>
  <c r="AS17" i="29"/>
  <c r="AS16" i="29"/>
  <c r="AS28" i="29"/>
  <c r="AE72" i="11"/>
  <c r="AA92" i="11"/>
  <c r="AD114" i="17"/>
  <c r="AC43" i="17"/>
  <c r="AC40" i="17" s="1"/>
  <c r="AT220" i="17"/>
  <c r="AK124" i="11"/>
  <c r="AM223" i="17"/>
  <c r="AL120" i="7" s="1"/>
  <c r="G124" i="11"/>
  <c r="I223" i="17"/>
  <c r="I73" i="17"/>
  <c r="I70" i="17" s="1"/>
  <c r="AG124" i="11"/>
  <c r="AI223" i="17"/>
  <c r="AI73" i="17"/>
  <c r="Q220" i="17"/>
  <c r="Q221" i="17"/>
  <c r="V220" i="17"/>
  <c r="AU220" i="17"/>
  <c r="O126" i="11"/>
  <c r="O125" i="11" s="1"/>
  <c r="Q288" i="17"/>
  <c r="P121" i="7" s="1"/>
  <c r="AA126" i="11"/>
  <c r="AA125" i="11" s="1"/>
  <c r="AC288" i="17"/>
  <c r="AB121" i="7" s="1"/>
  <c r="AC18" i="17"/>
  <c r="AC15" i="17" s="1"/>
  <c r="CG27" i="10"/>
  <c r="CG17" i="10"/>
  <c r="CG21" i="10"/>
  <c r="L16" i="9"/>
  <c r="CG14" i="10"/>
  <c r="CG32" i="10" s="1"/>
  <c r="CG16" i="10"/>
  <c r="CG33" i="10"/>
  <c r="CG28" i="10"/>
  <c r="CG26" i="10"/>
  <c r="U33" i="11"/>
  <c r="AA18" i="17"/>
  <c r="AA15" i="17" s="1"/>
  <c r="G218" i="19"/>
  <c r="G213" i="19" s="1"/>
  <c r="G196" i="19"/>
  <c r="AO76" i="16"/>
  <c r="AQ76" i="16"/>
  <c r="AG76" i="16"/>
  <c r="V76" i="16"/>
  <c r="T76" i="16"/>
  <c r="S76" i="16"/>
  <c r="X76" i="16"/>
  <c r="I76" i="16"/>
  <c r="AN444" i="17"/>
  <c r="AO444" i="17"/>
  <c r="AM444" i="17"/>
  <c r="AR444" i="17"/>
  <c r="U444" i="17"/>
  <c r="AA444" i="17"/>
  <c r="AC444" i="17"/>
  <c r="AD444" i="17"/>
  <c r="AL444" i="17"/>
  <c r="X444" i="17"/>
  <c r="AT444" i="17"/>
  <c r="AP444" i="17"/>
  <c r="AU444" i="17"/>
  <c r="I444" i="17"/>
  <c r="S444" i="17"/>
  <c r="H444" i="17"/>
  <c r="AH444" i="17"/>
  <c r="O444" i="17"/>
  <c r="L444" i="17"/>
  <c r="E444" i="17"/>
  <c r="Z444" i="17"/>
  <c r="Q444" i="17"/>
  <c r="M444" i="17"/>
  <c r="Y444" i="17"/>
  <c r="F444" i="17"/>
  <c r="AF444" i="17"/>
  <c r="AK444" i="17"/>
  <c r="AB444" i="17"/>
  <c r="J444" i="17"/>
  <c r="AQ444" i="17"/>
  <c r="AI444" i="17"/>
  <c r="R444" i="17"/>
  <c r="K444" i="17"/>
  <c r="P444" i="17"/>
  <c r="AJ444" i="17"/>
  <c r="AG444" i="17"/>
  <c r="G444" i="17"/>
  <c r="N444" i="17"/>
  <c r="AE444" i="17"/>
  <c r="T444" i="17"/>
  <c r="V444" i="17"/>
  <c r="AS444" i="17"/>
  <c r="AV444" i="17"/>
  <c r="AW440" i="17"/>
  <c r="AW441" i="17" s="1"/>
  <c r="AW442" i="17" s="1"/>
  <c r="AW443" i="17" s="1"/>
  <c r="AW444" i="17" s="1"/>
  <c r="W444" i="17"/>
  <c r="AP92" i="11"/>
  <c r="AR43" i="17"/>
  <c r="AR40" i="17" s="1"/>
  <c r="AS114" i="17"/>
  <c r="AP124" i="11"/>
  <c r="AR223" i="17"/>
  <c r="AR73" i="17"/>
  <c r="AI124" i="11"/>
  <c r="AK223" i="17"/>
  <c r="AK73" i="17"/>
  <c r="H220" i="17"/>
  <c r="M126" i="11"/>
  <c r="M125" i="11" s="1"/>
  <c r="O288" i="17"/>
  <c r="H126" i="11"/>
  <c r="H125" i="11" s="1"/>
  <c r="J288" i="17"/>
  <c r="J18" i="17"/>
  <c r="J15" i="17" s="1"/>
  <c r="BW9" i="29"/>
  <c r="BW22" i="29"/>
  <c r="BW21" i="29"/>
  <c r="BW23" i="29"/>
  <c r="BW33" i="29"/>
  <c r="BW25" i="29"/>
  <c r="AO220" i="17"/>
  <c r="O220" i="17"/>
  <c r="Z126" i="11"/>
  <c r="Z125" i="11" s="1"/>
  <c r="AB288" i="17"/>
  <c r="AA121" i="7" s="1"/>
  <c r="AB18" i="17"/>
  <c r="AB15" i="17" s="1"/>
  <c r="AK33" i="29"/>
  <c r="AK23" i="29"/>
  <c r="AK22" i="29"/>
  <c r="AK21" i="29"/>
  <c r="W214" i="17"/>
  <c r="AH214" i="17"/>
  <c r="AM214" i="17"/>
  <c r="AB214" i="17"/>
  <c r="AB154" i="17" s="1"/>
  <c r="L214" i="17"/>
  <c r="AN214" i="17"/>
  <c r="AR214" i="17"/>
  <c r="AC214" i="17"/>
  <c r="AC154" i="17" s="1"/>
  <c r="AW210" i="17"/>
  <c r="AW211" i="17" s="1"/>
  <c r="AW212" i="17" s="1"/>
  <c r="AW213" i="17" s="1"/>
  <c r="AW214" i="17" s="1"/>
  <c r="H214" i="17"/>
  <c r="H154" i="17" s="1"/>
  <c r="X214" i="17"/>
  <c r="Y214" i="17"/>
  <c r="AE214" i="17"/>
  <c r="J214" i="17"/>
  <c r="J154" i="17" s="1"/>
  <c r="AP214" i="17"/>
  <c r="Q214" i="17"/>
  <c r="Q154" i="17" s="1"/>
  <c r="AG214" i="17"/>
  <c r="AG154" i="17" s="1"/>
  <c r="V214" i="17"/>
  <c r="AL214" i="17"/>
  <c r="U214" i="17"/>
  <c r="U154" i="17" s="1"/>
  <c r="AO214" i="17"/>
  <c r="AQ214" i="17"/>
  <c r="AV214" i="17"/>
  <c r="E214" i="17"/>
  <c r="F214" i="17"/>
  <c r="F154" i="17" s="1"/>
  <c r="G214" i="17"/>
  <c r="AI214" i="17"/>
  <c r="AI154" i="17" s="1"/>
  <c r="AU214" i="17"/>
  <c r="K214" i="17"/>
  <c r="P214" i="17"/>
  <c r="O214" i="17"/>
  <c r="S214" i="17"/>
  <c r="S154" i="17" s="1"/>
  <c r="T214" i="17"/>
  <c r="Z214" i="17"/>
  <c r="Z154" i="17" s="1"/>
  <c r="AK214" i="17"/>
  <c r="AF214" i="17"/>
  <c r="AF154" i="17" s="1"/>
  <c r="AA214" i="17"/>
  <c r="AS214" i="17"/>
  <c r="R214" i="17"/>
  <c r="N214" i="17"/>
  <c r="N154" i="17" s="1"/>
  <c r="AJ214" i="17"/>
  <c r="M214" i="17"/>
  <c r="AD214" i="17"/>
  <c r="AT214" i="17"/>
  <c r="AD220" i="17"/>
  <c r="W220" i="17"/>
  <c r="AL124" i="11"/>
  <c r="AN223" i="17"/>
  <c r="E124" i="11"/>
  <c r="E112" i="11" s="1"/>
  <c r="G223" i="17"/>
  <c r="F120" i="7" s="1"/>
  <c r="P223" i="17"/>
  <c r="N124" i="11"/>
  <c r="P73" i="17"/>
  <c r="R220" i="17"/>
  <c r="R221" i="17"/>
  <c r="P126" i="11"/>
  <c r="R288" i="17"/>
  <c r="Q121" i="7" s="1"/>
  <c r="R18" i="17"/>
  <c r="R15" i="17" s="1"/>
  <c r="AK126" i="11"/>
  <c r="AK125" i="11" s="1"/>
  <c r="AM288" i="17"/>
  <c r="AL121" i="7" s="1"/>
  <c r="Z49" i="17"/>
  <c r="B100" i="11"/>
  <c r="E7" i="22"/>
  <c r="AI21" i="29"/>
  <c r="AI33" i="29"/>
  <c r="AI22" i="29"/>
  <c r="AI23" i="29"/>
  <c r="M92" i="11"/>
  <c r="O43" i="17"/>
  <c r="O40" i="17" s="1"/>
  <c r="P114" i="17"/>
  <c r="Q92" i="11"/>
  <c r="T114" i="17"/>
  <c r="S43" i="17"/>
  <c r="S40" i="17" s="1"/>
  <c r="I124" i="11"/>
  <c r="K223" i="17"/>
  <c r="K73" i="17"/>
  <c r="X220" i="17"/>
  <c r="AF124" i="11"/>
  <c r="AF112" i="11" s="1"/>
  <c r="AH223" i="17"/>
  <c r="AH73" i="17"/>
  <c r="AH126" i="11"/>
  <c r="AH125" i="11" s="1"/>
  <c r="AJ288" i="17"/>
  <c r="AI121" i="7" s="1"/>
  <c r="O25" i="21"/>
  <c r="E18" i="22"/>
  <c r="AN6" i="10"/>
  <c r="AY22" i="29"/>
  <c r="AY33" i="29"/>
  <c r="AY23" i="29"/>
  <c r="AY21" i="29"/>
  <c r="AY25" i="29"/>
  <c r="BZ27" i="29"/>
  <c r="BZ28" i="29"/>
  <c r="BZ18" i="29"/>
  <c r="BY5" i="29"/>
  <c r="BZ16" i="29"/>
  <c r="BZ17" i="29"/>
  <c r="CY4" i="29"/>
  <c r="BY6" i="29"/>
  <c r="BZ15" i="29"/>
  <c r="BY7" i="29"/>
  <c r="BZ11" i="29"/>
  <c r="BZ19" i="29"/>
  <c r="BZ25" i="29"/>
  <c r="O17" i="29"/>
  <c r="Z489" i="17"/>
  <c r="H489" i="17"/>
  <c r="AG489" i="17"/>
  <c r="E489" i="17"/>
  <c r="X489" i="17"/>
  <c r="AO489" i="17"/>
  <c r="N489" i="17"/>
  <c r="AV489" i="17"/>
  <c r="AM489" i="17"/>
  <c r="P489" i="17"/>
  <c r="K489" i="17"/>
  <c r="M489" i="17"/>
  <c r="V489" i="17"/>
  <c r="AT489" i="17"/>
  <c r="AE489" i="17"/>
  <c r="AN489" i="17"/>
  <c r="AL489" i="17"/>
  <c r="AA489" i="17"/>
  <c r="AW485" i="17"/>
  <c r="AW486" i="17" s="1"/>
  <c r="AW487" i="17" s="1"/>
  <c r="AW488" i="17" s="1"/>
  <c r="AW489" i="17" s="1"/>
  <c r="T489" i="17"/>
  <c r="Y489" i="17"/>
  <c r="AD489" i="17"/>
  <c r="AQ489" i="17"/>
  <c r="I489" i="17"/>
  <c r="F489" i="17"/>
  <c r="G489" i="17"/>
  <c r="Q489" i="17"/>
  <c r="AB489" i="17"/>
  <c r="U489" i="17"/>
  <c r="O489" i="17"/>
  <c r="AJ489" i="17"/>
  <c r="AK489" i="17"/>
  <c r="AP489" i="17"/>
  <c r="S489" i="17"/>
  <c r="AI489" i="17"/>
  <c r="AR489" i="17"/>
  <c r="AS489" i="17"/>
  <c r="AH489" i="17"/>
  <c r="AU489" i="17"/>
  <c r="R489" i="17"/>
  <c r="L489" i="17"/>
  <c r="W489" i="17"/>
  <c r="AC489" i="17"/>
  <c r="J489" i="17"/>
  <c r="AF489" i="17"/>
  <c r="U18" i="17"/>
  <c r="U15" i="17" s="1"/>
  <c r="AE92" i="11"/>
  <c r="AG43" i="17"/>
  <c r="AG40" i="17" s="1"/>
  <c r="AH114" i="17"/>
  <c r="AQ176" i="11"/>
  <c r="AQ33" i="11"/>
  <c r="R124" i="11"/>
  <c r="T223" i="17"/>
  <c r="C126" i="11"/>
  <c r="D298" i="17"/>
  <c r="D288" i="17" s="1"/>
  <c r="AV121" i="21" s="1"/>
  <c r="AS121" i="21" s="1"/>
  <c r="E288" i="17"/>
  <c r="D121" i="7" s="1"/>
  <c r="AK176" i="11"/>
  <c r="W3" i="13"/>
  <c r="V3" i="13"/>
  <c r="U3" i="13"/>
  <c r="T3" i="13"/>
  <c r="X3" i="13"/>
  <c r="AN92" i="11"/>
  <c r="AP43" i="17"/>
  <c r="AP40" i="17" s="1"/>
  <c r="AQ114" i="17"/>
  <c r="Y92" i="11"/>
  <c r="AB114" i="17"/>
  <c r="P92" i="11"/>
  <c r="S114" i="17"/>
  <c r="R43" i="17"/>
  <c r="R40" i="17" s="1"/>
  <c r="AP114" i="17"/>
  <c r="AM92" i="11"/>
  <c r="AO43" i="17"/>
  <c r="AO40" i="17" s="1"/>
  <c r="Z92" i="11"/>
  <c r="AC114" i="17"/>
  <c r="AR124" i="11"/>
  <c r="AT223" i="17"/>
  <c r="X124" i="11"/>
  <c r="Z223" i="17"/>
  <c r="Z73" i="17"/>
  <c r="T124" i="11"/>
  <c r="V73" i="17"/>
  <c r="V70" i="17" s="1"/>
  <c r="V223" i="17"/>
  <c r="AC124" i="11"/>
  <c r="AE223" i="17"/>
  <c r="AJ124" i="11"/>
  <c r="AL223" i="17"/>
  <c r="J126" i="11"/>
  <c r="J125" i="11" s="1"/>
  <c r="L288" i="17"/>
  <c r="AB126" i="11"/>
  <c r="AD18" i="17"/>
  <c r="AD15" i="17" s="1"/>
  <c r="AE126" i="11"/>
  <c r="AE125" i="11" s="1"/>
  <c r="AG288" i="17"/>
  <c r="AF121" i="7" s="1"/>
  <c r="AG18" i="17"/>
  <c r="AG15" i="17" s="1"/>
  <c r="J49" i="17"/>
  <c r="W70" i="17"/>
  <c r="D14" i="22"/>
  <c r="W6" i="10"/>
  <c r="B13" i="11"/>
  <c r="AQ220" i="17"/>
  <c r="F124" i="11"/>
  <c r="H223" i="17"/>
  <c r="Q126" i="11"/>
  <c r="Q125" i="11" s="1"/>
  <c r="S288" i="17"/>
  <c r="H17" i="22"/>
  <c r="BZ6" i="10"/>
  <c r="AC169" i="17"/>
  <c r="AJ169" i="17"/>
  <c r="AT169" i="17"/>
  <c r="M169" i="17"/>
  <c r="AD169" i="17"/>
  <c r="AW165" i="17"/>
  <c r="AW166" i="17" s="1"/>
  <c r="AW167" i="17" s="1"/>
  <c r="AW168" i="17" s="1"/>
  <c r="AW169" i="17" s="1"/>
  <c r="T169" i="17"/>
  <c r="AS169" i="17"/>
  <c r="N169" i="17"/>
  <c r="AS92" i="11"/>
  <c r="AV114" i="17"/>
  <c r="AU43" i="17"/>
  <c r="AU40" i="17" s="1"/>
  <c r="G92" i="11"/>
  <c r="I43" i="17"/>
  <c r="I40" i="17" s="1"/>
  <c r="J114" i="17"/>
  <c r="AN124" i="11"/>
  <c r="AP223" i="17"/>
  <c r="AP73" i="17"/>
  <c r="J124" i="11"/>
  <c r="J112" i="11" s="1"/>
  <c r="L223" i="17"/>
  <c r="K120" i="7" s="1"/>
  <c r="L73" i="17"/>
  <c r="M124" i="11"/>
  <c r="O223" i="17"/>
  <c r="O73" i="17"/>
  <c r="AI126" i="11"/>
  <c r="AI125" i="11" s="1"/>
  <c r="AK288" i="17"/>
  <c r="J222" i="19"/>
  <c r="J213" i="19" s="1"/>
  <c r="J196" i="19"/>
  <c r="BK7" i="29"/>
  <c r="BL11" i="29"/>
  <c r="CK4" i="29"/>
  <c r="BL19" i="29"/>
  <c r="BL16" i="29"/>
  <c r="BK6" i="29"/>
  <c r="BK5" i="29"/>
  <c r="BL18" i="29"/>
  <c r="BL15" i="29"/>
  <c r="BK15" i="29" s="1"/>
  <c r="BL25" i="29"/>
  <c r="BL17" i="29"/>
  <c r="BL27" i="29"/>
  <c r="BL28" i="29"/>
  <c r="I33" i="19"/>
  <c r="AR76" i="16"/>
  <c r="AM76" i="16"/>
  <c r="H76" i="16"/>
  <c r="H114" i="17"/>
  <c r="E92" i="11"/>
  <c r="G43" i="17"/>
  <c r="G40" i="17" s="1"/>
  <c r="AD92" i="11"/>
  <c r="AG114" i="17"/>
  <c r="AF92" i="11"/>
  <c r="AI114" i="17"/>
  <c r="AH43" i="17"/>
  <c r="AH40" i="17" s="1"/>
  <c r="AJ92" i="11"/>
  <c r="AM114" i="17"/>
  <c r="AL43" i="17"/>
  <c r="AL40" i="17" s="1"/>
  <c r="AI92" i="11"/>
  <c r="AL114" i="17"/>
  <c r="AK43" i="17"/>
  <c r="AK40" i="17" s="1"/>
  <c r="K124" i="11"/>
  <c r="M73" i="17"/>
  <c r="M223" i="17"/>
  <c r="L120" i="7" s="1"/>
  <c r="U124" i="11"/>
  <c r="U112" i="11" s="1"/>
  <c r="W223" i="17"/>
  <c r="AG223" i="17"/>
  <c r="AG73" i="17"/>
  <c r="AE124" i="11"/>
  <c r="D124" i="11"/>
  <c r="F223" i="17"/>
  <c r="F73" i="17"/>
  <c r="P124" i="11"/>
  <c r="R73" i="17"/>
  <c r="R223" i="17"/>
  <c r="Q120" i="7" s="1"/>
  <c r="AE73" i="17"/>
  <c r="AF6" i="18"/>
  <c r="AF16" i="18" s="1"/>
  <c r="L6" i="18"/>
  <c r="L16" i="18" s="1"/>
  <c r="V6" i="18"/>
  <c r="V16" i="18" s="1"/>
  <c r="AP6" i="18"/>
  <c r="AP16" i="18" s="1"/>
  <c r="AS6" i="18"/>
  <c r="AS16" i="18" s="1"/>
  <c r="AT6" i="18"/>
  <c r="AT16" i="18" s="1"/>
  <c r="AJ6" i="18"/>
  <c r="AJ16" i="18" s="1"/>
  <c r="W6" i="18"/>
  <c r="W16" i="18" s="1"/>
  <c r="E6" i="18"/>
  <c r="E16" i="18" s="1"/>
  <c r="M6" i="18"/>
  <c r="M16" i="18" s="1"/>
  <c r="O6" i="18"/>
  <c r="O16" i="18" s="1"/>
  <c r="D6" i="18"/>
  <c r="AE6" i="18"/>
  <c r="AE16" i="18" s="1"/>
  <c r="AA6" i="18"/>
  <c r="AA16" i="18" s="1"/>
  <c r="K6" i="18"/>
  <c r="K16" i="18" s="1"/>
  <c r="I6" i="18"/>
  <c r="I16" i="18" s="1"/>
  <c r="R6" i="18"/>
  <c r="R16" i="18" s="1"/>
  <c r="Z6" i="18"/>
  <c r="Z16" i="18" s="1"/>
  <c r="AH6" i="18"/>
  <c r="AH16" i="18" s="1"/>
  <c r="T6" i="18"/>
  <c r="T16" i="18" s="1"/>
  <c r="AR6" i="18"/>
  <c r="AR16" i="18" s="1"/>
  <c r="AO6" i="18"/>
  <c r="AO16" i="18" s="1"/>
  <c r="AN6" i="18"/>
  <c r="AN16" i="18" s="1"/>
  <c r="AG6" i="18"/>
  <c r="AG16" i="18" s="1"/>
  <c r="Q6" i="18"/>
  <c r="Q16" i="18" s="1"/>
  <c r="X6" i="18"/>
  <c r="X16" i="18" s="1"/>
  <c r="U6" i="18"/>
  <c r="U16" i="18" s="1"/>
  <c r="AC6" i="18"/>
  <c r="AC16" i="18" s="1"/>
  <c r="AM6" i="18"/>
  <c r="AM16" i="18" s="1"/>
  <c r="AD6" i="18"/>
  <c r="AD16" i="18" s="1"/>
  <c r="Y6" i="18"/>
  <c r="Y16" i="18" s="1"/>
  <c r="AQ6" i="18"/>
  <c r="AQ16" i="18" s="1"/>
  <c r="J6" i="18"/>
  <c r="J16" i="18" s="1"/>
  <c r="E4" i="27"/>
  <c r="H6" i="18"/>
  <c r="P6" i="18"/>
  <c r="P16" i="18" s="1"/>
  <c r="AB6" i="18"/>
  <c r="AB16" i="18" s="1"/>
  <c r="S6" i="18"/>
  <c r="S16" i="18" s="1"/>
  <c r="AL6" i="18"/>
  <c r="AL16" i="18" s="1"/>
  <c r="N6" i="18"/>
  <c r="N16" i="18" s="1"/>
  <c r="AU6" i="18"/>
  <c r="AU16" i="18" s="1"/>
  <c r="AK6" i="18"/>
  <c r="AK16" i="18" s="1"/>
  <c r="AI6" i="18"/>
  <c r="AI16" i="18" s="1"/>
  <c r="AF122" i="7"/>
  <c r="K18" i="17"/>
  <c r="K15" i="17" s="1"/>
  <c r="G60" i="34"/>
  <c r="H55" i="34"/>
  <c r="H47" i="13"/>
  <c r="H54" i="13" s="1"/>
  <c r="F14" i="34"/>
  <c r="F24" i="34" s="1"/>
  <c r="G7" i="34"/>
  <c r="F6" i="34"/>
  <c r="W291" i="17"/>
  <c r="AH291" i="17"/>
  <c r="H291" i="17"/>
  <c r="J291" i="17"/>
  <c r="O291" i="17"/>
  <c r="V291" i="17"/>
  <c r="AF291" i="17"/>
  <c r="AV291" i="17"/>
  <c r="X291" i="17"/>
  <c r="AG291" i="17"/>
  <c r="AI291" i="17"/>
  <c r="AC291" i="17"/>
  <c r="I291" i="17"/>
  <c r="AJ291" i="17"/>
  <c r="AB291" i="17"/>
  <c r="AQ291" i="17"/>
  <c r="R291" i="17"/>
  <c r="AP291" i="17"/>
  <c r="P291" i="17"/>
  <c r="AE291" i="17"/>
  <c r="AA291" i="17"/>
  <c r="AM291" i="17"/>
  <c r="D290" i="17"/>
  <c r="J144" i="9" s="1"/>
  <c r="AL291" i="17"/>
  <c r="M291" i="17"/>
  <c r="AK291" i="17"/>
  <c r="G291" i="17"/>
  <c r="S291" i="17"/>
  <c r="L291" i="17"/>
  <c r="Z291" i="17"/>
  <c r="AD291" i="17"/>
  <c r="AO291" i="17"/>
  <c r="Y291" i="17"/>
  <c r="AS291" i="17"/>
  <c r="U291" i="17"/>
  <c r="N291" i="17"/>
  <c r="T92" i="11"/>
  <c r="W114" i="17"/>
  <c r="F43" i="17"/>
  <c r="F40" i="17" s="1"/>
  <c r="D92" i="11"/>
  <c r="G114" i="17"/>
  <c r="L124" i="11"/>
  <c r="N223" i="17"/>
  <c r="K220" i="17"/>
  <c r="V124" i="11"/>
  <c r="X223" i="17"/>
  <c r="E223" i="17"/>
  <c r="C124" i="11"/>
  <c r="S124" i="11"/>
  <c r="U223" i="17"/>
  <c r="U73" i="17"/>
  <c r="T18" i="17"/>
  <c r="T15" i="17" s="1"/>
  <c r="R126" i="11"/>
  <c r="AG126" i="11"/>
  <c r="AG125" i="11" s="1"/>
  <c r="AI18" i="17"/>
  <c r="AI15" i="17" s="1"/>
  <c r="K33" i="11"/>
  <c r="B148" i="11"/>
  <c r="AY11" i="29"/>
  <c r="R419" i="17"/>
  <c r="AQ419" i="17"/>
  <c r="O419" i="17"/>
  <c r="Y419" i="17"/>
  <c r="AR419" i="17"/>
  <c r="W419" i="17"/>
  <c r="AN419" i="17"/>
  <c r="AV419" i="17"/>
  <c r="AA419" i="17"/>
  <c r="N419" i="17"/>
  <c r="AB419" i="17"/>
  <c r="AD419" i="17"/>
  <c r="X419" i="17"/>
  <c r="AJ419" i="17"/>
  <c r="G419" i="17"/>
  <c r="H419" i="17"/>
  <c r="I419" i="17"/>
  <c r="AM419" i="17"/>
  <c r="P419" i="17"/>
  <c r="AO419" i="17"/>
  <c r="AU419" i="17"/>
  <c r="AF419" i="17"/>
  <c r="L419" i="17"/>
  <c r="AT419" i="17"/>
  <c r="AI419" i="17"/>
  <c r="F419" i="17"/>
  <c r="Z419" i="17"/>
  <c r="AS419" i="17"/>
  <c r="AE419" i="17"/>
  <c r="J419" i="17"/>
  <c r="AC419" i="17"/>
  <c r="E419" i="17"/>
  <c r="AL419" i="17"/>
  <c r="AW415" i="17"/>
  <c r="AW416" i="17" s="1"/>
  <c r="AW417" i="17" s="1"/>
  <c r="AW418" i="17" s="1"/>
  <c r="AW419" i="17" s="1"/>
  <c r="Q419" i="17"/>
  <c r="AP419" i="17"/>
  <c r="AH419" i="17"/>
  <c r="T419" i="17"/>
  <c r="AK419" i="17"/>
  <c r="M419" i="17"/>
  <c r="AG419" i="17"/>
  <c r="V419" i="17"/>
  <c r="U419" i="17"/>
  <c r="K419" i="17"/>
  <c r="S419" i="17"/>
  <c r="E291" i="17"/>
  <c r="AC92" i="11"/>
  <c r="AF114" i="17"/>
  <c r="AE43" i="17"/>
  <c r="AE40" i="17" s="1"/>
  <c r="AB223" i="17"/>
  <c r="AA120" i="7" s="1"/>
  <c r="Z124" i="11"/>
  <c r="Z112" i="11" s="1"/>
  <c r="AB73" i="17"/>
  <c r="W124" i="11"/>
  <c r="Y223" i="17"/>
  <c r="AQ124" i="11"/>
  <c r="AS223" i="17"/>
  <c r="AR120" i="7" s="1"/>
  <c r="AS73" i="17"/>
  <c r="AS126" i="11"/>
  <c r="AS125" i="11" s="1"/>
  <c r="AU288" i="17"/>
  <c r="AT121" i="7" s="1"/>
  <c r="K190" i="19"/>
  <c r="I17" i="19"/>
  <c r="J33" i="11"/>
  <c r="P49" i="17"/>
  <c r="Y119" i="7"/>
  <c r="T425" i="17"/>
  <c r="BQ21" i="10"/>
  <c r="BQ16" i="10"/>
  <c r="BQ27" i="10"/>
  <c r="BQ28" i="10"/>
  <c r="BQ14" i="10"/>
  <c r="BQ33" i="10"/>
  <c r="BQ26" i="10"/>
  <c r="BQ17" i="10"/>
  <c r="K13" i="9"/>
  <c r="F18" i="17"/>
  <c r="F15" i="17" s="1"/>
  <c r="D87" i="11"/>
  <c r="AM89" i="17"/>
  <c r="AK87" i="11"/>
  <c r="AM18" i="17"/>
  <c r="AM15" i="17" s="1"/>
  <c r="F92" i="22"/>
  <c r="F53" i="22"/>
  <c r="F79" i="22"/>
  <c r="B155" i="11"/>
  <c r="P31" i="17"/>
  <c r="AK31" i="17"/>
  <c r="F31" i="17"/>
  <c r="AD31" i="17"/>
  <c r="N31" i="17"/>
  <c r="X31" i="17"/>
  <c r="AR31" i="17"/>
  <c r="O31" i="17"/>
  <c r="AM31" i="17"/>
  <c r="AV31" i="17"/>
  <c r="E31" i="17"/>
  <c r="Q31" i="17"/>
  <c r="AG31" i="17"/>
  <c r="AE31" i="17"/>
  <c r="V31" i="17"/>
  <c r="S31" i="17"/>
  <c r="AO31" i="17"/>
  <c r="G31" i="17"/>
  <c r="AU31" i="17"/>
  <c r="AT31" i="17"/>
  <c r="T31" i="17"/>
  <c r="M31" i="17"/>
  <c r="AL31" i="17"/>
  <c r="Y31" i="17"/>
  <c r="R31" i="17"/>
  <c r="U31" i="17"/>
  <c r="K31" i="17"/>
  <c r="AH31" i="17"/>
  <c r="AF31" i="17"/>
  <c r="AP31" i="17"/>
  <c r="Z31" i="17"/>
  <c r="AN31" i="17"/>
  <c r="AQ31" i="17"/>
  <c r="L31" i="17"/>
  <c r="W31" i="17"/>
  <c r="J31" i="17"/>
  <c r="AB31" i="17"/>
  <c r="H31" i="17"/>
  <c r="I31" i="17"/>
  <c r="AS31" i="17"/>
  <c r="AJ31" i="17"/>
  <c r="AI31" i="17"/>
  <c r="AA31" i="17"/>
  <c r="Y145" i="17"/>
  <c r="B23" i="11"/>
  <c r="C20" i="11"/>
  <c r="AQ145" i="17"/>
  <c r="AH7" i="17"/>
  <c r="P145" i="17"/>
  <c r="AQ18" i="29"/>
  <c r="AH18" i="29"/>
  <c r="AQ19" i="29"/>
  <c r="AH19" i="29"/>
  <c r="BR11" i="29"/>
  <c r="CQ4" i="29"/>
  <c r="BQ6" i="29"/>
  <c r="BQ7" i="29"/>
  <c r="BR27" i="29"/>
  <c r="BR18" i="29"/>
  <c r="BR28" i="29"/>
  <c r="BR16" i="29"/>
  <c r="BQ5" i="29"/>
  <c r="BR15" i="29"/>
  <c r="BR19" i="29"/>
  <c r="BR17" i="29"/>
  <c r="BR25" i="29"/>
  <c r="AQ215" i="17"/>
  <c r="T114" i="11"/>
  <c r="W234" i="17"/>
  <c r="V218" i="17"/>
  <c r="AH114" i="11"/>
  <c r="AK234" i="17"/>
  <c r="AJ218" i="17"/>
  <c r="Y115" i="11"/>
  <c r="V115" i="11"/>
  <c r="X28" i="17"/>
  <c r="X25" i="17" s="1"/>
  <c r="DB27" i="29"/>
  <c r="DB19" i="29"/>
  <c r="DB25" i="29"/>
  <c r="EA4" i="29"/>
  <c r="DB11" i="29"/>
  <c r="DB38" i="29"/>
  <c r="DB17" i="29"/>
  <c r="DB37" i="29"/>
  <c r="DA7" i="29"/>
  <c r="DB18" i="29"/>
  <c r="DA5" i="29"/>
  <c r="DA6" i="29"/>
  <c r="DB16" i="29"/>
  <c r="DB28" i="29"/>
  <c r="DB15" i="29"/>
  <c r="DB36" i="29"/>
  <c r="DB12" i="29"/>
  <c r="AJ358" i="17"/>
  <c r="AH143" i="11"/>
  <c r="AH138" i="11" s="1"/>
  <c r="AJ38" i="17"/>
  <c r="AJ35" i="17" s="1"/>
  <c r="AT355" i="17"/>
  <c r="AK355" i="17"/>
  <c r="H355" i="17"/>
  <c r="AF143" i="11"/>
  <c r="AH358" i="17"/>
  <c r="AH38" i="17"/>
  <c r="AH35" i="17" s="1"/>
  <c r="K143" i="11"/>
  <c r="M38" i="17"/>
  <c r="M35" i="17" s="1"/>
  <c r="M358" i="17"/>
  <c r="AQ159" i="11"/>
  <c r="AS428" i="17"/>
  <c r="AS53" i="17"/>
  <c r="AS50" i="17" s="1"/>
  <c r="G425" i="17"/>
  <c r="R425" i="17"/>
  <c r="U160" i="11"/>
  <c r="W58" i="17"/>
  <c r="W55" i="17" s="1"/>
  <c r="D160" i="11"/>
  <c r="D151" i="11" s="1"/>
  <c r="F428" i="17"/>
  <c r="AD160" i="11"/>
  <c r="AD151" i="11" s="1"/>
  <c r="AF58" i="17"/>
  <c r="AF55" i="17" s="1"/>
  <c r="AF428" i="17"/>
  <c r="AI160" i="11"/>
  <c r="AK58" i="17"/>
  <c r="AK55" i="17" s="1"/>
  <c r="AK428" i="17"/>
  <c r="CC8" i="29"/>
  <c r="CD15" i="29"/>
  <c r="CC6" i="29"/>
  <c r="CD27" i="29"/>
  <c r="CD28" i="29"/>
  <c r="CD13" i="29"/>
  <c r="CD11" i="29"/>
  <c r="CD24" i="29"/>
  <c r="CD19" i="29"/>
  <c r="CD18" i="29"/>
  <c r="DC4" i="29"/>
  <c r="CD25" i="29"/>
  <c r="CD17" i="29"/>
  <c r="CD16" i="29"/>
  <c r="BH6" i="10"/>
  <c r="G12" i="22"/>
  <c r="O190" i="19"/>
  <c r="K104" i="9"/>
  <c r="D254" i="17"/>
  <c r="H18" i="17"/>
  <c r="H15" i="17" s="1"/>
  <c r="F87" i="11"/>
  <c r="T89" i="17"/>
  <c r="S18" i="17"/>
  <c r="S15" i="17" s="1"/>
  <c r="Q87" i="11"/>
  <c r="S89" i="17"/>
  <c r="B127" i="11"/>
  <c r="G10" i="22"/>
  <c r="BF6" i="10"/>
  <c r="AS102" i="11"/>
  <c r="AU169" i="17"/>
  <c r="AU148" i="17"/>
  <c r="AV169" i="17"/>
  <c r="AU28" i="17"/>
  <c r="AU25" i="17" s="1"/>
  <c r="F145" i="17"/>
  <c r="Y102" i="11"/>
  <c r="Y99" i="11" s="1"/>
  <c r="AA148" i="17"/>
  <c r="AA28" i="17"/>
  <c r="AA25" i="17" s="1"/>
  <c r="AB169" i="17"/>
  <c r="N114" i="11"/>
  <c r="P218" i="17"/>
  <c r="Q234" i="17"/>
  <c r="Q215" i="17"/>
  <c r="H114" i="11"/>
  <c r="K234" i="17"/>
  <c r="J218" i="17"/>
  <c r="S215" i="17"/>
  <c r="AO115" i="11"/>
  <c r="C115" i="11"/>
  <c r="D238" i="17"/>
  <c r="AC115" i="11"/>
  <c r="Q115" i="11"/>
  <c r="S28" i="17"/>
  <c r="H143" i="11"/>
  <c r="J358" i="17"/>
  <c r="J38" i="17"/>
  <c r="J35" i="17" s="1"/>
  <c r="G355" i="17"/>
  <c r="Y355" i="17"/>
  <c r="L355" i="17"/>
  <c r="AK160" i="11"/>
  <c r="AK151" i="11" s="1"/>
  <c r="AM428" i="17"/>
  <c r="AH160" i="11"/>
  <c r="AJ58" i="17"/>
  <c r="AJ55" i="17" s="1"/>
  <c r="AJ428" i="17"/>
  <c r="F10" i="22"/>
  <c r="AS6" i="10"/>
  <c r="T156" i="19"/>
  <c r="T173" i="19" s="1"/>
  <c r="R173" i="19" s="1"/>
  <c r="S160" i="19"/>
  <c r="R160" i="19" s="1"/>
  <c r="L143" i="19"/>
  <c r="L147" i="19"/>
  <c r="R145" i="19"/>
  <c r="R143" i="19"/>
  <c r="R147" i="19"/>
  <c r="V18" i="17"/>
  <c r="V15" i="17" s="1"/>
  <c r="T87" i="11"/>
  <c r="V89" i="17"/>
  <c r="S361" i="17"/>
  <c r="O361" i="17"/>
  <c r="AH361" i="17"/>
  <c r="X361" i="17"/>
  <c r="V361" i="17"/>
  <c r="L361" i="17"/>
  <c r="AT361" i="17"/>
  <c r="AU361" i="17"/>
  <c r="AP361" i="17"/>
  <c r="AQ361" i="17"/>
  <c r="AK361" i="17"/>
  <c r="AN361" i="17"/>
  <c r="U361" i="17"/>
  <c r="AM361" i="17"/>
  <c r="AI361" i="17"/>
  <c r="AB361" i="17"/>
  <c r="D360" i="17"/>
  <c r="K144" i="9" s="1"/>
  <c r="AE361" i="17"/>
  <c r="AR361" i="17"/>
  <c r="K361" i="17"/>
  <c r="AC361" i="17"/>
  <c r="G361" i="17"/>
  <c r="AA361" i="17"/>
  <c r="N361" i="17"/>
  <c r="J361" i="17"/>
  <c r="W361" i="17"/>
  <c r="Y361" i="17"/>
  <c r="R361" i="17"/>
  <c r="Q361" i="17"/>
  <c r="AG361" i="17"/>
  <c r="I361" i="17"/>
  <c r="P361" i="17"/>
  <c r="F361" i="17"/>
  <c r="AF361" i="17"/>
  <c r="AL361" i="17"/>
  <c r="AS361" i="17"/>
  <c r="AD361" i="17"/>
  <c r="AV361" i="17"/>
  <c r="M361" i="17"/>
  <c r="AN70" i="17"/>
  <c r="AE145" i="17"/>
  <c r="AK145" i="17"/>
  <c r="K145" i="17"/>
  <c r="AG145" i="17"/>
  <c r="AF215" i="17"/>
  <c r="Z215" i="17"/>
  <c r="C114" i="11"/>
  <c r="D233" i="17"/>
  <c r="F234" i="17"/>
  <c r="E218" i="17"/>
  <c r="E234" i="17"/>
  <c r="AG114" i="11"/>
  <c r="AI218" i="17"/>
  <c r="AI234" i="17"/>
  <c r="AJ234" i="17"/>
  <c r="L115" i="11"/>
  <c r="N28" i="17"/>
  <c r="N25" i="17" s="1"/>
  <c r="D11" i="22"/>
  <c r="T6" i="10"/>
  <c r="AU355" i="17"/>
  <c r="R355" i="17"/>
  <c r="W355" i="17"/>
  <c r="K355" i="17"/>
  <c r="I425" i="17"/>
  <c r="AS159" i="11"/>
  <c r="AU53" i="17"/>
  <c r="AU50" i="17" s="1"/>
  <c r="AU428" i="17"/>
  <c r="L159" i="11"/>
  <c r="L151" i="11" s="1"/>
  <c r="N428" i="17"/>
  <c r="N53" i="17"/>
  <c r="N50" i="17" s="1"/>
  <c r="Q425" i="17"/>
  <c r="AQ425" i="17"/>
  <c r="D57" i="17"/>
  <c r="W56" i="17" s="1"/>
  <c r="AC160" i="11"/>
  <c r="AC151" i="11" s="1"/>
  <c r="AE428" i="17"/>
  <c r="AE58" i="17"/>
  <c r="AE55" i="17" s="1"/>
  <c r="E84" i="8"/>
  <c r="E71" i="8"/>
  <c r="E45" i="8"/>
  <c r="C6" i="8"/>
  <c r="L5" i="19"/>
  <c r="AT6" i="10"/>
  <c r="F11" i="22"/>
  <c r="B130" i="11"/>
  <c r="O145" i="17"/>
  <c r="AL145" i="17"/>
  <c r="G145" i="17"/>
  <c r="AD102" i="11"/>
  <c r="AF28" i="17"/>
  <c r="AF25" i="17" s="1"/>
  <c r="AG169" i="17"/>
  <c r="AF148" i="17"/>
  <c r="AT114" i="11"/>
  <c r="AV218" i="17"/>
  <c r="T215" i="17"/>
  <c r="AN114" i="11"/>
  <c r="AQ234" i="17"/>
  <c r="AP218" i="17"/>
  <c r="S114" i="11"/>
  <c r="U218" i="17"/>
  <c r="V234" i="17"/>
  <c r="AD215" i="17"/>
  <c r="G114" i="11"/>
  <c r="I218" i="17"/>
  <c r="J234" i="17"/>
  <c r="I115" i="11"/>
  <c r="AN115" i="11"/>
  <c r="F115" i="11"/>
  <c r="H28" i="17"/>
  <c r="H25" i="17" s="1"/>
  <c r="M66" i="17"/>
  <c r="AD355" i="17"/>
  <c r="V355" i="17"/>
  <c r="AR38" i="17"/>
  <c r="AR35" i="17" s="1"/>
  <c r="AP143" i="11"/>
  <c r="AP138" i="11" s="1"/>
  <c r="AR358" i="17"/>
  <c r="AS355" i="17"/>
  <c r="P425" i="17"/>
  <c r="AJ159" i="11"/>
  <c r="AL53" i="17"/>
  <c r="AL50" i="17" s="1"/>
  <c r="AL428" i="17"/>
  <c r="AE160" i="11"/>
  <c r="N171" i="19"/>
  <c r="L171" i="19" s="1"/>
  <c r="AU16" i="17"/>
  <c r="AO78" i="17"/>
  <c r="AK7" i="17"/>
  <c r="CA36" i="29"/>
  <c r="CA27" i="29"/>
  <c r="CA16" i="29"/>
  <c r="BC11" i="29"/>
  <c r="BC28" i="29"/>
  <c r="BC19" i="29"/>
  <c r="B150" i="11"/>
  <c r="F58" i="17"/>
  <c r="F55" i="17" s="1"/>
  <c r="AM33" i="11"/>
  <c r="AP72" i="11"/>
  <c r="U72" i="11"/>
  <c r="AV286" i="17"/>
  <c r="BE28" i="29"/>
  <c r="BE25" i="29"/>
  <c r="BE17" i="29"/>
  <c r="AE33" i="11"/>
  <c r="AE6" i="11" s="1"/>
  <c r="L33" i="11"/>
  <c r="Y33" i="11"/>
  <c r="T36" i="17"/>
  <c r="V78" i="16"/>
  <c r="O78" i="16"/>
  <c r="T78" i="16"/>
  <c r="X78" i="16"/>
  <c r="I78" i="16"/>
  <c r="U78" i="16"/>
  <c r="O75" i="19"/>
  <c r="AA78" i="16"/>
  <c r="H78" i="16"/>
  <c r="AN78" i="16"/>
  <c r="Y78" i="16"/>
  <c r="J78" i="16"/>
  <c r="R78" i="16"/>
  <c r="L78" i="16"/>
  <c r="AD78" i="16"/>
  <c r="P78" i="16"/>
  <c r="AK78" i="16"/>
  <c r="AT78" i="16"/>
  <c r="AS78" i="16"/>
  <c r="AB78" i="16"/>
  <c r="AH78" i="16"/>
  <c r="AE78" i="16"/>
  <c r="AG78" i="16"/>
  <c r="F78" i="16"/>
  <c r="AM78" i="16"/>
  <c r="G78" i="16"/>
  <c r="AI78" i="16"/>
  <c r="Z78" i="16"/>
  <c r="N78" i="16"/>
  <c r="AJ78" i="16"/>
  <c r="K78" i="16"/>
  <c r="AC78" i="16"/>
  <c r="AQ78" i="16"/>
  <c r="AF78" i="16"/>
  <c r="D78" i="16"/>
  <c r="AU78" i="16"/>
  <c r="AP78" i="16"/>
  <c r="Q78" i="16"/>
  <c r="AL78" i="16"/>
  <c r="E78" i="16"/>
  <c r="AO78" i="16"/>
  <c r="M78" i="16"/>
  <c r="AR78" i="16"/>
  <c r="W78" i="16"/>
  <c r="S78" i="16"/>
  <c r="D52" i="17"/>
  <c r="H47" i="22"/>
  <c r="H73" i="22"/>
  <c r="H86" i="22"/>
  <c r="AW14" i="10"/>
  <c r="AW32" i="10" s="1"/>
  <c r="I19" i="9"/>
  <c r="AW33" i="10"/>
  <c r="AW28" i="10"/>
  <c r="AW26" i="10"/>
  <c r="AW16" i="10"/>
  <c r="AW17" i="10"/>
  <c r="AW27" i="10"/>
  <c r="AW21" i="10"/>
  <c r="N122" i="7"/>
  <c r="AN102" i="11"/>
  <c r="AP28" i="17"/>
  <c r="AP25" i="17" s="1"/>
  <c r="AQ169" i="17"/>
  <c r="AP148" i="17"/>
  <c r="E145" i="17"/>
  <c r="D27" i="17"/>
  <c r="Z26" i="17" s="1"/>
  <c r="V148" i="17"/>
  <c r="T102" i="11"/>
  <c r="T99" i="11" s="1"/>
  <c r="W169" i="17"/>
  <c r="V28" i="17"/>
  <c r="V25" i="17" s="1"/>
  <c r="N102" i="11"/>
  <c r="P28" i="17"/>
  <c r="P25" i="17" s="1"/>
  <c r="Q169" i="17"/>
  <c r="P148" i="17"/>
  <c r="AQ15" i="29"/>
  <c r="AQ25" i="29"/>
  <c r="AH25" i="29"/>
  <c r="AQ17" i="29"/>
  <c r="AH17" i="29"/>
  <c r="V215" i="17"/>
  <c r="AT215" i="17"/>
  <c r="W114" i="11"/>
  <c r="Y218" i="17"/>
  <c r="Z234" i="17"/>
  <c r="CB31" i="29"/>
  <c r="CA12" i="29"/>
  <c r="CB32" i="29"/>
  <c r="AI143" i="11"/>
  <c r="AK358" i="17"/>
  <c r="AK38" i="17"/>
  <c r="AK35" i="17" s="1"/>
  <c r="F143" i="11"/>
  <c r="F138" i="11" s="1"/>
  <c r="H358" i="17"/>
  <c r="X143" i="11"/>
  <c r="X138" i="11" s="1"/>
  <c r="Z358" i="17"/>
  <c r="Z38" i="17"/>
  <c r="Z35" i="17" s="1"/>
  <c r="Z159" i="11"/>
  <c r="AB428" i="17"/>
  <c r="AB53" i="17"/>
  <c r="AB50" i="17" s="1"/>
  <c r="E159" i="11"/>
  <c r="D473" i="17"/>
  <c r="G53" i="17"/>
  <c r="G428" i="17"/>
  <c r="I160" i="11"/>
  <c r="K428" i="17"/>
  <c r="AK425" i="17"/>
  <c r="AP121" i="7"/>
  <c r="T45" i="17"/>
  <c r="I46" i="22"/>
  <c r="I72" i="22"/>
  <c r="I85" i="22"/>
  <c r="F15" i="22"/>
  <c r="AX6" i="10"/>
  <c r="E8" i="22"/>
  <c r="AD6" i="10"/>
  <c r="G15" i="22"/>
  <c r="BK6" i="10"/>
  <c r="F148" i="17"/>
  <c r="G169" i="17"/>
  <c r="D102" i="11"/>
  <c r="F28" i="17"/>
  <c r="F25" i="17" s="1"/>
  <c r="P102" i="11"/>
  <c r="S169" i="17"/>
  <c r="R148" i="17"/>
  <c r="R28" i="17"/>
  <c r="R25" i="17" s="1"/>
  <c r="AK102" i="11"/>
  <c r="AM148" i="17"/>
  <c r="AN169" i="17"/>
  <c r="AM28" i="17"/>
  <c r="AM25" i="17" s="1"/>
  <c r="AE215" i="17"/>
  <c r="AO215" i="17"/>
  <c r="T115" i="11"/>
  <c r="S355" i="17"/>
  <c r="B64" i="11"/>
  <c r="E59" i="11"/>
  <c r="W425" i="17"/>
  <c r="T160" i="11"/>
  <c r="T151" i="11" s="1"/>
  <c r="V428" i="17"/>
  <c r="AT160" i="11"/>
  <c r="AT151" i="11" s="1"/>
  <c r="AV428" i="17"/>
  <c r="AV58" i="17"/>
  <c r="AV55" i="17" s="1"/>
  <c r="L149" i="19"/>
  <c r="N141" i="19"/>
  <c r="L141" i="19" s="1"/>
  <c r="L142" i="19"/>
  <c r="L150" i="19"/>
  <c r="R142" i="19"/>
  <c r="AT41" i="17"/>
  <c r="AI41" i="17"/>
  <c r="O41" i="17"/>
  <c r="AD41" i="17"/>
  <c r="AJ41" i="17"/>
  <c r="AE41" i="17"/>
  <c r="Y41" i="17"/>
  <c r="AP41" i="17"/>
  <c r="H46" i="17"/>
  <c r="N46" i="17"/>
  <c r="AK46" i="17"/>
  <c r="AF46" i="17"/>
  <c r="M46" i="17"/>
  <c r="W46" i="17"/>
  <c r="Y46" i="17"/>
  <c r="AA46" i="17"/>
  <c r="K46" i="17"/>
  <c r="P46" i="17"/>
  <c r="R46" i="17"/>
  <c r="G46" i="17"/>
  <c r="AB46" i="17"/>
  <c r="AL46" i="17"/>
  <c r="AU46" i="17"/>
  <c r="F46" i="17"/>
  <c r="AR46" i="17"/>
  <c r="V46" i="17"/>
  <c r="E46" i="17"/>
  <c r="AO46" i="17"/>
  <c r="Z46" i="17"/>
  <c r="AT46" i="17"/>
  <c r="S46" i="17"/>
  <c r="AQ46" i="17"/>
  <c r="Q46" i="17"/>
  <c r="AC121" i="7"/>
  <c r="T70" i="17"/>
  <c r="AV145" i="17"/>
  <c r="J145" i="17"/>
  <c r="AC102" i="11"/>
  <c r="AE169" i="17"/>
  <c r="AF169" i="17"/>
  <c r="AE148" i="17"/>
  <c r="AE28" i="17"/>
  <c r="AE25" i="17" s="1"/>
  <c r="I102" i="11"/>
  <c r="K148" i="17"/>
  <c r="L169" i="17"/>
  <c r="K28" i="17"/>
  <c r="K25" i="17" s="1"/>
  <c r="U102" i="11"/>
  <c r="W148" i="17"/>
  <c r="W28" i="17"/>
  <c r="W25" i="17" s="1"/>
  <c r="X169" i="17"/>
  <c r="BF20" i="29"/>
  <c r="BE20" i="29" s="1"/>
  <c r="BE24" i="29"/>
  <c r="K215" i="17"/>
  <c r="AE114" i="11"/>
  <c r="AH234" i="17"/>
  <c r="AG218" i="17"/>
  <c r="E215" i="17"/>
  <c r="AI215" i="17"/>
  <c r="L114" i="11"/>
  <c r="N218" i="17"/>
  <c r="O234" i="17"/>
  <c r="N234" i="17"/>
  <c r="N115" i="11"/>
  <c r="S115" i="11"/>
  <c r="X115" i="11"/>
  <c r="W84" i="17"/>
  <c r="AN355" i="17"/>
  <c r="AB355" i="17"/>
  <c r="AU425" i="17"/>
  <c r="N425" i="17"/>
  <c r="C160" i="11"/>
  <c r="E428" i="17"/>
  <c r="D478" i="17"/>
  <c r="E58" i="17"/>
  <c r="Q145" i="19"/>
  <c r="Q151" i="19"/>
  <c r="Q148" i="19"/>
  <c r="Q149" i="19"/>
  <c r="Q147" i="19"/>
  <c r="Q142" i="19"/>
  <c r="Q146" i="19"/>
  <c r="Q143" i="19"/>
  <c r="Q150" i="19"/>
  <c r="O133" i="19"/>
  <c r="CD26" i="10"/>
  <c r="CD27" i="10"/>
  <c r="CD16" i="10"/>
  <c r="CD33" i="10"/>
  <c r="CD28" i="10"/>
  <c r="CD17" i="10"/>
  <c r="CD21" i="10"/>
  <c r="CD14" i="10"/>
  <c r="L13" i="9"/>
  <c r="T431" i="17"/>
  <c r="G431" i="17"/>
  <c r="AR431" i="17"/>
  <c r="F431" i="17"/>
  <c r="W431" i="17"/>
  <c r="V431" i="17"/>
  <c r="K431" i="17"/>
  <c r="AM431" i="17"/>
  <c r="R431" i="17"/>
  <c r="AC431" i="17"/>
  <c r="AB431" i="17"/>
  <c r="S431" i="17"/>
  <c r="I431" i="17"/>
  <c r="X431" i="17"/>
  <c r="AS431" i="17"/>
  <c r="AK431" i="17"/>
  <c r="AD431" i="17"/>
  <c r="O431" i="17"/>
  <c r="AL431" i="17"/>
  <c r="H431" i="17"/>
  <c r="D430" i="17"/>
  <c r="L144" i="9" s="1"/>
  <c r="N431" i="17"/>
  <c r="AQ431" i="17"/>
  <c r="AV431" i="17"/>
  <c r="AU431" i="17"/>
  <c r="AF431" i="17"/>
  <c r="AA431" i="17"/>
  <c r="AP431" i="17"/>
  <c r="L431" i="17"/>
  <c r="J431" i="17"/>
  <c r="AH431" i="17"/>
  <c r="E431" i="17"/>
  <c r="AO431" i="17"/>
  <c r="P431" i="17"/>
  <c r="Q431" i="17"/>
  <c r="Z431" i="17"/>
  <c r="AJ431" i="17"/>
  <c r="M431" i="17"/>
  <c r="AE431" i="17"/>
  <c r="AT431" i="17"/>
  <c r="Y431" i="17"/>
  <c r="AG431" i="17"/>
  <c r="AI431" i="17"/>
  <c r="AL70" i="17"/>
  <c r="U145" i="17"/>
  <c r="Q145" i="17"/>
  <c r="AF145" i="17"/>
  <c r="AV215" i="17"/>
  <c r="Y114" i="11"/>
  <c r="AB234" i="17"/>
  <c r="AA218" i="17"/>
  <c r="D114" i="11"/>
  <c r="F218" i="17"/>
  <c r="G234" i="17"/>
  <c r="AP215" i="17"/>
  <c r="F114" i="11"/>
  <c r="H218" i="17"/>
  <c r="H234" i="17"/>
  <c r="I234" i="17"/>
  <c r="I215" i="17"/>
  <c r="AD115" i="11"/>
  <c r="AB115" i="11"/>
  <c r="AD28" i="17"/>
  <c r="AD25" i="17" s="1"/>
  <c r="T355" i="17"/>
  <c r="AB143" i="11"/>
  <c r="AB138" i="11" s="1"/>
  <c r="AD38" i="17"/>
  <c r="AD35" i="17" s="1"/>
  <c r="AD358" i="17"/>
  <c r="AR355" i="17"/>
  <c r="AG425" i="17"/>
  <c r="AL425" i="17"/>
  <c r="AQ160" i="11"/>
  <c r="AS58" i="17"/>
  <c r="AS55" i="17" s="1"/>
  <c r="Z160" i="11"/>
  <c r="AB58" i="17"/>
  <c r="AB55" i="17" s="1"/>
  <c r="P58" i="17"/>
  <c r="P55" i="17" s="1"/>
  <c r="N160" i="11"/>
  <c r="AN160" i="11"/>
  <c r="AP58" i="17"/>
  <c r="AP55" i="17" s="1"/>
  <c r="AP428" i="17"/>
  <c r="S160" i="11"/>
  <c r="U58" i="17"/>
  <c r="U55" i="17" s="1"/>
  <c r="U428" i="17"/>
  <c r="J16" i="17"/>
  <c r="I16" i="17"/>
  <c r="E172" i="19"/>
  <c r="C172" i="19" s="1"/>
  <c r="AV75" i="17"/>
  <c r="AI76" i="17"/>
  <c r="M16" i="17"/>
  <c r="W16" i="17"/>
  <c r="E166" i="19"/>
  <c r="G166" i="19" s="1"/>
  <c r="AL55" i="17"/>
  <c r="AQ26" i="17"/>
  <c r="AH33" i="11"/>
  <c r="AH6" i="11" s="1"/>
  <c r="CA28" i="29"/>
  <c r="CA19" i="29"/>
  <c r="CA11" i="29"/>
  <c r="BC17" i="29"/>
  <c r="BC25" i="29"/>
  <c r="BC24" i="29"/>
  <c r="O286" i="17"/>
  <c r="B121" i="11"/>
  <c r="H33" i="11"/>
  <c r="AL33" i="11"/>
  <c r="AH56" i="17"/>
  <c r="X123" i="7"/>
  <c r="D33" i="17"/>
  <c r="D30" i="17" s="1"/>
  <c r="BE16" i="29"/>
  <c r="BE19" i="29"/>
  <c r="BE18" i="29"/>
  <c r="AS33" i="11"/>
  <c r="AU36" i="17"/>
  <c r="D122" i="7"/>
  <c r="S33" i="11"/>
  <c r="B340" i="17"/>
  <c r="C66" i="15"/>
  <c r="AB120" i="7"/>
  <c r="AJ18" i="17"/>
  <c r="AJ15" i="17" s="1"/>
  <c r="AH87" i="11"/>
  <c r="AK89" i="17"/>
  <c r="AJ89" i="17"/>
  <c r="AJ79" i="17" s="1"/>
  <c r="D49" i="22"/>
  <c r="CF6" i="10"/>
  <c r="I10" i="22"/>
  <c r="U71" i="17"/>
  <c r="P71" i="17"/>
  <c r="AU71" i="17"/>
  <c r="J71" i="17"/>
  <c r="L71" i="17"/>
  <c r="AJ71" i="17"/>
  <c r="T71" i="17"/>
  <c r="AT71" i="17"/>
  <c r="B135" i="11"/>
  <c r="G125" i="11"/>
  <c r="AJ6" i="10"/>
  <c r="E14" i="22"/>
  <c r="BP6" i="10"/>
  <c r="H7" i="22"/>
  <c r="W102" i="11"/>
  <c r="Y148" i="17"/>
  <c r="Z169" i="17"/>
  <c r="Y28" i="17"/>
  <c r="Y25" i="17" s="1"/>
  <c r="Y169" i="17"/>
  <c r="AP145" i="17"/>
  <c r="C102" i="11"/>
  <c r="E148" i="17"/>
  <c r="E28" i="17"/>
  <c r="E169" i="17"/>
  <c r="F169" i="17"/>
  <c r="D168" i="17"/>
  <c r="AO102" i="11"/>
  <c r="AQ148" i="17"/>
  <c r="AQ28" i="17"/>
  <c r="AQ25" i="17" s="1"/>
  <c r="AR169" i="17"/>
  <c r="AF102" i="11"/>
  <c r="AF99" i="11" s="1"/>
  <c r="AI169" i="17"/>
  <c r="AH148" i="17"/>
  <c r="AH28" i="17"/>
  <c r="AH25" i="17" s="1"/>
  <c r="AQ28" i="29"/>
  <c r="AH28" i="29"/>
  <c r="AQ9" i="29"/>
  <c r="AG6" i="29"/>
  <c r="AJ215" i="17"/>
  <c r="M114" i="11"/>
  <c r="O23" i="17"/>
  <c r="P234" i="17"/>
  <c r="O218" i="17"/>
  <c r="AI114" i="11"/>
  <c r="AK218" i="17"/>
  <c r="AL234" i="17"/>
  <c r="V114" i="11"/>
  <c r="Y234" i="17"/>
  <c r="X234" i="17"/>
  <c r="X218" i="17"/>
  <c r="Y215" i="17"/>
  <c r="D115" i="11"/>
  <c r="M115" i="11"/>
  <c r="AR115" i="11"/>
  <c r="AT28" i="17"/>
  <c r="AT25" i="17" s="1"/>
  <c r="CA15" i="29"/>
  <c r="AM38" i="17"/>
  <c r="AM35" i="17" s="1"/>
  <c r="AK143" i="11"/>
  <c r="AM358" i="17"/>
  <c r="Z355" i="17"/>
  <c r="AS425" i="17"/>
  <c r="E72" i="11"/>
  <c r="B80" i="11"/>
  <c r="P160" i="11"/>
  <c r="P151" i="11" s="1"/>
  <c r="R58" i="17"/>
  <c r="R55" i="17" s="1"/>
  <c r="R428" i="17"/>
  <c r="F425" i="17"/>
  <c r="BC33" i="29"/>
  <c r="BC21" i="29"/>
  <c r="BC23" i="29"/>
  <c r="BC22" i="29"/>
  <c r="AG8" i="29"/>
  <c r="G53" i="22"/>
  <c r="G79" i="22"/>
  <c r="G92" i="22"/>
  <c r="CH14" i="10"/>
  <c r="CH32" i="10" s="1"/>
  <c r="CH21" i="10"/>
  <c r="L17" i="9"/>
  <c r="CH27" i="10"/>
  <c r="CH26" i="10"/>
  <c r="CH33" i="10"/>
  <c r="CH16" i="10"/>
  <c r="CH28" i="10"/>
  <c r="CH17" i="10"/>
  <c r="F12" i="22"/>
  <c r="AU6" i="10"/>
  <c r="G121" i="7"/>
  <c r="AG121" i="7"/>
  <c r="CC14" i="10"/>
  <c r="CC28" i="10"/>
  <c r="CC16" i="10"/>
  <c r="CC33" i="10"/>
  <c r="CC17" i="10"/>
  <c r="CC21" i="10"/>
  <c r="L12" i="9"/>
  <c r="CC26" i="10"/>
  <c r="CC27" i="10"/>
  <c r="I286" i="17"/>
  <c r="AI286" i="17"/>
  <c r="U286" i="17"/>
  <c r="X286" i="17"/>
  <c r="AS286" i="17"/>
  <c r="K286" i="17"/>
  <c r="AQ286" i="17"/>
  <c r="Q286" i="17"/>
  <c r="AP286" i="17"/>
  <c r="H286" i="17"/>
  <c r="W286" i="17"/>
  <c r="AR286" i="17"/>
  <c r="AO286" i="17"/>
  <c r="AF286" i="17"/>
  <c r="AE286" i="17"/>
  <c r="G286" i="17"/>
  <c r="AL286" i="17"/>
  <c r="P286" i="17"/>
  <c r="AM286" i="17"/>
  <c r="N286" i="17"/>
  <c r="L286" i="17"/>
  <c r="AC286" i="17"/>
  <c r="R286" i="17"/>
  <c r="D285" i="17"/>
  <c r="J286" i="17"/>
  <c r="AK286" i="17"/>
  <c r="AU286" i="17"/>
  <c r="AB286" i="17"/>
  <c r="AG286" i="17"/>
  <c r="AT286" i="17"/>
  <c r="F286" i="17"/>
  <c r="E286" i="17"/>
  <c r="S286" i="17"/>
  <c r="B129" i="11"/>
  <c r="R125" i="11"/>
  <c r="AG6" i="10"/>
  <c r="E11" i="22"/>
  <c r="G102" i="11"/>
  <c r="I148" i="17"/>
  <c r="I169" i="17"/>
  <c r="J169" i="17"/>
  <c r="I28" i="17"/>
  <c r="I25" i="17" s="1"/>
  <c r="X102" i="11"/>
  <c r="X99" i="11" s="1"/>
  <c r="AA169" i="17"/>
  <c r="Z28" i="17"/>
  <c r="Z25" i="17" s="1"/>
  <c r="P215" i="17"/>
  <c r="AJ114" i="11"/>
  <c r="AL218" i="17"/>
  <c r="AM234" i="17"/>
  <c r="J215" i="17"/>
  <c r="AL114" i="11"/>
  <c r="AN218" i="17"/>
  <c r="AO234" i="17"/>
  <c r="AO24" i="17" s="1"/>
  <c r="AN234" i="17"/>
  <c r="O115" i="11"/>
  <c r="R239" i="17"/>
  <c r="X355" i="17"/>
  <c r="D385" i="17"/>
  <c r="D357" i="17"/>
  <c r="W143" i="11"/>
  <c r="Y38" i="17"/>
  <c r="Y35" i="17" s="1"/>
  <c r="Y358" i="17"/>
  <c r="J143" i="11"/>
  <c r="L358" i="17"/>
  <c r="L38" i="17"/>
  <c r="L35" i="17" s="1"/>
  <c r="AL355" i="17"/>
  <c r="Q355" i="17"/>
  <c r="AR425" i="17"/>
  <c r="AH425" i="17"/>
  <c r="M425" i="17"/>
  <c r="AM425" i="17"/>
  <c r="V425" i="17"/>
  <c r="Y160" i="11"/>
  <c r="Y151" i="11" s="1"/>
  <c r="AA428" i="17"/>
  <c r="H160" i="11"/>
  <c r="H151" i="11" s="1"/>
  <c r="J58" i="17"/>
  <c r="J55" i="17" s="1"/>
  <c r="J428" i="17"/>
  <c r="AJ425" i="17"/>
  <c r="M160" i="11"/>
  <c r="M151" i="11" s="1"/>
  <c r="O428" i="17"/>
  <c r="O58" i="17"/>
  <c r="O55" i="17" s="1"/>
  <c r="B128" i="11"/>
  <c r="R16" i="19"/>
  <c r="T5" i="19"/>
  <c r="I5" i="19"/>
  <c r="E33" i="4"/>
  <c r="L148" i="19"/>
  <c r="L145" i="19"/>
  <c r="R148" i="19"/>
  <c r="R150" i="19"/>
  <c r="AI87" i="11"/>
  <c r="AL89" i="17"/>
  <c r="AK18" i="17"/>
  <c r="AK15" i="17" s="1"/>
  <c r="AF89" i="17"/>
  <c r="AF18" i="17"/>
  <c r="AF15" i="17" s="1"/>
  <c r="AD87" i="11"/>
  <c r="AG89" i="17"/>
  <c r="AK148" i="17"/>
  <c r="AI102" i="11"/>
  <c r="AI99" i="11" s="1"/>
  <c r="AK28" i="17"/>
  <c r="AK25" i="17" s="1"/>
  <c r="AL169" i="17"/>
  <c r="AK169" i="17"/>
  <c r="BE23" i="29"/>
  <c r="BE22" i="29"/>
  <c r="BE21" i="29"/>
  <c r="BE33" i="29"/>
  <c r="AD114" i="11"/>
  <c r="AF218" i="17"/>
  <c r="AG234" i="17"/>
  <c r="AG215" i="17"/>
  <c r="AS114" i="11"/>
  <c r="AV234" i="17"/>
  <c r="AU218" i="17"/>
  <c r="D230" i="17"/>
  <c r="D217" i="17"/>
  <c r="AA216" i="17" s="1"/>
  <c r="N215" i="17"/>
  <c r="AE115" i="11"/>
  <c r="AL143" i="11"/>
  <c r="AL138" i="11" s="1"/>
  <c r="AN38" i="17"/>
  <c r="AN35" i="17" s="1"/>
  <c r="AN358" i="17"/>
  <c r="AO355" i="17"/>
  <c r="AC355" i="17"/>
  <c r="AC425" i="17"/>
  <c r="L425" i="17"/>
  <c r="AJ160" i="11"/>
  <c r="O160" i="11"/>
  <c r="O151" i="11" s="1"/>
  <c r="Q58" i="17"/>
  <c r="Q55" i="17" s="1"/>
  <c r="Q428" i="17"/>
  <c r="AO160" i="11"/>
  <c r="AQ428" i="17"/>
  <c r="Z425" i="17"/>
  <c r="B81" i="11"/>
  <c r="C72" i="11"/>
  <c r="AE425" i="17"/>
  <c r="T171" i="19"/>
  <c r="AF6" i="10"/>
  <c r="E10" i="22"/>
  <c r="K146" i="19"/>
  <c r="K149" i="19"/>
  <c r="K145" i="19"/>
  <c r="K142" i="19"/>
  <c r="K143" i="19"/>
  <c r="K147" i="19"/>
  <c r="K150" i="19"/>
  <c r="K151" i="19"/>
  <c r="K148" i="19"/>
  <c r="I133" i="19"/>
  <c r="I47" i="22"/>
  <c r="I73" i="22"/>
  <c r="I86" i="22"/>
  <c r="BA6" i="10"/>
  <c r="CF12" i="29" s="1"/>
  <c r="BG6" i="10"/>
  <c r="G11" i="22"/>
  <c r="AS22" i="29"/>
  <c r="AS23" i="29"/>
  <c r="AS21" i="29"/>
  <c r="AS33" i="29"/>
  <c r="BT16" i="29"/>
  <c r="CS4" i="29"/>
  <c r="BT11" i="29"/>
  <c r="BT27" i="29"/>
  <c r="BT19" i="29"/>
  <c r="BT17" i="29"/>
  <c r="BT28" i="29"/>
  <c r="BS6" i="29"/>
  <c r="BT15" i="29"/>
  <c r="BS7" i="29"/>
  <c r="BT25" i="29"/>
  <c r="BT18" i="29"/>
  <c r="BS5" i="29"/>
  <c r="AM102" i="11"/>
  <c r="AP169" i="17"/>
  <c r="AO28" i="17"/>
  <c r="AO25" i="17" s="1"/>
  <c r="AO148" i="17"/>
  <c r="M102" i="11"/>
  <c r="M99" i="11" s="1"/>
  <c r="O28" i="17"/>
  <c r="O25" i="17" s="1"/>
  <c r="O148" i="17"/>
  <c r="O169" i="17"/>
  <c r="P169" i="17"/>
  <c r="S102" i="11"/>
  <c r="U169" i="17"/>
  <c r="U148" i="17"/>
  <c r="V169" i="17"/>
  <c r="U28" i="17"/>
  <c r="U25" i="17" s="1"/>
  <c r="O102" i="11"/>
  <c r="Q28" i="17"/>
  <c r="Q25" i="17" s="1"/>
  <c r="R169" i="17"/>
  <c r="Q148" i="17"/>
  <c r="AA215" i="17"/>
  <c r="U215" i="17"/>
  <c r="AI115" i="11"/>
  <c r="I355" i="17"/>
  <c r="AG143" i="11"/>
  <c r="AI358" i="17"/>
  <c r="Y143" i="11"/>
  <c r="Y138" i="11" s="1"/>
  <c r="AA358" i="17"/>
  <c r="AA38" i="17"/>
  <c r="AA35" i="17" s="1"/>
  <c r="E160" i="11"/>
  <c r="G58" i="17"/>
  <c r="G55" i="17" s="1"/>
  <c r="CA37" i="29"/>
  <c r="CA18" i="29"/>
  <c r="CA38" i="29"/>
  <c r="AM58" i="17"/>
  <c r="AM55" i="17" s="1"/>
  <c r="BE11" i="29"/>
  <c r="BE27" i="29"/>
  <c r="B131" i="11"/>
  <c r="AA286" i="17"/>
  <c r="B117" i="11"/>
  <c r="AI35" i="17"/>
  <c r="AS9" i="29"/>
  <c r="D33" i="11"/>
  <c r="F33" i="11"/>
  <c r="AB33" i="11"/>
  <c r="BD6" i="10"/>
  <c r="G8" i="22"/>
  <c r="AV274" i="17"/>
  <c r="AU274" i="17"/>
  <c r="G274" i="17"/>
  <c r="V274" i="17"/>
  <c r="AC274" i="17"/>
  <c r="AW270" i="17"/>
  <c r="AW271" i="17" s="1"/>
  <c r="AW272" i="17" s="1"/>
  <c r="AW273" i="17" s="1"/>
  <c r="AW274" i="17" s="1"/>
  <c r="P274" i="17"/>
  <c r="O274" i="17"/>
  <c r="Z274" i="17"/>
  <c r="AG274" i="17"/>
  <c r="Q274" i="17"/>
  <c r="AB274" i="17"/>
  <c r="AJ274" i="17"/>
  <c r="S274" i="17"/>
  <c r="AL274" i="17"/>
  <c r="AK274" i="17"/>
  <c r="U274" i="17"/>
  <c r="K274" i="17"/>
  <c r="AA274" i="17"/>
  <c r="AN274" i="17"/>
  <c r="Y274" i="17"/>
  <c r="W274" i="17"/>
  <c r="AO274" i="17"/>
  <c r="X274" i="17"/>
  <c r="M274" i="17"/>
  <c r="T274" i="17"/>
  <c r="AP274" i="17"/>
  <c r="AD274" i="17"/>
  <c r="H274" i="17"/>
  <c r="AT274" i="17"/>
  <c r="AE274" i="17"/>
  <c r="I274" i="17"/>
  <c r="J274" i="17"/>
  <c r="AF274" i="17"/>
  <c r="AS274" i="17"/>
  <c r="L274" i="17"/>
  <c r="AI274" i="17"/>
  <c r="AR274" i="17"/>
  <c r="N274" i="17"/>
  <c r="AM274" i="17"/>
  <c r="AH274" i="17"/>
  <c r="R274" i="17"/>
  <c r="E274" i="17"/>
  <c r="AQ274" i="17"/>
  <c r="F274" i="17"/>
  <c r="G160" i="19"/>
  <c r="F160" i="19" s="1"/>
  <c r="H156" i="19"/>
  <c r="F156" i="19" s="1"/>
  <c r="S33" i="10"/>
  <c r="S21" i="10"/>
  <c r="S16" i="10"/>
  <c r="G15" i="9"/>
  <c r="S26" i="10"/>
  <c r="S28" i="10"/>
  <c r="S27" i="10"/>
  <c r="S14" i="10"/>
  <c r="S17" i="10"/>
  <c r="AB123" i="7"/>
  <c r="D165" i="17"/>
  <c r="D147" i="17"/>
  <c r="F146" i="17" s="1"/>
  <c r="V145" i="17"/>
  <c r="AH145" i="17"/>
  <c r="AQ16" i="29"/>
  <c r="AH16" i="29"/>
  <c r="AQ11" i="29"/>
  <c r="AH11" i="29"/>
  <c r="AQ33" i="29"/>
  <c r="AQ22" i="29"/>
  <c r="AQ21" i="29"/>
  <c r="AQ23" i="29"/>
  <c r="AG7" i="29"/>
  <c r="AO114" i="11"/>
  <c r="AQ218" i="17"/>
  <c r="AR234" i="17"/>
  <c r="O215" i="17"/>
  <c r="AK215" i="17"/>
  <c r="X215" i="17"/>
  <c r="AR114" i="11"/>
  <c r="AT218" i="17"/>
  <c r="AU234" i="17"/>
  <c r="AT234" i="17"/>
  <c r="AH115" i="11"/>
  <c r="AJ28" i="17"/>
  <c r="AJ25" i="17" s="1"/>
  <c r="AM115" i="11"/>
  <c r="CA23" i="29"/>
  <c r="CA33" i="29"/>
  <c r="CA21" i="29"/>
  <c r="CA22" i="29"/>
  <c r="AJ355" i="17"/>
  <c r="AR143" i="11"/>
  <c r="AR138" i="11" s="1"/>
  <c r="AT358" i="17"/>
  <c r="AH356" i="17"/>
  <c r="AH355" i="17"/>
  <c r="M355" i="17"/>
  <c r="AM355" i="17"/>
  <c r="AB425" i="17"/>
  <c r="AP160" i="11"/>
  <c r="AR58" i="17"/>
  <c r="AR55" i="17" s="1"/>
  <c r="AF425" i="17"/>
  <c r="K425" i="17"/>
  <c r="R160" i="11"/>
  <c r="T58" i="17"/>
  <c r="T55" i="17" s="1"/>
  <c r="T428" i="17"/>
  <c r="J19" i="9"/>
  <c r="BJ21" i="10"/>
  <c r="BJ14" i="10"/>
  <c r="BJ32" i="10" s="1"/>
  <c r="BJ16" i="10"/>
  <c r="BJ33" i="10"/>
  <c r="BJ28" i="10"/>
  <c r="BJ27" i="10"/>
  <c r="BJ17" i="10"/>
  <c r="BJ26" i="10"/>
  <c r="I90" i="22"/>
  <c r="I77" i="22"/>
  <c r="I51" i="22"/>
  <c r="D304" i="17"/>
  <c r="H70" i="17"/>
  <c r="H13" i="17"/>
  <c r="H10" i="17" s="1"/>
  <c r="E70" i="17"/>
  <c r="H18" i="22"/>
  <c r="CA6" i="10"/>
  <c r="O79" i="21"/>
  <c r="S121" i="7"/>
  <c r="B101" i="11"/>
  <c r="AM119" i="7"/>
  <c r="I145" i="17"/>
  <c r="Z145" i="17"/>
  <c r="AU145" i="17"/>
  <c r="AA145" i="17"/>
  <c r="R145" i="17"/>
  <c r="AM145" i="17"/>
  <c r="AL215" i="17"/>
  <c r="O114" i="11"/>
  <c r="O112" i="11" s="1"/>
  <c r="Q218" i="17"/>
  <c r="R234" i="17"/>
  <c r="AC114" i="11"/>
  <c r="AE218" i="17"/>
  <c r="AF234" i="17"/>
  <c r="AN215" i="17"/>
  <c r="Q114" i="11"/>
  <c r="T234" i="17"/>
  <c r="S234" i="17"/>
  <c r="S218" i="17"/>
  <c r="AM114" i="11"/>
  <c r="AO218" i="17"/>
  <c r="AP234" i="17"/>
  <c r="H115" i="11"/>
  <c r="AL115" i="11"/>
  <c r="AO239" i="17"/>
  <c r="Q143" i="11"/>
  <c r="Q138" i="11" s="1"/>
  <c r="S358" i="17"/>
  <c r="J356" i="17"/>
  <c r="J355" i="17"/>
  <c r="X358" i="17"/>
  <c r="V143" i="11"/>
  <c r="V138" i="11" s="1"/>
  <c r="E143" i="11"/>
  <c r="G38" i="17"/>
  <c r="G358" i="17"/>
  <c r="D388" i="17"/>
  <c r="L7" i="17"/>
  <c r="AJ143" i="11"/>
  <c r="AJ138" i="11" s="1"/>
  <c r="AL358" i="17"/>
  <c r="AL38" i="17"/>
  <c r="AL35" i="17" s="1"/>
  <c r="O143" i="11"/>
  <c r="O138" i="11" s="1"/>
  <c r="Q358" i="17"/>
  <c r="Q38" i="17"/>
  <c r="Q35" i="17" s="1"/>
  <c r="AP159" i="11"/>
  <c r="AR53" i="17"/>
  <c r="AR50" i="17" s="1"/>
  <c r="AR428" i="17"/>
  <c r="U159" i="11"/>
  <c r="W428" i="17"/>
  <c r="W53" i="17"/>
  <c r="W50" i="17" s="1"/>
  <c r="AF160" i="11"/>
  <c r="AF151" i="11" s="1"/>
  <c r="AH428" i="17"/>
  <c r="AH58" i="17"/>
  <c r="AH55" i="17" s="1"/>
  <c r="K160" i="11"/>
  <c r="K151" i="11" s="1"/>
  <c r="M428" i="17"/>
  <c r="M58" i="17"/>
  <c r="M55" i="17" s="1"/>
  <c r="AV425" i="17"/>
  <c r="AA425" i="17"/>
  <c r="J425" i="17"/>
  <c r="O425" i="17"/>
  <c r="I18" i="22"/>
  <c r="CN6" i="10"/>
  <c r="O97" i="21"/>
  <c r="D433" i="17"/>
  <c r="Q165" i="19"/>
  <c r="Q173" i="19"/>
  <c r="O173" i="19" s="1"/>
  <c r="Q172" i="19"/>
  <c r="O172" i="19" s="1"/>
  <c r="Q168" i="19"/>
  <c r="Q171" i="19"/>
  <c r="O171" i="19" s="1"/>
  <c r="Q166" i="19"/>
  <c r="Q167" i="19"/>
  <c r="Q174" i="19"/>
  <c r="O174" i="19" s="1"/>
  <c r="L151" i="19"/>
  <c r="L146" i="19"/>
  <c r="R146" i="19"/>
  <c r="AM123" i="7"/>
  <c r="W121" i="7"/>
  <c r="AV28" i="17"/>
  <c r="AV25" i="17" s="1"/>
  <c r="AT102" i="11"/>
  <c r="AV148" i="17"/>
  <c r="H102" i="11"/>
  <c r="H99" i="11" s="1"/>
  <c r="J28" i="17"/>
  <c r="J25" i="17" s="1"/>
  <c r="J148" i="17"/>
  <c r="K169" i="17"/>
  <c r="AE102" i="11"/>
  <c r="AE99" i="11" s="1"/>
  <c r="AG28" i="17"/>
  <c r="AG25" i="17" s="1"/>
  <c r="AG148" i="17"/>
  <c r="AH169" i="17"/>
  <c r="W145" i="17"/>
  <c r="CE6" i="29"/>
  <c r="CF15" i="29"/>
  <c r="CF13" i="29"/>
  <c r="DE4" i="29"/>
  <c r="CF25" i="29"/>
  <c r="CF24" i="29"/>
  <c r="CF27" i="29"/>
  <c r="CF11" i="29"/>
  <c r="CE8" i="29"/>
  <c r="CF16" i="29"/>
  <c r="CF18" i="29"/>
  <c r="CF19" i="29"/>
  <c r="CF28" i="29"/>
  <c r="CF17" i="29"/>
  <c r="BE15" i="29"/>
  <c r="I114" i="11"/>
  <c r="L234" i="17"/>
  <c r="K218" i="17"/>
  <c r="AU215" i="17"/>
  <c r="AU216" i="17"/>
  <c r="X114" i="11"/>
  <c r="Z218" i="17"/>
  <c r="AA234" i="17"/>
  <c r="B35" i="11"/>
  <c r="C33" i="11"/>
  <c r="AJ115" i="11"/>
  <c r="AS115" i="11"/>
  <c r="G115" i="11"/>
  <c r="AG115" i="11"/>
  <c r="AI28" i="17"/>
  <c r="AI239" i="17"/>
  <c r="V69" i="17"/>
  <c r="AS143" i="11"/>
  <c r="AS138" i="11" s="1"/>
  <c r="AU358" i="17"/>
  <c r="AU38" i="17"/>
  <c r="AU35" i="17" s="1"/>
  <c r="P143" i="11"/>
  <c r="P138" i="11" s="1"/>
  <c r="R358" i="17"/>
  <c r="R38" i="17"/>
  <c r="R35" i="17" s="1"/>
  <c r="U143" i="11"/>
  <c r="U138" i="11" s="1"/>
  <c r="W358" i="17"/>
  <c r="AM143" i="11"/>
  <c r="AM138" i="11" s="1"/>
  <c r="AO358" i="17"/>
  <c r="AO38" i="17"/>
  <c r="AO35" i="17" s="1"/>
  <c r="Z143" i="11"/>
  <c r="Z138" i="11" s="1"/>
  <c r="AB358" i="17"/>
  <c r="AB38" i="17"/>
  <c r="AB35" i="17" s="1"/>
  <c r="I143" i="11"/>
  <c r="I138" i="11" s="1"/>
  <c r="K358" i="17"/>
  <c r="K38" i="17"/>
  <c r="K35" i="17" s="1"/>
  <c r="AA143" i="11"/>
  <c r="AA138" i="11" s="1"/>
  <c r="AC358" i="17"/>
  <c r="AC38" i="17"/>
  <c r="AC35" i="17" s="1"/>
  <c r="G159" i="11"/>
  <c r="G151" i="11" s="1"/>
  <c r="I428" i="17"/>
  <c r="I53" i="17"/>
  <c r="I50" i="17" s="1"/>
  <c r="AA160" i="11"/>
  <c r="AA151" i="11" s="1"/>
  <c r="AC58" i="17"/>
  <c r="AC55" i="17" s="1"/>
  <c r="J160" i="11"/>
  <c r="J151" i="11" s="1"/>
  <c r="L58" i="17"/>
  <c r="L55" i="17" s="1"/>
  <c r="L428" i="17"/>
  <c r="X160" i="11"/>
  <c r="X151" i="11" s="1"/>
  <c r="Z428" i="17"/>
  <c r="Z58" i="17"/>
  <c r="Z55" i="17" s="1"/>
  <c r="E425" i="17"/>
  <c r="K172" i="19"/>
  <c r="I172" i="19" s="1"/>
  <c r="K168" i="19"/>
  <c r="K167" i="19"/>
  <c r="K173" i="19"/>
  <c r="I173" i="19" s="1"/>
  <c r="K171" i="19"/>
  <c r="I171" i="19" s="1"/>
  <c r="K174" i="19"/>
  <c r="K165" i="19"/>
  <c r="K166" i="19"/>
  <c r="K169" i="19"/>
  <c r="I169" i="19" s="1"/>
  <c r="M87" i="11"/>
  <c r="P89" i="17"/>
  <c r="O18" i="17"/>
  <c r="O15" i="17" s="1"/>
  <c r="O78" i="17"/>
  <c r="X18" i="17"/>
  <c r="X15" i="17" s="1"/>
  <c r="V87" i="11"/>
  <c r="S13" i="17"/>
  <c r="S10" i="17" s="1"/>
  <c r="S70" i="17"/>
  <c r="AH121" i="7"/>
  <c r="AO145" i="17"/>
  <c r="AL28" i="17"/>
  <c r="AL25" i="17" s="1"/>
  <c r="AL148" i="17"/>
  <c r="AJ102" i="11"/>
  <c r="AM169" i="17"/>
  <c r="E102" i="11"/>
  <c r="E99" i="11" s="1"/>
  <c r="G148" i="17"/>
  <c r="G28" i="17"/>
  <c r="G25" i="17" s="1"/>
  <c r="H169" i="17"/>
  <c r="F215" i="17"/>
  <c r="R114" i="11"/>
  <c r="T218" i="17"/>
  <c r="U234" i="17"/>
  <c r="H215" i="17"/>
  <c r="AB114" i="11"/>
  <c r="AD218" i="17"/>
  <c r="AE234" i="17"/>
  <c r="AD234" i="17"/>
  <c r="R115" i="11"/>
  <c r="T28" i="17"/>
  <c r="T25" i="17" s="1"/>
  <c r="W115" i="11"/>
  <c r="R143" i="11"/>
  <c r="R138" i="11" s="1"/>
  <c r="T358" i="17"/>
  <c r="T38" i="17"/>
  <c r="T35" i="17" s="1"/>
  <c r="I358" i="17"/>
  <c r="I38" i="17"/>
  <c r="I35" i="17" s="1"/>
  <c r="G143" i="11"/>
  <c r="G138" i="11" s="1"/>
  <c r="AI355" i="17"/>
  <c r="T143" i="11"/>
  <c r="T138" i="11" s="1"/>
  <c r="V358" i="17"/>
  <c r="V38" i="17"/>
  <c r="V35" i="17" s="1"/>
  <c r="AA355" i="17"/>
  <c r="AA356" i="17"/>
  <c r="AS358" i="17"/>
  <c r="AS38" i="17"/>
  <c r="AS35" i="17" s="1"/>
  <c r="AQ143" i="11"/>
  <c r="AE159" i="11"/>
  <c r="AG428" i="17"/>
  <c r="AG53" i="17"/>
  <c r="AG50" i="17" s="1"/>
  <c r="N159" i="11"/>
  <c r="P428" i="17"/>
  <c r="P53" i="17"/>
  <c r="P50" i="17" s="1"/>
  <c r="AP425" i="17"/>
  <c r="U425" i="17"/>
  <c r="AS160" i="11"/>
  <c r="AU58" i="17"/>
  <c r="AU55" i="17" s="1"/>
  <c r="CA9" i="29"/>
  <c r="CA17" i="29"/>
  <c r="AS51" i="17"/>
  <c r="B36" i="11"/>
  <c r="AJ56" i="17"/>
  <c r="AJ286" i="17"/>
  <c r="U41" i="17"/>
  <c r="AE56" i="17"/>
  <c r="Q170" i="19"/>
  <c r="O170" i="19" s="1"/>
  <c r="AD286" i="17"/>
  <c r="D427" i="17"/>
  <c r="AP426" i="17" s="1"/>
  <c r="AJ361" i="17"/>
  <c r="H38" i="17"/>
  <c r="H35" i="17" s="1"/>
  <c r="AO361" i="17"/>
  <c r="AT33" i="11"/>
  <c r="G33" i="11"/>
  <c r="AR36" i="17"/>
  <c r="AJ72" i="11"/>
  <c r="BD20" i="29"/>
  <c r="D143" i="19"/>
  <c r="G16" i="14"/>
  <c r="K5" i="29"/>
  <c r="C6" i="14"/>
  <c r="C16" i="14" s="1"/>
  <c r="C9" i="31" s="1"/>
  <c r="P111" i="21"/>
  <c r="P109" i="21" s="1"/>
  <c r="J15" i="23"/>
  <c r="J22" i="23" s="1"/>
  <c r="H11" i="19"/>
  <c r="F11" i="19" s="1"/>
  <c r="AZ27" i="29"/>
  <c r="AY27" i="29" s="1"/>
  <c r="E174" i="19"/>
  <c r="AB24" i="29" s="1"/>
  <c r="E170" i="19"/>
  <c r="P57" i="21"/>
  <c r="P55" i="21" s="1"/>
  <c r="C156" i="19"/>
  <c r="E169" i="19"/>
  <c r="C169" i="19" s="1"/>
  <c r="E167" i="19"/>
  <c r="G167" i="19" s="1"/>
  <c r="Q111" i="21"/>
  <c r="Q109" i="21" s="1"/>
  <c r="AP27" i="29"/>
  <c r="AO27" i="29" s="1"/>
  <c r="AX27" i="29"/>
  <c r="AW27" i="29" s="1"/>
  <c r="AP88" i="11"/>
  <c r="AR23" i="17"/>
  <c r="AS94" i="17"/>
  <c r="AR78" i="17"/>
  <c r="K7" i="17"/>
  <c r="AP7" i="17"/>
  <c r="AV94" i="17"/>
  <c r="AS88" i="11"/>
  <c r="AU23" i="17"/>
  <c r="AU20" i="17" s="1"/>
  <c r="S88" i="11"/>
  <c r="V94" i="17"/>
  <c r="U23" i="17"/>
  <c r="U78" i="17"/>
  <c r="AA23" i="17"/>
  <c r="AA78" i="17"/>
  <c r="Y88" i="11"/>
  <c r="AB94" i="17"/>
  <c r="E89" i="19"/>
  <c r="C89" i="19" s="1"/>
  <c r="S20" i="17"/>
  <c r="X7" i="17"/>
  <c r="K118" i="7"/>
  <c r="AC23" i="17"/>
  <c r="AD94" i="17"/>
  <c r="AA88" i="11"/>
  <c r="AC78" i="17"/>
  <c r="G94" i="17"/>
  <c r="D88" i="11"/>
  <c r="F78" i="17"/>
  <c r="E118" i="7" s="1"/>
  <c r="F23" i="17"/>
  <c r="N23" i="17"/>
  <c r="N20" i="17" s="1"/>
  <c r="L88" i="11"/>
  <c r="O94" i="17"/>
  <c r="N94" i="17"/>
  <c r="AR7" i="17"/>
  <c r="AG94" i="17"/>
  <c r="AF23" i="17"/>
  <c r="AF78" i="17"/>
  <c r="AD88" i="11"/>
  <c r="L16" i="29"/>
  <c r="E33" i="19"/>
  <c r="C33" i="19" s="1"/>
  <c r="U88" i="11"/>
  <c r="W23" i="17"/>
  <c r="W20" i="17" s="1"/>
  <c r="X94" i="17"/>
  <c r="K25" i="29"/>
  <c r="H25" i="29"/>
  <c r="AM23" i="17"/>
  <c r="AN94" i="17"/>
  <c r="AM78" i="17"/>
  <c r="AK88" i="11"/>
  <c r="AU94" i="17"/>
  <c r="AT78" i="17"/>
  <c r="AS118" i="7" s="1"/>
  <c r="AR88" i="11"/>
  <c r="AT23" i="17"/>
  <c r="AL7" i="17"/>
  <c r="AV23" i="17"/>
  <c r="AV20" i="17" s="1"/>
  <c r="AT88" i="11"/>
  <c r="N7" i="17"/>
  <c r="E88" i="11"/>
  <c r="G23" i="17"/>
  <c r="G20" i="17" s="1"/>
  <c r="H94" i="17"/>
  <c r="Y23" i="17"/>
  <c r="Y20" i="17" s="1"/>
  <c r="W88" i="11"/>
  <c r="W86" i="11" s="1"/>
  <c r="Z94" i="17"/>
  <c r="AA94" i="17"/>
  <c r="X88" i="11"/>
  <c r="Z23" i="17"/>
  <c r="Z20" i="17" s="1"/>
  <c r="J94" i="17"/>
  <c r="G88" i="11"/>
  <c r="I23" i="17"/>
  <c r="I20" i="17" s="1"/>
  <c r="AO88" i="11"/>
  <c r="AR94" i="17"/>
  <c r="AQ23" i="17"/>
  <c r="AQ78" i="17"/>
  <c r="AP118" i="7" s="1"/>
  <c r="AC94" i="17"/>
  <c r="Z88" i="11"/>
  <c r="AB23" i="17"/>
  <c r="AB78" i="17"/>
  <c r="R7" i="17"/>
  <c r="AM7" i="17"/>
  <c r="AS7" i="17"/>
  <c r="H7" i="17"/>
  <c r="V7" i="17"/>
  <c r="D22" i="17"/>
  <c r="AP21" i="17" s="1"/>
  <c r="L20" i="17"/>
  <c r="AC7" i="17"/>
  <c r="Q94" i="17"/>
  <c r="P78" i="17"/>
  <c r="N88" i="11"/>
  <c r="P23" i="17"/>
  <c r="P94" i="17"/>
  <c r="T7" i="17"/>
  <c r="AL23" i="17"/>
  <c r="AJ88" i="11"/>
  <c r="AJ86" i="11" s="1"/>
  <c r="AL78" i="17"/>
  <c r="AM94" i="17"/>
  <c r="I76" i="17"/>
  <c r="N76" i="17"/>
  <c r="I7" i="17"/>
  <c r="AV27" i="29"/>
  <c r="AU27" i="29" s="1"/>
  <c r="AR27" i="29"/>
  <c r="AQ27" i="29" s="1"/>
  <c r="E19" i="19"/>
  <c r="C19" i="19" s="1"/>
  <c r="L15" i="29"/>
  <c r="T88" i="11"/>
  <c r="T86" i="11" s="1"/>
  <c r="V78" i="17"/>
  <c r="U118" i="7" s="1"/>
  <c r="V23" i="17"/>
  <c r="W94" i="17"/>
  <c r="K23" i="17"/>
  <c r="I88" i="11"/>
  <c r="K78" i="17"/>
  <c r="J118" i="7" s="1"/>
  <c r="L94" i="17"/>
  <c r="AA7" i="17"/>
  <c r="H88" i="11"/>
  <c r="J23" i="17"/>
  <c r="J78" i="17"/>
  <c r="K94" i="17"/>
  <c r="AB7" i="17"/>
  <c r="AP94" i="17"/>
  <c r="AP79" i="17" s="1"/>
  <c r="AM88" i="11"/>
  <c r="AO23" i="17"/>
  <c r="AO20" i="17" s="1"/>
  <c r="AF7" i="17"/>
  <c r="AN88" i="11"/>
  <c r="AP78" i="17"/>
  <c r="AQ94" i="17"/>
  <c r="AP23" i="17"/>
  <c r="U7" i="17"/>
  <c r="AQ7" i="17"/>
  <c r="AQ21" i="17"/>
  <c r="R23" i="17"/>
  <c r="P88" i="11"/>
  <c r="P86" i="11" s="1"/>
  <c r="S94" i="17"/>
  <c r="R78" i="17"/>
  <c r="Q118" i="7" s="1"/>
  <c r="AG20" i="17"/>
  <c r="Q23" i="17"/>
  <c r="Q20" i="17" s="1"/>
  <c r="O88" i="11"/>
  <c r="R94" i="17"/>
  <c r="AT94" i="17"/>
  <c r="AS23" i="17"/>
  <c r="AQ88" i="11"/>
  <c r="AS78" i="17"/>
  <c r="I94" i="17"/>
  <c r="H23" i="17"/>
  <c r="F88" i="11"/>
  <c r="H78" i="17"/>
  <c r="V88" i="11"/>
  <c r="X23" i="17"/>
  <c r="Y94" i="17"/>
  <c r="X78" i="17"/>
  <c r="F94" i="17"/>
  <c r="E23" i="17"/>
  <c r="C88" i="11"/>
  <c r="E94" i="17"/>
  <c r="E79" i="17" s="1"/>
  <c r="D93" i="17"/>
  <c r="AT7" i="17"/>
  <c r="AD20" i="17"/>
  <c r="AJ20" i="17"/>
  <c r="AE20" i="17"/>
  <c r="P21" i="17"/>
  <c r="P7" i="17"/>
  <c r="F7" i="17"/>
  <c r="T23" i="17"/>
  <c r="T78" i="17"/>
  <c r="R88" i="11"/>
  <c r="U94" i="17"/>
  <c r="AF94" i="17"/>
  <c r="Z7" i="17"/>
  <c r="Y7" i="17"/>
  <c r="AU78" i="17"/>
  <c r="AT118" i="7" s="1"/>
  <c r="B9" i="11"/>
  <c r="AT27" i="29"/>
  <c r="AS27" i="29" s="1"/>
  <c r="AV15" i="17"/>
  <c r="E365" i="20"/>
  <c r="I19" i="29"/>
  <c r="H19" i="29"/>
  <c r="N15" i="17"/>
  <c r="P118" i="7"/>
  <c r="AO15" i="17"/>
  <c r="AA16" i="17"/>
  <c r="AC16" i="17"/>
  <c r="AP16" i="17"/>
  <c r="R16" i="17"/>
  <c r="V16" i="17"/>
  <c r="AL16" i="17"/>
  <c r="T16" i="17"/>
  <c r="AB16" i="17"/>
  <c r="AM16" i="17"/>
  <c r="S16" i="17"/>
  <c r="F16" i="17"/>
  <c r="P16" i="17"/>
  <c r="U16" i="17"/>
  <c r="AQ16" i="17"/>
  <c r="H16" i="17"/>
  <c r="AH16" i="17"/>
  <c r="AS16" i="17"/>
  <c r="R21" i="21"/>
  <c r="H365" i="20"/>
  <c r="C22" i="4"/>
  <c r="X76" i="17"/>
  <c r="S76" i="17"/>
  <c r="Q76" i="17"/>
  <c r="F76" i="17"/>
  <c r="AJ76" i="17"/>
  <c r="P76" i="17"/>
  <c r="AR76" i="17"/>
  <c r="AT76" i="17"/>
  <c r="AL76" i="17"/>
  <c r="Q15" i="17"/>
  <c r="P6" i="10"/>
  <c r="Y15" i="17"/>
  <c r="AU76" i="17"/>
  <c r="AN15" i="17"/>
  <c r="F141" i="9"/>
  <c r="C138" i="9"/>
  <c r="C141" i="9" s="1"/>
  <c r="I15" i="17"/>
  <c r="G15" i="17"/>
  <c r="M118" i="7"/>
  <c r="Q127" i="20" a="1"/>
  <c r="Q127" i="20" s="1"/>
  <c r="Z15" i="17"/>
  <c r="J365" i="20"/>
  <c r="C139" i="9"/>
  <c r="L365" i="20"/>
  <c r="AH15" i="17"/>
  <c r="AU118" i="7"/>
  <c r="R127" i="20" a="1"/>
  <c r="R127" i="20" s="1"/>
  <c r="W15" i="17"/>
  <c r="E15" i="17"/>
  <c r="AU15" i="17"/>
  <c r="G365" i="20"/>
  <c r="Q57" i="21"/>
  <c r="Q55" i="21" s="1"/>
  <c r="E16" i="17"/>
  <c r="E20" i="26"/>
  <c r="G32" i="13"/>
  <c r="G64" i="13"/>
  <c r="H64" i="13" s="1"/>
  <c r="C34" i="13"/>
  <c r="C37" i="13" s="1"/>
  <c r="D37" i="13"/>
  <c r="C31" i="13"/>
  <c r="AK118" i="7" l="1"/>
  <c r="H216" i="17"/>
  <c r="AK216" i="17"/>
  <c r="S99" i="11"/>
  <c r="AK138" i="11"/>
  <c r="D75" i="22"/>
  <c r="P99" i="11"/>
  <c r="P85" i="11" s="1"/>
  <c r="P261" i="11" s="1"/>
  <c r="AN99" i="11"/>
  <c r="AM6" i="11"/>
  <c r="N172" i="19"/>
  <c r="L172" i="19" s="1"/>
  <c r="B20" i="11"/>
  <c r="L154" i="17"/>
  <c r="W154" i="17"/>
  <c r="U221" i="17"/>
  <c r="E125" i="11"/>
  <c r="P6" i="11"/>
  <c r="AC266" i="11"/>
  <c r="AL266" i="11"/>
  <c r="AP266" i="11"/>
  <c r="M207" i="20"/>
  <c r="M208" i="20" s="1"/>
  <c r="AO84" i="17"/>
  <c r="L84" i="17"/>
  <c r="D61" i="17"/>
  <c r="AO138" i="11"/>
  <c r="CM15" i="29"/>
  <c r="CM17" i="29"/>
  <c r="CM19" i="29"/>
  <c r="AO125" i="11"/>
  <c r="DN26" i="29"/>
  <c r="DN27" i="29"/>
  <c r="DN25" i="29"/>
  <c r="DM25" i="29" s="1"/>
  <c r="DN16" i="29"/>
  <c r="EM4" i="29"/>
  <c r="DN18" i="29"/>
  <c r="DN15" i="29"/>
  <c r="DM15" i="29" s="1"/>
  <c r="DN28" i="29"/>
  <c r="DM5" i="29"/>
  <c r="DN19" i="29"/>
  <c r="DM19" i="29" s="1"/>
  <c r="DM6" i="29"/>
  <c r="DM9" i="29" s="1"/>
  <c r="DM7" i="29"/>
  <c r="DN11" i="29"/>
  <c r="DM11" i="29" s="1"/>
  <c r="DN17" i="29"/>
  <c r="DM17" i="29" s="1"/>
  <c r="CM33" i="29"/>
  <c r="CM21" i="29"/>
  <c r="CM23" i="29"/>
  <c r="CM22" i="29"/>
  <c r="AU21" i="17"/>
  <c r="AJ6" i="11"/>
  <c r="AQ138" i="11"/>
  <c r="J138" i="11"/>
  <c r="X71" i="17"/>
  <c r="AN71" i="17"/>
  <c r="Q71" i="17"/>
  <c r="T13" i="17"/>
  <c r="T10" i="17" s="1"/>
  <c r="N167" i="19"/>
  <c r="L167" i="19" s="1"/>
  <c r="L239" i="17"/>
  <c r="AJ70" i="17"/>
  <c r="K138" i="11"/>
  <c r="E12" i="22"/>
  <c r="E90" i="22" s="1"/>
  <c r="I14" i="36"/>
  <c r="T79" i="17"/>
  <c r="R6" i="10"/>
  <c r="W221" i="17"/>
  <c r="AQ120" i="7"/>
  <c r="AU221" i="17"/>
  <c r="Z286" i="17"/>
  <c r="AK6" i="11"/>
  <c r="AS331" i="11"/>
  <c r="AR266" i="11"/>
  <c r="K331" i="11"/>
  <c r="S225" i="20"/>
  <c r="S226" i="20" s="1"/>
  <c r="AM331" i="11"/>
  <c r="Y266" i="11"/>
  <c r="U331" i="11"/>
  <c r="CO18" i="29"/>
  <c r="CO28" i="29"/>
  <c r="CO25" i="29"/>
  <c r="AQ331" i="11"/>
  <c r="P331" i="11"/>
  <c r="I207" i="20"/>
  <c r="I208" i="20" s="1"/>
  <c r="AK266" i="11"/>
  <c r="AO331" i="11"/>
  <c r="T331" i="11"/>
  <c r="AH286" i="17"/>
  <c r="AU84" i="17"/>
  <c r="AR99" i="11"/>
  <c r="T207" i="20"/>
  <c r="T208" i="20" s="1"/>
  <c r="F99" i="11"/>
  <c r="Q49" i="17"/>
  <c r="AI6" i="10"/>
  <c r="EN12" i="29"/>
  <c r="EN32" i="29" s="1"/>
  <c r="B89" i="11"/>
  <c r="R6" i="11"/>
  <c r="D259" i="17"/>
  <c r="I23" i="13"/>
  <c r="AI266" i="11"/>
  <c r="L331" i="11"/>
  <c r="M331" i="11"/>
  <c r="N331" i="11"/>
  <c r="AU331" i="11" s="1"/>
  <c r="AL331" i="11"/>
  <c r="E133" i="19"/>
  <c r="C133" i="19" s="1"/>
  <c r="CM28" i="29"/>
  <c r="CM9" i="29"/>
  <c r="CM26" i="29"/>
  <c r="CM11" i="29"/>
  <c r="AU305" i="11"/>
  <c r="C15" i="18"/>
  <c r="O24" i="17"/>
  <c r="T118" i="7"/>
  <c r="AP86" i="11"/>
  <c r="T24" i="17"/>
  <c r="R151" i="11"/>
  <c r="AO151" i="11"/>
  <c r="G99" i="11"/>
  <c r="S151" i="11"/>
  <c r="AL13" i="17"/>
  <c r="G33" i="4"/>
  <c r="AI151" i="11"/>
  <c r="P112" i="11"/>
  <c r="AT149" i="17"/>
  <c r="AG120" i="7"/>
  <c r="AQ154" i="17"/>
  <c r="N121" i="7"/>
  <c r="N221" i="17"/>
  <c r="AJ125" i="11"/>
  <c r="AO79" i="17"/>
  <c r="B46" i="11"/>
  <c r="V125" i="11"/>
  <c r="S221" i="17"/>
  <c r="G266" i="11"/>
  <c r="F266" i="11"/>
  <c r="R225" i="20"/>
  <c r="R226" i="20" s="1"/>
  <c r="AM49" i="17"/>
  <c r="AD266" i="11"/>
  <c r="W49" i="17"/>
  <c r="M266" i="11"/>
  <c r="AA99" i="11"/>
  <c r="R49" i="17"/>
  <c r="L49" i="17"/>
  <c r="AD49" i="17"/>
  <c r="S119" i="7"/>
  <c r="B119" i="11"/>
  <c r="AK49" i="17"/>
  <c r="AP122" i="7"/>
  <c r="AN123" i="7"/>
  <c r="X266" i="11"/>
  <c r="AC331" i="11"/>
  <c r="O331" i="11"/>
  <c r="R331" i="11"/>
  <c r="CM27" i="29"/>
  <c r="CM25" i="29"/>
  <c r="CM16" i="29"/>
  <c r="G13" i="22"/>
  <c r="BI6" i="10"/>
  <c r="E76" i="17"/>
  <c r="AQ76" i="17"/>
  <c r="AK76" i="17"/>
  <c r="C20" i="4"/>
  <c r="K16" i="17"/>
  <c r="AE16" i="17"/>
  <c r="AK16" i="17"/>
  <c r="AG16" i="17"/>
  <c r="AT16" i="17"/>
  <c r="AF16" i="17"/>
  <c r="G9" i="22"/>
  <c r="U151" i="11"/>
  <c r="AB6" i="11"/>
  <c r="AF41" i="17"/>
  <c r="AM99" i="11"/>
  <c r="D223" i="17"/>
  <c r="W138" i="11"/>
  <c r="AL6" i="11"/>
  <c r="Z16" i="17"/>
  <c r="AC99" i="11"/>
  <c r="V41" i="17"/>
  <c r="AC41" i="17"/>
  <c r="K41" i="17"/>
  <c r="H41" i="17"/>
  <c r="B59" i="11"/>
  <c r="AK99" i="11"/>
  <c r="AG51" i="17"/>
  <c r="AU51" i="17"/>
  <c r="AP6" i="11"/>
  <c r="S25" i="17"/>
  <c r="S8" i="17"/>
  <c r="AG69" i="17"/>
  <c r="AJ121" i="7"/>
  <c r="AJ149" i="17"/>
  <c r="K121" i="7"/>
  <c r="AJ154" i="17"/>
  <c r="AA154" i="17"/>
  <c r="AA222" i="22" s="1"/>
  <c r="O221" i="17"/>
  <c r="L36" i="17"/>
  <c r="Z36" i="17"/>
  <c r="Y221" i="17"/>
  <c r="AD125" i="11"/>
  <c r="AP125" i="11"/>
  <c r="AV221" i="17"/>
  <c r="T221" i="17"/>
  <c r="Q266" i="11"/>
  <c r="U266" i="11"/>
  <c r="AT266" i="11"/>
  <c r="AB266" i="11"/>
  <c r="E84" i="17"/>
  <c r="K119" i="7"/>
  <c r="AI119" i="7"/>
  <c r="AP99" i="11"/>
  <c r="AV66" i="17"/>
  <c r="X66" i="17"/>
  <c r="AL66" i="17"/>
  <c r="G66" i="17"/>
  <c r="AO66" i="17"/>
  <c r="AK66" i="17"/>
  <c r="O66" i="17"/>
  <c r="AT86" i="11"/>
  <c r="W66" i="17"/>
  <c r="T149" i="17"/>
  <c r="AB41" i="17"/>
  <c r="F41" i="17"/>
  <c r="I41" i="17"/>
  <c r="AH41" i="17"/>
  <c r="AO41" i="17"/>
  <c r="Q41" i="17"/>
  <c r="E41" i="17"/>
  <c r="R41" i="17"/>
  <c r="AU41" i="17"/>
  <c r="AG41" i="17"/>
  <c r="AR41" i="17"/>
  <c r="S41" i="17"/>
  <c r="AS41" i="17"/>
  <c r="G41" i="17"/>
  <c r="J41" i="17"/>
  <c r="AN41" i="17"/>
  <c r="M41" i="17"/>
  <c r="Z41" i="17"/>
  <c r="R79" i="17"/>
  <c r="AU79" i="17"/>
  <c r="K26" i="17"/>
  <c r="E13" i="17"/>
  <c r="E10" i="17" s="1"/>
  <c r="O43" i="21"/>
  <c r="AI356" i="17"/>
  <c r="AJ356" i="17"/>
  <c r="X41" i="17"/>
  <c r="P41" i="17"/>
  <c r="L41" i="17"/>
  <c r="N41" i="17"/>
  <c r="AL41" i="17"/>
  <c r="L66" i="17"/>
  <c r="H66" i="17"/>
  <c r="Q86" i="11"/>
  <c r="AV6" i="10"/>
  <c r="BV12" i="29" s="1"/>
  <c r="AU154" i="17"/>
  <c r="AC6" i="11"/>
  <c r="J121" i="7"/>
  <c r="AK221" i="17"/>
  <c r="AB221" i="17"/>
  <c r="AS221" i="17"/>
  <c r="AT221" i="17"/>
  <c r="V221" i="17"/>
  <c r="H221" i="17"/>
  <c r="AD221" i="17"/>
  <c r="AQ221" i="17"/>
  <c r="K221" i="17"/>
  <c r="L221" i="17"/>
  <c r="G221" i="17"/>
  <c r="E221" i="17"/>
  <c r="AO221" i="17"/>
  <c r="X221" i="17"/>
  <c r="L156" i="19"/>
  <c r="N173" i="19"/>
  <c r="L173" i="19" s="1"/>
  <c r="N168" i="19"/>
  <c r="N183" i="19" s="1"/>
  <c r="J97" i="9" s="1"/>
  <c r="P97" i="9" s="1"/>
  <c r="N169" i="19"/>
  <c r="L169" i="19" s="1"/>
  <c r="N170" i="19"/>
  <c r="L170" i="19" s="1"/>
  <c r="Y76" i="17"/>
  <c r="K76" i="17"/>
  <c r="AF76" i="17"/>
  <c r="R76" i="17"/>
  <c r="AE76" i="17"/>
  <c r="AO76" i="17"/>
  <c r="AV16" i="17"/>
  <c r="Y16" i="17"/>
  <c r="AD16" i="17"/>
  <c r="L16" i="17"/>
  <c r="X16" i="17"/>
  <c r="AJ16" i="17"/>
  <c r="AR16" i="17"/>
  <c r="O16" i="17"/>
  <c r="N16" i="17"/>
  <c r="AO16" i="17"/>
  <c r="Q16" i="17"/>
  <c r="AB49" i="17"/>
  <c r="E91" i="22"/>
  <c r="E78" i="22"/>
  <c r="Y65" i="17"/>
  <c r="Y13" i="17"/>
  <c r="Y10" i="17" s="1"/>
  <c r="B132" i="11"/>
  <c r="N65" i="17"/>
  <c r="N13" i="17"/>
  <c r="N79" i="21"/>
  <c r="D363" i="17"/>
  <c r="AJ118" i="7"/>
  <c r="AN46" i="17"/>
  <c r="AC46" i="17"/>
  <c r="L46" i="17"/>
  <c r="AG46" i="17"/>
  <c r="AD46" i="17"/>
  <c r="U46" i="17"/>
  <c r="O46" i="17"/>
  <c r="I46" i="17"/>
  <c r="AV46" i="17"/>
  <c r="X46" i="17"/>
  <c r="J46" i="17"/>
  <c r="AH46" i="17"/>
  <c r="AM46" i="17"/>
  <c r="AE46" i="17"/>
  <c r="AJ46" i="17"/>
  <c r="AI46" i="17"/>
  <c r="AP46" i="17"/>
  <c r="D174" i="17"/>
  <c r="B105" i="11"/>
  <c r="N266" i="11"/>
  <c r="K266" i="11"/>
  <c r="AN266" i="11"/>
  <c r="AO266" i="11"/>
  <c r="AQ266" i="11"/>
  <c r="W266" i="11"/>
  <c r="AS266" i="11"/>
  <c r="AF266" i="11"/>
  <c r="AA266" i="11"/>
  <c r="AH266" i="11"/>
  <c r="E266" i="11"/>
  <c r="S266" i="11"/>
  <c r="T266" i="11"/>
  <c r="L266" i="11"/>
  <c r="J266" i="11"/>
  <c r="I266" i="11"/>
  <c r="AM266" i="11"/>
  <c r="Z266" i="11"/>
  <c r="D266" i="11"/>
  <c r="V266" i="11"/>
  <c r="P266" i="11"/>
  <c r="H266" i="11"/>
  <c r="C266" i="11"/>
  <c r="AU266" i="11" s="1"/>
  <c r="AJ266" i="11"/>
  <c r="O266" i="11"/>
  <c r="L121" i="7"/>
  <c r="D184" i="17"/>
  <c r="L52" i="34"/>
  <c r="K59" i="34"/>
  <c r="D13" i="22"/>
  <c r="D52" i="22" s="1"/>
  <c r="V6" i="10"/>
  <c r="V21" i="10" s="1"/>
  <c r="D204" i="17"/>
  <c r="AW265" i="17"/>
  <c r="AW266" i="17" s="1"/>
  <c r="AW267" i="17" s="1"/>
  <c r="AW268" i="17" s="1"/>
  <c r="AW269" i="17" s="1"/>
  <c r="M269" i="17"/>
  <c r="Q269" i="17"/>
  <c r="AQ269" i="17"/>
  <c r="AS269" i="17"/>
  <c r="AC269" i="17"/>
  <c r="AV269" i="17"/>
  <c r="S269" i="17"/>
  <c r="Z269" i="17"/>
  <c r="T269" i="17"/>
  <c r="R269" i="17"/>
  <c r="AK269" i="17"/>
  <c r="H269" i="17"/>
  <c r="AT269" i="17"/>
  <c r="AF269" i="17"/>
  <c r="AJ269" i="17"/>
  <c r="N269" i="17"/>
  <c r="AR269" i="17"/>
  <c r="P269" i="17"/>
  <c r="AP269" i="17"/>
  <c r="Y269" i="17"/>
  <c r="AI269" i="17"/>
  <c r="AB269" i="17"/>
  <c r="AL269" i="17"/>
  <c r="G269" i="17"/>
  <c r="V269" i="17"/>
  <c r="AU269" i="17"/>
  <c r="AA269" i="17"/>
  <c r="AD269" i="17"/>
  <c r="J269" i="17"/>
  <c r="AN269" i="17"/>
  <c r="AM269" i="17"/>
  <c r="F269" i="17"/>
  <c r="I269" i="17"/>
  <c r="AO269" i="17"/>
  <c r="U269" i="17"/>
  <c r="X269" i="17"/>
  <c r="L269" i="17"/>
  <c r="W269" i="17"/>
  <c r="AG269" i="17"/>
  <c r="E269" i="17"/>
  <c r="AE269" i="17"/>
  <c r="O269" i="17"/>
  <c r="K269" i="17"/>
  <c r="AH269" i="17"/>
  <c r="D109" i="17"/>
  <c r="E60" i="17"/>
  <c r="D63" i="17"/>
  <c r="D60" i="17" s="1"/>
  <c r="AI138" i="11"/>
  <c r="AH151" i="11"/>
  <c r="AF138" i="11"/>
  <c r="N149" i="17"/>
  <c r="AD149" i="17"/>
  <c r="AC149" i="17"/>
  <c r="AC15" i="20" s="1"/>
  <c r="AV154" i="17"/>
  <c r="X154" i="17"/>
  <c r="AR154" i="17"/>
  <c r="AP112" i="11"/>
  <c r="AK112" i="11"/>
  <c r="AM125" i="11"/>
  <c r="AR121" i="7"/>
  <c r="S125" i="11"/>
  <c r="N125" i="11"/>
  <c r="AD121" i="7"/>
  <c r="T125" i="11"/>
  <c r="X49" i="17"/>
  <c r="W6" i="11"/>
  <c r="Y118" i="7"/>
  <c r="AH49" i="17"/>
  <c r="R119" i="7"/>
  <c r="J99" i="11"/>
  <c r="AV49" i="17"/>
  <c r="B149" i="11"/>
  <c r="R86" i="11"/>
  <c r="AM86" i="11"/>
  <c r="AM85" i="11" s="1"/>
  <c r="W79" i="17"/>
  <c r="AB118" i="7"/>
  <c r="AQ118" i="7"/>
  <c r="AJ99" i="11"/>
  <c r="AT99" i="11"/>
  <c r="F6" i="11"/>
  <c r="AG138" i="11"/>
  <c r="AS6" i="11"/>
  <c r="H6" i="11"/>
  <c r="AN151" i="11"/>
  <c r="AL10" i="17"/>
  <c r="I151" i="11"/>
  <c r="N99" i="11"/>
  <c r="AN118" i="7"/>
  <c r="H138" i="11"/>
  <c r="AS99" i="11"/>
  <c r="J6" i="11"/>
  <c r="H53" i="13"/>
  <c r="V120" i="7"/>
  <c r="K112" i="11"/>
  <c r="M149" i="17"/>
  <c r="R121" i="7"/>
  <c r="P125" i="11"/>
  <c r="P154" i="17"/>
  <c r="I121" i="7"/>
  <c r="AQ121" i="7"/>
  <c r="AQ125" i="11"/>
  <c r="AK121" i="7"/>
  <c r="AC125" i="11"/>
  <c r="AR6" i="11"/>
  <c r="D118" i="7"/>
  <c r="AF84" i="17"/>
  <c r="AO49" i="17"/>
  <c r="N49" i="17"/>
  <c r="AF49" i="17"/>
  <c r="AL49" i="17"/>
  <c r="S49" i="17"/>
  <c r="AQ49" i="17"/>
  <c r="G49" i="17"/>
  <c r="I49" i="17"/>
  <c r="H49" i="17"/>
  <c r="B158" i="11"/>
  <c r="AE122" i="7"/>
  <c r="C65" i="15"/>
  <c r="B335" i="17"/>
  <c r="AH129" i="7"/>
  <c r="D129" i="7"/>
  <c r="Z129" i="7"/>
  <c r="AN129" i="7"/>
  <c r="AA129" i="7"/>
  <c r="AJ129" i="7"/>
  <c r="AG129" i="7"/>
  <c r="T129" i="7"/>
  <c r="AK129" i="7"/>
  <c r="X129" i="7"/>
  <c r="AR129" i="7"/>
  <c r="F129" i="7"/>
  <c r="V129" i="7"/>
  <c r="W129" i="7"/>
  <c r="AM129" i="7"/>
  <c r="M129" i="7"/>
  <c r="AC129" i="7"/>
  <c r="AE129" i="7"/>
  <c r="AS129" i="7"/>
  <c r="J129" i="7"/>
  <c r="P129" i="7"/>
  <c r="AU129" i="7"/>
  <c r="N129" i="7"/>
  <c r="AL129" i="7"/>
  <c r="AI129" i="7"/>
  <c r="S129" i="7"/>
  <c r="AQ129" i="7"/>
  <c r="G129" i="7"/>
  <c r="Q129" i="7"/>
  <c r="H129" i="7"/>
  <c r="AP129" i="7"/>
  <c r="E129" i="7"/>
  <c r="U129" i="7"/>
  <c r="AT129" i="7"/>
  <c r="AF129" i="7"/>
  <c r="L129" i="7"/>
  <c r="K129" i="7"/>
  <c r="I129" i="7"/>
  <c r="AB129" i="7"/>
  <c r="AO129" i="7"/>
  <c r="R129" i="7"/>
  <c r="AD129" i="7"/>
  <c r="Y129" i="7"/>
  <c r="N222" i="22"/>
  <c r="AQ119" i="7"/>
  <c r="C60" i="15"/>
  <c r="B310" i="17"/>
  <c r="W244" i="17"/>
  <c r="AJ244" i="17"/>
  <c r="I244" i="17"/>
  <c r="AH244" i="17"/>
  <c r="AK244" i="17"/>
  <c r="S244" i="17"/>
  <c r="K244" i="17"/>
  <c r="AN244" i="17"/>
  <c r="AQ244" i="17"/>
  <c r="Y244" i="17"/>
  <c r="AF244" i="17"/>
  <c r="G244" i="17"/>
  <c r="R244" i="17"/>
  <c r="V244" i="17"/>
  <c r="AC244" i="17"/>
  <c r="O244" i="17"/>
  <c r="P244" i="17"/>
  <c r="E244" i="17"/>
  <c r="AP244" i="17"/>
  <c r="AG244" i="17"/>
  <c r="U244" i="17"/>
  <c r="X244" i="17"/>
  <c r="AS244" i="17"/>
  <c r="AE244" i="17"/>
  <c r="AI244" i="17"/>
  <c r="AU244" i="17"/>
  <c r="L244" i="17"/>
  <c r="M244" i="17"/>
  <c r="AO244" i="17"/>
  <c r="H244" i="17"/>
  <c r="AW240" i="17"/>
  <c r="AW241" i="17" s="1"/>
  <c r="AW242" i="17" s="1"/>
  <c r="AW243" i="17" s="1"/>
  <c r="AW244" i="17" s="1"/>
  <c r="N244" i="17"/>
  <c r="J244" i="17"/>
  <c r="AL244" i="17"/>
  <c r="AM244" i="17"/>
  <c r="AR244" i="17"/>
  <c r="Z244" i="17"/>
  <c r="AV244" i="17"/>
  <c r="AB244" i="17"/>
  <c r="F244" i="17"/>
  <c r="AD244" i="17"/>
  <c r="AT244" i="17"/>
  <c r="T244" i="17"/>
  <c r="Q244" i="17"/>
  <c r="AA244" i="17"/>
  <c r="D99" i="17"/>
  <c r="D428" i="17"/>
  <c r="AP49" i="17"/>
  <c r="P126" i="7"/>
  <c r="T116" i="7"/>
  <c r="H16" i="18"/>
  <c r="J9" i="13" s="1"/>
  <c r="B109" i="11"/>
  <c r="D20" i="21"/>
  <c r="F21" i="7"/>
  <c r="R15" i="6" s="1"/>
  <c r="J21" i="7"/>
  <c r="V15" i="6" s="1"/>
  <c r="I21" i="7"/>
  <c r="D64" i="8" s="1"/>
  <c r="O21" i="7"/>
  <c r="D70" i="8" s="1"/>
  <c r="H21" i="7"/>
  <c r="T15" i="6" s="1"/>
  <c r="K21" i="7"/>
  <c r="W15" i="6" s="1"/>
  <c r="G21" i="7"/>
  <c r="S15" i="6" s="1"/>
  <c r="M21" i="7"/>
  <c r="G171" i="19"/>
  <c r="U26" i="17"/>
  <c r="AA26" i="17"/>
  <c r="T168" i="19"/>
  <c r="R168" i="19" s="1"/>
  <c r="AK79" i="17"/>
  <c r="AK14" i="20" s="1"/>
  <c r="AT9" i="13"/>
  <c r="AT9" i="43"/>
  <c r="AD9" i="13"/>
  <c r="AD9" i="43"/>
  <c r="AF9" i="13"/>
  <c r="AF9" i="43"/>
  <c r="P9" i="13"/>
  <c r="P9" i="43"/>
  <c r="O9" i="13"/>
  <c r="O9" i="43"/>
  <c r="M79" i="17"/>
  <c r="M14" i="20" s="1"/>
  <c r="Q130" i="21"/>
  <c r="Q129" i="21"/>
  <c r="R131" i="21"/>
  <c r="R130" i="21"/>
  <c r="R133" i="21"/>
  <c r="R129" i="21"/>
  <c r="S132" i="21"/>
  <c r="S133" i="21"/>
  <c r="P130" i="21"/>
  <c r="P129" i="21"/>
  <c r="S134" i="21"/>
  <c r="P133" i="21"/>
  <c r="S131" i="21"/>
  <c r="Q134" i="21"/>
  <c r="R134" i="21"/>
  <c r="R132" i="21"/>
  <c r="P132" i="21"/>
  <c r="S130" i="21"/>
  <c r="P134" i="21"/>
  <c r="Q132" i="21"/>
  <c r="S129" i="21"/>
  <c r="Q133" i="21"/>
  <c r="P131" i="21"/>
  <c r="Q131" i="21"/>
  <c r="B162" i="11"/>
  <c r="L9" i="13"/>
  <c r="L9" i="43"/>
  <c r="V9" i="13"/>
  <c r="V9" i="43"/>
  <c r="AN9" i="13"/>
  <c r="AN9" i="43"/>
  <c r="B176" i="11"/>
  <c r="D85" i="17"/>
  <c r="C79" i="16"/>
  <c r="D17" i="22"/>
  <c r="D95" i="22" s="1"/>
  <c r="E229" i="17"/>
  <c r="AF229" i="17"/>
  <c r="AV229" i="17"/>
  <c r="AC229" i="17"/>
  <c r="AO229" i="17"/>
  <c r="T229" i="17"/>
  <c r="AN229" i="17"/>
  <c r="S229" i="17"/>
  <c r="J229" i="17"/>
  <c r="P229" i="17"/>
  <c r="AE229" i="17"/>
  <c r="AP229" i="17"/>
  <c r="AM229" i="17"/>
  <c r="O229" i="17"/>
  <c r="Z229" i="17"/>
  <c r="N229" i="17"/>
  <c r="AW225" i="17"/>
  <c r="AW226" i="17" s="1"/>
  <c r="AW227" i="17" s="1"/>
  <c r="AW228" i="17" s="1"/>
  <c r="AW229" i="17" s="1"/>
  <c r="AH229" i="17"/>
  <c r="X229" i="17"/>
  <c r="Q229" i="17"/>
  <c r="R229" i="17"/>
  <c r="U229" i="17"/>
  <c r="AD229" i="17"/>
  <c r="G229" i="17"/>
  <c r="L229" i="17"/>
  <c r="AQ229" i="17"/>
  <c r="AT229" i="17"/>
  <c r="K229" i="17"/>
  <c r="AI229" i="17"/>
  <c r="AU229" i="17"/>
  <c r="Y229" i="17"/>
  <c r="I229" i="17"/>
  <c r="AG229" i="17"/>
  <c r="V229" i="17"/>
  <c r="M229" i="17"/>
  <c r="AA229" i="17"/>
  <c r="F229" i="17"/>
  <c r="W229" i="17"/>
  <c r="AS229" i="17"/>
  <c r="AB229" i="17"/>
  <c r="AR229" i="17"/>
  <c r="AJ229" i="17"/>
  <c r="H229" i="17"/>
  <c r="AK229" i="17"/>
  <c r="AL229" i="17"/>
  <c r="G86" i="11"/>
  <c r="AK26" i="17"/>
  <c r="AF56" i="17"/>
  <c r="T165" i="19"/>
  <c r="AO26" i="17"/>
  <c r="AR56" i="17"/>
  <c r="Q9" i="13"/>
  <c r="Q9" i="43"/>
  <c r="BA9" i="13"/>
  <c r="BA9" i="43"/>
  <c r="AO9" i="13"/>
  <c r="AO9" i="43"/>
  <c r="K9" i="13"/>
  <c r="K9" i="43"/>
  <c r="AB9" i="13"/>
  <c r="AB9" i="43"/>
  <c r="M8" i="17"/>
  <c r="O20" i="13" s="1"/>
  <c r="AP318" i="11"/>
  <c r="Y318" i="11"/>
  <c r="C318" i="11"/>
  <c r="F318" i="11"/>
  <c r="U318" i="11"/>
  <c r="AM318" i="11"/>
  <c r="Z318" i="11"/>
  <c r="AC318" i="11"/>
  <c r="O318" i="11"/>
  <c r="AG318" i="11"/>
  <c r="N318" i="11"/>
  <c r="AF318" i="11"/>
  <c r="M318" i="11"/>
  <c r="J318" i="11"/>
  <c r="AA318" i="11"/>
  <c r="AO318" i="11"/>
  <c r="AK318" i="11"/>
  <c r="V318" i="11"/>
  <c r="AD318" i="11"/>
  <c r="AQ318" i="11"/>
  <c r="P318" i="11"/>
  <c r="H318" i="11"/>
  <c r="T318" i="11"/>
  <c r="AB318" i="11"/>
  <c r="AS318" i="11"/>
  <c r="S318" i="11"/>
  <c r="R318" i="11"/>
  <c r="E318" i="11"/>
  <c r="AN318" i="11"/>
  <c r="AT318" i="11"/>
  <c r="AI318" i="11"/>
  <c r="K318" i="11"/>
  <c r="AE318" i="11"/>
  <c r="D318" i="11"/>
  <c r="W318" i="11"/>
  <c r="AJ318" i="11"/>
  <c r="AR318" i="11"/>
  <c r="I318" i="11"/>
  <c r="X318" i="11"/>
  <c r="Q318" i="11"/>
  <c r="G318" i="11"/>
  <c r="AL318" i="11"/>
  <c r="AH318" i="11"/>
  <c r="L318" i="11"/>
  <c r="I13" i="22"/>
  <c r="CI6" i="10"/>
  <c r="D199" i="17"/>
  <c r="H13" i="22"/>
  <c r="BV6" i="10"/>
  <c r="B295" i="17"/>
  <c r="C57" i="15"/>
  <c r="AU9" i="13"/>
  <c r="AU9" i="43"/>
  <c r="AE9" i="13"/>
  <c r="AE9" i="43"/>
  <c r="AX9" i="13"/>
  <c r="AX9" i="43"/>
  <c r="M9" i="13"/>
  <c r="M9" i="43"/>
  <c r="AS9" i="13"/>
  <c r="AR9" i="13" s="1"/>
  <c r="AS9" i="43"/>
  <c r="AV79" i="17"/>
  <c r="U138" i="20" a="1"/>
  <c r="U138" i="20" s="1"/>
  <c r="AH79" i="17"/>
  <c r="AH14" i="20" s="1"/>
  <c r="CU9" i="29"/>
  <c r="AB151" i="11"/>
  <c r="BF9" i="13"/>
  <c r="BF9" i="43"/>
  <c r="U9" i="13"/>
  <c r="U9" i="43"/>
  <c r="F9" i="13"/>
  <c r="F9" i="43"/>
  <c r="J24" i="17"/>
  <c r="T174" i="19"/>
  <c r="D90" i="17"/>
  <c r="N151" i="11"/>
  <c r="AM356" i="17"/>
  <c r="N26" i="17"/>
  <c r="T170" i="19"/>
  <c r="R170" i="19" s="1"/>
  <c r="AR51" i="17"/>
  <c r="N174" i="19"/>
  <c r="L174" i="19" s="1"/>
  <c r="N165" i="19"/>
  <c r="N180" i="19" s="1"/>
  <c r="W9" i="13"/>
  <c r="W9" i="43"/>
  <c r="AK9" i="13"/>
  <c r="AK9" i="43"/>
  <c r="AY9" i="13"/>
  <c r="AY9" i="43"/>
  <c r="AG9" i="13"/>
  <c r="AG9" i="43"/>
  <c r="BE9" i="13"/>
  <c r="BE9" i="43"/>
  <c r="AE221" i="17"/>
  <c r="P221" i="17"/>
  <c r="AP221" i="17"/>
  <c r="D194" i="17"/>
  <c r="AL86" i="11"/>
  <c r="D209" i="17"/>
  <c r="BR6" i="10"/>
  <c r="H9" i="22"/>
  <c r="B108" i="11"/>
  <c r="AI49" i="17"/>
  <c r="AB112" i="11"/>
  <c r="AB85" i="11" s="1"/>
  <c r="AB350" i="11" s="1"/>
  <c r="T172" i="19"/>
  <c r="R172" i="19" s="1"/>
  <c r="T166" i="19"/>
  <c r="T181" i="19" s="1"/>
  <c r="L95" i="9" s="1"/>
  <c r="R95" i="9" s="1"/>
  <c r="AI9" i="13"/>
  <c r="AH9" i="13" s="1"/>
  <c r="AI9" i="43"/>
  <c r="AV9" i="13"/>
  <c r="AV9" i="43"/>
  <c r="BC9" i="13"/>
  <c r="BC9" i="43"/>
  <c r="AL9" i="13"/>
  <c r="AL9" i="43"/>
  <c r="BD9" i="13"/>
  <c r="BD9" i="43"/>
  <c r="BK28" i="29"/>
  <c r="BK16" i="29"/>
  <c r="Z221" i="17"/>
  <c r="AI118" i="7"/>
  <c r="Z99" i="11"/>
  <c r="C138" i="11"/>
  <c r="B141" i="11"/>
  <c r="D399" i="17"/>
  <c r="AP6" i="10"/>
  <c r="F7" i="22"/>
  <c r="M49" i="17"/>
  <c r="D469" i="17"/>
  <c r="P23" i="13"/>
  <c r="P23" i="43"/>
  <c r="R23" i="43"/>
  <c r="R23" i="13"/>
  <c r="N24" i="17"/>
  <c r="V6" i="43"/>
  <c r="V20" i="43"/>
  <c r="X26" i="17"/>
  <c r="T167" i="19"/>
  <c r="AK24" i="17"/>
  <c r="T9" i="13"/>
  <c r="T9" i="43"/>
  <c r="AJ9" i="13"/>
  <c r="AJ9" i="43"/>
  <c r="Y9" i="13"/>
  <c r="Y9" i="43"/>
  <c r="AZ9" i="13"/>
  <c r="AZ9" i="43"/>
  <c r="D324" i="17"/>
  <c r="B145" i="11"/>
  <c r="D45" i="43"/>
  <c r="C45" i="43" s="1"/>
  <c r="AV123" i="21"/>
  <c r="AO123" i="21" s="1"/>
  <c r="AQ9" i="13"/>
  <c r="AM9" i="13" s="1"/>
  <c r="AQ9" i="43"/>
  <c r="J9" i="43"/>
  <c r="Z9" i="13"/>
  <c r="Z9" i="43"/>
  <c r="AP9" i="13"/>
  <c r="AP9" i="43"/>
  <c r="R9" i="13"/>
  <c r="R9" i="43"/>
  <c r="AA9" i="13"/>
  <c r="AA9" i="43"/>
  <c r="B106" i="11"/>
  <c r="T141" i="19"/>
  <c r="R141" i="19" s="1"/>
  <c r="AB99" i="11"/>
  <c r="X116" i="21"/>
  <c r="T126" i="21"/>
  <c r="E15" i="22"/>
  <c r="AK6" i="10"/>
  <c r="N97" i="21"/>
  <c r="CM6" i="10"/>
  <c r="I17" i="22"/>
  <c r="C17" i="22" s="1"/>
  <c r="K50" i="13"/>
  <c r="L50" i="13" s="1"/>
  <c r="J55" i="13"/>
  <c r="Q23" i="43"/>
  <c r="Q23" i="13"/>
  <c r="H32" i="13"/>
  <c r="H33" i="13" s="1"/>
  <c r="H32" i="43"/>
  <c r="H33" i="43" s="1"/>
  <c r="F33" i="43"/>
  <c r="B95" i="11"/>
  <c r="Y6" i="11"/>
  <c r="CU23" i="29"/>
  <c r="CU33" i="29"/>
  <c r="CU21" i="29"/>
  <c r="CU22" i="29"/>
  <c r="CU25" i="29"/>
  <c r="CU19" i="29"/>
  <c r="F17" i="22"/>
  <c r="AZ6" i="10"/>
  <c r="N43" i="21"/>
  <c r="E151" i="17"/>
  <c r="AD151" i="17"/>
  <c r="AM151" i="17"/>
  <c r="AC151" i="17"/>
  <c r="AP151" i="17"/>
  <c r="V151" i="17"/>
  <c r="AG151" i="17"/>
  <c r="R151" i="17"/>
  <c r="N151" i="17"/>
  <c r="G151" i="17"/>
  <c r="X151" i="17"/>
  <c r="Y151" i="17"/>
  <c r="D150" i="17"/>
  <c r="H144" i="9" s="1"/>
  <c r="Q151" i="17"/>
  <c r="AJ151" i="17"/>
  <c r="AQ151" i="17"/>
  <c r="K151" i="17"/>
  <c r="AN151" i="17"/>
  <c r="M151" i="17"/>
  <c r="W151" i="17"/>
  <c r="AF151" i="17"/>
  <c r="AE151" i="17"/>
  <c r="AV151" i="17"/>
  <c r="O151" i="17"/>
  <c r="AR151" i="17"/>
  <c r="AK151" i="17"/>
  <c r="Z151" i="17"/>
  <c r="J151" i="17"/>
  <c r="AS151" i="17"/>
  <c r="AA151" i="17"/>
  <c r="F151" i="17"/>
  <c r="AO151" i="17"/>
  <c r="AH151" i="17"/>
  <c r="P151" i="17"/>
  <c r="H151" i="17"/>
  <c r="AB151" i="17"/>
  <c r="S151" i="17"/>
  <c r="AI151" i="17"/>
  <c r="AU151" i="17"/>
  <c r="I151" i="17"/>
  <c r="AT151" i="17"/>
  <c r="D179" i="17"/>
  <c r="Z86" i="11"/>
  <c r="AR86" i="11"/>
  <c r="M112" i="11"/>
  <c r="C86" i="11"/>
  <c r="O6" i="11"/>
  <c r="C77" i="16"/>
  <c r="O86" i="11"/>
  <c r="F118" i="7"/>
  <c r="N25" i="21"/>
  <c r="E17" i="22"/>
  <c r="D153" i="17"/>
  <c r="AM6" i="10"/>
  <c r="L151" i="17"/>
  <c r="CU27" i="29"/>
  <c r="AI24" i="17"/>
  <c r="CU11" i="29"/>
  <c r="D279" i="17"/>
  <c r="U151" i="17"/>
  <c r="AN8" i="17"/>
  <c r="Y8" i="17"/>
  <c r="Y5" i="17" s="1"/>
  <c r="T76" i="17"/>
  <c r="AD76" i="17"/>
  <c r="AB76" i="17"/>
  <c r="AG76" i="17"/>
  <c r="AS76" i="17"/>
  <c r="AN76" i="17"/>
  <c r="AC76" i="17"/>
  <c r="O76" i="17"/>
  <c r="F24" i="17"/>
  <c r="M76" i="17"/>
  <c r="I21" i="17"/>
  <c r="AO86" i="11"/>
  <c r="AN79" i="17"/>
  <c r="AN14" i="20" s="1"/>
  <c r="X79" i="17"/>
  <c r="AD36" i="17"/>
  <c r="AQ56" i="17"/>
  <c r="D329" i="17"/>
  <c r="Y36" i="17"/>
  <c r="V36" i="17"/>
  <c r="O99" i="11"/>
  <c r="AL79" i="17"/>
  <c r="AA149" i="17"/>
  <c r="AO99" i="11"/>
  <c r="W99" i="11"/>
  <c r="AB71" i="17"/>
  <c r="AC71" i="17"/>
  <c r="AS71" i="17"/>
  <c r="S71" i="17"/>
  <c r="AK71" i="17"/>
  <c r="N15" i="20"/>
  <c r="P51" i="17"/>
  <c r="AI21" i="10"/>
  <c r="AI27" i="10"/>
  <c r="D99" i="11"/>
  <c r="D48" i="17"/>
  <c r="D45" i="17" s="1"/>
  <c r="AV76" i="17"/>
  <c r="AJ66" i="17"/>
  <c r="F66" i="17"/>
  <c r="AE66" i="17"/>
  <c r="AB66" i="17"/>
  <c r="U66" i="17"/>
  <c r="AQ36" i="17"/>
  <c r="AQ112" i="11"/>
  <c r="BY11" i="29"/>
  <c r="BY18" i="29"/>
  <c r="AK154" i="17"/>
  <c r="O154" i="17"/>
  <c r="AP154" i="17"/>
  <c r="AL24" i="17"/>
  <c r="M24" i="17"/>
  <c r="AT13" i="17"/>
  <c r="AT10" i="17" s="1"/>
  <c r="AF6" i="11"/>
  <c r="AI6" i="11"/>
  <c r="L99" i="11"/>
  <c r="CU17" i="29"/>
  <c r="CU15" i="29"/>
  <c r="F207" i="20"/>
  <c r="F208" i="20" s="1"/>
  <c r="P207" i="20"/>
  <c r="P208" i="20" s="1"/>
  <c r="O207" i="20"/>
  <c r="O208" i="20" s="1"/>
  <c r="N207" i="20"/>
  <c r="N208" i="20" s="1"/>
  <c r="L207" i="20"/>
  <c r="L208" i="20" s="1"/>
  <c r="J207" i="20"/>
  <c r="J208" i="20" s="1"/>
  <c r="E207" i="20"/>
  <c r="E208" i="20" s="1"/>
  <c r="G207" i="20"/>
  <c r="G208" i="20" s="1"/>
  <c r="Q207" i="20"/>
  <c r="Q208" i="20" s="1"/>
  <c r="K207" i="20"/>
  <c r="K208" i="20" s="1"/>
  <c r="H207" i="20"/>
  <c r="H208" i="20" s="1"/>
  <c r="AL151" i="17"/>
  <c r="T151" i="17"/>
  <c r="CU28" i="29"/>
  <c r="J76" i="17"/>
  <c r="AM76" i="17"/>
  <c r="U76" i="17"/>
  <c r="H76" i="17"/>
  <c r="Z76" i="17"/>
  <c r="AA76" i="17"/>
  <c r="AP76" i="17"/>
  <c r="AH76" i="17"/>
  <c r="L76" i="17"/>
  <c r="G76" i="17"/>
  <c r="P56" i="17"/>
  <c r="G6" i="11"/>
  <c r="AN36" i="17"/>
  <c r="R56" i="17"/>
  <c r="AE24" i="17"/>
  <c r="X112" i="11"/>
  <c r="Q112" i="11"/>
  <c r="Q85" i="11" s="1"/>
  <c r="N51" i="17"/>
  <c r="Z71" i="17"/>
  <c r="AH71" i="17"/>
  <c r="AP71" i="17"/>
  <c r="AI71" i="17"/>
  <c r="E71" i="17"/>
  <c r="L56" i="17"/>
  <c r="V76" i="17"/>
  <c r="AL51" i="17"/>
  <c r="AH24" i="17"/>
  <c r="U99" i="11"/>
  <c r="I99" i="11"/>
  <c r="AI17" i="10"/>
  <c r="Z66" i="17"/>
  <c r="AP66" i="17"/>
  <c r="T66" i="17"/>
  <c r="AT66" i="17"/>
  <c r="S66" i="17"/>
  <c r="AD99" i="11"/>
  <c r="AJ24" i="17"/>
  <c r="T69" i="17"/>
  <c r="AI79" i="17"/>
  <c r="AI221" i="22" s="1"/>
  <c r="AO6" i="11"/>
  <c r="AG86" i="11"/>
  <c r="F221" i="17"/>
  <c r="U127" i="20" a="1"/>
  <c r="U127" i="20" s="1"/>
  <c r="CO15" i="29"/>
  <c r="CO9" i="29"/>
  <c r="K86" i="11"/>
  <c r="B110" i="11"/>
  <c r="CU16" i="29"/>
  <c r="CU18" i="29"/>
  <c r="DV28" i="29"/>
  <c r="DU6" i="29"/>
  <c r="DV19" i="29"/>
  <c r="DV15" i="29"/>
  <c r="DV16" i="29"/>
  <c r="EU4" i="29"/>
  <c r="DU7" i="29"/>
  <c r="DU5" i="29"/>
  <c r="DV17" i="29"/>
  <c r="DV25" i="29"/>
  <c r="DV11" i="29"/>
  <c r="DU11" i="29" s="1"/>
  <c r="DV18" i="29"/>
  <c r="DV27" i="29"/>
  <c r="B123" i="11"/>
  <c r="AA118" i="7"/>
  <c r="S86" i="11"/>
  <c r="V66" i="17"/>
  <c r="Y66" i="17"/>
  <c r="P66" i="17"/>
  <c r="AA66" i="17"/>
  <c r="AR66" i="17"/>
  <c r="N66" i="17"/>
  <c r="AU66" i="17"/>
  <c r="I66" i="17"/>
  <c r="J66" i="17"/>
  <c r="R66" i="17"/>
  <c r="AN66" i="17"/>
  <c r="E66" i="17"/>
  <c r="AD6" i="11"/>
  <c r="S118" i="7"/>
  <c r="AM66" i="17"/>
  <c r="AF66" i="17"/>
  <c r="AS66" i="17"/>
  <c r="Q66" i="17"/>
  <c r="K66" i="17"/>
  <c r="AC66" i="17"/>
  <c r="AQ66" i="17"/>
  <c r="AG66" i="17"/>
  <c r="AD66" i="17"/>
  <c r="AI66" i="17"/>
  <c r="N10" i="17"/>
  <c r="J86" i="11"/>
  <c r="AA6" i="11"/>
  <c r="S365" i="20"/>
  <c r="C168" i="19"/>
  <c r="AN86" i="11"/>
  <c r="N7" i="21"/>
  <c r="N20" i="21" s="1"/>
  <c r="AO69" i="17"/>
  <c r="AE86" i="11"/>
  <c r="S376" i="20"/>
  <c r="R365" i="20"/>
  <c r="W13" i="17"/>
  <c r="W10" i="17" s="1"/>
  <c r="AJ221" i="22"/>
  <c r="Q6" i="11"/>
  <c r="W118" i="7"/>
  <c r="Z118" i="7"/>
  <c r="AC86" i="11"/>
  <c r="N6" i="11"/>
  <c r="AA13" i="17"/>
  <c r="AA10" i="17" s="1"/>
  <c r="AA65" i="17"/>
  <c r="L24" i="29"/>
  <c r="K24" i="29" s="1"/>
  <c r="AE118" i="7"/>
  <c r="AT6" i="11"/>
  <c r="D12" i="17"/>
  <c r="I11" i="17" s="1"/>
  <c r="B97" i="11"/>
  <c r="B7" i="11"/>
  <c r="G118" i="7"/>
  <c r="D6" i="11"/>
  <c r="AN13" i="17"/>
  <c r="AN10" i="17" s="1"/>
  <c r="AQ6" i="11"/>
  <c r="M6" i="11"/>
  <c r="T365" i="20"/>
  <c r="AL118" i="7"/>
  <c r="O118" i="7"/>
  <c r="X86" i="11"/>
  <c r="AI86" i="11"/>
  <c r="K6" i="11"/>
  <c r="Z6" i="11"/>
  <c r="G13" i="17"/>
  <c r="G10" i="17" s="1"/>
  <c r="Q365" i="20"/>
  <c r="N86" i="11"/>
  <c r="AS86" i="11"/>
  <c r="D83" i="17"/>
  <c r="D80" i="17" s="1"/>
  <c r="G144" i="9" s="1"/>
  <c r="D68" i="17"/>
  <c r="D65" i="17" s="1"/>
  <c r="Z6" i="10"/>
  <c r="Z16" i="10" s="1"/>
  <c r="AM13" i="17"/>
  <c r="AM10" i="17" s="1"/>
  <c r="W382" i="20"/>
  <c r="W371" i="20" s="1"/>
  <c r="X381" i="20"/>
  <c r="X370" i="20" s="1"/>
  <c r="X397" i="20"/>
  <c r="X382" i="20"/>
  <c r="X371" i="20" s="1"/>
  <c r="AR118" i="7"/>
  <c r="L6" i="11"/>
  <c r="AK69" i="17"/>
  <c r="X13" i="17"/>
  <c r="X10" i="17" s="1"/>
  <c r="V378" i="20"/>
  <c r="V367" i="20" s="1"/>
  <c r="D139" i="17"/>
  <c r="D84" i="17" s="1"/>
  <c r="AO118" i="7"/>
  <c r="AK86" i="11"/>
  <c r="U86" i="11"/>
  <c r="AD86" i="11"/>
  <c r="G173" i="19"/>
  <c r="D135" i="17"/>
  <c r="S6" i="11"/>
  <c r="AF86" i="11"/>
  <c r="R376" i="20"/>
  <c r="Q376" i="20"/>
  <c r="W381" i="20"/>
  <c r="W370" i="20" s="1"/>
  <c r="U379" i="20"/>
  <c r="U368" i="20" s="1"/>
  <c r="CW15" i="29"/>
  <c r="T6" i="11"/>
  <c r="BX26" i="10"/>
  <c r="BX21" i="10"/>
  <c r="BX17" i="10"/>
  <c r="BX14" i="10"/>
  <c r="BX32" i="10" s="1"/>
  <c r="BX33" i="10"/>
  <c r="BX16" i="10"/>
  <c r="K20" i="9"/>
  <c r="BX28" i="10"/>
  <c r="BX27" i="10"/>
  <c r="V390" i="20"/>
  <c r="U390" i="20"/>
  <c r="V379" i="20"/>
  <c r="V368" i="20" s="1"/>
  <c r="U378" i="20"/>
  <c r="U367" i="20" s="1"/>
  <c r="U380" i="20"/>
  <c r="U369" i="20" s="1"/>
  <c r="X390" i="20"/>
  <c r="X379" i="20"/>
  <c r="X368" i="20" s="1"/>
  <c r="X380" i="20"/>
  <c r="X369" i="20" s="1"/>
  <c r="X378" i="20"/>
  <c r="X367" i="20" s="1"/>
  <c r="U397" i="20"/>
  <c r="AB400" i="20"/>
  <c r="AA392" i="20"/>
  <c r="AA394" i="20"/>
  <c r="Y385" i="20"/>
  <c r="Z391" i="20"/>
  <c r="AB394" i="20"/>
  <c r="AB399" i="20"/>
  <c r="Z402" i="20"/>
  <c r="Y398" i="20"/>
  <c r="AA384" i="20"/>
  <c r="Y396" i="20"/>
  <c r="AB386" i="20"/>
  <c r="Z398" i="20"/>
  <c r="Y387" i="20"/>
  <c r="Z401" i="20"/>
  <c r="AA401" i="20"/>
  <c r="Z395" i="20"/>
  <c r="AA391" i="20"/>
  <c r="AB396" i="20"/>
  <c r="Z403" i="20"/>
  <c r="AB403" i="20"/>
  <c r="Y403" i="20"/>
  <c r="AB388" i="20"/>
  <c r="Z389" i="20"/>
  <c r="AA385" i="20"/>
  <c r="AA388" i="20"/>
  <c r="AB391" i="20"/>
  <c r="AB402" i="20"/>
  <c r="Y391" i="20"/>
  <c r="Y389" i="20"/>
  <c r="AA399" i="20"/>
  <c r="AB398" i="20"/>
  <c r="Y394" i="20"/>
  <c r="AA389" i="20"/>
  <c r="Y401" i="20"/>
  <c r="AA393" i="20"/>
  <c r="Z396" i="20"/>
  <c r="AA395" i="20"/>
  <c r="AC374" i="20"/>
  <c r="Z388" i="20"/>
  <c r="AB384" i="20"/>
  <c r="AA386" i="20"/>
  <c r="Y400" i="20"/>
  <c r="AB401" i="20"/>
  <c r="Y384" i="20"/>
  <c r="Y393" i="20"/>
  <c r="Z392" i="20"/>
  <c r="AB387" i="20"/>
  <c r="AB385" i="20"/>
  <c r="AA398" i="20"/>
  <c r="AB395" i="20"/>
  <c r="AA387" i="20"/>
  <c r="Y388" i="20"/>
  <c r="Z386" i="20"/>
  <c r="Y386" i="20"/>
  <c r="Z394" i="20"/>
  <c r="AA396" i="20"/>
  <c r="Z385" i="20"/>
  <c r="Y399" i="20"/>
  <c r="Z384" i="20"/>
  <c r="AB392" i="20"/>
  <c r="Y392" i="20"/>
  <c r="Z393" i="20"/>
  <c r="AB393" i="20"/>
  <c r="Z399" i="20"/>
  <c r="Z400" i="20"/>
  <c r="Y395" i="20"/>
  <c r="AA403" i="20"/>
  <c r="Z387" i="20"/>
  <c r="AA400" i="20"/>
  <c r="AA402" i="20"/>
  <c r="AB389" i="20"/>
  <c r="Y402" i="20"/>
  <c r="U233" i="22"/>
  <c r="Y219" i="22"/>
  <c r="L225" i="20"/>
  <c r="L226" i="20" s="1"/>
  <c r="E225" i="20"/>
  <c r="E226" i="20" s="1"/>
  <c r="J225" i="20"/>
  <c r="J226" i="20" s="1"/>
  <c r="H225" i="20"/>
  <c r="H226" i="20" s="1"/>
  <c r="G225" i="20"/>
  <c r="G226" i="20" s="1"/>
  <c r="F225" i="20"/>
  <c r="F226" i="20" s="1"/>
  <c r="I225" i="20"/>
  <c r="I226" i="20" s="1"/>
  <c r="K225" i="20"/>
  <c r="K226" i="20" s="1"/>
  <c r="M225" i="20"/>
  <c r="M226" i="20" s="1"/>
  <c r="O225" i="20"/>
  <c r="O226" i="20" s="1"/>
  <c r="N225" i="20"/>
  <c r="N226" i="20" s="1"/>
  <c r="P225" i="20"/>
  <c r="P226" i="20" s="1"/>
  <c r="AU249" i="17"/>
  <c r="E249" i="17"/>
  <c r="AC249" i="17"/>
  <c r="Q249" i="17"/>
  <c r="AB249" i="17"/>
  <c r="AP249" i="17"/>
  <c r="W249" i="17"/>
  <c r="AV249" i="17"/>
  <c r="V249" i="17"/>
  <c r="AI249" i="17"/>
  <c r="J249" i="17"/>
  <c r="AH249" i="17"/>
  <c r="AG249" i="17"/>
  <c r="AO249" i="17"/>
  <c r="Z249" i="17"/>
  <c r="AA249" i="17"/>
  <c r="AJ249" i="17"/>
  <c r="AS249" i="17"/>
  <c r="AW245" i="17"/>
  <c r="AW246" i="17" s="1"/>
  <c r="AW247" i="17" s="1"/>
  <c r="AW248" i="17" s="1"/>
  <c r="AW249" i="17" s="1"/>
  <c r="AR249" i="17"/>
  <c r="AK249" i="17"/>
  <c r="AT249" i="17"/>
  <c r="K249" i="17"/>
  <c r="F249" i="17"/>
  <c r="AQ249" i="17"/>
  <c r="M249" i="17"/>
  <c r="G249" i="17"/>
  <c r="AN249" i="17"/>
  <c r="AM249" i="17"/>
  <c r="AL249" i="17"/>
  <c r="U249" i="17"/>
  <c r="R249" i="17"/>
  <c r="N249" i="17"/>
  <c r="AD249" i="17"/>
  <c r="L249" i="17"/>
  <c r="AF249" i="17"/>
  <c r="O249" i="17"/>
  <c r="I249" i="17"/>
  <c r="P249" i="17"/>
  <c r="S249" i="17"/>
  <c r="AE249" i="17"/>
  <c r="T249" i="17"/>
  <c r="Y249" i="17"/>
  <c r="H249" i="17"/>
  <c r="X249" i="17"/>
  <c r="R138" i="20" a="1"/>
  <c r="R138" i="20" s="1"/>
  <c r="W251" i="20"/>
  <c r="W252" i="20" s="1"/>
  <c r="U251" i="20"/>
  <c r="U252" i="20" s="1"/>
  <c r="W295" i="20"/>
  <c r="W296" i="20" s="1"/>
  <c r="U333" i="20"/>
  <c r="U334" i="20" s="1"/>
  <c r="X307" i="20"/>
  <c r="X308" i="20" s="1"/>
  <c r="W293" i="20"/>
  <c r="W294" i="20" s="1"/>
  <c r="V251" i="20"/>
  <c r="V252" i="20" s="1"/>
  <c r="U267" i="20"/>
  <c r="U268" i="20" s="1"/>
  <c r="W215" i="20"/>
  <c r="W216" i="20" s="1"/>
  <c r="X237" i="20"/>
  <c r="X238" i="20" s="1"/>
  <c r="X219" i="20"/>
  <c r="X220" i="20" s="1"/>
  <c r="U247" i="20"/>
  <c r="U248" i="20" s="1"/>
  <c r="X275" i="20"/>
  <c r="X276" i="20" s="1"/>
  <c r="U211" i="20"/>
  <c r="U212" i="20" s="1"/>
  <c r="W317" i="20"/>
  <c r="W318" i="20" s="1"/>
  <c r="V325" i="20"/>
  <c r="V326" i="20" s="1"/>
  <c r="U275" i="20"/>
  <c r="U276" i="20" s="1"/>
  <c r="U285" i="20"/>
  <c r="U286" i="20" s="1"/>
  <c r="U307" i="20"/>
  <c r="U308" i="20" s="1"/>
  <c r="X211" i="20"/>
  <c r="X212" i="20" s="1"/>
  <c r="V267" i="20"/>
  <c r="V268" i="20" s="1"/>
  <c r="W281" i="20"/>
  <c r="W282" i="20" s="1"/>
  <c r="X215" i="20"/>
  <c r="X216" i="20" s="1"/>
  <c r="X345" i="20"/>
  <c r="X346" i="20" s="1"/>
  <c r="U311" i="20"/>
  <c r="U312" i="20" s="1"/>
  <c r="U309" i="20"/>
  <c r="U310" i="20" s="1"/>
  <c r="W239" i="20"/>
  <c r="W240" i="20" s="1"/>
  <c r="U257" i="20"/>
  <c r="U258" i="20" s="1"/>
  <c r="V277" i="20"/>
  <c r="V278" i="20" s="1"/>
  <c r="X263" i="20"/>
  <c r="X264" i="20" s="1"/>
  <c r="W223" i="20"/>
  <c r="W224" i="20" s="1"/>
  <c r="U345" i="20"/>
  <c r="U346" i="20" s="1"/>
  <c r="W311" i="20"/>
  <c r="W312" i="20" s="1"/>
  <c r="V311" i="20"/>
  <c r="V312" i="20" s="1"/>
  <c r="V265" i="20"/>
  <c r="V266" i="20" s="1"/>
  <c r="U337" i="20"/>
  <c r="U338" i="20" s="1"/>
  <c r="W309" i="20"/>
  <c r="W310" i="20" s="1"/>
  <c r="W257" i="20"/>
  <c r="W258" i="20" s="1"/>
  <c r="V221" i="20"/>
  <c r="V222" i="20" s="1"/>
  <c r="W209" i="20"/>
  <c r="W210" i="20" s="1"/>
  <c r="U297" i="20"/>
  <c r="U298" i="20" s="1"/>
  <c r="X277" i="20"/>
  <c r="X278" i="20" s="1"/>
  <c r="U241" i="20"/>
  <c r="U242" i="20" s="1"/>
  <c r="X255" i="20"/>
  <c r="X256" i="20" s="1"/>
  <c r="V231" i="20"/>
  <c r="V232" i="20" s="1"/>
  <c r="U209" i="20"/>
  <c r="U210" i="20" s="1"/>
  <c r="V313" i="20"/>
  <c r="V314" i="20" s="1"/>
  <c r="X209" i="20"/>
  <c r="X210" i="20" s="1"/>
  <c r="V331" i="20"/>
  <c r="V332" i="20" s="1"/>
  <c r="X285" i="20"/>
  <c r="X286" i="20" s="1"/>
  <c r="V309" i="20"/>
  <c r="V310" i="20" s="1"/>
  <c r="X273" i="20"/>
  <c r="X274" i="20" s="1"/>
  <c r="X301" i="20"/>
  <c r="X302" i="20" s="1"/>
  <c r="X287" i="20"/>
  <c r="X288" i="20" s="1"/>
  <c r="V339" i="20"/>
  <c r="V340" i="20" s="1"/>
  <c r="U219" i="20"/>
  <c r="U220" i="20" s="1"/>
  <c r="U233" i="20"/>
  <c r="U234" i="20" s="1"/>
  <c r="X331" i="20"/>
  <c r="X332" i="20" s="1"/>
  <c r="W261" i="20"/>
  <c r="W262" i="20" s="1"/>
  <c r="W325" i="20"/>
  <c r="W326" i="20" s="1"/>
  <c r="V297" i="20"/>
  <c r="V298" i="20" s="1"/>
  <c r="X281" i="20"/>
  <c r="X282" i="20" s="1"/>
  <c r="W245" i="20"/>
  <c r="W246" i="20" s="1"/>
  <c r="U261" i="20"/>
  <c r="U262" i="20" s="1"/>
  <c r="X347" i="20"/>
  <c r="X348" i="20" s="1"/>
  <c r="V227" i="20"/>
  <c r="V228" i="20" s="1"/>
  <c r="X295" i="20"/>
  <c r="X296" i="20" s="1"/>
  <c r="V299" i="20"/>
  <c r="V300" i="20" s="1"/>
  <c r="X235" i="20"/>
  <c r="X236" i="20" s="1"/>
  <c r="X233" i="20"/>
  <c r="X234" i="20" s="1"/>
  <c r="W299" i="20"/>
  <c r="W300" i="20" s="1"/>
  <c r="U235" i="20"/>
  <c r="U236" i="20" s="1"/>
  <c r="U317" i="20"/>
  <c r="U318" i="20" s="1"/>
  <c r="V315" i="20"/>
  <c r="V316" i="20" s="1"/>
  <c r="U331" i="20"/>
  <c r="U332" i="20" s="1"/>
  <c r="V275" i="20"/>
  <c r="V276" i="20" s="1"/>
  <c r="W219" i="20"/>
  <c r="W220" i="20" s="1"/>
  <c r="U295" i="20"/>
  <c r="U296" i="20" s="1"/>
  <c r="X251" i="20"/>
  <c r="X252" i="20" s="1"/>
  <c r="X321" i="20"/>
  <c r="X322" i="20" s="1"/>
  <c r="X247" i="20"/>
  <c r="X248" i="20" s="1"/>
  <c r="V285" i="20"/>
  <c r="V286" i="20" s="1"/>
  <c r="W337" i="20"/>
  <c r="W338" i="20" s="1"/>
  <c r="U303" i="20"/>
  <c r="U304" i="20" s="1"/>
  <c r="X297" i="20"/>
  <c r="X298" i="20" s="1"/>
  <c r="V279" i="20"/>
  <c r="V280" i="20" s="1"/>
  <c r="W253" i="20"/>
  <c r="W254" i="20" s="1"/>
  <c r="U271" i="20"/>
  <c r="U272" i="20" s="1"/>
  <c r="W241" i="20"/>
  <c r="W242" i="20" s="1"/>
  <c r="U231" i="20"/>
  <c r="U232" i="20" s="1"/>
  <c r="U343" i="20"/>
  <c r="U344" i="20" s="1"/>
  <c r="W303" i="20"/>
  <c r="W304" i="20" s="1"/>
  <c r="V303" i="20"/>
  <c r="V304" i="20" s="1"/>
  <c r="X253" i="20"/>
  <c r="X254" i="20" s="1"/>
  <c r="W319" i="20"/>
  <c r="W320" i="20" s="1"/>
  <c r="W289" i="20"/>
  <c r="W290" i="20" s="1"/>
  <c r="X239" i="20"/>
  <c r="X240" i="20" s="1"/>
  <c r="W231" i="20"/>
  <c r="W232" i="20" s="1"/>
  <c r="V209" i="20"/>
  <c r="V210" i="20" s="1"/>
  <c r="X313" i="20"/>
  <c r="X314" i="20" s="1"/>
  <c r="V241" i="20"/>
  <c r="V242" i="20" s="1"/>
  <c r="U279" i="20"/>
  <c r="U280" i="20" s="1"/>
  <c r="V217" i="20"/>
  <c r="V218" i="20" s="1"/>
  <c r="U249" i="20"/>
  <c r="U250" i="20" s="1"/>
  <c r="W301" i="20"/>
  <c r="W302" i="20" s="1"/>
  <c r="U313" i="20"/>
  <c r="U314" i="20" s="1"/>
  <c r="V259" i="20"/>
  <c r="V260" i="20" s="1"/>
  <c r="W321" i="20"/>
  <c r="W322" i="20" s="1"/>
  <c r="X299" i="20"/>
  <c r="X300" i="20" s="1"/>
  <c r="W297" i="20"/>
  <c r="W298" i="20" s="1"/>
  <c r="W265" i="20"/>
  <c r="W266" i="20" s="1"/>
  <c r="U281" i="20"/>
  <c r="U282" i="20" s="1"/>
  <c r="X245" i="20"/>
  <c r="X246" i="20" s="1"/>
  <c r="X269" i="20"/>
  <c r="X270" i="20" s="1"/>
  <c r="W327" i="20"/>
  <c r="W328" i="20" s="1"/>
  <c r="U223" i="20"/>
  <c r="U224" i="20" s="1"/>
  <c r="U339" i="20"/>
  <c r="U340" i="20" s="1"/>
  <c r="W275" i="20"/>
  <c r="W276" i="20" s="1"/>
  <c r="U227" i="20"/>
  <c r="U228" i="20" s="1"/>
  <c r="X257" i="20"/>
  <c r="X258" i="20" s="1"/>
  <c r="U259" i="20"/>
  <c r="U260" i="20" s="1"/>
  <c r="W339" i="20"/>
  <c r="W340" i="20" s="1"/>
  <c r="V261" i="20"/>
  <c r="V262" i="20" s="1"/>
  <c r="U347" i="20"/>
  <c r="U348" i="20" s="1"/>
  <c r="X343" i="20"/>
  <c r="X344" i="20" s="1"/>
  <c r="X261" i="20"/>
  <c r="X262" i="20" s="1"/>
  <c r="X225" i="20"/>
  <c r="X226" i="20" s="1"/>
  <c r="U207" i="20"/>
  <c r="U208" i="20" s="1"/>
  <c r="X333" i="20"/>
  <c r="X334" i="20" s="1"/>
  <c r="V333" i="20"/>
  <c r="V334" i="20" s="1"/>
  <c r="V207" i="20"/>
  <c r="V208" i="20" s="1"/>
  <c r="X293" i="20"/>
  <c r="X294" i="20" s="1"/>
  <c r="W227" i="20"/>
  <c r="W228" i="20" s="1"/>
  <c r="X207" i="20"/>
  <c r="X208" i="20" s="1"/>
  <c r="W211" i="20"/>
  <c r="W212" i="20" s="1"/>
  <c r="V247" i="20"/>
  <c r="V248" i="20" s="1"/>
  <c r="W307" i="20"/>
  <c r="W308" i="20" s="1"/>
  <c r="W267" i="20"/>
  <c r="W268" i="20" s="1"/>
  <c r="W305" i="20"/>
  <c r="W306" i="20" s="1"/>
  <c r="W291" i="20"/>
  <c r="W292" i="20" s="1"/>
  <c r="V229" i="20"/>
  <c r="V230" i="20" s="1"/>
  <c r="X323" i="20"/>
  <c r="X324" i="20" s="1"/>
  <c r="X341" i="20"/>
  <c r="X342" i="20" s="1"/>
  <c r="X283" i="20"/>
  <c r="X284" i="20" s="1"/>
  <c r="U283" i="20"/>
  <c r="U284" i="20" s="1"/>
  <c r="U213" i="20"/>
  <c r="U214" i="20" s="1"/>
  <c r="X243" i="20"/>
  <c r="X244" i="20" s="1"/>
  <c r="U243" i="20"/>
  <c r="U244" i="20" s="1"/>
  <c r="V335" i="20"/>
  <c r="V336" i="20" s="1"/>
  <c r="X319" i="20"/>
  <c r="X320" i="20" s="1"/>
  <c r="U273" i="20"/>
  <c r="U274" i="20" s="1"/>
  <c r="U255" i="20"/>
  <c r="U256" i="20" s="1"/>
  <c r="X241" i="20"/>
  <c r="X242" i="20" s="1"/>
  <c r="V327" i="20"/>
  <c r="V328" i="20" s="1"/>
  <c r="X265" i="20"/>
  <c r="X266" i="20" s="1"/>
  <c r="V257" i="20"/>
  <c r="V258" i="20" s="1"/>
  <c r="X231" i="20"/>
  <c r="X232" i="20" s="1"/>
  <c r="X327" i="20"/>
  <c r="X328" i="20" s="1"/>
  <c r="U263" i="20"/>
  <c r="U264" i="20" s="1"/>
  <c r="V249" i="20"/>
  <c r="V250" i="20" s="1"/>
  <c r="X271" i="20"/>
  <c r="X272" i="20" s="1"/>
  <c r="V219" i="20"/>
  <c r="V220" i="20" s="1"/>
  <c r="V233" i="20"/>
  <c r="V234" i="20" s="1"/>
  <c r="V281" i="20"/>
  <c r="V282" i="20" s="1"/>
  <c r="W269" i="20"/>
  <c r="W270" i="20" s="1"/>
  <c r="X317" i="20"/>
  <c r="X318" i="20" s="1"/>
  <c r="W285" i="20"/>
  <c r="W286" i="20" s="1"/>
  <c r="W217" i="20"/>
  <c r="W218" i="20" s="1"/>
  <c r="U269" i="20"/>
  <c r="U270" i="20" s="1"/>
  <c r="X325" i="20"/>
  <c r="X326" i="20" s="1"/>
  <c r="U301" i="20"/>
  <c r="U302" i="20" s="1"/>
  <c r="X205" i="20"/>
  <c r="X206" i="20" s="1"/>
  <c r="U293" i="20"/>
  <c r="U294" i="20" s="1"/>
  <c r="V225" i="20"/>
  <c r="V226" i="20" s="1"/>
  <c r="V329" i="20"/>
  <c r="V330" i="20" s="1"/>
  <c r="W329" i="20"/>
  <c r="W330" i="20" s="1"/>
  <c r="V305" i="20"/>
  <c r="V306" i="20" s="1"/>
  <c r="X305" i="20"/>
  <c r="X306" i="20" s="1"/>
  <c r="U323" i="20"/>
  <c r="U324" i="20" s="1"/>
  <c r="W335" i="20"/>
  <c r="W336" i="20" s="1"/>
  <c r="V337" i="20"/>
  <c r="V338" i="20" s="1"/>
  <c r="X229" i="20"/>
  <c r="X230" i="20" s="1"/>
  <c r="W283" i="20"/>
  <c r="W284" i="20" s="1"/>
  <c r="V213" i="20"/>
  <c r="V214" i="20" s="1"/>
  <c r="V243" i="20"/>
  <c r="V244" i="20" s="1"/>
  <c r="X335" i="20"/>
  <c r="X336" i="20" s="1"/>
  <c r="U327" i="20"/>
  <c r="U328" i="20" s="1"/>
  <c r="W271" i="20"/>
  <c r="W272" i="20" s="1"/>
  <c r="V239" i="20"/>
  <c r="V240" i="20" s="1"/>
  <c r="W233" i="20"/>
  <c r="W234" i="20" s="1"/>
  <c r="X337" i="20"/>
  <c r="X338" i="20" s="1"/>
  <c r="X303" i="20"/>
  <c r="X304" i="20" s="1"/>
  <c r="X309" i="20"/>
  <c r="X310" i="20" s="1"/>
  <c r="X221" i="20"/>
  <c r="X222" i="20" s="1"/>
  <c r="V345" i="20"/>
  <c r="V346" i="20" s="1"/>
  <c r="W277" i="20"/>
  <c r="W278" i="20" s="1"/>
  <c r="U217" i="20"/>
  <c r="U218" i="20" s="1"/>
  <c r="V317" i="20"/>
  <c r="V318" i="20" s="1"/>
  <c r="U287" i="20"/>
  <c r="U288" i="20" s="1"/>
  <c r="W237" i="20"/>
  <c r="W238" i="20" s="1"/>
  <c r="X223" i="20"/>
  <c r="X224" i="20" s="1"/>
  <c r="W331" i="20"/>
  <c r="W332" i="20" s="1"/>
  <c r="U319" i="20"/>
  <c r="U320" i="20" s="1"/>
  <c r="V269" i="20"/>
  <c r="V270" i="20" s="1"/>
  <c r="V205" i="20"/>
  <c r="V206" i="20" s="1"/>
  <c r="W259" i="20"/>
  <c r="W260" i="20" s="1"/>
  <c r="U299" i="20"/>
  <c r="U300" i="20" s="1"/>
  <c r="V273" i="20"/>
  <c r="V274" i="20" s="1"/>
  <c r="U225" i="20"/>
  <c r="U226" i="20" s="1"/>
  <c r="V211" i="20"/>
  <c r="V212" i="20" s="1"/>
  <c r="X227" i="20"/>
  <c r="X228" i="20" s="1"/>
  <c r="W287" i="20"/>
  <c r="W288" i="20" s="1"/>
  <c r="W229" i="20"/>
  <c r="W230" i="20" s="1"/>
  <c r="W323" i="20"/>
  <c r="W324" i="20" s="1"/>
  <c r="W341" i="20"/>
  <c r="W342" i="20" s="1"/>
  <c r="V283" i="20"/>
  <c r="V284" i="20" s="1"/>
  <c r="X213" i="20"/>
  <c r="X214" i="20" s="1"/>
  <c r="X267" i="20"/>
  <c r="X268" i="20" s="1"/>
  <c r="V237" i="20"/>
  <c r="V238" i="20" s="1"/>
  <c r="W313" i="20"/>
  <c r="W314" i="20" s="1"/>
  <c r="U265" i="20"/>
  <c r="U266" i="20" s="1"/>
  <c r="U277" i="20"/>
  <c r="U278" i="20" s="1"/>
  <c r="X217" i="20"/>
  <c r="X218" i="20" s="1"/>
  <c r="X315" i="20"/>
  <c r="X316" i="20" s="1"/>
  <c r="V253" i="20"/>
  <c r="V254" i="20" s="1"/>
  <c r="X279" i="20"/>
  <c r="X280" i="20" s="1"/>
  <c r="X249" i="20"/>
  <c r="X250" i="20" s="1"/>
  <c r="X311" i="20"/>
  <c r="X312" i="20" s="1"/>
  <c r="W273" i="20"/>
  <c r="W274" i="20" s="1"/>
  <c r="W249" i="20"/>
  <c r="W250" i="20" s="1"/>
  <c r="U239" i="20"/>
  <c r="U240" i="20" s="1"/>
  <c r="V295" i="20"/>
  <c r="V296" i="20" s="1"/>
  <c r="V255" i="20"/>
  <c r="V256" i="20" s="1"/>
  <c r="X259" i="20"/>
  <c r="X260" i="20" s="1"/>
  <c r="V293" i="20"/>
  <c r="V294" i="20" s="1"/>
  <c r="W333" i="20"/>
  <c r="W334" i="20" s="1"/>
  <c r="W235" i="20"/>
  <c r="W236" i="20" s="1"/>
  <c r="V301" i="20"/>
  <c r="V302" i="20" s="1"/>
  <c r="V215" i="20"/>
  <c r="V216" i="20" s="1"/>
  <c r="W207" i="20"/>
  <c r="W208" i="20" s="1"/>
  <c r="V271" i="20"/>
  <c r="V272" i="20" s="1"/>
  <c r="U289" i="20"/>
  <c r="U290" i="20" s="1"/>
  <c r="V347" i="20"/>
  <c r="V348" i="20" s="1"/>
  <c r="U205" i="20"/>
  <c r="U206" i="20" s="1"/>
  <c r="V127" i="20" s="1" a="1"/>
  <c r="V127" i="20" s="1"/>
  <c r="X329" i="20"/>
  <c r="X330" i="20" s="1"/>
  <c r="X291" i="20"/>
  <c r="X292" i="20" s="1"/>
  <c r="V291" i="20"/>
  <c r="V292" i="20" s="1"/>
  <c r="W247" i="20"/>
  <c r="W248" i="20" s="1"/>
  <c r="U237" i="20"/>
  <c r="U238" i="20" s="1"/>
  <c r="V307" i="20"/>
  <c r="V308" i="20" s="1"/>
  <c r="W315" i="20"/>
  <c r="W316" i="20" s="1"/>
  <c r="W255" i="20"/>
  <c r="W256" i="20" s="1"/>
  <c r="X289" i="20"/>
  <c r="X290" i="20" s="1"/>
  <c r="U221" i="20"/>
  <c r="U222" i="20" s="1"/>
  <c r="U315" i="20"/>
  <c r="U316" i="20" s="1"/>
  <c r="W279" i="20"/>
  <c r="W280" i="20" s="1"/>
  <c r="V319" i="20"/>
  <c r="V320" i="20" s="1"/>
  <c r="W221" i="20"/>
  <c r="W222" i="20" s="1"/>
  <c r="W345" i="20"/>
  <c r="W346" i="20" s="1"/>
  <c r="V263" i="20"/>
  <c r="V264" i="20" s="1"/>
  <c r="U4" i="20"/>
  <c r="W343" i="20"/>
  <c r="W344" i="20" s="1"/>
  <c r="V245" i="20"/>
  <c r="V246" i="20" s="1"/>
  <c r="V343" i="20"/>
  <c r="V344" i="20" s="1"/>
  <c r="V223" i="20"/>
  <c r="V224" i="20" s="1"/>
  <c r="X339" i="20"/>
  <c r="X340" i="20" s="1"/>
  <c r="W263" i="20"/>
  <c r="W264" i="20" s="1"/>
  <c r="U215" i="20"/>
  <c r="U216" i="20" s="1"/>
  <c r="W205" i="20"/>
  <c r="W206" i="20" s="1"/>
  <c r="V287" i="20"/>
  <c r="V288" i="20" s="1"/>
  <c r="W225" i="20"/>
  <c r="W226" i="20" s="1"/>
  <c r="U253" i="20"/>
  <c r="U254" i="20" s="1"/>
  <c r="W347" i="20"/>
  <c r="W348" i="20" s="1"/>
  <c r="U321" i="20"/>
  <c r="U322" i="20" s="1"/>
  <c r="V289" i="20"/>
  <c r="V290" i="20" s="1"/>
  <c r="U245" i="20"/>
  <c r="U246" i="20" s="1"/>
  <c r="V321" i="20"/>
  <c r="V322" i="20" s="1"/>
  <c r="V235" i="20"/>
  <c r="V236" i="20" s="1"/>
  <c r="U325" i="20"/>
  <c r="U326" i="20" s="1"/>
  <c r="U329" i="20"/>
  <c r="U330" i="20" s="1"/>
  <c r="U305" i="20"/>
  <c r="U306" i="20" s="1"/>
  <c r="U291" i="20"/>
  <c r="U292" i="20" s="1"/>
  <c r="U229" i="20"/>
  <c r="U230" i="20" s="1"/>
  <c r="V323" i="20"/>
  <c r="V324" i="20" s="1"/>
  <c r="V341" i="20"/>
  <c r="V342" i="20" s="1"/>
  <c r="U341" i="20"/>
  <c r="U342" i="20" s="1"/>
  <c r="W213" i="20"/>
  <c r="W214" i="20" s="1"/>
  <c r="U335" i="20"/>
  <c r="U336" i="20" s="1"/>
  <c r="W243" i="20"/>
  <c r="W244" i="20" s="1"/>
  <c r="H80" i="22"/>
  <c r="H93" i="22"/>
  <c r="H54" i="22"/>
  <c r="X377" i="20"/>
  <c r="X383" i="20"/>
  <c r="V377" i="20"/>
  <c r="V383" i="20"/>
  <c r="U381" i="20"/>
  <c r="U370" i="20" s="1"/>
  <c r="W397" i="20"/>
  <c r="B330" i="17"/>
  <c r="C64" i="15"/>
  <c r="AM239" i="17"/>
  <c r="W121" i="21"/>
  <c r="AC112" i="11"/>
  <c r="M356" i="17"/>
  <c r="AL71" i="17"/>
  <c r="AA71" i="17"/>
  <c r="M71" i="17"/>
  <c r="Y71" i="17"/>
  <c r="O71" i="17"/>
  <c r="F71" i="17"/>
  <c r="N71" i="17"/>
  <c r="AM71" i="17"/>
  <c r="AO71" i="17"/>
  <c r="AQ71" i="17"/>
  <c r="AN26" i="17"/>
  <c r="O69" i="17"/>
  <c r="E16" i="34"/>
  <c r="E36" i="34" s="1"/>
  <c r="W379" i="20"/>
  <c r="W368" i="20" s="1"/>
  <c r="V382" i="20"/>
  <c r="V371" i="20" s="1"/>
  <c r="V397" i="20"/>
  <c r="AW260" i="17"/>
  <c r="AW261" i="17" s="1"/>
  <c r="AW262" i="17" s="1"/>
  <c r="AW263" i="17" s="1"/>
  <c r="AW264" i="17" s="1"/>
  <c r="K264" i="17"/>
  <c r="AD264" i="17"/>
  <c r="N264" i="17"/>
  <c r="AU264" i="17"/>
  <c r="AH264" i="17"/>
  <c r="T264" i="17"/>
  <c r="AE264" i="17"/>
  <c r="AG264" i="17"/>
  <c r="U264" i="17"/>
  <c r="Z264" i="17"/>
  <c r="AF264" i="17"/>
  <c r="AC264" i="17"/>
  <c r="J264" i="17"/>
  <c r="AR264" i="17"/>
  <c r="AV264" i="17"/>
  <c r="V264" i="17"/>
  <c r="AB264" i="17"/>
  <c r="AT264" i="17"/>
  <c r="I264" i="17"/>
  <c r="AN264" i="17"/>
  <c r="AL264" i="17"/>
  <c r="Q264" i="17"/>
  <c r="AM264" i="17"/>
  <c r="M264" i="17"/>
  <c r="AQ264" i="17"/>
  <c r="AS264" i="17"/>
  <c r="L264" i="17"/>
  <c r="P264" i="17"/>
  <c r="E264" i="17"/>
  <c r="H264" i="17"/>
  <c r="AA264" i="17"/>
  <c r="O264" i="17"/>
  <c r="AJ264" i="17"/>
  <c r="S264" i="17"/>
  <c r="F264" i="17"/>
  <c r="G264" i="17"/>
  <c r="AK264" i="17"/>
  <c r="AP264" i="17"/>
  <c r="Y264" i="17"/>
  <c r="W264" i="17"/>
  <c r="R264" i="17"/>
  <c r="AI264" i="17"/>
  <c r="X264" i="17"/>
  <c r="AO264" i="17"/>
  <c r="D129" i="17"/>
  <c r="CO33" i="29"/>
  <c r="CO21" i="29"/>
  <c r="CO22" i="29"/>
  <c r="CO23" i="29"/>
  <c r="DO7" i="29"/>
  <c r="DP28" i="29"/>
  <c r="DO6" i="29"/>
  <c r="DP11" i="29"/>
  <c r="DP15" i="29"/>
  <c r="DP27" i="29"/>
  <c r="DP25" i="29"/>
  <c r="DP19" i="29"/>
  <c r="EO4" i="29"/>
  <c r="DO5" i="29"/>
  <c r="DP17" i="29"/>
  <c r="DP18" i="29"/>
  <c r="DP16" i="29"/>
  <c r="AN6" i="11"/>
  <c r="E515" i="17"/>
  <c r="F515" i="17" s="1"/>
  <c r="G515" i="17" s="1"/>
  <c r="H515" i="17" s="1"/>
  <c r="I515" i="17" s="1"/>
  <c r="J515" i="17" s="1"/>
  <c r="K515" i="17" s="1"/>
  <c r="L515" i="17" s="1"/>
  <c r="M515" i="17" s="1"/>
  <c r="N515" i="17" s="1"/>
  <c r="O515" i="17" s="1"/>
  <c r="P515" i="17" s="1"/>
  <c r="Q515" i="17" s="1"/>
  <c r="R515" i="17" s="1"/>
  <c r="S515" i="17" s="1"/>
  <c r="T515" i="17" s="1"/>
  <c r="U515" i="17" s="1"/>
  <c r="V515" i="17" s="1"/>
  <c r="W515" i="17" s="1"/>
  <c r="E513" i="17"/>
  <c r="F513" i="17" s="1"/>
  <c r="G513" i="17" s="1"/>
  <c r="H513" i="17" s="1"/>
  <c r="I513" i="17" s="1"/>
  <c r="J513" i="17" s="1"/>
  <c r="K513" i="17" s="1"/>
  <c r="L513" i="17" s="1"/>
  <c r="M513" i="17" s="1"/>
  <c r="N513" i="17" s="1"/>
  <c r="O513" i="17" s="1"/>
  <c r="P513" i="17" s="1"/>
  <c r="Q513" i="17" s="1"/>
  <c r="R513" i="17" s="1"/>
  <c r="S513" i="17" s="1"/>
  <c r="T513" i="17" s="1"/>
  <c r="U513" i="17" s="1"/>
  <c r="Y3" i="17"/>
  <c r="E514" i="17"/>
  <c r="F514" i="17" s="1"/>
  <c r="G514" i="17" s="1"/>
  <c r="H514" i="17" s="1"/>
  <c r="I514" i="17" s="1"/>
  <c r="J514" i="17" s="1"/>
  <c r="K514" i="17" s="1"/>
  <c r="L514" i="17" s="1"/>
  <c r="M514" i="17" s="1"/>
  <c r="N514" i="17" s="1"/>
  <c r="O514" i="17" s="1"/>
  <c r="P514" i="17" s="1"/>
  <c r="Q514" i="17" s="1"/>
  <c r="R514" i="17" s="1"/>
  <c r="S514" i="17" s="1"/>
  <c r="T514" i="17" s="1"/>
  <c r="U514" i="17" s="1"/>
  <c r="V514" i="17" s="1"/>
  <c r="E516" i="17"/>
  <c r="F516" i="17" s="1"/>
  <c r="G516" i="17" s="1"/>
  <c r="H516" i="17" s="1"/>
  <c r="I516" i="17" s="1"/>
  <c r="J516" i="17" s="1"/>
  <c r="K516" i="17" s="1"/>
  <c r="L516" i="17" s="1"/>
  <c r="M516" i="17" s="1"/>
  <c r="N516" i="17" s="1"/>
  <c r="O516" i="17" s="1"/>
  <c r="P516" i="17" s="1"/>
  <c r="Q516" i="17" s="1"/>
  <c r="R516" i="17" s="1"/>
  <c r="S516" i="17" s="1"/>
  <c r="T516" i="17" s="1"/>
  <c r="U516" i="17" s="1"/>
  <c r="V516" i="17" s="1"/>
  <c r="W516" i="17" s="1"/>
  <c r="X516" i="17" s="1"/>
  <c r="T138" i="20" a="1"/>
  <c r="T138" i="20" s="1"/>
  <c r="I24" i="17"/>
  <c r="AK8" i="17"/>
  <c r="L8" i="17"/>
  <c r="L5" i="17" s="1"/>
  <c r="AC56" i="17"/>
  <c r="D81" i="17"/>
  <c r="C61" i="15"/>
  <c r="B315" i="17"/>
  <c r="D189" i="17"/>
  <c r="AE8" i="17"/>
  <c r="AA86" i="11"/>
  <c r="AA85" i="11" s="1"/>
  <c r="AA352" i="11" s="1"/>
  <c r="Y86" i="11"/>
  <c r="AB56" i="17"/>
  <c r="Q56" i="17"/>
  <c r="AE26" i="17"/>
  <c r="AA56" i="17"/>
  <c r="AT26" i="17"/>
  <c r="U239" i="17"/>
  <c r="F216" i="17"/>
  <c r="M121" i="21"/>
  <c r="B87" i="11"/>
  <c r="BF14" i="29"/>
  <c r="BE14" i="29" s="1"/>
  <c r="AN216" i="17"/>
  <c r="AL216" i="17"/>
  <c r="X216" i="17"/>
  <c r="O216" i="17"/>
  <c r="AV56" i="17"/>
  <c r="P26" i="17"/>
  <c r="I356" i="17"/>
  <c r="BS18" i="29"/>
  <c r="BS27" i="29"/>
  <c r="T188" i="19"/>
  <c r="R188" i="19" s="1"/>
  <c r="H141" i="19"/>
  <c r="F141" i="19" s="1"/>
  <c r="U6" i="11"/>
  <c r="CC25" i="29"/>
  <c r="CC27" i="29"/>
  <c r="D291" i="17"/>
  <c r="G69" i="17"/>
  <c r="X6" i="10"/>
  <c r="X26" i="10" s="1"/>
  <c r="AH8" i="17"/>
  <c r="Y79" i="17"/>
  <c r="Y221" i="22" s="1"/>
  <c r="F86" i="11"/>
  <c r="AQ86" i="11"/>
  <c r="H86" i="11"/>
  <c r="I86" i="11"/>
  <c r="Q79" i="17"/>
  <c r="E86" i="11"/>
  <c r="L86" i="11"/>
  <c r="D86" i="11"/>
  <c r="AG56" i="17"/>
  <c r="AK56" i="17"/>
  <c r="AE151" i="11"/>
  <c r="M86" i="11"/>
  <c r="V13" i="17"/>
  <c r="V10" i="17" s="1"/>
  <c r="J239" i="17"/>
  <c r="J219" i="17" s="1"/>
  <c r="AS56" i="17"/>
  <c r="I51" i="17"/>
  <c r="J26" i="17"/>
  <c r="W51" i="17"/>
  <c r="AG71" i="17"/>
  <c r="R71" i="17"/>
  <c r="G71" i="17"/>
  <c r="K71" i="17"/>
  <c r="AF71" i="17"/>
  <c r="V71" i="17"/>
  <c r="W71" i="17"/>
  <c r="AE71" i="17"/>
  <c r="AR71" i="17"/>
  <c r="AI26" i="17"/>
  <c r="AM56" i="17"/>
  <c r="F112" i="11"/>
  <c r="N187" i="19"/>
  <c r="J101" i="9" s="1"/>
  <c r="P101" i="9" s="1"/>
  <c r="G51" i="17"/>
  <c r="AM69" i="17"/>
  <c r="AJ69" i="17"/>
  <c r="N69" i="17"/>
  <c r="W69" i="17"/>
  <c r="AQ69" i="17"/>
  <c r="AR221" i="17"/>
  <c r="AC221" i="17"/>
  <c r="AI221" i="17"/>
  <c r="AG221" i="17"/>
  <c r="AN221" i="17"/>
  <c r="T376" i="20"/>
  <c r="V381" i="20"/>
  <c r="V370" i="20" s="1"/>
  <c r="W378" i="20"/>
  <c r="W367" i="20" s="1"/>
  <c r="U377" i="20"/>
  <c r="U383" i="20"/>
  <c r="W377" i="20"/>
  <c r="W383" i="20"/>
  <c r="U382" i="20"/>
  <c r="U371" i="20" s="1"/>
  <c r="W380" i="20"/>
  <c r="W369" i="20" s="1"/>
  <c r="V380" i="20"/>
  <c r="V369" i="20" s="1"/>
  <c r="W390" i="20"/>
  <c r="CO11" i="29"/>
  <c r="CO19" i="29"/>
  <c r="CO17" i="29"/>
  <c r="S138" i="20" a="1"/>
  <c r="S138" i="20" s="1"/>
  <c r="C167" i="19"/>
  <c r="C166" i="19"/>
  <c r="J24" i="29"/>
  <c r="I24" i="29" s="1"/>
  <c r="B167" i="11"/>
  <c r="C71" i="8"/>
  <c r="J71" i="8" s="1"/>
  <c r="J18" i="23"/>
  <c r="K18" i="23" s="1"/>
  <c r="AI112" i="11"/>
  <c r="L112" i="11"/>
  <c r="CW17" i="29"/>
  <c r="CW25" i="29"/>
  <c r="M52" i="34"/>
  <c r="L59" i="34"/>
  <c r="V86" i="11"/>
  <c r="V26" i="17"/>
  <c r="AJ26" i="17"/>
  <c r="E26" i="17"/>
  <c r="BK9" i="29"/>
  <c r="BI19" i="29"/>
  <c r="BI18" i="29"/>
  <c r="AH146" i="17"/>
  <c r="AJ8" i="17"/>
  <c r="AQ20" i="13" s="1"/>
  <c r="H24" i="17"/>
  <c r="AH121" i="21"/>
  <c r="N24" i="29"/>
  <c r="N20" i="29" s="1"/>
  <c r="I112" i="11"/>
  <c r="AD26" i="17"/>
  <c r="S26" i="17"/>
  <c r="H26" i="17"/>
  <c r="BI17" i="29"/>
  <c r="BI28" i="29"/>
  <c r="AD13" i="17"/>
  <c r="AD10" i="17" s="1"/>
  <c r="Q4" i="34"/>
  <c r="R4" i="34" s="1"/>
  <c r="S4" i="34" s="1"/>
  <c r="T4" i="34" s="1"/>
  <c r="U3" i="34"/>
  <c r="W8" i="17"/>
  <c r="N184" i="19"/>
  <c r="S121" i="21"/>
  <c r="AV26" i="17"/>
  <c r="F26" i="17"/>
  <c r="N216" i="17"/>
  <c r="N186" i="19"/>
  <c r="L186" i="19" s="1"/>
  <c r="E6" i="11"/>
  <c r="V112" i="11"/>
  <c r="G26" i="17"/>
  <c r="AG26" i="17"/>
  <c r="Y26" i="17"/>
  <c r="T26" i="17"/>
  <c r="I8" i="17"/>
  <c r="I5" i="17" s="1"/>
  <c r="B72" i="11"/>
  <c r="AD8" i="17"/>
  <c r="AP151" i="11"/>
  <c r="AR112" i="11"/>
  <c r="AU26" i="17"/>
  <c r="AL26" i="17"/>
  <c r="CC24" i="29"/>
  <c r="DA16" i="29"/>
  <c r="BK25" i="29"/>
  <c r="BK11" i="29"/>
  <c r="BY9" i="29"/>
  <c r="BI25" i="29"/>
  <c r="BI16" i="29"/>
  <c r="G24" i="17"/>
  <c r="D361" i="17"/>
  <c r="CE28" i="29"/>
  <c r="N189" i="19"/>
  <c r="AO112" i="11"/>
  <c r="AG16" i="29"/>
  <c r="AF26" i="17"/>
  <c r="BS9" i="29"/>
  <c r="AD112" i="11"/>
  <c r="AD85" i="11" s="1"/>
  <c r="O26" i="17"/>
  <c r="C45" i="8"/>
  <c r="J45" i="8" s="1"/>
  <c r="BI9" i="29"/>
  <c r="CE25" i="29"/>
  <c r="E36" i="17"/>
  <c r="O36" i="17"/>
  <c r="P36" i="17"/>
  <c r="G36" i="17"/>
  <c r="AL36" i="17"/>
  <c r="I36" i="17"/>
  <c r="M36" i="17"/>
  <c r="AO36" i="17"/>
  <c r="F36" i="17"/>
  <c r="U36" i="17"/>
  <c r="AF36" i="17"/>
  <c r="K36" i="17"/>
  <c r="Q36" i="17"/>
  <c r="AI36" i="17"/>
  <c r="AE36" i="17"/>
  <c r="AV36" i="17"/>
  <c r="N36" i="17"/>
  <c r="X36" i="17"/>
  <c r="AB36" i="17"/>
  <c r="H36" i="17"/>
  <c r="Z239" i="17"/>
  <c r="R36" i="17"/>
  <c r="AH36" i="17"/>
  <c r="AL239" i="17"/>
  <c r="X356" i="17"/>
  <c r="AL356" i="17"/>
  <c r="AO356" i="17"/>
  <c r="AR356" i="17"/>
  <c r="AT239" i="17"/>
  <c r="G239" i="17"/>
  <c r="AS36" i="17"/>
  <c r="E56" i="17"/>
  <c r="AL56" i="17"/>
  <c r="T56" i="17"/>
  <c r="AP56" i="17"/>
  <c r="F56" i="17"/>
  <c r="M56" i="17"/>
  <c r="J56" i="17"/>
  <c r="U56" i="17"/>
  <c r="O56" i="17"/>
  <c r="AU56" i="17"/>
  <c r="N239" i="17"/>
  <c r="AG36" i="17"/>
  <c r="G58" i="34"/>
  <c r="G20" i="34" s="1"/>
  <c r="D4" i="27"/>
  <c r="F4" i="27"/>
  <c r="AE70" i="17"/>
  <c r="AE13" i="17"/>
  <c r="AE10" i="17" s="1"/>
  <c r="F70" i="17"/>
  <c r="F13" i="17"/>
  <c r="F10" i="17" s="1"/>
  <c r="AG70" i="17"/>
  <c r="AG13" i="17"/>
  <c r="AG10" i="17" s="1"/>
  <c r="Y69" i="17"/>
  <c r="CZ28" i="29"/>
  <c r="DY4" i="29"/>
  <c r="CZ19" i="29"/>
  <c r="CZ27" i="29"/>
  <c r="CZ16" i="29"/>
  <c r="CY6" i="29"/>
  <c r="CZ18" i="29"/>
  <c r="CZ15" i="29"/>
  <c r="CZ25" i="29"/>
  <c r="CZ17" i="29"/>
  <c r="CZ11" i="29"/>
  <c r="CY5" i="29"/>
  <c r="CY7" i="29"/>
  <c r="M154" i="17"/>
  <c r="AS154" i="17"/>
  <c r="G154" i="17"/>
  <c r="V154" i="17"/>
  <c r="AN154" i="17"/>
  <c r="AH154" i="17"/>
  <c r="E45" i="27"/>
  <c r="F44" i="27"/>
  <c r="D44" i="27" s="1"/>
  <c r="AQ70" i="17"/>
  <c r="AQ13" i="17"/>
  <c r="AQ10" i="17" s="1"/>
  <c r="D374" i="17"/>
  <c r="G464" i="17"/>
  <c r="AC464" i="17"/>
  <c r="P464" i="17"/>
  <c r="J464" i="17"/>
  <c r="L464" i="17"/>
  <c r="V464" i="17"/>
  <c r="AR464" i="17"/>
  <c r="Q464" i="17"/>
  <c r="F464" i="17"/>
  <c r="AL464" i="17"/>
  <c r="AA464" i="17"/>
  <c r="AH464" i="17"/>
  <c r="M464" i="17"/>
  <c r="AE464" i="17"/>
  <c r="AG464" i="17"/>
  <c r="AQ464" i="17"/>
  <c r="AO464" i="17"/>
  <c r="X464" i="17"/>
  <c r="AN464" i="17"/>
  <c r="E464" i="17"/>
  <c r="AK464" i="17"/>
  <c r="H464" i="17"/>
  <c r="AM464" i="17"/>
  <c r="AV464" i="17"/>
  <c r="I464" i="17"/>
  <c r="U464" i="17"/>
  <c r="AU464" i="17"/>
  <c r="T464" i="17"/>
  <c r="W464" i="17"/>
  <c r="AJ464" i="17"/>
  <c r="AW460" i="17"/>
  <c r="AW461" i="17" s="1"/>
  <c r="AW462" i="17" s="1"/>
  <c r="AW463" i="17" s="1"/>
  <c r="AW464" i="17" s="1"/>
  <c r="Z464" i="17"/>
  <c r="R464" i="17"/>
  <c r="S464" i="17"/>
  <c r="O464" i="17"/>
  <c r="Y464" i="17"/>
  <c r="AD464" i="17"/>
  <c r="N464" i="17"/>
  <c r="AF464" i="17"/>
  <c r="AT464" i="17"/>
  <c r="K464" i="17"/>
  <c r="AB464" i="17"/>
  <c r="AS464" i="17"/>
  <c r="AP464" i="17"/>
  <c r="AI464" i="17"/>
  <c r="Q70" i="17"/>
  <c r="Q13" i="17"/>
  <c r="Q10" i="17" s="1"/>
  <c r="AO70" i="17"/>
  <c r="AO13" i="17"/>
  <c r="AO10" i="17" s="1"/>
  <c r="M239" i="17"/>
  <c r="AC239" i="17"/>
  <c r="AW235" i="17"/>
  <c r="AW236" i="17" s="1"/>
  <c r="AW237" i="17" s="1"/>
  <c r="AW238" i="17" s="1"/>
  <c r="AW239" i="17" s="1"/>
  <c r="AS239" i="17"/>
  <c r="AB239" i="17"/>
  <c r="Y239" i="17"/>
  <c r="AR239" i="17"/>
  <c r="F239" i="17"/>
  <c r="S239" i="17"/>
  <c r="I239" i="17"/>
  <c r="AU239" i="17"/>
  <c r="O239" i="17"/>
  <c r="AQ239" i="17"/>
  <c r="H239" i="17"/>
  <c r="W239" i="17"/>
  <c r="Q239" i="17"/>
  <c r="AA239" i="17"/>
  <c r="AE239" i="17"/>
  <c r="X239" i="17"/>
  <c r="AF239" i="17"/>
  <c r="T239" i="17"/>
  <c r="AD239" i="17"/>
  <c r="D89" i="17"/>
  <c r="N8" i="17"/>
  <c r="P20" i="13" s="1"/>
  <c r="G79" i="17"/>
  <c r="G14" i="20" s="1"/>
  <c r="P24" i="29"/>
  <c r="P20" i="29" s="1"/>
  <c r="P14" i="29" s="1"/>
  <c r="G172" i="19"/>
  <c r="AJ239" i="17"/>
  <c r="CE19" i="29"/>
  <c r="CE11" i="29"/>
  <c r="D73" i="17"/>
  <c r="D70" i="17" s="1"/>
  <c r="AK239" i="17"/>
  <c r="AK221" i="22"/>
  <c r="AG8" i="17"/>
  <c r="AG5" i="17" s="1"/>
  <c r="G174" i="19"/>
  <c r="R112" i="11"/>
  <c r="AV239" i="17"/>
  <c r="CE18" i="29"/>
  <c r="CE27" i="29"/>
  <c r="K239" i="17"/>
  <c r="AG11" i="29"/>
  <c r="J36" i="17"/>
  <c r="AT36" i="17"/>
  <c r="K85" i="11"/>
  <c r="K260" i="11" s="1"/>
  <c r="Q356" i="17"/>
  <c r="AA36" i="17"/>
  <c r="AC36" i="17"/>
  <c r="AM36" i="17"/>
  <c r="G56" i="17"/>
  <c r="Z56" i="17"/>
  <c r="AP36" i="17"/>
  <c r="K69" i="17"/>
  <c r="M69" i="17"/>
  <c r="AP69" i="17"/>
  <c r="E69" i="17"/>
  <c r="D419" i="17"/>
  <c r="AS69" i="17"/>
  <c r="AT69" i="17"/>
  <c r="H69" i="17"/>
  <c r="AD69" i="17"/>
  <c r="AV69" i="17"/>
  <c r="B124" i="11"/>
  <c r="B350" i="17"/>
  <c r="C68" i="15"/>
  <c r="Z8" i="17"/>
  <c r="D7" i="17"/>
  <c r="AT6" i="17" s="1"/>
  <c r="BR24" i="29"/>
  <c r="BQ24" i="29" s="1"/>
  <c r="CE17" i="29"/>
  <c r="CE16" i="29"/>
  <c r="CE24" i="29"/>
  <c r="AN239" i="17"/>
  <c r="AP239" i="17"/>
  <c r="S36" i="17"/>
  <c r="AJ36" i="17"/>
  <c r="R171" i="19"/>
  <c r="T186" i="19"/>
  <c r="L100" i="9" s="1"/>
  <c r="R100" i="9" s="1"/>
  <c r="AC356" i="17"/>
  <c r="AH239" i="17"/>
  <c r="Q216" i="17"/>
  <c r="U216" i="17"/>
  <c r="P239" i="17"/>
  <c r="Y216" i="17"/>
  <c r="W36" i="17"/>
  <c r="AG239" i="17"/>
  <c r="V239" i="17"/>
  <c r="C6" i="11"/>
  <c r="AK36" i="17"/>
  <c r="E51" i="22"/>
  <c r="D444" i="17"/>
  <c r="H88" i="22"/>
  <c r="H75" i="22"/>
  <c r="H49" i="22"/>
  <c r="BN33" i="10"/>
  <c r="BN14" i="10"/>
  <c r="BN32" i="10" s="1"/>
  <c r="BN27" i="10"/>
  <c r="BN26" i="10"/>
  <c r="BN9" i="10"/>
  <c r="BN21" i="10"/>
  <c r="BN28" i="10"/>
  <c r="J23" i="9"/>
  <c r="BN16" i="10"/>
  <c r="BN17" i="10"/>
  <c r="G56" i="22"/>
  <c r="G82" i="22"/>
  <c r="G95" i="22"/>
  <c r="Y112" i="11"/>
  <c r="C84" i="8"/>
  <c r="J84" i="8" s="1"/>
  <c r="AH17" i="10"/>
  <c r="AH21" i="10"/>
  <c r="H17" i="9"/>
  <c r="AH26" i="10"/>
  <c r="AH27" i="10"/>
  <c r="AH14" i="10"/>
  <c r="AH32" i="10" s="1"/>
  <c r="AH28" i="10"/>
  <c r="AH33" i="10"/>
  <c r="AH16" i="10"/>
  <c r="AS70" i="17"/>
  <c r="AS13" i="17"/>
  <c r="AS10" i="17" s="1"/>
  <c r="U69" i="17"/>
  <c r="Q69" i="17"/>
  <c r="AC69" i="17"/>
  <c r="Z69" i="17"/>
  <c r="L69" i="17"/>
  <c r="P69" i="17"/>
  <c r="AB69" i="17"/>
  <c r="AN69" i="17"/>
  <c r="U70" i="17"/>
  <c r="U13" i="17"/>
  <c r="U10" i="17" s="1"/>
  <c r="V28" i="10"/>
  <c r="V33" i="10"/>
  <c r="M70" i="17"/>
  <c r="M13" i="17"/>
  <c r="M10" i="17" s="1"/>
  <c r="C76" i="16"/>
  <c r="BK21" i="29"/>
  <c r="BK22" i="29"/>
  <c r="BK23" i="29"/>
  <c r="BK33" i="29"/>
  <c r="AP70" i="17"/>
  <c r="AP13" i="17"/>
  <c r="AP10" i="17" s="1"/>
  <c r="BZ21" i="10"/>
  <c r="BZ28" i="10"/>
  <c r="BZ27" i="10"/>
  <c r="BZ33" i="10"/>
  <c r="BZ17" i="10"/>
  <c r="BZ16" i="10"/>
  <c r="BZ26" i="10"/>
  <c r="K22" i="9"/>
  <c r="BZ14" i="10"/>
  <c r="BZ32" i="10" s="1"/>
  <c r="Z70" i="17"/>
  <c r="Z13" i="17"/>
  <c r="Z10" i="17" s="1"/>
  <c r="G7" i="22"/>
  <c r="G6" i="22" s="1"/>
  <c r="BC6" i="10"/>
  <c r="CJ12" i="29" s="1"/>
  <c r="D489" i="17"/>
  <c r="BY21" i="29"/>
  <c r="BY22" i="29"/>
  <c r="BY33" i="29"/>
  <c r="BY23" i="29"/>
  <c r="BY17" i="29"/>
  <c r="BY28" i="29"/>
  <c r="AN27" i="10"/>
  <c r="AN17" i="10"/>
  <c r="AN21" i="10"/>
  <c r="H23" i="9"/>
  <c r="AN16" i="10"/>
  <c r="AN33" i="10"/>
  <c r="AN14" i="10"/>
  <c r="AN28" i="10"/>
  <c r="AN9" i="10"/>
  <c r="AN26" i="10"/>
  <c r="BF12" i="29"/>
  <c r="T154" i="17"/>
  <c r="T222" i="22" s="1"/>
  <c r="K154" i="17"/>
  <c r="AO154" i="17"/>
  <c r="AE154" i="17"/>
  <c r="AR70" i="17"/>
  <c r="AR13" i="17"/>
  <c r="AR10" i="17" s="1"/>
  <c r="BU16" i="10"/>
  <c r="BU14" i="10"/>
  <c r="BU32" i="10" s="1"/>
  <c r="K17" i="9"/>
  <c r="BU28" i="10"/>
  <c r="BU17" i="10"/>
  <c r="BU21" i="10"/>
  <c r="BU33" i="10"/>
  <c r="BU26" i="10"/>
  <c r="BU27" i="10"/>
  <c r="CJ28" i="29"/>
  <c r="CJ25" i="29"/>
  <c r="CJ17" i="29"/>
  <c r="DI4" i="29"/>
  <c r="DJ24" i="29" s="1"/>
  <c r="CJ16" i="29"/>
  <c r="CJ15" i="29"/>
  <c r="CI7" i="29"/>
  <c r="CJ19" i="29"/>
  <c r="CI6" i="29"/>
  <c r="CJ18" i="29"/>
  <c r="CI5" i="29"/>
  <c r="CJ27" i="29"/>
  <c r="CJ11" i="29"/>
  <c r="J70" i="17"/>
  <c r="J13" i="17"/>
  <c r="J10" i="17" s="1"/>
  <c r="R359" i="11"/>
  <c r="J359" i="11"/>
  <c r="AC359" i="11"/>
  <c r="Z359" i="11"/>
  <c r="AG359" i="11"/>
  <c r="P104" i="9"/>
  <c r="AQ359" i="11"/>
  <c r="AS359" i="11"/>
  <c r="AM359" i="11"/>
  <c r="AJ359" i="11"/>
  <c r="AN359" i="11"/>
  <c r="P359" i="11"/>
  <c r="W359" i="11"/>
  <c r="G359" i="11"/>
  <c r="I359" i="11"/>
  <c r="O359" i="11"/>
  <c r="E359" i="11"/>
  <c r="X359" i="11"/>
  <c r="C359" i="11"/>
  <c r="U359" i="11"/>
  <c r="AP359" i="11"/>
  <c r="AD359" i="11"/>
  <c r="AL359" i="11"/>
  <c r="AO359" i="11"/>
  <c r="H359" i="11"/>
  <c r="AB359" i="11"/>
  <c r="N359" i="11"/>
  <c r="F359" i="11"/>
  <c r="AI359" i="11"/>
  <c r="AK359" i="11"/>
  <c r="AE359" i="11"/>
  <c r="V359" i="11"/>
  <c r="AR359" i="11"/>
  <c r="D359" i="11"/>
  <c r="AT359" i="11"/>
  <c r="Q359" i="11"/>
  <c r="L359" i="11"/>
  <c r="S359" i="11"/>
  <c r="T359" i="11"/>
  <c r="AH359" i="11"/>
  <c r="M359" i="11"/>
  <c r="AF359" i="11"/>
  <c r="K359" i="11"/>
  <c r="AA359" i="11"/>
  <c r="Y359" i="11"/>
  <c r="DX27" i="29"/>
  <c r="DX11" i="29"/>
  <c r="DX17" i="29"/>
  <c r="DX15" i="29"/>
  <c r="DX16" i="29"/>
  <c r="DW5" i="29"/>
  <c r="DW7" i="29"/>
  <c r="DX25" i="29"/>
  <c r="DX28" i="29"/>
  <c r="EW4" i="29"/>
  <c r="DX18" i="29"/>
  <c r="DW18" i="29" s="1"/>
  <c r="DX19" i="29"/>
  <c r="DW6" i="29"/>
  <c r="CW18" i="29"/>
  <c r="CW21" i="29"/>
  <c r="CW33" i="29"/>
  <c r="CW23" i="29"/>
  <c r="CW22" i="29"/>
  <c r="U6" i="10"/>
  <c r="D12" i="22"/>
  <c r="B92" i="11"/>
  <c r="E47" i="34"/>
  <c r="E19" i="34"/>
  <c r="I13" i="17"/>
  <c r="I10" i="17" s="1"/>
  <c r="AR394" i="17"/>
  <c r="W394" i="17"/>
  <c r="AS394" i="17"/>
  <c r="T394" i="17"/>
  <c r="AP394" i="17"/>
  <c r="AP44" i="17" s="1"/>
  <c r="AN394" i="17"/>
  <c r="AG394" i="17"/>
  <c r="N394" i="17"/>
  <c r="N44" i="17" s="1"/>
  <c r="AO394" i="17"/>
  <c r="P394" i="17"/>
  <c r="AA394" i="17"/>
  <c r="AK394" i="17"/>
  <c r="AB394" i="17"/>
  <c r="G394" i="17"/>
  <c r="AC394" i="17"/>
  <c r="AU394" i="17"/>
  <c r="Z394" i="17"/>
  <c r="H394" i="17"/>
  <c r="H44" i="17" s="1"/>
  <c r="X394" i="17"/>
  <c r="I394" i="17"/>
  <c r="AF394" i="17"/>
  <c r="AL394" i="17"/>
  <c r="AL44" i="17" s="1"/>
  <c r="U394" i="17"/>
  <c r="AH394" i="17"/>
  <c r="AE394" i="17"/>
  <c r="S394" i="17"/>
  <c r="AQ394" i="17"/>
  <c r="F394" i="17"/>
  <c r="E394" i="17"/>
  <c r="E44" i="17" s="1"/>
  <c r="O394" i="17"/>
  <c r="AD394" i="17"/>
  <c r="AV394" i="17"/>
  <c r="L394" i="17"/>
  <c r="M394" i="17"/>
  <c r="J394" i="17"/>
  <c r="K394" i="17"/>
  <c r="AW390" i="17"/>
  <c r="AW391" i="17" s="1"/>
  <c r="AW392" i="17" s="1"/>
  <c r="AW393" i="17" s="1"/>
  <c r="AW394" i="17" s="1"/>
  <c r="AJ394" i="17"/>
  <c r="AT394" i="17"/>
  <c r="R394" i="17"/>
  <c r="V394" i="17"/>
  <c r="AI394" i="17"/>
  <c r="AM394" i="17"/>
  <c r="Q394" i="17"/>
  <c r="Y394" i="17"/>
  <c r="G96" i="22"/>
  <c r="G83" i="22"/>
  <c r="G57" i="22"/>
  <c r="B305" i="17"/>
  <c r="C59" i="15"/>
  <c r="D96" i="22"/>
  <c r="D57" i="22"/>
  <c r="D83" i="22"/>
  <c r="I221" i="17"/>
  <c r="D220" i="17"/>
  <c r="I144" i="9" s="1"/>
  <c r="J221" i="17"/>
  <c r="AL221" i="17"/>
  <c r="AA221" i="17"/>
  <c r="AF221" i="17"/>
  <c r="I71" i="17"/>
  <c r="H71" i="17"/>
  <c r="AD71" i="17"/>
  <c r="AT112" i="11"/>
  <c r="CC11" i="29"/>
  <c r="CD20" i="29"/>
  <c r="CC20" i="29" s="1"/>
  <c r="I104" i="9"/>
  <c r="AK175" i="11" s="1"/>
  <c r="I190" i="19"/>
  <c r="AB70" i="17"/>
  <c r="AB13" i="17"/>
  <c r="AB10" i="17" s="1"/>
  <c r="J69" i="17"/>
  <c r="F69" i="17"/>
  <c r="AF69" i="17"/>
  <c r="D93" i="22"/>
  <c r="D80" i="22"/>
  <c r="D54" i="22"/>
  <c r="F13" i="34"/>
  <c r="F35" i="34"/>
  <c r="F15" i="34"/>
  <c r="J47" i="13"/>
  <c r="D91" i="22"/>
  <c r="C6" i="18"/>
  <c r="D16" i="18"/>
  <c r="J15" i="36"/>
  <c r="I16" i="36"/>
  <c r="R70" i="17"/>
  <c r="R13" i="17"/>
  <c r="R10" i="17" s="1"/>
  <c r="BK27" i="29"/>
  <c r="BK18" i="29"/>
  <c r="BK19" i="29"/>
  <c r="L70" i="17"/>
  <c r="L13" i="17"/>
  <c r="L10" i="17" s="1"/>
  <c r="H56" i="22"/>
  <c r="H82" i="22"/>
  <c r="H95" i="22"/>
  <c r="W26" i="10"/>
  <c r="G19" i="9"/>
  <c r="W16" i="10"/>
  <c r="W27" i="10"/>
  <c r="W21" i="10"/>
  <c r="W28" i="10"/>
  <c r="W14" i="10"/>
  <c r="W32" i="10" s="1"/>
  <c r="W33" i="10"/>
  <c r="W17" i="10"/>
  <c r="B126" i="11"/>
  <c r="B125" i="11" s="1"/>
  <c r="C125" i="11"/>
  <c r="BY25" i="29"/>
  <c r="BY15" i="29"/>
  <c r="BY16" i="29"/>
  <c r="BY27" i="29"/>
  <c r="E96" i="22"/>
  <c r="E83" i="22"/>
  <c r="E57" i="22"/>
  <c r="AH70" i="17"/>
  <c r="AH13" i="17"/>
  <c r="AH10" i="17" s="1"/>
  <c r="E72" i="22"/>
  <c r="E85" i="22"/>
  <c r="E46" i="22"/>
  <c r="R33" i="10"/>
  <c r="G14" i="9"/>
  <c r="R26" i="10"/>
  <c r="R27" i="10"/>
  <c r="R28" i="10"/>
  <c r="R21" i="10"/>
  <c r="N12" i="29"/>
  <c r="R14" i="10"/>
  <c r="R16" i="10"/>
  <c r="R17" i="10"/>
  <c r="AT154" i="17"/>
  <c r="AT222" i="22" s="1"/>
  <c r="E154" i="17"/>
  <c r="D214" i="17"/>
  <c r="Y154" i="17"/>
  <c r="AK70" i="17"/>
  <c r="AK13" i="17"/>
  <c r="AK10" i="17" s="1"/>
  <c r="H77" i="22"/>
  <c r="H51" i="22"/>
  <c r="H90" i="22"/>
  <c r="BI22" i="29"/>
  <c r="BI21" i="29"/>
  <c r="BI23" i="29"/>
  <c r="BI33" i="29"/>
  <c r="AF70" i="17"/>
  <c r="AF13" i="17"/>
  <c r="AF10" i="17" s="1"/>
  <c r="CE26" i="10"/>
  <c r="CE27" i="10"/>
  <c r="CE14" i="10"/>
  <c r="CE21" i="10"/>
  <c r="L14" i="9"/>
  <c r="CE28" i="10"/>
  <c r="CE16" i="10"/>
  <c r="CE17" i="10"/>
  <c r="CE33" i="10"/>
  <c r="CW19" i="29"/>
  <c r="CW9" i="29"/>
  <c r="D43" i="17"/>
  <c r="D40" i="17" s="1"/>
  <c r="E40" i="17"/>
  <c r="H79" i="22"/>
  <c r="H92" i="22"/>
  <c r="H53" i="22"/>
  <c r="AU70" i="17"/>
  <c r="AU13" i="17"/>
  <c r="AU10" i="17" s="1"/>
  <c r="AC70" i="17"/>
  <c r="AC13" i="17"/>
  <c r="AC10" i="17" s="1"/>
  <c r="BM26" i="10"/>
  <c r="J22" i="9"/>
  <c r="BM17" i="10"/>
  <c r="BM33" i="10"/>
  <c r="BM21" i="10"/>
  <c r="BM16" i="10"/>
  <c r="BM28" i="10"/>
  <c r="BM27" i="10"/>
  <c r="BM14" i="10"/>
  <c r="BM32" i="10" s="1"/>
  <c r="AV70" i="17"/>
  <c r="AV13" i="17"/>
  <c r="AV10" i="17" s="1"/>
  <c r="AA26" i="10"/>
  <c r="G23" i="9"/>
  <c r="AA33" i="10"/>
  <c r="AA28" i="10"/>
  <c r="AA17" i="10"/>
  <c r="AA9" i="10"/>
  <c r="AA16" i="10"/>
  <c r="AA14" i="10"/>
  <c r="AA21" i="10"/>
  <c r="AA27" i="10"/>
  <c r="AF12" i="29"/>
  <c r="AH86" i="11"/>
  <c r="CC16" i="29"/>
  <c r="CC18" i="29"/>
  <c r="S69" i="17"/>
  <c r="AH69" i="17"/>
  <c r="AL69" i="17"/>
  <c r="AE69" i="17"/>
  <c r="AI69" i="17"/>
  <c r="AU69" i="17"/>
  <c r="I69" i="17"/>
  <c r="AA69" i="17"/>
  <c r="R69" i="17"/>
  <c r="G6" i="34"/>
  <c r="H7" i="34"/>
  <c r="G14" i="34"/>
  <c r="I55" i="34"/>
  <c r="H60" i="34"/>
  <c r="H58" i="34" s="1"/>
  <c r="H20" i="34" s="1"/>
  <c r="BK17" i="29"/>
  <c r="CL18" i="29"/>
  <c r="CL17" i="29"/>
  <c r="CK6" i="29"/>
  <c r="CL15" i="29"/>
  <c r="DK4" i="29"/>
  <c r="CK7" i="29"/>
  <c r="CL28" i="29"/>
  <c r="CL25" i="29"/>
  <c r="CK5" i="29"/>
  <c r="CL16" i="29"/>
  <c r="CL19" i="29"/>
  <c r="CL27" i="29"/>
  <c r="CL11" i="29"/>
  <c r="O70" i="17"/>
  <c r="O13" i="17"/>
  <c r="O10" i="17" s="1"/>
  <c r="AS149" i="17"/>
  <c r="D79" i="22"/>
  <c r="D92" i="22"/>
  <c r="D53" i="22"/>
  <c r="AC3" i="13"/>
  <c r="AB3" i="13"/>
  <c r="AA3" i="13"/>
  <c r="Y3" i="13"/>
  <c r="Z3" i="13"/>
  <c r="BY19" i="29"/>
  <c r="K70" i="17"/>
  <c r="K13" i="17"/>
  <c r="K10" i="17" s="1"/>
  <c r="H12" i="9"/>
  <c r="AC27" i="10"/>
  <c r="AC21" i="10"/>
  <c r="AC16" i="10"/>
  <c r="AC28" i="10"/>
  <c r="AC17" i="10"/>
  <c r="AC26" i="10"/>
  <c r="AC14" i="10"/>
  <c r="AC33" i="10"/>
  <c r="AJ12" i="29"/>
  <c r="D74" i="22"/>
  <c r="D87" i="22"/>
  <c r="D48" i="22"/>
  <c r="P70" i="17"/>
  <c r="P13" i="17"/>
  <c r="P10" i="17" s="1"/>
  <c r="AD154" i="17"/>
  <c r="AD15" i="20" s="1"/>
  <c r="R154" i="17"/>
  <c r="AL154" i="17"/>
  <c r="AM154" i="17"/>
  <c r="AI13" i="17"/>
  <c r="AI10" i="17" s="1"/>
  <c r="AI70" i="17"/>
  <c r="Y357" i="11"/>
  <c r="AN357" i="11"/>
  <c r="AE357" i="11"/>
  <c r="AH357" i="11"/>
  <c r="M357" i="11"/>
  <c r="N104" i="9"/>
  <c r="AD357" i="11"/>
  <c r="T357" i="11"/>
  <c r="P357" i="11"/>
  <c r="AF357" i="11"/>
  <c r="D357" i="11"/>
  <c r="AM357" i="11"/>
  <c r="O357" i="11"/>
  <c r="W357" i="11"/>
  <c r="AA357" i="11"/>
  <c r="AR357" i="11"/>
  <c r="AT357" i="11"/>
  <c r="AG357" i="11"/>
  <c r="S357" i="11"/>
  <c r="F357" i="11"/>
  <c r="L357" i="11"/>
  <c r="AI357" i="11"/>
  <c r="X357" i="11"/>
  <c r="G357" i="11"/>
  <c r="AQ357" i="11"/>
  <c r="J357" i="11"/>
  <c r="AL357" i="11"/>
  <c r="H357" i="11"/>
  <c r="N357" i="11"/>
  <c r="U357" i="11"/>
  <c r="AK357" i="11"/>
  <c r="AO357" i="11"/>
  <c r="AS357" i="11"/>
  <c r="V357" i="11"/>
  <c r="R357" i="11"/>
  <c r="Z357" i="11"/>
  <c r="C357" i="11"/>
  <c r="AB357" i="11"/>
  <c r="AP357" i="11"/>
  <c r="K357" i="11"/>
  <c r="I357" i="11"/>
  <c r="Q357" i="11"/>
  <c r="AC357" i="11"/>
  <c r="E357" i="11"/>
  <c r="AJ357" i="11"/>
  <c r="BI27" i="29"/>
  <c r="BI15" i="29"/>
  <c r="BI11" i="29"/>
  <c r="E284" i="17"/>
  <c r="AS284" i="17"/>
  <c r="AS224" i="17" s="1"/>
  <c r="G284" i="17"/>
  <c r="G224" i="17" s="1"/>
  <c r="AV284" i="17"/>
  <c r="AV224" i="17" s="1"/>
  <c r="N284" i="17"/>
  <c r="N224" i="17" s="1"/>
  <c r="AH284" i="17"/>
  <c r="AH224" i="17" s="1"/>
  <c r="AD284" i="17"/>
  <c r="AD224" i="17" s="1"/>
  <c r="I284" i="17"/>
  <c r="X284" i="17"/>
  <c r="X224" i="17" s="1"/>
  <c r="H284" i="17"/>
  <c r="H224" i="17" s="1"/>
  <c r="AC284" i="17"/>
  <c r="AC224" i="17" s="1"/>
  <c r="AT284" i="17"/>
  <c r="AT224" i="17" s="1"/>
  <c r="P284" i="17"/>
  <c r="P224" i="17" s="1"/>
  <c r="Q284" i="17"/>
  <c r="Q224" i="17" s="1"/>
  <c r="AG284" i="17"/>
  <c r="AG224" i="17" s="1"/>
  <c r="AB284" i="17"/>
  <c r="AB224" i="17" s="1"/>
  <c r="K284" i="17"/>
  <c r="K224" i="17" s="1"/>
  <c r="AF284" i="17"/>
  <c r="AF224" i="17" s="1"/>
  <c r="AQ284" i="17"/>
  <c r="V284" i="17"/>
  <c r="V224" i="17" s="1"/>
  <c r="AN284" i="17"/>
  <c r="AN224" i="17" s="1"/>
  <c r="R284" i="17"/>
  <c r="R224" i="17" s="1"/>
  <c r="U284" i="17"/>
  <c r="U224" i="17" s="1"/>
  <c r="L284" i="17"/>
  <c r="F284" i="17"/>
  <c r="F224" i="17" s="1"/>
  <c r="O284" i="17"/>
  <c r="AP284" i="17"/>
  <c r="AP224" i="17" s="1"/>
  <c r="AI284" i="17"/>
  <c r="AI224" i="17" s="1"/>
  <c r="J284" i="17"/>
  <c r="J224" i="17" s="1"/>
  <c r="AR284" i="17"/>
  <c r="AR224" i="17" s="1"/>
  <c r="AU284" i="17"/>
  <c r="AU224" i="17" s="1"/>
  <c r="AJ284" i="17"/>
  <c r="AL284" i="17"/>
  <c r="AL224" i="17" s="1"/>
  <c r="AM284" i="17"/>
  <c r="AM224" i="17" s="1"/>
  <c r="Z284" i="17"/>
  <c r="AA284" i="17"/>
  <c r="AE284" i="17"/>
  <c r="AE224" i="17" s="1"/>
  <c r="Y284" i="17"/>
  <c r="Y224" i="17" s="1"/>
  <c r="M284" i="17"/>
  <c r="M224" i="17" s="1"/>
  <c r="AK284" i="17"/>
  <c r="AK224" i="17" s="1"/>
  <c r="AW280" i="17"/>
  <c r="AW281" i="17" s="1"/>
  <c r="AW282" i="17" s="1"/>
  <c r="AW283" i="17" s="1"/>
  <c r="AW284" i="17" s="1"/>
  <c r="AO284" i="17"/>
  <c r="AO224" i="17" s="1"/>
  <c r="W284" i="17"/>
  <c r="S284" i="17"/>
  <c r="T284" i="17"/>
  <c r="T224" i="17" s="1"/>
  <c r="I87" i="22"/>
  <c r="I48" i="22"/>
  <c r="I74" i="22"/>
  <c r="CW28" i="29"/>
  <c r="CW16" i="29"/>
  <c r="CW11" i="29"/>
  <c r="D114" i="17"/>
  <c r="BW33" i="10"/>
  <c r="BW26" i="10"/>
  <c r="BW17" i="10"/>
  <c r="BW28" i="10"/>
  <c r="K19" i="9"/>
  <c r="BW16" i="10"/>
  <c r="BW14" i="10"/>
  <c r="BW32" i="10" s="1"/>
  <c r="BW27" i="10"/>
  <c r="BW21" i="10"/>
  <c r="X69" i="17"/>
  <c r="BS17" i="10"/>
  <c r="BS16" i="10"/>
  <c r="BS21" i="10"/>
  <c r="K15" i="9"/>
  <c r="BS14" i="10"/>
  <c r="BS32" i="10" s="1"/>
  <c r="BS33" i="10"/>
  <c r="BS28" i="10"/>
  <c r="BS26" i="10"/>
  <c r="BS27" i="10"/>
  <c r="AR69" i="17"/>
  <c r="AK41" i="17"/>
  <c r="W41" i="17"/>
  <c r="AA41" i="17"/>
  <c r="AV41" i="17"/>
  <c r="AM41" i="17"/>
  <c r="T41" i="17"/>
  <c r="AH221" i="17"/>
  <c r="I6" i="17"/>
  <c r="R181" i="19"/>
  <c r="H122" i="7"/>
  <c r="AC120" i="7"/>
  <c r="I174" i="19"/>
  <c r="CB24" i="29"/>
  <c r="AI25" i="17"/>
  <c r="AI8" i="17"/>
  <c r="W122" i="7"/>
  <c r="R122" i="7"/>
  <c r="AT426" i="17"/>
  <c r="Y426" i="17"/>
  <c r="D425" i="17"/>
  <c r="AO426" i="17"/>
  <c r="S426" i="17"/>
  <c r="AI426" i="17"/>
  <c r="H426" i="17"/>
  <c r="AN426" i="17"/>
  <c r="X426" i="17"/>
  <c r="AD426" i="17"/>
  <c r="AR122" i="7"/>
  <c r="S122" i="7"/>
  <c r="F119" i="7"/>
  <c r="AK119" i="7"/>
  <c r="N118" i="7"/>
  <c r="O75" i="17"/>
  <c r="I165" i="19"/>
  <c r="K164" i="19"/>
  <c r="I164" i="19" s="1"/>
  <c r="BJ24" i="29"/>
  <c r="I167" i="19"/>
  <c r="BN24" i="29"/>
  <c r="Y123" i="7"/>
  <c r="Y123" i="21"/>
  <c r="H123" i="7"/>
  <c r="AB122" i="7"/>
  <c r="J122" i="7"/>
  <c r="AN122" i="7"/>
  <c r="Y120" i="7"/>
  <c r="J120" i="7"/>
  <c r="CE21" i="29"/>
  <c r="CE33" i="29"/>
  <c r="CE23" i="29"/>
  <c r="CE22" i="29"/>
  <c r="CE15" i="29"/>
  <c r="AH149" i="17"/>
  <c r="K149" i="17"/>
  <c r="AU119" i="7"/>
  <c r="J103" i="9"/>
  <c r="P103" i="9" s="1"/>
  <c r="L189" i="19"/>
  <c r="O166" i="19"/>
  <c r="CN17" i="10"/>
  <c r="CN26" i="10"/>
  <c r="CN28" i="10"/>
  <c r="CN33" i="10"/>
  <c r="CN9" i="10"/>
  <c r="CN27" i="10"/>
  <c r="CN14" i="10"/>
  <c r="CN32" i="10" s="1"/>
  <c r="CN16" i="10"/>
  <c r="CN21" i="10"/>
  <c r="L23" i="9"/>
  <c r="L123" i="7"/>
  <c r="AG123" i="7"/>
  <c r="AG123" i="21"/>
  <c r="R120" i="7"/>
  <c r="AS122" i="7"/>
  <c r="AP120" i="7"/>
  <c r="T119" i="7"/>
  <c r="O149" i="17"/>
  <c r="AN119" i="7"/>
  <c r="BS15" i="29"/>
  <c r="I147" i="19"/>
  <c r="K185" i="19"/>
  <c r="K187" i="19"/>
  <c r="I149" i="19"/>
  <c r="E75" i="22"/>
  <c r="E49" i="22"/>
  <c r="E88" i="22"/>
  <c r="X122" i="7"/>
  <c r="AQ356" i="17"/>
  <c r="AG356" i="17"/>
  <c r="AP356" i="17"/>
  <c r="F356" i="17"/>
  <c r="E356" i="17"/>
  <c r="U356" i="17"/>
  <c r="O356" i="17"/>
  <c r="AV356" i="17"/>
  <c r="D355" i="17"/>
  <c r="N356" i="17"/>
  <c r="AE356" i="17"/>
  <c r="P356" i="17"/>
  <c r="AF356" i="17"/>
  <c r="AM120" i="7"/>
  <c r="I149" i="17"/>
  <c r="AG16" i="10"/>
  <c r="AG17" i="10"/>
  <c r="AG28" i="10"/>
  <c r="H16" i="9"/>
  <c r="AG14" i="10"/>
  <c r="AG32" i="10" s="1"/>
  <c r="AG21" i="10"/>
  <c r="AG33" i="10"/>
  <c r="AG26" i="10"/>
  <c r="AG27" i="10"/>
  <c r="AU27" i="10"/>
  <c r="AU28" i="10"/>
  <c r="AU26" i="10"/>
  <c r="AU16" i="10"/>
  <c r="AU21" i="10"/>
  <c r="AU33" i="10"/>
  <c r="AU17" i="10"/>
  <c r="I17" i="9"/>
  <c r="AU14" i="10"/>
  <c r="AU32" i="10" s="1"/>
  <c r="AL122" i="7"/>
  <c r="AJ120" i="7"/>
  <c r="O8" i="17"/>
  <c r="O20" i="17"/>
  <c r="H6" i="31"/>
  <c r="AG9" i="29"/>
  <c r="H9" i="31" s="1"/>
  <c r="AR149" i="17"/>
  <c r="E9" i="22"/>
  <c r="AE6" i="10"/>
  <c r="D119" i="7"/>
  <c r="Y149" i="17"/>
  <c r="E53" i="22"/>
  <c r="E92" i="22"/>
  <c r="E79" i="22"/>
  <c r="I49" i="22"/>
  <c r="I88" i="22"/>
  <c r="I75" i="22"/>
  <c r="C79" i="15"/>
  <c r="B480" i="17" s="1"/>
  <c r="B410" i="17"/>
  <c r="AC122" i="7"/>
  <c r="CD32" i="10"/>
  <c r="Q141" i="19"/>
  <c r="O141" i="19" s="1"/>
  <c r="Q180" i="19"/>
  <c r="O142" i="19"/>
  <c r="Q189" i="19"/>
  <c r="O151" i="19"/>
  <c r="I15" i="22"/>
  <c r="CK6" i="10"/>
  <c r="X149" i="17"/>
  <c r="G34" i="4"/>
  <c r="Q208" i="19" s="1"/>
  <c r="AU123" i="7"/>
  <c r="AU123" i="21"/>
  <c r="E119" i="7"/>
  <c r="AD27" i="10"/>
  <c r="AD33" i="10"/>
  <c r="AL12" i="29"/>
  <c r="AD16" i="10"/>
  <c r="AD26" i="10"/>
  <c r="AD14" i="10"/>
  <c r="H13" i="9"/>
  <c r="AD17" i="10"/>
  <c r="AD21" i="10"/>
  <c r="AD28" i="10"/>
  <c r="AX21" i="10"/>
  <c r="AX27" i="10"/>
  <c r="I20" i="9"/>
  <c r="AX26" i="10"/>
  <c r="AX33" i="10"/>
  <c r="AX28" i="10"/>
  <c r="AX14" i="10"/>
  <c r="AX32" i="10" s="1"/>
  <c r="AX16" i="10"/>
  <c r="AX17" i="10"/>
  <c r="G50" i="17"/>
  <c r="D53" i="17"/>
  <c r="D50" i="17" s="1"/>
  <c r="CA31" i="29"/>
  <c r="CA32" i="29"/>
  <c r="O119" i="7"/>
  <c r="AR26" i="17"/>
  <c r="L26" i="17"/>
  <c r="AC26" i="17"/>
  <c r="AB26" i="17"/>
  <c r="AS26" i="17"/>
  <c r="M26" i="17"/>
  <c r="AO119" i="7"/>
  <c r="L166" i="19"/>
  <c r="CL24" i="29"/>
  <c r="AG149" i="17"/>
  <c r="F34" i="4"/>
  <c r="N208" i="19" s="1"/>
  <c r="AD123" i="7"/>
  <c r="T16" i="10"/>
  <c r="T17" i="10"/>
  <c r="T26" i="10"/>
  <c r="T21" i="10"/>
  <c r="T33" i="10"/>
  <c r="T27" i="10"/>
  <c r="T28" i="10"/>
  <c r="G16" i="9"/>
  <c r="T14" i="10"/>
  <c r="AH120" i="7"/>
  <c r="F88" i="22"/>
  <c r="F75" i="22"/>
  <c r="F49" i="22"/>
  <c r="Z119" i="7"/>
  <c r="T127" i="20" a="1"/>
  <c r="T127" i="20" s="1"/>
  <c r="BI33" i="10"/>
  <c r="BI28" i="10"/>
  <c r="J18" i="9"/>
  <c r="BI14" i="10"/>
  <c r="BI32" i="10" s="1"/>
  <c r="BI27" i="10"/>
  <c r="BI16" i="10"/>
  <c r="BI26" i="10"/>
  <c r="BI21" i="10"/>
  <c r="BI17" i="10"/>
  <c r="BH14" i="10"/>
  <c r="BH32" i="10" s="1"/>
  <c r="BH17" i="10"/>
  <c r="BH26" i="10"/>
  <c r="BH27" i="10"/>
  <c r="BH33" i="10"/>
  <c r="BH16" i="10"/>
  <c r="BH28" i="10"/>
  <c r="J17" i="9"/>
  <c r="BH21" i="10"/>
  <c r="DD19" i="29"/>
  <c r="DD25" i="29"/>
  <c r="DD18" i="29"/>
  <c r="DD15" i="29"/>
  <c r="DD11" i="29"/>
  <c r="DC8" i="29"/>
  <c r="DD24" i="29"/>
  <c r="DD20" i="29" s="1"/>
  <c r="DC6" i="29"/>
  <c r="DD13" i="29"/>
  <c r="DD28" i="29"/>
  <c r="DD17" i="29"/>
  <c r="EC4" i="29"/>
  <c r="DD27" i="29"/>
  <c r="DD16" i="29"/>
  <c r="DC16" i="29" s="1"/>
  <c r="DD12" i="29"/>
  <c r="AJ123" i="7"/>
  <c r="AE123" i="7"/>
  <c r="AE123" i="21"/>
  <c r="E123" i="7"/>
  <c r="AR123" i="7"/>
  <c r="AR123" i="21"/>
  <c r="AI122" i="7"/>
  <c r="DB31" i="29"/>
  <c r="DB32" i="29"/>
  <c r="DA12" i="29"/>
  <c r="DA23" i="29"/>
  <c r="DA22" i="29"/>
  <c r="DA21" i="29"/>
  <c r="DA33" i="29"/>
  <c r="BQ17" i="29"/>
  <c r="BH17" i="29"/>
  <c r="BQ16" i="29"/>
  <c r="BH16" i="29"/>
  <c r="BQ23" i="29"/>
  <c r="BQ33" i="29"/>
  <c r="BQ21" i="29"/>
  <c r="BQ22" i="29"/>
  <c r="BG7" i="29"/>
  <c r="D18" i="17"/>
  <c r="D15" i="17" s="1"/>
  <c r="G8" i="17"/>
  <c r="D78" i="17"/>
  <c r="D75" i="17" s="1"/>
  <c r="J79" i="17"/>
  <c r="J221" i="22" s="1"/>
  <c r="I79" i="17"/>
  <c r="I14" i="20" s="1"/>
  <c r="AT21" i="17"/>
  <c r="U21" i="17"/>
  <c r="AB21" i="17"/>
  <c r="Q21" i="17"/>
  <c r="T21" i="17"/>
  <c r="AC21" i="17"/>
  <c r="C174" i="19"/>
  <c r="V24" i="29"/>
  <c r="V20" i="29" s="1"/>
  <c r="U20" i="29" s="1"/>
  <c r="CF20" i="29"/>
  <c r="CE20" i="29" s="1"/>
  <c r="J426" i="17"/>
  <c r="AV426" i="17"/>
  <c r="R146" i="17"/>
  <c r="AU146" i="17"/>
  <c r="I146" i="17"/>
  <c r="BS19" i="29"/>
  <c r="BS16" i="29"/>
  <c r="AC426" i="17"/>
  <c r="AG216" i="17"/>
  <c r="AJ426" i="17"/>
  <c r="AM426" i="17"/>
  <c r="AH426" i="17"/>
  <c r="D286" i="17"/>
  <c r="C10" i="22"/>
  <c r="AP216" i="17"/>
  <c r="D112" i="11"/>
  <c r="Q146" i="17"/>
  <c r="N426" i="17"/>
  <c r="K216" i="17"/>
  <c r="AK426" i="17"/>
  <c r="W112" i="11"/>
  <c r="C78" i="16"/>
  <c r="AM26" i="17"/>
  <c r="AS356" i="17"/>
  <c r="AD216" i="17"/>
  <c r="S112" i="11"/>
  <c r="T216" i="17"/>
  <c r="G146" i="17"/>
  <c r="AQ426" i="17"/>
  <c r="K356" i="17"/>
  <c r="R356" i="17"/>
  <c r="Z216" i="17"/>
  <c r="AK146" i="17"/>
  <c r="B115" i="11"/>
  <c r="N112" i="11"/>
  <c r="G426" i="17"/>
  <c r="AT356" i="17"/>
  <c r="DA11" i="29"/>
  <c r="DA27" i="29"/>
  <c r="T112" i="11"/>
  <c r="T85" i="11" s="1"/>
  <c r="AG19" i="29"/>
  <c r="P146" i="17"/>
  <c r="AQ146" i="17"/>
  <c r="Y146" i="17"/>
  <c r="BV24" i="29"/>
  <c r="I168" i="19"/>
  <c r="BX24" i="29"/>
  <c r="BP24" i="29"/>
  <c r="BZ24" i="29"/>
  <c r="BL24" i="29"/>
  <c r="I166" i="19"/>
  <c r="AA122" i="7"/>
  <c r="V122" i="7"/>
  <c r="AT122" i="7"/>
  <c r="CE13" i="29"/>
  <c r="O167" i="19"/>
  <c r="DN24" i="29"/>
  <c r="F122" i="7"/>
  <c r="E138" i="11"/>
  <c r="B143" i="11"/>
  <c r="AD120" i="7"/>
  <c r="H96" i="22"/>
  <c r="H83" i="22"/>
  <c r="H57" i="22"/>
  <c r="S123" i="7"/>
  <c r="S123" i="21"/>
  <c r="AS120" i="7"/>
  <c r="X121" i="21"/>
  <c r="K121" i="21"/>
  <c r="AU121" i="21"/>
  <c r="N121" i="21"/>
  <c r="AK121" i="21"/>
  <c r="AQ121" i="21"/>
  <c r="AA121" i="21"/>
  <c r="AM121" i="21"/>
  <c r="AN121" i="21"/>
  <c r="D121" i="21"/>
  <c r="F121" i="21"/>
  <c r="P121" i="21"/>
  <c r="AF121" i="21"/>
  <c r="AI121" i="21"/>
  <c r="Q121" i="21"/>
  <c r="E121" i="21"/>
  <c r="AJ121" i="21"/>
  <c r="T121" i="21"/>
  <c r="V121" i="21"/>
  <c r="R121" i="21"/>
  <c r="AO121" i="21"/>
  <c r="Y121" i="21"/>
  <c r="AD121" i="21"/>
  <c r="I121" i="21"/>
  <c r="J121" i="21"/>
  <c r="AL121" i="21"/>
  <c r="AB121" i="21"/>
  <c r="AT121" i="21"/>
  <c r="U121" i="21"/>
  <c r="AR121" i="21"/>
  <c r="O121" i="21"/>
  <c r="AE121" i="21"/>
  <c r="R149" i="17"/>
  <c r="V149" i="17"/>
  <c r="P149" i="17"/>
  <c r="BS33" i="29"/>
  <c r="BS22" i="29"/>
  <c r="BS21" i="29"/>
  <c r="BS23" i="29"/>
  <c r="CT18" i="29"/>
  <c r="CT11" i="29"/>
  <c r="CS6" i="29"/>
  <c r="CT15" i="29"/>
  <c r="DS4" i="29"/>
  <c r="CT17" i="29"/>
  <c r="CT25" i="29"/>
  <c r="CT27" i="29"/>
  <c r="CT28" i="29"/>
  <c r="CS7" i="29"/>
  <c r="CT19" i="29"/>
  <c r="CS5" i="29"/>
  <c r="CT16" i="29"/>
  <c r="CT12" i="29"/>
  <c r="K188" i="19"/>
  <c r="I150" i="19"/>
  <c r="K183" i="19"/>
  <c r="I145" i="19"/>
  <c r="R167" i="19"/>
  <c r="EN24" i="29"/>
  <c r="R165" i="19"/>
  <c r="AR216" i="17"/>
  <c r="L216" i="17"/>
  <c r="R216" i="17"/>
  <c r="D215" i="17"/>
  <c r="AM216" i="17"/>
  <c r="AS216" i="17"/>
  <c r="M216" i="17"/>
  <c r="AC216" i="17"/>
  <c r="AB216" i="17"/>
  <c r="G216" i="17"/>
  <c r="W216" i="17"/>
  <c r="AH216" i="17"/>
  <c r="AE120" i="7"/>
  <c r="L102" i="9"/>
  <c r="R102" i="9" s="1"/>
  <c r="E34" i="4"/>
  <c r="K207" i="19" s="1"/>
  <c r="Z123" i="7"/>
  <c r="Z123" i="21"/>
  <c r="J149" i="17"/>
  <c r="E89" i="22"/>
  <c r="E50" i="22"/>
  <c r="E76" i="22"/>
  <c r="W120" i="7"/>
  <c r="E25" i="17"/>
  <c r="D28" i="17"/>
  <c r="D25" i="17" s="1"/>
  <c r="X119" i="7"/>
  <c r="BP33" i="10"/>
  <c r="BP17" i="10"/>
  <c r="BP27" i="10"/>
  <c r="BP26" i="10"/>
  <c r="BP21" i="10"/>
  <c r="BP28" i="10"/>
  <c r="BP16" i="10"/>
  <c r="K12" i="9"/>
  <c r="BP14" i="10"/>
  <c r="T123" i="7"/>
  <c r="T123" i="21"/>
  <c r="AO123" i="7"/>
  <c r="E120" i="7"/>
  <c r="O146" i="19"/>
  <c r="Q184" i="19"/>
  <c r="O148" i="19"/>
  <c r="Q186" i="19"/>
  <c r="E55" i="17"/>
  <c r="D58" i="17"/>
  <c r="D55" i="17" s="1"/>
  <c r="B160" i="11"/>
  <c r="C151" i="11"/>
  <c r="M120" i="7"/>
  <c r="AE149" i="17"/>
  <c r="U123" i="7"/>
  <c r="AL119" i="7"/>
  <c r="S149" i="17"/>
  <c r="G149" i="17"/>
  <c r="X120" i="7"/>
  <c r="AG17" i="29"/>
  <c r="U119" i="7"/>
  <c r="AQ122" i="7"/>
  <c r="T120" i="7"/>
  <c r="AE119" i="7"/>
  <c r="X56" i="17"/>
  <c r="Y56" i="17"/>
  <c r="AD56" i="17"/>
  <c r="AN56" i="17"/>
  <c r="AI56" i="17"/>
  <c r="AT56" i="17"/>
  <c r="I56" i="17"/>
  <c r="AO56" i="17"/>
  <c r="N56" i="17"/>
  <c r="H56" i="17"/>
  <c r="S56" i="17"/>
  <c r="V56" i="17"/>
  <c r="K56" i="17"/>
  <c r="M123" i="7"/>
  <c r="M123" i="21"/>
  <c r="AT123" i="7"/>
  <c r="D120" i="7"/>
  <c r="AS21" i="10"/>
  <c r="AS33" i="10"/>
  <c r="AS27" i="10"/>
  <c r="AS28" i="10"/>
  <c r="AS14" i="10"/>
  <c r="I15" i="9"/>
  <c r="AS16" i="10"/>
  <c r="AS26" i="10"/>
  <c r="AS17" i="10"/>
  <c r="BP12" i="29"/>
  <c r="AR6" i="10"/>
  <c r="F9" i="22"/>
  <c r="O120" i="7"/>
  <c r="AU149" i="17"/>
  <c r="G78" i="22"/>
  <c r="G52" i="22"/>
  <c r="G91" i="22"/>
  <c r="G51" i="22"/>
  <c r="G77" i="22"/>
  <c r="G90" i="22"/>
  <c r="CC21" i="29"/>
  <c r="CC22" i="29"/>
  <c r="CC23" i="29"/>
  <c r="CC33" i="29"/>
  <c r="BG8" i="29"/>
  <c r="J8" i="31" s="1"/>
  <c r="AG122" i="7"/>
  <c r="AI120" i="7"/>
  <c r="BQ25" i="29"/>
  <c r="BH25" i="29"/>
  <c r="BG25" i="29" s="1"/>
  <c r="BQ27" i="29"/>
  <c r="BH27" i="29"/>
  <c r="BQ11" i="29"/>
  <c r="BH11" i="29"/>
  <c r="BG11" i="29" s="1"/>
  <c r="V279" i="11"/>
  <c r="AQ279" i="11"/>
  <c r="AL279" i="11"/>
  <c r="AI279" i="11"/>
  <c r="I279" i="11"/>
  <c r="AD279" i="11"/>
  <c r="G279" i="11"/>
  <c r="X279" i="11"/>
  <c r="AC279" i="11"/>
  <c r="AS279" i="11"/>
  <c r="H279" i="11"/>
  <c r="AP279" i="11"/>
  <c r="AR279" i="11"/>
  <c r="K279" i="11"/>
  <c r="AT279" i="11"/>
  <c r="R279" i="11"/>
  <c r="AM279" i="11"/>
  <c r="S279" i="11"/>
  <c r="AG279" i="11"/>
  <c r="AA279" i="11"/>
  <c r="P279" i="11"/>
  <c r="D279" i="11"/>
  <c r="AB279" i="11"/>
  <c r="E279" i="11"/>
  <c r="C279" i="11"/>
  <c r="Z279" i="11"/>
  <c r="Y279" i="11"/>
  <c r="AO279" i="11"/>
  <c r="M279" i="11"/>
  <c r="AK279" i="11"/>
  <c r="AN279" i="11"/>
  <c r="F279" i="11"/>
  <c r="J279" i="11"/>
  <c r="U279" i="11"/>
  <c r="N279" i="11"/>
  <c r="AH279" i="11"/>
  <c r="Q279" i="11"/>
  <c r="AE279" i="11"/>
  <c r="O279" i="11"/>
  <c r="T279" i="11"/>
  <c r="W279" i="11"/>
  <c r="AF279" i="11"/>
  <c r="AJ279" i="11"/>
  <c r="L279" i="11"/>
  <c r="U426" i="17"/>
  <c r="E426" i="17"/>
  <c r="AA426" i="17"/>
  <c r="AM112" i="11"/>
  <c r="AB426" i="17"/>
  <c r="V146" i="17"/>
  <c r="BS17" i="29"/>
  <c r="AE426" i="17"/>
  <c r="Z426" i="17"/>
  <c r="AS112" i="11"/>
  <c r="AR426" i="17"/>
  <c r="P216" i="17"/>
  <c r="AG121" i="21"/>
  <c r="F426" i="17"/>
  <c r="AS426" i="17"/>
  <c r="AG426" i="17"/>
  <c r="T356" i="17"/>
  <c r="AN356" i="17"/>
  <c r="E216" i="17"/>
  <c r="AE112" i="11"/>
  <c r="AV146" i="17"/>
  <c r="AE216" i="17"/>
  <c r="D148" i="17"/>
  <c r="AP121" i="21"/>
  <c r="Z151" i="11"/>
  <c r="Z85" i="11" s="1"/>
  <c r="V216" i="17"/>
  <c r="Q26" i="17"/>
  <c r="W26" i="17"/>
  <c r="AP26" i="17"/>
  <c r="P426" i="17"/>
  <c r="V356" i="17"/>
  <c r="G112" i="11"/>
  <c r="AN112" i="11"/>
  <c r="O146" i="17"/>
  <c r="AG146" i="17"/>
  <c r="Z121" i="21"/>
  <c r="Y356" i="17"/>
  <c r="S216" i="17"/>
  <c r="H112" i="11"/>
  <c r="R426" i="17"/>
  <c r="H356" i="17"/>
  <c r="DB24" i="29"/>
  <c r="DA28" i="29"/>
  <c r="DA18" i="29"/>
  <c r="DA38" i="29"/>
  <c r="DA19" i="29"/>
  <c r="BG5" i="29"/>
  <c r="J5" i="31" s="1"/>
  <c r="AH26" i="17"/>
  <c r="T426" i="17"/>
  <c r="BC20" i="29"/>
  <c r="BD14" i="29"/>
  <c r="K292" i="11"/>
  <c r="G292" i="11"/>
  <c r="X292" i="11"/>
  <c r="AH292" i="11"/>
  <c r="D292" i="11"/>
  <c r="S292" i="11"/>
  <c r="O292" i="11"/>
  <c r="AQ292" i="11"/>
  <c r="Q292" i="11"/>
  <c r="AO292" i="11"/>
  <c r="AN292" i="11"/>
  <c r="Z292" i="11"/>
  <c r="AM292" i="11"/>
  <c r="AE292" i="11"/>
  <c r="AT292" i="11"/>
  <c r="J292" i="11"/>
  <c r="AR292" i="11"/>
  <c r="P292" i="11"/>
  <c r="AL292" i="11"/>
  <c r="N292" i="11"/>
  <c r="C292" i="11"/>
  <c r="AG292" i="11"/>
  <c r="AC292" i="11"/>
  <c r="E292" i="11"/>
  <c r="M292" i="11"/>
  <c r="AA292" i="11"/>
  <c r="T292" i="11"/>
  <c r="AK292" i="11"/>
  <c r="V292" i="11"/>
  <c r="F292" i="11"/>
  <c r="U292" i="11"/>
  <c r="AS292" i="11"/>
  <c r="AD292" i="11"/>
  <c r="R292" i="11"/>
  <c r="AF292" i="11"/>
  <c r="AB292" i="11"/>
  <c r="H292" i="11"/>
  <c r="Y292" i="11"/>
  <c r="AP292" i="11"/>
  <c r="L292" i="11"/>
  <c r="AI292" i="11"/>
  <c r="AJ292" i="11"/>
  <c r="W292" i="11"/>
  <c r="I292" i="11"/>
  <c r="W123" i="21"/>
  <c r="AN123" i="21"/>
  <c r="AS123" i="21"/>
  <c r="AH123" i="21"/>
  <c r="AC123" i="21"/>
  <c r="O123" i="7"/>
  <c r="O123" i="21"/>
  <c r="AF123" i="7"/>
  <c r="U122" i="7"/>
  <c r="S120" i="7"/>
  <c r="H149" i="17"/>
  <c r="AM149" i="17"/>
  <c r="K123" i="7"/>
  <c r="K123" i="21"/>
  <c r="Q122" i="7"/>
  <c r="CF32" i="29"/>
  <c r="CE12" i="29"/>
  <c r="CF31" i="29"/>
  <c r="DF27" i="29"/>
  <c r="DF17" i="29"/>
  <c r="DF19" i="29"/>
  <c r="DF28" i="29"/>
  <c r="DE6" i="29"/>
  <c r="DF16" i="29"/>
  <c r="DF15" i="29"/>
  <c r="DF13" i="29"/>
  <c r="DE8" i="29"/>
  <c r="DF24" i="29"/>
  <c r="DF18" i="29"/>
  <c r="DF11" i="29"/>
  <c r="DF25" i="29"/>
  <c r="DE25" i="29" s="1"/>
  <c r="EE4" i="29"/>
  <c r="DF12" i="29"/>
  <c r="J98" i="9"/>
  <c r="P98" i="9" s="1"/>
  <c r="L184" i="19"/>
  <c r="BE33" i="10"/>
  <c r="BE28" i="10"/>
  <c r="BE26" i="10"/>
  <c r="BE14" i="10"/>
  <c r="BE16" i="10"/>
  <c r="BE21" i="10"/>
  <c r="CN12" i="29"/>
  <c r="J14" i="9"/>
  <c r="BE17" i="10"/>
  <c r="BE27" i="10"/>
  <c r="O168" i="19"/>
  <c r="DX24" i="29"/>
  <c r="DP24" i="29"/>
  <c r="DV24" i="29"/>
  <c r="DZ24" i="29"/>
  <c r="P122" i="7"/>
  <c r="AK122" i="7"/>
  <c r="BT6" i="10"/>
  <c r="G6" i="10" s="1"/>
  <c r="H11" i="22"/>
  <c r="H6" i="22" s="1"/>
  <c r="G35" i="17"/>
  <c r="D38" i="17"/>
  <c r="D35" i="17" s="1"/>
  <c r="AN120" i="7"/>
  <c r="P120" i="7"/>
  <c r="AG21" i="29"/>
  <c r="AG22" i="29"/>
  <c r="H7" i="31"/>
  <c r="AG33" i="29"/>
  <c r="AG23" i="29"/>
  <c r="S32" i="10"/>
  <c r="D274" i="17"/>
  <c r="BD26" i="10"/>
  <c r="BD21" i="10"/>
  <c r="CL12" i="29"/>
  <c r="BD28" i="10"/>
  <c r="BD17" i="10"/>
  <c r="J13" i="9"/>
  <c r="BD27" i="10"/>
  <c r="BD14" i="10"/>
  <c r="BD33" i="10"/>
  <c r="BD16" i="10"/>
  <c r="Z122" i="7"/>
  <c r="AH122" i="7"/>
  <c r="P119" i="7"/>
  <c r="AP149" i="17"/>
  <c r="BG28" i="10"/>
  <c r="BG14" i="10"/>
  <c r="BG32" i="10" s="1"/>
  <c r="BG27" i="10"/>
  <c r="BG26" i="10"/>
  <c r="J16" i="9"/>
  <c r="BG21" i="10"/>
  <c r="BG17" i="10"/>
  <c r="BG16" i="10"/>
  <c r="BG33" i="10"/>
  <c r="BA21" i="10"/>
  <c r="BA17" i="10"/>
  <c r="BA16" i="10"/>
  <c r="BA33" i="10"/>
  <c r="BA14" i="10"/>
  <c r="BA9" i="10"/>
  <c r="I23" i="9"/>
  <c r="BA27" i="10"/>
  <c r="BA28" i="10"/>
  <c r="BA26" i="10"/>
  <c r="N6" i="10"/>
  <c r="I151" i="19"/>
  <c r="K189" i="19"/>
  <c r="I142" i="19"/>
  <c r="K141" i="19"/>
  <c r="I141" i="19" s="1"/>
  <c r="K180" i="19"/>
  <c r="R166" i="19"/>
  <c r="AP123" i="7"/>
  <c r="AP123" i="21"/>
  <c r="AM122" i="7"/>
  <c r="AL149" i="17"/>
  <c r="N123" i="7"/>
  <c r="N123" i="21"/>
  <c r="I123" i="7"/>
  <c r="I123" i="21"/>
  <c r="K122" i="7"/>
  <c r="CC32" i="10"/>
  <c r="H8" i="31"/>
  <c r="N120" i="7"/>
  <c r="AG28" i="29"/>
  <c r="AI149" i="17"/>
  <c r="AP119" i="7"/>
  <c r="D169" i="17"/>
  <c r="E149" i="17"/>
  <c r="H72" i="22"/>
  <c r="H85" i="22"/>
  <c r="H46" i="22"/>
  <c r="G120" i="7"/>
  <c r="Q181" i="19"/>
  <c r="O143" i="19"/>
  <c r="O149" i="19"/>
  <c r="Q187" i="19"/>
  <c r="D123" i="7"/>
  <c r="D123" i="21"/>
  <c r="V119" i="7"/>
  <c r="J119" i="7"/>
  <c r="AF149" i="17"/>
  <c r="AN149" i="17"/>
  <c r="Q119" i="7"/>
  <c r="G80" i="22"/>
  <c r="G93" i="22"/>
  <c r="G54" i="22"/>
  <c r="J123" i="7"/>
  <c r="F123" i="7"/>
  <c r="F123" i="21"/>
  <c r="B159" i="11"/>
  <c r="E151" i="11"/>
  <c r="AA123" i="7"/>
  <c r="AA123" i="21"/>
  <c r="Y122" i="7"/>
  <c r="AC51" i="17"/>
  <c r="L51" i="17"/>
  <c r="O51" i="17"/>
  <c r="S51" i="17"/>
  <c r="Y51" i="17"/>
  <c r="J51" i="17"/>
  <c r="X51" i="17"/>
  <c r="AD51" i="17"/>
  <c r="Q51" i="17"/>
  <c r="H51" i="17"/>
  <c r="AN51" i="17"/>
  <c r="AI51" i="17"/>
  <c r="AH51" i="17"/>
  <c r="E51" i="17"/>
  <c r="V51" i="17"/>
  <c r="AT51" i="17"/>
  <c r="M51" i="17"/>
  <c r="AF51" i="17"/>
  <c r="AO51" i="17"/>
  <c r="AV51" i="17"/>
  <c r="AP51" i="17"/>
  <c r="AM51" i="17"/>
  <c r="U51" i="17"/>
  <c r="AE51" i="17"/>
  <c r="Z51" i="17"/>
  <c r="AQ51" i="17"/>
  <c r="K51" i="17"/>
  <c r="AJ51" i="17"/>
  <c r="T51" i="17"/>
  <c r="F51" i="17"/>
  <c r="R51" i="17"/>
  <c r="AA51" i="17"/>
  <c r="AK51" i="17"/>
  <c r="AB51" i="17"/>
  <c r="L165" i="19"/>
  <c r="CJ24" i="29"/>
  <c r="AK123" i="7"/>
  <c r="AK123" i="21"/>
  <c r="H120" i="7"/>
  <c r="AU120" i="7"/>
  <c r="AT26" i="10"/>
  <c r="AT17" i="10"/>
  <c r="I16" i="9"/>
  <c r="AT33" i="10"/>
  <c r="AT28" i="10"/>
  <c r="AT21" i="10"/>
  <c r="AT27" i="10"/>
  <c r="AT16" i="10"/>
  <c r="AT14" i="10"/>
  <c r="AT32" i="10" s="1"/>
  <c r="D234" i="17"/>
  <c r="B114" i="11"/>
  <c r="C112" i="11"/>
  <c r="R156" i="19"/>
  <c r="T169" i="19"/>
  <c r="AL123" i="7"/>
  <c r="AB149" i="17"/>
  <c r="AT119" i="7"/>
  <c r="G88" i="22"/>
  <c r="G49" i="22"/>
  <c r="G75" i="22"/>
  <c r="CC15" i="29"/>
  <c r="L122" i="7"/>
  <c r="DA15" i="29"/>
  <c r="U120" i="7"/>
  <c r="BQ15" i="29"/>
  <c r="BH15" i="29"/>
  <c r="BG15" i="29" s="1"/>
  <c r="BQ18" i="29"/>
  <c r="BH18" i="29"/>
  <c r="CR18" i="29"/>
  <c r="CR28" i="29"/>
  <c r="CR11" i="29"/>
  <c r="CR25" i="29"/>
  <c r="CR16" i="29"/>
  <c r="CQ6" i="29"/>
  <c r="CR19" i="29"/>
  <c r="DQ4" i="29"/>
  <c r="CR27" i="29"/>
  <c r="CR15" i="29"/>
  <c r="CQ5" i="29"/>
  <c r="CR17" i="29"/>
  <c r="CQ7" i="29"/>
  <c r="CR12" i="29"/>
  <c r="AG18" i="29"/>
  <c r="AV26" i="10"/>
  <c r="K75" i="17"/>
  <c r="AJ14" i="20"/>
  <c r="F79" i="17"/>
  <c r="F221" i="22" s="1"/>
  <c r="AV8" i="17"/>
  <c r="G21" i="17"/>
  <c r="AO146" i="17"/>
  <c r="B33" i="11"/>
  <c r="W146" i="17"/>
  <c r="AM123" i="21"/>
  <c r="O426" i="17"/>
  <c r="AM146" i="17"/>
  <c r="AA146" i="17"/>
  <c r="Z146" i="17"/>
  <c r="AF426" i="17"/>
  <c r="BT24" i="29"/>
  <c r="BS25" i="29"/>
  <c r="BS28" i="29"/>
  <c r="BS11" i="29"/>
  <c r="L426" i="17"/>
  <c r="AG219" i="17"/>
  <c r="V426" i="17"/>
  <c r="M426" i="17"/>
  <c r="J216" i="17"/>
  <c r="AJ112" i="11"/>
  <c r="G121" i="21"/>
  <c r="Z356" i="17"/>
  <c r="AJ216" i="17"/>
  <c r="AP146" i="17"/>
  <c r="I216" i="17"/>
  <c r="AF146" i="17"/>
  <c r="U146" i="17"/>
  <c r="AU426" i="17"/>
  <c r="AC121" i="21"/>
  <c r="T180" i="19"/>
  <c r="T187" i="19"/>
  <c r="E146" i="17"/>
  <c r="H121" i="21"/>
  <c r="I26" i="17"/>
  <c r="AL146" i="17"/>
  <c r="Q426" i="17"/>
  <c r="I426" i="17"/>
  <c r="W356" i="17"/>
  <c r="AU356" i="17"/>
  <c r="N181" i="19"/>
  <c r="G356" i="17"/>
  <c r="CC17" i="29"/>
  <c r="CC19" i="29"/>
  <c r="CC28" i="29"/>
  <c r="DA17" i="29"/>
  <c r="DA25" i="29"/>
  <c r="D31" i="17"/>
  <c r="X123" i="21"/>
  <c r="AF119" i="7"/>
  <c r="I119" i="7"/>
  <c r="G74" i="22"/>
  <c r="G87" i="22"/>
  <c r="G48" i="22"/>
  <c r="O165" i="19"/>
  <c r="Q164" i="19"/>
  <c r="O164" i="19" s="1"/>
  <c r="I96" i="22"/>
  <c r="I83" i="22"/>
  <c r="I57" i="22"/>
  <c r="V123" i="7"/>
  <c r="V123" i="21"/>
  <c r="AQ123" i="7"/>
  <c r="CA26" i="10"/>
  <c r="CA14" i="10"/>
  <c r="CA32" i="10" s="1"/>
  <c r="CA16" i="10"/>
  <c r="CA27" i="10"/>
  <c r="CA9" i="10"/>
  <c r="CA28" i="10"/>
  <c r="K23" i="9"/>
  <c r="CA17" i="10"/>
  <c r="CA21" i="10"/>
  <c r="CA33" i="10"/>
  <c r="S146" i="17"/>
  <c r="L146" i="17"/>
  <c r="AT146" i="17"/>
  <c r="AC146" i="17"/>
  <c r="AN146" i="17"/>
  <c r="AI146" i="17"/>
  <c r="AB146" i="17"/>
  <c r="AR146" i="17"/>
  <c r="H146" i="17"/>
  <c r="N146" i="17"/>
  <c r="T146" i="17"/>
  <c r="AJ146" i="17"/>
  <c r="X146" i="17"/>
  <c r="AS146" i="17"/>
  <c r="AD146" i="17"/>
  <c r="M146" i="17"/>
  <c r="D145" i="17"/>
  <c r="F26" i="10"/>
  <c r="F28" i="10"/>
  <c r="F58" i="9"/>
  <c r="C58" i="9" s="1"/>
  <c r="F33" i="10"/>
  <c r="F21" i="10"/>
  <c r="F27" i="10"/>
  <c r="G47" i="22"/>
  <c r="G73" i="22"/>
  <c r="G86" i="22"/>
  <c r="U149" i="17"/>
  <c r="N119" i="7"/>
  <c r="G76" i="22"/>
  <c r="G50" i="22"/>
  <c r="G89" i="22"/>
  <c r="F96" i="22"/>
  <c r="F57" i="22"/>
  <c r="F83" i="22"/>
  <c r="C18" i="22"/>
  <c r="K186" i="19"/>
  <c r="I148" i="19"/>
  <c r="I143" i="19"/>
  <c r="K181" i="19"/>
  <c r="I146" i="19"/>
  <c r="K184" i="19"/>
  <c r="H15" i="9"/>
  <c r="AF27" i="10"/>
  <c r="AF21" i="10"/>
  <c r="AF26" i="10"/>
  <c r="AF17" i="10"/>
  <c r="AF28" i="10"/>
  <c r="AF33" i="10"/>
  <c r="AF14" i="10"/>
  <c r="AV12" i="29"/>
  <c r="AF16" i="10"/>
  <c r="AZ12" i="29"/>
  <c r="AP12" i="29"/>
  <c r="AX12" i="29"/>
  <c r="AT12" i="29"/>
  <c r="AR12" i="29"/>
  <c r="P123" i="7"/>
  <c r="P123" i="21"/>
  <c r="AT120" i="7"/>
  <c r="AK149" i="17"/>
  <c r="AJ119" i="7"/>
  <c r="H33" i="4"/>
  <c r="R5" i="19"/>
  <c r="AK120" i="7"/>
  <c r="H119" i="7"/>
  <c r="F51" i="22"/>
  <c r="F77" i="22"/>
  <c r="F90" i="22"/>
  <c r="Q123" i="7"/>
  <c r="Q123" i="21"/>
  <c r="AG119" i="7"/>
  <c r="F149" i="17"/>
  <c r="B102" i="11"/>
  <c r="C99" i="11"/>
  <c r="AJ27" i="10"/>
  <c r="AJ14" i="10"/>
  <c r="AJ26" i="10"/>
  <c r="AJ33" i="10"/>
  <c r="AJ16" i="10"/>
  <c r="H19" i="9"/>
  <c r="AJ21" i="10"/>
  <c r="AJ17" i="10"/>
  <c r="AJ28" i="10"/>
  <c r="CF21" i="10"/>
  <c r="CF17" i="10"/>
  <c r="CF28" i="10"/>
  <c r="CF26" i="10"/>
  <c r="CF27" i="10"/>
  <c r="CF16" i="10"/>
  <c r="CF33" i="10"/>
  <c r="L15" i="9"/>
  <c r="CF14" i="10"/>
  <c r="AJ344" i="17"/>
  <c r="H344" i="17"/>
  <c r="AT344" i="17"/>
  <c r="Y344" i="17"/>
  <c r="AH344" i="17"/>
  <c r="AQ344" i="17"/>
  <c r="AU344" i="17"/>
  <c r="AL344" i="17"/>
  <c r="R344" i="17"/>
  <c r="X344" i="17"/>
  <c r="T344" i="17"/>
  <c r="U344" i="17"/>
  <c r="AD344" i="17"/>
  <c r="M344" i="17"/>
  <c r="F344" i="17"/>
  <c r="AK344" i="17"/>
  <c r="AN344" i="17"/>
  <c r="Z344" i="17"/>
  <c r="AI344" i="17"/>
  <c r="AW340" i="17"/>
  <c r="AW341" i="17" s="1"/>
  <c r="AW342" i="17" s="1"/>
  <c r="AW343" i="17" s="1"/>
  <c r="AW344" i="17" s="1"/>
  <c r="AC344" i="17"/>
  <c r="Q344" i="17"/>
  <c r="AV344" i="17"/>
  <c r="E344" i="17"/>
  <c r="AM344" i="17"/>
  <c r="L344" i="17"/>
  <c r="AO344" i="17"/>
  <c r="I344" i="17"/>
  <c r="AG344" i="17"/>
  <c r="K344" i="17"/>
  <c r="AE344" i="17"/>
  <c r="W344" i="17"/>
  <c r="AA344" i="17"/>
  <c r="AR344" i="17"/>
  <c r="P344" i="17"/>
  <c r="G344" i="17"/>
  <c r="V344" i="17"/>
  <c r="N344" i="17"/>
  <c r="S344" i="17"/>
  <c r="AB344" i="17"/>
  <c r="AS344" i="17"/>
  <c r="O344" i="17"/>
  <c r="AP344" i="17"/>
  <c r="AF344" i="17"/>
  <c r="J344" i="17"/>
  <c r="Z120" i="7"/>
  <c r="Q188" i="19"/>
  <c r="O150" i="19"/>
  <c r="O147" i="19"/>
  <c r="Q185" i="19"/>
  <c r="Q183" i="19"/>
  <c r="O145" i="19"/>
  <c r="AF120" i="7"/>
  <c r="L149" i="17"/>
  <c r="AD119" i="7"/>
  <c r="J94" i="9"/>
  <c r="P94" i="9" s="1"/>
  <c r="L180" i="19"/>
  <c r="BK33" i="10"/>
  <c r="BK14" i="10"/>
  <c r="BK32" i="10" s="1"/>
  <c r="BK28" i="10"/>
  <c r="J20" i="9"/>
  <c r="BK26" i="10"/>
  <c r="BK17" i="10"/>
  <c r="BK27" i="10"/>
  <c r="BK21" i="10"/>
  <c r="BK16" i="10"/>
  <c r="E73" i="22"/>
  <c r="E86" i="22"/>
  <c r="E47" i="22"/>
  <c r="F93" i="22"/>
  <c r="F54" i="22"/>
  <c r="F80" i="22"/>
  <c r="I14" i="22"/>
  <c r="C14" i="22" s="1"/>
  <c r="CJ6" i="10"/>
  <c r="G122" i="7"/>
  <c r="AJ122" i="7"/>
  <c r="Q149" i="17"/>
  <c r="W149" i="17"/>
  <c r="AQ149" i="17"/>
  <c r="AF11" i="17"/>
  <c r="G11" i="17"/>
  <c r="AO120" i="7"/>
  <c r="F76" i="22"/>
  <c r="F89" i="22"/>
  <c r="F50" i="22"/>
  <c r="D89" i="22"/>
  <c r="D50" i="22"/>
  <c r="D76" i="22"/>
  <c r="F8" i="22"/>
  <c r="AQ6" i="10"/>
  <c r="D218" i="17"/>
  <c r="AV120" i="21" s="1"/>
  <c r="AM120" i="21" s="1"/>
  <c r="AI123" i="7"/>
  <c r="AI123" i="21"/>
  <c r="I122" i="7"/>
  <c r="I120" i="7"/>
  <c r="AV149" i="17"/>
  <c r="BF21" i="10"/>
  <c r="BF27" i="10"/>
  <c r="BF33" i="10"/>
  <c r="BF14" i="10"/>
  <c r="J15" i="9"/>
  <c r="BF16" i="10"/>
  <c r="BF26" i="10"/>
  <c r="BF28" i="10"/>
  <c r="BF17" i="10"/>
  <c r="CV12" i="29"/>
  <c r="CX12" i="29"/>
  <c r="CP12" i="29"/>
  <c r="CZ12" i="29"/>
  <c r="S127" i="20" a="1"/>
  <c r="S127" i="20" s="1"/>
  <c r="AO175" i="11"/>
  <c r="M175" i="11"/>
  <c r="X175" i="11"/>
  <c r="AG175" i="11"/>
  <c r="Q104" i="9"/>
  <c r="S175" i="11"/>
  <c r="CC13" i="29"/>
  <c r="EB25" i="29"/>
  <c r="EB18" i="29"/>
  <c r="EB28" i="29"/>
  <c r="EB19" i="29"/>
  <c r="EA6" i="29"/>
  <c r="EB12" i="29"/>
  <c r="EA5" i="29"/>
  <c r="EB38" i="29"/>
  <c r="EB17" i="29"/>
  <c r="EB15" i="29"/>
  <c r="EB37" i="29"/>
  <c r="EB36" i="29"/>
  <c r="EB16" i="29"/>
  <c r="FA4" i="29"/>
  <c r="EB27" i="29"/>
  <c r="EB11" i="29"/>
  <c r="EA7" i="29"/>
  <c r="EB24" i="29"/>
  <c r="BQ19" i="29"/>
  <c r="BH19" i="29"/>
  <c r="BG19" i="29" s="1"/>
  <c r="BQ28" i="29"/>
  <c r="BH28" i="29"/>
  <c r="BQ9" i="29"/>
  <c r="BG6" i="29"/>
  <c r="F52" i="22"/>
  <c r="F78" i="22"/>
  <c r="F91" i="22"/>
  <c r="BQ32" i="10"/>
  <c r="K426" i="17"/>
  <c r="AL112" i="11"/>
  <c r="AL85" i="11" s="1"/>
  <c r="D358" i="17"/>
  <c r="AV122" i="21" s="1"/>
  <c r="H122" i="21" s="1"/>
  <c r="AL426" i="17"/>
  <c r="AV216" i="17"/>
  <c r="D431" i="17"/>
  <c r="AB356" i="17"/>
  <c r="AI216" i="17"/>
  <c r="J146" i="17"/>
  <c r="W426" i="17"/>
  <c r="S356" i="17"/>
  <c r="AO216" i="17"/>
  <c r="AT216" i="17"/>
  <c r="AG25" i="29"/>
  <c r="R26" i="17"/>
  <c r="Z149" i="17"/>
  <c r="AJ151" i="11"/>
  <c r="AD356" i="17"/>
  <c r="AS151" i="11"/>
  <c r="AG112" i="11"/>
  <c r="AF216" i="17"/>
  <c r="K146" i="17"/>
  <c r="AE146" i="17"/>
  <c r="T183" i="19"/>
  <c r="N185" i="19"/>
  <c r="L121" i="21"/>
  <c r="L356" i="17"/>
  <c r="AQ151" i="11"/>
  <c r="AK356" i="17"/>
  <c r="DA36" i="29"/>
  <c r="DA9" i="29"/>
  <c r="DA37" i="29"/>
  <c r="AH112" i="11"/>
  <c r="AQ216" i="17"/>
  <c r="G137" i="9"/>
  <c r="H2" i="14"/>
  <c r="K9" i="29"/>
  <c r="G5" i="29"/>
  <c r="D141" i="19"/>
  <c r="E143" i="19" s="1"/>
  <c r="C143" i="19" s="1"/>
  <c r="C55" i="29"/>
  <c r="C51" i="29" s="1"/>
  <c r="C56" i="29" s="1"/>
  <c r="K15" i="23"/>
  <c r="K22" i="23" s="1"/>
  <c r="C170" i="19"/>
  <c r="R24" i="29"/>
  <c r="G170" i="19"/>
  <c r="E164" i="19"/>
  <c r="C164" i="19" s="1"/>
  <c r="X24" i="29"/>
  <c r="Z24" i="29"/>
  <c r="G169" i="19"/>
  <c r="T24" i="29"/>
  <c r="C23" i="4"/>
  <c r="C24" i="4" s="1"/>
  <c r="C127" i="19" s="1"/>
  <c r="AF79" i="17"/>
  <c r="AF24" i="17"/>
  <c r="T8" i="17"/>
  <c r="T20" i="17"/>
  <c r="AJ20" i="13"/>
  <c r="AD5" i="17"/>
  <c r="Q6" i="10"/>
  <c r="E20" i="21"/>
  <c r="D8" i="22"/>
  <c r="AT24" i="17"/>
  <c r="AT79" i="17"/>
  <c r="K20" i="17"/>
  <c r="K8" i="17"/>
  <c r="AC24" i="17"/>
  <c r="AC79" i="17"/>
  <c r="AG24" i="17"/>
  <c r="AG79" i="17"/>
  <c r="X8" i="17"/>
  <c r="X20" i="17"/>
  <c r="AS8" i="17"/>
  <c r="AS20" i="17"/>
  <c r="AQ24" i="17"/>
  <c r="AQ79" i="17"/>
  <c r="J20" i="17"/>
  <c r="J8" i="17"/>
  <c r="K15" i="29"/>
  <c r="H15" i="29"/>
  <c r="AM24" i="17"/>
  <c r="AM79" i="17"/>
  <c r="AK21" i="17"/>
  <c r="L21" i="17"/>
  <c r="AH21" i="17"/>
  <c r="O21" i="17"/>
  <c r="S21" i="17"/>
  <c r="M21" i="17"/>
  <c r="AI21" i="17"/>
  <c r="AE21" i="17"/>
  <c r="AN21" i="17"/>
  <c r="AG21" i="17"/>
  <c r="AJ21" i="17"/>
  <c r="AD21" i="17"/>
  <c r="AT20" i="17"/>
  <c r="AT8" i="17"/>
  <c r="G25" i="29"/>
  <c r="AF20" i="17"/>
  <c r="AF8" i="17"/>
  <c r="AA20" i="17"/>
  <c r="AA8" i="17"/>
  <c r="Y24" i="17"/>
  <c r="AP20" i="17"/>
  <c r="AP8" i="17"/>
  <c r="AP24" i="17"/>
  <c r="I118" i="7"/>
  <c r="J75" i="17"/>
  <c r="V20" i="17"/>
  <c r="V8" i="17"/>
  <c r="AL20" i="17"/>
  <c r="AL8" i="17"/>
  <c r="P20" i="17"/>
  <c r="P8" i="17"/>
  <c r="AB20" i="17"/>
  <c r="AB8" i="17"/>
  <c r="AQ20" i="17"/>
  <c r="AQ8" i="17"/>
  <c r="AB20" i="29"/>
  <c r="AA20" i="29" s="1"/>
  <c r="AA24" i="29"/>
  <c r="AU24" i="17"/>
  <c r="AM20" i="17"/>
  <c r="AM8" i="17"/>
  <c r="AC20" i="17"/>
  <c r="AC8" i="17"/>
  <c r="V24" i="17"/>
  <c r="V79" i="17"/>
  <c r="AV24" i="17"/>
  <c r="AM21" i="17"/>
  <c r="R21" i="17"/>
  <c r="N21" i="17"/>
  <c r="AL21" i="17"/>
  <c r="G6" i="17"/>
  <c r="AU8" i="17"/>
  <c r="H79" i="17"/>
  <c r="H14" i="20" s="1"/>
  <c r="N79" i="17"/>
  <c r="N221" i="22" s="1"/>
  <c r="J21" i="17"/>
  <c r="Y21" i="17"/>
  <c r="F21" i="17"/>
  <c r="B88" i="11"/>
  <c r="AF21" i="17"/>
  <c r="W21" i="17"/>
  <c r="E21" i="17"/>
  <c r="H21" i="17"/>
  <c r="T221" i="22"/>
  <c r="T14" i="20"/>
  <c r="Z24" i="17"/>
  <c r="K16" i="29"/>
  <c r="H16" i="29"/>
  <c r="AE14" i="20"/>
  <c r="AE221" i="22"/>
  <c r="V20" i="13"/>
  <c r="S5" i="17"/>
  <c r="V6" i="13"/>
  <c r="AB24" i="17"/>
  <c r="AB79" i="17"/>
  <c r="AS24" i="17"/>
  <c r="AS79" i="17"/>
  <c r="AQ6" i="13"/>
  <c r="D23" i="17"/>
  <c r="D20" i="17" s="1"/>
  <c r="E20" i="17"/>
  <c r="H8" i="17"/>
  <c r="H20" i="17"/>
  <c r="R20" i="17"/>
  <c r="R8" i="17"/>
  <c r="AR24" i="17"/>
  <c r="AR79" i="17"/>
  <c r="AA24" i="17"/>
  <c r="F8" i="17"/>
  <c r="F20" i="17"/>
  <c r="U24" i="17"/>
  <c r="U79" i="17"/>
  <c r="AE5" i="17"/>
  <c r="AL14" i="20"/>
  <c r="AL221" i="22"/>
  <c r="D94" i="17"/>
  <c r="E24" i="17"/>
  <c r="R24" i="17"/>
  <c r="S24" i="17"/>
  <c r="S79" i="17"/>
  <c r="K24" i="17"/>
  <c r="K79" i="17"/>
  <c r="L24" i="17"/>
  <c r="L79" i="17"/>
  <c r="W24" i="17"/>
  <c r="P24" i="17"/>
  <c r="P79" i="17"/>
  <c r="Q24" i="17"/>
  <c r="AN24" i="17"/>
  <c r="X24" i="17"/>
  <c r="AD24" i="17"/>
  <c r="AD79" i="17"/>
  <c r="U20" i="17"/>
  <c r="U8" i="17"/>
  <c r="AR20" i="17"/>
  <c r="AR8" i="17"/>
  <c r="AN6" i="17"/>
  <c r="Z79" i="17"/>
  <c r="Z221" i="22" s="1"/>
  <c r="X21" i="17"/>
  <c r="E8" i="17"/>
  <c r="O79" i="17"/>
  <c r="O14" i="20" s="1"/>
  <c r="AO6" i="17"/>
  <c r="Q8" i="17"/>
  <c r="AO8" i="17"/>
  <c r="AO5" i="17" s="1"/>
  <c r="AA79" i="17"/>
  <c r="AA221" i="22" s="1"/>
  <c r="Z21" i="17"/>
  <c r="AA21" i="17"/>
  <c r="AV21" i="17"/>
  <c r="AO21" i="17"/>
  <c r="V21" i="17"/>
  <c r="AS21" i="17"/>
  <c r="AR21" i="17"/>
  <c r="K21" i="17"/>
  <c r="W5" i="17"/>
  <c r="AV14" i="20"/>
  <c r="AV221" i="22"/>
  <c r="Q221" i="22"/>
  <c r="Q14" i="20"/>
  <c r="D72" i="22"/>
  <c r="D46" i="22"/>
  <c r="D85" i="22"/>
  <c r="M21" i="21"/>
  <c r="O21" i="21"/>
  <c r="R19" i="21"/>
  <c r="R14" i="20"/>
  <c r="R221" i="22"/>
  <c r="AH5" i="17"/>
  <c r="Z5" i="17"/>
  <c r="AG6" i="17"/>
  <c r="AQ6" i="17"/>
  <c r="AR6" i="17"/>
  <c r="AK6" i="17"/>
  <c r="AP6" i="17"/>
  <c r="AJ6" i="17"/>
  <c r="X14" i="20"/>
  <c r="X221" i="22"/>
  <c r="E14" i="20"/>
  <c r="E221" i="22"/>
  <c r="M5" i="17"/>
  <c r="G19" i="29"/>
  <c r="AP14" i="20"/>
  <c r="AP221" i="22"/>
  <c r="AO14" i="20"/>
  <c r="AO221" i="22"/>
  <c r="G12" i="9"/>
  <c r="C45" i="10"/>
  <c r="G55" i="9" s="1"/>
  <c r="P16" i="10"/>
  <c r="P14" i="10"/>
  <c r="P17" i="10"/>
  <c r="J12" i="29"/>
  <c r="W221" i="22"/>
  <c r="W14" i="20"/>
  <c r="AI14" i="20"/>
  <c r="AU14" i="20"/>
  <c r="AU221" i="22"/>
  <c r="Y6" i="17"/>
  <c r="D65" i="13"/>
  <c r="F6" i="9" s="1"/>
  <c r="C6" i="9" s="1"/>
  <c r="X15" i="6"/>
  <c r="D67" i="8"/>
  <c r="G33" i="13"/>
  <c r="AW9" i="13" l="1"/>
  <c r="D46" i="17"/>
  <c r="BR12" i="29"/>
  <c r="BQ12" i="29" s="1"/>
  <c r="G85" i="11"/>
  <c r="E6" i="22"/>
  <c r="AV119" i="21"/>
  <c r="AK119" i="21" s="1"/>
  <c r="CP24" i="29"/>
  <c r="CP20" i="29" s="1"/>
  <c r="O44" i="17"/>
  <c r="V14" i="10"/>
  <c r="V32" i="10" s="1"/>
  <c r="V27" i="10"/>
  <c r="E77" i="22"/>
  <c r="Q219" i="17"/>
  <c r="F6" i="17"/>
  <c r="P6" i="17"/>
  <c r="E6" i="17"/>
  <c r="M6" i="17"/>
  <c r="L175" i="11"/>
  <c r="G175" i="11"/>
  <c r="CN24" i="29"/>
  <c r="CN20" i="29" s="1"/>
  <c r="S85" i="11"/>
  <c r="L183" i="19"/>
  <c r="C16" i="18"/>
  <c r="G26" i="18" s="1"/>
  <c r="V44" i="17"/>
  <c r="AE44" i="17"/>
  <c r="AF44" i="17"/>
  <c r="AB44" i="17"/>
  <c r="AR44" i="17"/>
  <c r="V16" i="10"/>
  <c r="V17" i="10"/>
  <c r="AH221" i="22"/>
  <c r="W219" i="17"/>
  <c r="W16" i="20" s="1"/>
  <c r="AO219" i="17"/>
  <c r="AM219" i="17"/>
  <c r="L219" i="17"/>
  <c r="AF85" i="11"/>
  <c r="AF350" i="11" s="1"/>
  <c r="AO85" i="11"/>
  <c r="AO350" i="11" s="1"/>
  <c r="H219" i="17"/>
  <c r="AC9" i="13"/>
  <c r="DM26" i="29"/>
  <c r="DM33" i="29"/>
  <c r="DM23" i="29"/>
  <c r="DM22" i="29"/>
  <c r="DM21" i="29"/>
  <c r="DM28" i="29"/>
  <c r="DM16" i="29"/>
  <c r="D16" i="17"/>
  <c r="AV17" i="10"/>
  <c r="I17" i="10" s="1"/>
  <c r="V26" i="10"/>
  <c r="G18" i="9"/>
  <c r="AK85" i="11"/>
  <c r="AK260" i="11" s="1"/>
  <c r="S9" i="13"/>
  <c r="R85" i="11"/>
  <c r="R350" i="11" s="1"/>
  <c r="C121" i="7"/>
  <c r="AJ222" i="22"/>
  <c r="AI33" i="10"/>
  <c r="AI14" i="10"/>
  <c r="AI32" i="10" s="1"/>
  <c r="AI26" i="10"/>
  <c r="AI28" i="10"/>
  <c r="H18" i="9"/>
  <c r="AI16" i="10"/>
  <c r="DM18" i="29"/>
  <c r="DM27" i="29"/>
  <c r="R186" i="19"/>
  <c r="EN31" i="29"/>
  <c r="DD38" i="29"/>
  <c r="AN44" i="17"/>
  <c r="N219" i="17"/>
  <c r="N16" i="20" s="1"/>
  <c r="G219" i="17"/>
  <c r="J85" i="11"/>
  <c r="J180" i="11" s="1"/>
  <c r="EN27" i="29"/>
  <c r="EN28" i="29"/>
  <c r="EM28" i="29" s="1"/>
  <c r="EM6" i="29"/>
  <c r="EN18" i="29"/>
  <c r="EN15" i="29"/>
  <c r="EM7" i="29"/>
  <c r="EN26" i="29"/>
  <c r="EM5" i="29"/>
  <c r="EN25" i="29"/>
  <c r="EN16" i="29"/>
  <c r="EM16" i="29" s="1"/>
  <c r="EN17" i="29"/>
  <c r="EN19" i="29"/>
  <c r="EN11" i="29"/>
  <c r="S351" i="11"/>
  <c r="S350" i="11"/>
  <c r="T185" i="19"/>
  <c r="AV28" i="10"/>
  <c r="AV33" i="10"/>
  <c r="AV14" i="10"/>
  <c r="AV32" i="10" s="1"/>
  <c r="D56" i="22"/>
  <c r="BT12" i="29"/>
  <c r="BB9" i="13"/>
  <c r="D49" i="17"/>
  <c r="AC222" i="22"/>
  <c r="D269" i="17"/>
  <c r="W85" i="11"/>
  <c r="W352" i="11" s="1"/>
  <c r="AH219" i="17"/>
  <c r="X219" i="17"/>
  <c r="AP85" i="11"/>
  <c r="W6" i="17"/>
  <c r="AC6" i="17"/>
  <c r="P260" i="11"/>
  <c r="J100" i="9"/>
  <c r="P100" i="9" s="1"/>
  <c r="D82" i="22"/>
  <c r="CT24" i="29"/>
  <c r="CS24" i="29" s="1"/>
  <c r="B138" i="11"/>
  <c r="AD123" i="21"/>
  <c r="E18" i="34"/>
  <c r="E29" i="34" s="1"/>
  <c r="E49" i="34"/>
  <c r="X16" i="10"/>
  <c r="P219" i="17"/>
  <c r="AE219" i="17"/>
  <c r="AE16" i="20" s="1"/>
  <c r="I219" i="17"/>
  <c r="Y219" i="17"/>
  <c r="AC219" i="17"/>
  <c r="DO9" i="29"/>
  <c r="X85" i="11"/>
  <c r="X261" i="11" s="1"/>
  <c r="N188" i="19"/>
  <c r="AA15" i="20"/>
  <c r="AJ15" i="20"/>
  <c r="X9" i="13"/>
  <c r="I9" i="13"/>
  <c r="Q339" i="17"/>
  <c r="U339" i="17"/>
  <c r="F339" i="17"/>
  <c r="AK339" i="17"/>
  <c r="N339" i="17"/>
  <c r="O339" i="17"/>
  <c r="AW335" i="17"/>
  <c r="AW336" i="17" s="1"/>
  <c r="AW337" i="17" s="1"/>
  <c r="AW338" i="17" s="1"/>
  <c r="AW339" i="17" s="1"/>
  <c r="AL339" i="17"/>
  <c r="E339" i="17"/>
  <c r="AI339" i="17"/>
  <c r="M339" i="17"/>
  <c r="I339" i="17"/>
  <c r="AH339" i="17"/>
  <c r="Y339" i="17"/>
  <c r="AJ339" i="17"/>
  <c r="AM339" i="17"/>
  <c r="AO339" i="17"/>
  <c r="AV339" i="17"/>
  <c r="R339" i="17"/>
  <c r="AP339" i="17"/>
  <c r="G339" i="17"/>
  <c r="X339" i="17"/>
  <c r="J339" i="17"/>
  <c r="AF339" i="17"/>
  <c r="Z339" i="17"/>
  <c r="L339" i="17"/>
  <c r="AR339" i="17"/>
  <c r="AS339" i="17"/>
  <c r="S339" i="17"/>
  <c r="AE339" i="17"/>
  <c r="AG339" i="17"/>
  <c r="AD339" i="17"/>
  <c r="P339" i="17"/>
  <c r="AT339" i="17"/>
  <c r="AN339" i="17"/>
  <c r="AQ339" i="17"/>
  <c r="H339" i="17"/>
  <c r="T339" i="17"/>
  <c r="AA339" i="17"/>
  <c r="AU339" i="17"/>
  <c r="W339" i="17"/>
  <c r="V339" i="17"/>
  <c r="AB339" i="17"/>
  <c r="K339" i="17"/>
  <c r="AC339" i="17"/>
  <c r="AD20" i="13"/>
  <c r="D6" i="22"/>
  <c r="T164" i="19"/>
  <c r="R164" i="19" s="1"/>
  <c r="BZ12" i="29"/>
  <c r="L168" i="19"/>
  <c r="D78" i="22"/>
  <c r="AF6" i="17"/>
  <c r="K6" i="17"/>
  <c r="AL6" i="17"/>
  <c r="AD6" i="13"/>
  <c r="AJ5" i="17"/>
  <c r="J6" i="17"/>
  <c r="D26" i="17"/>
  <c r="AU11" i="17"/>
  <c r="AV27" i="10"/>
  <c r="AV16" i="10"/>
  <c r="BX12" i="29"/>
  <c r="BX32" i="29" s="1"/>
  <c r="CZ24" i="29"/>
  <c r="U123" i="21"/>
  <c r="DJ12" i="29"/>
  <c r="E123" i="21"/>
  <c r="C123" i="21" s="1"/>
  <c r="AJ123" i="21"/>
  <c r="L123" i="21"/>
  <c r="H123" i="21"/>
  <c r="AT85" i="11"/>
  <c r="AT350" i="11" s="1"/>
  <c r="Z6" i="17"/>
  <c r="AD6" i="17"/>
  <c r="S6" i="17"/>
  <c r="V6" i="17"/>
  <c r="AH6" i="17"/>
  <c r="Q6" i="17"/>
  <c r="AI6" i="17"/>
  <c r="G54" i="9"/>
  <c r="AH85" i="11"/>
  <c r="AB123" i="21"/>
  <c r="AL11" i="17"/>
  <c r="AQ123" i="21"/>
  <c r="I18" i="9"/>
  <c r="AV21" i="10"/>
  <c r="CR24" i="29"/>
  <c r="CR20" i="29" s="1"/>
  <c r="AL123" i="21"/>
  <c r="N164" i="19"/>
  <c r="L164" i="19" s="1"/>
  <c r="J123" i="21"/>
  <c r="AF123" i="21"/>
  <c r="G123" i="21"/>
  <c r="R123" i="21"/>
  <c r="AT123" i="21"/>
  <c r="CX24" i="29"/>
  <c r="CV24" i="29"/>
  <c r="CU24" i="29" s="1"/>
  <c r="D154" i="17"/>
  <c r="E17" i="34"/>
  <c r="T219" i="17"/>
  <c r="T16" i="20" s="1"/>
  <c r="M219" i="17"/>
  <c r="M223" i="22" s="1"/>
  <c r="AI219" i="17"/>
  <c r="B405" i="17"/>
  <c r="C78" i="15"/>
  <c r="B475" i="17" s="1"/>
  <c r="CY11" i="29"/>
  <c r="AB219" i="17"/>
  <c r="U219" i="17"/>
  <c r="U223" i="22" s="1"/>
  <c r="Z314" i="17"/>
  <c r="AS314" i="17"/>
  <c r="AA314" i="17"/>
  <c r="U314" i="17"/>
  <c r="AT314" i="17"/>
  <c r="N314" i="17"/>
  <c r="AE314" i="17"/>
  <c r="I314" i="17"/>
  <c r="V314" i="17"/>
  <c r="AR314" i="17"/>
  <c r="AP314" i="17"/>
  <c r="AB314" i="17"/>
  <c r="F314" i="17"/>
  <c r="AU314" i="17"/>
  <c r="G314" i="17"/>
  <c r="Y314" i="17"/>
  <c r="T314" i="17"/>
  <c r="Q314" i="17"/>
  <c r="W314" i="17"/>
  <c r="H314" i="17"/>
  <c r="AG314" i="17"/>
  <c r="AM314" i="17"/>
  <c r="AW310" i="17"/>
  <c r="AW311" i="17" s="1"/>
  <c r="AW312" i="17" s="1"/>
  <c r="AW313" i="17" s="1"/>
  <c r="AW314" i="17" s="1"/>
  <c r="L314" i="17"/>
  <c r="R314" i="17"/>
  <c r="AF314" i="17"/>
  <c r="X314" i="17"/>
  <c r="J314" i="17"/>
  <c r="AQ314" i="17"/>
  <c r="AH314" i="17"/>
  <c r="S314" i="17"/>
  <c r="AC314" i="17"/>
  <c r="AO314" i="17"/>
  <c r="AJ314" i="17"/>
  <c r="O314" i="17"/>
  <c r="AD314" i="17"/>
  <c r="AI314" i="17"/>
  <c r="K314" i="17"/>
  <c r="AK314" i="17"/>
  <c r="AL314" i="17"/>
  <c r="P314" i="17"/>
  <c r="E314" i="17"/>
  <c r="M314" i="17"/>
  <c r="AN314" i="17"/>
  <c r="AV314" i="17"/>
  <c r="DE24" i="29"/>
  <c r="D76" i="17"/>
  <c r="S128" i="20" a="1"/>
  <c r="S128" i="20" s="1"/>
  <c r="N9" i="13"/>
  <c r="T126" i="7"/>
  <c r="X116" i="7"/>
  <c r="B380" i="17"/>
  <c r="C73" i="15"/>
  <c r="B450" i="17" s="1"/>
  <c r="D244" i="17"/>
  <c r="AS219" i="17"/>
  <c r="Z219" i="17"/>
  <c r="AD219" i="17"/>
  <c r="AD223" i="22" s="1"/>
  <c r="DU19" i="29"/>
  <c r="J20" i="29"/>
  <c r="I20" i="29" s="1"/>
  <c r="D61" i="8"/>
  <c r="D63" i="8"/>
  <c r="M221" i="22"/>
  <c r="C20" i="21"/>
  <c r="H85" i="11"/>
  <c r="H260" i="11" s="1"/>
  <c r="D65" i="8"/>
  <c r="D66" i="8"/>
  <c r="AA15" i="6"/>
  <c r="U15" i="6"/>
  <c r="D62" i="8"/>
  <c r="AV6" i="43"/>
  <c r="AV20" i="43"/>
  <c r="AK26" i="10"/>
  <c r="AK17" i="10"/>
  <c r="AK33" i="10"/>
  <c r="AK14" i="10"/>
  <c r="AK32" i="10" s="1"/>
  <c r="AK27" i="10"/>
  <c r="H20" i="9"/>
  <c r="AK21" i="10"/>
  <c r="AK28" i="10"/>
  <c r="AK16" i="10"/>
  <c r="CI33" i="10"/>
  <c r="CI17" i="10"/>
  <c r="L18" i="9"/>
  <c r="CI27" i="10"/>
  <c r="CI26" i="10"/>
  <c r="CI28" i="10"/>
  <c r="CI21" i="10"/>
  <c r="CI16" i="10"/>
  <c r="CI14" i="10"/>
  <c r="CI32" i="10" s="1"/>
  <c r="AC9" i="43"/>
  <c r="G5" i="17"/>
  <c r="G20" i="43"/>
  <c r="G6" i="43"/>
  <c r="J6" i="43"/>
  <c r="J20" i="43"/>
  <c r="DO19" i="29"/>
  <c r="AQ219" i="17"/>
  <c r="AV219" i="17"/>
  <c r="AV16" i="20" s="1"/>
  <c r="E54" i="22"/>
  <c r="E80" i="22"/>
  <c r="E93" i="22"/>
  <c r="R174" i="19"/>
  <c r="T189" i="19"/>
  <c r="I52" i="22"/>
  <c r="C52" i="22" s="1"/>
  <c r="I91" i="22"/>
  <c r="I78" i="22"/>
  <c r="Q5" i="17"/>
  <c r="T6" i="43"/>
  <c r="T20" i="43"/>
  <c r="AP20" i="43"/>
  <c r="AP6" i="43"/>
  <c r="BR20" i="29"/>
  <c r="BQ20" i="29" s="1"/>
  <c r="E9" i="13"/>
  <c r="D9" i="13" s="1"/>
  <c r="E9" i="43"/>
  <c r="D9" i="43" s="1"/>
  <c r="BA20" i="43"/>
  <c r="BA6" i="43"/>
  <c r="Q128" i="20" a="1"/>
  <c r="Q128" i="20" s="1"/>
  <c r="AU20" i="43"/>
  <c r="AU6" i="43"/>
  <c r="AF6" i="43"/>
  <c r="AF20" i="43"/>
  <c r="AA175" i="11"/>
  <c r="N203" i="19"/>
  <c r="L203" i="19" s="1"/>
  <c r="EV24" i="29"/>
  <c r="EV20" i="29" s="1"/>
  <c r="DC28" i="29"/>
  <c r="L187" i="19"/>
  <c r="H54" i="9"/>
  <c r="M6" i="43"/>
  <c r="M20" i="43"/>
  <c r="DO25" i="29"/>
  <c r="DU9" i="29"/>
  <c r="K55" i="13"/>
  <c r="V133" i="21"/>
  <c r="V134" i="21"/>
  <c r="U131" i="21"/>
  <c r="W132" i="21"/>
  <c r="V131" i="21"/>
  <c r="U133" i="21"/>
  <c r="T134" i="21"/>
  <c r="W129" i="21"/>
  <c r="U130" i="21"/>
  <c r="V129" i="21"/>
  <c r="U129" i="21"/>
  <c r="T131" i="21"/>
  <c r="T132" i="21"/>
  <c r="V132" i="21"/>
  <c r="W134" i="21"/>
  <c r="T130" i="21"/>
  <c r="V130" i="21"/>
  <c r="W131" i="21"/>
  <c r="W133" i="21"/>
  <c r="T129" i="21"/>
  <c r="W130" i="21"/>
  <c r="T133" i="21"/>
  <c r="U134" i="21"/>
  <c r="U132" i="21"/>
  <c r="BB9" i="43"/>
  <c r="N9" i="43"/>
  <c r="AR9" i="43"/>
  <c r="AI20" i="43"/>
  <c r="AI6" i="43"/>
  <c r="AB6" i="43"/>
  <c r="AB20" i="43"/>
  <c r="W20" i="43"/>
  <c r="W6" i="43"/>
  <c r="N5" i="17"/>
  <c r="P20" i="43"/>
  <c r="P6" i="43"/>
  <c r="G221" i="22"/>
  <c r="P6" i="13"/>
  <c r="P12" i="13" s="1"/>
  <c r="U6" i="43"/>
  <c r="U20" i="43"/>
  <c r="R6" i="43"/>
  <c r="R20" i="43"/>
  <c r="N197" i="19"/>
  <c r="N214" i="19" s="1"/>
  <c r="AP219" i="17"/>
  <c r="AP223" i="22" s="1"/>
  <c r="AE6" i="13"/>
  <c r="AE6" i="43"/>
  <c r="AE20" i="43"/>
  <c r="AK5" i="17"/>
  <c r="AS20" i="43"/>
  <c r="AS6" i="43"/>
  <c r="DO27" i="29"/>
  <c r="X126" i="21"/>
  <c r="AB116" i="21"/>
  <c r="AM9" i="43"/>
  <c r="C70" i="15"/>
  <c r="B435" i="17" s="1"/>
  <c r="B365" i="17"/>
  <c r="AU318" i="11"/>
  <c r="D229" i="17"/>
  <c r="V23" i="43"/>
  <c r="V23" i="13"/>
  <c r="AT219" i="17"/>
  <c r="AT223" i="22" s="1"/>
  <c r="AO6" i="43"/>
  <c r="AO20" i="43"/>
  <c r="AK20" i="43"/>
  <c r="AK6" i="43"/>
  <c r="DO16" i="29"/>
  <c r="DO15" i="29"/>
  <c r="L55" i="13"/>
  <c r="M50" i="13"/>
  <c r="V13" i="43"/>
  <c r="V12" i="43"/>
  <c r="F85" i="22"/>
  <c r="F72" i="22"/>
  <c r="F46" i="22"/>
  <c r="C13" i="22"/>
  <c r="AN299" i="17"/>
  <c r="I299" i="17"/>
  <c r="AV299" i="17"/>
  <c r="AE299" i="17"/>
  <c r="AP299" i="17"/>
  <c r="P299" i="17"/>
  <c r="R299" i="17"/>
  <c r="Q299" i="17"/>
  <c r="AF299" i="17"/>
  <c r="H299" i="17"/>
  <c r="AM299" i="17"/>
  <c r="E299" i="17"/>
  <c r="AD299" i="17"/>
  <c r="AW295" i="17"/>
  <c r="AW296" i="17" s="1"/>
  <c r="AW297" i="17" s="1"/>
  <c r="AW298" i="17" s="1"/>
  <c r="AW299" i="17" s="1"/>
  <c r="J299" i="17"/>
  <c r="AO299" i="17"/>
  <c r="AG299" i="17"/>
  <c r="L299" i="17"/>
  <c r="AT299" i="17"/>
  <c r="AA299" i="17"/>
  <c r="V299" i="17"/>
  <c r="AR299" i="17"/>
  <c r="AI299" i="17"/>
  <c r="AQ299" i="17"/>
  <c r="W299" i="17"/>
  <c r="X299" i="17"/>
  <c r="AJ299" i="17"/>
  <c r="AU299" i="17"/>
  <c r="O299" i="17"/>
  <c r="AK299" i="17"/>
  <c r="AH299" i="17"/>
  <c r="F299" i="17"/>
  <c r="N299" i="17"/>
  <c r="AC299" i="17"/>
  <c r="Y299" i="17"/>
  <c r="AL299" i="17"/>
  <c r="K299" i="17"/>
  <c r="M299" i="17"/>
  <c r="T299" i="17"/>
  <c r="Z299" i="17"/>
  <c r="G299" i="17"/>
  <c r="AS299" i="17"/>
  <c r="U299" i="17"/>
  <c r="AB299" i="17"/>
  <c r="S299" i="17"/>
  <c r="W23" i="43"/>
  <c r="W23" i="13"/>
  <c r="K6" i="43"/>
  <c r="K20" i="43"/>
  <c r="E6" i="13"/>
  <c r="E20" i="43"/>
  <c r="E6" i="43"/>
  <c r="AY6" i="43"/>
  <c r="AY20" i="43"/>
  <c r="AV5" i="17"/>
  <c r="BF6" i="43"/>
  <c r="BF20" i="43"/>
  <c r="AN5" i="17"/>
  <c r="G6" i="13"/>
  <c r="G12" i="13" s="1"/>
  <c r="AT20" i="43"/>
  <c r="AT6" i="43"/>
  <c r="L6" i="43"/>
  <c r="L20" i="43"/>
  <c r="AR85" i="11"/>
  <c r="AR351" i="11" s="1"/>
  <c r="DO18" i="29"/>
  <c r="DO11" i="29"/>
  <c r="AK219" i="17"/>
  <c r="AL219" i="17"/>
  <c r="AL223" i="22" s="1"/>
  <c r="AN85" i="11"/>
  <c r="AN350" i="11" s="1"/>
  <c r="I6" i="10"/>
  <c r="V128" i="20" a="1"/>
  <c r="V128" i="20" s="1"/>
  <c r="I82" i="22"/>
  <c r="I56" i="22"/>
  <c r="I95" i="22"/>
  <c r="X9" i="43"/>
  <c r="AP21" i="10"/>
  <c r="AP27" i="10"/>
  <c r="AP28" i="10"/>
  <c r="BJ12" i="29"/>
  <c r="AP16" i="10"/>
  <c r="I12" i="9"/>
  <c r="AP17" i="10"/>
  <c r="C17" i="10" s="1"/>
  <c r="AP14" i="10"/>
  <c r="AP33" i="10"/>
  <c r="AP26" i="10"/>
  <c r="H87" i="22"/>
  <c r="H48" i="22"/>
  <c r="H74" i="22"/>
  <c r="AW9" i="43"/>
  <c r="BV26" i="10"/>
  <c r="BV28" i="10"/>
  <c r="BV14" i="10"/>
  <c r="BV32" i="10" s="1"/>
  <c r="BV16" i="10"/>
  <c r="I16" i="10" s="1"/>
  <c r="BV27" i="10"/>
  <c r="BV33" i="10"/>
  <c r="K18" i="9"/>
  <c r="BV17" i="10"/>
  <c r="BV21" i="10"/>
  <c r="Y20" i="43"/>
  <c r="Y6" i="43"/>
  <c r="AL6" i="43"/>
  <c r="AL20" i="43"/>
  <c r="B99" i="11"/>
  <c r="AV20" i="13"/>
  <c r="G20" i="13"/>
  <c r="H20" i="43"/>
  <c r="H6" i="43"/>
  <c r="AS5" i="17"/>
  <c r="BC20" i="43"/>
  <c r="BC6" i="43"/>
  <c r="AQ20" i="43"/>
  <c r="AQ6" i="43"/>
  <c r="DO17" i="29"/>
  <c r="CM27" i="10"/>
  <c r="CM16" i="10"/>
  <c r="CM14" i="10"/>
  <c r="CM32" i="10" s="1"/>
  <c r="CM26" i="10"/>
  <c r="CM21" i="10"/>
  <c r="CM28" i="10"/>
  <c r="CM33" i="10"/>
  <c r="L22" i="9"/>
  <c r="CM17" i="10"/>
  <c r="S9" i="43"/>
  <c r="AH9" i="43"/>
  <c r="DN12" i="29"/>
  <c r="BR17" i="10"/>
  <c r="BR33" i="10"/>
  <c r="BR21" i="10"/>
  <c r="BR26" i="10"/>
  <c r="BR27" i="10"/>
  <c r="K14" i="9"/>
  <c r="BR16" i="10"/>
  <c r="BR28" i="10"/>
  <c r="BR14" i="10"/>
  <c r="H52" i="22"/>
  <c r="H91" i="22"/>
  <c r="H78" i="22"/>
  <c r="C78" i="22" s="1"/>
  <c r="O20" i="43"/>
  <c r="O6" i="43"/>
  <c r="Q20" i="43"/>
  <c r="Q6" i="43"/>
  <c r="AG20" i="43"/>
  <c r="AG6" i="43"/>
  <c r="AX6" i="43"/>
  <c r="AX20" i="43"/>
  <c r="F20" i="43"/>
  <c r="F6" i="43"/>
  <c r="AU5" i="17"/>
  <c r="BE20" i="43"/>
  <c r="BE6" i="43"/>
  <c r="AZ20" i="43"/>
  <c r="AZ6" i="43"/>
  <c r="Z20" i="43"/>
  <c r="Z6" i="43"/>
  <c r="BD20" i="43"/>
  <c r="BD6" i="43"/>
  <c r="AN6" i="43"/>
  <c r="AN20" i="43"/>
  <c r="AU219" i="17"/>
  <c r="AH44" i="17"/>
  <c r="AJ20" i="43"/>
  <c r="AJ6" i="43"/>
  <c r="AA20" i="43"/>
  <c r="AA6" i="43"/>
  <c r="DO28" i="29"/>
  <c r="AD6" i="43"/>
  <c r="AD20" i="43"/>
  <c r="I9" i="43"/>
  <c r="T23" i="43"/>
  <c r="T23" i="13"/>
  <c r="U23" i="43"/>
  <c r="U23" i="13"/>
  <c r="D32" i="13"/>
  <c r="D33" i="13" s="1"/>
  <c r="D32" i="43"/>
  <c r="D33" i="43" s="1"/>
  <c r="Q352" i="11"/>
  <c r="Q260" i="11"/>
  <c r="Q180" i="11"/>
  <c r="Q261" i="11"/>
  <c r="Q351" i="11"/>
  <c r="Q350" i="11"/>
  <c r="W128" i="20" a="1"/>
  <c r="W128" i="20" s="1"/>
  <c r="D149" i="17"/>
  <c r="X180" i="11"/>
  <c r="X33" i="10"/>
  <c r="G20" i="9"/>
  <c r="M85" i="11"/>
  <c r="M261" i="11" s="1"/>
  <c r="DU25" i="29"/>
  <c r="EV25" i="29"/>
  <c r="EV16" i="29"/>
  <c r="EV11" i="29"/>
  <c r="EU6" i="29"/>
  <c r="EV19" i="29"/>
  <c r="EV15" i="29"/>
  <c r="EV18" i="29"/>
  <c r="EU7" i="29"/>
  <c r="EV17" i="29"/>
  <c r="EV28" i="29"/>
  <c r="EV27" i="29"/>
  <c r="EU5" i="29"/>
  <c r="T128" i="20" a="1"/>
  <c r="T128" i="20" s="1"/>
  <c r="O85" i="11"/>
  <c r="F95" i="22"/>
  <c r="F56" i="22"/>
  <c r="F82" i="22"/>
  <c r="H22" i="9"/>
  <c r="AM17" i="10"/>
  <c r="BD12" i="29"/>
  <c r="BD29" i="29" s="1"/>
  <c r="BD30" i="29" s="1"/>
  <c r="AM16" i="10"/>
  <c r="AM14" i="10"/>
  <c r="AM27" i="10"/>
  <c r="AM33" i="10"/>
  <c r="AM26" i="10"/>
  <c r="AM21" i="10"/>
  <c r="AM28" i="10"/>
  <c r="AZ27" i="10"/>
  <c r="I22" i="9"/>
  <c r="AZ14" i="10"/>
  <c r="AZ17" i="10"/>
  <c r="CD12" i="29"/>
  <c r="AZ16" i="10"/>
  <c r="AZ28" i="10"/>
  <c r="AZ21" i="10"/>
  <c r="AZ33" i="10"/>
  <c r="AZ26" i="10"/>
  <c r="C6" i="10"/>
  <c r="F55" i="9" s="1"/>
  <c r="C55" i="9" s="1"/>
  <c r="AN221" i="22"/>
  <c r="X350" i="11"/>
  <c r="AG85" i="11"/>
  <c r="W175" i="11"/>
  <c r="AS175" i="11"/>
  <c r="P175" i="11"/>
  <c r="AN175" i="11"/>
  <c r="F175" i="11"/>
  <c r="AB175" i="11"/>
  <c r="AT175" i="11"/>
  <c r="Z175" i="11"/>
  <c r="N119" i="21"/>
  <c r="B6" i="11"/>
  <c r="DF38" i="29"/>
  <c r="DE38" i="29" s="1"/>
  <c r="C88" i="22"/>
  <c r="AB6" i="10"/>
  <c r="AB33" i="10" s="1"/>
  <c r="D85" i="11"/>
  <c r="D352" i="11" s="1"/>
  <c r="I85" i="11"/>
  <c r="I261" i="11" s="1"/>
  <c r="AI85" i="11"/>
  <c r="AI260" i="11" s="1"/>
  <c r="D66" i="17"/>
  <c r="DU27" i="29"/>
  <c r="DU17" i="29"/>
  <c r="DU16" i="29"/>
  <c r="DU28" i="29"/>
  <c r="E56" i="22"/>
  <c r="E82" i="22"/>
  <c r="E95" i="22"/>
  <c r="D151" i="17"/>
  <c r="R219" i="17"/>
  <c r="R223" i="22" s="1"/>
  <c r="DU22" i="29"/>
  <c r="DU21" i="29"/>
  <c r="DU23" i="29"/>
  <c r="DU33" i="29"/>
  <c r="X128" i="20" a="1"/>
  <c r="X128" i="20" s="1"/>
  <c r="E175" i="11"/>
  <c r="C175" i="11"/>
  <c r="AR175" i="11"/>
  <c r="Y175" i="11"/>
  <c r="AI175" i="11"/>
  <c r="V175" i="11"/>
  <c r="AL175" i="11"/>
  <c r="N175" i="11"/>
  <c r="U175" i="11"/>
  <c r="D41" i="17"/>
  <c r="R128" i="20" a="1"/>
  <c r="R128" i="20" s="1"/>
  <c r="U128" i="20" a="1"/>
  <c r="U128" i="20" s="1"/>
  <c r="C85" i="11"/>
  <c r="C352" i="11" s="1"/>
  <c r="F16" i="34"/>
  <c r="Q44" i="17"/>
  <c r="X27" i="10"/>
  <c r="X17" i="10"/>
  <c r="N6" i="17"/>
  <c r="AM6" i="17"/>
  <c r="AB6" i="17"/>
  <c r="R6" i="17"/>
  <c r="AA6" i="17"/>
  <c r="X6" i="17"/>
  <c r="X260" i="11"/>
  <c r="X351" i="11"/>
  <c r="AD175" i="11"/>
  <c r="AC175" i="11"/>
  <c r="AE175" i="11"/>
  <c r="AQ175" i="11"/>
  <c r="H175" i="11"/>
  <c r="AJ175" i="11"/>
  <c r="AP175" i="11"/>
  <c r="I175" i="11"/>
  <c r="C11" i="22"/>
  <c r="K6" i="10"/>
  <c r="K33" i="10" s="1"/>
  <c r="CF14" i="29"/>
  <c r="AU6" i="17"/>
  <c r="AM44" i="17"/>
  <c r="AT44" i="17"/>
  <c r="J44" i="17"/>
  <c r="U44" i="17"/>
  <c r="X44" i="17"/>
  <c r="AA44" i="17"/>
  <c r="AG44" i="17"/>
  <c r="X21" i="10"/>
  <c r="X14" i="10"/>
  <c r="X32" i="10" s="1"/>
  <c r="AF219" i="17"/>
  <c r="O219" i="17"/>
  <c r="F219" i="17"/>
  <c r="F223" i="22" s="1"/>
  <c r="L85" i="11"/>
  <c r="L180" i="11" s="1"/>
  <c r="U85" i="11"/>
  <c r="U351" i="11" s="1"/>
  <c r="DU18" i="29"/>
  <c r="DU15" i="29"/>
  <c r="D79" i="17"/>
  <c r="M24" i="29"/>
  <c r="M6" i="10"/>
  <c r="AP11" i="17"/>
  <c r="Q11" i="17"/>
  <c r="AC11" i="17"/>
  <c r="AB352" i="11"/>
  <c r="E28" i="18"/>
  <c r="E45" i="18" s="1"/>
  <c r="H84" i="9" s="1"/>
  <c r="N84" i="9" s="1"/>
  <c r="O6" i="13"/>
  <c r="O13" i="13" s="1"/>
  <c r="AA6" i="13"/>
  <c r="AA13" i="13" s="1"/>
  <c r="P352" i="11"/>
  <c r="AV6" i="13"/>
  <c r="AV12" i="13" s="1"/>
  <c r="AE20" i="13"/>
  <c r="AA20" i="13"/>
  <c r="B86" i="11"/>
  <c r="P351" i="11"/>
  <c r="R351" i="11"/>
  <c r="L20" i="29"/>
  <c r="K20" i="29" s="1"/>
  <c r="AE11" i="17"/>
  <c r="U11" i="17"/>
  <c r="AE85" i="11"/>
  <c r="AE350" i="11" s="1"/>
  <c r="K261" i="11"/>
  <c r="K352" i="11" s="1"/>
  <c r="AK180" i="11"/>
  <c r="AK261" i="11"/>
  <c r="AK352" i="11"/>
  <c r="AA351" i="11"/>
  <c r="P350" i="11"/>
  <c r="R352" i="11"/>
  <c r="AB351" i="11"/>
  <c r="J261" i="11"/>
  <c r="AO261" i="11"/>
  <c r="AB260" i="11"/>
  <c r="AC85" i="11"/>
  <c r="AC261" i="11" s="1"/>
  <c r="AI261" i="11"/>
  <c r="T20" i="13"/>
  <c r="P11" i="17"/>
  <c r="AO11" i="17"/>
  <c r="AN11" i="17"/>
  <c r="X11" i="17"/>
  <c r="M11" i="17"/>
  <c r="T11" i="17"/>
  <c r="AB11" i="17"/>
  <c r="J11" i="17"/>
  <c r="AH11" i="17"/>
  <c r="AG11" i="17"/>
  <c r="N85" i="11"/>
  <c r="N180" i="11" s="1"/>
  <c r="AV11" i="17"/>
  <c r="M6" i="13"/>
  <c r="M13" i="13" s="1"/>
  <c r="P180" i="11"/>
  <c r="AO180" i="11"/>
  <c r="AJ11" i="17"/>
  <c r="AR11" i="17"/>
  <c r="E11" i="17"/>
  <c r="R11" i="17"/>
  <c r="Z11" i="17"/>
  <c r="N11" i="17"/>
  <c r="K11" i="17"/>
  <c r="AT11" i="17"/>
  <c r="S11" i="17"/>
  <c r="O11" i="17"/>
  <c r="AD12" i="29"/>
  <c r="AD32" i="29" s="1"/>
  <c r="AB180" i="11"/>
  <c r="AB261" i="11"/>
  <c r="V11" i="17"/>
  <c r="AB380" i="20"/>
  <c r="AB369" i="20" s="1"/>
  <c r="AD11" i="17"/>
  <c r="AA180" i="11"/>
  <c r="M20" i="13"/>
  <c r="AO352" i="11"/>
  <c r="AA11" i="17"/>
  <c r="AQ11" i="17"/>
  <c r="L11" i="17"/>
  <c r="Y11" i="17"/>
  <c r="AK11" i="17"/>
  <c r="AS11" i="17"/>
  <c r="F11" i="17"/>
  <c r="AM11" i="17"/>
  <c r="AI11" i="17"/>
  <c r="W11" i="17"/>
  <c r="G22" i="9"/>
  <c r="H11" i="17"/>
  <c r="K180" i="11"/>
  <c r="AA379" i="20"/>
  <c r="AA368" i="20" s="1"/>
  <c r="T6" i="13"/>
  <c r="T12" i="13" s="1"/>
  <c r="BE6" i="13"/>
  <c r="BE12" i="13" s="1"/>
  <c r="AN352" i="11"/>
  <c r="AN6" i="13"/>
  <c r="AN13" i="13" s="1"/>
  <c r="R260" i="11"/>
  <c r="AK351" i="11"/>
  <c r="AO351" i="11"/>
  <c r="AO260" i="11"/>
  <c r="AQ85" i="11"/>
  <c r="AQ260" i="11" s="1"/>
  <c r="Z17" i="10"/>
  <c r="Z14" i="10"/>
  <c r="Z32" i="10" s="1"/>
  <c r="X352" i="11"/>
  <c r="R261" i="11"/>
  <c r="AK350" i="11"/>
  <c r="M45" i="10"/>
  <c r="G65" i="9" s="1"/>
  <c r="Y379" i="20"/>
  <c r="Y368" i="20" s="1"/>
  <c r="Z352" i="11"/>
  <c r="Z180" i="11"/>
  <c r="Z260" i="11"/>
  <c r="Z350" i="11"/>
  <c r="Z261" i="11"/>
  <c r="Z351" i="11"/>
  <c r="AR352" i="11"/>
  <c r="AR261" i="11"/>
  <c r="U366" i="20"/>
  <c r="U365" i="20" s="1"/>
  <c r="U376" i="20"/>
  <c r="X376" i="20"/>
  <c r="X366" i="20"/>
  <c r="X365" i="20" s="1"/>
  <c r="AC219" i="22"/>
  <c r="Y233" i="22"/>
  <c r="AC400" i="20"/>
  <c r="AD401" i="20"/>
  <c r="AE391" i="20"/>
  <c r="AC388" i="20"/>
  <c r="AE393" i="20"/>
  <c r="AF398" i="20"/>
  <c r="AF392" i="20"/>
  <c r="AC399" i="20"/>
  <c r="AE395" i="20"/>
  <c r="AD400" i="20"/>
  <c r="AD398" i="20"/>
  <c r="AF396" i="20"/>
  <c r="AC385" i="20"/>
  <c r="AE388" i="20"/>
  <c r="AE402" i="20"/>
  <c r="AD385" i="20"/>
  <c r="AD393" i="20"/>
  <c r="AE403" i="20"/>
  <c r="AF393" i="20"/>
  <c r="AE385" i="20"/>
  <c r="AF400" i="20"/>
  <c r="AF401" i="20"/>
  <c r="AC391" i="20"/>
  <c r="AD403" i="20"/>
  <c r="AC395" i="20"/>
  <c r="AD389" i="20"/>
  <c r="AD392" i="20"/>
  <c r="AC398" i="20"/>
  <c r="AE389" i="20"/>
  <c r="AE400" i="20"/>
  <c r="AC401" i="20"/>
  <c r="AC387" i="20"/>
  <c r="AE401" i="20"/>
  <c r="AD402" i="20"/>
  <c r="AF388" i="20"/>
  <c r="AD396" i="20"/>
  <c r="AD384" i="20"/>
  <c r="AC403" i="20"/>
  <c r="AC394" i="20"/>
  <c r="AE384" i="20"/>
  <c r="AC384" i="20"/>
  <c r="AF403" i="20"/>
  <c r="AF385" i="20"/>
  <c r="AE399" i="20"/>
  <c r="AF384" i="20"/>
  <c r="AC396" i="20"/>
  <c r="AE394" i="20"/>
  <c r="AF386" i="20"/>
  <c r="AF399" i="20"/>
  <c r="AC392" i="20"/>
  <c r="AF391" i="20"/>
  <c r="AC402" i="20"/>
  <c r="AF387" i="20"/>
  <c r="AF402" i="20"/>
  <c r="AD387" i="20"/>
  <c r="AF395" i="20"/>
  <c r="AD388" i="20"/>
  <c r="AD399" i="20"/>
  <c r="AE386" i="20"/>
  <c r="AE387" i="20"/>
  <c r="AC389" i="20"/>
  <c r="AE392" i="20"/>
  <c r="AG374" i="20"/>
  <c r="AF389" i="20"/>
  <c r="AD395" i="20"/>
  <c r="AC386" i="20"/>
  <c r="AD386" i="20"/>
  <c r="AD391" i="20"/>
  <c r="AC393" i="20"/>
  <c r="AE396" i="20"/>
  <c r="AE398" i="20"/>
  <c r="AD394" i="20"/>
  <c r="AF394" i="20"/>
  <c r="AB381" i="20"/>
  <c r="AB370" i="20" s="1"/>
  <c r="Y14" i="20"/>
  <c r="EA27" i="29"/>
  <c r="EA28" i="29"/>
  <c r="C96" i="22"/>
  <c r="DE28" i="29"/>
  <c r="U16" i="20"/>
  <c r="W366" i="20"/>
  <c r="W365" i="20" s="1"/>
  <c r="W376" i="20"/>
  <c r="Y138" i="20" a="1"/>
  <c r="Y138" i="20" s="1"/>
  <c r="B385" i="17"/>
  <c r="C74" i="15"/>
  <c r="B455" i="17" s="1"/>
  <c r="AP334" i="17"/>
  <c r="T334" i="17"/>
  <c r="AE334" i="17"/>
  <c r="O334" i="17"/>
  <c r="AR334" i="17"/>
  <c r="AD334" i="17"/>
  <c r="F334" i="17"/>
  <c r="AL334" i="17"/>
  <c r="H334" i="17"/>
  <c r="AG334" i="17"/>
  <c r="AV334" i="17"/>
  <c r="P334" i="17"/>
  <c r="AI334" i="17"/>
  <c r="AM334" i="17"/>
  <c r="AJ334" i="17"/>
  <c r="AN334" i="17"/>
  <c r="G334" i="17"/>
  <c r="X334" i="17"/>
  <c r="AW330" i="17"/>
  <c r="AW331" i="17" s="1"/>
  <c r="AW332" i="17" s="1"/>
  <c r="AW333" i="17" s="1"/>
  <c r="AW334" i="17" s="1"/>
  <c r="AK334" i="17"/>
  <c r="M334" i="17"/>
  <c r="S334" i="17"/>
  <c r="U334" i="17"/>
  <c r="V334" i="17"/>
  <c r="N334" i="17"/>
  <c r="AH334" i="17"/>
  <c r="Q334" i="17"/>
  <c r="Y334" i="17"/>
  <c r="AO334" i="17"/>
  <c r="AA334" i="17"/>
  <c r="J334" i="17"/>
  <c r="AQ334" i="17"/>
  <c r="AS334" i="17"/>
  <c r="W334" i="17"/>
  <c r="I334" i="17"/>
  <c r="AT334" i="17"/>
  <c r="E334" i="17"/>
  <c r="AF334" i="17"/>
  <c r="AU334" i="17"/>
  <c r="Z334" i="17"/>
  <c r="AB334" i="17"/>
  <c r="L334" i="17"/>
  <c r="K334" i="17"/>
  <c r="R334" i="17"/>
  <c r="AC334" i="17"/>
  <c r="V366" i="20"/>
  <c r="V365" i="20" s="1"/>
  <c r="V376" i="20"/>
  <c r="W127" i="20" a="1"/>
  <c r="W127" i="20" s="1"/>
  <c r="X127" i="20" a="1"/>
  <c r="X127" i="20" s="1"/>
  <c r="D249" i="17"/>
  <c r="U137" i="20" a="1"/>
  <c r="U137" i="20" s="1"/>
  <c r="R137" i="20" a="1"/>
  <c r="R137" i="20" s="1"/>
  <c r="S137" i="20" a="1"/>
  <c r="S137" i="20" s="1"/>
  <c r="Q137" i="20" a="1"/>
  <c r="Q137" i="20" s="1"/>
  <c r="V137" i="20" a="1"/>
  <c r="V137" i="20" s="1"/>
  <c r="T137" i="20" a="1"/>
  <c r="T137" i="20" s="1"/>
  <c r="X137" i="20" a="1"/>
  <c r="X137" i="20" s="1"/>
  <c r="W137" i="20" a="1"/>
  <c r="W137" i="20" s="1"/>
  <c r="Y137" i="20" a="1"/>
  <c r="Y137" i="20" s="1"/>
  <c r="Z380" i="20"/>
  <c r="Z369" i="20" s="1"/>
  <c r="Y381" i="20"/>
  <c r="Y370" i="20" s="1"/>
  <c r="AB378" i="20"/>
  <c r="AB367" i="20" s="1"/>
  <c r="Y377" i="20"/>
  <c r="Y383" i="20"/>
  <c r="AB383" i="20"/>
  <c r="AB377" i="20"/>
  <c r="Y390" i="20"/>
  <c r="AA378" i="20"/>
  <c r="AA367" i="20" s="1"/>
  <c r="Z397" i="20"/>
  <c r="Y397" i="20"/>
  <c r="Z390" i="20"/>
  <c r="D264" i="17"/>
  <c r="AB390" i="20"/>
  <c r="AN180" i="11"/>
  <c r="AK20" i="13"/>
  <c r="Y128" i="20" a="1"/>
  <c r="Y128" i="20" s="1"/>
  <c r="AJ6" i="13"/>
  <c r="AJ12" i="13" s="1"/>
  <c r="D56" i="17"/>
  <c r="AD222" i="22"/>
  <c r="J14" i="20"/>
  <c r="AO20" i="13"/>
  <c r="C7" i="22"/>
  <c r="AX6" i="13"/>
  <c r="AX13" i="13" s="1"/>
  <c r="AA261" i="11"/>
  <c r="AA350" i="11"/>
  <c r="BG28" i="29"/>
  <c r="EA24" i="29"/>
  <c r="EA37" i="29"/>
  <c r="BT31" i="29"/>
  <c r="BG18" i="29"/>
  <c r="E219" i="17"/>
  <c r="DE11" i="29"/>
  <c r="DE13" i="29"/>
  <c r="DC38" i="29"/>
  <c r="C118" i="7"/>
  <c r="J260" i="11"/>
  <c r="J352" i="11" s="1"/>
  <c r="AV6" i="17"/>
  <c r="I32" i="18"/>
  <c r="I49" i="18" s="1"/>
  <c r="L88" i="9" s="1"/>
  <c r="R88" i="9" s="1"/>
  <c r="H221" i="22"/>
  <c r="BF6" i="13"/>
  <c r="BF13" i="13" s="1"/>
  <c r="AS6" i="17"/>
  <c r="L6" i="17"/>
  <c r="O6" i="17"/>
  <c r="AE6" i="17"/>
  <c r="H6" i="17"/>
  <c r="U6" i="17"/>
  <c r="T6" i="17"/>
  <c r="AO6" i="13"/>
  <c r="AO12" i="13" s="1"/>
  <c r="AN351" i="11"/>
  <c r="AK6" i="13"/>
  <c r="AK13" i="13" s="1"/>
  <c r="AA260" i="11"/>
  <c r="AN20" i="13"/>
  <c r="R180" i="11"/>
  <c r="EB20" i="29"/>
  <c r="EA20" i="29" s="1"/>
  <c r="EA18" i="29"/>
  <c r="AM175" i="11"/>
  <c r="O175" i="11"/>
  <c r="J175" i="11"/>
  <c r="Q175" i="11"/>
  <c r="R175" i="11"/>
  <c r="T175" i="11"/>
  <c r="AH175" i="11"/>
  <c r="AF175" i="11"/>
  <c r="D175" i="11"/>
  <c r="K175" i="11"/>
  <c r="AG119" i="21"/>
  <c r="BG27" i="29"/>
  <c r="DC20" i="29"/>
  <c r="AF260" i="11"/>
  <c r="R44" i="17"/>
  <c r="AV44" i="17"/>
  <c r="F44" i="17"/>
  <c r="I44" i="17"/>
  <c r="AU44" i="17"/>
  <c r="T44" i="17"/>
  <c r="CI11" i="29"/>
  <c r="CI18" i="29"/>
  <c r="CI15" i="29"/>
  <c r="CI25" i="29"/>
  <c r="X28" i="10"/>
  <c r="Y85" i="11"/>
  <c r="Y351" i="11" s="1"/>
  <c r="AN219" i="17"/>
  <c r="AA219" i="17"/>
  <c r="S219" i="17"/>
  <c r="F85" i="11"/>
  <c r="E519" i="17"/>
  <c r="F519" i="17" s="1"/>
  <c r="G519" i="17" s="1"/>
  <c r="H519" i="17" s="1"/>
  <c r="I519" i="17" s="1"/>
  <c r="J519" i="17" s="1"/>
  <c r="K519" i="17" s="1"/>
  <c r="L519" i="17" s="1"/>
  <c r="M519" i="17" s="1"/>
  <c r="N519" i="17" s="1"/>
  <c r="O519" i="17" s="1"/>
  <c r="P519" i="17" s="1"/>
  <c r="Q519" i="17" s="1"/>
  <c r="R519" i="17" s="1"/>
  <c r="S519" i="17" s="1"/>
  <c r="T519" i="17" s="1"/>
  <c r="U519" i="17" s="1"/>
  <c r="V519" i="17" s="1"/>
  <c r="W519" i="17" s="1"/>
  <c r="X519" i="17" s="1"/>
  <c r="Y519" i="17" s="1"/>
  <c r="Z519" i="17" s="1"/>
  <c r="AA519" i="17" s="1"/>
  <c r="E518" i="17"/>
  <c r="F518" i="17" s="1"/>
  <c r="G518" i="17" s="1"/>
  <c r="H518" i="17" s="1"/>
  <c r="I518" i="17" s="1"/>
  <c r="J518" i="17" s="1"/>
  <c r="K518" i="17" s="1"/>
  <c r="L518" i="17" s="1"/>
  <c r="M518" i="17" s="1"/>
  <c r="N518" i="17" s="1"/>
  <c r="O518" i="17" s="1"/>
  <c r="P518" i="17" s="1"/>
  <c r="Q518" i="17" s="1"/>
  <c r="R518" i="17" s="1"/>
  <c r="S518" i="17" s="1"/>
  <c r="T518" i="17" s="1"/>
  <c r="U518" i="17" s="1"/>
  <c r="V518" i="17" s="1"/>
  <c r="W518" i="17" s="1"/>
  <c r="X518" i="17" s="1"/>
  <c r="Y518" i="17" s="1"/>
  <c r="Z518" i="17" s="1"/>
  <c r="AC3" i="17"/>
  <c r="E520" i="17"/>
  <c r="F520" i="17" s="1"/>
  <c r="G520" i="17" s="1"/>
  <c r="H520" i="17" s="1"/>
  <c r="I520" i="17" s="1"/>
  <c r="J520" i="17" s="1"/>
  <c r="K520" i="17" s="1"/>
  <c r="L520" i="17" s="1"/>
  <c r="M520" i="17" s="1"/>
  <c r="N520" i="17" s="1"/>
  <c r="O520" i="17" s="1"/>
  <c r="P520" i="17" s="1"/>
  <c r="Q520" i="17" s="1"/>
  <c r="R520" i="17" s="1"/>
  <c r="S520" i="17" s="1"/>
  <c r="T520" i="17" s="1"/>
  <c r="U520" i="17" s="1"/>
  <c r="V520" i="17" s="1"/>
  <c r="W520" i="17" s="1"/>
  <c r="X520" i="17" s="1"/>
  <c r="Y520" i="17" s="1"/>
  <c r="Z520" i="17" s="1"/>
  <c r="AA520" i="17" s="1"/>
  <c r="AB520" i="17" s="1"/>
  <c r="E517" i="17"/>
  <c r="F517" i="17" s="1"/>
  <c r="G517" i="17" s="1"/>
  <c r="H517" i="17" s="1"/>
  <c r="I517" i="17" s="1"/>
  <c r="J517" i="17" s="1"/>
  <c r="K517" i="17" s="1"/>
  <c r="L517" i="17" s="1"/>
  <c r="M517" i="17" s="1"/>
  <c r="N517" i="17" s="1"/>
  <c r="O517" i="17" s="1"/>
  <c r="P517" i="17" s="1"/>
  <c r="Q517" i="17" s="1"/>
  <c r="R517" i="17" s="1"/>
  <c r="S517" i="17" s="1"/>
  <c r="T517" i="17" s="1"/>
  <c r="U517" i="17" s="1"/>
  <c r="V517" i="17" s="1"/>
  <c r="W517" i="17" s="1"/>
  <c r="X517" i="17" s="1"/>
  <c r="Y517" i="17" s="1"/>
  <c r="EP11" i="29"/>
  <c r="EP18" i="29"/>
  <c r="EO6" i="29"/>
  <c r="EP15" i="29"/>
  <c r="EP25" i="29"/>
  <c r="EP28" i="29"/>
  <c r="EP19" i="29"/>
  <c r="EP27" i="29"/>
  <c r="EO7" i="29"/>
  <c r="EP17" i="29"/>
  <c r="EP16" i="29"/>
  <c r="EO5" i="29"/>
  <c r="DO21" i="29"/>
  <c r="DO33" i="29"/>
  <c r="DO22" i="29"/>
  <c r="DO23" i="29"/>
  <c r="W138" i="20" a="1"/>
  <c r="W138" i="20" s="1"/>
  <c r="V138" i="20" a="1"/>
  <c r="V138" i="20" s="1"/>
  <c r="AB382" i="20"/>
  <c r="AB371" i="20" s="1"/>
  <c r="Z377" i="20"/>
  <c r="Z383" i="20"/>
  <c r="AA380" i="20"/>
  <c r="AA369" i="20" s="1"/>
  <c r="Z381" i="20"/>
  <c r="Z370" i="20" s="1"/>
  <c r="AB397" i="20"/>
  <c r="Z382" i="20"/>
  <c r="Z371" i="20" s="1"/>
  <c r="AB379" i="20"/>
  <c r="AB368" i="20" s="1"/>
  <c r="Y378" i="20"/>
  <c r="Y367" i="20" s="1"/>
  <c r="X138" i="20" a="1"/>
  <c r="X138" i="20" s="1"/>
  <c r="B112" i="11"/>
  <c r="DC11" i="29"/>
  <c r="DC19" i="29"/>
  <c r="T223" i="22"/>
  <c r="D71" i="17"/>
  <c r="AI44" i="17"/>
  <c r="M44" i="17"/>
  <c r="G44" i="17"/>
  <c r="W44" i="17"/>
  <c r="G319" i="17"/>
  <c r="AK319" i="17"/>
  <c r="AF319" i="17"/>
  <c r="AQ319" i="17"/>
  <c r="F319" i="17"/>
  <c r="V319" i="17"/>
  <c r="I319" i="17"/>
  <c r="AL319" i="17"/>
  <c r="AC319" i="17"/>
  <c r="H319" i="17"/>
  <c r="AD319" i="17"/>
  <c r="AM319" i="17"/>
  <c r="AG319" i="17"/>
  <c r="R319" i="17"/>
  <c r="AH319" i="17"/>
  <c r="L319" i="17"/>
  <c r="Y319" i="17"/>
  <c r="AW315" i="17"/>
  <c r="AW316" i="17" s="1"/>
  <c r="AW317" i="17" s="1"/>
  <c r="AW318" i="17" s="1"/>
  <c r="AW319" i="17" s="1"/>
  <c r="M319" i="17"/>
  <c r="W319" i="17"/>
  <c r="U319" i="17"/>
  <c r="AP319" i="17"/>
  <c r="AE319" i="17"/>
  <c r="P319" i="17"/>
  <c r="AS319" i="17"/>
  <c r="T319" i="17"/>
  <c r="K319" i="17"/>
  <c r="AA319" i="17"/>
  <c r="AV319" i="17"/>
  <c r="AR319" i="17"/>
  <c r="J319" i="17"/>
  <c r="N319" i="17"/>
  <c r="AU319" i="17"/>
  <c r="Z319" i="17"/>
  <c r="AB319" i="17"/>
  <c r="X319" i="17"/>
  <c r="AJ319" i="17"/>
  <c r="AO319" i="17"/>
  <c r="E319" i="17"/>
  <c r="O319" i="17"/>
  <c r="O289" i="17" s="1"/>
  <c r="AT319" i="17"/>
  <c r="AN319" i="17"/>
  <c r="S319" i="17"/>
  <c r="Q319" i="17"/>
  <c r="AI319" i="17"/>
  <c r="C77" i="15"/>
  <c r="B470" i="17" s="1"/>
  <c r="B400" i="17"/>
  <c r="Y335" i="20"/>
  <c r="Y336" i="20" s="1"/>
  <c r="AB329" i="20"/>
  <c r="AB330" i="20" s="1"/>
  <c r="Y305" i="20"/>
  <c r="Y306" i="20" s="1"/>
  <c r="Y291" i="20"/>
  <c r="Y292" i="20" s="1"/>
  <c r="AA229" i="20"/>
  <c r="AA230" i="20" s="1"/>
  <c r="Y229" i="20"/>
  <c r="Y230" i="20" s="1"/>
  <c r="AB283" i="20"/>
  <c r="AB284" i="20" s="1"/>
  <c r="AA243" i="20"/>
  <c r="AA244" i="20" s="1"/>
  <c r="Y323" i="20"/>
  <c r="Y324" i="20" s="1"/>
  <c r="AA213" i="20"/>
  <c r="AA214" i="20" s="1"/>
  <c r="AB213" i="20"/>
  <c r="AB214" i="20" s="1"/>
  <c r="AA305" i="20"/>
  <c r="AA306" i="20" s="1"/>
  <c r="AA291" i="20"/>
  <c r="AA292" i="20" s="1"/>
  <c r="Z335" i="20"/>
  <c r="Z336" i="20" s="1"/>
  <c r="AA335" i="20"/>
  <c r="AA336" i="20" s="1"/>
  <c r="Y243" i="20"/>
  <c r="Y244" i="20" s="1"/>
  <c r="Z213" i="20"/>
  <c r="Z214" i="20" s="1"/>
  <c r="AB323" i="20"/>
  <c r="AB324" i="20" s="1"/>
  <c r="Z341" i="20"/>
  <c r="Z342" i="20" s="1"/>
  <c r="Z329" i="20"/>
  <c r="Z330" i="20" s="1"/>
  <c r="AB291" i="20"/>
  <c r="AB292" i="20" s="1"/>
  <c r="AB229" i="20"/>
  <c r="AB230" i="20" s="1"/>
  <c r="AA283" i="20"/>
  <c r="AA284" i="20" s="1"/>
  <c r="Y329" i="20"/>
  <c r="Y330" i="20" s="1"/>
  <c r="AB305" i="20"/>
  <c r="AB306" i="20" s="1"/>
  <c r="Z291" i="20"/>
  <c r="Z292" i="20" s="1"/>
  <c r="Z229" i="20"/>
  <c r="Z230" i="20" s="1"/>
  <c r="AA323" i="20"/>
  <c r="AA324" i="20" s="1"/>
  <c r="AA329" i="20"/>
  <c r="AA330" i="20" s="1"/>
  <c r="Z305" i="20"/>
  <c r="Z306" i="20" s="1"/>
  <c r="Z283" i="20"/>
  <c r="Z284" i="20" s="1"/>
  <c r="Z243" i="20"/>
  <c r="Z244" i="20" s="1"/>
  <c r="Z323" i="20"/>
  <c r="Z324" i="20" s="1"/>
  <c r="AB341" i="20"/>
  <c r="AB342" i="20" s="1"/>
  <c r="Y213" i="20"/>
  <c r="Y214" i="20" s="1"/>
  <c r="AA341" i="20"/>
  <c r="AA342" i="20" s="1"/>
  <c r="AB335" i="20"/>
  <c r="AB336" i="20" s="1"/>
  <c r="AA231" i="20"/>
  <c r="AA232" i="20" s="1"/>
  <c r="AB315" i="20"/>
  <c r="AB316" i="20" s="1"/>
  <c r="Y253" i="20"/>
  <c r="Y254" i="20" s="1"/>
  <c r="AB301" i="20"/>
  <c r="AB302" i="20" s="1"/>
  <c r="Z277" i="20"/>
  <c r="Z278" i="20" s="1"/>
  <c r="AB259" i="20"/>
  <c r="AB260" i="20" s="1"/>
  <c r="AA259" i="20"/>
  <c r="AA260" i="20" s="1"/>
  <c r="Z269" i="20"/>
  <c r="Z270" i="20" s="1"/>
  <c r="Y215" i="20"/>
  <c r="Y216" i="20" s="1"/>
  <c r="AB247" i="20"/>
  <c r="AB248" i="20" s="1"/>
  <c r="Z265" i="20"/>
  <c r="Z266" i="20" s="1"/>
  <c r="Z301" i="20"/>
  <c r="Z302" i="20" s="1"/>
  <c r="Z333" i="20"/>
  <c r="Z334" i="20" s="1"/>
  <c r="Y295" i="20"/>
  <c r="Y296" i="20" s="1"/>
  <c r="AB287" i="20"/>
  <c r="AB288" i="20" s="1"/>
  <c r="Y299" i="20"/>
  <c r="Y300" i="20" s="1"/>
  <c r="Z227" i="20"/>
  <c r="Z228" i="20" s="1"/>
  <c r="AA317" i="20"/>
  <c r="AA318" i="20" s="1"/>
  <c r="Y285" i="20"/>
  <c r="Y286" i="20" s="1"/>
  <c r="Z235" i="20"/>
  <c r="Z236" i="20" s="1"/>
  <c r="Y265" i="20"/>
  <c r="Y266" i="20" s="1"/>
  <c r="Z307" i="20"/>
  <c r="Z308" i="20" s="1"/>
  <c r="AB227" i="20"/>
  <c r="AB228" i="20" s="1"/>
  <c r="Z297" i="20"/>
  <c r="Z298" i="20" s="1"/>
  <c r="Z339" i="20"/>
  <c r="Z340" i="20" s="1"/>
  <c r="AA261" i="20"/>
  <c r="AA262" i="20" s="1"/>
  <c r="AA247" i="20"/>
  <c r="AA248" i="20" s="1"/>
  <c r="AB205" i="20"/>
  <c r="AB206" i="20" s="1"/>
  <c r="AA235" i="20"/>
  <c r="AA236" i="20" s="1"/>
  <c r="Y325" i="20"/>
  <c r="Y326" i="20" s="1"/>
  <c r="AB317" i="20"/>
  <c r="AB318" i="20" s="1"/>
  <c r="AB235" i="20"/>
  <c r="AB236" i="20" s="1"/>
  <c r="Y297" i="20"/>
  <c r="Y298" i="20" s="1"/>
  <c r="Z337" i="20"/>
  <c r="Z338" i="20" s="1"/>
  <c r="AA223" i="20"/>
  <c r="AA224" i="20" s="1"/>
  <c r="Z217" i="20"/>
  <c r="Z218" i="20" s="1"/>
  <c r="Z345" i="20"/>
  <c r="Z346" i="20" s="1"/>
  <c r="Y255" i="20"/>
  <c r="Y256" i="20" s="1"/>
  <c r="AA237" i="20"/>
  <c r="AA238" i="20" s="1"/>
  <c r="Y277" i="20"/>
  <c r="Y278" i="20" s="1"/>
  <c r="Y267" i="20"/>
  <c r="Y268" i="20" s="1"/>
  <c r="Z303" i="20"/>
  <c r="Z304" i="20" s="1"/>
  <c r="Y271" i="20"/>
  <c r="Y272" i="20" s="1"/>
  <c r="AA271" i="20"/>
  <c r="AA272" i="20" s="1"/>
  <c r="AA311" i="20"/>
  <c r="AA312" i="20" s="1"/>
  <c r="AB343" i="20"/>
  <c r="AB344" i="20" s="1"/>
  <c r="Y231" i="20"/>
  <c r="Y232" i="20" s="1"/>
  <c r="AB255" i="20"/>
  <c r="AB256" i="20" s="1"/>
  <c r="Z233" i="20"/>
  <c r="Z234" i="20" s="1"/>
  <c r="AA273" i="20"/>
  <c r="AA274" i="20" s="1"/>
  <c r="AB233" i="20"/>
  <c r="AB234" i="20" s="1"/>
  <c r="Z321" i="20"/>
  <c r="Z322" i="20" s="1"/>
  <c r="Z219" i="20"/>
  <c r="Z220" i="20" s="1"/>
  <c r="AA303" i="20"/>
  <c r="AA304" i="20" s="1"/>
  <c r="AB241" i="20"/>
  <c r="AB242" i="20" s="1"/>
  <c r="Z273" i="20"/>
  <c r="Z274" i="20" s="1"/>
  <c r="Z239" i="20"/>
  <c r="Z240" i="20" s="1"/>
  <c r="Z289" i="20"/>
  <c r="Z290" i="20" s="1"/>
  <c r="Z311" i="20"/>
  <c r="Z312" i="20" s="1"/>
  <c r="AA211" i="20"/>
  <c r="AA212" i="20" s="1"/>
  <c r="Y237" i="20"/>
  <c r="Y238" i="20" s="1"/>
  <c r="Y281" i="20"/>
  <c r="Y282" i="20" s="1"/>
  <c r="Y283" i="20"/>
  <c r="Y284" i="20" s="1"/>
  <c r="AA337" i="20"/>
  <c r="AA338" i="20" s="1"/>
  <c r="AB289" i="20"/>
  <c r="AB290" i="20" s="1"/>
  <c r="AA277" i="20"/>
  <c r="AA278" i="20" s="1"/>
  <c r="AB209" i="20"/>
  <c r="AB210" i="20" s="1"/>
  <c r="Z223" i="20"/>
  <c r="Z224" i="20" s="1"/>
  <c r="Y301" i="20"/>
  <c r="Y302" i="20" s="1"/>
  <c r="AB333" i="20"/>
  <c r="AB334" i="20" s="1"/>
  <c r="Z331" i="20"/>
  <c r="Z332" i="20" s="1"/>
  <c r="Y211" i="20"/>
  <c r="Y212" i="20" s="1"/>
  <c r="AB307" i="20"/>
  <c r="AB308" i="20" s="1"/>
  <c r="AB299" i="20"/>
  <c r="AB300" i="20" s="1"/>
  <c r="Z249" i="20"/>
  <c r="Z250" i="20" s="1"/>
  <c r="Y287" i="20"/>
  <c r="Y288" i="20" s="1"/>
  <c r="Y321" i="20"/>
  <c r="Y322" i="20" s="1"/>
  <c r="AB217" i="20"/>
  <c r="AB218" i="20" s="1"/>
  <c r="AB321" i="20"/>
  <c r="AB322" i="20" s="1"/>
  <c r="AA207" i="20"/>
  <c r="AA208" i="20" s="1"/>
  <c r="Z205" i="20"/>
  <c r="Z206" i="20" s="1"/>
  <c r="Z211" i="20"/>
  <c r="Z212" i="20" s="1"/>
  <c r="Y347" i="20"/>
  <c r="Y348" i="20" s="1"/>
  <c r="Z207" i="20"/>
  <c r="Z208" i="20" s="1"/>
  <c r="AA339" i="20"/>
  <c r="AA340" i="20" s="1"/>
  <c r="AA299" i="20"/>
  <c r="AA300" i="20" s="1"/>
  <c r="AB339" i="20"/>
  <c r="AB340" i="20" s="1"/>
  <c r="AB245" i="20"/>
  <c r="AB246" i="20" s="1"/>
  <c r="AA295" i="20"/>
  <c r="AA296" i="20" s="1"/>
  <c r="Z245" i="20"/>
  <c r="Z246" i="20" s="1"/>
  <c r="Y225" i="20"/>
  <c r="Y226" i="20" s="1"/>
  <c r="Z137" i="20" s="1" a="1"/>
  <c r="Z137" i="20" s="1"/>
  <c r="Z347" i="20"/>
  <c r="Z348" i="20" s="1"/>
  <c r="AA227" i="20"/>
  <c r="AA228" i="20" s="1"/>
  <c r="AA251" i="20"/>
  <c r="AA252" i="20" s="1"/>
  <c r="AA307" i="20"/>
  <c r="AA308" i="20" s="1"/>
  <c r="Y293" i="20"/>
  <c r="Y294" i="20" s="1"/>
  <c r="AA257" i="20"/>
  <c r="AA258" i="20" s="1"/>
  <c r="Z279" i="20"/>
  <c r="Z280" i="20" s="1"/>
  <c r="Y303" i="20"/>
  <c r="Y304" i="20" s="1"/>
  <c r="Y239" i="20"/>
  <c r="Y240" i="20" s="1"/>
  <c r="Y279" i="20"/>
  <c r="Y280" i="20" s="1"/>
  <c r="AA285" i="20"/>
  <c r="AA286" i="20" s="1"/>
  <c r="Z319" i="20"/>
  <c r="Z320" i="20" s="1"/>
  <c r="Y217" i="20"/>
  <c r="Y218" i="20" s="1"/>
  <c r="Y233" i="20"/>
  <c r="Y234" i="20" s="1"/>
  <c r="AB279" i="20"/>
  <c r="AB280" i="20" s="1"/>
  <c r="Z309" i="20"/>
  <c r="Z310" i="20" s="1"/>
  <c r="AB325" i="20"/>
  <c r="AB326" i="20" s="1"/>
  <c r="Z231" i="20"/>
  <c r="Z232" i="20" s="1"/>
  <c r="AB337" i="20"/>
  <c r="AB338" i="20" s="1"/>
  <c r="Y309" i="20"/>
  <c r="Y310" i="20" s="1"/>
  <c r="AB309" i="20"/>
  <c r="AB310" i="20" s="1"/>
  <c r="AB327" i="20"/>
  <c r="AB328" i="20" s="1"/>
  <c r="AB267" i="20"/>
  <c r="AB268" i="20" s="1"/>
  <c r="Z285" i="20"/>
  <c r="Z286" i="20" s="1"/>
  <c r="AB293" i="20"/>
  <c r="AB294" i="20" s="1"/>
  <c r="AB257" i="20"/>
  <c r="AB258" i="20" s="1"/>
  <c r="AA297" i="20"/>
  <c r="AA298" i="20" s="1"/>
  <c r="AB345" i="20"/>
  <c r="AB346" i="20" s="1"/>
  <c r="Z257" i="20"/>
  <c r="Z258" i="20" s="1"/>
  <c r="AA289" i="20"/>
  <c r="AA290" i="20" s="1"/>
  <c r="Z317" i="20"/>
  <c r="Z318" i="20" s="1"/>
  <c r="Y251" i="20"/>
  <c r="Y252" i="20" s="1"/>
  <c r="Y235" i="20"/>
  <c r="Y236" i="20" s="1"/>
  <c r="Z293" i="20"/>
  <c r="Z294" i="20" s="1"/>
  <c r="Y341" i="20"/>
  <c r="Y342" i="20" s="1"/>
  <c r="AB243" i="20"/>
  <c r="AB244" i="20" s="1"/>
  <c r="AB263" i="20"/>
  <c r="AB264" i="20" s="1"/>
  <c r="AB311" i="20"/>
  <c r="AB312" i="20" s="1"/>
  <c r="AA209" i="20"/>
  <c r="AA210" i="20" s="1"/>
  <c r="AA279" i="20"/>
  <c r="AA280" i="20" s="1"/>
  <c r="AA249" i="20"/>
  <c r="AA250" i="20" s="1"/>
  <c r="Y317" i="20"/>
  <c r="Y318" i="20" s="1"/>
  <c r="AA245" i="20"/>
  <c r="AA246" i="20" s="1"/>
  <c r="AA269" i="20"/>
  <c r="AA270" i="20" s="1"/>
  <c r="Z261" i="20"/>
  <c r="Z262" i="20" s="1"/>
  <c r="AB275" i="20"/>
  <c r="AB276" i="20" s="1"/>
  <c r="AA217" i="20"/>
  <c r="AA218" i="20" s="1"/>
  <c r="Y333" i="20"/>
  <c r="Y334" i="20" s="1"/>
  <c r="Y269" i="20"/>
  <c r="Y270" i="20" s="1"/>
  <c r="Y263" i="20"/>
  <c r="Y264" i="20" s="1"/>
  <c r="Y245" i="20"/>
  <c r="Y246" i="20" s="1"/>
  <c r="AB225" i="20"/>
  <c r="AB226" i="20" s="1"/>
  <c r="AA205" i="20"/>
  <c r="AA206" i="20" s="1"/>
  <c r="Y331" i="20"/>
  <c r="Y332" i="20" s="1"/>
  <c r="Z299" i="20"/>
  <c r="Z300" i="20" s="1"/>
  <c r="Y207" i="20"/>
  <c r="Y208" i="20" s="1"/>
  <c r="Y4" i="20"/>
  <c r="AB285" i="20"/>
  <c r="AB286" i="20" s="1"/>
  <c r="Y249" i="20"/>
  <c r="Y250" i="20" s="1"/>
  <c r="Y259" i="20"/>
  <c r="Y260" i="20" s="1"/>
  <c r="AB269" i="20"/>
  <c r="AB270" i="20" s="1"/>
  <c r="Z275" i="20"/>
  <c r="Z276" i="20" s="1"/>
  <c r="AA315" i="20"/>
  <c r="AA316" i="20" s="1"/>
  <c r="AB347" i="20"/>
  <c r="AB348" i="20" s="1"/>
  <c r="AA325" i="20"/>
  <c r="AA326" i="20" s="1"/>
  <c r="AB261" i="20"/>
  <c r="AB262" i="20" s="1"/>
  <c r="AA333" i="20"/>
  <c r="AA334" i="20" s="1"/>
  <c r="AA281" i="20"/>
  <c r="AA282" i="20" s="1"/>
  <c r="AB273" i="20"/>
  <c r="AB274" i="20" s="1"/>
  <c r="AA313" i="20"/>
  <c r="AA314" i="20" s="1"/>
  <c r="AA319" i="20"/>
  <c r="AA320" i="20" s="1"/>
  <c r="Y289" i="20"/>
  <c r="Y290" i="20" s="1"/>
  <c r="Z315" i="20"/>
  <c r="Z316" i="20" s="1"/>
  <c r="AB277" i="20"/>
  <c r="AB278" i="20" s="1"/>
  <c r="Y337" i="20"/>
  <c r="Y338" i="20" s="1"/>
  <c r="AB223" i="20"/>
  <c r="AB224" i="20" s="1"/>
  <c r="AB297" i="20"/>
  <c r="AB298" i="20" s="1"/>
  <c r="AA255" i="20"/>
  <c r="AA256" i="20" s="1"/>
  <c r="AA221" i="20"/>
  <c r="AA222" i="20" s="1"/>
  <c r="AB231" i="20"/>
  <c r="AB232" i="20" s="1"/>
  <c r="AA321" i="20"/>
  <c r="AA322" i="20" s="1"/>
  <c r="Y313" i="20"/>
  <c r="Y314" i="20" s="1"/>
  <c r="AB249" i="20"/>
  <c r="AB250" i="20" s="1"/>
  <c r="AB265" i="20"/>
  <c r="AB266" i="20" s="1"/>
  <c r="AB239" i="20"/>
  <c r="AB240" i="20" s="1"/>
  <c r="Z327" i="20"/>
  <c r="Z328" i="20" s="1"/>
  <c r="AA253" i="20"/>
  <c r="AA254" i="20" s="1"/>
  <c r="Z251" i="20"/>
  <c r="Z252" i="20" s="1"/>
  <c r="Z247" i="20"/>
  <c r="Z248" i="20" s="1"/>
  <c r="Z271" i="20"/>
  <c r="Z272" i="20" s="1"/>
  <c r="AA309" i="20"/>
  <c r="AA310" i="20" s="1"/>
  <c r="AA267" i="20"/>
  <c r="AA268" i="20" s="1"/>
  <c r="Z221" i="20"/>
  <c r="Z222" i="20" s="1"/>
  <c r="AA345" i="20"/>
  <c r="AA346" i="20" s="1"/>
  <c r="AA241" i="20"/>
  <c r="AA242" i="20" s="1"/>
  <c r="AB251" i="20"/>
  <c r="AB252" i="20" s="1"/>
  <c r="Z281" i="20"/>
  <c r="Z282" i="20" s="1"/>
  <c r="Z237" i="20"/>
  <c r="Z238" i="20" s="1"/>
  <c r="AA263" i="20"/>
  <c r="AA264" i="20" s="1"/>
  <c r="AB319" i="20"/>
  <c r="AB320" i="20" s="1"/>
  <c r="AA239" i="20"/>
  <c r="AA240" i="20" s="1"/>
  <c r="Y221" i="20"/>
  <c r="Y222" i="20" s="1"/>
  <c r="AA301" i="20"/>
  <c r="AA302" i="20" s="1"/>
  <c r="Y315" i="20"/>
  <c r="Y316" i="20" s="1"/>
  <c r="AB281" i="20"/>
  <c r="AB282" i="20" s="1"/>
  <c r="Z287" i="20"/>
  <c r="Z288" i="20" s="1"/>
  <c r="Y339" i="20"/>
  <c r="Y340" i="20" s="1"/>
  <c r="AA293" i="20"/>
  <c r="AA294" i="20" s="1"/>
  <c r="Y307" i="20"/>
  <c r="Y308" i="20" s="1"/>
  <c r="AA343" i="20"/>
  <c r="AA344" i="20" s="1"/>
  <c r="Z209" i="20"/>
  <c r="Z210" i="20" s="1"/>
  <c r="AA287" i="20"/>
  <c r="AA288" i="20" s="1"/>
  <c r="AA215" i="20"/>
  <c r="AA216" i="20" s="1"/>
  <c r="Z259" i="20"/>
  <c r="Z260" i="20" s="1"/>
  <c r="AB295" i="20"/>
  <c r="AB296" i="20" s="1"/>
  <c r="Y227" i="20"/>
  <c r="Y228" i="20" s="1"/>
  <c r="Y327" i="20"/>
  <c r="Y328" i="20" s="1"/>
  <c r="AA275" i="20"/>
  <c r="AA276" i="20" s="1"/>
  <c r="AA347" i="20"/>
  <c r="AA348" i="20" s="1"/>
  <c r="Y205" i="20"/>
  <c r="Y206" i="20" s="1"/>
  <c r="AA219" i="20"/>
  <c r="AA220" i="20" s="1"/>
  <c r="AB207" i="20"/>
  <c r="AB208" i="20" s="1"/>
  <c r="AB219" i="20"/>
  <c r="AB220" i="20" s="1"/>
  <c r="AA331" i="20"/>
  <c r="AA332" i="20" s="1"/>
  <c r="Y261" i="20"/>
  <c r="Y262" i="20" s="1"/>
  <c r="AB331" i="20"/>
  <c r="AB332" i="20" s="1"/>
  <c r="AA225" i="20"/>
  <c r="AA226" i="20" s="1"/>
  <c r="Z225" i="20"/>
  <c r="Z226" i="20" s="1"/>
  <c r="AB211" i="20"/>
  <c r="AB212" i="20" s="1"/>
  <c r="AB215" i="20"/>
  <c r="AB216" i="20" s="1"/>
  <c r="Y219" i="20"/>
  <c r="Y220" i="20" s="1"/>
  <c r="Z313" i="20"/>
  <c r="Z314" i="20" s="1"/>
  <c r="AB221" i="20"/>
  <c r="AB222" i="20" s="1"/>
  <c r="AA327" i="20"/>
  <c r="AA328" i="20" s="1"/>
  <c r="Y273" i="20"/>
  <c r="Y274" i="20" s="1"/>
  <c r="Y241" i="20"/>
  <c r="Y242" i="20" s="1"/>
  <c r="Y343" i="20"/>
  <c r="Y344" i="20" s="1"/>
  <c r="Z215" i="20"/>
  <c r="Z216" i="20" s="1"/>
  <c r="Z263" i="20"/>
  <c r="Z264" i="20" s="1"/>
  <c r="Y311" i="20"/>
  <c r="Y312" i="20" s="1"/>
  <c r="Y257" i="20"/>
  <c r="Y258" i="20" s="1"/>
  <c r="Z343" i="20"/>
  <c r="Z344" i="20" s="1"/>
  <c r="AB313" i="20"/>
  <c r="AB314" i="20" s="1"/>
  <c r="Z253" i="20"/>
  <c r="Z254" i="20" s="1"/>
  <c r="AB237" i="20"/>
  <c r="AB238" i="20" s="1"/>
  <c r="Z267" i="20"/>
  <c r="Z268" i="20" s="1"/>
  <c r="AB253" i="20"/>
  <c r="AB254" i="20" s="1"/>
  <c r="Y319" i="20"/>
  <c r="Y320" i="20" s="1"/>
  <c r="AA265" i="20"/>
  <c r="AA266" i="20" s="1"/>
  <c r="Z241" i="20"/>
  <c r="Z242" i="20" s="1"/>
  <c r="Y209" i="20"/>
  <c r="Y210" i="20" s="1"/>
  <c r="Z295" i="20"/>
  <c r="Z296" i="20" s="1"/>
  <c r="Y345" i="20"/>
  <c r="Y346" i="20" s="1"/>
  <c r="AA233" i="20"/>
  <c r="AA234" i="20" s="1"/>
  <c r="Z255" i="20"/>
  <c r="Z256" i="20" s="1"/>
  <c r="AB303" i="20"/>
  <c r="AB304" i="20" s="1"/>
  <c r="Y223" i="20"/>
  <c r="Y224" i="20" s="1"/>
  <c r="AB271" i="20"/>
  <c r="AB272" i="20" s="1"/>
  <c r="Y275" i="20"/>
  <c r="Y276" i="20" s="1"/>
  <c r="Z325" i="20"/>
  <c r="Z326" i="20" s="1"/>
  <c r="Y247" i="20"/>
  <c r="Y248" i="20" s="1"/>
  <c r="Z378" i="20"/>
  <c r="Z367" i="20" s="1"/>
  <c r="Z379" i="20"/>
  <c r="Z368" i="20" s="1"/>
  <c r="AA397" i="20"/>
  <c r="AA382" i="20"/>
  <c r="AA371" i="20" s="1"/>
  <c r="Y382" i="20"/>
  <c r="Y371" i="20" s="1"/>
  <c r="AA381" i="20"/>
  <c r="AA370" i="20" s="1"/>
  <c r="AA390" i="20"/>
  <c r="Y380" i="20"/>
  <c r="Y369" i="20" s="1"/>
  <c r="AA377" i="20"/>
  <c r="AA383" i="20"/>
  <c r="Y127" i="20" a="1"/>
  <c r="Y127" i="20" s="1"/>
  <c r="O20" i="29"/>
  <c r="O24" i="29"/>
  <c r="U24" i="29"/>
  <c r="J23" i="23"/>
  <c r="J21" i="23" s="1"/>
  <c r="J32" i="43" s="1"/>
  <c r="H31" i="18"/>
  <c r="H26" i="18"/>
  <c r="H43" i="18" s="1"/>
  <c r="K82" i="9" s="1"/>
  <c r="Q82" i="9" s="1"/>
  <c r="D34" i="18"/>
  <c r="D51" i="18" s="1"/>
  <c r="G90" i="9" s="1"/>
  <c r="M90" i="9" s="1"/>
  <c r="F31" i="18"/>
  <c r="H29" i="18"/>
  <c r="H46" i="18" s="1"/>
  <c r="K85" i="9" s="1"/>
  <c r="Q85" i="9" s="1"/>
  <c r="G30" i="18"/>
  <c r="H32" i="18"/>
  <c r="F25" i="18"/>
  <c r="F42" i="18" s="1"/>
  <c r="I81" i="9" s="1"/>
  <c r="O81" i="9" s="1"/>
  <c r="C17" i="18"/>
  <c r="E33" i="18"/>
  <c r="N14" i="20"/>
  <c r="AV118" i="21"/>
  <c r="AK118" i="21" s="1"/>
  <c r="C75" i="22"/>
  <c r="AD350" i="11"/>
  <c r="AD260" i="11"/>
  <c r="AD351" i="11"/>
  <c r="AD261" i="11"/>
  <c r="AD180" i="11"/>
  <c r="AD352" i="11"/>
  <c r="AP350" i="11"/>
  <c r="AP351" i="11"/>
  <c r="AP260" i="11"/>
  <c r="AP352" i="11"/>
  <c r="AP180" i="11"/>
  <c r="AP261" i="11"/>
  <c r="F17" i="10"/>
  <c r="J119" i="21"/>
  <c r="DE16" i="29"/>
  <c r="CK27" i="29"/>
  <c r="CK15" i="29"/>
  <c r="AF16" i="20"/>
  <c r="D36" i="17"/>
  <c r="G164" i="19"/>
  <c r="H172" i="19" s="1"/>
  <c r="E85" i="11"/>
  <c r="E351" i="11" s="1"/>
  <c r="M59" i="34"/>
  <c r="N52" i="34"/>
  <c r="CK16" i="29"/>
  <c r="K44" i="17"/>
  <c r="AO44" i="17"/>
  <c r="F14" i="20"/>
  <c r="AN261" i="11"/>
  <c r="BC8" i="6" a="1"/>
  <c r="BI8" i="6" s="1"/>
  <c r="DE18" i="29"/>
  <c r="DE19" i="29"/>
  <c r="CK18" i="29"/>
  <c r="AS6" i="13"/>
  <c r="CY17" i="29"/>
  <c r="Q199" i="19"/>
  <c r="O199" i="19" s="1"/>
  <c r="CK25" i="29"/>
  <c r="AO120" i="21"/>
  <c r="AS20" i="13"/>
  <c r="AK44" i="17"/>
  <c r="L44" i="17"/>
  <c r="CY18" i="29"/>
  <c r="U4" i="34"/>
  <c r="V4" i="34" s="1"/>
  <c r="W4" i="34" s="1"/>
  <c r="X4" i="34" s="1"/>
  <c r="Y3" i="34"/>
  <c r="I120" i="21"/>
  <c r="CK11" i="29"/>
  <c r="V85" i="11"/>
  <c r="C118" i="19"/>
  <c r="F118" i="19" s="1"/>
  <c r="C119" i="19"/>
  <c r="D119" i="19" s="1"/>
  <c r="E119" i="19" s="1"/>
  <c r="T261" i="11"/>
  <c r="T260" i="11"/>
  <c r="T350" i="11"/>
  <c r="T351" i="11"/>
  <c r="T180" i="11"/>
  <c r="T352" i="11"/>
  <c r="AU223" i="22"/>
  <c r="AU16" i="20"/>
  <c r="Y16" i="20"/>
  <c r="Y223" i="22"/>
  <c r="D29" i="18"/>
  <c r="E26" i="18"/>
  <c r="E43" i="18" s="1"/>
  <c r="H82" i="9" s="1"/>
  <c r="N82" i="9" s="1"/>
  <c r="H33" i="18"/>
  <c r="H50" i="18" s="1"/>
  <c r="K89" i="9" s="1"/>
  <c r="Q89" i="9" s="1"/>
  <c r="I25" i="18"/>
  <c r="G32" i="18"/>
  <c r="I33" i="18"/>
  <c r="I50" i="18" s="1"/>
  <c r="L89" i="9" s="1"/>
  <c r="R89" i="9" s="1"/>
  <c r="E32" i="18"/>
  <c r="E49" i="18" s="1"/>
  <c r="H88" i="9" s="1"/>
  <c r="N88" i="9" s="1"/>
  <c r="G33" i="18"/>
  <c r="E25" i="18"/>
  <c r="E42" i="18" s="1"/>
  <c r="H81" i="9" s="1"/>
  <c r="N81" i="9" s="1"/>
  <c r="I26" i="18"/>
  <c r="G28" i="18"/>
  <c r="G45" i="18" s="1"/>
  <c r="J84" i="9" s="1"/>
  <c r="P84" i="9" s="1"/>
  <c r="F26" i="18"/>
  <c r="E44" i="21" s="1"/>
  <c r="F30" i="18"/>
  <c r="I28" i="18"/>
  <c r="I45" i="18" s="1"/>
  <c r="L84" i="9" s="1"/>
  <c r="R84" i="9" s="1"/>
  <c r="H34" i="18"/>
  <c r="H51" i="18" s="1"/>
  <c r="K90" i="9" s="1"/>
  <c r="Q90" i="9" s="1"/>
  <c r="D30" i="18"/>
  <c r="G29" i="18"/>
  <c r="G46" i="18" s="1"/>
  <c r="J85" i="9" s="1"/>
  <c r="P85" i="9" s="1"/>
  <c r="H28" i="18"/>
  <c r="F33" i="18"/>
  <c r="F50" i="18" s="1"/>
  <c r="I89" i="9" s="1"/>
  <c r="O89" i="9" s="1"/>
  <c r="E30" i="18"/>
  <c r="E47" i="18" s="1"/>
  <c r="H86" i="9" s="1"/>
  <c r="N86" i="9" s="1"/>
  <c r="D28" i="18"/>
  <c r="D33" i="18"/>
  <c r="D50" i="18" s="1"/>
  <c r="G89" i="9" s="1"/>
  <c r="D31" i="18"/>
  <c r="I30" i="18"/>
  <c r="I47" i="18" s="1"/>
  <c r="L86" i="9" s="1"/>
  <c r="R86" i="9" s="1"/>
  <c r="F32" i="18"/>
  <c r="I29" i="18"/>
  <c r="I46" i="18" s="1"/>
  <c r="L85" i="9" s="1"/>
  <c r="R85" i="9" s="1"/>
  <c r="G34" i="18"/>
  <c r="E29" i="18"/>
  <c r="E46" i="18" s="1"/>
  <c r="H85" i="9" s="1"/>
  <c r="N85" i="9" s="1"/>
  <c r="F28" i="18"/>
  <c r="H25" i="18"/>
  <c r="H42" i="18" s="1"/>
  <c r="K81" i="9" s="1"/>
  <c r="Q81" i="9" s="1"/>
  <c r="F29" i="18"/>
  <c r="F46" i="18" s="1"/>
  <c r="I85" i="9" s="1"/>
  <c r="O85" i="9" s="1"/>
  <c r="E31" i="18"/>
  <c r="H30" i="18"/>
  <c r="D26" i="18"/>
  <c r="I31" i="18"/>
  <c r="I48" i="18" s="1"/>
  <c r="L87" i="9" s="1"/>
  <c r="R87" i="9" s="1"/>
  <c r="I34" i="18"/>
  <c r="I51" i="18" s="1"/>
  <c r="L90" i="9" s="1"/>
  <c r="R90" i="9" s="1"/>
  <c r="D32" i="18"/>
  <c r="G31" i="18"/>
  <c r="G48" i="18" s="1"/>
  <c r="J87" i="9" s="1"/>
  <c r="P87" i="9" s="1"/>
  <c r="D25" i="18"/>
  <c r="D42" i="18" s="1"/>
  <c r="G81" i="9" s="1"/>
  <c r="G25" i="18"/>
  <c r="G42" i="18" s="1"/>
  <c r="J81" i="9" s="1"/>
  <c r="P81" i="9" s="1"/>
  <c r="F34" i="18"/>
  <c r="F51" i="18" s="1"/>
  <c r="I90" i="9" s="1"/>
  <c r="O90" i="9" s="1"/>
  <c r="E34" i="18"/>
  <c r="E51" i="18" s="1"/>
  <c r="H90" i="9" s="1"/>
  <c r="N90" i="9" s="1"/>
  <c r="F18" i="34"/>
  <c r="F36" i="34"/>
  <c r="F49" i="34"/>
  <c r="F19" i="34"/>
  <c r="F17" i="34"/>
  <c r="F47" i="34"/>
  <c r="AA32" i="10"/>
  <c r="AF38" i="29"/>
  <c r="AE38" i="29" s="1"/>
  <c r="N32" i="29"/>
  <c r="N31" i="29"/>
  <c r="M12" i="29"/>
  <c r="K47" i="13"/>
  <c r="K54" i="13" s="1"/>
  <c r="K53" i="13" s="1"/>
  <c r="U16" i="10"/>
  <c r="H16" i="10" s="1"/>
  <c r="U33" i="10"/>
  <c r="U28" i="10"/>
  <c r="U14" i="10"/>
  <c r="T38" i="29" s="1"/>
  <c r="S38" i="29" s="1"/>
  <c r="U27" i="10"/>
  <c r="U17" i="10"/>
  <c r="H17" i="10" s="1"/>
  <c r="U26" i="10"/>
  <c r="U21" i="10"/>
  <c r="X12" i="29"/>
  <c r="P12" i="29"/>
  <c r="V12" i="29"/>
  <c r="R12" i="29"/>
  <c r="G17" i="9"/>
  <c r="F17" i="9" s="1"/>
  <c r="C17" i="9" s="1"/>
  <c r="Z12" i="29"/>
  <c r="T12" i="29"/>
  <c r="DW23" i="29"/>
  <c r="DW33" i="29"/>
  <c r="DW21" i="29"/>
  <c r="DW22" i="29"/>
  <c r="DW17" i="29"/>
  <c r="CJ32" i="29"/>
  <c r="CJ31" i="29"/>
  <c r="CI12" i="29"/>
  <c r="BE12" i="29"/>
  <c r="BE29" i="29" s="1"/>
  <c r="BE30" i="29" s="1"/>
  <c r="BF31" i="29"/>
  <c r="BF32" i="29"/>
  <c r="AN32" i="10"/>
  <c r="BF38" i="29"/>
  <c r="BE38" i="29" s="1"/>
  <c r="BC26" i="10"/>
  <c r="BC21" i="10"/>
  <c r="BC17" i="10"/>
  <c r="BB17" i="10" s="1"/>
  <c r="L16" i="31" s="1"/>
  <c r="BC28" i="10"/>
  <c r="J12" i="9"/>
  <c r="J11" i="9" s="1"/>
  <c r="BC27" i="10"/>
  <c r="BC33" i="10"/>
  <c r="BC16" i="10"/>
  <c r="BB16" i="10" s="1"/>
  <c r="L17" i="31" s="1"/>
  <c r="BC14" i="10"/>
  <c r="B420" i="17"/>
  <c r="C81" i="15"/>
  <c r="B490" i="17" s="1"/>
  <c r="AD44" i="17"/>
  <c r="EY4" i="29"/>
  <c r="EZ12" i="29" s="1"/>
  <c r="DZ19" i="29"/>
  <c r="DY5" i="29"/>
  <c r="DZ11" i="29"/>
  <c r="DY6" i="29"/>
  <c r="DZ28" i="29"/>
  <c r="DZ15" i="29"/>
  <c r="DZ17" i="29"/>
  <c r="DZ27" i="29"/>
  <c r="DZ16" i="29"/>
  <c r="DZ25" i="29"/>
  <c r="DY7" i="29"/>
  <c r="DY24" i="29" s="1"/>
  <c r="DZ18" i="29"/>
  <c r="AT15" i="20"/>
  <c r="E224" i="17"/>
  <c r="D284" i="17"/>
  <c r="D224" i="17" s="1"/>
  <c r="DL11" i="29"/>
  <c r="DK5" i="29"/>
  <c r="DL18" i="29"/>
  <c r="DL28" i="29"/>
  <c r="DL15" i="29"/>
  <c r="DK6" i="29"/>
  <c r="EK4" i="29"/>
  <c r="DL16" i="29"/>
  <c r="DL19" i="29"/>
  <c r="DL25" i="29"/>
  <c r="DL17" i="29"/>
  <c r="DL27" i="29"/>
  <c r="DK7" i="29"/>
  <c r="DL12" i="29"/>
  <c r="H14" i="34"/>
  <c r="H24" i="34" s="1"/>
  <c r="I7" i="34"/>
  <c r="H6" i="34"/>
  <c r="CE32" i="10"/>
  <c r="EN38" i="29"/>
  <c r="I221" i="22"/>
  <c r="O6" i="10"/>
  <c r="F11" i="31" s="1"/>
  <c r="BF20" i="13"/>
  <c r="J20" i="13"/>
  <c r="E20" i="13"/>
  <c r="S261" i="11"/>
  <c r="AJ119" i="21"/>
  <c r="EX24" i="29"/>
  <c r="F16" i="10"/>
  <c r="I119" i="21"/>
  <c r="CQ20" i="29"/>
  <c r="C49" i="22"/>
  <c r="D239" i="17"/>
  <c r="P119" i="21"/>
  <c r="AF223" i="22"/>
  <c r="H6" i="10"/>
  <c r="H33" i="10" s="1"/>
  <c r="AS85" i="11"/>
  <c r="AS180" i="11" s="1"/>
  <c r="D69" i="17"/>
  <c r="C122" i="7"/>
  <c r="M16" i="20"/>
  <c r="S224" i="17"/>
  <c r="AA224" i="17"/>
  <c r="AJ224" i="17"/>
  <c r="L224" i="17"/>
  <c r="L223" i="22" s="1"/>
  <c r="I224" i="17"/>
  <c r="I223" i="22" s="1"/>
  <c r="AJ32" i="29"/>
  <c r="AJ31" i="29"/>
  <c r="AI12" i="29"/>
  <c r="AS222" i="22"/>
  <c r="AS15" i="20"/>
  <c r="G15" i="34"/>
  <c r="G13" i="34"/>
  <c r="G35" i="34"/>
  <c r="AE12" i="29"/>
  <c r="AF31" i="29"/>
  <c r="AF32" i="29"/>
  <c r="AF29" i="29"/>
  <c r="AF30" i="29" s="1"/>
  <c r="D221" i="17"/>
  <c r="EX28" i="29"/>
  <c r="EX25" i="29"/>
  <c r="EW7" i="29"/>
  <c r="EX11" i="29"/>
  <c r="EX19" i="29"/>
  <c r="EW5" i="29"/>
  <c r="EX15" i="29"/>
  <c r="EX27" i="29"/>
  <c r="EX16" i="29"/>
  <c r="EX18" i="29"/>
  <c r="EX17" i="29"/>
  <c r="EW17" i="29" s="1"/>
  <c r="EW6" i="29"/>
  <c r="DW11" i="29"/>
  <c r="CI27" i="29"/>
  <c r="CI16" i="29"/>
  <c r="CI28" i="29"/>
  <c r="G85" i="22"/>
  <c r="C85" i="22" s="1"/>
  <c r="G72" i="22"/>
  <c r="C72" i="22" s="1"/>
  <c r="G46" i="22"/>
  <c r="AW350" i="17"/>
  <c r="AW351" i="17" s="1"/>
  <c r="AW352" i="17" s="1"/>
  <c r="AW353" i="17" s="1"/>
  <c r="AW354" i="17" s="1"/>
  <c r="P354" i="17"/>
  <c r="P294" i="17" s="1"/>
  <c r="J354" i="17"/>
  <c r="J294" i="17" s="1"/>
  <c r="L354" i="17"/>
  <c r="L294" i="17" s="1"/>
  <c r="AJ354" i="17"/>
  <c r="AJ294" i="17" s="1"/>
  <c r="AL354" i="17"/>
  <c r="AL294" i="17" s="1"/>
  <c r="AG354" i="17"/>
  <c r="AG294" i="17" s="1"/>
  <c r="H354" i="17"/>
  <c r="H294" i="17" s="1"/>
  <c r="G354" i="17"/>
  <c r="G294" i="17" s="1"/>
  <c r="AK354" i="17"/>
  <c r="AK294" i="17" s="1"/>
  <c r="AS354" i="17"/>
  <c r="AS294" i="17" s="1"/>
  <c r="AH354" i="17"/>
  <c r="AH294" i="17" s="1"/>
  <c r="V354" i="17"/>
  <c r="E354" i="17"/>
  <c r="U354" i="17"/>
  <c r="U294" i="17" s="1"/>
  <c r="AE354" i="17"/>
  <c r="AE294" i="17" s="1"/>
  <c r="AA354" i="17"/>
  <c r="AA294" i="17" s="1"/>
  <c r="Y354" i="17"/>
  <c r="Y294" i="17" s="1"/>
  <c r="S354" i="17"/>
  <c r="S294" i="17" s="1"/>
  <c r="Q354" i="17"/>
  <c r="AD354" i="17"/>
  <c r="AQ354" i="17"/>
  <c r="AQ294" i="17" s="1"/>
  <c r="AM354" i="17"/>
  <c r="AP354" i="17"/>
  <c r="AP294" i="17" s="1"/>
  <c r="Z354" i="17"/>
  <c r="Z294" i="17" s="1"/>
  <c r="F354" i="17"/>
  <c r="F294" i="17" s="1"/>
  <c r="AT354" i="17"/>
  <c r="AT294" i="17" s="1"/>
  <c r="W354" i="17"/>
  <c r="W294" i="17" s="1"/>
  <c r="AB354" i="17"/>
  <c r="AF354" i="17"/>
  <c r="M354" i="17"/>
  <c r="K354" i="17"/>
  <c r="K294" i="17" s="1"/>
  <c r="AR354" i="17"/>
  <c r="X354" i="17"/>
  <c r="X294" i="17" s="1"/>
  <c r="AC354" i="17"/>
  <c r="R354" i="17"/>
  <c r="R294" i="17" s="1"/>
  <c r="O354" i="17"/>
  <c r="O294" i="17" s="1"/>
  <c r="AU354" i="17"/>
  <c r="N354" i="17"/>
  <c r="N294" i="17" s="1"/>
  <c r="AN354" i="17"/>
  <c r="AN294" i="17" s="1"/>
  <c r="AV354" i="17"/>
  <c r="AV294" i="17" s="1"/>
  <c r="T354" i="17"/>
  <c r="T294" i="17" s="1"/>
  <c r="I354" i="17"/>
  <c r="I294" i="17" s="1"/>
  <c r="AI354" i="17"/>
  <c r="AI294" i="17" s="1"/>
  <c r="AO354" i="17"/>
  <c r="AO294" i="17" s="1"/>
  <c r="AR219" i="17"/>
  <c r="Y44" i="17"/>
  <c r="Z44" i="17"/>
  <c r="D464" i="17"/>
  <c r="AQ44" i="17"/>
  <c r="CY21" i="29"/>
  <c r="CY33" i="29"/>
  <c r="CY22" i="29"/>
  <c r="CY23" i="29"/>
  <c r="CY25" i="29"/>
  <c r="CY16" i="29"/>
  <c r="CY28" i="29"/>
  <c r="T15" i="20"/>
  <c r="AA309" i="17"/>
  <c r="F309" i="17"/>
  <c r="AJ309" i="17"/>
  <c r="AO309" i="17"/>
  <c r="AB309" i="17"/>
  <c r="AV309" i="17"/>
  <c r="R309" i="17"/>
  <c r="U309" i="17"/>
  <c r="H309" i="17"/>
  <c r="H289" i="17" s="1"/>
  <c r="H17" i="20" s="1"/>
  <c r="O309" i="17"/>
  <c r="K309" i="17"/>
  <c r="AG309" i="17"/>
  <c r="T309" i="17"/>
  <c r="Y309" i="17"/>
  <c r="L309" i="17"/>
  <c r="P309" i="17"/>
  <c r="AC309" i="17"/>
  <c r="X309" i="17"/>
  <c r="AK309" i="17"/>
  <c r="AN309" i="17"/>
  <c r="Q309" i="17"/>
  <c r="I309" i="17"/>
  <c r="AM309" i="17"/>
  <c r="J309" i="17"/>
  <c r="AQ309" i="17"/>
  <c r="AQ289" i="17" s="1"/>
  <c r="AW305" i="17"/>
  <c r="AW306" i="17" s="1"/>
  <c r="AW307" i="17" s="1"/>
  <c r="AW308" i="17" s="1"/>
  <c r="AW309" i="17" s="1"/>
  <c r="AR309" i="17"/>
  <c r="G309" i="17"/>
  <c r="G289" i="17" s="1"/>
  <c r="Z309" i="17"/>
  <c r="V309" i="17"/>
  <c r="AS309" i="17"/>
  <c r="E309" i="17"/>
  <c r="AF309" i="17"/>
  <c r="AT309" i="17"/>
  <c r="AL309" i="17"/>
  <c r="W309" i="17"/>
  <c r="AU309" i="17"/>
  <c r="S309" i="17"/>
  <c r="AP309" i="17"/>
  <c r="AP289" i="17" s="1"/>
  <c r="AH309" i="17"/>
  <c r="AD309" i="17"/>
  <c r="M309" i="17"/>
  <c r="AI309" i="17"/>
  <c r="AE309" i="17"/>
  <c r="N309" i="17"/>
  <c r="CD14" i="29"/>
  <c r="AX20" i="13"/>
  <c r="P27" i="10"/>
  <c r="J6" i="13"/>
  <c r="J12" i="13" s="1"/>
  <c r="E5" i="17"/>
  <c r="D350" i="11"/>
  <c r="S260" i="11"/>
  <c r="S352" i="11"/>
  <c r="I6" i="22"/>
  <c r="I84" i="22" s="1"/>
  <c r="DL38" i="29"/>
  <c r="AD119" i="21"/>
  <c r="H119" i="21"/>
  <c r="M16" i="10"/>
  <c r="F15" i="9"/>
  <c r="C15" i="9" s="1"/>
  <c r="D13" i="17"/>
  <c r="AF119" i="21"/>
  <c r="K219" i="17"/>
  <c r="K223" i="22" s="1"/>
  <c r="AJ219" i="17"/>
  <c r="V219" i="17"/>
  <c r="V223" i="22" s="1"/>
  <c r="CG5" i="29"/>
  <c r="L5" i="31" s="1"/>
  <c r="B151" i="11"/>
  <c r="Q119" i="21"/>
  <c r="V119" i="21"/>
  <c r="BB6" i="10"/>
  <c r="BB28" i="10" s="1"/>
  <c r="J53" i="9" s="1"/>
  <c r="N201" i="19"/>
  <c r="DE27" i="29"/>
  <c r="BF29" i="29"/>
  <c r="BF30" i="29" s="1"/>
  <c r="Q207" i="19"/>
  <c r="BZ11" i="6" s="1"/>
  <c r="BZ10" i="6" s="1"/>
  <c r="W224" i="17"/>
  <c r="Z224" i="17"/>
  <c r="Z16" i="20" s="1"/>
  <c r="AQ224" i="17"/>
  <c r="AQ16" i="20" s="1"/>
  <c r="AG3" i="13"/>
  <c r="AF3" i="13"/>
  <c r="AE3" i="13"/>
  <c r="AH3" i="13"/>
  <c r="AD3" i="13"/>
  <c r="CK19" i="29"/>
  <c r="CK28" i="29"/>
  <c r="CK9" i="29"/>
  <c r="I60" i="34"/>
  <c r="I58" i="34" s="1"/>
  <c r="I20" i="34" s="1"/>
  <c r="J55" i="34"/>
  <c r="D394" i="17"/>
  <c r="DW9" i="29"/>
  <c r="DW28" i="29"/>
  <c r="DW16" i="29"/>
  <c r="DW27" i="29"/>
  <c r="CI9" i="29"/>
  <c r="CI19" i="29"/>
  <c r="DI7" i="29"/>
  <c r="DI12" i="29" s="1"/>
  <c r="DJ19" i="29"/>
  <c r="DJ17" i="29"/>
  <c r="DJ18" i="29"/>
  <c r="DJ11" i="29"/>
  <c r="EI4" i="29"/>
  <c r="DJ16" i="29"/>
  <c r="DJ28" i="29"/>
  <c r="DI6" i="29"/>
  <c r="DJ15" i="29"/>
  <c r="DJ27" i="29"/>
  <c r="DI5" i="29"/>
  <c r="DJ25" i="29"/>
  <c r="AS44" i="17"/>
  <c r="P44" i="17"/>
  <c r="F45" i="27"/>
  <c r="D45" i="27" s="1"/>
  <c r="E46" i="27"/>
  <c r="CY9" i="29"/>
  <c r="CY15" i="29"/>
  <c r="CY27" i="29"/>
  <c r="S180" i="11"/>
  <c r="EP24" i="29"/>
  <c r="C57" i="22"/>
  <c r="AJ85" i="11"/>
  <c r="AJ261" i="11" s="1"/>
  <c r="AT119" i="21"/>
  <c r="AP119" i="21"/>
  <c r="J54" i="9"/>
  <c r="DL24" i="29"/>
  <c r="DL20" i="29" s="1"/>
  <c r="O224" i="17"/>
  <c r="AC32" i="10"/>
  <c r="AJ38" i="29"/>
  <c r="AI38" i="29" s="1"/>
  <c r="CK22" i="29"/>
  <c r="CK21" i="29"/>
  <c r="CK33" i="29"/>
  <c r="CK23" i="29"/>
  <c r="CK17" i="29"/>
  <c r="G24" i="34"/>
  <c r="N38" i="29"/>
  <c r="M38" i="29" s="1"/>
  <c r="R32" i="10"/>
  <c r="J54" i="13"/>
  <c r="T358" i="11"/>
  <c r="AO358" i="11"/>
  <c r="O358" i="11"/>
  <c r="AN358" i="11"/>
  <c r="R358" i="11"/>
  <c r="P358" i="11"/>
  <c r="AK358" i="11"/>
  <c r="K358" i="11"/>
  <c r="L358" i="11"/>
  <c r="AG358" i="11"/>
  <c r="G358" i="11"/>
  <c r="AJ358" i="11"/>
  <c r="N358" i="11"/>
  <c r="AE358" i="11"/>
  <c r="M358" i="11"/>
  <c r="AH358" i="11"/>
  <c r="AF358" i="11"/>
  <c r="J358" i="11"/>
  <c r="AA358" i="11"/>
  <c r="AB358" i="11"/>
  <c r="F358" i="11"/>
  <c r="W358" i="11"/>
  <c r="Y358" i="11"/>
  <c r="X358" i="11"/>
  <c r="AI358" i="11"/>
  <c r="AP358" i="11"/>
  <c r="Q358" i="11"/>
  <c r="O104" i="9"/>
  <c r="S104" i="9" s="1"/>
  <c r="AD358" i="11"/>
  <c r="AC358" i="11"/>
  <c r="E358" i="11"/>
  <c r="AQ358" i="11"/>
  <c r="V358" i="11"/>
  <c r="D358" i="11"/>
  <c r="AS358" i="11"/>
  <c r="C358" i="11"/>
  <c r="I358" i="11"/>
  <c r="AR358" i="11"/>
  <c r="AT358" i="11"/>
  <c r="AL358" i="11"/>
  <c r="H358" i="11"/>
  <c r="Z358" i="11"/>
  <c r="AM358" i="11"/>
  <c r="S358" i="11"/>
  <c r="U358" i="11"/>
  <c r="C72" i="15"/>
  <c r="B445" i="17" s="1"/>
  <c r="B375" i="17"/>
  <c r="D51" i="22"/>
  <c r="C51" i="22" s="1"/>
  <c r="C12" i="22"/>
  <c r="D77" i="22"/>
  <c r="C77" i="22" s="1"/>
  <c r="D90" i="22"/>
  <c r="C90" i="22" s="1"/>
  <c r="DW19" i="29"/>
  <c r="DW25" i="29"/>
  <c r="DW15" i="29"/>
  <c r="CI23" i="29"/>
  <c r="CI21" i="29"/>
  <c r="CI22" i="29"/>
  <c r="CI33" i="29"/>
  <c r="CI17" i="29"/>
  <c r="AO222" i="22"/>
  <c r="AO15" i="20"/>
  <c r="S44" i="17"/>
  <c r="AJ44" i="17"/>
  <c r="AC44" i="17"/>
  <c r="M15" i="20"/>
  <c r="M222" i="22"/>
  <c r="CY19" i="29"/>
  <c r="G350" i="11"/>
  <c r="G180" i="11"/>
  <c r="G351" i="11"/>
  <c r="G260" i="11"/>
  <c r="G261" i="11"/>
  <c r="G352" i="11"/>
  <c r="I207" i="19"/>
  <c r="K224" i="19"/>
  <c r="AZ11" i="6"/>
  <c r="AZ10" i="6" s="1"/>
  <c r="AL352" i="11"/>
  <c r="AL180" i="11"/>
  <c r="AL350" i="11"/>
  <c r="AL261" i="11"/>
  <c r="AL260" i="11"/>
  <c r="AL351" i="11"/>
  <c r="AE260" i="11"/>
  <c r="N260" i="11"/>
  <c r="BN11" i="6"/>
  <c r="BN10" i="6" s="1"/>
  <c r="N225" i="19"/>
  <c r="L208" i="19"/>
  <c r="AH261" i="11"/>
  <c r="AH350" i="11"/>
  <c r="AH351" i="11"/>
  <c r="AH352" i="11"/>
  <c r="AH180" i="11"/>
  <c r="AH260" i="11"/>
  <c r="G27" i="10"/>
  <c r="G33" i="10"/>
  <c r="G26" i="10"/>
  <c r="F59" i="9"/>
  <c r="C59" i="9" s="1"/>
  <c r="G21" i="10"/>
  <c r="G28" i="10"/>
  <c r="AG180" i="11"/>
  <c r="AG350" i="11"/>
  <c r="AG352" i="11"/>
  <c r="AG351" i="11"/>
  <c r="AG261" i="11"/>
  <c r="AG260" i="11"/>
  <c r="N223" i="22"/>
  <c r="H223" i="22"/>
  <c r="H16" i="20"/>
  <c r="EA21" i="29"/>
  <c r="EA23" i="29"/>
  <c r="EA33" i="29"/>
  <c r="EA22" i="29"/>
  <c r="CW12" i="29"/>
  <c r="CX32" i="29"/>
  <c r="CX31" i="29"/>
  <c r="W15" i="20"/>
  <c r="W222" i="22"/>
  <c r="CJ17" i="10"/>
  <c r="J17" i="10" s="1"/>
  <c r="CJ26" i="10"/>
  <c r="CJ14" i="10"/>
  <c r="CJ32" i="10" s="1"/>
  <c r="CJ33" i="10"/>
  <c r="CJ16" i="10"/>
  <c r="J16" i="10" s="1"/>
  <c r="L19" i="9"/>
  <c r="F19" i="9" s="1"/>
  <c r="C19" i="9" s="1"/>
  <c r="CJ27" i="10"/>
  <c r="CJ21" i="10"/>
  <c r="CJ28" i="10"/>
  <c r="CB6" i="10"/>
  <c r="K97" i="9"/>
  <c r="Q97" i="9" s="1"/>
  <c r="O183" i="19"/>
  <c r="Q200" i="19"/>
  <c r="O200" i="19" s="1"/>
  <c r="K102" i="9"/>
  <c r="Q102" i="9" s="1"/>
  <c r="O188" i="19"/>
  <c r="Q205" i="19"/>
  <c r="O205" i="19" s="1"/>
  <c r="AJ32" i="10"/>
  <c r="F15" i="20"/>
  <c r="F222" i="22"/>
  <c r="H34" i="4"/>
  <c r="T203" i="19" s="1"/>
  <c r="AR31" i="29"/>
  <c r="AR32" i="29"/>
  <c r="AQ12" i="29"/>
  <c r="AZ31" i="29"/>
  <c r="AZ32" i="29"/>
  <c r="AY12" i="29"/>
  <c r="I186" i="19"/>
  <c r="I100" i="9"/>
  <c r="O100" i="9" s="1"/>
  <c r="K203" i="19"/>
  <c r="I203" i="19" s="1"/>
  <c r="Q223" i="22"/>
  <c r="Q16" i="20"/>
  <c r="AH223" i="22"/>
  <c r="AH16" i="20"/>
  <c r="G16" i="20"/>
  <c r="G223" i="22"/>
  <c r="CQ23" i="29"/>
  <c r="CQ33" i="29"/>
  <c r="CQ22" i="29"/>
  <c r="CQ21" i="29"/>
  <c r="CG7" i="29"/>
  <c r="CQ27" i="29"/>
  <c r="CH27" i="29"/>
  <c r="CQ16" i="29"/>
  <c r="CH16" i="29"/>
  <c r="CG16" i="29" s="1"/>
  <c r="CQ18" i="29"/>
  <c r="CH18" i="29"/>
  <c r="K95" i="9"/>
  <c r="Q95" i="9" s="1"/>
  <c r="Q198" i="19"/>
  <c r="O198" i="19" s="1"/>
  <c r="O181" i="19"/>
  <c r="AL222" i="22"/>
  <c r="AL15" i="20"/>
  <c r="AP8" i="10" a="1"/>
  <c r="I94" i="9"/>
  <c r="O94" i="9" s="1"/>
  <c r="I180" i="19"/>
  <c r="K197" i="19"/>
  <c r="K214" i="19" s="1"/>
  <c r="K179" i="19"/>
  <c r="AP8" i="6" a="1"/>
  <c r="DV20" i="29"/>
  <c r="DU24" i="29"/>
  <c r="EF12" i="29"/>
  <c r="EF24" i="29"/>
  <c r="EF20" i="29" s="1"/>
  <c r="EF19" i="29"/>
  <c r="FE4" i="29"/>
  <c r="EF15" i="29"/>
  <c r="EF11" i="29"/>
  <c r="EF18" i="29"/>
  <c r="EF13" i="29"/>
  <c r="EE8" i="29"/>
  <c r="EF17" i="29"/>
  <c r="EF25" i="29"/>
  <c r="EF28" i="29"/>
  <c r="EF16" i="29"/>
  <c r="EE6" i="29"/>
  <c r="EF27" i="29"/>
  <c r="EF38" i="29"/>
  <c r="CE31" i="29"/>
  <c r="CE32" i="29"/>
  <c r="AI223" i="22"/>
  <c r="AI16" i="20"/>
  <c r="BW12" i="29"/>
  <c r="AE222" i="22"/>
  <c r="AE15" i="20"/>
  <c r="K100" i="9"/>
  <c r="Q100" i="9" s="1"/>
  <c r="O186" i="19"/>
  <c r="Q203" i="19"/>
  <c r="O203" i="19" s="1"/>
  <c r="I97" i="9"/>
  <c r="O97" i="9" s="1"/>
  <c r="I183" i="19"/>
  <c r="K200" i="19"/>
  <c r="I200" i="19" s="1"/>
  <c r="CS23" i="29"/>
  <c r="CS22" i="29"/>
  <c r="CS21" i="29"/>
  <c r="CS33" i="29"/>
  <c r="V222" i="22"/>
  <c r="V15" i="20"/>
  <c r="DN20" i="29"/>
  <c r="DM24" i="29"/>
  <c r="BZ20" i="29"/>
  <c r="BY24" i="29"/>
  <c r="BU24" i="29"/>
  <c r="BV20" i="29"/>
  <c r="K26" i="10"/>
  <c r="ED27" i="29"/>
  <c r="ED19" i="29"/>
  <c r="ED28" i="29"/>
  <c r="ED24" i="29"/>
  <c r="ED20" i="29" s="1"/>
  <c r="ED17" i="29"/>
  <c r="ED13" i="29"/>
  <c r="ED15" i="29"/>
  <c r="ED25" i="29"/>
  <c r="FC4" i="29"/>
  <c r="ED12" i="29"/>
  <c r="ED18" i="29"/>
  <c r="ED11" i="29"/>
  <c r="EC8" i="29"/>
  <c r="EC6" i="29"/>
  <c r="ED16" i="29"/>
  <c r="ED38" i="29"/>
  <c r="AB28" i="10"/>
  <c r="H53" i="9" s="1"/>
  <c r="H11" i="31"/>
  <c r="AD32" i="10"/>
  <c r="AL38" i="29"/>
  <c r="CA11" i="6"/>
  <c r="CA10" i="6" s="1"/>
  <c r="O208" i="19"/>
  <c r="Q225" i="19"/>
  <c r="I80" i="22"/>
  <c r="I93" i="22"/>
  <c r="C93" i="22" s="1"/>
  <c r="I54" i="22"/>
  <c r="C54" i="22" s="1"/>
  <c r="C15" i="22"/>
  <c r="BP8" i="6" a="1"/>
  <c r="BP8" i="10" a="1"/>
  <c r="Q179" i="19"/>
  <c r="K94" i="9"/>
  <c r="Q94" i="9" s="1"/>
  <c r="O180" i="19"/>
  <c r="Q197" i="19"/>
  <c r="Q214" i="19" s="1"/>
  <c r="I15" i="20"/>
  <c r="I222" i="22"/>
  <c r="I185" i="19"/>
  <c r="K202" i="19"/>
  <c r="I202" i="19" s="1"/>
  <c r="I99" i="9"/>
  <c r="O99" i="9" s="1"/>
  <c r="AH222" i="22"/>
  <c r="AH15" i="20"/>
  <c r="EA16" i="29"/>
  <c r="EA17" i="29"/>
  <c r="EA9" i="29"/>
  <c r="EA25" i="29"/>
  <c r="AJ122" i="21"/>
  <c r="EP12" i="29"/>
  <c r="J6" i="10"/>
  <c r="D51" i="17"/>
  <c r="G120" i="21"/>
  <c r="K122" i="21"/>
  <c r="DF20" i="29"/>
  <c r="DE20" i="29" s="1"/>
  <c r="U122" i="21"/>
  <c r="AG122" i="21"/>
  <c r="O120" i="21"/>
  <c r="U119" i="21"/>
  <c r="X120" i="21"/>
  <c r="AE120" i="21"/>
  <c r="CS17" i="29"/>
  <c r="CS11" i="29"/>
  <c r="AT122" i="21"/>
  <c r="AA122" i="21"/>
  <c r="Z119" i="21"/>
  <c r="N204" i="19"/>
  <c r="N205" i="19"/>
  <c r="AC122" i="21"/>
  <c r="C119" i="7"/>
  <c r="AL122" i="21"/>
  <c r="D356" i="17"/>
  <c r="N200" i="19"/>
  <c r="AN119" i="21"/>
  <c r="F119" i="21"/>
  <c r="S122" i="21"/>
  <c r="W122" i="21"/>
  <c r="R183" i="19"/>
  <c r="L97" i="9"/>
  <c r="R97" i="9" s="1"/>
  <c r="J223" i="22"/>
  <c r="J16" i="20"/>
  <c r="Z15" i="20"/>
  <c r="Z222" i="22"/>
  <c r="BG9" i="29"/>
  <c r="J9" i="31" s="1"/>
  <c r="J6" i="31"/>
  <c r="FA5" i="29"/>
  <c r="FB36" i="29"/>
  <c r="FB19" i="29"/>
  <c r="FA6" i="29"/>
  <c r="FB28" i="29"/>
  <c r="FB15" i="29"/>
  <c r="FB18" i="29"/>
  <c r="FB37" i="29"/>
  <c r="FB25" i="29"/>
  <c r="FB17" i="29"/>
  <c r="FA7" i="29"/>
  <c r="FB11" i="29"/>
  <c r="FB12" i="29"/>
  <c r="FB27" i="29"/>
  <c r="FB16" i="29"/>
  <c r="FB38" i="29"/>
  <c r="FB24" i="29"/>
  <c r="FB20" i="29" s="1"/>
  <c r="EA15" i="29"/>
  <c r="EB32" i="29"/>
  <c r="EA12" i="29"/>
  <c r="EB31" i="29"/>
  <c r="CP32" i="29"/>
  <c r="CP31" i="29"/>
  <c r="CO12" i="29"/>
  <c r="CP38" i="29"/>
  <c r="CO38" i="29" s="1"/>
  <c r="CZ38" i="29"/>
  <c r="CY38" i="29" s="1"/>
  <c r="BF32" i="10"/>
  <c r="CX38" i="29"/>
  <c r="CW38" i="29" s="1"/>
  <c r="CV38" i="29"/>
  <c r="CU38" i="29" s="1"/>
  <c r="AV15" i="20"/>
  <c r="AV222" i="22"/>
  <c r="F47" i="22"/>
  <c r="F73" i="22"/>
  <c r="F86" i="22"/>
  <c r="F6" i="22"/>
  <c r="C6" i="22" s="1"/>
  <c r="D63" i="7"/>
  <c r="D63" i="21"/>
  <c r="L214" i="19"/>
  <c r="L15" i="20"/>
  <c r="L222" i="22"/>
  <c r="CF32" i="10"/>
  <c r="AP31" i="29"/>
  <c r="AP32" i="29"/>
  <c r="AO12" i="29"/>
  <c r="AF32" i="10"/>
  <c r="AP38" i="29"/>
  <c r="AO38" i="29" s="1"/>
  <c r="AZ38" i="29"/>
  <c r="AY38" i="29" s="1"/>
  <c r="AV38" i="29"/>
  <c r="AU38" i="29" s="1"/>
  <c r="AX38" i="29"/>
  <c r="AW38" i="29" s="1"/>
  <c r="AT38" i="29"/>
  <c r="AS38" i="29" s="1"/>
  <c r="AR38" i="29"/>
  <c r="AQ38" i="29" s="1"/>
  <c r="K201" i="19"/>
  <c r="I201" i="19" s="1"/>
  <c r="I98" i="9"/>
  <c r="O98" i="9" s="1"/>
  <c r="I184" i="19"/>
  <c r="N198" i="19"/>
  <c r="L198" i="19" s="1"/>
  <c r="L181" i="19"/>
  <c r="J95" i="9"/>
  <c r="P95" i="9" s="1"/>
  <c r="AB223" i="22"/>
  <c r="AB16" i="20"/>
  <c r="BS24" i="29"/>
  <c r="BT20" i="29"/>
  <c r="CQ12" i="29"/>
  <c r="CR31" i="29"/>
  <c r="CR32" i="29"/>
  <c r="CQ15" i="29"/>
  <c r="CH15" i="29"/>
  <c r="CR14" i="29"/>
  <c r="CQ14" i="29" s="1"/>
  <c r="CQ9" i="29"/>
  <c r="CG6" i="29"/>
  <c r="CQ28" i="29"/>
  <c r="CH28" i="29"/>
  <c r="AF222" i="22"/>
  <c r="AF15" i="20"/>
  <c r="K206" i="19"/>
  <c r="K223" i="19" s="1"/>
  <c r="I223" i="19" s="1"/>
  <c r="I103" i="9"/>
  <c r="O103" i="9" s="1"/>
  <c r="I189" i="19"/>
  <c r="BA32" i="10"/>
  <c r="N14" i="10"/>
  <c r="N32" i="10" s="1"/>
  <c r="CF38" i="29"/>
  <c r="CE38" i="29" s="1"/>
  <c r="DZ20" i="29"/>
  <c r="CN32" i="29"/>
  <c r="CN31" i="29"/>
  <c r="CM12" i="29"/>
  <c r="DE12" i="29"/>
  <c r="DF31" i="29"/>
  <c r="DF32" i="29"/>
  <c r="DE15" i="29"/>
  <c r="AM15" i="20"/>
  <c r="AM222" i="22"/>
  <c r="DA24" i="29"/>
  <c r="DB20" i="29"/>
  <c r="AO223" i="22"/>
  <c r="AO16" i="20"/>
  <c r="BZ32" i="29"/>
  <c r="BY12" i="29"/>
  <c r="BZ31" i="29"/>
  <c r="AS32" i="10"/>
  <c r="BX38" i="29"/>
  <c r="BW38" i="29" s="1"/>
  <c r="BZ38" i="29"/>
  <c r="BY38" i="29" s="1"/>
  <c r="BP38" i="29"/>
  <c r="BO38" i="29" s="1"/>
  <c r="BV38" i="29"/>
  <c r="BU38" i="29" s="1"/>
  <c r="BR38" i="29"/>
  <c r="BQ38" i="29" s="1"/>
  <c r="BT38" i="29"/>
  <c r="BS38" i="29" s="1"/>
  <c r="CW24" i="29"/>
  <c r="CX20" i="29"/>
  <c r="J222" i="22"/>
  <c r="J15" i="20"/>
  <c r="CT31" i="29"/>
  <c r="CS12" i="29"/>
  <c r="CT32" i="29"/>
  <c r="BK24" i="29"/>
  <c r="BL20" i="29"/>
  <c r="AK223" i="22"/>
  <c r="AK16" i="20"/>
  <c r="I16" i="20"/>
  <c r="X223" i="22"/>
  <c r="X16" i="20"/>
  <c r="DA32" i="29"/>
  <c r="DA31" i="29"/>
  <c r="AG222" i="22"/>
  <c r="AG15" i="20"/>
  <c r="AL31" i="29"/>
  <c r="AK12" i="29"/>
  <c r="AL32" i="29"/>
  <c r="CK16" i="10"/>
  <c r="K16" i="10" s="1"/>
  <c r="CK33" i="10"/>
  <c r="CK28" i="10"/>
  <c r="CK27" i="10"/>
  <c r="L20" i="9"/>
  <c r="CK26" i="10"/>
  <c r="CK17" i="10"/>
  <c r="CK14" i="10"/>
  <c r="CK21" i="10"/>
  <c r="AL484" i="17"/>
  <c r="AC484" i="17"/>
  <c r="L484" i="17"/>
  <c r="I484" i="17"/>
  <c r="J484" i="17"/>
  <c r="AM484" i="17"/>
  <c r="AD484" i="17"/>
  <c r="AE484" i="17"/>
  <c r="N484" i="17"/>
  <c r="S484" i="17"/>
  <c r="Y484" i="17"/>
  <c r="H484" i="17"/>
  <c r="G484" i="17"/>
  <c r="Q484" i="17"/>
  <c r="X484" i="17"/>
  <c r="AG484" i="17"/>
  <c r="AN484" i="17"/>
  <c r="AV484" i="17"/>
  <c r="AQ484" i="17"/>
  <c r="AS484" i="17"/>
  <c r="AI484" i="17"/>
  <c r="O484" i="17"/>
  <c r="W484" i="17"/>
  <c r="AH484" i="17"/>
  <c r="AP484" i="17"/>
  <c r="T484" i="17"/>
  <c r="AT484" i="17"/>
  <c r="AB484" i="17"/>
  <c r="M484" i="17"/>
  <c r="U484" i="17"/>
  <c r="AF484" i="17"/>
  <c r="AO484" i="17"/>
  <c r="V484" i="17"/>
  <c r="AR484" i="17"/>
  <c r="F484" i="17"/>
  <c r="R484" i="17"/>
  <c r="AA484" i="17"/>
  <c r="AK484" i="17"/>
  <c r="P484" i="17"/>
  <c r="AW480" i="17"/>
  <c r="AW481" i="17" s="1"/>
  <c r="AW482" i="17" s="1"/>
  <c r="AW483" i="17" s="1"/>
  <c r="AW484" i="17" s="1"/>
  <c r="K484" i="17"/>
  <c r="AU484" i="17"/>
  <c r="E484" i="17"/>
  <c r="AJ484" i="17"/>
  <c r="Z484" i="17"/>
  <c r="AR15" i="20"/>
  <c r="AR222" i="22"/>
  <c r="K204" i="19"/>
  <c r="I204" i="19" s="1"/>
  <c r="I187" i="19"/>
  <c r="I101" i="9"/>
  <c r="O101" i="9" s="1"/>
  <c r="BN20" i="29"/>
  <c r="BM24" i="29"/>
  <c r="CA24" i="29"/>
  <c r="CB20" i="29"/>
  <c r="D8" i="17"/>
  <c r="I122" i="21"/>
  <c r="AT120" i="21"/>
  <c r="AU120" i="21"/>
  <c r="Z122" i="21"/>
  <c r="P120" i="21"/>
  <c r="AK122" i="21"/>
  <c r="AU292" i="11"/>
  <c r="AU279" i="11"/>
  <c r="C120" i="7"/>
  <c r="T120" i="21"/>
  <c r="E120" i="21"/>
  <c r="K199" i="19"/>
  <c r="CS19" i="29"/>
  <c r="CS25" i="29"/>
  <c r="CS9" i="29"/>
  <c r="AS120" i="21"/>
  <c r="BG16" i="29"/>
  <c r="DC27" i="29"/>
  <c r="DC13" i="29"/>
  <c r="DC25" i="29"/>
  <c r="AH120" i="21"/>
  <c r="N207" i="19"/>
  <c r="AO119" i="21"/>
  <c r="O119" i="21"/>
  <c r="D119" i="21"/>
  <c r="AS122" i="21"/>
  <c r="AU119" i="21"/>
  <c r="Y120" i="21"/>
  <c r="J122" i="21"/>
  <c r="N202" i="19"/>
  <c r="L202" i="19" s="1"/>
  <c r="J99" i="9"/>
  <c r="P99" i="9" s="1"/>
  <c r="L185" i="19"/>
  <c r="AF122" i="21"/>
  <c r="AD122" i="21"/>
  <c r="M122" i="21"/>
  <c r="AU122" i="21"/>
  <c r="O122" i="21"/>
  <c r="E122" i="21"/>
  <c r="AP122" i="21"/>
  <c r="T122" i="21"/>
  <c r="AO122" i="21"/>
  <c r="AE122" i="21"/>
  <c r="D122" i="21"/>
  <c r="N122" i="21"/>
  <c r="CZ32" i="29"/>
  <c r="CZ31" i="29"/>
  <c r="CY12" i="29"/>
  <c r="AQ26" i="10"/>
  <c r="AQ33" i="10"/>
  <c r="AQ21" i="10"/>
  <c r="AQ27" i="10"/>
  <c r="AQ28" i="10"/>
  <c r="AQ17" i="10"/>
  <c r="AQ16" i="10"/>
  <c r="I13" i="9"/>
  <c r="BL12" i="29"/>
  <c r="AQ14" i="10"/>
  <c r="AO6" i="10"/>
  <c r="I54" i="9"/>
  <c r="AQ222" i="22"/>
  <c r="AQ15" i="20"/>
  <c r="Q222" i="22"/>
  <c r="Q15" i="20"/>
  <c r="E84" i="22"/>
  <c r="E71" i="22"/>
  <c r="D344" i="17"/>
  <c r="AX31" i="29"/>
  <c r="AX32" i="29"/>
  <c r="AW12" i="29"/>
  <c r="AV32" i="29"/>
  <c r="AU12" i="29"/>
  <c r="AV31" i="29"/>
  <c r="G84" i="22"/>
  <c r="G71" i="22"/>
  <c r="DJ20" i="29"/>
  <c r="BR31" i="29"/>
  <c r="L99" i="9"/>
  <c r="R99" i="9" s="1"/>
  <c r="R185" i="19"/>
  <c r="R180" i="19"/>
  <c r="L94" i="9"/>
  <c r="R94" i="9" s="1"/>
  <c r="AN223" i="22"/>
  <c r="AN16" i="20"/>
  <c r="CQ19" i="29"/>
  <c r="CH19" i="29"/>
  <c r="CQ11" i="29"/>
  <c r="CH11" i="29"/>
  <c r="AB15" i="20"/>
  <c r="AB222" i="22"/>
  <c r="CJ20" i="29"/>
  <c r="CI24" i="29"/>
  <c r="AN15" i="20"/>
  <c r="AN222" i="22"/>
  <c r="H84" i="22"/>
  <c r="H71" i="22"/>
  <c r="AI222" i="22"/>
  <c r="AI15" i="20"/>
  <c r="CL32" i="29"/>
  <c r="CL31" i="29"/>
  <c r="CH12" i="29"/>
  <c r="CK12" i="29"/>
  <c r="BT17" i="10"/>
  <c r="BT26" i="10"/>
  <c r="BT14" i="10"/>
  <c r="BT21" i="10"/>
  <c r="BT27" i="10"/>
  <c r="BT16" i="10"/>
  <c r="DP12" i="29"/>
  <c r="BT33" i="10"/>
  <c r="K16" i="9"/>
  <c r="K11" i="9" s="1"/>
  <c r="BT28" i="10"/>
  <c r="DV12" i="29"/>
  <c r="DX12" i="29"/>
  <c r="DZ12" i="29"/>
  <c r="DW24" i="29"/>
  <c r="DX20" i="29"/>
  <c r="BE32" i="10"/>
  <c r="CN38" i="29"/>
  <c r="CM38" i="29" s="1"/>
  <c r="P223" i="22"/>
  <c r="P16" i="20"/>
  <c r="AR21" i="10"/>
  <c r="I14" i="9"/>
  <c r="AR14" i="10"/>
  <c r="AR16" i="10"/>
  <c r="AR33" i="10"/>
  <c r="AR27" i="10"/>
  <c r="AR28" i="10"/>
  <c r="AR26" i="10"/>
  <c r="AR17" i="10"/>
  <c r="BN12" i="29"/>
  <c r="BP32" i="29"/>
  <c r="BO12" i="29"/>
  <c r="BP31" i="29"/>
  <c r="CZ20" i="29"/>
  <c r="CY24" i="29"/>
  <c r="G15" i="20"/>
  <c r="G222" i="22"/>
  <c r="K98" i="9"/>
  <c r="Q98" i="9" s="1"/>
  <c r="O184" i="19"/>
  <c r="Q201" i="19"/>
  <c r="O201" i="19" s="1"/>
  <c r="I102" i="9"/>
  <c r="O102" i="9" s="1"/>
  <c r="I188" i="19"/>
  <c r="K205" i="19"/>
  <c r="I205" i="19" s="1"/>
  <c r="CS15" i="29"/>
  <c r="P222" i="22"/>
  <c r="P15" i="20"/>
  <c r="R222" i="22"/>
  <c r="R15" i="20"/>
  <c r="BX20" i="29"/>
  <c r="BW24" i="29"/>
  <c r="AS223" i="22"/>
  <c r="AS16" i="20"/>
  <c r="BG22" i="29"/>
  <c r="BG21" i="29"/>
  <c r="BG33" i="29"/>
  <c r="BG23" i="29"/>
  <c r="J7" i="31"/>
  <c r="DC33" i="29"/>
  <c r="DC22" i="29"/>
  <c r="DC21" i="29"/>
  <c r="DC23" i="29"/>
  <c r="CG8" i="29"/>
  <c r="O189" i="19"/>
  <c r="K103" i="9"/>
  <c r="Q103" i="9" s="1"/>
  <c r="Q206" i="19"/>
  <c r="Q223" i="19" s="1"/>
  <c r="O223" i="19" s="1"/>
  <c r="M414" i="17"/>
  <c r="AA414" i="17"/>
  <c r="H414" i="17"/>
  <c r="U414" i="17"/>
  <c r="F414" i="17"/>
  <c r="S414" i="17"/>
  <c r="AS414" i="17"/>
  <c r="AQ414" i="17"/>
  <c r="AV414" i="17"/>
  <c r="V414" i="17"/>
  <c r="AT414" i="17"/>
  <c r="AC414" i="17"/>
  <c r="E414" i="17"/>
  <c r="AD414" i="17"/>
  <c r="AI414" i="17"/>
  <c r="AF414" i="17"/>
  <c r="AJ414" i="17"/>
  <c r="O414" i="17"/>
  <c r="AO414" i="17"/>
  <c r="AB414" i="17"/>
  <c r="G414" i="17"/>
  <c r="AK414" i="17"/>
  <c r="AL414" i="17"/>
  <c r="AU414" i="17"/>
  <c r="J414" i="17"/>
  <c r="L414" i="17"/>
  <c r="R414" i="17"/>
  <c r="X414" i="17"/>
  <c r="AW410" i="17"/>
  <c r="AW411" i="17" s="1"/>
  <c r="AW412" i="17" s="1"/>
  <c r="AW413" i="17" s="1"/>
  <c r="AW414" i="17" s="1"/>
  <c r="T414" i="17"/>
  <c r="Z414" i="17"/>
  <c r="AR414" i="17"/>
  <c r="AH414" i="17"/>
  <c r="Q414" i="17"/>
  <c r="AP414" i="17"/>
  <c r="I414" i="17"/>
  <c r="W414" i="17"/>
  <c r="AE414" i="17"/>
  <c r="P414" i="17"/>
  <c r="N414" i="17"/>
  <c r="AG414" i="17"/>
  <c r="AM414" i="17"/>
  <c r="K414" i="17"/>
  <c r="AN414" i="17"/>
  <c r="Y414" i="17"/>
  <c r="Y222" i="22"/>
  <c r="Y15" i="20"/>
  <c r="E74" i="22"/>
  <c r="E87" i="22"/>
  <c r="E48" i="22"/>
  <c r="C9" i="22"/>
  <c r="O15" i="20"/>
  <c r="O222" i="22"/>
  <c r="G122" i="21"/>
  <c r="N179" i="19"/>
  <c r="BC8" i="10" a="1"/>
  <c r="EV12" i="29"/>
  <c r="C83" i="22"/>
  <c r="CR38" i="29"/>
  <c r="CQ38" i="29" s="1"/>
  <c r="U120" i="21"/>
  <c r="L122" i="21"/>
  <c r="Y122" i="21"/>
  <c r="C123" i="7"/>
  <c r="N120" i="21"/>
  <c r="AM122" i="21"/>
  <c r="N9" i="10"/>
  <c r="N17" i="10"/>
  <c r="Q122" i="21"/>
  <c r="S120" i="21"/>
  <c r="D216" i="17"/>
  <c r="AI120" i="21"/>
  <c r="D120" i="21"/>
  <c r="AE119" i="21"/>
  <c r="AL119" i="21"/>
  <c r="M120" i="21"/>
  <c r="K54" i="9"/>
  <c r="BO6" i="10"/>
  <c r="K208" i="19"/>
  <c r="CT20" i="29"/>
  <c r="CS20" i="29" s="1"/>
  <c r="CS27" i="29"/>
  <c r="C121" i="21"/>
  <c r="AD120" i="21"/>
  <c r="F122" i="21"/>
  <c r="V122" i="21"/>
  <c r="AI122" i="21"/>
  <c r="DC18" i="29"/>
  <c r="N199" i="19"/>
  <c r="E119" i="21"/>
  <c r="AJ120" i="21"/>
  <c r="N206" i="19"/>
  <c r="AR122" i="21"/>
  <c r="R122" i="21"/>
  <c r="AM260" i="11"/>
  <c r="AM350" i="11"/>
  <c r="AM351" i="11"/>
  <c r="AM261" i="11"/>
  <c r="AM180" i="11"/>
  <c r="AM352" i="11"/>
  <c r="CU12" i="29"/>
  <c r="CV31" i="29"/>
  <c r="CV32" i="29"/>
  <c r="F120" i="21"/>
  <c r="AA120" i="21"/>
  <c r="Q120" i="21"/>
  <c r="V120" i="21"/>
  <c r="AG120" i="21"/>
  <c r="AQ120" i="21"/>
  <c r="K120" i="21"/>
  <c r="L120" i="21"/>
  <c r="AB120" i="21"/>
  <c r="AR120" i="21"/>
  <c r="AL120" i="21"/>
  <c r="I92" i="22"/>
  <c r="C92" i="22" s="1"/>
  <c r="I53" i="22"/>
  <c r="I79" i="22"/>
  <c r="C79" i="22" s="1"/>
  <c r="L197" i="19"/>
  <c r="K99" i="9"/>
  <c r="Q99" i="9" s="1"/>
  <c r="O185" i="19"/>
  <c r="Q202" i="19"/>
  <c r="O202" i="19" s="1"/>
  <c r="AK222" i="22"/>
  <c r="AK15" i="20"/>
  <c r="AT32" i="29"/>
  <c r="AT31" i="29"/>
  <c r="AS12" i="29"/>
  <c r="I95" i="9"/>
  <c r="O95" i="9" s="1"/>
  <c r="I181" i="19"/>
  <c r="K198" i="19"/>
  <c r="I198" i="19" s="1"/>
  <c r="U15" i="20"/>
  <c r="U222" i="22"/>
  <c r="L101" i="9"/>
  <c r="R101" i="9" s="1"/>
  <c r="R187" i="19"/>
  <c r="AG223" i="22"/>
  <c r="AG16" i="20"/>
  <c r="CQ17" i="29"/>
  <c r="CH17" i="29"/>
  <c r="DR18" i="29"/>
  <c r="DQ7" i="29"/>
  <c r="DR11" i="29"/>
  <c r="DQ6" i="29"/>
  <c r="DQ5" i="29"/>
  <c r="DR15" i="29"/>
  <c r="DR19" i="29"/>
  <c r="DR16" i="29"/>
  <c r="DR28" i="29"/>
  <c r="DR17" i="29"/>
  <c r="DR27" i="29"/>
  <c r="DR25" i="29"/>
  <c r="DR12" i="29"/>
  <c r="EQ4" i="29"/>
  <c r="DR24" i="29"/>
  <c r="DR20" i="29" s="1"/>
  <c r="CQ25" i="29"/>
  <c r="CH25" i="29"/>
  <c r="R169" i="19"/>
  <c r="T184" i="19"/>
  <c r="CC8" i="10" s="1" a="1"/>
  <c r="K101" i="9"/>
  <c r="Q101" i="9" s="1"/>
  <c r="O187" i="19"/>
  <c r="Q204" i="19"/>
  <c r="O204" i="19" s="1"/>
  <c r="E222" i="22"/>
  <c r="E15" i="20"/>
  <c r="N26" i="10"/>
  <c r="F66" i="9"/>
  <c r="N21" i="10"/>
  <c r="N28" i="10"/>
  <c r="N27" i="10"/>
  <c r="N33" i="10"/>
  <c r="AP15" i="20"/>
  <c r="AP222" i="22"/>
  <c r="BB14" i="10"/>
  <c r="CL38" i="29"/>
  <c r="BD32" i="10"/>
  <c r="H89" i="22"/>
  <c r="C89" i="22" s="1"/>
  <c r="H50" i="22"/>
  <c r="H45" i="22" s="1"/>
  <c r="H76" i="22"/>
  <c r="C76" i="22" s="1"/>
  <c r="DP20" i="29"/>
  <c r="DO24" i="29"/>
  <c r="DE23" i="29"/>
  <c r="DE21" i="29"/>
  <c r="DE33" i="29"/>
  <c r="DE22" i="29"/>
  <c r="H222" i="22"/>
  <c r="H15" i="20"/>
  <c r="BC14" i="29"/>
  <c r="AQ119" i="21"/>
  <c r="AA119" i="21"/>
  <c r="AB119" i="21"/>
  <c r="G119" i="21"/>
  <c r="K119" i="21"/>
  <c r="S119" i="21"/>
  <c r="AC119" i="21"/>
  <c r="L119" i="21"/>
  <c r="AI119" i="21"/>
  <c r="M119" i="21"/>
  <c r="AH119" i="21"/>
  <c r="W119" i="21"/>
  <c r="R119" i="21"/>
  <c r="AR119" i="21"/>
  <c r="AS119" i="21"/>
  <c r="AM119" i="21"/>
  <c r="Y119" i="21"/>
  <c r="AC16" i="20"/>
  <c r="AC223" i="22"/>
  <c r="AU222" i="22"/>
  <c r="AU15" i="20"/>
  <c r="F48" i="22"/>
  <c r="F74" i="22"/>
  <c r="F87" i="22"/>
  <c r="BV31" i="29"/>
  <c r="BV32" i="29"/>
  <c r="BU12" i="29"/>
  <c r="S222" i="22"/>
  <c r="S15" i="20"/>
  <c r="DJ38" i="29"/>
  <c r="BP32" i="10"/>
  <c r="DJ32" i="29"/>
  <c r="DJ31" i="29"/>
  <c r="EM24" i="29"/>
  <c r="EN20" i="29"/>
  <c r="DS7" i="29"/>
  <c r="DS6" i="29"/>
  <c r="DT12" i="29"/>
  <c r="DT24" i="29"/>
  <c r="DT20" i="29" s="1"/>
  <c r="DT28" i="29"/>
  <c r="DT18" i="29"/>
  <c r="DT15" i="29"/>
  <c r="DT11" i="29"/>
  <c r="DT25" i="29"/>
  <c r="DS25" i="29" s="1"/>
  <c r="DT19" i="29"/>
  <c r="ES4" i="29"/>
  <c r="DT27" i="29"/>
  <c r="DS5" i="29"/>
  <c r="DT17" i="29"/>
  <c r="DT16" i="29"/>
  <c r="BP20" i="29"/>
  <c r="BO24" i="29"/>
  <c r="AM223" i="22"/>
  <c r="AM16" i="20"/>
  <c r="DD31" i="29"/>
  <c r="DC12" i="29"/>
  <c r="DD32" i="29"/>
  <c r="DC15" i="29"/>
  <c r="DD14" i="29"/>
  <c r="DC14" i="29" s="1"/>
  <c r="T32" i="10"/>
  <c r="CL20" i="29"/>
  <c r="CK24" i="29"/>
  <c r="X15" i="20"/>
  <c r="X222" i="22"/>
  <c r="AE28" i="10"/>
  <c r="H14" i="9"/>
  <c r="AE27" i="10"/>
  <c r="AE21" i="10"/>
  <c r="AN12" i="29"/>
  <c r="AE26" i="10"/>
  <c r="AE14" i="10"/>
  <c r="AE17" i="10"/>
  <c r="AB17" i="10" s="1"/>
  <c r="H16" i="31" s="1"/>
  <c r="AE33" i="10"/>
  <c r="AE16" i="10"/>
  <c r="E6" i="10"/>
  <c r="Q20" i="13"/>
  <c r="Q6" i="13"/>
  <c r="O5" i="17"/>
  <c r="K222" i="22"/>
  <c r="K15" i="20"/>
  <c r="BH24" i="29"/>
  <c r="BG24" i="29" s="1"/>
  <c r="BJ20" i="29"/>
  <c r="BI24" i="29"/>
  <c r="AP20" i="13"/>
  <c r="AP6" i="13"/>
  <c r="AI5" i="17"/>
  <c r="EA11" i="29"/>
  <c r="EA36" i="29"/>
  <c r="EA38" i="29"/>
  <c r="EA19" i="29"/>
  <c r="AF120" i="21"/>
  <c r="Z120" i="21"/>
  <c r="EX12" i="29"/>
  <c r="AK120" i="21"/>
  <c r="N220" i="19"/>
  <c r="G45" i="22"/>
  <c r="D146" i="17"/>
  <c r="CQ24" i="29"/>
  <c r="H120" i="21"/>
  <c r="F23" i="9"/>
  <c r="C23" i="9" s="1"/>
  <c r="N16" i="10"/>
  <c r="AH122" i="21"/>
  <c r="F14" i="10"/>
  <c r="F32" i="10" s="1"/>
  <c r="AN120" i="21"/>
  <c r="P122" i="21"/>
  <c r="DE17" i="29"/>
  <c r="D426" i="17"/>
  <c r="AQ122" i="21"/>
  <c r="X119" i="21"/>
  <c r="W120" i="21"/>
  <c r="CT38" i="29"/>
  <c r="CS38" i="29" s="1"/>
  <c r="CS16" i="29"/>
  <c r="CS28" i="29"/>
  <c r="CS18" i="29"/>
  <c r="BG17" i="29"/>
  <c r="DC17" i="29"/>
  <c r="DC24" i="29"/>
  <c r="X122" i="21"/>
  <c r="T119" i="21"/>
  <c r="AP120" i="21"/>
  <c r="R120" i="21"/>
  <c r="J120" i="21"/>
  <c r="AN122" i="21"/>
  <c r="AB122" i="21"/>
  <c r="AC120" i="21"/>
  <c r="L54" i="9"/>
  <c r="E151" i="19"/>
  <c r="C151" i="19" s="1"/>
  <c r="E142" i="19"/>
  <c r="E145" i="19"/>
  <c r="E150" i="19"/>
  <c r="E146" i="19"/>
  <c r="E148" i="19"/>
  <c r="E147" i="19"/>
  <c r="E149" i="19"/>
  <c r="F137" i="9"/>
  <c r="G142" i="9"/>
  <c r="G9" i="29"/>
  <c r="F9" i="31" s="1"/>
  <c r="F5" i="31"/>
  <c r="L15" i="23"/>
  <c r="M15" i="23" s="1"/>
  <c r="M22" i="23" s="1"/>
  <c r="X20" i="29"/>
  <c r="W24" i="29"/>
  <c r="Z20" i="29"/>
  <c r="Y24" i="29"/>
  <c r="V14" i="29"/>
  <c r="U14" i="29" s="1"/>
  <c r="S24" i="29"/>
  <c r="T20" i="29"/>
  <c r="R20" i="29"/>
  <c r="Q24" i="29"/>
  <c r="H24" i="29"/>
  <c r="G24" i="29" s="1"/>
  <c r="U5" i="17"/>
  <c r="Y6" i="13"/>
  <c r="Y20" i="13"/>
  <c r="AD14" i="20"/>
  <c r="AD221" i="22"/>
  <c r="P14" i="20"/>
  <c r="P221" i="22"/>
  <c r="K221" i="22"/>
  <c r="K14" i="20"/>
  <c r="S221" i="22"/>
  <c r="S14" i="20"/>
  <c r="U221" i="22"/>
  <c r="U14" i="20"/>
  <c r="G16" i="29"/>
  <c r="R20" i="13"/>
  <c r="P5" i="17"/>
  <c r="R6" i="13"/>
  <c r="Z20" i="13"/>
  <c r="V5" i="17"/>
  <c r="Z6" i="13"/>
  <c r="AQ221" i="22"/>
  <c r="AQ14" i="20"/>
  <c r="AT221" i="22"/>
  <c r="AT14" i="20"/>
  <c r="D45" i="10"/>
  <c r="G56" i="9" s="1"/>
  <c r="G13" i="9"/>
  <c r="D6" i="10"/>
  <c r="Q17" i="10"/>
  <c r="L12" i="29"/>
  <c r="Q14" i="10"/>
  <c r="Q16" i="10"/>
  <c r="AF221" i="22"/>
  <c r="AF14" i="20"/>
  <c r="BA20" i="13"/>
  <c r="AR5" i="17"/>
  <c r="BA6" i="13"/>
  <c r="AR221" i="22"/>
  <c r="AR14" i="20"/>
  <c r="AS14" i="20"/>
  <c r="AS221" i="22"/>
  <c r="AN12" i="13"/>
  <c r="AA5" i="17"/>
  <c r="AF6" i="13"/>
  <c r="AF20" i="13"/>
  <c r="BD20" i="13"/>
  <c r="BD6" i="13"/>
  <c r="AT5" i="17"/>
  <c r="AG221" i="22"/>
  <c r="AG14" i="20"/>
  <c r="K5" i="17"/>
  <c r="L20" i="13"/>
  <c r="L6" i="13"/>
  <c r="D21" i="17"/>
  <c r="Z14" i="20"/>
  <c r="BE20" i="13"/>
  <c r="AA14" i="20"/>
  <c r="O221" i="22"/>
  <c r="H6" i="13"/>
  <c r="H5" i="17"/>
  <c r="H20" i="13"/>
  <c r="V13" i="13"/>
  <c r="V12" i="13"/>
  <c r="V14" i="20"/>
  <c r="V221" i="22"/>
  <c r="AL6" i="13"/>
  <c r="AL20" i="13"/>
  <c r="AF5" i="17"/>
  <c r="G15" i="29"/>
  <c r="W6" i="13"/>
  <c r="T5" i="17"/>
  <c r="W20" i="13"/>
  <c r="F20" i="13"/>
  <c r="F6" i="13"/>
  <c r="F5" i="17"/>
  <c r="AC5" i="17"/>
  <c r="AI20" i="13"/>
  <c r="AI6" i="13"/>
  <c r="AQ5" i="17"/>
  <c r="AZ20" i="13"/>
  <c r="AZ6" i="13"/>
  <c r="BC20" i="13"/>
  <c r="BC6" i="13"/>
  <c r="L14" i="20"/>
  <c r="L221" i="22"/>
  <c r="R5" i="17"/>
  <c r="U20" i="13"/>
  <c r="U6" i="13"/>
  <c r="AQ12" i="13"/>
  <c r="AQ13" i="13"/>
  <c r="AB14" i="20"/>
  <c r="AB221" i="22"/>
  <c r="AU6" i="13"/>
  <c r="AM5" i="17"/>
  <c r="AU20" i="13"/>
  <c r="AG20" i="13"/>
  <c r="AG6" i="13"/>
  <c r="AB5" i="17"/>
  <c r="AT20" i="13"/>
  <c r="AL5" i="17"/>
  <c r="AT6" i="13"/>
  <c r="N14" i="29"/>
  <c r="M14" i="29" s="1"/>
  <c r="M20" i="29"/>
  <c r="AY20" i="13"/>
  <c r="AY6" i="13"/>
  <c r="AP5" i="17"/>
  <c r="AM14" i="20"/>
  <c r="AM221" i="22"/>
  <c r="K6" i="13"/>
  <c r="K20" i="13"/>
  <c r="J5" i="17"/>
  <c r="X5" i="17"/>
  <c r="AB6" i="13"/>
  <c r="AB20" i="13"/>
  <c r="AC14" i="20"/>
  <c r="AC221" i="22"/>
  <c r="D73" i="22"/>
  <c r="D47" i="22"/>
  <c r="D86" i="22"/>
  <c r="C8" i="22"/>
  <c r="D24" i="17"/>
  <c r="J38" i="29"/>
  <c r="P32" i="10"/>
  <c r="C14" i="10"/>
  <c r="M19" i="21"/>
  <c r="B192" i="11"/>
  <c r="AD13" i="13"/>
  <c r="AD12" i="13"/>
  <c r="O14" i="29"/>
  <c r="G43" i="18"/>
  <c r="J82" i="9" s="1"/>
  <c r="P82" i="9" s="1"/>
  <c r="C46" i="22"/>
  <c r="G13" i="13"/>
  <c r="AV13" i="13"/>
  <c r="AO13" i="13"/>
  <c r="B194" i="11"/>
  <c r="AA15" i="10"/>
  <c r="D70" i="22"/>
  <c r="O19" i="21"/>
  <c r="F127" i="19"/>
  <c r="D127" i="19"/>
  <c r="E127" i="19" s="1"/>
  <c r="J32" i="29"/>
  <c r="J31" i="29"/>
  <c r="I12" i="29"/>
  <c r="AE13" i="13"/>
  <c r="AE12" i="13"/>
  <c r="E12" i="13"/>
  <c r="E13" i="13"/>
  <c r="D71" i="22"/>
  <c r="D84" i="22"/>
  <c r="L18" i="23"/>
  <c r="K23" i="23"/>
  <c r="K21" i="23" s="1"/>
  <c r="O207" i="19" l="1"/>
  <c r="BG8" i="6"/>
  <c r="O16" i="20"/>
  <c r="EM38" i="29"/>
  <c r="P13" i="13"/>
  <c r="T204" i="19"/>
  <c r="R204" i="19" s="1"/>
  <c r="BO17" i="10"/>
  <c r="N16" i="31" s="1"/>
  <c r="AV223" i="22"/>
  <c r="BR32" i="29"/>
  <c r="CM24" i="29"/>
  <c r="CO24" i="29"/>
  <c r="BL8" i="6"/>
  <c r="AJ13" i="13"/>
  <c r="Z64" i="17"/>
  <c r="AI64" i="17"/>
  <c r="BB26" i="10"/>
  <c r="K21" i="10"/>
  <c r="W180" i="11"/>
  <c r="W223" i="22"/>
  <c r="AN260" i="11"/>
  <c r="AF180" i="11"/>
  <c r="E16" i="20"/>
  <c r="AF352" i="11"/>
  <c r="C20" i="18"/>
  <c r="EU17" i="29"/>
  <c r="EM17" i="29"/>
  <c r="EM26" i="29"/>
  <c r="EM9" i="29"/>
  <c r="D16" i="10"/>
  <c r="H26" i="10"/>
  <c r="AT180" i="11"/>
  <c r="M17" i="10"/>
  <c r="AF261" i="11"/>
  <c r="EM11" i="29"/>
  <c r="EM25" i="29"/>
  <c r="EM15" i="29"/>
  <c r="EM27" i="29"/>
  <c r="EM23" i="29"/>
  <c r="EM33" i="29"/>
  <c r="EM22" i="29"/>
  <c r="EM21" i="29"/>
  <c r="EM12" i="29"/>
  <c r="AA12" i="13"/>
  <c r="AT16" i="20"/>
  <c r="AR289" i="17"/>
  <c r="K289" i="17"/>
  <c r="K17" i="20" s="1"/>
  <c r="E63" i="18"/>
  <c r="G65" i="18"/>
  <c r="I57" i="18"/>
  <c r="I72" i="18" s="1"/>
  <c r="AF351" i="11"/>
  <c r="AT352" i="11"/>
  <c r="EU28" i="29"/>
  <c r="S23" i="43"/>
  <c r="C91" i="22"/>
  <c r="F18" i="9"/>
  <c r="C18" i="9" s="1"/>
  <c r="Z289" i="17"/>
  <c r="EM19" i="29"/>
  <c r="EM18" i="29"/>
  <c r="CH24" i="29"/>
  <c r="CG24" i="29" s="1"/>
  <c r="BX31" i="29"/>
  <c r="AE223" i="22"/>
  <c r="AR180" i="11"/>
  <c r="AR350" i="11"/>
  <c r="AT351" i="11"/>
  <c r="AT260" i="11"/>
  <c r="AW475" i="17"/>
  <c r="AW476" i="17" s="1"/>
  <c r="AW477" i="17" s="1"/>
  <c r="AW478" i="17" s="1"/>
  <c r="AW479" i="17" s="1"/>
  <c r="I479" i="17"/>
  <c r="AO479" i="17"/>
  <c r="Y479" i="17"/>
  <c r="G479" i="17"/>
  <c r="W479" i="17"/>
  <c r="E479" i="17"/>
  <c r="K479" i="17"/>
  <c r="P479" i="17"/>
  <c r="AA479" i="17"/>
  <c r="AV479" i="17"/>
  <c r="AH479" i="17"/>
  <c r="L479" i="17"/>
  <c r="AK479" i="17"/>
  <c r="F479" i="17"/>
  <c r="Q479" i="17"/>
  <c r="AQ479" i="17"/>
  <c r="S479" i="17"/>
  <c r="O479" i="17"/>
  <c r="AS479" i="17"/>
  <c r="AD479" i="17"/>
  <c r="AU479" i="17"/>
  <c r="X479" i="17"/>
  <c r="AG479" i="17"/>
  <c r="AL479" i="17"/>
  <c r="AE479" i="17"/>
  <c r="U479" i="17"/>
  <c r="AT479" i="17"/>
  <c r="N479" i="17"/>
  <c r="AN479" i="17"/>
  <c r="AJ479" i="17"/>
  <c r="AF479" i="17"/>
  <c r="AC479" i="17"/>
  <c r="AP479" i="17"/>
  <c r="H479" i="17"/>
  <c r="T479" i="17"/>
  <c r="Z479" i="17"/>
  <c r="AR479" i="17"/>
  <c r="V479" i="17"/>
  <c r="AB479" i="17"/>
  <c r="J479" i="17"/>
  <c r="AM479" i="17"/>
  <c r="R479" i="17"/>
  <c r="AI479" i="17"/>
  <c r="M479" i="17"/>
  <c r="D339" i="17"/>
  <c r="BS12" i="29"/>
  <c r="BT32" i="29"/>
  <c r="AB21" i="10"/>
  <c r="AB27" i="10"/>
  <c r="P289" i="17"/>
  <c r="P17" i="20" s="1"/>
  <c r="F20" i="9"/>
  <c r="C20" i="9" s="1"/>
  <c r="Z223" i="22"/>
  <c r="W260" i="11"/>
  <c r="AL289" i="17"/>
  <c r="AL17" i="20" s="1"/>
  <c r="AM289" i="17"/>
  <c r="AR260" i="11"/>
  <c r="AT261" i="11"/>
  <c r="C95" i="22"/>
  <c r="AW405" i="17"/>
  <c r="AW406" i="17" s="1"/>
  <c r="AW407" i="17" s="1"/>
  <c r="AW408" i="17" s="1"/>
  <c r="AW409" i="17" s="1"/>
  <c r="U409" i="17"/>
  <c r="U59" i="17" s="1"/>
  <c r="W409" i="17"/>
  <c r="W59" i="17" s="1"/>
  <c r="Z409" i="17"/>
  <c r="AU409" i="17"/>
  <c r="AH409" i="17"/>
  <c r="AH59" i="17" s="1"/>
  <c r="AG409" i="17"/>
  <c r="AG59" i="17" s="1"/>
  <c r="E409" i="17"/>
  <c r="Y409" i="17"/>
  <c r="Y59" i="17" s="1"/>
  <c r="K409" i="17"/>
  <c r="AB409" i="17"/>
  <c r="AA409" i="17"/>
  <c r="AA59" i="17" s="1"/>
  <c r="T409" i="17"/>
  <c r="AI409" i="17"/>
  <c r="AI59" i="17" s="1"/>
  <c r="H409" i="17"/>
  <c r="N409" i="17"/>
  <c r="F409" i="17"/>
  <c r="AK409" i="17"/>
  <c r="M409" i="17"/>
  <c r="M59" i="17" s="1"/>
  <c r="G409" i="17"/>
  <c r="G59" i="17" s="1"/>
  <c r="V409" i="17"/>
  <c r="L409" i="17"/>
  <c r="AJ409" i="17"/>
  <c r="AF409" i="17"/>
  <c r="O409" i="17"/>
  <c r="P409" i="17"/>
  <c r="S409" i="17"/>
  <c r="Q409" i="17"/>
  <c r="AD409" i="17"/>
  <c r="I409" i="17"/>
  <c r="I59" i="17" s="1"/>
  <c r="AN409" i="17"/>
  <c r="AQ409" i="17"/>
  <c r="AR409" i="17"/>
  <c r="AO409" i="17"/>
  <c r="AV409" i="17"/>
  <c r="AS409" i="17"/>
  <c r="J409" i="17"/>
  <c r="AT409" i="17"/>
  <c r="AL409" i="17"/>
  <c r="AE409" i="17"/>
  <c r="AC409" i="17"/>
  <c r="AC59" i="17" s="1"/>
  <c r="R409" i="17"/>
  <c r="AP409" i="17"/>
  <c r="X409" i="17"/>
  <c r="AM409" i="17"/>
  <c r="L188" i="19"/>
  <c r="J102" i="9"/>
  <c r="P102" i="9" s="1"/>
  <c r="W350" i="11"/>
  <c r="C350" i="11"/>
  <c r="BC8" i="6"/>
  <c r="BE8" i="6"/>
  <c r="BR14" i="29"/>
  <c r="BQ14" i="29" s="1"/>
  <c r="AN289" i="17"/>
  <c r="E223" i="22"/>
  <c r="D45" i="22"/>
  <c r="T198" i="19"/>
  <c r="DT38" i="29"/>
  <c r="CV20" i="29"/>
  <c r="CH20" i="29" s="1"/>
  <c r="CG20" i="29" s="1"/>
  <c r="AL16" i="20"/>
  <c r="C80" i="22"/>
  <c r="AB26" i="10"/>
  <c r="AD16" i="20"/>
  <c r="EU24" i="29"/>
  <c r="W261" i="11"/>
  <c r="C261" i="11"/>
  <c r="BJ8" i="6"/>
  <c r="H9" i="40"/>
  <c r="AK289" i="17"/>
  <c r="L289" i="17"/>
  <c r="R289" i="17"/>
  <c r="R17" i="20" s="1"/>
  <c r="Y261" i="11"/>
  <c r="AP16" i="20"/>
  <c r="AK12" i="13"/>
  <c r="BO16" i="10"/>
  <c r="N17" i="31" s="1"/>
  <c r="T202" i="19"/>
  <c r="R202" i="19" s="1"/>
  <c r="CB14" i="10"/>
  <c r="CB32" i="10" s="1"/>
  <c r="W351" i="11"/>
  <c r="C351" i="11"/>
  <c r="BM8" i="6"/>
  <c r="BM9" i="6" s="1"/>
  <c r="V289" i="17"/>
  <c r="Y180" i="11"/>
  <c r="R16" i="20"/>
  <c r="AI350" i="11"/>
  <c r="AW20" i="43"/>
  <c r="AJ59" i="17"/>
  <c r="Z454" i="17"/>
  <c r="AN454" i="17"/>
  <c r="AV454" i="17"/>
  <c r="I454" i="17"/>
  <c r="F454" i="17"/>
  <c r="L454" i="17"/>
  <c r="W454" i="17"/>
  <c r="P454" i="17"/>
  <c r="R454" i="17"/>
  <c r="AS454" i="17"/>
  <c r="AB454" i="17"/>
  <c r="AM454" i="17"/>
  <c r="V454" i="17"/>
  <c r="X454" i="17"/>
  <c r="M454" i="17"/>
  <c r="AP454" i="17"/>
  <c r="AO454" i="17"/>
  <c r="AJ454" i="17"/>
  <c r="E454" i="17"/>
  <c r="K454" i="17"/>
  <c r="K34" i="17" s="1"/>
  <c r="Q454" i="17"/>
  <c r="AD454" i="17"/>
  <c r="AL454" i="17"/>
  <c r="G454" i="17"/>
  <c r="AK454" i="17"/>
  <c r="H454" i="17"/>
  <c r="AI454" i="17"/>
  <c r="O454" i="17"/>
  <c r="U454" i="17"/>
  <c r="AT454" i="17"/>
  <c r="J454" i="17"/>
  <c r="T454" i="17"/>
  <c r="N454" i="17"/>
  <c r="AQ454" i="17"/>
  <c r="AG454" i="17"/>
  <c r="AH454" i="17"/>
  <c r="AF454" i="17"/>
  <c r="Y454" i="17"/>
  <c r="AE454" i="17"/>
  <c r="AW450" i="17"/>
  <c r="AW451" i="17" s="1"/>
  <c r="AW452" i="17" s="1"/>
  <c r="AW453" i="17" s="1"/>
  <c r="AW454" i="17" s="1"/>
  <c r="AA454" i="17"/>
  <c r="AR454" i="17"/>
  <c r="S454" i="17"/>
  <c r="AC454" i="17"/>
  <c r="AU454" i="17"/>
  <c r="AG64" i="17"/>
  <c r="I180" i="11"/>
  <c r="AP384" i="17"/>
  <c r="AP34" i="17" s="1"/>
  <c r="M384" i="17"/>
  <c r="K384" i="17"/>
  <c r="AR384" i="17"/>
  <c r="AR34" i="17" s="1"/>
  <c r="I384" i="17"/>
  <c r="I34" i="17" s="1"/>
  <c r="R384" i="17"/>
  <c r="R34" i="17" s="1"/>
  <c r="V384" i="17"/>
  <c r="V34" i="17" s="1"/>
  <c r="AU384" i="17"/>
  <c r="AU34" i="17" s="1"/>
  <c r="AK384" i="17"/>
  <c r="AK34" i="17" s="1"/>
  <c r="AG384" i="17"/>
  <c r="AD384" i="17"/>
  <c r="AD34" i="17" s="1"/>
  <c r="L384" i="17"/>
  <c r="L34" i="17" s="1"/>
  <c r="AC384" i="17"/>
  <c r="AC34" i="17" s="1"/>
  <c r="AA384" i="17"/>
  <c r="AA34" i="17" s="1"/>
  <c r="X384" i="17"/>
  <c r="X34" i="17" s="1"/>
  <c r="AW380" i="17"/>
  <c r="AW381" i="17" s="1"/>
  <c r="AW382" i="17" s="1"/>
  <c r="AW383" i="17" s="1"/>
  <c r="AW384" i="17" s="1"/>
  <c r="H384" i="17"/>
  <c r="H34" i="17" s="1"/>
  <c r="AE384" i="17"/>
  <c r="U384" i="17"/>
  <c r="U34" i="17" s="1"/>
  <c r="AT384" i="17"/>
  <c r="AT34" i="17" s="1"/>
  <c r="O384" i="17"/>
  <c r="O34" i="17" s="1"/>
  <c r="AJ384" i="17"/>
  <c r="AB384" i="17"/>
  <c r="AB34" i="17" s="1"/>
  <c r="AM384" i="17"/>
  <c r="W384" i="17"/>
  <c r="W34" i="17" s="1"/>
  <c r="Z384" i="17"/>
  <c r="Z34" i="17" s="1"/>
  <c r="J384" i="17"/>
  <c r="AN384" i="17"/>
  <c r="AN34" i="17" s="1"/>
  <c r="AI384" i="17"/>
  <c r="AI34" i="17" s="1"/>
  <c r="Q384" i="17"/>
  <c r="Q34" i="17" s="1"/>
  <c r="N384" i="17"/>
  <c r="T384" i="17"/>
  <c r="F384" i="17"/>
  <c r="F34" i="17" s="1"/>
  <c r="G384" i="17"/>
  <c r="AQ384" i="17"/>
  <c r="AQ34" i="17" s="1"/>
  <c r="AO384" i="17"/>
  <c r="AO34" i="17" s="1"/>
  <c r="AV384" i="17"/>
  <c r="AV34" i="17" s="1"/>
  <c r="Y384" i="17"/>
  <c r="AS384" i="17"/>
  <c r="AS34" i="17" s="1"/>
  <c r="S384" i="17"/>
  <c r="S34" i="17" s="1"/>
  <c r="AH384" i="17"/>
  <c r="AH34" i="17" s="1"/>
  <c r="AF384" i="17"/>
  <c r="AF34" i="17" s="1"/>
  <c r="E384" i="17"/>
  <c r="AL384" i="17"/>
  <c r="AL34" i="17" s="1"/>
  <c r="P384" i="17"/>
  <c r="P34" i="17" s="1"/>
  <c r="D180" i="11"/>
  <c r="X126" i="7"/>
  <c r="AB116" i="7"/>
  <c r="J14" i="10"/>
  <c r="J32" i="10" s="1"/>
  <c r="AB137" i="20" a="1"/>
  <c r="AB137" i="20" s="1"/>
  <c r="D351" i="11"/>
  <c r="C82" i="22"/>
  <c r="C9" i="13"/>
  <c r="S20" i="43"/>
  <c r="D314" i="17"/>
  <c r="O12" i="13"/>
  <c r="O11" i="13" s="1"/>
  <c r="M12" i="13"/>
  <c r="M11" i="13" s="1"/>
  <c r="H261" i="11"/>
  <c r="AD31" i="29"/>
  <c r="H180" i="11"/>
  <c r="F22" i="9"/>
  <c r="C22" i="9" s="1"/>
  <c r="M180" i="11"/>
  <c r="N118" i="21"/>
  <c r="Q17" i="43" s="1"/>
  <c r="M14" i="10"/>
  <c r="M32" i="10" s="1"/>
  <c r="F59" i="18"/>
  <c r="M59" i="18" s="1"/>
  <c r="G58" i="18"/>
  <c r="BD11" i="6" s="1"/>
  <c r="BD10" i="6" s="1"/>
  <c r="D64" i="18"/>
  <c r="H62" i="18"/>
  <c r="BU11" i="6" s="1"/>
  <c r="BU10" i="6" s="1"/>
  <c r="F60" i="18"/>
  <c r="F75" i="18" s="1"/>
  <c r="G43" i="21" s="1"/>
  <c r="F64" i="18"/>
  <c r="F79" i="18" s="1"/>
  <c r="K43" i="21" s="1"/>
  <c r="F62" i="18"/>
  <c r="G64" i="18"/>
  <c r="G79" i="18" s="1"/>
  <c r="K61" i="21" s="1"/>
  <c r="D61" i="18"/>
  <c r="D76" i="18" s="1"/>
  <c r="H63" i="18"/>
  <c r="BV11" i="6" s="1"/>
  <c r="BV10" i="6" s="1"/>
  <c r="E59" i="18"/>
  <c r="H59" i="18"/>
  <c r="BR11" i="6" s="1"/>
  <c r="BR10" i="6" s="1"/>
  <c r="G66" i="18"/>
  <c r="G81" i="18" s="1"/>
  <c r="D63" i="18"/>
  <c r="K63" i="18" s="1"/>
  <c r="H64" i="18"/>
  <c r="D46" i="18"/>
  <c r="G85" i="9" s="1"/>
  <c r="M85" i="9" s="1"/>
  <c r="S85" i="9" s="1"/>
  <c r="G61" i="18"/>
  <c r="G76" i="18" s="1"/>
  <c r="H61" i="21" s="1"/>
  <c r="I59" i="18"/>
  <c r="I74" i="18" s="1"/>
  <c r="F97" i="21" s="1"/>
  <c r="D58" i="18"/>
  <c r="H60" i="18"/>
  <c r="H75" i="18" s="1"/>
  <c r="G79" i="21" s="1"/>
  <c r="I58" i="18"/>
  <c r="CD11" i="6" s="1"/>
  <c r="CD10" i="6" s="1"/>
  <c r="E65" i="18"/>
  <c r="E80" i="18" s="1"/>
  <c r="L25" i="21" s="1"/>
  <c r="G62" i="18"/>
  <c r="E60" i="18"/>
  <c r="L60" i="18" s="1"/>
  <c r="AN118" i="21"/>
  <c r="AX17" i="43" s="1"/>
  <c r="G118" i="21"/>
  <c r="H17" i="13" s="1"/>
  <c r="H243" i="22" s="1"/>
  <c r="AD29" i="29"/>
  <c r="AD30" i="29" s="1"/>
  <c r="L260" i="11"/>
  <c r="L261" i="11"/>
  <c r="F4" i="40"/>
  <c r="F3" i="40" s="1"/>
  <c r="D2" i="41"/>
  <c r="AD13" i="43"/>
  <c r="AC6" i="43"/>
  <c r="AD12" i="43"/>
  <c r="BE13" i="43"/>
  <c r="BE12" i="43"/>
  <c r="BE11" i="43" s="1"/>
  <c r="BC12" i="43"/>
  <c r="BC13" i="43"/>
  <c r="BB6" i="43"/>
  <c r="AE13" i="43"/>
  <c r="AE12" i="43"/>
  <c r="AB13" i="43"/>
  <c r="AB12" i="43"/>
  <c r="Y23" i="43"/>
  <c r="Y23" i="13"/>
  <c r="C260" i="11"/>
  <c r="AN13" i="43"/>
  <c r="AM6" i="43"/>
  <c r="AN12" i="43"/>
  <c r="Q13" i="43"/>
  <c r="Q12" i="43"/>
  <c r="AL13" i="43"/>
  <c r="AL12" i="43"/>
  <c r="AI369" i="17"/>
  <c r="AW365" i="17"/>
  <c r="AW366" i="17" s="1"/>
  <c r="AW367" i="17" s="1"/>
  <c r="AW368" i="17" s="1"/>
  <c r="AW369" i="17" s="1"/>
  <c r="Q369" i="17"/>
  <c r="AG369" i="17"/>
  <c r="AE369" i="17"/>
  <c r="AK369" i="17"/>
  <c r="AB369" i="17"/>
  <c r="G369" i="17"/>
  <c r="AM369" i="17"/>
  <c r="AN369" i="17"/>
  <c r="AV369" i="17"/>
  <c r="AT369" i="17"/>
  <c r="AT19" i="17" s="1"/>
  <c r="AH369" i="17"/>
  <c r="M369" i="17"/>
  <c r="AC369" i="17"/>
  <c r="V369" i="17"/>
  <c r="AA369" i="17"/>
  <c r="J369" i="17"/>
  <c r="X369" i="17"/>
  <c r="Z369" i="17"/>
  <c r="O369" i="17"/>
  <c r="H369" i="17"/>
  <c r="F369" i="17"/>
  <c r="T369" i="17"/>
  <c r="E369" i="17"/>
  <c r="N369" i="17"/>
  <c r="AU369" i="17"/>
  <c r="P369" i="17"/>
  <c r="AR369" i="17"/>
  <c r="AO369" i="17"/>
  <c r="Y369" i="17"/>
  <c r="AP369" i="17"/>
  <c r="AJ369" i="17"/>
  <c r="R369" i="17"/>
  <c r="AF369" i="17"/>
  <c r="U369" i="17"/>
  <c r="S369" i="17"/>
  <c r="I369" i="17"/>
  <c r="W369" i="17"/>
  <c r="AD369" i="17"/>
  <c r="AD19" i="17" s="1"/>
  <c r="AS369" i="17"/>
  <c r="AL369" i="17"/>
  <c r="K369" i="17"/>
  <c r="AQ369" i="17"/>
  <c r="L369" i="17"/>
  <c r="AF116" i="21"/>
  <c r="AB126" i="21"/>
  <c r="AI13" i="43"/>
  <c r="AH6" i="43"/>
  <c r="AI12" i="43"/>
  <c r="Z23" i="43"/>
  <c r="Z23" i="13"/>
  <c r="M13" i="43"/>
  <c r="M12" i="43"/>
  <c r="AF13" i="43"/>
  <c r="AF12" i="43"/>
  <c r="I20" i="43"/>
  <c r="K28" i="10"/>
  <c r="V16" i="20"/>
  <c r="AS289" i="17"/>
  <c r="AS17" i="20" s="1"/>
  <c r="F29" i="34"/>
  <c r="I14" i="10"/>
  <c r="I32" i="10" s="1"/>
  <c r="AB138" i="20" a="1"/>
  <c r="AB138" i="20" s="1"/>
  <c r="S289" i="17"/>
  <c r="S224" i="22" s="1"/>
  <c r="AF289" i="17"/>
  <c r="AI180" i="11"/>
  <c r="F65" i="9"/>
  <c r="C65" i="9" s="1"/>
  <c r="H4" i="40"/>
  <c r="H3" i="40" s="1"/>
  <c r="E2" i="41"/>
  <c r="C56" i="22"/>
  <c r="EU27" i="29"/>
  <c r="EU11" i="29"/>
  <c r="AA13" i="43"/>
  <c r="AA12" i="43"/>
  <c r="BD13" i="43"/>
  <c r="BD12" i="43"/>
  <c r="Y13" i="43"/>
  <c r="Y12" i="43"/>
  <c r="BJ32" i="29"/>
  <c r="BI12" i="29"/>
  <c r="BJ31" i="29"/>
  <c r="M55" i="13"/>
  <c r="O50" i="13"/>
  <c r="AO13" i="43"/>
  <c r="AO12" i="43"/>
  <c r="AW435" i="17"/>
  <c r="AW436" i="17" s="1"/>
  <c r="AW437" i="17" s="1"/>
  <c r="AW438" i="17" s="1"/>
  <c r="AW439" i="17" s="1"/>
  <c r="AV439" i="17"/>
  <c r="O439" i="17"/>
  <c r="AS439" i="17"/>
  <c r="Q439" i="17"/>
  <c r="W439" i="17"/>
  <c r="AP439" i="17"/>
  <c r="S439" i="17"/>
  <c r="S19" i="17" s="1"/>
  <c r="AB439" i="17"/>
  <c r="G439" i="17"/>
  <c r="AL439" i="17"/>
  <c r="AL19" i="17" s="1"/>
  <c r="P439" i="17"/>
  <c r="Z439" i="17"/>
  <c r="AD439" i="17"/>
  <c r="Y439" i="17"/>
  <c r="AH439" i="17"/>
  <c r="AH19" i="17" s="1"/>
  <c r="AI439" i="17"/>
  <c r="AK439" i="17"/>
  <c r="V439" i="17"/>
  <c r="AO439" i="17"/>
  <c r="AQ439" i="17"/>
  <c r="R439" i="17"/>
  <c r="E439" i="17"/>
  <c r="X439" i="17"/>
  <c r="AM439" i="17"/>
  <c r="H439" i="17"/>
  <c r="T439" i="17"/>
  <c r="I439" i="17"/>
  <c r="I19" i="17" s="1"/>
  <c r="AE439" i="17"/>
  <c r="AE19" i="17" s="1"/>
  <c r="F439" i="17"/>
  <c r="AC439" i="17"/>
  <c r="N439" i="17"/>
  <c r="AF439" i="17"/>
  <c r="J439" i="17"/>
  <c r="U439" i="17"/>
  <c r="AR439" i="17"/>
  <c r="AR19" i="17" s="1"/>
  <c r="AT439" i="17"/>
  <c r="L439" i="17"/>
  <c r="AG439" i="17"/>
  <c r="AJ439" i="17"/>
  <c r="AA439" i="17"/>
  <c r="AU439" i="17"/>
  <c r="K439" i="17"/>
  <c r="AN439" i="17"/>
  <c r="M439" i="17"/>
  <c r="Y131" i="21"/>
  <c r="Z129" i="21"/>
  <c r="Y130" i="21"/>
  <c r="Y133" i="21"/>
  <c r="X132" i="21"/>
  <c r="Y134" i="21"/>
  <c r="Z134" i="21"/>
  <c r="Z132" i="21"/>
  <c r="X129" i="21"/>
  <c r="X133" i="21"/>
  <c r="X131" i="21"/>
  <c r="X134" i="21"/>
  <c r="AA130" i="21"/>
  <c r="AA132" i="21"/>
  <c r="Z130" i="21"/>
  <c r="AA133" i="21"/>
  <c r="Z133" i="21"/>
  <c r="AA131" i="21"/>
  <c r="Y132" i="21"/>
  <c r="AA129" i="21"/>
  <c r="X130" i="21"/>
  <c r="Z131" i="21"/>
  <c r="AA134" i="21"/>
  <c r="Y129" i="21"/>
  <c r="P12" i="43"/>
  <c r="P13" i="43"/>
  <c r="AH20" i="43"/>
  <c r="AA23" i="43"/>
  <c r="AA23" i="13"/>
  <c r="AU12" i="43"/>
  <c r="AU13" i="43"/>
  <c r="AP12" i="43"/>
  <c r="AP13" i="43"/>
  <c r="I6" i="43"/>
  <c r="J12" i="43"/>
  <c r="J13" i="43"/>
  <c r="DS11" i="29"/>
  <c r="AR64" i="17"/>
  <c r="K27" i="10"/>
  <c r="U352" i="11"/>
  <c r="U350" i="11"/>
  <c r="AI351" i="11"/>
  <c r="BB20" i="43"/>
  <c r="D6" i="43"/>
  <c r="F13" i="43"/>
  <c r="F12" i="43"/>
  <c r="H13" i="43"/>
  <c r="H12" i="43"/>
  <c r="X20" i="43"/>
  <c r="BF13" i="43"/>
  <c r="BF12" i="43"/>
  <c r="K13" i="43"/>
  <c r="K12" i="43"/>
  <c r="AR20" i="43"/>
  <c r="G12" i="43"/>
  <c r="G13" i="43"/>
  <c r="U260" i="11"/>
  <c r="B2" i="41"/>
  <c r="D4" i="40"/>
  <c r="D3" i="40" s="1"/>
  <c r="AJ13" i="43"/>
  <c r="AJ12" i="43"/>
  <c r="X6" i="43"/>
  <c r="Z12" i="43"/>
  <c r="Z13" i="43"/>
  <c r="D20" i="43"/>
  <c r="DN38" i="29"/>
  <c r="DM38" i="29" s="1"/>
  <c r="BR32" i="10"/>
  <c r="I26" i="10"/>
  <c r="I33" i="10"/>
  <c r="F61" i="9"/>
  <c r="C61" i="9" s="1"/>
  <c r="I28" i="10"/>
  <c r="I27" i="10"/>
  <c r="I21" i="10"/>
  <c r="D299" i="17"/>
  <c r="AS13" i="43"/>
  <c r="AS12" i="43"/>
  <c r="AB23" i="43"/>
  <c r="AB23" i="13"/>
  <c r="F60" i="9"/>
  <c r="C60" i="9" s="1"/>
  <c r="AG289" i="17"/>
  <c r="AG17" i="20" s="1"/>
  <c r="G16" i="34"/>
  <c r="G49" i="34" s="1"/>
  <c r="D219" i="17"/>
  <c r="U180" i="11"/>
  <c r="AI352" i="11"/>
  <c r="C9" i="43"/>
  <c r="O13" i="43"/>
  <c r="O12" i="43"/>
  <c r="N6" i="43"/>
  <c r="DM12" i="29"/>
  <c r="DN31" i="29"/>
  <c r="DN32" i="29"/>
  <c r="L13" i="43"/>
  <c r="L12" i="43"/>
  <c r="R13" i="43"/>
  <c r="R12" i="43"/>
  <c r="W12" i="43"/>
  <c r="W13" i="43"/>
  <c r="BA13" i="43"/>
  <c r="BA12" i="43"/>
  <c r="T13" i="43"/>
  <c r="S6" i="43"/>
  <c r="T12" i="43"/>
  <c r="Y64" i="17"/>
  <c r="Q216" i="19"/>
  <c r="O216" i="19" s="1"/>
  <c r="F63" i="9"/>
  <c r="C63" i="9" s="1"/>
  <c r="H28" i="10"/>
  <c r="C180" i="11"/>
  <c r="AI289" i="17"/>
  <c r="AI17" i="20" s="1"/>
  <c r="AT17" i="43"/>
  <c r="AA128" i="20" a="1"/>
  <c r="AA128" i="20" s="1"/>
  <c r="E289" i="17"/>
  <c r="J289" i="17"/>
  <c r="J224" i="22" s="1"/>
  <c r="U261" i="11"/>
  <c r="EU18" i="29"/>
  <c r="AZ13" i="43"/>
  <c r="AZ12" i="43"/>
  <c r="AZ11" i="43" s="1"/>
  <c r="AW6" i="43"/>
  <c r="AX13" i="43"/>
  <c r="AX12" i="43"/>
  <c r="N20" i="43"/>
  <c r="AQ12" i="43"/>
  <c r="AQ13" i="43"/>
  <c r="AP32" i="10"/>
  <c r="BJ38" i="29"/>
  <c r="BI38" i="29" s="1"/>
  <c r="AR6" i="43"/>
  <c r="AT12" i="43"/>
  <c r="AT13" i="43"/>
  <c r="AY13" i="43"/>
  <c r="AY12" i="43"/>
  <c r="L103" i="9"/>
  <c r="R103" i="9" s="1"/>
  <c r="R189" i="19"/>
  <c r="AV13" i="43"/>
  <c r="AV12" i="43"/>
  <c r="R64" i="17"/>
  <c r="E4" i="40"/>
  <c r="E3" i="40" s="1"/>
  <c r="C2" i="41"/>
  <c r="G14" i="10"/>
  <c r="G32" i="10" s="1"/>
  <c r="Q219" i="19"/>
  <c r="H27" i="10"/>
  <c r="EU15" i="29"/>
  <c r="S23" i="13"/>
  <c r="AC20" i="43"/>
  <c r="AG13" i="43"/>
  <c r="AG12" i="43"/>
  <c r="AM20" i="43"/>
  <c r="E13" i="43"/>
  <c r="E12" i="43"/>
  <c r="V11" i="43"/>
  <c r="AK13" i="43"/>
  <c r="AK12" i="43"/>
  <c r="U13" i="43"/>
  <c r="U12" i="43"/>
  <c r="J33" i="43"/>
  <c r="K32" i="13"/>
  <c r="K33" i="13" s="1"/>
  <c r="K32" i="43"/>
  <c r="K33" i="43" s="1"/>
  <c r="AN224" i="22"/>
  <c r="AN17" i="20"/>
  <c r="BD31" i="29"/>
  <c r="BC12" i="29"/>
  <c r="BC29" i="29" s="1"/>
  <c r="BC30" i="29" s="1"/>
  <c r="BD32" i="29"/>
  <c r="Q118" i="21"/>
  <c r="U17" i="43" s="1"/>
  <c r="DS16" i="29"/>
  <c r="H64" i="17"/>
  <c r="BB21" i="10"/>
  <c r="F16" i="20"/>
  <c r="Q224" i="19"/>
  <c r="S16" i="20"/>
  <c r="EO27" i="29"/>
  <c r="EO15" i="29"/>
  <c r="I260" i="11"/>
  <c r="I352" i="11" s="1"/>
  <c r="CE14" i="29"/>
  <c r="CE29" i="29" s="1"/>
  <c r="CE30" i="29" s="1"/>
  <c r="CF29" i="29"/>
  <c r="CF30" i="29" s="1"/>
  <c r="EU16" i="29"/>
  <c r="AQ64" i="17"/>
  <c r="D6" i="17"/>
  <c r="CD32" i="29"/>
  <c r="CD31" i="29"/>
  <c r="CC12" i="29"/>
  <c r="F13" i="9"/>
  <c r="C13" i="9" s="1"/>
  <c r="AS64" i="17"/>
  <c r="BB27" i="10"/>
  <c r="K17" i="10"/>
  <c r="Z17" i="20"/>
  <c r="M289" i="17"/>
  <c r="X289" i="17"/>
  <c r="X224" i="22" s="1"/>
  <c r="AR118" i="21"/>
  <c r="BC17" i="43" s="1"/>
  <c r="I43" i="18"/>
  <c r="L82" i="9" s="1"/>
  <c r="R82" i="9" s="1"/>
  <c r="BB32" i="10"/>
  <c r="K16" i="20"/>
  <c r="F16" i="9"/>
  <c r="C16" i="9" s="1"/>
  <c r="C48" i="22"/>
  <c r="Q64" i="17"/>
  <c r="DS38" i="29"/>
  <c r="L11" i="31"/>
  <c r="T206" i="19"/>
  <c r="T223" i="19" s="1"/>
  <c r="R223" i="19" s="1"/>
  <c r="EC16" i="29"/>
  <c r="Z224" i="22"/>
  <c r="BD8" i="6"/>
  <c r="BK8" i="6"/>
  <c r="AJ223" i="22"/>
  <c r="N289" i="17"/>
  <c r="N224" i="22" s="1"/>
  <c r="Q289" i="17"/>
  <c r="T289" i="17"/>
  <c r="T224" i="22" s="1"/>
  <c r="AB289" i="17"/>
  <c r="AV289" i="17"/>
  <c r="AV224" i="22" s="1"/>
  <c r="M260" i="11"/>
  <c r="M352" i="11" s="1"/>
  <c r="D260" i="11"/>
  <c r="D261" i="11"/>
  <c r="AZ32" i="10"/>
  <c r="CD38" i="29"/>
  <c r="CC38" i="29" s="1"/>
  <c r="AM32" i="10"/>
  <c r="BD38" i="29"/>
  <c r="BC38" i="29" s="1"/>
  <c r="O260" i="11"/>
  <c r="O261" i="11"/>
  <c r="O180" i="11"/>
  <c r="EU19" i="29"/>
  <c r="EU25" i="29"/>
  <c r="E64" i="17"/>
  <c r="BB33" i="10"/>
  <c r="CG15" i="29"/>
  <c r="EO24" i="29"/>
  <c r="O224" i="22"/>
  <c r="Z38" i="29"/>
  <c r="Y38" i="29" s="1"/>
  <c r="B85" i="11"/>
  <c r="M27" i="10"/>
  <c r="W289" i="17"/>
  <c r="EO17" i="29"/>
  <c r="EO28" i="29"/>
  <c r="EO18" i="29"/>
  <c r="I289" i="17"/>
  <c r="AE289" i="17"/>
  <c r="EU22" i="29"/>
  <c r="EU33" i="29"/>
  <c r="EU23" i="29"/>
  <c r="EU21" i="29"/>
  <c r="EU9" i="29"/>
  <c r="E48" i="18"/>
  <c r="H87" i="9" s="1"/>
  <c r="N87" i="9" s="1"/>
  <c r="D65" i="18"/>
  <c r="D80" i="18" s="1"/>
  <c r="H169" i="19"/>
  <c r="H184" i="19" s="1"/>
  <c r="F184" i="19" s="1"/>
  <c r="F66" i="18"/>
  <c r="F81" i="18" s="1"/>
  <c r="D118" i="19"/>
  <c r="E118" i="19" s="1"/>
  <c r="E117" i="19" s="1"/>
  <c r="N261" i="11"/>
  <c r="N352" i="11" s="1"/>
  <c r="AE180" i="11"/>
  <c r="I61" i="18"/>
  <c r="P61" i="18" s="1"/>
  <c r="Z27" i="10"/>
  <c r="AE352" i="11"/>
  <c r="AE261" i="11"/>
  <c r="I65" i="18"/>
  <c r="I80" i="18" s="1"/>
  <c r="L97" i="21" s="1"/>
  <c r="AE351" i="11"/>
  <c r="Y352" i="11"/>
  <c r="D11" i="17"/>
  <c r="AC180" i="11"/>
  <c r="AC351" i="11"/>
  <c r="AC260" i="11"/>
  <c r="AC350" i="11"/>
  <c r="H118" i="21"/>
  <c r="J118" i="21"/>
  <c r="S118" i="21"/>
  <c r="F57" i="18"/>
  <c r="F72" i="18" s="1"/>
  <c r="O14" i="10"/>
  <c r="O32" i="10" s="1"/>
  <c r="AC12" i="29"/>
  <c r="AC31" i="29" s="1"/>
  <c r="AQ261" i="11"/>
  <c r="M118" i="21"/>
  <c r="AH118" i="21"/>
  <c r="AP17" i="43" s="1"/>
  <c r="AE118" i="21"/>
  <c r="T13" i="13"/>
  <c r="Q242" i="22" s="1"/>
  <c r="H47" i="18"/>
  <c r="K86" i="9" s="1"/>
  <c r="Q86" i="9" s="1"/>
  <c r="AJ350" i="11"/>
  <c r="AC352" i="11"/>
  <c r="I66" i="18"/>
  <c r="I81" i="18" s="1"/>
  <c r="AD38" i="29"/>
  <c r="AC38" i="29" s="1"/>
  <c r="Y350" i="11"/>
  <c r="E62" i="18"/>
  <c r="E77" i="18" s="1"/>
  <c r="I25" i="21" s="1"/>
  <c r="BE13" i="13"/>
  <c r="BE11" i="13" s="1"/>
  <c r="BF12" i="13"/>
  <c r="BF11" i="13" s="1"/>
  <c r="H66" i="18"/>
  <c r="O66" i="18" s="1"/>
  <c r="AR6" i="13"/>
  <c r="Y260" i="11"/>
  <c r="AM20" i="13"/>
  <c r="AC380" i="20"/>
  <c r="AC369" i="20" s="1"/>
  <c r="B175" i="11"/>
  <c r="F118" i="21"/>
  <c r="X118" i="21"/>
  <c r="AA118" i="21"/>
  <c r="AB118" i="21"/>
  <c r="AI17" i="43" s="1"/>
  <c r="O118" i="21"/>
  <c r="AC118" i="21"/>
  <c r="Z118" i="21"/>
  <c r="R118" i="21"/>
  <c r="V17" i="43" s="1"/>
  <c r="AE380" i="20"/>
  <c r="AE369" i="20" s="1"/>
  <c r="AF379" i="20"/>
  <c r="AF368" i="20" s="1"/>
  <c r="H45" i="18"/>
  <c r="K84" i="9" s="1"/>
  <c r="Q84" i="9" s="1"/>
  <c r="F49" i="18"/>
  <c r="I88" i="9" s="1"/>
  <c r="O88" i="9" s="1"/>
  <c r="Y118" i="21"/>
  <c r="P118" i="21"/>
  <c r="D118" i="21"/>
  <c r="E17" i="43" s="1"/>
  <c r="AM118" i="21"/>
  <c r="T118" i="21"/>
  <c r="K118" i="21"/>
  <c r="AQ118" i="21"/>
  <c r="AS118" i="21"/>
  <c r="I118" i="21"/>
  <c r="W118" i="21"/>
  <c r="AO118" i="21"/>
  <c r="E58" i="18"/>
  <c r="L58" i="18" s="1"/>
  <c r="E57" i="18"/>
  <c r="L57" i="18" s="1"/>
  <c r="F48" i="18"/>
  <c r="I87" i="9" s="1"/>
  <c r="O87" i="9" s="1"/>
  <c r="I64" i="18"/>
  <c r="CJ11" i="6" s="1"/>
  <c r="CJ10" i="6" s="1"/>
  <c r="AM6" i="13"/>
  <c r="AQ352" i="11"/>
  <c r="AQ350" i="11"/>
  <c r="AJ352" i="11"/>
  <c r="AU118" i="21"/>
  <c r="BF17" i="43" s="1"/>
  <c r="V118" i="21"/>
  <c r="AJ118" i="21"/>
  <c r="AQ180" i="11"/>
  <c r="AQ351" i="11"/>
  <c r="L118" i="21"/>
  <c r="AG118" i="21"/>
  <c r="AT118" i="21"/>
  <c r="AF118" i="21"/>
  <c r="AN17" i="43" s="1"/>
  <c r="AP118" i="21"/>
  <c r="U118" i="21"/>
  <c r="Z17" i="43" s="1"/>
  <c r="AI118" i="21"/>
  <c r="AD118" i="21"/>
  <c r="AK17" i="43" s="1"/>
  <c r="E118" i="21"/>
  <c r="AL118" i="21"/>
  <c r="AC6" i="13"/>
  <c r="BB6" i="13"/>
  <c r="D6" i="13"/>
  <c r="AS261" i="11"/>
  <c r="AC379" i="20"/>
  <c r="AC368" i="20" s="1"/>
  <c r="AD382" i="20"/>
  <c r="AD371" i="20" s="1"/>
  <c r="AE381" i="20"/>
  <c r="AE370" i="20" s="1"/>
  <c r="AQ17" i="20"/>
  <c r="AQ224" i="22"/>
  <c r="AB127" i="20" a="1"/>
  <c r="AB127" i="20" s="1"/>
  <c r="AC127" i="20" a="1"/>
  <c r="AC127" i="20" s="1"/>
  <c r="AF397" i="20"/>
  <c r="AX12" i="13"/>
  <c r="AX11" i="13" s="1"/>
  <c r="H49" i="18"/>
  <c r="K88" i="9" s="1"/>
  <c r="Q88" i="9" s="1"/>
  <c r="AH64" i="17"/>
  <c r="T197" i="19"/>
  <c r="T214" i="19" s="1"/>
  <c r="D99" i="21" s="1"/>
  <c r="DI24" i="29"/>
  <c r="DI16" i="29"/>
  <c r="AU289" i="17"/>
  <c r="D319" i="17"/>
  <c r="Z366" i="20"/>
  <c r="Z365" i="20" s="1"/>
  <c r="Z376" i="20"/>
  <c r="Y366" i="20"/>
  <c r="Y365" i="20" s="1"/>
  <c r="Y376" i="20"/>
  <c r="D334" i="17"/>
  <c r="AC137" i="20" a="1"/>
  <c r="AC137" i="20" s="1"/>
  <c r="AD390" i="20"/>
  <c r="AF382" i="20"/>
  <c r="AF371" i="20" s="1"/>
  <c r="AE383" i="20"/>
  <c r="AE377" i="20"/>
  <c r="AC397" i="20"/>
  <c r="AE378" i="20"/>
  <c r="AE367" i="20" s="1"/>
  <c r="AD378" i="20"/>
  <c r="AD367" i="20" s="1"/>
  <c r="AC381" i="20"/>
  <c r="AC370" i="20" s="1"/>
  <c r="AA137" i="20" a="1"/>
  <c r="AA137" i="20" s="1"/>
  <c r="E522" i="17"/>
  <c r="F522" i="17" s="1"/>
  <c r="G522" i="17" s="1"/>
  <c r="H522" i="17" s="1"/>
  <c r="I522" i="17" s="1"/>
  <c r="E523" i="17"/>
  <c r="F523" i="17" s="1"/>
  <c r="G523" i="17" s="1"/>
  <c r="H523" i="17" s="1"/>
  <c r="I523" i="17" s="1"/>
  <c r="J523" i="17" s="1"/>
  <c r="K523" i="17" s="1"/>
  <c r="L523" i="17" s="1"/>
  <c r="M523" i="17" s="1"/>
  <c r="N523" i="17" s="1"/>
  <c r="O523" i="17" s="1"/>
  <c r="P523" i="17" s="1"/>
  <c r="Q523" i="17" s="1"/>
  <c r="R523" i="17" s="1"/>
  <c r="S523" i="17" s="1"/>
  <c r="T523" i="17" s="1"/>
  <c r="U523" i="17" s="1"/>
  <c r="V523" i="17" s="1"/>
  <c r="W523" i="17" s="1"/>
  <c r="X523" i="17" s="1"/>
  <c r="Y523" i="17" s="1"/>
  <c r="Z523" i="17" s="1"/>
  <c r="AA523" i="17" s="1"/>
  <c r="AB523" i="17" s="1"/>
  <c r="AC523" i="17" s="1"/>
  <c r="AD523" i="17" s="1"/>
  <c r="AE523" i="17" s="1"/>
  <c r="E524" i="17"/>
  <c r="F524" i="17" s="1"/>
  <c r="G524" i="17" s="1"/>
  <c r="H524" i="17" s="1"/>
  <c r="I524" i="17" s="1"/>
  <c r="J524" i="17" s="1"/>
  <c r="K524" i="17" s="1"/>
  <c r="L524" i="17" s="1"/>
  <c r="M524" i="17" s="1"/>
  <c r="N524" i="17" s="1"/>
  <c r="O524" i="17" s="1"/>
  <c r="P524" i="17" s="1"/>
  <c r="Q524" i="17" s="1"/>
  <c r="R524" i="17" s="1"/>
  <c r="S524" i="17" s="1"/>
  <c r="T524" i="17" s="1"/>
  <c r="U524" i="17" s="1"/>
  <c r="V524" i="17" s="1"/>
  <c r="W524" i="17" s="1"/>
  <c r="X524" i="17" s="1"/>
  <c r="Y524" i="17" s="1"/>
  <c r="Z524" i="17" s="1"/>
  <c r="AA524" i="17" s="1"/>
  <c r="AB524" i="17" s="1"/>
  <c r="AC524" i="17" s="1"/>
  <c r="AD524" i="17" s="1"/>
  <c r="AE524" i="17" s="1"/>
  <c r="AF524" i="17" s="1"/>
  <c r="AG3" i="17"/>
  <c r="E521" i="17"/>
  <c r="F521" i="17" s="1"/>
  <c r="G521" i="17" s="1"/>
  <c r="H521" i="17" s="1"/>
  <c r="I521" i="17" s="1"/>
  <c r="J521" i="17" s="1"/>
  <c r="K521" i="17" s="1"/>
  <c r="L521" i="17" s="1"/>
  <c r="M521" i="17" s="1"/>
  <c r="N521" i="17" s="1"/>
  <c r="O521" i="17" s="1"/>
  <c r="P521" i="17" s="1"/>
  <c r="Q521" i="17" s="1"/>
  <c r="R521" i="17" s="1"/>
  <c r="S521" i="17" s="1"/>
  <c r="T521" i="17" s="1"/>
  <c r="U521" i="17" s="1"/>
  <c r="V521" i="17" s="1"/>
  <c r="W521" i="17" s="1"/>
  <c r="X521" i="17" s="1"/>
  <c r="Y521" i="17" s="1"/>
  <c r="Z521" i="17" s="1"/>
  <c r="AA521" i="17" s="1"/>
  <c r="AB521" i="17" s="1"/>
  <c r="AC521" i="17" s="1"/>
  <c r="F350" i="11"/>
  <c r="F180" i="11"/>
  <c r="F351" i="11"/>
  <c r="F261" i="11"/>
  <c r="F352" i="11"/>
  <c r="F260" i="11"/>
  <c r="Y459" i="17"/>
  <c r="AB459" i="17"/>
  <c r="G459" i="17"/>
  <c r="Z459" i="17"/>
  <c r="AL459" i="17"/>
  <c r="AN459" i="17"/>
  <c r="T459" i="17"/>
  <c r="K459" i="17"/>
  <c r="AO459" i="17"/>
  <c r="U459" i="17"/>
  <c r="X459" i="17"/>
  <c r="O459" i="17"/>
  <c r="AG459" i="17"/>
  <c r="N459" i="17"/>
  <c r="E459" i="17"/>
  <c r="AR459" i="17"/>
  <c r="S459" i="17"/>
  <c r="AW455" i="17"/>
  <c r="AW456" i="17" s="1"/>
  <c r="AW457" i="17" s="1"/>
  <c r="AW458" i="17" s="1"/>
  <c r="AW459" i="17" s="1"/>
  <c r="AV459" i="17"/>
  <c r="AU459" i="17"/>
  <c r="Q459" i="17"/>
  <c r="AC459" i="17"/>
  <c r="AS459" i="17"/>
  <c r="AM459" i="17"/>
  <c r="P459" i="17"/>
  <c r="AI459" i="17"/>
  <c r="AH459" i="17"/>
  <c r="L459" i="17"/>
  <c r="AP459" i="17"/>
  <c r="AK459" i="17"/>
  <c r="AE459" i="17"/>
  <c r="W459" i="17"/>
  <c r="AQ459" i="17"/>
  <c r="AJ459" i="17"/>
  <c r="AF459" i="17"/>
  <c r="J459" i="17"/>
  <c r="R459" i="17"/>
  <c r="H459" i="17"/>
  <c r="F459" i="17"/>
  <c r="M459" i="17"/>
  <c r="I459" i="17"/>
  <c r="V459" i="17"/>
  <c r="AA459" i="17"/>
  <c r="AT459" i="17"/>
  <c r="AD459" i="17"/>
  <c r="T205" i="19"/>
  <c r="R205" i="19" s="1"/>
  <c r="V64" i="17"/>
  <c r="C16" i="10"/>
  <c r="D9" i="40" s="1"/>
  <c r="G50" i="18"/>
  <c r="J89" i="9" s="1"/>
  <c r="P89" i="9" s="1"/>
  <c r="F58" i="18"/>
  <c r="M58" i="18" s="1"/>
  <c r="F119" i="19"/>
  <c r="G119" i="19" s="1"/>
  <c r="H119" i="19" s="1"/>
  <c r="H37" i="18"/>
  <c r="H52" i="18" s="1"/>
  <c r="K80" i="9" s="1"/>
  <c r="O17" i="10"/>
  <c r="F16" i="31" s="1"/>
  <c r="BO14" i="10"/>
  <c r="BO32" i="10" s="1"/>
  <c r="DR38" i="29"/>
  <c r="DQ38" i="29" s="1"/>
  <c r="O223" i="22"/>
  <c r="J64" i="17"/>
  <c r="I71" i="22"/>
  <c r="AQ223" i="22"/>
  <c r="EB14" i="29"/>
  <c r="EA14" i="29" s="1"/>
  <c r="AJ16" i="20"/>
  <c r="AS352" i="11"/>
  <c r="AS350" i="11"/>
  <c r="AJ260" i="11"/>
  <c r="AC289" i="17"/>
  <c r="D47" i="18"/>
  <c r="G86" i="9" s="1"/>
  <c r="M86" i="9" s="1"/>
  <c r="I62" i="18"/>
  <c r="I60" i="18"/>
  <c r="P60" i="18" s="1"/>
  <c r="H57" i="18"/>
  <c r="O57" i="18" s="1"/>
  <c r="D43" i="18"/>
  <c r="G82" i="9" s="1"/>
  <c r="M82" i="9" s="1"/>
  <c r="C47" i="22"/>
  <c r="H14" i="10"/>
  <c r="H32" i="10" s="1"/>
  <c r="C50" i="22"/>
  <c r="AC64" i="17"/>
  <c r="P93" i="9"/>
  <c r="EP20" i="29"/>
  <c r="EP14" i="29" s="1"/>
  <c r="EO14" i="29" s="1"/>
  <c r="H21" i="10"/>
  <c r="Q215" i="19"/>
  <c r="O215" i="19" s="1"/>
  <c r="AS260" i="11"/>
  <c r="AJ351" i="11"/>
  <c r="BH8" i="6"/>
  <c r="BF8" i="6"/>
  <c r="X38" i="29"/>
  <c r="W38" i="29" s="1"/>
  <c r="AA16" i="20"/>
  <c r="R38" i="29"/>
  <c r="Q38" i="29" s="1"/>
  <c r="EW24" i="29"/>
  <c r="DY18" i="29"/>
  <c r="AF343" i="20"/>
  <c r="AF344" i="20" s="1"/>
  <c r="AE263" i="20"/>
  <c r="AE264" i="20" s="1"/>
  <c r="AD289" i="20"/>
  <c r="AD290" i="20" s="1"/>
  <c r="AC289" i="20"/>
  <c r="AC290" i="20" s="1"/>
  <c r="AC277" i="20"/>
  <c r="AC278" i="20" s="1"/>
  <c r="AC327" i="20"/>
  <c r="AC328" i="20" s="1"/>
  <c r="AE209" i="20"/>
  <c r="AE210" i="20" s="1"/>
  <c r="AD319" i="20"/>
  <c r="AD320" i="20" s="1"/>
  <c r="AD279" i="20"/>
  <c r="AD280" i="20" s="1"/>
  <c r="AD245" i="20"/>
  <c r="AD246" i="20" s="1"/>
  <c r="AD339" i="20"/>
  <c r="AD340" i="20" s="1"/>
  <c r="AE247" i="20"/>
  <c r="AE248" i="20" s="1"/>
  <c r="AF279" i="20"/>
  <c r="AF280" i="20" s="1"/>
  <c r="AC337" i="20"/>
  <c r="AC338" i="20" s="1"/>
  <c r="AE313" i="20"/>
  <c r="AE314" i="20" s="1"/>
  <c r="AE265" i="20"/>
  <c r="AE266" i="20" s="1"/>
  <c r="AF277" i="20"/>
  <c r="AF278" i="20" s="1"/>
  <c r="AF317" i="20"/>
  <c r="AF318" i="20" s="1"/>
  <c r="AF231" i="20"/>
  <c r="AF232" i="20" s="1"/>
  <c r="AD297" i="20"/>
  <c r="AD298" i="20" s="1"/>
  <c r="AF269" i="20"/>
  <c r="AF270" i="20" s="1"/>
  <c r="AC333" i="20"/>
  <c r="AC334" i="20" s="1"/>
  <c r="AC255" i="20"/>
  <c r="AC256" i="20" s="1"/>
  <c r="AD281" i="20"/>
  <c r="AD282" i="20" s="1"/>
  <c r="AC317" i="20"/>
  <c r="AC318" i="20" s="1"/>
  <c r="AD223" i="20"/>
  <c r="AD224" i="20" s="1"/>
  <c r="AD257" i="20"/>
  <c r="AD258" i="20" s="1"/>
  <c r="AE293" i="20"/>
  <c r="AE294" i="20" s="1"/>
  <c r="AD299" i="20"/>
  <c r="AD300" i="20" s="1"/>
  <c r="AE207" i="20"/>
  <c r="AE208" i="20" s="1"/>
  <c r="AE315" i="20"/>
  <c r="AE316" i="20" s="1"/>
  <c r="AD343" i="20"/>
  <c r="AD344" i="20" s="1"/>
  <c r="AE311" i="20"/>
  <c r="AE312" i="20" s="1"/>
  <c r="AC343" i="20"/>
  <c r="AC344" i="20" s="1"/>
  <c r="AE331" i="20"/>
  <c r="AE332" i="20" s="1"/>
  <c r="AF261" i="20"/>
  <c r="AF262" i="20" s="1"/>
  <c r="AE225" i="20"/>
  <c r="AE226" i="20" s="1"/>
  <c r="AC235" i="20"/>
  <c r="AC236" i="20" s="1"/>
  <c r="AD227" i="20"/>
  <c r="AD228" i="20" s="1"/>
  <c r="AD337" i="20"/>
  <c r="AD338" i="20" s="1"/>
  <c r="AC279" i="20"/>
  <c r="AC280" i="20" s="1"/>
  <c r="AD265" i="20"/>
  <c r="AD266" i="20" s="1"/>
  <c r="AD225" i="20"/>
  <c r="AD226" i="20" s="1"/>
  <c r="AC319" i="20"/>
  <c r="AC320" i="20" s="1"/>
  <c r="AC273" i="20"/>
  <c r="AC274" i="20" s="1"/>
  <c r="AE273" i="20"/>
  <c r="AE274" i="20" s="1"/>
  <c r="AC299" i="20"/>
  <c r="AC300" i="20" s="1"/>
  <c r="AF255" i="20"/>
  <c r="AF256" i="20" s="1"/>
  <c r="AD253" i="20"/>
  <c r="AD254" i="20" s="1"/>
  <c r="AE255" i="20"/>
  <c r="AE256" i="20" s="1"/>
  <c r="AF241" i="20"/>
  <c r="AF242" i="20" s="1"/>
  <c r="AE301" i="20"/>
  <c r="AE302" i="20" s="1"/>
  <c r="AD333" i="20"/>
  <c r="AD334" i="20" s="1"/>
  <c r="AD325" i="20"/>
  <c r="AD326" i="20" s="1"/>
  <c r="AC281" i="20"/>
  <c r="AC282" i="20" s="1"/>
  <c r="AC275" i="20"/>
  <c r="AC276" i="20" s="1"/>
  <c r="AD295" i="20"/>
  <c r="AD296" i="20" s="1"/>
  <c r="AD249" i="20"/>
  <c r="AD250" i="20" s="1"/>
  <c r="AD317" i="20"/>
  <c r="AD318" i="20" s="1"/>
  <c r="AF235" i="20"/>
  <c r="AF236" i="20" s="1"/>
  <c r="AF249" i="20"/>
  <c r="AF250" i="20" s="1"/>
  <c r="AF247" i="20"/>
  <c r="AF248" i="20" s="1"/>
  <c r="AD235" i="20"/>
  <c r="AD236" i="20" s="1"/>
  <c r="AD229" i="20"/>
  <c r="AD230" i="20" s="1"/>
  <c r="AC213" i="20"/>
  <c r="AC214" i="20" s="1"/>
  <c r="AD323" i="20"/>
  <c r="AD324" i="20" s="1"/>
  <c r="AE243" i="20"/>
  <c r="AE244" i="20" s="1"/>
  <c r="AD291" i="20"/>
  <c r="AD292" i="20" s="1"/>
  <c r="AC243" i="20"/>
  <c r="AC244" i="20" s="1"/>
  <c r="AD341" i="20"/>
  <c r="AD342" i="20" s="1"/>
  <c r="AD335" i="20"/>
  <c r="AD336" i="20" s="1"/>
  <c r="AF305" i="20"/>
  <c r="AF306" i="20" s="1"/>
  <c r="AF335" i="20"/>
  <c r="AF336" i="20" s="1"/>
  <c r="AD309" i="20"/>
  <c r="AD310" i="20" s="1"/>
  <c r="AD263" i="20"/>
  <c r="AD264" i="20" s="1"/>
  <c r="AF221" i="20"/>
  <c r="AF222" i="20" s="1"/>
  <c r="AD271" i="20"/>
  <c r="AD272" i="20" s="1"/>
  <c r="AD221" i="20"/>
  <c r="AD222" i="20" s="1"/>
  <c r="AC309" i="20"/>
  <c r="AC310" i="20" s="1"/>
  <c r="AD231" i="20"/>
  <c r="AD232" i="20" s="1"/>
  <c r="AE333" i="20"/>
  <c r="AE334" i="20" s="1"/>
  <c r="AF311" i="20"/>
  <c r="AF312" i="20" s="1"/>
  <c r="AD331" i="20"/>
  <c r="AD332" i="20" s="1"/>
  <c r="AC215" i="20"/>
  <c r="AC216" i="20" s="1"/>
  <c r="AE285" i="20"/>
  <c r="AE286" i="20" s="1"/>
  <c r="AC217" i="20"/>
  <c r="AC218" i="20" s="1"/>
  <c r="AE317" i="20"/>
  <c r="AE318" i="20" s="1"/>
  <c r="AF259" i="20"/>
  <c r="AF260" i="20" s="1"/>
  <c r="AF309" i="20"/>
  <c r="AF310" i="20" s="1"/>
  <c r="AF271" i="20"/>
  <c r="AF272" i="20" s="1"/>
  <c r="AD311" i="20"/>
  <c r="AD312" i="20" s="1"/>
  <c r="AF301" i="20"/>
  <c r="AF302" i="20" s="1"/>
  <c r="AC245" i="20"/>
  <c r="AC246" i="20" s="1"/>
  <c r="AC293" i="20"/>
  <c r="AC294" i="20" s="1"/>
  <c r="AF253" i="20"/>
  <c r="AF254" i="20" s="1"/>
  <c r="AC313" i="20"/>
  <c r="AC314" i="20" s="1"/>
  <c r="AC231" i="20"/>
  <c r="AC232" i="20" s="1"/>
  <c r="AC345" i="20"/>
  <c r="AC346" i="20" s="1"/>
  <c r="AC209" i="20"/>
  <c r="AC210" i="20" s="1"/>
  <c r="AC269" i="20"/>
  <c r="AC270" i="20" s="1"/>
  <c r="AC261" i="20"/>
  <c r="AC262" i="20" s="1"/>
  <c r="AE235" i="20"/>
  <c r="AE236" i="20" s="1"/>
  <c r="AC223" i="20"/>
  <c r="AC224" i="20" s="1"/>
  <c r="AC249" i="20"/>
  <c r="AC250" i="20" s="1"/>
  <c r="AE337" i="20"/>
  <c r="AE338" i="20" s="1"/>
  <c r="AE343" i="20"/>
  <c r="AE344" i="20" s="1"/>
  <c r="AD255" i="20"/>
  <c r="AD256" i="20" s="1"/>
  <c r="AF321" i="20"/>
  <c r="AF322" i="20" s="1"/>
  <c r="AE275" i="20"/>
  <c r="AE276" i="20" s="1"/>
  <c r="AC347" i="20"/>
  <c r="AC348" i="20" s="1"/>
  <c r="AC227" i="20"/>
  <c r="AC228" i="20" s="1"/>
  <c r="AE205" i="20"/>
  <c r="AE206" i="20" s="1"/>
  <c r="AE303" i="20"/>
  <c r="AE304" i="20" s="1"/>
  <c r="AC303" i="20"/>
  <c r="AC304" i="20" s="1"/>
  <c r="AD209" i="20"/>
  <c r="AD210" i="20" s="1"/>
  <c r="AD347" i="20"/>
  <c r="AD348" i="20" s="1"/>
  <c r="AD307" i="20"/>
  <c r="AD308" i="20" s="1"/>
  <c r="AD327" i="20"/>
  <c r="AD328" i="20" s="1"/>
  <c r="AE339" i="20"/>
  <c r="AE340" i="20" s="1"/>
  <c r="AD345" i="20"/>
  <c r="AD346" i="20" s="1"/>
  <c r="AE223" i="20"/>
  <c r="AE224" i="20" s="1"/>
  <c r="AE269" i="20"/>
  <c r="AE270" i="20" s="1"/>
  <c r="AE245" i="20"/>
  <c r="AE246" i="20" s="1"/>
  <c r="AD205" i="20"/>
  <c r="AD206" i="20" s="1"/>
  <c r="AF281" i="20"/>
  <c r="AF282" i="20" s="1"/>
  <c r="AD217" i="20"/>
  <c r="AD218" i="20" s="1"/>
  <c r="AC285" i="20"/>
  <c r="AC286" i="20" s="1"/>
  <c r="AF295" i="20"/>
  <c r="AF296" i="20" s="1"/>
  <c r="AE249" i="20"/>
  <c r="AE250" i="20" s="1"/>
  <c r="AF275" i="20"/>
  <c r="AF276" i="20" s="1"/>
  <c r="AD237" i="20"/>
  <c r="AD238" i="20" s="1"/>
  <c r="AE307" i="20"/>
  <c r="AE308" i="20" s="1"/>
  <c r="AC321" i="20"/>
  <c r="AC322" i="20" s="1"/>
  <c r="AF325" i="20"/>
  <c r="AF326" i="20" s="1"/>
  <c r="AC251" i="20"/>
  <c r="AC252" i="20" s="1"/>
  <c r="AD305" i="20"/>
  <c r="AD306" i="20" s="1"/>
  <c r="AC283" i="20"/>
  <c r="AC284" i="20" s="1"/>
  <c r="AF329" i="20"/>
  <c r="AF330" i="20" s="1"/>
  <c r="AE213" i="20"/>
  <c r="AE214" i="20" s="1"/>
  <c r="AE329" i="20"/>
  <c r="AE330" i="20" s="1"/>
  <c r="AE283" i="20"/>
  <c r="AE284" i="20" s="1"/>
  <c r="AE291" i="20"/>
  <c r="AE292" i="20" s="1"/>
  <c r="AF243" i="20"/>
  <c r="AF244" i="20" s="1"/>
  <c r="AF229" i="20"/>
  <c r="AF230" i="20" s="1"/>
  <c r="AC305" i="20"/>
  <c r="AC306" i="20" s="1"/>
  <c r="AD315" i="20"/>
  <c r="AD316" i="20" s="1"/>
  <c r="AD239" i="20"/>
  <c r="AD240" i="20" s="1"/>
  <c r="AE309" i="20"/>
  <c r="AE310" i="20" s="1"/>
  <c r="AC233" i="20"/>
  <c r="AC234" i="20" s="1"/>
  <c r="AE345" i="20"/>
  <c r="AE346" i="20" s="1"/>
  <c r="AE277" i="20"/>
  <c r="AE278" i="20" s="1"/>
  <c r="AF263" i="20"/>
  <c r="AF264" i="20" s="1"/>
  <c r="AD301" i="20"/>
  <c r="AD302" i="20" s="1"/>
  <c r="AF257" i="20"/>
  <c r="AF258" i="20" s="1"/>
  <c r="AF339" i="20"/>
  <c r="AF340" i="20" s="1"/>
  <c r="AD261" i="20"/>
  <c r="AD262" i="20" s="1"/>
  <c r="AE259" i="20"/>
  <c r="AE260" i="20" s="1"/>
  <c r="AF209" i="20"/>
  <c r="AF210" i="20" s="1"/>
  <c r="AD303" i="20"/>
  <c r="AD304" i="20" s="1"/>
  <c r="AE267" i="20"/>
  <c r="AE268" i="20" s="1"/>
  <c r="AC311" i="20"/>
  <c r="AC312" i="20" s="1"/>
  <c r="AE221" i="20"/>
  <c r="AE222" i="20" s="1"/>
  <c r="AF273" i="20"/>
  <c r="AF274" i="20" s="1"/>
  <c r="AF297" i="20"/>
  <c r="AF298" i="20" s="1"/>
  <c r="AC331" i="20"/>
  <c r="AC332" i="20" s="1"/>
  <c r="AD219" i="20"/>
  <c r="AD220" i="20" s="1"/>
  <c r="AE253" i="20"/>
  <c r="AE254" i="20" s="1"/>
  <c r="AF333" i="20"/>
  <c r="AF334" i="20" s="1"/>
  <c r="AC4" i="20"/>
  <c r="AE279" i="20"/>
  <c r="AE280" i="20" s="1"/>
  <c r="AC287" i="20"/>
  <c r="AC288" i="20" s="1"/>
  <c r="AC211" i="20"/>
  <c r="AC212" i="20" s="1"/>
  <c r="AC307" i="20"/>
  <c r="AC308" i="20" s="1"/>
  <c r="AD207" i="20"/>
  <c r="AD208" i="20" s="1"/>
  <c r="AE128" i="20" s="1" a="1"/>
  <c r="AE128" i="20" s="1"/>
  <c r="AF345" i="20"/>
  <c r="AF346" i="20" s="1"/>
  <c r="AE217" i="20"/>
  <c r="AE218" i="20" s="1"/>
  <c r="AD241" i="20"/>
  <c r="AD242" i="20" s="1"/>
  <c r="AD259" i="20"/>
  <c r="AD260" i="20" s="1"/>
  <c r="AF245" i="20"/>
  <c r="AF246" i="20" s="1"/>
  <c r="AF293" i="20"/>
  <c r="AF294" i="20" s="1"/>
  <c r="AE299" i="20"/>
  <c r="AE300" i="20" s="1"/>
  <c r="AE251" i="20"/>
  <c r="AE252" i="20" s="1"/>
  <c r="AE227" i="20"/>
  <c r="AE228" i="20" s="1"/>
  <c r="AC205" i="20"/>
  <c r="AC206" i="20" s="1"/>
  <c r="AF303" i="20"/>
  <c r="AF304" i="20" s="1"/>
  <c r="AC301" i="20"/>
  <c r="AC302" i="20" s="1"/>
  <c r="AD247" i="20"/>
  <c r="AD248" i="20" s="1"/>
  <c r="AD267" i="20"/>
  <c r="AD268" i="20" s="1"/>
  <c r="AC315" i="20"/>
  <c r="AC316" i="20" s="1"/>
  <c r="AF223" i="20"/>
  <c r="AF224" i="20" s="1"/>
  <c r="AF285" i="20"/>
  <c r="AF286" i="20" s="1"/>
  <c r="AC297" i="20"/>
  <c r="AC298" i="20" s="1"/>
  <c r="AE233" i="20"/>
  <c r="AE234" i="20" s="1"/>
  <c r="AE295" i="20"/>
  <c r="AE296" i="20" s="1"/>
  <c r="AF207" i="20"/>
  <c r="AF208" i="20" s="1"/>
  <c r="AD273" i="20"/>
  <c r="AD274" i="20" s="1"/>
  <c r="AF289" i="20"/>
  <c r="AF290" i="20" s="1"/>
  <c r="AF219" i="20"/>
  <c r="AF220" i="20" s="1"/>
  <c r="AE215" i="20"/>
  <c r="AE216" i="20" s="1"/>
  <c r="AC237" i="20"/>
  <c r="AC238" i="20" s="1"/>
  <c r="AF251" i="20"/>
  <c r="AF252" i="20" s="1"/>
  <c r="AD321" i="20"/>
  <c r="AD322" i="20" s="1"/>
  <c r="AC295" i="20"/>
  <c r="AC296" i="20" s="1"/>
  <c r="AC219" i="20"/>
  <c r="AC220" i="20" s="1"/>
  <c r="AD211" i="20"/>
  <c r="AD212" i="20" s="1"/>
  <c r="AE219" i="20"/>
  <c r="AE220" i="20" s="1"/>
  <c r="AF307" i="20"/>
  <c r="AF308" i="20" s="1"/>
  <c r="AF291" i="20"/>
  <c r="AF292" i="20" s="1"/>
  <c r="AD283" i="20"/>
  <c r="AD284" i="20" s="1"/>
  <c r="AC229" i="20"/>
  <c r="AC230" i="20" s="1"/>
  <c r="AD213" i="20"/>
  <c r="AD214" i="20" s="1"/>
  <c r="AC291" i="20"/>
  <c r="AC292" i="20" s="1"/>
  <c r="AF213" i="20"/>
  <c r="AF214" i="20" s="1"/>
  <c r="AF323" i="20"/>
  <c r="AF324" i="20" s="1"/>
  <c r="AC335" i="20"/>
  <c r="AC336" i="20" s="1"/>
  <c r="AE341" i="20"/>
  <c r="AE342" i="20" s="1"/>
  <c r="AE229" i="20"/>
  <c r="AE230" i="20" s="1"/>
  <c r="AE327" i="20"/>
  <c r="AE328" i="20" s="1"/>
  <c r="AD233" i="20"/>
  <c r="AD234" i="20" s="1"/>
  <c r="AE257" i="20"/>
  <c r="AE258" i="20" s="1"/>
  <c r="AE289" i="20"/>
  <c r="AE290" i="20" s="1"/>
  <c r="AF239" i="20"/>
  <c r="AF240" i="20" s="1"/>
  <c r="AC267" i="20"/>
  <c r="AC268" i="20" s="1"/>
  <c r="AC257" i="20"/>
  <c r="AC258" i="20" s="1"/>
  <c r="AF217" i="20"/>
  <c r="AF218" i="20" s="1"/>
  <c r="AE321" i="20"/>
  <c r="AE322" i="20" s="1"/>
  <c r="AC221" i="20"/>
  <c r="AC222" i="20" s="1"/>
  <c r="AC259" i="20"/>
  <c r="AC260" i="20" s="1"/>
  <c r="AF233" i="20"/>
  <c r="AF234" i="20" s="1"/>
  <c r="AD277" i="20"/>
  <c r="AD278" i="20" s="1"/>
  <c r="AF265" i="20"/>
  <c r="AF266" i="20" s="1"/>
  <c r="AE211" i="20"/>
  <c r="AE212" i="20" s="1"/>
  <c r="AE241" i="20"/>
  <c r="AE242" i="20" s="1"/>
  <c r="AC241" i="20"/>
  <c r="AC242" i="20" s="1"/>
  <c r="AC339" i="20"/>
  <c r="AC340" i="20" s="1"/>
  <c r="AC225" i="20"/>
  <c r="AC226" i="20" s="1"/>
  <c r="AE271" i="20"/>
  <c r="AE272" i="20" s="1"/>
  <c r="AF267" i="20"/>
  <c r="AF268" i="20" s="1"/>
  <c r="AE281" i="20"/>
  <c r="AE282" i="20" s="1"/>
  <c r="AC247" i="20"/>
  <c r="AC248" i="20" s="1"/>
  <c r="AC207" i="20"/>
  <c r="AC208" i="20" s="1"/>
  <c r="AF205" i="20"/>
  <c r="AF206" i="20" s="1"/>
  <c r="AD287" i="20"/>
  <c r="AD288" i="20" s="1"/>
  <c r="AF347" i="20"/>
  <c r="AF348" i="20" s="1"/>
  <c r="AE261" i="20"/>
  <c r="AE262" i="20" s="1"/>
  <c r="AE319" i="20"/>
  <c r="AE320" i="20" s="1"/>
  <c r="AF315" i="20"/>
  <c r="AF316" i="20" s="1"/>
  <c r="AF313" i="20"/>
  <c r="AF314" i="20" s="1"/>
  <c r="AF299" i="20"/>
  <c r="AF300" i="20" s="1"/>
  <c r="AF227" i="20"/>
  <c r="AF228" i="20" s="1"/>
  <c r="AD285" i="20"/>
  <c r="AD286" i="20" s="1"/>
  <c r="AD215" i="20"/>
  <c r="AD216" i="20" s="1"/>
  <c r="AE325" i="20"/>
  <c r="AE326" i="20" s="1"/>
  <c r="AD251" i="20"/>
  <c r="AD252" i="20" s="1"/>
  <c r="AD293" i="20"/>
  <c r="AD294" i="20" s="1"/>
  <c r="AE323" i="20"/>
  <c r="AE324" i="20" s="1"/>
  <c r="AC341" i="20"/>
  <c r="AC342" i="20" s="1"/>
  <c r="AC323" i="20"/>
  <c r="AC324" i="20" s="1"/>
  <c r="AF283" i="20"/>
  <c r="AF284" i="20" s="1"/>
  <c r="AF341" i="20"/>
  <c r="AF342" i="20" s="1"/>
  <c r="AE297" i="20"/>
  <c r="AE298" i="20" s="1"/>
  <c r="AF331" i="20"/>
  <c r="AF332" i="20" s="1"/>
  <c r="AD275" i="20"/>
  <c r="AD276" i="20" s="1"/>
  <c r="AD313" i="20"/>
  <c r="AD314" i="20" s="1"/>
  <c r="AC265" i="20"/>
  <c r="AC266" i="20" s="1"/>
  <c r="AC253" i="20"/>
  <c r="AC254" i="20" s="1"/>
  <c r="AF327" i="20"/>
  <c r="AF328" i="20" s="1"/>
  <c r="AF287" i="20"/>
  <c r="AF288" i="20" s="1"/>
  <c r="AE239" i="20"/>
  <c r="AE240" i="20" s="1"/>
  <c r="AF215" i="20"/>
  <c r="AF216" i="20" s="1"/>
  <c r="AC239" i="20"/>
  <c r="AC240" i="20" s="1"/>
  <c r="AC263" i="20"/>
  <c r="AC264" i="20" s="1"/>
  <c r="AD269" i="20"/>
  <c r="AD270" i="20" s="1"/>
  <c r="AE347" i="20"/>
  <c r="AE348" i="20" s="1"/>
  <c r="AC271" i="20"/>
  <c r="AC272" i="20" s="1"/>
  <c r="AE287" i="20"/>
  <c r="AE288" i="20" s="1"/>
  <c r="AE231" i="20"/>
  <c r="AE232" i="20" s="1"/>
  <c r="AF225" i="20"/>
  <c r="AF226" i="20" s="1"/>
  <c r="AF337" i="20"/>
  <c r="AF338" i="20" s="1"/>
  <c r="AF319" i="20"/>
  <c r="AF320" i="20" s="1"/>
  <c r="AF237" i="20"/>
  <c r="AF238" i="20" s="1"/>
  <c r="AF211" i="20"/>
  <c r="AF212" i="20" s="1"/>
  <c r="AC325" i="20"/>
  <c r="AC326" i="20" s="1"/>
  <c r="AE237" i="20"/>
  <c r="AE238" i="20" s="1"/>
  <c r="AD329" i="20"/>
  <c r="AD330" i="20" s="1"/>
  <c r="AE335" i="20"/>
  <c r="AE336" i="20" s="1"/>
  <c r="AD243" i="20"/>
  <c r="AD244" i="20" s="1"/>
  <c r="AE305" i="20"/>
  <c r="AE306" i="20" s="1"/>
  <c r="AC329" i="20"/>
  <c r="AC330" i="20" s="1"/>
  <c r="EO16" i="29"/>
  <c r="EO19" i="29"/>
  <c r="EO9" i="29"/>
  <c r="AA127" i="20" a="1"/>
  <c r="AA127" i="20" s="1"/>
  <c r="AB366" i="20"/>
  <c r="AB365" i="20" s="1"/>
  <c r="AB376" i="20"/>
  <c r="Z127" i="20" a="1"/>
  <c r="Z127" i="20" s="1"/>
  <c r="AE397" i="20"/>
  <c r="AD379" i="20"/>
  <c r="AD368" i="20" s="1"/>
  <c r="AI395" i="20"/>
  <c r="AG392" i="20"/>
  <c r="AG388" i="20"/>
  <c r="AG387" i="20"/>
  <c r="AJ388" i="20"/>
  <c r="AI389" i="20"/>
  <c r="AG401" i="20"/>
  <c r="AG391" i="20"/>
  <c r="AG386" i="20"/>
  <c r="AG403" i="20"/>
  <c r="AI384" i="20"/>
  <c r="AH402" i="20"/>
  <c r="AJ394" i="20"/>
  <c r="AI386" i="20"/>
  <c r="AG385" i="20"/>
  <c r="AH400" i="20"/>
  <c r="AG396" i="20"/>
  <c r="AJ391" i="20"/>
  <c r="AI393" i="20"/>
  <c r="AG395" i="20"/>
  <c r="AH386" i="20"/>
  <c r="AI400" i="20"/>
  <c r="AJ403" i="20"/>
  <c r="AH391" i="20"/>
  <c r="AJ385" i="20"/>
  <c r="AK374" i="20"/>
  <c r="AH393" i="20"/>
  <c r="AI399" i="20"/>
  <c r="AH385" i="20"/>
  <c r="AG384" i="20"/>
  <c r="AJ400" i="20"/>
  <c r="AG398" i="20"/>
  <c r="AJ386" i="20"/>
  <c r="AH396" i="20"/>
  <c r="AH395" i="20"/>
  <c r="AJ402" i="20"/>
  <c r="AI396" i="20"/>
  <c r="AI391" i="20"/>
  <c r="AJ395" i="20"/>
  <c r="AI385" i="20"/>
  <c r="AH384" i="20"/>
  <c r="AJ387" i="20"/>
  <c r="AI388" i="20"/>
  <c r="AH399" i="20"/>
  <c r="AH388" i="20"/>
  <c r="AH401" i="20"/>
  <c r="AG402" i="20"/>
  <c r="AJ389" i="20"/>
  <c r="AH403" i="20"/>
  <c r="AH387" i="20"/>
  <c r="AG389" i="20"/>
  <c r="AI403" i="20"/>
  <c r="AI394" i="20"/>
  <c r="AJ392" i="20"/>
  <c r="AH394" i="20"/>
  <c r="AI392" i="20"/>
  <c r="AG394" i="20"/>
  <c r="AH392" i="20"/>
  <c r="AJ393" i="20"/>
  <c r="AI402" i="20"/>
  <c r="AJ399" i="20"/>
  <c r="AG400" i="20"/>
  <c r="AH389" i="20"/>
  <c r="AJ401" i="20"/>
  <c r="AI387" i="20"/>
  <c r="AJ396" i="20"/>
  <c r="AI398" i="20"/>
  <c r="AI401" i="20"/>
  <c r="AJ398" i="20"/>
  <c r="AG399" i="20"/>
  <c r="AG393" i="20"/>
  <c r="AH398" i="20"/>
  <c r="AJ384" i="20"/>
  <c r="AE379" i="20"/>
  <c r="AE368" i="20" s="1"/>
  <c r="AD380" i="20"/>
  <c r="AD369" i="20" s="1"/>
  <c r="AF390" i="20"/>
  <c r="AF378" i="20"/>
  <c r="AF367" i="20" s="1"/>
  <c r="AF381" i="20"/>
  <c r="AF370" i="20" s="1"/>
  <c r="AC390" i="20"/>
  <c r="AD397" i="20"/>
  <c r="AE390" i="20"/>
  <c r="AG219" i="22"/>
  <c r="AC233" i="22"/>
  <c r="AC138" i="20" a="1"/>
  <c r="AC138" i="20" s="1"/>
  <c r="AP64" i="17"/>
  <c r="I224" i="22"/>
  <c r="W404" i="17"/>
  <c r="AW400" i="17"/>
  <c r="AW401" i="17" s="1"/>
  <c r="AW402" i="17" s="1"/>
  <c r="AW403" i="17" s="1"/>
  <c r="AW404" i="17" s="1"/>
  <c r="AE404" i="17"/>
  <c r="J404" i="17"/>
  <c r="AG404" i="17"/>
  <c r="Y404" i="17"/>
  <c r="AU404" i="17"/>
  <c r="AK404" i="17"/>
  <c r="AP404" i="17"/>
  <c r="X404" i="17"/>
  <c r="AS404" i="17"/>
  <c r="Q404" i="17"/>
  <c r="AM404" i="17"/>
  <c r="AF404" i="17"/>
  <c r="AL404" i="17"/>
  <c r="AJ404" i="17"/>
  <c r="AC404" i="17"/>
  <c r="AT404" i="17"/>
  <c r="V404" i="17"/>
  <c r="Z404" i="17"/>
  <c r="AQ404" i="17"/>
  <c r="E404" i="17"/>
  <c r="AB404" i="17"/>
  <c r="U404" i="17"/>
  <c r="AR404" i="17"/>
  <c r="N404" i="17"/>
  <c r="AI404" i="17"/>
  <c r="K404" i="17"/>
  <c r="S404" i="17"/>
  <c r="AV404" i="17"/>
  <c r="P404" i="17"/>
  <c r="M404" i="17"/>
  <c r="T404" i="17"/>
  <c r="H404" i="17"/>
  <c r="AN404" i="17"/>
  <c r="R404" i="17"/>
  <c r="AA404" i="17"/>
  <c r="F404" i="17"/>
  <c r="G404" i="17"/>
  <c r="AO404" i="17"/>
  <c r="O404" i="17"/>
  <c r="I404" i="17"/>
  <c r="AD404" i="17"/>
  <c r="AH404" i="17"/>
  <c r="L404" i="17"/>
  <c r="C25" i="18"/>
  <c r="C42" i="18" s="1"/>
  <c r="F81" i="9" s="1"/>
  <c r="C81" i="9" s="1"/>
  <c r="H224" i="22"/>
  <c r="AS351" i="11"/>
  <c r="AJ180" i="11"/>
  <c r="AT289" i="17"/>
  <c r="AT17" i="20" s="1"/>
  <c r="Y289" i="17"/>
  <c r="F289" i="17"/>
  <c r="F224" i="22" s="1"/>
  <c r="AA366" i="20"/>
  <c r="AA365" i="20" s="1"/>
  <c r="AA376" i="20"/>
  <c r="AJ474" i="17"/>
  <c r="K474" i="17"/>
  <c r="V474" i="17"/>
  <c r="AK474" i="17"/>
  <c r="AA474" i="17"/>
  <c r="T474" i="17"/>
  <c r="L474" i="17"/>
  <c r="E474" i="17"/>
  <c r="R474" i="17"/>
  <c r="Y474" i="17"/>
  <c r="F474" i="17"/>
  <c r="S474" i="17"/>
  <c r="AD474" i="17"/>
  <c r="AO474" i="17"/>
  <c r="AF474" i="17"/>
  <c r="AP474" i="17"/>
  <c r="AQ474" i="17"/>
  <c r="AW470" i="17"/>
  <c r="AW471" i="17" s="1"/>
  <c r="AW472" i="17" s="1"/>
  <c r="AW473" i="17" s="1"/>
  <c r="AW474" i="17" s="1"/>
  <c r="AN474" i="17"/>
  <c r="Z474" i="17"/>
  <c r="M474" i="17"/>
  <c r="U474" i="17"/>
  <c r="AI474" i="17"/>
  <c r="AE474" i="17"/>
  <c r="AT474" i="17"/>
  <c r="O474" i="17"/>
  <c r="AC474" i="17"/>
  <c r="H474" i="17"/>
  <c r="AR474" i="17"/>
  <c r="P474" i="17"/>
  <c r="AS474" i="17"/>
  <c r="X474" i="17"/>
  <c r="AG474" i="17"/>
  <c r="AG54" i="17" s="1"/>
  <c r="Q474" i="17"/>
  <c r="AM474" i="17"/>
  <c r="G474" i="17"/>
  <c r="I474" i="17"/>
  <c r="J474" i="17"/>
  <c r="AV474" i="17"/>
  <c r="W474" i="17"/>
  <c r="AU474" i="17"/>
  <c r="N474" i="17"/>
  <c r="AL474" i="17"/>
  <c r="AB474" i="17"/>
  <c r="AH474" i="17"/>
  <c r="AH54" i="17" s="1"/>
  <c r="EO33" i="29"/>
  <c r="EO23" i="29"/>
  <c r="EO21" i="29"/>
  <c r="EO22" i="29"/>
  <c r="EO25" i="29"/>
  <c r="EO11" i="29"/>
  <c r="Z138" i="20" a="1"/>
  <c r="Z138" i="20" s="1"/>
  <c r="AC128" i="20" a="1"/>
  <c r="AC128" i="20" s="1"/>
  <c r="AG389" i="17"/>
  <c r="AF389" i="17"/>
  <c r="O389" i="17"/>
  <c r="AQ389" i="17"/>
  <c r="F389" i="17"/>
  <c r="P389" i="17"/>
  <c r="P39" i="17" s="1"/>
  <c r="AW385" i="17"/>
  <c r="AW386" i="17" s="1"/>
  <c r="AW387" i="17" s="1"/>
  <c r="AW388" i="17" s="1"/>
  <c r="AW389" i="17" s="1"/>
  <c r="E389" i="17"/>
  <c r="E39" i="17" s="1"/>
  <c r="AL389" i="17"/>
  <c r="AE389" i="17"/>
  <c r="AO389" i="17"/>
  <c r="AJ389" i="17"/>
  <c r="R389" i="17"/>
  <c r="X389" i="17"/>
  <c r="AP389" i="17"/>
  <c r="L389" i="17"/>
  <c r="L39" i="17" s="1"/>
  <c r="AD389" i="17"/>
  <c r="J389" i="17"/>
  <c r="J39" i="17" s="1"/>
  <c r="AK389" i="17"/>
  <c r="AS389" i="17"/>
  <c r="T389" i="17"/>
  <c r="AV389" i="17"/>
  <c r="V389" i="17"/>
  <c r="AT389" i="17"/>
  <c r="AT39" i="17" s="1"/>
  <c r="AI389" i="17"/>
  <c r="AB389" i="17"/>
  <c r="AN389" i="17"/>
  <c r="H389" i="17"/>
  <c r="AM389" i="17"/>
  <c r="S389" i="17"/>
  <c r="S39" i="17" s="1"/>
  <c r="Z389" i="17"/>
  <c r="M389" i="17"/>
  <c r="AU389" i="17"/>
  <c r="AU39" i="17" s="1"/>
  <c r="Y389" i="17"/>
  <c r="Y39" i="17" s="1"/>
  <c r="G389" i="17"/>
  <c r="Q389" i="17"/>
  <c r="AC389" i="17"/>
  <c r="AC39" i="17" s="1"/>
  <c r="U389" i="17"/>
  <c r="W389" i="17"/>
  <c r="AH389" i="17"/>
  <c r="N389" i="17"/>
  <c r="N39" i="17" s="1"/>
  <c r="K389" i="17"/>
  <c r="AR389" i="17"/>
  <c r="I389" i="17"/>
  <c r="AA389" i="17"/>
  <c r="AA138" i="20" a="1"/>
  <c r="AA138" i="20" s="1"/>
  <c r="Z128" i="20" a="1"/>
  <c r="Z128" i="20" s="1"/>
  <c r="AC382" i="20"/>
  <c r="AC371" i="20" s="1"/>
  <c r="AD381" i="20"/>
  <c r="AD370" i="20" s="1"/>
  <c r="AF380" i="20"/>
  <c r="AF369" i="20" s="1"/>
  <c r="AF383" i="20"/>
  <c r="AF377" i="20"/>
  <c r="AC383" i="20"/>
  <c r="AC377" i="20"/>
  <c r="AD383" i="20"/>
  <c r="AD377" i="20"/>
  <c r="AE382" i="20"/>
  <c r="AE371" i="20" s="1"/>
  <c r="AC378" i="20"/>
  <c r="AC367" i="20" s="1"/>
  <c r="AB128" i="20" a="1"/>
  <c r="AB128" i="20" s="1"/>
  <c r="H174" i="19"/>
  <c r="F174" i="19" s="1"/>
  <c r="H171" i="19"/>
  <c r="H186" i="19" s="1"/>
  <c r="F186" i="19" s="1"/>
  <c r="H170" i="19"/>
  <c r="F170" i="19" s="1"/>
  <c r="H167" i="19"/>
  <c r="AN24" i="29" s="1"/>
  <c r="AM24" i="29" s="1"/>
  <c r="H165" i="19"/>
  <c r="F165" i="19" s="1"/>
  <c r="H168" i="19"/>
  <c r="H183" i="19" s="1"/>
  <c r="F183" i="19" s="1"/>
  <c r="G17" i="10"/>
  <c r="H352" i="11"/>
  <c r="BP7" i="10" a="1"/>
  <c r="BV7" i="10" s="1"/>
  <c r="G51" i="18"/>
  <c r="J90" i="9" s="1"/>
  <c r="P90" i="9" s="1"/>
  <c r="S90" i="9" s="1"/>
  <c r="C34" i="18"/>
  <c r="C51" i="18" s="1"/>
  <c r="F90" i="9" s="1"/>
  <c r="C90" i="9" s="1"/>
  <c r="H58" i="18"/>
  <c r="O58" i="18" s="1"/>
  <c r="D57" i="18"/>
  <c r="D72" i="18" s="1"/>
  <c r="F65" i="18"/>
  <c r="AX11" i="6" s="1"/>
  <c r="AX10" i="6" s="1"/>
  <c r="C31" i="18"/>
  <c r="C48" i="18" s="1"/>
  <c r="F87" i="9" s="1"/>
  <c r="C87" i="9" s="1"/>
  <c r="H65" i="18"/>
  <c r="H61" i="18"/>
  <c r="H76" i="18" s="1"/>
  <c r="H79" i="21" s="1"/>
  <c r="G47" i="18"/>
  <c r="J86" i="9" s="1"/>
  <c r="P86" i="9" s="1"/>
  <c r="H48" i="18"/>
  <c r="K87" i="9" s="1"/>
  <c r="Q87" i="9" s="1"/>
  <c r="G63" i="18"/>
  <c r="BI11" i="6" s="1"/>
  <c r="BI10" i="6" s="1"/>
  <c r="E66" i="18"/>
  <c r="E81" i="18" s="1"/>
  <c r="D48" i="18"/>
  <c r="G87" i="9" s="1"/>
  <c r="M87" i="9" s="1"/>
  <c r="G60" i="18"/>
  <c r="G75" i="18" s="1"/>
  <c r="G61" i="21" s="1"/>
  <c r="E50" i="18"/>
  <c r="H89" i="9" s="1"/>
  <c r="N89" i="9" s="1"/>
  <c r="F61" i="18"/>
  <c r="M61" i="18" s="1"/>
  <c r="AC7" i="6" a="1"/>
  <c r="AC7" i="6" s="1"/>
  <c r="CC7" i="6" a="1"/>
  <c r="CC7" i="6" s="1"/>
  <c r="I42" i="18"/>
  <c r="L81" i="9" s="1"/>
  <c r="R81" i="9" s="1"/>
  <c r="E37" i="18"/>
  <c r="E52" i="18" s="1"/>
  <c r="H80" i="9" s="1"/>
  <c r="F43" i="18"/>
  <c r="I82" i="9" s="1"/>
  <c r="O82" i="9" s="1"/>
  <c r="BP7" i="6" a="1"/>
  <c r="BW7" i="6" s="1"/>
  <c r="C26" i="18"/>
  <c r="C43" i="18" s="1"/>
  <c r="F82" i="9" s="1"/>
  <c r="C82" i="9" s="1"/>
  <c r="I37" i="18"/>
  <c r="I52" i="18" s="1"/>
  <c r="L80" i="9" s="1"/>
  <c r="C33" i="18"/>
  <c r="C50" i="18" s="1"/>
  <c r="F89" i="9" s="1"/>
  <c r="C89" i="9" s="1"/>
  <c r="E61" i="18"/>
  <c r="L61" i="18" s="1"/>
  <c r="CC7" i="10" a="1"/>
  <c r="CC7" i="10" s="1"/>
  <c r="E64" i="18"/>
  <c r="L64" i="18" s="1"/>
  <c r="AC7" i="10" a="1"/>
  <c r="AC7" i="10" s="1"/>
  <c r="G57" i="18"/>
  <c r="N57" i="18" s="1"/>
  <c r="D66" i="18"/>
  <c r="I63" i="18"/>
  <c r="P63" i="18" s="1"/>
  <c r="C29" i="18"/>
  <c r="C46" i="18" s="1"/>
  <c r="F85" i="9" s="1"/>
  <c r="C85" i="9" s="1"/>
  <c r="AP7" i="10" a="1"/>
  <c r="AP7" i="10" s="1"/>
  <c r="P7" i="10" a="1"/>
  <c r="S7" i="10" s="1"/>
  <c r="B6" i="10"/>
  <c r="N20" i="13"/>
  <c r="AP17" i="20"/>
  <c r="AP224" i="22"/>
  <c r="H187" i="19"/>
  <c r="F187" i="19" s="1"/>
  <c r="F172" i="19"/>
  <c r="AK17" i="20"/>
  <c r="AK224" i="22"/>
  <c r="F14" i="9"/>
  <c r="C14" i="9" s="1"/>
  <c r="G49" i="18"/>
  <c r="J88" i="9" s="1"/>
  <c r="P88" i="9" s="1"/>
  <c r="P7" i="6" a="1"/>
  <c r="Y7" i="6" s="1"/>
  <c r="DK24" i="29"/>
  <c r="BC7" i="10" a="1"/>
  <c r="BC7" i="10" s="1"/>
  <c r="C32" i="18"/>
  <c r="C49" i="18" s="1"/>
  <c r="F88" i="9" s="1"/>
  <c r="C88" i="9" s="1"/>
  <c r="C86" i="22"/>
  <c r="I20" i="13"/>
  <c r="D17" i="10"/>
  <c r="D27" i="10" s="1"/>
  <c r="DF14" i="29"/>
  <c r="DE14" i="29" s="1"/>
  <c r="DE29" i="29" s="1"/>
  <c r="DE30" i="29" s="1"/>
  <c r="T17" i="20"/>
  <c r="EC38" i="29"/>
  <c r="O17" i="20"/>
  <c r="E352" i="11"/>
  <c r="DI9" i="29"/>
  <c r="DY15" i="29"/>
  <c r="N59" i="34"/>
  <c r="O52" i="34"/>
  <c r="EE38" i="29"/>
  <c r="V260" i="11"/>
  <c r="V352" i="11"/>
  <c r="V261" i="11"/>
  <c r="V350" i="11"/>
  <c r="V180" i="11"/>
  <c r="V351" i="11"/>
  <c r="D60" i="18"/>
  <c r="K60" i="18" s="1"/>
  <c r="AR20" i="13"/>
  <c r="C28" i="18"/>
  <c r="C45" i="18" s="1"/>
  <c r="F84" i="9" s="1"/>
  <c r="C84" i="9" s="1"/>
  <c r="F12" i="9"/>
  <c r="C12" i="9" s="1"/>
  <c r="AP7" i="6" a="1"/>
  <c r="AP7" i="6" s="1"/>
  <c r="H12" i="29"/>
  <c r="H32" i="29" s="1"/>
  <c r="F47" i="18"/>
  <c r="I86" i="9" s="1"/>
  <c r="O86" i="9" s="1"/>
  <c r="BC7" i="6" a="1"/>
  <c r="BE7" i="6" s="1"/>
  <c r="F37" i="18"/>
  <c r="F52" i="18" s="1"/>
  <c r="I80" i="9" s="1"/>
  <c r="C30" i="18"/>
  <c r="C47" i="18" s="1"/>
  <c r="F86" i="9" s="1"/>
  <c r="C86" i="9" s="1"/>
  <c r="G37" i="18"/>
  <c r="G52" i="18" s="1"/>
  <c r="J80" i="9" s="1"/>
  <c r="F45" i="18"/>
  <c r="I84" i="9" s="1"/>
  <c r="O84" i="9" s="1"/>
  <c r="C73" i="22"/>
  <c r="S20" i="13"/>
  <c r="DS18" i="29"/>
  <c r="E180" i="11"/>
  <c r="H166" i="19"/>
  <c r="EW15" i="29"/>
  <c r="DK9" i="29"/>
  <c r="DY28" i="29"/>
  <c r="AS12" i="13"/>
  <c r="AS13" i="13"/>
  <c r="D45" i="18"/>
  <c r="G84" i="9" s="1"/>
  <c r="M84" i="9" s="1"/>
  <c r="J13" i="13"/>
  <c r="I228" i="22" s="1"/>
  <c r="D37" i="18"/>
  <c r="D52" i="18" s="1"/>
  <c r="G80" i="9" s="1"/>
  <c r="T221" i="19"/>
  <c r="R221" i="19" s="1"/>
  <c r="FA20" i="29"/>
  <c r="Q220" i="19"/>
  <c r="J81" i="7" s="1"/>
  <c r="E261" i="11"/>
  <c r="DI25" i="29"/>
  <c r="DI11" i="29"/>
  <c r="DK38" i="29"/>
  <c r="EW9" i="29"/>
  <c r="DY25" i="29"/>
  <c r="E17" i="10"/>
  <c r="G16" i="10"/>
  <c r="E260" i="11"/>
  <c r="DY16" i="29"/>
  <c r="DY19" i="29"/>
  <c r="Y4" i="34"/>
  <c r="Z4" i="34" s="1"/>
  <c r="AA4" i="34" s="1"/>
  <c r="AB4" i="34" s="1"/>
  <c r="AC3" i="34"/>
  <c r="I45" i="22"/>
  <c r="D49" i="18"/>
  <c r="G88" i="9" s="1"/>
  <c r="M88" i="9" s="1"/>
  <c r="EX20" i="29"/>
  <c r="EX14" i="29" s="1"/>
  <c r="EW14" i="29" s="1"/>
  <c r="I17" i="20"/>
  <c r="FA16" i="29"/>
  <c r="EC18" i="29"/>
  <c r="EC28" i="29"/>
  <c r="EE20" i="29"/>
  <c r="E350" i="11"/>
  <c r="H173" i="19"/>
  <c r="DI27" i="29"/>
  <c r="DI17" i="29"/>
  <c r="DY27" i="29"/>
  <c r="D20" i="13"/>
  <c r="DD29" i="29"/>
  <c r="DD30" i="29" s="1"/>
  <c r="AT17" i="13"/>
  <c r="AC20" i="13"/>
  <c r="N6" i="13"/>
  <c r="K222" i="19"/>
  <c r="L45" i="7" s="1"/>
  <c r="K218" i="19"/>
  <c r="I218" i="19" s="1"/>
  <c r="T200" i="19"/>
  <c r="R200" i="19" s="1"/>
  <c r="K219" i="19"/>
  <c r="I45" i="7" s="1"/>
  <c r="EC13" i="29"/>
  <c r="EC19" i="29"/>
  <c r="N215" i="19"/>
  <c r="E63" i="7" s="1"/>
  <c r="L11" i="9"/>
  <c r="D44" i="17"/>
  <c r="BB20" i="13"/>
  <c r="O64" i="17"/>
  <c r="AN64" i="17"/>
  <c r="E16" i="10"/>
  <c r="DH12" i="29"/>
  <c r="DH32" i="29" s="1"/>
  <c r="S64" i="17"/>
  <c r="N196" i="19"/>
  <c r="L196" i="19" s="1"/>
  <c r="CT14" i="29"/>
  <c r="CS14" i="29" s="1"/>
  <c r="CG28" i="29"/>
  <c r="EC20" i="29"/>
  <c r="EC11" i="29"/>
  <c r="EC25" i="29"/>
  <c r="EC24" i="29"/>
  <c r="T199" i="19"/>
  <c r="R199" i="19" s="1"/>
  <c r="CB16" i="10"/>
  <c r="P17" i="31" s="1"/>
  <c r="G19" i="34"/>
  <c r="G17" i="34"/>
  <c r="D309" i="17"/>
  <c r="AH289" i="17"/>
  <c r="Q294" i="17"/>
  <c r="EW21" i="29"/>
  <c r="EW33" i="29"/>
  <c r="EW23" i="29"/>
  <c r="EW22" i="29"/>
  <c r="H35" i="34"/>
  <c r="H15" i="34"/>
  <c r="H13" i="34"/>
  <c r="DK22" i="29"/>
  <c r="DK23" i="29"/>
  <c r="DK33" i="29"/>
  <c r="DK21" i="29"/>
  <c r="DK19" i="29"/>
  <c r="DK15" i="29"/>
  <c r="DK11" i="29"/>
  <c r="CI32" i="29"/>
  <c r="CI31" i="29"/>
  <c r="S12" i="29"/>
  <c r="T32" i="29"/>
  <c r="T31" i="29"/>
  <c r="U12" i="29"/>
  <c r="V31" i="29"/>
  <c r="V32" i="29"/>
  <c r="L16" i="20"/>
  <c r="F30" i="34"/>
  <c r="AA223" i="22"/>
  <c r="DI15" i="29"/>
  <c r="EI5" i="29"/>
  <c r="EJ16" i="29"/>
  <c r="EI7" i="29"/>
  <c r="EJ25" i="29"/>
  <c r="EJ28" i="29"/>
  <c r="EJ15" i="29"/>
  <c r="EJ19" i="29"/>
  <c r="EJ11" i="29"/>
  <c r="EJ18" i="29"/>
  <c r="EI6" i="29"/>
  <c r="EJ17" i="29"/>
  <c r="EI17" i="29" s="1"/>
  <c r="EJ27" i="29"/>
  <c r="EJ12" i="29"/>
  <c r="EJ24" i="29"/>
  <c r="EJ38" i="29"/>
  <c r="DI19" i="29"/>
  <c r="E30" i="34"/>
  <c r="E31" i="34" s="1"/>
  <c r="E32" i="34" s="1"/>
  <c r="E28" i="34" s="1"/>
  <c r="K55" i="34"/>
  <c r="J60" i="34"/>
  <c r="L201" i="19"/>
  <c r="N218" i="19"/>
  <c r="AD289" i="17"/>
  <c r="AC294" i="17"/>
  <c r="M294" i="17"/>
  <c r="M17" i="20" s="1"/>
  <c r="AM294" i="17"/>
  <c r="AM224" i="22" s="1"/>
  <c r="EW18" i="29"/>
  <c r="EW25" i="29"/>
  <c r="J7" i="34"/>
  <c r="I14" i="34"/>
  <c r="I24" i="34" s="1"/>
  <c r="I6" i="34"/>
  <c r="DK27" i="29"/>
  <c r="DK16" i="29"/>
  <c r="DK28" i="29"/>
  <c r="AJ289" i="17"/>
  <c r="DY9" i="29"/>
  <c r="EZ28" i="29"/>
  <c r="EZ11" i="29"/>
  <c r="EY6" i="29"/>
  <c r="EY7" i="29"/>
  <c r="EY12" i="29" s="1"/>
  <c r="EZ27" i="29"/>
  <c r="EZ17" i="29"/>
  <c r="EZ18" i="29"/>
  <c r="EY5" i="29"/>
  <c r="EZ25" i="29"/>
  <c r="EZ16" i="29"/>
  <c r="EZ19" i="29"/>
  <c r="EZ15" i="29"/>
  <c r="EY15" i="29" s="1"/>
  <c r="EZ24" i="29"/>
  <c r="AQ494" i="17"/>
  <c r="AQ434" i="17" s="1"/>
  <c r="AC494" i="17"/>
  <c r="AC434" i="17" s="1"/>
  <c r="I494" i="17"/>
  <c r="I434" i="17" s="1"/>
  <c r="AA494" i="17"/>
  <c r="AA434" i="17" s="1"/>
  <c r="L494" i="17"/>
  <c r="L434" i="17" s="1"/>
  <c r="AI494" i="17"/>
  <c r="AI434" i="17" s="1"/>
  <c r="T494" i="17"/>
  <c r="T434" i="17" s="1"/>
  <c r="R494" i="17"/>
  <c r="R434" i="17" s="1"/>
  <c r="AT494" i="17"/>
  <c r="AT434" i="17" s="1"/>
  <c r="W494" i="17"/>
  <c r="W434" i="17" s="1"/>
  <c r="V494" i="17"/>
  <c r="V434" i="17" s="1"/>
  <c r="AR494" i="17"/>
  <c r="AR434" i="17" s="1"/>
  <c r="E494" i="17"/>
  <c r="K494" i="17"/>
  <c r="K434" i="17" s="1"/>
  <c r="AU494" i="17"/>
  <c r="AU434" i="17" s="1"/>
  <c r="AB494" i="17"/>
  <c r="AB434" i="17" s="1"/>
  <c r="O494" i="17"/>
  <c r="O434" i="17" s="1"/>
  <c r="AJ494" i="17"/>
  <c r="AJ434" i="17" s="1"/>
  <c r="AK494" i="17"/>
  <c r="AK434" i="17" s="1"/>
  <c r="Q494" i="17"/>
  <c r="Q434" i="17" s="1"/>
  <c r="AP494" i="17"/>
  <c r="AP434" i="17" s="1"/>
  <c r="AD494" i="17"/>
  <c r="AD434" i="17" s="1"/>
  <c r="AS494" i="17"/>
  <c r="AS434" i="17" s="1"/>
  <c r="M494" i="17"/>
  <c r="M434" i="17" s="1"/>
  <c r="G494" i="17"/>
  <c r="F494" i="17"/>
  <c r="F434" i="17" s="1"/>
  <c r="S494" i="17"/>
  <c r="S434" i="17" s="1"/>
  <c r="U494" i="17"/>
  <c r="U434" i="17" s="1"/>
  <c r="AF494" i="17"/>
  <c r="AF434" i="17" s="1"/>
  <c r="AL494" i="17"/>
  <c r="AL434" i="17" s="1"/>
  <c r="AH494" i="17"/>
  <c r="AH434" i="17" s="1"/>
  <c r="H494" i="17"/>
  <c r="H434" i="17" s="1"/>
  <c r="AM494" i="17"/>
  <c r="AM434" i="17" s="1"/>
  <c r="AW490" i="17"/>
  <c r="AW491" i="17" s="1"/>
  <c r="AW492" i="17" s="1"/>
  <c r="AW493" i="17" s="1"/>
  <c r="AW494" i="17" s="1"/>
  <c r="AG494" i="17"/>
  <c r="J494" i="17"/>
  <c r="AE494" i="17"/>
  <c r="AE434" i="17" s="1"/>
  <c r="P494" i="17"/>
  <c r="N494" i="17"/>
  <c r="AV494" i="17"/>
  <c r="X494" i="17"/>
  <c r="Y494" i="17"/>
  <c r="Y434" i="17" s="1"/>
  <c r="AO494" i="17"/>
  <c r="AO434" i="17" s="1"/>
  <c r="AN494" i="17"/>
  <c r="AN434" i="17" s="1"/>
  <c r="Z494" i="17"/>
  <c r="Z434" i="17" s="1"/>
  <c r="BC32" i="10"/>
  <c r="CJ38" i="29"/>
  <c r="CI38" i="29" s="1"/>
  <c r="Y12" i="29"/>
  <c r="Z31" i="29"/>
  <c r="Z32" i="29"/>
  <c r="P31" i="29"/>
  <c r="P32" i="29"/>
  <c r="O12" i="29"/>
  <c r="L47" i="13"/>
  <c r="L54" i="13" s="1"/>
  <c r="S223" i="22"/>
  <c r="R379" i="17"/>
  <c r="AV379" i="17"/>
  <c r="AA379" i="17"/>
  <c r="J379" i="17"/>
  <c r="AN379" i="17"/>
  <c r="S379" i="17"/>
  <c r="AB379" i="17"/>
  <c r="AO379" i="17"/>
  <c r="W379" i="17"/>
  <c r="F379" i="17"/>
  <c r="AG379" i="17"/>
  <c r="AS379" i="17"/>
  <c r="AF379" i="17"/>
  <c r="K379" i="17"/>
  <c r="AK379" i="17"/>
  <c r="X379" i="17"/>
  <c r="AT379" i="17"/>
  <c r="AM379" i="17"/>
  <c r="I379" i="17"/>
  <c r="AL379" i="17"/>
  <c r="AE379" i="17"/>
  <c r="AE359" i="17" s="1"/>
  <c r="AJ379" i="17"/>
  <c r="O379" i="17"/>
  <c r="P379" i="17"/>
  <c r="U379" i="17"/>
  <c r="N379" i="17"/>
  <c r="AR379" i="17"/>
  <c r="AW375" i="17"/>
  <c r="AW376" i="17" s="1"/>
  <c r="AW377" i="17" s="1"/>
  <c r="AW378" i="17" s="1"/>
  <c r="AW379" i="17" s="1"/>
  <c r="AQ379" i="17"/>
  <c r="E379" i="17"/>
  <c r="Y379" i="17"/>
  <c r="AC379" i="17"/>
  <c r="G379" i="17"/>
  <c r="Q379" i="17"/>
  <c r="M379" i="17"/>
  <c r="AI379" i="17"/>
  <c r="T379" i="17"/>
  <c r="AH379" i="17"/>
  <c r="L379" i="17"/>
  <c r="AP379" i="17"/>
  <c r="H379" i="17"/>
  <c r="V379" i="17"/>
  <c r="Z379" i="17"/>
  <c r="AD379" i="17"/>
  <c r="AU379" i="17"/>
  <c r="J53" i="13"/>
  <c r="E47" i="27"/>
  <c r="F46" i="27"/>
  <c r="D46" i="27" s="1"/>
  <c r="DI22" i="29"/>
  <c r="DI23" i="29"/>
  <c r="DI33" i="29"/>
  <c r="DI21" i="29"/>
  <c r="AR16" i="20"/>
  <c r="AR223" i="22"/>
  <c r="AU294" i="17"/>
  <c r="AF294" i="17"/>
  <c r="AF17" i="20" s="1"/>
  <c r="D354" i="17"/>
  <c r="D294" i="17" s="1"/>
  <c r="E294" i="17"/>
  <c r="E224" i="22" s="1"/>
  <c r="EW16" i="29"/>
  <c r="EW19" i="29"/>
  <c r="EW28" i="29"/>
  <c r="AI31" i="29"/>
  <c r="AI32" i="29"/>
  <c r="U289" i="17"/>
  <c r="DK17" i="29"/>
  <c r="EK5" i="29"/>
  <c r="EL16" i="29"/>
  <c r="EL15" i="29"/>
  <c r="EL18" i="29"/>
  <c r="EK7" i="29"/>
  <c r="EK6" i="29"/>
  <c r="EL19" i="29"/>
  <c r="EL11" i="29"/>
  <c r="EL27" i="29"/>
  <c r="EL28" i="29"/>
  <c r="EL17" i="29"/>
  <c r="EL25" i="29"/>
  <c r="EL12" i="29"/>
  <c r="EL24" i="29"/>
  <c r="EL38" i="29"/>
  <c r="DK18" i="29"/>
  <c r="DY33" i="29"/>
  <c r="DY21" i="29"/>
  <c r="DY22" i="29"/>
  <c r="DY23" i="29"/>
  <c r="DY17" i="29"/>
  <c r="DY11" i="29"/>
  <c r="Y424" i="17"/>
  <c r="AS424" i="17"/>
  <c r="AT424" i="17"/>
  <c r="W424" i="17"/>
  <c r="N424" i="17"/>
  <c r="N364" i="17" s="1"/>
  <c r="AB424" i="17"/>
  <c r="AB364" i="17" s="1"/>
  <c r="V424" i="17"/>
  <c r="V364" i="17" s="1"/>
  <c r="M424" i="17"/>
  <c r="M364" i="17" s="1"/>
  <c r="G424" i="17"/>
  <c r="G364" i="17" s="1"/>
  <c r="P424" i="17"/>
  <c r="P364" i="17" s="1"/>
  <c r="AR424" i="17"/>
  <c r="AR364" i="17" s="1"/>
  <c r="L424" i="17"/>
  <c r="L364" i="17" s="1"/>
  <c r="AW420" i="17"/>
  <c r="AW421" i="17" s="1"/>
  <c r="AW422" i="17" s="1"/>
  <c r="AW423" i="17" s="1"/>
  <c r="AW424" i="17" s="1"/>
  <c r="AA424" i="17"/>
  <c r="AA364" i="17" s="1"/>
  <c r="AG424" i="17"/>
  <c r="AG364" i="17" s="1"/>
  <c r="Q424" i="17"/>
  <c r="Q364" i="17" s="1"/>
  <c r="AQ424" i="17"/>
  <c r="K424" i="17"/>
  <c r="K364" i="17" s="1"/>
  <c r="J424" i="17"/>
  <c r="J364" i="17" s="1"/>
  <c r="AV424" i="17"/>
  <c r="AV364" i="17" s="1"/>
  <c r="R424" i="17"/>
  <c r="R364" i="17" s="1"/>
  <c r="S424" i="17"/>
  <c r="S364" i="17" s="1"/>
  <c r="AI424" i="17"/>
  <c r="AI364" i="17" s="1"/>
  <c r="AD424" i="17"/>
  <c r="AD364" i="17" s="1"/>
  <c r="AU424" i="17"/>
  <c r="AU364" i="17" s="1"/>
  <c r="O424" i="17"/>
  <c r="AE424" i="17"/>
  <c r="AE364" i="17" s="1"/>
  <c r="AN424" i="17"/>
  <c r="AC424" i="17"/>
  <c r="AC364" i="17" s="1"/>
  <c r="AH424" i="17"/>
  <c r="Z424" i="17"/>
  <c r="AF424" i="17"/>
  <c r="AF364" i="17" s="1"/>
  <c r="X424" i="17"/>
  <c r="X364" i="17" s="1"/>
  <c r="AL424" i="17"/>
  <c r="AP424" i="17"/>
  <c r="H424" i="17"/>
  <c r="U424" i="17"/>
  <c r="T424" i="17"/>
  <c r="E424" i="17"/>
  <c r="AM424" i="17"/>
  <c r="AM364" i="17" s="1"/>
  <c r="AO424" i="17"/>
  <c r="F424" i="17"/>
  <c r="AK424" i="17"/>
  <c r="AJ424" i="17"/>
  <c r="AJ364" i="17" s="1"/>
  <c r="I424" i="17"/>
  <c r="I364" i="17" s="1"/>
  <c r="BE32" i="29"/>
  <c r="BE31" i="29"/>
  <c r="W12" i="29"/>
  <c r="X31" i="29"/>
  <c r="X32" i="29"/>
  <c r="M32" i="29"/>
  <c r="M31" i="29"/>
  <c r="T449" i="17"/>
  <c r="AQ449" i="17"/>
  <c r="AR449" i="17"/>
  <c r="O449" i="17"/>
  <c r="AC449" i="17"/>
  <c r="AM449" i="17"/>
  <c r="N449" i="17"/>
  <c r="S449" i="17"/>
  <c r="AL449" i="17"/>
  <c r="E449" i="17"/>
  <c r="AK449" i="17"/>
  <c r="Q449" i="17"/>
  <c r="J449" i="17"/>
  <c r="P449" i="17"/>
  <c r="M449" i="17"/>
  <c r="U449" i="17"/>
  <c r="K449" i="17"/>
  <c r="AT449" i="17"/>
  <c r="AF449" i="17"/>
  <c r="AE449" i="17"/>
  <c r="L449" i="17"/>
  <c r="AN449" i="17"/>
  <c r="AN429" i="17" s="1"/>
  <c r="AB449" i="17"/>
  <c r="AH449" i="17"/>
  <c r="AW445" i="17"/>
  <c r="AW446" i="17" s="1"/>
  <c r="AW447" i="17" s="1"/>
  <c r="AW448" i="17" s="1"/>
  <c r="AW449" i="17" s="1"/>
  <c r="W449" i="17"/>
  <c r="AG449" i="17"/>
  <c r="I449" i="17"/>
  <c r="R449" i="17"/>
  <c r="AV449" i="17"/>
  <c r="X449" i="17"/>
  <c r="Y449" i="17"/>
  <c r="Y29" i="17" s="1"/>
  <c r="AP449" i="17"/>
  <c r="Z449" i="17"/>
  <c r="G449" i="17"/>
  <c r="H449" i="17"/>
  <c r="F449" i="17"/>
  <c r="AS449" i="17"/>
  <c r="AU449" i="17"/>
  <c r="AO449" i="17"/>
  <c r="AA449" i="17"/>
  <c r="AJ449" i="17"/>
  <c r="AI449" i="17"/>
  <c r="AD449" i="17"/>
  <c r="V449" i="17"/>
  <c r="DI28" i="29"/>
  <c r="DI18" i="29"/>
  <c r="AI3" i="13"/>
  <c r="AK3" i="13"/>
  <c r="AJ3" i="13"/>
  <c r="AM3" i="13"/>
  <c r="AL3" i="13"/>
  <c r="AO289" i="17"/>
  <c r="CC14" i="29"/>
  <c r="CD29" i="29"/>
  <c r="CD30" i="29" s="1"/>
  <c r="AR294" i="17"/>
  <c r="AB294" i="17"/>
  <c r="AD294" i="17"/>
  <c r="V294" i="17"/>
  <c r="EW27" i="29"/>
  <c r="EW11" i="29"/>
  <c r="AE32" i="29"/>
  <c r="AE31" i="29"/>
  <c r="AE29" i="29"/>
  <c r="AE30" i="29" s="1"/>
  <c r="DL31" i="29"/>
  <c r="DL32" i="29"/>
  <c r="DK12" i="29"/>
  <c r="DK25" i="29"/>
  <c r="AA289" i="17"/>
  <c r="Q12" i="29"/>
  <c r="R32" i="29"/>
  <c r="R31" i="29"/>
  <c r="U32" i="10"/>
  <c r="V38" i="29"/>
  <c r="U38" i="29" s="1"/>
  <c r="CK8" i="10"/>
  <c r="CJ8" i="10"/>
  <c r="CM8" i="10"/>
  <c r="CM9" i="10" s="1"/>
  <c r="CE8" i="10"/>
  <c r="CG8" i="10"/>
  <c r="CC8" i="10"/>
  <c r="CD8" i="10"/>
  <c r="CL8" i="10"/>
  <c r="CH8" i="10"/>
  <c r="CF8" i="10"/>
  <c r="CI8" i="10"/>
  <c r="D81" i="21"/>
  <c r="O214" i="19"/>
  <c r="D81" i="7"/>
  <c r="AP12" i="13"/>
  <c r="AM12" i="13" s="1"/>
  <c r="AP13" i="13"/>
  <c r="AM13" i="13" s="1"/>
  <c r="E33" i="10"/>
  <c r="E26" i="10"/>
  <c r="E27" i="10"/>
  <c r="E28" i="10"/>
  <c r="E21" i="10"/>
  <c r="F57" i="9"/>
  <c r="E14" i="10"/>
  <c r="AE32" i="10"/>
  <c r="AN38" i="29"/>
  <c r="AM38" i="29" s="1"/>
  <c r="BP14" i="29"/>
  <c r="BO14" i="29" s="1"/>
  <c r="BO20" i="29"/>
  <c r="DS15" i="29"/>
  <c r="DT14" i="29"/>
  <c r="DS14" i="29" s="1"/>
  <c r="EM20" i="29"/>
  <c r="EN14" i="29"/>
  <c r="EM14" i="29" s="1"/>
  <c r="DI32" i="29"/>
  <c r="DI31" i="29"/>
  <c r="DI38" i="29"/>
  <c r="CK38" i="29"/>
  <c r="C66" i="9"/>
  <c r="F118" i="9"/>
  <c r="C118" i="9" s="1"/>
  <c r="CG25" i="29"/>
  <c r="DQ27" i="29"/>
  <c r="DH27" i="29"/>
  <c r="DQ19" i="29"/>
  <c r="DH19" i="29"/>
  <c r="DQ11" i="29"/>
  <c r="DH11" i="29"/>
  <c r="R198" i="19"/>
  <c r="T215" i="19"/>
  <c r="BL8" i="10"/>
  <c r="BD8" i="10"/>
  <c r="BJ8" i="10"/>
  <c r="BC8" i="10"/>
  <c r="BM8" i="10"/>
  <c r="BM9" i="10" s="1"/>
  <c r="BI8" i="10"/>
  <c r="BE8" i="10"/>
  <c r="BF8" i="10"/>
  <c r="BH8" i="10"/>
  <c r="BG8" i="10"/>
  <c r="BK8" i="10"/>
  <c r="DX32" i="29"/>
  <c r="DX31" i="29"/>
  <c r="DW12" i="29"/>
  <c r="CK31" i="29"/>
  <c r="CK32" i="29"/>
  <c r="CJ14" i="29"/>
  <c r="CI20" i="29"/>
  <c r="AL224" i="22"/>
  <c r="G224" i="22"/>
  <c r="G17" i="20"/>
  <c r="AF224" i="22"/>
  <c r="BK12" i="29"/>
  <c r="BL31" i="29"/>
  <c r="BL32" i="29"/>
  <c r="BH12" i="29"/>
  <c r="CA20" i="29"/>
  <c r="CB14" i="29"/>
  <c r="CA14" i="29" s="1"/>
  <c r="D484" i="17"/>
  <c r="CK32" i="10"/>
  <c r="K14" i="10"/>
  <c r="K32" i="10" s="1"/>
  <c r="DE31" i="29"/>
  <c r="DE32" i="29"/>
  <c r="DZ14" i="29"/>
  <c r="DY14" i="29" s="1"/>
  <c r="DY20" i="29"/>
  <c r="CQ32" i="29"/>
  <c r="CQ31" i="29"/>
  <c r="AO32" i="29"/>
  <c r="AO31" i="29"/>
  <c r="AE17" i="20"/>
  <c r="AE224" i="22"/>
  <c r="FA15" i="29"/>
  <c r="FB14" i="29"/>
  <c r="FA14" i="29" s="1"/>
  <c r="L200" i="19"/>
  <c r="N217" i="19"/>
  <c r="L204" i="19"/>
  <c r="N221" i="19"/>
  <c r="EZ32" i="29"/>
  <c r="EZ31" i="29"/>
  <c r="H31" i="8"/>
  <c r="O81" i="7"/>
  <c r="O85" i="7" s="1"/>
  <c r="O81" i="21"/>
  <c r="O85" i="21" s="1"/>
  <c r="O225" i="19"/>
  <c r="H31" i="22"/>
  <c r="AK38" i="29"/>
  <c r="EC33" i="29"/>
  <c r="EC23" i="29"/>
  <c r="EC22" i="29"/>
  <c r="EC21" i="29"/>
  <c r="DG8" i="29"/>
  <c r="N8" i="31" s="1"/>
  <c r="FD24" i="29"/>
  <c r="FC6" i="29"/>
  <c r="FD12" i="29"/>
  <c r="FC8" i="29"/>
  <c r="FD19" i="29"/>
  <c r="FD13" i="29"/>
  <c r="FD18" i="29"/>
  <c r="FD28" i="29"/>
  <c r="FD15" i="29"/>
  <c r="FD17" i="29"/>
  <c r="FD25" i="29"/>
  <c r="FD27" i="29"/>
  <c r="FC27" i="29" s="1"/>
  <c r="FD11" i="29"/>
  <c r="FD16" i="29"/>
  <c r="FD38" i="29"/>
  <c r="FE8" i="29"/>
  <c r="FF18" i="29"/>
  <c r="FF15" i="29"/>
  <c r="FE6" i="29"/>
  <c r="FF12" i="29"/>
  <c r="FF25" i="29"/>
  <c r="FF27" i="29"/>
  <c r="FF38" i="29"/>
  <c r="FF24" i="29"/>
  <c r="FF17" i="29"/>
  <c r="FF11" i="29"/>
  <c r="FF13" i="29"/>
  <c r="FF16" i="29"/>
  <c r="FE16" i="29" s="1"/>
  <c r="FF19" i="29"/>
  <c r="FF28" i="29"/>
  <c r="D45" i="7"/>
  <c r="D45" i="21"/>
  <c r="I214" i="19"/>
  <c r="AU8" i="10"/>
  <c r="AP8" i="10"/>
  <c r="AT8" i="10"/>
  <c r="AV8" i="10"/>
  <c r="AZ8" i="10"/>
  <c r="AZ9" i="10" s="1"/>
  <c r="AS8" i="10"/>
  <c r="AQ8" i="10"/>
  <c r="AX8" i="10"/>
  <c r="AY8" i="10"/>
  <c r="AW8" i="10"/>
  <c r="AR8" i="10"/>
  <c r="AY32" i="29"/>
  <c r="AY31" i="29"/>
  <c r="L224" i="22"/>
  <c r="L17" i="20"/>
  <c r="DS17" i="29"/>
  <c r="DS19" i="29"/>
  <c r="DS24" i="29"/>
  <c r="D15" i="20"/>
  <c r="DQ24" i="29"/>
  <c r="C120" i="21"/>
  <c r="Q218" i="19"/>
  <c r="N219" i="19"/>
  <c r="W64" i="17"/>
  <c r="F64" i="17"/>
  <c r="DC29" i="29"/>
  <c r="DC30" i="29" s="1"/>
  <c r="E45" i="22"/>
  <c r="K221" i="19"/>
  <c r="FA24" i="29"/>
  <c r="FA27" i="29"/>
  <c r="FA17" i="29"/>
  <c r="FA36" i="29"/>
  <c r="T64" i="17"/>
  <c r="AK64" i="17"/>
  <c r="C53" i="22"/>
  <c r="Q93" i="9"/>
  <c r="EC17" i="29"/>
  <c r="EC27" i="29"/>
  <c r="K217" i="19"/>
  <c r="EE27" i="29"/>
  <c r="EE28" i="29"/>
  <c r="EE13" i="29"/>
  <c r="T208" i="19"/>
  <c r="CB17" i="10"/>
  <c r="P16" i="31" s="1"/>
  <c r="J63" i="21"/>
  <c r="J63" i="7"/>
  <c r="L220" i="19"/>
  <c r="ET11" i="29"/>
  <c r="ES7" i="29"/>
  <c r="ET19" i="29"/>
  <c r="ET24" i="29"/>
  <c r="ET20" i="29" s="1"/>
  <c r="ET18" i="29"/>
  <c r="ET27" i="29"/>
  <c r="ET16" i="29"/>
  <c r="ET38" i="29"/>
  <c r="ET12" i="29"/>
  <c r="ET28" i="29"/>
  <c r="ES28" i="29" s="1"/>
  <c r="ET15" i="29"/>
  <c r="ET25" i="29"/>
  <c r="ES5" i="29"/>
  <c r="ES6" i="29"/>
  <c r="ET17" i="29"/>
  <c r="DS23" i="29"/>
  <c r="DS22" i="29"/>
  <c r="DS21" i="29"/>
  <c r="DS33" i="29"/>
  <c r="BU31" i="29"/>
  <c r="BU32" i="29"/>
  <c r="DP14" i="29"/>
  <c r="DO14" i="29" s="1"/>
  <c r="DO20" i="29"/>
  <c r="DQ25" i="29"/>
  <c r="DH25" i="29"/>
  <c r="DQ16" i="29"/>
  <c r="DH16" i="29"/>
  <c r="DQ9" i="29"/>
  <c r="DG6" i="29"/>
  <c r="CG17" i="29"/>
  <c r="R224" i="22"/>
  <c r="O219" i="19"/>
  <c r="I81" i="7"/>
  <c r="I81" i="21"/>
  <c r="L199" i="19"/>
  <c r="N216" i="19"/>
  <c r="BO27" i="10"/>
  <c r="N11" i="31"/>
  <c r="BO33" i="10"/>
  <c r="BO28" i="10"/>
  <c r="K53" i="9" s="1"/>
  <c r="BO21" i="10"/>
  <c r="BO26" i="10"/>
  <c r="EU12" i="29"/>
  <c r="EV31" i="29"/>
  <c r="EV32" i="29"/>
  <c r="BY11" i="10"/>
  <c r="O206" i="19"/>
  <c r="F81" i="21"/>
  <c r="CY20" i="29"/>
  <c r="CZ14" i="29"/>
  <c r="CY14" i="29" s="1"/>
  <c r="BM12" i="29"/>
  <c r="BN31" i="29"/>
  <c r="BN32" i="29"/>
  <c r="DZ31" i="29"/>
  <c r="DY12" i="29"/>
  <c r="DZ32" i="29"/>
  <c r="CG11" i="29"/>
  <c r="BQ32" i="29"/>
  <c r="BQ31" i="29"/>
  <c r="DI20" i="29"/>
  <c r="DH20" i="29"/>
  <c r="DJ14" i="29"/>
  <c r="AW32" i="29"/>
  <c r="AW31" i="29"/>
  <c r="CN14" i="29"/>
  <c r="CM14" i="29" s="1"/>
  <c r="CM20" i="29"/>
  <c r="BL38" i="29"/>
  <c r="AQ32" i="10"/>
  <c r="AO14" i="10"/>
  <c r="AO32" i="10" s="1"/>
  <c r="I199" i="19"/>
  <c r="K216" i="19"/>
  <c r="BN14" i="29"/>
  <c r="BM14" i="29" s="1"/>
  <c r="BM20" i="29"/>
  <c r="CX14" i="29"/>
  <c r="CW14" i="29" s="1"/>
  <c r="CW20" i="29"/>
  <c r="DA20" i="29"/>
  <c r="DB14" i="29"/>
  <c r="DA14" i="29" s="1"/>
  <c r="P224" i="22"/>
  <c r="CO31" i="29"/>
  <c r="CO32" i="29"/>
  <c r="EA32" i="29"/>
  <c r="EA31" i="29"/>
  <c r="FA23" i="29"/>
  <c r="FA22" i="29"/>
  <c r="FA33" i="29"/>
  <c r="FA21" i="29"/>
  <c r="L205" i="19"/>
  <c r="N222" i="19"/>
  <c r="J33" i="10"/>
  <c r="J27" i="10"/>
  <c r="F62" i="9"/>
  <c r="C62" i="9" s="1"/>
  <c r="J26" i="10"/>
  <c r="J21" i="10"/>
  <c r="J28" i="10"/>
  <c r="BZ8" i="6"/>
  <c r="BZ9" i="6" s="1"/>
  <c r="BX8" i="6"/>
  <c r="BY8" i="6"/>
  <c r="BW8" i="6"/>
  <c r="BV8" i="6"/>
  <c r="BQ8" i="6"/>
  <c r="BP8" i="6"/>
  <c r="BR8" i="6"/>
  <c r="BU8" i="6"/>
  <c r="BT8" i="6"/>
  <c r="BS8" i="6"/>
  <c r="ED31" i="29"/>
  <c r="EC12" i="29"/>
  <c r="ED32" i="29"/>
  <c r="N81" i="21"/>
  <c r="N81" i="7"/>
  <c r="O224" i="19"/>
  <c r="H30" i="8"/>
  <c r="H30" i="22"/>
  <c r="DM20" i="29"/>
  <c r="DN14" i="29"/>
  <c r="DM14" i="29" s="1"/>
  <c r="CO20" i="29"/>
  <c r="CP14" i="29"/>
  <c r="CO14" i="29" s="1"/>
  <c r="EE23" i="29"/>
  <c r="EE21" i="29"/>
  <c r="EE33" i="29"/>
  <c r="EE22" i="29"/>
  <c r="EF14" i="29"/>
  <c r="EE14" i="29" s="1"/>
  <c r="EE15" i="29"/>
  <c r="EF31" i="29"/>
  <c r="EF32" i="29"/>
  <c r="EE12" i="29"/>
  <c r="I93" i="9"/>
  <c r="I179" i="19"/>
  <c r="E81" i="7"/>
  <c r="CG21" i="29"/>
  <c r="CG22" i="29"/>
  <c r="CG23" i="29"/>
  <c r="L7" i="31"/>
  <c r="CG33" i="29"/>
  <c r="AQ31" i="29"/>
  <c r="AQ32" i="29"/>
  <c r="EV14" i="29"/>
  <c r="EU14" i="29" s="1"/>
  <c r="EU20" i="29"/>
  <c r="CB26" i="10"/>
  <c r="CB28" i="10"/>
  <c r="L53" i="9" s="1"/>
  <c r="P11" i="31"/>
  <c r="CB33" i="10"/>
  <c r="CB21" i="10"/>
  <c r="CB27" i="10"/>
  <c r="O63" i="7"/>
  <c r="L225" i="19"/>
  <c r="G31" i="22"/>
  <c r="G31" i="8"/>
  <c r="O63" i="21"/>
  <c r="K215" i="19"/>
  <c r="AM64" i="17"/>
  <c r="C74" i="22"/>
  <c r="AL64" i="17"/>
  <c r="G64" i="17"/>
  <c r="AF64" i="17"/>
  <c r="AO17" i="10"/>
  <c r="J16" i="31" s="1"/>
  <c r="C122" i="21"/>
  <c r="AB64" i="17"/>
  <c r="EV38" i="29"/>
  <c r="EU38" i="29" s="1"/>
  <c r="FA18" i="29"/>
  <c r="FA19" i="29"/>
  <c r="I64" i="17"/>
  <c r="AB14" i="10"/>
  <c r="AB32" i="10" s="1"/>
  <c r="O93" i="9"/>
  <c r="T207" i="19"/>
  <c r="L64" i="17"/>
  <c r="Q222" i="19"/>
  <c r="Q217" i="19"/>
  <c r="EX31" i="29"/>
  <c r="EX32" i="29"/>
  <c r="EW12" i="29"/>
  <c r="BH20" i="29"/>
  <c r="BG20" i="29" s="1"/>
  <c r="BI20" i="29"/>
  <c r="BJ14" i="29"/>
  <c r="DK20" i="29"/>
  <c r="DL14" i="29"/>
  <c r="DK14" i="29" s="1"/>
  <c r="DC31" i="29"/>
  <c r="DC32" i="29"/>
  <c r="Q13" i="13"/>
  <c r="Q12" i="13"/>
  <c r="AN32" i="29"/>
  <c r="AM12" i="29"/>
  <c r="AN31" i="29"/>
  <c r="CK20" i="29"/>
  <c r="CL14" i="29"/>
  <c r="CK14" i="29" s="1"/>
  <c r="L98" i="9"/>
  <c r="R98" i="9" s="1"/>
  <c r="R93" i="9" s="1"/>
  <c r="R184" i="19"/>
  <c r="T201" i="19"/>
  <c r="R201" i="19" s="1"/>
  <c r="DQ12" i="29"/>
  <c r="DR31" i="29"/>
  <c r="DR32" i="29"/>
  <c r="DQ28" i="29"/>
  <c r="DH28" i="29"/>
  <c r="DQ18" i="29"/>
  <c r="DH18" i="29"/>
  <c r="K225" i="19"/>
  <c r="BA11" i="6"/>
  <c r="BA10" i="6" s="1"/>
  <c r="I208" i="19"/>
  <c r="D414" i="17"/>
  <c r="BW20" i="29"/>
  <c r="BX14" i="29"/>
  <c r="BW14" i="29" s="1"/>
  <c r="AR32" i="10"/>
  <c r="BN38" i="29"/>
  <c r="BM38" i="29" s="1"/>
  <c r="AO21" i="10"/>
  <c r="AO33" i="10"/>
  <c r="AO28" i="10"/>
  <c r="I53" i="9" s="1"/>
  <c r="AO27" i="10"/>
  <c r="AO26" i="10"/>
  <c r="J11" i="31"/>
  <c r="BL14" i="29"/>
  <c r="BK14" i="29" s="1"/>
  <c r="BK20" i="29"/>
  <c r="AY11" i="10"/>
  <c r="I206" i="19"/>
  <c r="E63" i="21"/>
  <c r="F71" i="22"/>
  <c r="F84" i="22"/>
  <c r="C84" i="22" s="1"/>
  <c r="BU8" i="10"/>
  <c r="BR8" i="10"/>
  <c r="BT8" i="10"/>
  <c r="BY8" i="10"/>
  <c r="BQ8" i="10"/>
  <c r="BP8" i="10"/>
  <c r="BV8" i="10"/>
  <c r="BX8" i="10"/>
  <c r="BW8" i="10"/>
  <c r="BZ8" i="10"/>
  <c r="BZ9" i="10" s="1"/>
  <c r="BS8" i="10"/>
  <c r="EC15" i="29"/>
  <c r="ED14" i="29"/>
  <c r="EC14" i="29" s="1"/>
  <c r="BV14" i="29"/>
  <c r="BU14" i="29" s="1"/>
  <c r="BU20" i="29"/>
  <c r="AR8" i="6"/>
  <c r="AS8" i="6"/>
  <c r="AW8" i="6"/>
  <c r="AT8" i="6"/>
  <c r="AV8" i="6"/>
  <c r="AU8" i="6"/>
  <c r="AP8" i="6"/>
  <c r="AQ8" i="6"/>
  <c r="AZ8" i="6"/>
  <c r="AZ9" i="6" s="1"/>
  <c r="AX8" i="6"/>
  <c r="AY8" i="6"/>
  <c r="AW6" i="13"/>
  <c r="AW20" i="13"/>
  <c r="X20" i="13"/>
  <c r="DS27" i="29"/>
  <c r="DS20" i="29"/>
  <c r="DS28" i="29"/>
  <c r="DS9" i="29"/>
  <c r="Q221" i="19"/>
  <c r="DQ20" i="29"/>
  <c r="DG5" i="29"/>
  <c r="X64" i="17"/>
  <c r="H11" i="9"/>
  <c r="C87" i="22"/>
  <c r="DH24" i="29"/>
  <c r="AO16" i="10"/>
  <c r="J17" i="31" s="1"/>
  <c r="AD64" i="17"/>
  <c r="C119" i="21"/>
  <c r="AH12" i="29"/>
  <c r="EX38" i="29"/>
  <c r="EW38" i="29" s="1"/>
  <c r="AT64" i="17"/>
  <c r="P64" i="17"/>
  <c r="FA38" i="29"/>
  <c r="FA11" i="29"/>
  <c r="FA37" i="29"/>
  <c r="FA9" i="29"/>
  <c r="AO64" i="17"/>
  <c r="EE16" i="29"/>
  <c r="EE17" i="29"/>
  <c r="EE11" i="29"/>
  <c r="EE24" i="29"/>
  <c r="M64" i="17"/>
  <c r="N64" i="17"/>
  <c r="DT32" i="29"/>
  <c r="DT31" i="29"/>
  <c r="DS12" i="29"/>
  <c r="ER24" i="29"/>
  <c r="ER20" i="29" s="1"/>
  <c r="EQ7" i="29"/>
  <c r="EQ5" i="29"/>
  <c r="ER28" i="29"/>
  <c r="ER12" i="29"/>
  <c r="ER16" i="29"/>
  <c r="EQ6" i="29"/>
  <c r="ER18" i="29"/>
  <c r="ER19" i="29"/>
  <c r="ER15" i="29"/>
  <c r="ER11" i="29"/>
  <c r="ER27" i="29"/>
  <c r="ER17" i="29"/>
  <c r="ER25" i="29"/>
  <c r="ER38" i="29"/>
  <c r="DQ17" i="29"/>
  <c r="DH17" i="29"/>
  <c r="DQ15" i="29"/>
  <c r="DR14" i="29"/>
  <c r="DQ14" i="29" s="1"/>
  <c r="DH15" i="29"/>
  <c r="DQ21" i="29"/>
  <c r="DQ33" i="29"/>
  <c r="DQ23" i="29"/>
  <c r="DQ22" i="29"/>
  <c r="DG7" i="29"/>
  <c r="K99" i="7"/>
  <c r="AS31" i="29"/>
  <c r="AS32" i="29"/>
  <c r="CU31" i="29"/>
  <c r="CU32" i="29"/>
  <c r="BL11" i="10"/>
  <c r="L206" i="19"/>
  <c r="N223" i="19"/>
  <c r="L223" i="19" s="1"/>
  <c r="T222" i="19"/>
  <c r="J93" i="9"/>
  <c r="L179" i="19"/>
  <c r="L8" i="31"/>
  <c r="BO32" i="29"/>
  <c r="BO31" i="29"/>
  <c r="DW20" i="29"/>
  <c r="DX14" i="29"/>
  <c r="DW14" i="29" s="1"/>
  <c r="DV31" i="29"/>
  <c r="DV32" i="29"/>
  <c r="DU12" i="29"/>
  <c r="DP31" i="29"/>
  <c r="DO12" i="29"/>
  <c r="DP32" i="29"/>
  <c r="BT32" i="10"/>
  <c r="DV38" i="29"/>
  <c r="DU38" i="29" s="1"/>
  <c r="DX38" i="29"/>
  <c r="DW38" i="29" s="1"/>
  <c r="DP38" i="29"/>
  <c r="DO38" i="29" s="1"/>
  <c r="DZ38" i="29"/>
  <c r="DY38" i="29" s="1"/>
  <c r="CH31" i="29"/>
  <c r="CH32" i="29"/>
  <c r="CG12" i="29"/>
  <c r="CG19" i="29"/>
  <c r="AU31" i="29"/>
  <c r="AU32" i="29"/>
  <c r="CY31" i="29"/>
  <c r="CY32" i="29"/>
  <c r="BM11" i="6"/>
  <c r="BM10" i="6" s="1"/>
  <c r="N224" i="19"/>
  <c r="L207" i="19"/>
  <c r="AK32" i="29"/>
  <c r="AK31" i="29"/>
  <c r="CS32" i="29"/>
  <c r="CS31" i="29"/>
  <c r="CU20" i="29"/>
  <c r="BY31" i="29"/>
  <c r="BY32" i="29"/>
  <c r="CM31" i="29"/>
  <c r="CM32" i="29"/>
  <c r="L6" i="31"/>
  <c r="CG9" i="29"/>
  <c r="L9" i="31" s="1"/>
  <c r="BS20" i="29"/>
  <c r="BT14" i="29"/>
  <c r="BS14" i="29" s="1"/>
  <c r="EO20" i="29"/>
  <c r="P63" i="7"/>
  <c r="FA12" i="29"/>
  <c r="FB32" i="29"/>
  <c r="FB31" i="29"/>
  <c r="EP32" i="29"/>
  <c r="EO12" i="29"/>
  <c r="EP31" i="29"/>
  <c r="O197" i="19"/>
  <c r="Q196" i="19"/>
  <c r="K93" i="9"/>
  <c r="O179" i="19"/>
  <c r="BY20" i="29"/>
  <c r="BZ14" i="29"/>
  <c r="BY14" i="29" s="1"/>
  <c r="BW32" i="29"/>
  <c r="BW31" i="29"/>
  <c r="DV14" i="29"/>
  <c r="DU14" i="29" s="1"/>
  <c r="DU20" i="29"/>
  <c r="K196" i="19"/>
  <c r="I197" i="19"/>
  <c r="CG18" i="29"/>
  <c r="R203" i="19"/>
  <c r="T220" i="19"/>
  <c r="CW31" i="29"/>
  <c r="CW32" i="29"/>
  <c r="I224" i="19"/>
  <c r="F30" i="22"/>
  <c r="N45" i="7"/>
  <c r="F30" i="8"/>
  <c r="N45" i="21"/>
  <c r="D222" i="22"/>
  <c r="AB16" i="10"/>
  <c r="H17" i="31" s="1"/>
  <c r="CC8" i="6" a="1"/>
  <c r="T179" i="19"/>
  <c r="I11" i="9"/>
  <c r="AA64" i="17"/>
  <c r="AJ64" i="17"/>
  <c r="EP38" i="29"/>
  <c r="EZ38" i="29"/>
  <c r="AV64" i="17"/>
  <c r="AE64" i="17"/>
  <c r="F45" i="22"/>
  <c r="FA25" i="29"/>
  <c r="FA28" i="29"/>
  <c r="AU64" i="17"/>
  <c r="U64" i="17"/>
  <c r="EE25" i="29"/>
  <c r="EE18" i="29"/>
  <c r="EE19" i="29"/>
  <c r="CG27" i="29"/>
  <c r="K220" i="19"/>
  <c r="K64" i="17"/>
  <c r="C148" i="19"/>
  <c r="E186" i="19"/>
  <c r="C147" i="19"/>
  <c r="E185" i="19"/>
  <c r="C145" i="19"/>
  <c r="E183" i="19"/>
  <c r="C137" i="9"/>
  <c r="C142" i="9" s="1"/>
  <c r="F142" i="9"/>
  <c r="C146" i="19"/>
  <c r="E184" i="19"/>
  <c r="C142" i="19"/>
  <c r="E141" i="19"/>
  <c r="C141" i="19" s="1"/>
  <c r="C149" i="19"/>
  <c r="E187" i="19"/>
  <c r="C150" i="19"/>
  <c r="E188" i="19"/>
  <c r="L22" i="23"/>
  <c r="T14" i="29"/>
  <c r="S14" i="29" s="1"/>
  <c r="S20" i="29"/>
  <c r="Q20" i="29"/>
  <c r="R14" i="29"/>
  <c r="Q14" i="29" s="1"/>
  <c r="Z14" i="29"/>
  <c r="Y14" i="29" s="1"/>
  <c r="Y20" i="29"/>
  <c r="H20" i="29"/>
  <c r="G20" i="29" s="1"/>
  <c r="X14" i="29"/>
  <c r="W14" i="29" s="1"/>
  <c r="W20" i="29"/>
  <c r="K12" i="13"/>
  <c r="K13" i="13"/>
  <c r="AD241" i="22"/>
  <c r="AJ11" i="13"/>
  <c r="AD227" i="22"/>
  <c r="AE227" i="22"/>
  <c r="AE241" i="22"/>
  <c r="AK11" i="13"/>
  <c r="Y12" i="13"/>
  <c r="Y13" i="13"/>
  <c r="U13" i="13"/>
  <c r="U12" i="13"/>
  <c r="AD228" i="22"/>
  <c r="AD242" i="22"/>
  <c r="BD13" i="13"/>
  <c r="BD12" i="13"/>
  <c r="Z13" i="13"/>
  <c r="Z12" i="13"/>
  <c r="AE242" i="22"/>
  <c r="AE228" i="22"/>
  <c r="L227" i="22"/>
  <c r="AJ241" i="22"/>
  <c r="AJ227" i="22"/>
  <c r="AQ11" i="13"/>
  <c r="AZ13" i="13"/>
  <c r="AZ12" i="13"/>
  <c r="AL13" i="13"/>
  <c r="AL12" i="13"/>
  <c r="S228" i="22"/>
  <c r="S242" i="22"/>
  <c r="AF13" i="13"/>
  <c r="AF12" i="13"/>
  <c r="BA12" i="13"/>
  <c r="BA13" i="13"/>
  <c r="R13" i="13"/>
  <c r="R12" i="13"/>
  <c r="D221" i="22"/>
  <c r="O16" i="10"/>
  <c r="F17" i="31" s="1"/>
  <c r="G11" i="9"/>
  <c r="D14" i="20"/>
  <c r="AH20" i="13"/>
  <c r="Q27" i="10"/>
  <c r="AB13" i="13"/>
  <c r="AB12" i="13"/>
  <c r="AY12" i="13"/>
  <c r="AY13" i="13"/>
  <c r="AT13" i="13"/>
  <c r="AT12" i="13"/>
  <c r="AG12" i="13"/>
  <c r="AG13" i="13"/>
  <c r="AU12" i="13"/>
  <c r="AU13" i="13"/>
  <c r="BC12" i="13"/>
  <c r="BC13" i="13"/>
  <c r="AG242" i="22"/>
  <c r="AG228" i="22"/>
  <c r="L38" i="29"/>
  <c r="K38" i="29" s="1"/>
  <c r="D14" i="10"/>
  <c r="D32" i="10" s="1"/>
  <c r="Q32" i="10"/>
  <c r="F56" i="9"/>
  <c r="C56" i="9" s="1"/>
  <c r="L228" i="22"/>
  <c r="L242" i="22"/>
  <c r="AJ228" i="22"/>
  <c r="AJ242" i="22"/>
  <c r="AI13" i="13"/>
  <c r="AI12" i="13"/>
  <c r="AH6" i="13"/>
  <c r="F13" i="13"/>
  <c r="F12" i="13"/>
  <c r="W12" i="13"/>
  <c r="W13" i="13"/>
  <c r="V11" i="13"/>
  <c r="S241" i="22"/>
  <c r="S227" i="22"/>
  <c r="H13" i="13"/>
  <c r="H12" i="13"/>
  <c r="L12" i="13"/>
  <c r="L13" i="13"/>
  <c r="AN11" i="13"/>
  <c r="AG227" i="22"/>
  <c r="AG241" i="22"/>
  <c r="K12" i="29"/>
  <c r="L31" i="29"/>
  <c r="L32" i="29"/>
  <c r="X6" i="13"/>
  <c r="S6" i="13"/>
  <c r="F54" i="9"/>
  <c r="C54" i="9" s="1"/>
  <c r="I6" i="13"/>
  <c r="AA11" i="13"/>
  <c r="W227" i="22"/>
  <c r="W241" i="22"/>
  <c r="E11" i="13"/>
  <c r="E227" i="22"/>
  <c r="E241" i="22"/>
  <c r="AE11" i="13"/>
  <c r="Z241" i="22"/>
  <c r="Z227" i="22"/>
  <c r="G227" i="22"/>
  <c r="G241" i="22"/>
  <c r="G11" i="13"/>
  <c r="J27" i="29"/>
  <c r="E74" i="18"/>
  <c r="F25" i="21" s="1"/>
  <c r="L59" i="18"/>
  <c r="O59" i="18"/>
  <c r="I227" i="22"/>
  <c r="I241" i="22"/>
  <c r="C32" i="10"/>
  <c r="O62" i="18"/>
  <c r="K58" i="18"/>
  <c r="D73" i="18"/>
  <c r="M81" i="9"/>
  <c r="J6" i="22"/>
  <c r="AW11" i="6"/>
  <c r="AW10" i="6" s="1"/>
  <c r="Q241" i="22"/>
  <c r="Q227" i="22"/>
  <c r="G127" i="19"/>
  <c r="H127" i="19" s="1"/>
  <c r="C194" i="11"/>
  <c r="E194" i="11"/>
  <c r="G194" i="11"/>
  <c r="AS194" i="11"/>
  <c r="O194" i="11"/>
  <c r="AL194" i="11"/>
  <c r="AO194" i="11"/>
  <c r="AA194" i="11"/>
  <c r="K194" i="11"/>
  <c r="AF194" i="11"/>
  <c r="H194" i="11"/>
  <c r="AQ194" i="11"/>
  <c r="AT194" i="11"/>
  <c r="AR194" i="11"/>
  <c r="AP194" i="11"/>
  <c r="W194" i="11"/>
  <c r="M194" i="11"/>
  <c r="AG194" i="11"/>
  <c r="P194" i="11"/>
  <c r="Q194" i="11"/>
  <c r="X194" i="11"/>
  <c r="R194" i="11"/>
  <c r="AB194" i="11"/>
  <c r="Z194" i="11"/>
  <c r="V194" i="11"/>
  <c r="S194" i="11"/>
  <c r="U194" i="11"/>
  <c r="N194" i="11"/>
  <c r="J194" i="11"/>
  <c r="AI194" i="11"/>
  <c r="AH194" i="11"/>
  <c r="AK194" i="11"/>
  <c r="F194" i="11"/>
  <c r="AC194" i="11"/>
  <c r="AD194" i="11"/>
  <c r="AE194" i="11"/>
  <c r="T194" i="11"/>
  <c r="AM194" i="11"/>
  <c r="L194" i="11"/>
  <c r="Y194" i="11"/>
  <c r="D194" i="11"/>
  <c r="I194" i="11"/>
  <c r="AJ194" i="11"/>
  <c r="AN194" i="11"/>
  <c r="AH227" i="22"/>
  <c r="AH241" i="22"/>
  <c r="AO11" i="13"/>
  <c r="G228" i="22"/>
  <c r="G242" i="22"/>
  <c r="G118" i="19"/>
  <c r="H118" i="19" s="1"/>
  <c r="AV228" i="22"/>
  <c r="AV242" i="22"/>
  <c r="AO241" i="22"/>
  <c r="AO227" i="22"/>
  <c r="H78" i="18"/>
  <c r="J79" i="21" s="1"/>
  <c r="O63" i="18"/>
  <c r="Y228" i="22"/>
  <c r="Y242" i="22"/>
  <c r="P66" i="18"/>
  <c r="BS11" i="6"/>
  <c r="BS10" i="6" s="1"/>
  <c r="D78" i="18"/>
  <c r="AH242" i="22"/>
  <c r="AH228" i="22"/>
  <c r="BK11" i="6"/>
  <c r="BK10" i="6" s="1"/>
  <c r="G80" i="18"/>
  <c r="L61" i="21" s="1"/>
  <c r="N65" i="18"/>
  <c r="AN228" i="22"/>
  <c r="AN242" i="22"/>
  <c r="AB27" i="29"/>
  <c r="E15" i="19"/>
  <c r="AF36" i="29"/>
  <c r="AE36" i="29" s="1"/>
  <c r="AA30" i="10"/>
  <c r="AU227" i="22"/>
  <c r="AU241" i="22"/>
  <c r="N64" i="18"/>
  <c r="E44" i="7"/>
  <c r="AV227" i="22"/>
  <c r="N58" i="18"/>
  <c r="BW11" i="6"/>
  <c r="BW10" i="6" s="1"/>
  <c r="O64" i="18"/>
  <c r="H79" i="18"/>
  <c r="K79" i="21" s="1"/>
  <c r="G77" i="18"/>
  <c r="I61" i="21" s="1"/>
  <c r="N62" i="18"/>
  <c r="BH11" i="6"/>
  <c r="BH10" i="6" s="1"/>
  <c r="AR11" i="6"/>
  <c r="AR10" i="6" s="1"/>
  <c r="N241" i="22"/>
  <c r="P11" i="13"/>
  <c r="N227" i="22"/>
  <c r="L27" i="29"/>
  <c r="E7" i="19"/>
  <c r="I38" i="29"/>
  <c r="M60" i="18"/>
  <c r="K64" i="18"/>
  <c r="D79" i="18"/>
  <c r="E228" i="22"/>
  <c r="E242" i="22"/>
  <c r="I31" i="29"/>
  <c r="I32" i="29"/>
  <c r="W228" i="22"/>
  <c r="W242" i="22"/>
  <c r="Z228" i="22"/>
  <c r="Z242" i="22"/>
  <c r="M89" i="9"/>
  <c r="F77" i="18"/>
  <c r="I43" i="21" s="1"/>
  <c r="AU11" i="6"/>
  <c r="AU10" i="6" s="1"/>
  <c r="M62" i="18"/>
  <c r="AN241" i="22"/>
  <c r="AV11" i="13"/>
  <c r="AN227" i="22"/>
  <c r="M242" i="22"/>
  <c r="M228" i="22"/>
  <c r="AO242" i="22"/>
  <c r="AO228" i="22"/>
  <c r="N228" i="22"/>
  <c r="N242" i="22"/>
  <c r="AD11" i="13"/>
  <c r="Y227" i="22"/>
  <c r="Y241" i="22"/>
  <c r="K192" i="11"/>
  <c r="O192" i="11"/>
  <c r="G192" i="11"/>
  <c r="F192" i="11"/>
  <c r="X192" i="11"/>
  <c r="H192" i="11"/>
  <c r="AP192" i="11"/>
  <c r="U192" i="11"/>
  <c r="S192" i="11"/>
  <c r="AR192" i="11"/>
  <c r="Z192" i="11"/>
  <c r="N192" i="11"/>
  <c r="L192" i="11"/>
  <c r="AM192" i="11"/>
  <c r="I192" i="11"/>
  <c r="C192" i="11"/>
  <c r="AH192" i="11"/>
  <c r="Q192" i="11"/>
  <c r="AQ192" i="11"/>
  <c r="AT192" i="11"/>
  <c r="AO192" i="11"/>
  <c r="Y192" i="11"/>
  <c r="AJ192" i="11"/>
  <c r="R192" i="11"/>
  <c r="AF192" i="11"/>
  <c r="AA192" i="11"/>
  <c r="D192" i="11"/>
  <c r="M192" i="11"/>
  <c r="AC192" i="11"/>
  <c r="AI192" i="11"/>
  <c r="AL192" i="11"/>
  <c r="AN192" i="11"/>
  <c r="V192" i="11"/>
  <c r="AG192" i="11"/>
  <c r="W192" i="11"/>
  <c r="AD192" i="11"/>
  <c r="AB192" i="11"/>
  <c r="E192" i="11"/>
  <c r="T192" i="11"/>
  <c r="J192" i="11"/>
  <c r="P192" i="11"/>
  <c r="AS192" i="11"/>
  <c r="AE192" i="11"/>
  <c r="AK192" i="11"/>
  <c r="E78" i="18"/>
  <c r="J25" i="21" s="1"/>
  <c r="L63" i="18"/>
  <c r="J32" i="13"/>
  <c r="N15" i="23"/>
  <c r="N22" i="23" s="1"/>
  <c r="M18" i="23"/>
  <c r="M23" i="23" s="1"/>
  <c r="M21" i="23" s="1"/>
  <c r="L23" i="23"/>
  <c r="EM32" i="29" l="1"/>
  <c r="EM31" i="29"/>
  <c r="J17" i="20"/>
  <c r="F81" i="7"/>
  <c r="AU242" i="22"/>
  <c r="K61" i="18"/>
  <c r="K65" i="18"/>
  <c r="K224" i="22"/>
  <c r="R206" i="19"/>
  <c r="I222" i="19"/>
  <c r="Z429" i="17"/>
  <c r="Z19" i="20" s="1"/>
  <c r="D16" i="20"/>
  <c r="U359" i="17"/>
  <c r="N66" i="18"/>
  <c r="AS11" i="6"/>
  <c r="AS10" i="6" s="1"/>
  <c r="P58" i="18"/>
  <c r="E79" i="18"/>
  <c r="K25" i="21" s="1"/>
  <c r="BG11" i="6"/>
  <c r="BG10" i="6" s="1"/>
  <c r="L241" i="22"/>
  <c r="H45" i="21"/>
  <c r="CL11" i="10"/>
  <c r="L45" i="21"/>
  <c r="G18" i="34"/>
  <c r="G47" i="34"/>
  <c r="S17" i="20"/>
  <c r="AA39" i="17"/>
  <c r="AI39" i="17"/>
  <c r="T39" i="17"/>
  <c r="J54" i="17"/>
  <c r="Q54" i="17"/>
  <c r="U11" i="43"/>
  <c r="J19" i="17"/>
  <c r="AK19" i="17"/>
  <c r="E59" i="17"/>
  <c r="T59" i="17"/>
  <c r="D59" i="18"/>
  <c r="G59" i="18"/>
  <c r="F74" i="18"/>
  <c r="F43" i="21" s="1"/>
  <c r="P57" i="18"/>
  <c r="CV14" i="29"/>
  <c r="CU14" i="29" s="1"/>
  <c r="P19" i="17"/>
  <c r="X19" i="17"/>
  <c r="AB19" i="17"/>
  <c r="L352" i="11"/>
  <c r="AO59" i="17"/>
  <c r="AM59" i="17"/>
  <c r="AR59" i="17"/>
  <c r="AP59" i="17"/>
  <c r="AN59" i="17"/>
  <c r="AU59" i="17"/>
  <c r="S59" i="17"/>
  <c r="AK59" i="17"/>
  <c r="AU228" i="22"/>
  <c r="G36" i="34"/>
  <c r="AI224" i="22"/>
  <c r="AS224" i="22"/>
  <c r="AG19" i="17"/>
  <c r="U19" i="17"/>
  <c r="T19" i="17"/>
  <c r="V19" i="17"/>
  <c r="V59" i="17"/>
  <c r="J59" i="17"/>
  <c r="D62" i="18"/>
  <c r="F63" i="18"/>
  <c r="E75" i="18"/>
  <c r="G25" i="21" s="1"/>
  <c r="P359" i="17"/>
  <c r="R39" i="17"/>
  <c r="N54" i="17"/>
  <c r="AG224" i="22"/>
  <c r="AQ11" i="43"/>
  <c r="H11" i="43"/>
  <c r="K19" i="17"/>
  <c r="AC19" i="17"/>
  <c r="Y19" i="17"/>
  <c r="O19" i="17"/>
  <c r="AO19" i="17"/>
  <c r="N19" i="17"/>
  <c r="AE11" i="43"/>
  <c r="T34" i="17"/>
  <c r="AM34" i="17"/>
  <c r="Z59" i="17"/>
  <c r="N59" i="17"/>
  <c r="AL59" i="17"/>
  <c r="AD59" i="17"/>
  <c r="AQ59" i="17"/>
  <c r="L59" i="17"/>
  <c r="P59" i="17"/>
  <c r="D409" i="17"/>
  <c r="L215" i="19"/>
  <c r="J359" i="17"/>
  <c r="AT224" i="22"/>
  <c r="AH429" i="17"/>
  <c r="AR54" i="17"/>
  <c r="AQ54" i="17"/>
  <c r="AU19" i="17"/>
  <c r="W19" i="17"/>
  <c r="AV19" i="17"/>
  <c r="AB59" i="17"/>
  <c r="AF59" i="17"/>
  <c r="AT59" i="17"/>
  <c r="AS59" i="17"/>
  <c r="Q59" i="17"/>
  <c r="K59" i="17"/>
  <c r="BS31" i="29"/>
  <c r="BS32" i="29"/>
  <c r="AE59" i="17"/>
  <c r="AA74" i="17"/>
  <c r="AA14" i="17" s="1"/>
  <c r="AP429" i="17"/>
  <c r="X359" i="17"/>
  <c r="X225" i="22" s="1"/>
  <c r="AD39" i="17"/>
  <c r="AL39" i="17"/>
  <c r="AG39" i="17"/>
  <c r="EY38" i="29"/>
  <c r="N17" i="20"/>
  <c r="I219" i="19"/>
  <c r="T219" i="19"/>
  <c r="T216" i="19"/>
  <c r="F99" i="7" s="1"/>
  <c r="AE429" i="17"/>
  <c r="S429" i="17"/>
  <c r="S226" i="22" s="1"/>
  <c r="I39" i="17"/>
  <c r="Q39" i="17"/>
  <c r="I54" i="17"/>
  <c r="AT54" i="17"/>
  <c r="CH11" i="6"/>
  <c r="CH10" i="6" s="1"/>
  <c r="O60" i="18"/>
  <c r="I45" i="21"/>
  <c r="R197" i="19"/>
  <c r="BE9" i="6"/>
  <c r="R80" i="9"/>
  <c r="G39" i="17"/>
  <c r="Z39" i="17"/>
  <c r="AP39" i="17"/>
  <c r="AO39" i="17"/>
  <c r="O39" i="17"/>
  <c r="X54" i="17"/>
  <c r="M19" i="17"/>
  <c r="AA11" i="43"/>
  <c r="AF11" i="43"/>
  <c r="AQ19" i="17"/>
  <c r="Y34" i="17"/>
  <c r="G34" i="17"/>
  <c r="AJ34" i="17"/>
  <c r="AE34" i="17"/>
  <c r="AG34" i="17"/>
  <c r="M34" i="17"/>
  <c r="R59" i="17"/>
  <c r="H59" i="17"/>
  <c r="X59" i="17"/>
  <c r="O59" i="17"/>
  <c r="F59" i="17"/>
  <c r="AV59" i="17"/>
  <c r="D479" i="17"/>
  <c r="AR13" i="43"/>
  <c r="Z11" i="43"/>
  <c r="G11" i="43"/>
  <c r="AU11" i="43"/>
  <c r="AP19" i="17"/>
  <c r="Z19" i="17"/>
  <c r="G19" i="17"/>
  <c r="X23" i="43"/>
  <c r="AK11" i="43"/>
  <c r="AG11" i="43"/>
  <c r="AT11" i="43"/>
  <c r="AW13" i="43"/>
  <c r="L19" i="17"/>
  <c r="AF19" i="17"/>
  <c r="F19" i="17"/>
  <c r="AB11" i="43"/>
  <c r="AB126" i="7"/>
  <c r="AF116" i="7"/>
  <c r="J34" i="17"/>
  <c r="D454" i="17"/>
  <c r="BB8" i="6"/>
  <c r="AY11" i="43"/>
  <c r="AJ11" i="43"/>
  <c r="H19" i="17"/>
  <c r="AN19" i="17"/>
  <c r="D384" i="17"/>
  <c r="E34" i="17"/>
  <c r="E54" i="17"/>
  <c r="AJ19" i="17"/>
  <c r="AM19" i="17"/>
  <c r="N34" i="17"/>
  <c r="M241" i="22"/>
  <c r="L11" i="43"/>
  <c r="M227" i="22"/>
  <c r="Q17" i="13"/>
  <c r="O243" i="22" s="1"/>
  <c r="K11" i="43"/>
  <c r="U17" i="13"/>
  <c r="R229" i="22" s="1"/>
  <c r="T11" i="13"/>
  <c r="AX17" i="13"/>
  <c r="V17" i="13"/>
  <c r="S229" i="22" s="1"/>
  <c r="Q228" i="22"/>
  <c r="AC32" i="29"/>
  <c r="Z17" i="13"/>
  <c r="V243" i="22" s="1"/>
  <c r="AK17" i="13"/>
  <c r="BF17" i="13"/>
  <c r="G73" i="18"/>
  <c r="E61" i="21" s="1"/>
  <c r="BJ11" i="6"/>
  <c r="BJ10" i="6" s="1"/>
  <c r="M64" i="18"/>
  <c r="H77" i="18"/>
  <c r="I79" i="21" s="1"/>
  <c r="H74" i="18"/>
  <c r="F79" i="21" s="1"/>
  <c r="C59" i="18"/>
  <c r="K57" i="18"/>
  <c r="CE11" i="6"/>
  <c r="CE10" i="6" s="1"/>
  <c r="I73" i="18"/>
  <c r="E97" i="21" s="1"/>
  <c r="E73" i="18"/>
  <c r="E25" i="21" s="1"/>
  <c r="N61" i="18"/>
  <c r="L65" i="18"/>
  <c r="P59" i="18"/>
  <c r="M66" i="18"/>
  <c r="P62" i="18"/>
  <c r="BE7" i="10"/>
  <c r="BE9" i="10" s="1"/>
  <c r="AP11" i="6"/>
  <c r="AP10" i="6" s="1"/>
  <c r="BS7" i="10"/>
  <c r="BS9" i="10" s="1"/>
  <c r="M57" i="18"/>
  <c r="J57" i="18" s="1"/>
  <c r="N80" i="9"/>
  <c r="H17" i="43"/>
  <c r="P11" i="43"/>
  <c r="AN17" i="13"/>
  <c r="AI17" i="13"/>
  <c r="AU17" i="13"/>
  <c r="AU17" i="43"/>
  <c r="AB17" i="13"/>
  <c r="X243" i="22" s="1"/>
  <c r="AB17" i="43"/>
  <c r="L17" i="13"/>
  <c r="K229" i="22" s="1"/>
  <c r="L17" i="43"/>
  <c r="AC12" i="43"/>
  <c r="AD11" i="43"/>
  <c r="AC11" i="43" s="1"/>
  <c r="C27" i="10"/>
  <c r="M39" i="17"/>
  <c r="F17" i="13"/>
  <c r="F243" i="22" s="1"/>
  <c r="F17" i="43"/>
  <c r="O17" i="13"/>
  <c r="O17" i="43"/>
  <c r="K17" i="13"/>
  <c r="J243" i="22" s="1"/>
  <c r="K17" i="43"/>
  <c r="AE17" i="13"/>
  <c r="AE17" i="43"/>
  <c r="R17" i="13"/>
  <c r="P229" i="22" s="1"/>
  <c r="R17" i="43"/>
  <c r="P17" i="13"/>
  <c r="N229" i="22" s="1"/>
  <c r="P17" i="43"/>
  <c r="J17" i="13"/>
  <c r="I229" i="22" s="1"/>
  <c r="J17" i="43"/>
  <c r="C6" i="43"/>
  <c r="DM31" i="29"/>
  <c r="DM32" i="29"/>
  <c r="C20" i="43"/>
  <c r="AH13" i="43"/>
  <c r="AN11" i="43"/>
  <c r="AM12" i="43"/>
  <c r="T11" i="43"/>
  <c r="S12" i="43"/>
  <c r="CC29" i="29"/>
  <c r="CC30" i="29" s="1"/>
  <c r="P429" i="17"/>
  <c r="AM429" i="17"/>
  <c r="AM226" i="22" s="1"/>
  <c r="H359" i="17"/>
  <c r="W39" i="17"/>
  <c r="BD17" i="13"/>
  <c r="BD17" i="43"/>
  <c r="I13" i="43"/>
  <c r="AG23" i="43"/>
  <c r="AG23" i="13"/>
  <c r="AA19" i="17"/>
  <c r="AI19" i="17"/>
  <c r="AB129" i="21"/>
  <c r="AC131" i="21"/>
  <c r="AC134" i="21"/>
  <c r="AD129" i="21"/>
  <c r="AB134" i="21"/>
  <c r="AD134" i="21"/>
  <c r="AD130" i="21"/>
  <c r="AE134" i="21"/>
  <c r="AD132" i="21"/>
  <c r="AB131" i="21"/>
  <c r="AC133" i="21"/>
  <c r="AC130" i="21"/>
  <c r="AE133" i="21"/>
  <c r="AC129" i="21"/>
  <c r="AD131" i="21"/>
  <c r="AB130" i="21"/>
  <c r="AB132" i="21"/>
  <c r="AE130" i="21"/>
  <c r="AE129" i="21"/>
  <c r="AD133" i="21"/>
  <c r="AC132" i="21"/>
  <c r="AE132" i="21"/>
  <c r="AE131" i="21"/>
  <c r="AB133" i="21"/>
  <c r="AC13" i="43"/>
  <c r="BD7" i="10"/>
  <c r="BD9" i="10" s="1"/>
  <c r="E6" i="19"/>
  <c r="C6" i="19" s="1"/>
  <c r="J429" i="17"/>
  <c r="EI11" i="29"/>
  <c r="BC17" i="13"/>
  <c r="AQ17" i="13"/>
  <c r="AQ17" i="43"/>
  <c r="BA17" i="13"/>
  <c r="BA17" i="43"/>
  <c r="AG17" i="13"/>
  <c r="AG17" i="43"/>
  <c r="AV11" i="43"/>
  <c r="BA11" i="43"/>
  <c r="O11" i="43"/>
  <c r="N12" i="43"/>
  <c r="J11" i="43"/>
  <c r="I12" i="43"/>
  <c r="AO11" i="43"/>
  <c r="BI32" i="29"/>
  <c r="BI31" i="29"/>
  <c r="M11" i="43"/>
  <c r="AJ116" i="21"/>
  <c r="AF126" i="21"/>
  <c r="AO17" i="13"/>
  <c r="AO17" i="43"/>
  <c r="T17" i="13"/>
  <c r="Q229" i="22" s="1"/>
  <c r="T17" i="43"/>
  <c r="AJ17" i="13"/>
  <c r="AJ17" i="43"/>
  <c r="E19" i="17"/>
  <c r="D369" i="17"/>
  <c r="BJ7" i="10"/>
  <c r="BJ9" i="10" s="1"/>
  <c r="B16" i="10"/>
  <c r="F9" i="40"/>
  <c r="C495" i="17"/>
  <c r="E14" i="26" s="1"/>
  <c r="C4" i="40"/>
  <c r="C3" i="40" s="1"/>
  <c r="H45" i="7"/>
  <c r="BG7" i="10"/>
  <c r="BG9" i="10" s="1"/>
  <c r="BP7" i="10"/>
  <c r="DJ13" i="29" s="1"/>
  <c r="BK7" i="10"/>
  <c r="BK9" i="10" s="1"/>
  <c r="DH31" i="29"/>
  <c r="AD429" i="17"/>
  <c r="AD19" i="20" s="1"/>
  <c r="I429" i="17"/>
  <c r="EI38" i="29"/>
  <c r="EI19" i="29"/>
  <c r="AP17" i="13"/>
  <c r="AM39" i="17"/>
  <c r="F39" i="17"/>
  <c r="AS17" i="13"/>
  <c r="AS17" i="43"/>
  <c r="M17" i="13"/>
  <c r="L229" i="22" s="1"/>
  <c r="M17" i="43"/>
  <c r="AD17" i="13"/>
  <c r="AD17" i="43"/>
  <c r="AM13" i="43"/>
  <c r="D25" i="40"/>
  <c r="F11" i="43"/>
  <c r="N13" i="43"/>
  <c r="AF23" i="43"/>
  <c r="AF23" i="13"/>
  <c r="D439" i="17"/>
  <c r="BB13" i="43"/>
  <c r="BH7" i="10"/>
  <c r="BH9" i="10" s="1"/>
  <c r="AZ17" i="13"/>
  <c r="AZ17" i="43"/>
  <c r="AA17" i="13"/>
  <c r="AA17" i="43"/>
  <c r="Y17" i="13"/>
  <c r="U229" i="22" s="1"/>
  <c r="Y17" i="43"/>
  <c r="G17" i="13"/>
  <c r="G243" i="22" s="1"/>
  <c r="G17" i="43"/>
  <c r="E11" i="43"/>
  <c r="D12" i="43"/>
  <c r="F2" i="41"/>
  <c r="AD23" i="43"/>
  <c r="AD23" i="13"/>
  <c r="O55" i="13"/>
  <c r="P50" i="13"/>
  <c r="Y11" i="43"/>
  <c r="X12" i="43"/>
  <c r="E9" i="40"/>
  <c r="AL11" i="43"/>
  <c r="BC11" i="43"/>
  <c r="BB12" i="43"/>
  <c r="BY7" i="10"/>
  <c r="EB13" i="29" s="1"/>
  <c r="EA13" i="29" s="1"/>
  <c r="EA29" i="29" s="1"/>
  <c r="BI7" i="10"/>
  <c r="BI9" i="10" s="1"/>
  <c r="E17" i="20"/>
  <c r="W429" i="17"/>
  <c r="W226" i="22" s="1"/>
  <c r="AF359" i="17"/>
  <c r="AF225" i="22" s="1"/>
  <c r="EH12" i="29"/>
  <c r="D12" i="29" s="1"/>
  <c r="B33" i="29" s="1"/>
  <c r="F17" i="20"/>
  <c r="AR39" i="17"/>
  <c r="U54" i="17"/>
  <c r="AE127" i="20" a="1"/>
  <c r="AE127" i="20" s="1"/>
  <c r="C71" i="22"/>
  <c r="AV17" i="13"/>
  <c r="AV17" i="43"/>
  <c r="D13" i="43"/>
  <c r="W11" i="43"/>
  <c r="AR12" i="43"/>
  <c r="AS11" i="43"/>
  <c r="AP11" i="43"/>
  <c r="AE23" i="43"/>
  <c r="AE23" i="13"/>
  <c r="X13" i="43"/>
  <c r="Q19" i="17"/>
  <c r="E32" i="10"/>
  <c r="D117" i="19"/>
  <c r="C117" i="19" s="1"/>
  <c r="BL7" i="10"/>
  <c r="DB13" i="29" s="1"/>
  <c r="DA13" i="29" s="1"/>
  <c r="DA29" i="29" s="1"/>
  <c r="J81" i="21"/>
  <c r="K429" i="17"/>
  <c r="K19" i="20" s="1"/>
  <c r="AS359" i="17"/>
  <c r="EI27" i="29"/>
  <c r="EI25" i="29"/>
  <c r="K39" i="17"/>
  <c r="AV54" i="17"/>
  <c r="AF54" i="17"/>
  <c r="G54" i="17"/>
  <c r="BE17" i="13"/>
  <c r="BE17" i="43"/>
  <c r="AY17" i="13"/>
  <c r="AY17" i="43"/>
  <c r="AF17" i="13"/>
  <c r="AF17" i="43"/>
  <c r="AL17" i="13"/>
  <c r="AL17" i="43"/>
  <c r="W17" i="13"/>
  <c r="T229" i="22" s="1"/>
  <c r="W17" i="43"/>
  <c r="S13" i="43"/>
  <c r="AX11" i="43"/>
  <c r="AW11" i="43" s="1"/>
  <c r="AW12" i="43"/>
  <c r="R11" i="43"/>
  <c r="BF11" i="43"/>
  <c r="AS19" i="17"/>
  <c r="BD11" i="43"/>
  <c r="AI11" i="43"/>
  <c r="AH12" i="43"/>
  <c r="R19" i="17"/>
  <c r="Q11" i="43"/>
  <c r="X23" i="13"/>
  <c r="M32" i="13"/>
  <c r="M33" i="13" s="1"/>
  <c r="M32" i="43"/>
  <c r="M33" i="43" s="1"/>
  <c r="AR74" i="17"/>
  <c r="AR14" i="17" s="1"/>
  <c r="H429" i="17"/>
  <c r="H226" i="22" s="1"/>
  <c r="Q429" i="17"/>
  <c r="Y359" i="17"/>
  <c r="AU54" i="17"/>
  <c r="AD127" i="20" a="1"/>
  <c r="AD127" i="20" s="1"/>
  <c r="F54" i="17"/>
  <c r="AG137" i="20" a="1"/>
  <c r="AG137" i="20" s="1"/>
  <c r="AI7" i="10"/>
  <c r="F80" i="18"/>
  <c r="L43" i="21" s="1"/>
  <c r="K99" i="21"/>
  <c r="T217" i="19"/>
  <c r="G99" i="21" s="1"/>
  <c r="AV17" i="20"/>
  <c r="CH38" i="29"/>
  <c r="CG38" i="29" s="1"/>
  <c r="AO429" i="17"/>
  <c r="AO226" i="22" s="1"/>
  <c r="U429" i="17"/>
  <c r="U19" i="20" s="1"/>
  <c r="O429" i="17"/>
  <c r="DF29" i="29"/>
  <c r="DF30" i="29" s="1"/>
  <c r="X17" i="20"/>
  <c r="BV9" i="10"/>
  <c r="H39" i="17"/>
  <c r="AJ39" i="17"/>
  <c r="AV241" i="22"/>
  <c r="BF7" i="10"/>
  <c r="H229" i="22"/>
  <c r="O61" i="18"/>
  <c r="AG7" i="6"/>
  <c r="M224" i="22"/>
  <c r="ES17" i="29"/>
  <c r="ES16" i="29"/>
  <c r="ES19" i="29"/>
  <c r="FE19" i="29"/>
  <c r="FE17" i="29"/>
  <c r="FE25" i="29"/>
  <c r="FE18" i="29"/>
  <c r="FC11" i="29"/>
  <c r="FC19" i="29"/>
  <c r="FC24" i="29"/>
  <c r="EW20" i="29"/>
  <c r="AI429" i="17"/>
  <c r="AI19" i="20" s="1"/>
  <c r="AB429" i="17"/>
  <c r="AK429" i="17"/>
  <c r="AK226" i="22" s="1"/>
  <c r="N429" i="17"/>
  <c r="V359" i="17"/>
  <c r="V18" i="20" s="1"/>
  <c r="AH359" i="17"/>
  <c r="Q359" i="17"/>
  <c r="Q18" i="20" s="1"/>
  <c r="Q13" i="20" s="1"/>
  <c r="E359" i="17"/>
  <c r="N359" i="17"/>
  <c r="N18" i="20" s="1"/>
  <c r="AJ359" i="17"/>
  <c r="AM359" i="17"/>
  <c r="AM18" i="20" s="1"/>
  <c r="F359" i="17"/>
  <c r="S359" i="17"/>
  <c r="S18" i="20" s="1"/>
  <c r="AV359" i="17"/>
  <c r="D289" i="17"/>
  <c r="AN39" i="17"/>
  <c r="V39" i="17"/>
  <c r="AK39" i="17"/>
  <c r="AB54" i="17"/>
  <c r="H54" i="17"/>
  <c r="AE54" i="17"/>
  <c r="Z54" i="17"/>
  <c r="L54" i="17"/>
  <c r="T54" i="17"/>
  <c r="S54" i="17"/>
  <c r="AP54" i="17"/>
  <c r="W224" i="22"/>
  <c r="W17" i="20"/>
  <c r="G359" i="17"/>
  <c r="G225" i="22" s="1"/>
  <c r="EY25" i="29"/>
  <c r="EY27" i="29"/>
  <c r="EY28" i="29"/>
  <c r="EI9" i="29"/>
  <c r="D223" i="22"/>
  <c r="U39" i="17"/>
  <c r="AB39" i="17"/>
  <c r="AL54" i="17"/>
  <c r="AS54" i="17"/>
  <c r="AI54" i="17"/>
  <c r="AO54" i="17"/>
  <c r="M54" i="17"/>
  <c r="K54" i="17"/>
  <c r="O352" i="11"/>
  <c r="CC32" i="29"/>
  <c r="CC31" i="29"/>
  <c r="BC32" i="29"/>
  <c r="BC31" i="29"/>
  <c r="H98" i="9"/>
  <c r="N98" i="9" s="1"/>
  <c r="AT7" i="6"/>
  <c r="AT9" i="6" s="1"/>
  <c r="F169" i="19"/>
  <c r="P65" i="18"/>
  <c r="S7" i="6"/>
  <c r="CK11" i="6"/>
  <c r="CK10" i="6" s="1"/>
  <c r="I76" i="18"/>
  <c r="H97" i="21" s="1"/>
  <c r="AR7" i="6"/>
  <c r="AR9" i="6" s="1"/>
  <c r="AI7" i="6"/>
  <c r="AH7" i="10"/>
  <c r="H72" i="18"/>
  <c r="D79" i="21" s="1"/>
  <c r="I77" i="18"/>
  <c r="I97" i="21" s="1"/>
  <c r="I75" i="18"/>
  <c r="G97" i="21" s="1"/>
  <c r="H81" i="18"/>
  <c r="E72" i="18"/>
  <c r="D25" i="21" s="1"/>
  <c r="R7" i="6"/>
  <c r="AU7" i="6"/>
  <c r="AU9" i="6" s="1"/>
  <c r="CF7" i="6"/>
  <c r="AC29" i="29"/>
  <c r="AC30" i="29" s="1"/>
  <c r="U7" i="6"/>
  <c r="Q80" i="9"/>
  <c r="BF11" i="6"/>
  <c r="BF10" i="6" s="1"/>
  <c r="Q7" i="6"/>
  <c r="P7" i="6"/>
  <c r="AX7" i="6"/>
  <c r="AX9" i="6" s="1"/>
  <c r="CH7" i="6"/>
  <c r="T7" i="6"/>
  <c r="X7" i="6"/>
  <c r="I67" i="18"/>
  <c r="P67" i="18" s="1"/>
  <c r="BU7" i="6"/>
  <c r="BU9" i="6" s="1"/>
  <c r="CE7" i="6"/>
  <c r="G12" i="29"/>
  <c r="G31" i="29" s="1"/>
  <c r="C60" i="18"/>
  <c r="W7" i="6"/>
  <c r="V7" i="6"/>
  <c r="AS7" i="10"/>
  <c r="AS9" i="10" s="1"/>
  <c r="BT11" i="6"/>
  <c r="BT10" i="6" s="1"/>
  <c r="C62" i="18"/>
  <c r="C66" i="18"/>
  <c r="CI11" i="6"/>
  <c r="CI10" i="6" s="1"/>
  <c r="BW7" i="10"/>
  <c r="BW9" i="10" s="1"/>
  <c r="BX7" i="10"/>
  <c r="BX9" i="10" s="1"/>
  <c r="L62" i="18"/>
  <c r="L66" i="18"/>
  <c r="F76" i="18"/>
  <c r="H43" i="21" s="1"/>
  <c r="I79" i="18"/>
  <c r="K97" i="21" s="1"/>
  <c r="CJ7" i="10"/>
  <c r="CJ9" i="10" s="1"/>
  <c r="BP11" i="6"/>
  <c r="BP10" i="6" s="1"/>
  <c r="C118" i="21"/>
  <c r="BQ7" i="10"/>
  <c r="BQ9" i="10" s="1"/>
  <c r="BU7" i="10"/>
  <c r="AT11" i="6"/>
  <c r="AT10" i="6" s="1"/>
  <c r="I78" i="18"/>
  <c r="J97" i="21" s="1"/>
  <c r="BT7" i="10"/>
  <c r="BT9" i="10" s="1"/>
  <c r="BR7" i="10"/>
  <c r="BR9" i="10" s="1"/>
  <c r="H31" i="29"/>
  <c r="P64" i="18"/>
  <c r="E17" i="13"/>
  <c r="D12" i="13"/>
  <c r="P80" i="9"/>
  <c r="BB24" i="29"/>
  <c r="BB20" i="29" s="1"/>
  <c r="BA20" i="29" s="1"/>
  <c r="AJ24" i="29"/>
  <c r="AI24" i="29" s="1"/>
  <c r="AE7" i="6"/>
  <c r="AJ7" i="6"/>
  <c r="S13" i="13"/>
  <c r="C65" i="18"/>
  <c r="S82" i="9"/>
  <c r="S86" i="9"/>
  <c r="AJ7" i="10"/>
  <c r="C64" i="18"/>
  <c r="N63" i="18"/>
  <c r="AH7" i="6"/>
  <c r="AK7" i="6"/>
  <c r="M65" i="18"/>
  <c r="E67" i="18"/>
  <c r="L67" i="18" s="1"/>
  <c r="AI397" i="20"/>
  <c r="AH382" i="20"/>
  <c r="AH371" i="20" s="1"/>
  <c r="AG382" i="20"/>
  <c r="AG371" i="20" s="1"/>
  <c r="AI381" i="20"/>
  <c r="AI370" i="20" s="1"/>
  <c r="AG378" i="20"/>
  <c r="AG367" i="20" s="1"/>
  <c r="V7" i="10"/>
  <c r="AG7" i="10"/>
  <c r="AL7" i="6"/>
  <c r="AF7" i="6"/>
  <c r="AI380" i="20"/>
  <c r="AI369" i="20" s="1"/>
  <c r="AH378" i="20"/>
  <c r="AH367" i="20" s="1"/>
  <c r="AA54" i="17"/>
  <c r="AG429" i="17"/>
  <c r="ES18" i="29"/>
  <c r="AJ429" i="17"/>
  <c r="AJ226" i="22" s="1"/>
  <c r="AV429" i="17"/>
  <c r="AT429" i="17"/>
  <c r="AT19" i="20" s="1"/>
  <c r="E429" i="17"/>
  <c r="AP359" i="17"/>
  <c r="EI16" i="29"/>
  <c r="AC54" i="17"/>
  <c r="Y224" i="22"/>
  <c r="Y17" i="20"/>
  <c r="AN54" i="17"/>
  <c r="V54" i="17"/>
  <c r="AJ377" i="20"/>
  <c r="AJ383" i="20"/>
  <c r="AJ397" i="20"/>
  <c r="AH381" i="20"/>
  <c r="AH370" i="20" s="1"/>
  <c r="AH377" i="20"/>
  <c r="AH383" i="20"/>
  <c r="AJ379" i="20"/>
  <c r="AJ368" i="20" s="1"/>
  <c r="AJ378" i="20"/>
  <c r="AJ367" i="20" s="1"/>
  <c r="AH379" i="20"/>
  <c r="AH368" i="20" s="1"/>
  <c r="AG379" i="20"/>
  <c r="AG368" i="20" s="1"/>
  <c r="AJ381" i="20"/>
  <c r="AJ370" i="20" s="1"/>
  <c r="AI299" i="20"/>
  <c r="AI300" i="20" s="1"/>
  <c r="AG215" i="20"/>
  <c r="AG216" i="20" s="1"/>
  <c r="AI311" i="20"/>
  <c r="AI312" i="20" s="1"/>
  <c r="AG277" i="20"/>
  <c r="AG278" i="20" s="1"/>
  <c r="AH289" i="20"/>
  <c r="AH290" i="20" s="1"/>
  <c r="AJ287" i="20"/>
  <c r="AJ288" i="20" s="1"/>
  <c r="AG303" i="20"/>
  <c r="AG304" i="20" s="1"/>
  <c r="AG271" i="20"/>
  <c r="AG272" i="20" s="1"/>
  <c r="AH221" i="20"/>
  <c r="AH222" i="20" s="1"/>
  <c r="AJ327" i="20"/>
  <c r="AJ328" i="20" s="1"/>
  <c r="AH303" i="20"/>
  <c r="AH304" i="20" s="1"/>
  <c r="AJ225" i="20"/>
  <c r="AJ226" i="20" s="1"/>
  <c r="AI237" i="20"/>
  <c r="AI238" i="20" s="1"/>
  <c r="AI207" i="20"/>
  <c r="AI208" i="20" s="1"/>
  <c r="AI337" i="20"/>
  <c r="AI338" i="20" s="1"/>
  <c r="AG273" i="20"/>
  <c r="AG274" i="20" s="1"/>
  <c r="AG301" i="20"/>
  <c r="AG302" i="20" s="1"/>
  <c r="AI317" i="20"/>
  <c r="AI318" i="20" s="1"/>
  <c r="AI315" i="20"/>
  <c r="AI316" i="20" s="1"/>
  <c r="AI209" i="20"/>
  <c r="AI210" i="20" s="1"/>
  <c r="AJ239" i="20"/>
  <c r="AJ240" i="20" s="1"/>
  <c r="AJ297" i="20"/>
  <c r="AJ298" i="20" s="1"/>
  <c r="AJ277" i="20"/>
  <c r="AJ278" i="20" s="1"/>
  <c r="AG279" i="20"/>
  <c r="AG280" i="20" s="1"/>
  <c r="AH345" i="20"/>
  <c r="AH346" i="20" s="1"/>
  <c r="AI321" i="20"/>
  <c r="AI322" i="20" s="1"/>
  <c r="AI285" i="20"/>
  <c r="AI286" i="20" s="1"/>
  <c r="AG207" i="20"/>
  <c r="AG208" i="20" s="1"/>
  <c r="AH128" i="20" s="1" a="1"/>
  <c r="AH128" i="20" s="1"/>
  <c r="AJ247" i="20"/>
  <c r="AJ248" i="20" s="1"/>
  <c r="AJ265" i="20"/>
  <c r="AJ266" i="20" s="1"/>
  <c r="AJ223" i="20"/>
  <c r="AJ224" i="20" s="1"/>
  <c r="AH277" i="20"/>
  <c r="AH278" i="20" s="1"/>
  <c r="AG233" i="20"/>
  <c r="AG234" i="20" s="1"/>
  <c r="AG321" i="20"/>
  <c r="AG322" i="20" s="1"/>
  <c r="AJ347" i="20"/>
  <c r="AJ348" i="20" s="1"/>
  <c r="AH227" i="20"/>
  <c r="AH228" i="20" s="1"/>
  <c r="AJ219" i="20"/>
  <c r="AJ220" i="20" s="1"/>
  <c r="AH273" i="20"/>
  <c r="AH274" i="20" s="1"/>
  <c r="AH337" i="20"/>
  <c r="AH338" i="20" s="1"/>
  <c r="AH253" i="20"/>
  <c r="AH254" i="20" s="1"/>
  <c r="AI249" i="20"/>
  <c r="AI250" i="20" s="1"/>
  <c r="AI257" i="20"/>
  <c r="AI258" i="20" s="1"/>
  <c r="AG219" i="20"/>
  <c r="AG220" i="20" s="1"/>
  <c r="AJ345" i="20"/>
  <c r="AJ346" i="20" s="1"/>
  <c r="AI301" i="20"/>
  <c r="AI302" i="20" s="1"/>
  <c r="AJ267" i="20"/>
  <c r="AJ268" i="20" s="1"/>
  <c r="AJ227" i="20"/>
  <c r="AJ228" i="20" s="1"/>
  <c r="AI255" i="20"/>
  <c r="AI256" i="20" s="1"/>
  <c r="AI245" i="20"/>
  <c r="AI246" i="20" s="1"/>
  <c r="AJ231" i="20"/>
  <c r="AJ232" i="20" s="1"/>
  <c r="AJ253" i="20"/>
  <c r="AJ254" i="20" s="1"/>
  <c r="AI327" i="20"/>
  <c r="AI328" i="20" s="1"/>
  <c r="AJ257" i="20"/>
  <c r="AJ258" i="20" s="1"/>
  <c r="AJ235" i="20"/>
  <c r="AJ236" i="20" s="1"/>
  <c r="AH211" i="20"/>
  <c r="AH212" i="20" s="1"/>
  <c r="AH247" i="20"/>
  <c r="AH248" i="20" s="1"/>
  <c r="AG235" i="20"/>
  <c r="AG236" i="20" s="1"/>
  <c r="AI275" i="20"/>
  <c r="AI276" i="20" s="1"/>
  <c r="AI331" i="20"/>
  <c r="AI332" i="20" s="1"/>
  <c r="AG211" i="20"/>
  <c r="AG212" i="20" s="1"/>
  <c r="AI235" i="20"/>
  <c r="AI236" i="20" s="1"/>
  <c r="AH307" i="20"/>
  <c r="AH308" i="20" s="1"/>
  <c r="AJ305" i="20"/>
  <c r="AJ306" i="20" s="1"/>
  <c r="AJ341" i="20"/>
  <c r="AJ342" i="20" s="1"/>
  <c r="AG243" i="20"/>
  <c r="AG244" i="20" s="1"/>
  <c r="AH305" i="20"/>
  <c r="AH306" i="20" s="1"/>
  <c r="AI323" i="20"/>
  <c r="AI324" i="20" s="1"/>
  <c r="AG329" i="20"/>
  <c r="AG330" i="20" s="1"/>
  <c r="AH341" i="20"/>
  <c r="AH342" i="20" s="1"/>
  <c r="AI305" i="20"/>
  <c r="AI306" i="20" s="1"/>
  <c r="AI335" i="20"/>
  <c r="AI336" i="20" s="1"/>
  <c r="AG283" i="20"/>
  <c r="AG284" i="20" s="1"/>
  <c r="AI247" i="20"/>
  <c r="AI248" i="20" s="1"/>
  <c r="AJ245" i="20"/>
  <c r="AJ246" i="20" s="1"/>
  <c r="AG331" i="20"/>
  <c r="AG332" i="20" s="1"/>
  <c r="AJ285" i="20"/>
  <c r="AJ286" i="20" s="1"/>
  <c r="AI231" i="20"/>
  <c r="AI232" i="20" s="1"/>
  <c r="AH343" i="20"/>
  <c r="AH344" i="20" s="1"/>
  <c r="AG317" i="20"/>
  <c r="AG318" i="20" s="1"/>
  <c r="AH311" i="20"/>
  <c r="AH312" i="20" s="1"/>
  <c r="AG343" i="20"/>
  <c r="AG344" i="20" s="1"/>
  <c r="AG263" i="20"/>
  <c r="AG264" i="20" s="1"/>
  <c r="AH287" i="20"/>
  <c r="AH288" i="20" s="1"/>
  <c r="AJ279" i="20"/>
  <c r="AJ280" i="20" s="1"/>
  <c r="AI219" i="20"/>
  <c r="AI220" i="20" s="1"/>
  <c r="AI215" i="20"/>
  <c r="AI216" i="20" s="1"/>
  <c r="AH339" i="20"/>
  <c r="AH340" i="20" s="1"/>
  <c r="AG347" i="20"/>
  <c r="AG348" i="20" s="1"/>
  <c r="AG311" i="20"/>
  <c r="AG312" i="20" s="1"/>
  <c r="AI221" i="20"/>
  <c r="AI222" i="20" s="1"/>
  <c r="AH271" i="20"/>
  <c r="AH272" i="20" s="1"/>
  <c r="AG241" i="20"/>
  <c r="AG242" i="20" s="1"/>
  <c r="AJ209" i="20"/>
  <c r="AJ210" i="20" s="1"/>
  <c r="AH209" i="20"/>
  <c r="AH210" i="20" s="1"/>
  <c r="AG221" i="20"/>
  <c r="AG222" i="20" s="1"/>
  <c r="AI277" i="20"/>
  <c r="AI278" i="20" s="1"/>
  <c r="AH255" i="20"/>
  <c r="AH256" i="20" s="1"/>
  <c r="AJ273" i="20"/>
  <c r="AJ274" i="20" s="1"/>
  <c r="AH225" i="20"/>
  <c r="AH226" i="20" s="1"/>
  <c r="AJ307" i="20"/>
  <c r="AJ308" i="20" s="1"/>
  <c r="AG245" i="20"/>
  <c r="AG246" i="20" s="1"/>
  <c r="AI227" i="20"/>
  <c r="AI228" i="20" s="1"/>
  <c r="AI309" i="20"/>
  <c r="AI310" i="20" s="1"/>
  <c r="AJ217" i="20"/>
  <c r="AJ218" i="20" s="1"/>
  <c r="AH263" i="20"/>
  <c r="AH264" i="20" s="1"/>
  <c r="AJ303" i="20"/>
  <c r="AJ304" i="20" s="1"/>
  <c r="AI233" i="20"/>
  <c r="AI234" i="20" s="1"/>
  <c r="AG299" i="20"/>
  <c r="AG300" i="20" s="1"/>
  <c r="AG339" i="20"/>
  <c r="AG340" i="20" s="1"/>
  <c r="AJ205" i="20"/>
  <c r="AJ206" i="20" s="1"/>
  <c r="AJ249" i="20"/>
  <c r="AJ250" i="20" s="1"/>
  <c r="AG319" i="20"/>
  <c r="AG320" i="20" s="1"/>
  <c r="AJ221" i="20"/>
  <c r="AJ222" i="20" s="1"/>
  <c r="AJ271" i="20"/>
  <c r="AJ272" i="20" s="1"/>
  <c r="AG287" i="20"/>
  <c r="AG288" i="20" s="1"/>
  <c r="AH219" i="20"/>
  <c r="AH220" i="20" s="1"/>
  <c r="AH331" i="20"/>
  <c r="AH332" i="20" s="1"/>
  <c r="AH239" i="20"/>
  <c r="AH240" i="20" s="1"/>
  <c r="AH237" i="20"/>
  <c r="AH238" i="20" s="1"/>
  <c r="AH299" i="20"/>
  <c r="AH300" i="20" s="1"/>
  <c r="AH235" i="20"/>
  <c r="AH236" i="20" s="1"/>
  <c r="AI273" i="20"/>
  <c r="AI274" i="20" s="1"/>
  <c r="AJ215" i="20"/>
  <c r="AJ216" i="20" s="1"/>
  <c r="AJ337" i="20"/>
  <c r="AJ338" i="20" s="1"/>
  <c r="AG327" i="20"/>
  <c r="AG328" i="20" s="1"/>
  <c r="AH319" i="20"/>
  <c r="AH320" i="20" s="1"/>
  <c r="AG217" i="20"/>
  <c r="AG218" i="20" s="1"/>
  <c r="AG295" i="20"/>
  <c r="AG296" i="20" s="1"/>
  <c r="AG4" i="20"/>
  <c r="AH205" i="20"/>
  <c r="AH206" i="20" s="1"/>
  <c r="AI211" i="20"/>
  <c r="AI212" i="20" s="1"/>
  <c r="AG325" i="20"/>
  <c r="AG326" i="20" s="1"/>
  <c r="AG267" i="20"/>
  <c r="AG268" i="20" s="1"/>
  <c r="AI269" i="20"/>
  <c r="AI270" i="20" s="1"/>
  <c r="AG333" i="20"/>
  <c r="AG334" i="20" s="1"/>
  <c r="AJ293" i="20"/>
  <c r="AJ294" i="20" s="1"/>
  <c r="AG229" i="20"/>
  <c r="AG230" i="20" s="1"/>
  <c r="AI283" i="20"/>
  <c r="AI284" i="20" s="1"/>
  <c r="AG335" i="20"/>
  <c r="AG336" i="20" s="1"/>
  <c r="AG291" i="20"/>
  <c r="AG292" i="20" s="1"/>
  <c r="AJ283" i="20"/>
  <c r="AJ284" i="20" s="1"/>
  <c r="AH229" i="20"/>
  <c r="AH230" i="20" s="1"/>
  <c r="AH243" i="20"/>
  <c r="AH244" i="20" s="1"/>
  <c r="AI229" i="20"/>
  <c r="AI230" i="20" s="1"/>
  <c r="AJ335" i="20"/>
  <c r="AJ336" i="20" s="1"/>
  <c r="AH335" i="20"/>
  <c r="AH336" i="20" s="1"/>
  <c r="AG269" i="20"/>
  <c r="AG270" i="20" s="1"/>
  <c r="AH321" i="20"/>
  <c r="AH322" i="20" s="1"/>
  <c r="AI333" i="20"/>
  <c r="AI334" i="20" s="1"/>
  <c r="AH231" i="20"/>
  <c r="AH232" i="20" s="1"/>
  <c r="AH309" i="20"/>
  <c r="AH310" i="20" s="1"/>
  <c r="AG281" i="20"/>
  <c r="AG282" i="20" s="1"/>
  <c r="AH279" i="20"/>
  <c r="AH280" i="20" s="1"/>
  <c r="AJ311" i="20"/>
  <c r="AJ312" i="20" s="1"/>
  <c r="AI241" i="20"/>
  <c r="AI242" i="20" s="1"/>
  <c r="AI303" i="20"/>
  <c r="AI304" i="20" s="1"/>
  <c r="AJ319" i="20"/>
  <c r="AJ320" i="20" s="1"/>
  <c r="AJ269" i="20"/>
  <c r="AJ270" i="20" s="1"/>
  <c r="AG261" i="20"/>
  <c r="AG262" i="20" s="1"/>
  <c r="AI325" i="20"/>
  <c r="AI326" i="20" s="1"/>
  <c r="AJ299" i="20"/>
  <c r="AJ300" i="20" s="1"/>
  <c r="AI289" i="20"/>
  <c r="AI290" i="20" s="1"/>
  <c r="AJ309" i="20"/>
  <c r="AJ310" i="20" s="1"/>
  <c r="AI345" i="20"/>
  <c r="AI346" i="20" s="1"/>
  <c r="AH233" i="20"/>
  <c r="AH234" i="20" s="1"/>
  <c r="AH265" i="20"/>
  <c r="AH266" i="20" s="1"/>
  <c r="AH313" i="20"/>
  <c r="AH314" i="20" s="1"/>
  <c r="AG313" i="20"/>
  <c r="AG314" i="20" s="1"/>
  <c r="AJ333" i="20"/>
  <c r="AJ334" i="20" s="1"/>
  <c r="AH315" i="20"/>
  <c r="AH316" i="20" s="1"/>
  <c r="AG307" i="20"/>
  <c r="AG308" i="20" s="1"/>
  <c r="AI225" i="20"/>
  <c r="AI226" i="20" s="1"/>
  <c r="AI347" i="20"/>
  <c r="AI348" i="20" s="1"/>
  <c r="AI205" i="20"/>
  <c r="AI206" i="20" s="1"/>
  <c r="AI313" i="20"/>
  <c r="AI314" i="20" s="1"/>
  <c r="AG257" i="20"/>
  <c r="AG258" i="20" s="1"/>
  <c r="AI223" i="20"/>
  <c r="AI224" i="20" s="1"/>
  <c r="AJ339" i="20"/>
  <c r="AJ340" i="20" s="1"/>
  <c r="AJ295" i="20"/>
  <c r="AJ296" i="20" s="1"/>
  <c r="AG223" i="20"/>
  <c r="AG224" i="20" s="1"/>
  <c r="AH267" i="20"/>
  <c r="AH268" i="20" s="1"/>
  <c r="AJ313" i="20"/>
  <c r="AJ314" i="20" s="1"/>
  <c r="AH251" i="20"/>
  <c r="AH252" i="20" s="1"/>
  <c r="AJ301" i="20"/>
  <c r="AJ302" i="20" s="1"/>
  <c r="AG225" i="20"/>
  <c r="AG226" i="20" s="1"/>
  <c r="AH241" i="20"/>
  <c r="AH242" i="20" s="1"/>
  <c r="AG309" i="20"/>
  <c r="AG310" i="20" s="1"/>
  <c r="AI261" i="20"/>
  <c r="AI262" i="20" s="1"/>
  <c r="AJ241" i="20"/>
  <c r="AJ242" i="20" s="1"/>
  <c r="AG275" i="20"/>
  <c r="AG276" i="20" s="1"/>
  <c r="AI251" i="20"/>
  <c r="AI252" i="20" s="1"/>
  <c r="AH317" i="20"/>
  <c r="AH318" i="20" s="1"/>
  <c r="AH293" i="20"/>
  <c r="AH294" i="20" s="1"/>
  <c r="AI307" i="20"/>
  <c r="AI308" i="20" s="1"/>
  <c r="AJ329" i="20"/>
  <c r="AJ330" i="20" s="1"/>
  <c r="AH323" i="20"/>
  <c r="AH324" i="20" s="1"/>
  <c r="AI329" i="20"/>
  <c r="AI330" i="20" s="1"/>
  <c r="AH283" i="20"/>
  <c r="AH284" i="20" s="1"/>
  <c r="AH329" i="20"/>
  <c r="AH330" i="20" s="1"/>
  <c r="AG213" i="20"/>
  <c r="AG214" i="20" s="1"/>
  <c r="AH245" i="20"/>
  <c r="AH246" i="20" s="1"/>
  <c r="AH285" i="20"/>
  <c r="AH286" i="20" s="1"/>
  <c r="AG289" i="20"/>
  <c r="AG290" i="20" s="1"/>
  <c r="AH217" i="20"/>
  <c r="AH218" i="20" s="1"/>
  <c r="AI319" i="20"/>
  <c r="AI320" i="20" s="1"/>
  <c r="AH223" i="20"/>
  <c r="AH224" i="20" s="1"/>
  <c r="AI297" i="20"/>
  <c r="AI298" i="20" s="1"/>
  <c r="AJ315" i="20"/>
  <c r="AJ316" i="20" s="1"/>
  <c r="AH259" i="20"/>
  <c r="AH260" i="20" s="1"/>
  <c r="AG255" i="20"/>
  <c r="AG256" i="20" s="1"/>
  <c r="AJ325" i="20"/>
  <c r="AJ326" i="20" s="1"/>
  <c r="AG285" i="20"/>
  <c r="AG286" i="20" s="1"/>
  <c r="AI295" i="20"/>
  <c r="AI296" i="20" s="1"/>
  <c r="AH261" i="20"/>
  <c r="AH262" i="20" s="1"/>
  <c r="AH327" i="20"/>
  <c r="AH328" i="20" s="1"/>
  <c r="AJ255" i="20"/>
  <c r="AJ256" i="20" s="1"/>
  <c r="AG259" i="20"/>
  <c r="AG260" i="20" s="1"/>
  <c r="AI287" i="20"/>
  <c r="AI288" i="20" s="1"/>
  <c r="AG253" i="20"/>
  <c r="AG254" i="20" s="1"/>
  <c r="AI271" i="20"/>
  <c r="AI272" i="20" s="1"/>
  <c r="AI239" i="20"/>
  <c r="AI240" i="20" s="1"/>
  <c r="AG231" i="20"/>
  <c r="AG232" i="20" s="1"/>
  <c r="AI265" i="20"/>
  <c r="AI266" i="20" s="1"/>
  <c r="AG209" i="20"/>
  <c r="AG210" i="20" s="1"/>
  <c r="AH325" i="20"/>
  <c r="AH326" i="20" s="1"/>
  <c r="AJ331" i="20"/>
  <c r="AJ332" i="20" s="1"/>
  <c r="AJ321" i="20"/>
  <c r="AJ322" i="20" s="1"/>
  <c r="AH207" i="20"/>
  <c r="AH208" i="20" s="1"/>
  <c r="AG345" i="20"/>
  <c r="AG346" i="20" s="1"/>
  <c r="AG249" i="20"/>
  <c r="AG250" i="20" s="1"/>
  <c r="AI267" i="20"/>
  <c r="AI268" i="20" s="1"/>
  <c r="AI281" i="20"/>
  <c r="AI282" i="20" s="1"/>
  <c r="AH297" i="20"/>
  <c r="AH298" i="20" s="1"/>
  <c r="AG237" i="20"/>
  <c r="AG238" i="20" s="1"/>
  <c r="AH215" i="20"/>
  <c r="AH216" i="20" s="1"/>
  <c r="AG227" i="20"/>
  <c r="AG228" i="20" s="1"/>
  <c r="AH138" i="20" s="1" a="1"/>
  <c r="AH138" i="20" s="1"/>
  <c r="AI263" i="20"/>
  <c r="AI264" i="20" s="1"/>
  <c r="AJ281" i="20"/>
  <c r="AJ282" i="20" s="1"/>
  <c r="AH249" i="20"/>
  <c r="AH250" i="20" s="1"/>
  <c r="AH301" i="20"/>
  <c r="AH302" i="20" s="1"/>
  <c r="AI279" i="20"/>
  <c r="AI280" i="20" s="1"/>
  <c r="AG265" i="20"/>
  <c r="AG266" i="20" s="1"/>
  <c r="AG293" i="20"/>
  <c r="AG294" i="20" s="1"/>
  <c r="AJ263" i="20"/>
  <c r="AJ264" i="20" s="1"/>
  <c r="AG337" i="20"/>
  <c r="AG338" i="20" s="1"/>
  <c r="AH295" i="20"/>
  <c r="AH296" i="20" s="1"/>
  <c r="AG205" i="20"/>
  <c r="AG206" i="20" s="1"/>
  <c r="AG239" i="20"/>
  <c r="AG240" i="20" s="1"/>
  <c r="AJ261" i="20"/>
  <c r="AJ262" i="20" s="1"/>
  <c r="AG297" i="20"/>
  <c r="AG298" i="20" s="1"/>
  <c r="AJ343" i="20"/>
  <c r="AJ344" i="20" s="1"/>
  <c r="AI253" i="20"/>
  <c r="AI254" i="20" s="1"/>
  <c r="AJ259" i="20"/>
  <c r="AJ260" i="20" s="1"/>
  <c r="AG247" i="20"/>
  <c r="AG248" i="20" s="1"/>
  <c r="AJ317" i="20"/>
  <c r="AJ318" i="20" s="1"/>
  <c r="AH269" i="20"/>
  <c r="AH270" i="20" s="1"/>
  <c r="AI293" i="20"/>
  <c r="AI294" i="20" s="1"/>
  <c r="AG251" i="20"/>
  <c r="AG252" i="20" s="1"/>
  <c r="AI339" i="20"/>
  <c r="AI340" i="20" s="1"/>
  <c r="AH275" i="20"/>
  <c r="AH276" i="20" s="1"/>
  <c r="AJ237" i="20"/>
  <c r="AJ238" i="20" s="1"/>
  <c r="AG305" i="20"/>
  <c r="AG306" i="20" s="1"/>
  <c r="AG341" i="20"/>
  <c r="AG342" i="20" s="1"/>
  <c r="AJ243" i="20"/>
  <c r="AJ244" i="20" s="1"/>
  <c r="AH291" i="20"/>
  <c r="AH292" i="20" s="1"/>
  <c r="AI341" i="20"/>
  <c r="AI342" i="20" s="1"/>
  <c r="AJ291" i="20"/>
  <c r="AJ292" i="20" s="1"/>
  <c r="AH213" i="20"/>
  <c r="AH214" i="20" s="1"/>
  <c r="AI291" i="20"/>
  <c r="AI292" i="20" s="1"/>
  <c r="AG323" i="20"/>
  <c r="AG324" i="20" s="1"/>
  <c r="AI213" i="20"/>
  <c r="AI214" i="20" s="1"/>
  <c r="AI343" i="20"/>
  <c r="AI344" i="20" s="1"/>
  <c r="AH281" i="20"/>
  <c r="AH282" i="20" s="1"/>
  <c r="AH333" i="20"/>
  <c r="AH334" i="20" s="1"/>
  <c r="AJ207" i="20"/>
  <c r="AJ208" i="20" s="1"/>
  <c r="AI259" i="20"/>
  <c r="AI260" i="20" s="1"/>
  <c r="AG315" i="20"/>
  <c r="AG316" i="20" s="1"/>
  <c r="AH347" i="20"/>
  <c r="AH348" i="20" s="1"/>
  <c r="AJ275" i="20"/>
  <c r="AJ276" i="20" s="1"/>
  <c r="AH257" i="20"/>
  <c r="AH258" i="20" s="1"/>
  <c r="AJ233" i="20"/>
  <c r="AJ234" i="20" s="1"/>
  <c r="AI217" i="20"/>
  <c r="AI218" i="20" s="1"/>
  <c r="AJ289" i="20"/>
  <c r="AJ290" i="20" s="1"/>
  <c r="AJ211" i="20"/>
  <c r="AJ212" i="20" s="1"/>
  <c r="AJ251" i="20"/>
  <c r="AJ252" i="20" s="1"/>
  <c r="AJ213" i="20"/>
  <c r="AJ214" i="20" s="1"/>
  <c r="AJ229" i="20"/>
  <c r="AJ230" i="20" s="1"/>
  <c r="AJ323" i="20"/>
  <c r="AJ324" i="20" s="1"/>
  <c r="AI243" i="20"/>
  <c r="AI244" i="20" s="1"/>
  <c r="AQ39" i="17"/>
  <c r="E526" i="17"/>
  <c r="F526" i="17" s="1"/>
  <c r="G526" i="17" s="1"/>
  <c r="H526" i="17" s="1"/>
  <c r="I526" i="17" s="1"/>
  <c r="J526" i="17" s="1"/>
  <c r="K526" i="17" s="1"/>
  <c r="L526" i="17" s="1"/>
  <c r="M526" i="17" s="1"/>
  <c r="N526" i="17" s="1"/>
  <c r="O526" i="17" s="1"/>
  <c r="P526" i="17" s="1"/>
  <c r="Q526" i="17" s="1"/>
  <c r="R526" i="17" s="1"/>
  <c r="S526" i="17" s="1"/>
  <c r="T526" i="17" s="1"/>
  <c r="U526" i="17" s="1"/>
  <c r="V526" i="17" s="1"/>
  <c r="W526" i="17" s="1"/>
  <c r="X526" i="17" s="1"/>
  <c r="Y526" i="17" s="1"/>
  <c r="Z526" i="17" s="1"/>
  <c r="AA526" i="17" s="1"/>
  <c r="AB526" i="17" s="1"/>
  <c r="AC526" i="17" s="1"/>
  <c r="AD526" i="17" s="1"/>
  <c r="AE526" i="17" s="1"/>
  <c r="AF526" i="17" s="1"/>
  <c r="AG526" i="17" s="1"/>
  <c r="AH526" i="17" s="1"/>
  <c r="E525" i="17"/>
  <c r="F525" i="17" s="1"/>
  <c r="G525" i="17" s="1"/>
  <c r="H525" i="17" s="1"/>
  <c r="I525" i="17" s="1"/>
  <c r="J525" i="17" s="1"/>
  <c r="K525" i="17" s="1"/>
  <c r="L525" i="17" s="1"/>
  <c r="M525" i="17" s="1"/>
  <c r="N525" i="17" s="1"/>
  <c r="O525" i="17" s="1"/>
  <c r="P525" i="17" s="1"/>
  <c r="Q525" i="17" s="1"/>
  <c r="R525" i="17" s="1"/>
  <c r="S525" i="17" s="1"/>
  <c r="T525" i="17" s="1"/>
  <c r="U525" i="17" s="1"/>
  <c r="V525" i="17" s="1"/>
  <c r="W525" i="17" s="1"/>
  <c r="X525" i="17" s="1"/>
  <c r="Y525" i="17" s="1"/>
  <c r="Z525" i="17" s="1"/>
  <c r="AA525" i="17" s="1"/>
  <c r="AB525" i="17" s="1"/>
  <c r="AC525" i="17" s="1"/>
  <c r="AD525" i="17" s="1"/>
  <c r="AE525" i="17" s="1"/>
  <c r="AF525" i="17" s="1"/>
  <c r="AG525" i="17" s="1"/>
  <c r="E527" i="17"/>
  <c r="F527" i="17" s="1"/>
  <c r="G527" i="17" s="1"/>
  <c r="H527" i="17" s="1"/>
  <c r="I527" i="17" s="1"/>
  <c r="J527" i="17" s="1"/>
  <c r="K527" i="17" s="1"/>
  <c r="L527" i="17" s="1"/>
  <c r="M527" i="17" s="1"/>
  <c r="N527" i="17" s="1"/>
  <c r="O527" i="17" s="1"/>
  <c r="P527" i="17" s="1"/>
  <c r="Q527" i="17" s="1"/>
  <c r="R527" i="17" s="1"/>
  <c r="S527" i="17" s="1"/>
  <c r="T527" i="17" s="1"/>
  <c r="U527" i="17" s="1"/>
  <c r="V527" i="17" s="1"/>
  <c r="W527" i="17" s="1"/>
  <c r="X527" i="17" s="1"/>
  <c r="Y527" i="17" s="1"/>
  <c r="Z527" i="17" s="1"/>
  <c r="AA527" i="17" s="1"/>
  <c r="AB527" i="17" s="1"/>
  <c r="AC527" i="17" s="1"/>
  <c r="AD527" i="17" s="1"/>
  <c r="AE527" i="17" s="1"/>
  <c r="AF527" i="17" s="1"/>
  <c r="AG527" i="17" s="1"/>
  <c r="AH527" i="17" s="1"/>
  <c r="AI527" i="17" s="1"/>
  <c r="E528" i="17"/>
  <c r="F528" i="17" s="1"/>
  <c r="G528" i="17" s="1"/>
  <c r="H528" i="17" s="1"/>
  <c r="I528" i="17" s="1"/>
  <c r="J528" i="17" s="1"/>
  <c r="K528" i="17" s="1"/>
  <c r="L528" i="17" s="1"/>
  <c r="M528" i="17" s="1"/>
  <c r="N528" i="17" s="1"/>
  <c r="O528" i="17" s="1"/>
  <c r="P528" i="17" s="1"/>
  <c r="Q528" i="17" s="1"/>
  <c r="R528" i="17" s="1"/>
  <c r="S528" i="17" s="1"/>
  <c r="T528" i="17" s="1"/>
  <c r="U528" i="17" s="1"/>
  <c r="V528" i="17" s="1"/>
  <c r="W528" i="17" s="1"/>
  <c r="X528" i="17" s="1"/>
  <c r="Y528" i="17" s="1"/>
  <c r="Z528" i="17" s="1"/>
  <c r="AA528" i="17" s="1"/>
  <c r="AB528" i="17" s="1"/>
  <c r="AC528" i="17" s="1"/>
  <c r="AD528" i="17" s="1"/>
  <c r="AE528" i="17" s="1"/>
  <c r="AF528" i="17" s="1"/>
  <c r="AG528" i="17" s="1"/>
  <c r="AH528" i="17" s="1"/>
  <c r="AI528" i="17" s="1"/>
  <c r="AJ528" i="17" s="1"/>
  <c r="AK3" i="17"/>
  <c r="AF128" i="20" a="1"/>
  <c r="AF128" i="20" s="1"/>
  <c r="H67" i="18"/>
  <c r="O67" i="18" s="1"/>
  <c r="AI377" i="20"/>
  <c r="AI383" i="20"/>
  <c r="AG381" i="20"/>
  <c r="AG370" i="20" s="1"/>
  <c r="AD138" i="20" a="1"/>
  <c r="AD138" i="20" s="1"/>
  <c r="AE138" i="20" a="1"/>
  <c r="AE138" i="20" s="1"/>
  <c r="D459" i="17"/>
  <c r="S88" i="9"/>
  <c r="E81" i="21"/>
  <c r="D99" i="7"/>
  <c r="ES27" i="29"/>
  <c r="AU429" i="17"/>
  <c r="AU19" i="20" s="1"/>
  <c r="G429" i="17"/>
  <c r="AF429" i="17"/>
  <c r="AF19" i="20" s="1"/>
  <c r="AR429" i="17"/>
  <c r="AR226" i="22" s="1"/>
  <c r="F67" i="18"/>
  <c r="M67" i="18" s="1"/>
  <c r="C63" i="18"/>
  <c r="F73" i="18"/>
  <c r="E43" i="21" s="1"/>
  <c r="CC11" i="6"/>
  <c r="CC10" i="6" s="1"/>
  <c r="O220" i="19"/>
  <c r="R214" i="19"/>
  <c r="FE24" i="29"/>
  <c r="AM17" i="20"/>
  <c r="AE74" i="17"/>
  <c r="AE14" i="17" s="1"/>
  <c r="AB74" i="17"/>
  <c r="AB14" i="17" s="1"/>
  <c r="AS429" i="17"/>
  <c r="AQ429" i="17"/>
  <c r="AQ226" i="22" s="1"/>
  <c r="AD359" i="17"/>
  <c r="AD18" i="20" s="1"/>
  <c r="AI359" i="17"/>
  <c r="AI225" i="22" s="1"/>
  <c r="AC359" i="17"/>
  <c r="AL359" i="17"/>
  <c r="EI15" i="29"/>
  <c r="C11" i="9"/>
  <c r="AM54" i="17"/>
  <c r="AD54" i="17"/>
  <c r="W7" i="10"/>
  <c r="AN20" i="29"/>
  <c r="AN14" i="29" s="1"/>
  <c r="AM14" i="29" s="1"/>
  <c r="G72" i="18"/>
  <c r="D61" i="21" s="1"/>
  <c r="N60" i="18"/>
  <c r="AF7" i="10"/>
  <c r="BP7" i="6"/>
  <c r="CF11" i="6"/>
  <c r="CF10" i="6" s="1"/>
  <c r="CK7" i="10"/>
  <c r="CK9" i="10" s="1"/>
  <c r="AQ11" i="6"/>
  <c r="AQ10" i="6" s="1"/>
  <c r="CG7" i="6"/>
  <c r="BX11" i="6"/>
  <c r="BX10" i="6" s="1"/>
  <c r="AT7" i="10"/>
  <c r="AT9" i="10" s="1"/>
  <c r="AD7" i="6"/>
  <c r="F171" i="19"/>
  <c r="DG12" i="29"/>
  <c r="EQ20" i="29"/>
  <c r="AF29" i="17"/>
  <c r="AA429" i="17"/>
  <c r="AA226" i="22" s="1"/>
  <c r="F429" i="17"/>
  <c r="F226" i="22" s="1"/>
  <c r="R429" i="17"/>
  <c r="R226" i="22" s="1"/>
  <c r="L429" i="17"/>
  <c r="AL429" i="17"/>
  <c r="AL226" i="22" s="1"/>
  <c r="AC29" i="17"/>
  <c r="T429" i="17"/>
  <c r="T19" i="20" s="1"/>
  <c r="E74" i="17"/>
  <c r="Z359" i="17"/>
  <c r="AR359" i="17"/>
  <c r="AR18" i="20" s="1"/>
  <c r="O359" i="17"/>
  <c r="I359" i="17"/>
  <c r="I225" i="22" s="1"/>
  <c r="I245" i="22" s="1"/>
  <c r="AK359" i="17"/>
  <c r="AG359" i="17"/>
  <c r="AG18" i="20" s="1"/>
  <c r="AB359" i="17"/>
  <c r="AB225" i="22" s="1"/>
  <c r="AA359" i="17"/>
  <c r="AA18" i="20" s="1"/>
  <c r="B261" i="11"/>
  <c r="B180" i="11"/>
  <c r="O80" i="9"/>
  <c r="AC366" i="20"/>
  <c r="AC365" i="20" s="1"/>
  <c r="AC376" i="20"/>
  <c r="AV39" i="17"/>
  <c r="X39" i="17"/>
  <c r="AE39" i="17"/>
  <c r="AF39" i="17"/>
  <c r="P54" i="17"/>
  <c r="O54" i="17"/>
  <c r="AG138" i="20" a="1"/>
  <c r="AG138" i="20" s="1"/>
  <c r="D404" i="17"/>
  <c r="Y54" i="17"/>
  <c r="Y9" i="17" s="1"/>
  <c r="AH397" i="20"/>
  <c r="AJ382" i="20"/>
  <c r="AJ371" i="20" s="1"/>
  <c r="AI378" i="20"/>
  <c r="AI367" i="20" s="1"/>
  <c r="AG397" i="20"/>
  <c r="AH390" i="20"/>
  <c r="AG390" i="20"/>
  <c r="AG380" i="20"/>
  <c r="AG369" i="20" s="1"/>
  <c r="AD137" i="20" a="1"/>
  <c r="AD137" i="20" s="1"/>
  <c r="AF137" i="20" a="1"/>
  <c r="AF137" i="20" s="1"/>
  <c r="AF138" i="20" a="1"/>
  <c r="AF138" i="20" s="1"/>
  <c r="AF127" i="20" a="1"/>
  <c r="AF127" i="20" s="1"/>
  <c r="AG127" i="20" a="1"/>
  <c r="AG127" i="20" s="1"/>
  <c r="AE137" i="20" a="1"/>
  <c r="AE137" i="20" s="1"/>
  <c r="K66" i="18"/>
  <c r="X429" i="17"/>
  <c r="M429" i="17"/>
  <c r="AQ359" i="17"/>
  <c r="BW9" i="6"/>
  <c r="AD376" i="20"/>
  <c r="AD366" i="20"/>
  <c r="AD365" i="20" s="1"/>
  <c r="AF376" i="20"/>
  <c r="AF366" i="20"/>
  <c r="AF365" i="20" s="1"/>
  <c r="AH39" i="17"/>
  <c r="AS39" i="17"/>
  <c r="D389" i="17"/>
  <c r="W54" i="17"/>
  <c r="D474" i="17"/>
  <c r="R54" i="17"/>
  <c r="AJ54" i="17"/>
  <c r="AK54" i="17"/>
  <c r="AK219" i="22"/>
  <c r="AG233" i="22"/>
  <c r="AH380" i="20"/>
  <c r="AH369" i="20" s="1"/>
  <c r="AJ380" i="20"/>
  <c r="AJ369" i="20" s="1"/>
  <c r="AI390" i="20"/>
  <c r="AG383" i="20"/>
  <c r="AG377" i="20"/>
  <c r="AN389" i="20"/>
  <c r="AL391" i="20"/>
  <c r="AM387" i="20"/>
  <c r="AM396" i="20"/>
  <c r="AL400" i="20"/>
  <c r="AL394" i="20"/>
  <c r="AK394" i="20"/>
  <c r="AK399" i="20"/>
  <c r="AL388" i="20"/>
  <c r="AN394" i="20"/>
  <c r="AL389" i="20"/>
  <c r="AK391" i="20"/>
  <c r="AL393" i="20"/>
  <c r="AK402" i="20"/>
  <c r="AM389" i="20"/>
  <c r="AL384" i="20"/>
  <c r="AM398" i="20"/>
  <c r="AL401" i="20"/>
  <c r="AM386" i="20"/>
  <c r="AL396" i="20"/>
  <c r="AM388" i="20"/>
  <c r="AK393" i="20"/>
  <c r="AK387" i="20"/>
  <c r="AL395" i="20"/>
  <c r="AM385" i="20"/>
  <c r="AL403" i="20"/>
  <c r="AM401" i="20"/>
  <c r="AN385" i="20"/>
  <c r="AK384" i="20"/>
  <c r="AN399" i="20"/>
  <c r="AL386" i="20"/>
  <c r="AN402" i="20"/>
  <c r="AL387" i="20"/>
  <c r="AN392" i="20"/>
  <c r="AK388" i="20"/>
  <c r="AN387" i="20"/>
  <c r="AN398" i="20"/>
  <c r="AM394" i="20"/>
  <c r="AK389" i="20"/>
  <c r="AN395" i="20"/>
  <c r="AN391" i="20"/>
  <c r="AL392" i="20"/>
  <c r="AK401" i="20"/>
  <c r="AN403" i="20"/>
  <c r="AL399" i="20"/>
  <c r="AM395" i="20"/>
  <c r="AK398" i="20"/>
  <c r="AM402" i="20"/>
  <c r="AM393" i="20"/>
  <c r="AL398" i="20"/>
  <c r="AM399" i="20"/>
  <c r="AK403" i="20"/>
  <c r="AK385" i="20"/>
  <c r="AM392" i="20"/>
  <c r="AK395" i="20"/>
  <c r="AN393" i="20"/>
  <c r="AL402" i="20"/>
  <c r="AN388" i="20"/>
  <c r="AM400" i="20"/>
  <c r="AM384" i="20"/>
  <c r="AK396" i="20"/>
  <c r="AN396" i="20"/>
  <c r="AK392" i="20"/>
  <c r="AN384" i="20"/>
  <c r="AM391" i="20"/>
  <c r="AN401" i="20"/>
  <c r="AM403" i="20"/>
  <c r="AK400" i="20"/>
  <c r="AL385" i="20"/>
  <c r="AN400" i="20"/>
  <c r="AO374" i="20"/>
  <c r="AN386" i="20"/>
  <c r="AK386" i="20"/>
  <c r="AJ390" i="20"/>
  <c r="AI379" i="20"/>
  <c r="AI368" i="20" s="1"/>
  <c r="AI382" i="20"/>
  <c r="AI371" i="20" s="1"/>
  <c r="AD128" i="20" a="1"/>
  <c r="AD128" i="20" s="1"/>
  <c r="AG128" i="20" a="1"/>
  <c r="AG128" i="20" s="1"/>
  <c r="AE376" i="20"/>
  <c r="AE366" i="20"/>
  <c r="AE365" i="20" s="1"/>
  <c r="H97" i="9"/>
  <c r="N97" i="9" s="1"/>
  <c r="H101" i="9"/>
  <c r="N101" i="9" s="1"/>
  <c r="H185" i="19"/>
  <c r="AZ24" i="29"/>
  <c r="AZ20" i="29" s="1"/>
  <c r="AY20" i="29" s="1"/>
  <c r="AV24" i="29"/>
  <c r="AU24" i="29" s="1"/>
  <c r="F167" i="19"/>
  <c r="AR24" i="29"/>
  <c r="AR20" i="29" s="1"/>
  <c r="F168" i="19"/>
  <c r="AX24" i="29"/>
  <c r="AP24" i="29"/>
  <c r="AP20" i="29" s="1"/>
  <c r="AP14" i="29" s="1"/>
  <c r="AO14" i="29" s="1"/>
  <c r="AT24" i="29"/>
  <c r="H164" i="19"/>
  <c r="F164" i="19" s="1"/>
  <c r="AW13" i="13"/>
  <c r="AW12" i="13"/>
  <c r="N12" i="13"/>
  <c r="Q7" i="10"/>
  <c r="L13" i="29" s="1"/>
  <c r="K13" i="29" s="1"/>
  <c r="CE7" i="10"/>
  <c r="EN13" i="29" s="1"/>
  <c r="CL7" i="10"/>
  <c r="FB13" i="29" s="1"/>
  <c r="FB29" i="29" s="1"/>
  <c r="CH7" i="10"/>
  <c r="CH9" i="10" s="1"/>
  <c r="D75" i="18"/>
  <c r="BX7" i="6"/>
  <c r="BX9" i="6" s="1"/>
  <c r="H73" i="18"/>
  <c r="E79" i="21" s="1"/>
  <c r="CF7" i="10"/>
  <c r="CG7" i="10"/>
  <c r="CG9" i="10" s="1"/>
  <c r="CD7" i="10"/>
  <c r="EL13" i="29" s="1"/>
  <c r="G78" i="18"/>
  <c r="J61" i="21" s="1"/>
  <c r="BJ7" i="6"/>
  <c r="BJ9" i="6" s="1"/>
  <c r="CK7" i="6"/>
  <c r="CI7" i="6"/>
  <c r="CL7" i="6"/>
  <c r="H80" i="18"/>
  <c r="L79" i="21" s="1"/>
  <c r="AQ7" i="10"/>
  <c r="BL13" i="29" s="1"/>
  <c r="X7" i="10"/>
  <c r="S89" i="9"/>
  <c r="BQ11" i="6"/>
  <c r="BQ10" i="6" s="1"/>
  <c r="O65" i="18"/>
  <c r="D81" i="18"/>
  <c r="Y7" i="10"/>
  <c r="AB13" i="29" s="1"/>
  <c r="T7" i="10"/>
  <c r="R7" i="10"/>
  <c r="N13" i="29" s="1"/>
  <c r="D67" i="18"/>
  <c r="K67" i="18" s="1"/>
  <c r="U7" i="10"/>
  <c r="P7" i="10"/>
  <c r="J13" i="29" s="1"/>
  <c r="CI7" i="10"/>
  <c r="CI9" i="10" s="1"/>
  <c r="BD7" i="6"/>
  <c r="BD9" i="6" s="1"/>
  <c r="CJ7" i="6"/>
  <c r="CD7" i="6"/>
  <c r="S87" i="9"/>
  <c r="C58" i="18"/>
  <c r="BC11" i="6"/>
  <c r="BC10" i="6" s="1"/>
  <c r="BS7" i="6"/>
  <c r="BS9" i="6" s="1"/>
  <c r="BR7" i="6"/>
  <c r="BR9" i="6" s="1"/>
  <c r="BQ7" i="6"/>
  <c r="BQ9" i="6" s="1"/>
  <c r="BC7" i="6"/>
  <c r="BC9" i="6" s="1"/>
  <c r="BF7" i="6"/>
  <c r="BF9" i="6" s="1"/>
  <c r="BL7" i="6"/>
  <c r="BL26" i="6" s="1"/>
  <c r="BL27" i="6" s="1"/>
  <c r="BL28" i="6" s="1"/>
  <c r="G67" i="18"/>
  <c r="N67" i="18" s="1"/>
  <c r="AL7" i="10"/>
  <c r="BB13" i="29" s="1"/>
  <c r="BA13" i="29" s="1"/>
  <c r="AE7" i="10"/>
  <c r="AN13" i="29" s="1"/>
  <c r="AK7" i="10"/>
  <c r="BY7" i="6"/>
  <c r="BY26" i="6" s="1"/>
  <c r="BY27" i="6" s="1"/>
  <c r="BY28" i="6" s="1"/>
  <c r="BT7" i="6"/>
  <c r="BT9" i="6" s="1"/>
  <c r="AV7" i="6"/>
  <c r="AV9" i="6" s="1"/>
  <c r="AY7" i="6"/>
  <c r="AY26" i="6" s="1"/>
  <c r="AY27" i="6" s="1"/>
  <c r="AY28" i="6" s="1"/>
  <c r="AS7" i="6"/>
  <c r="BG7" i="6"/>
  <c r="BG9" i="6" s="1"/>
  <c r="BK7" i="6"/>
  <c r="BK9" i="6" s="1"/>
  <c r="BI7" i="6"/>
  <c r="BI9" i="6" s="1"/>
  <c r="AY7" i="10"/>
  <c r="CB13" i="29" s="1"/>
  <c r="CB29" i="29" s="1"/>
  <c r="AX7" i="10"/>
  <c r="AX9" i="10" s="1"/>
  <c r="C57" i="18"/>
  <c r="C61" i="18"/>
  <c r="AR7" i="10"/>
  <c r="BN13" i="29" s="1"/>
  <c r="AV7" i="10"/>
  <c r="AV9" i="10" s="1"/>
  <c r="AU7" i="10"/>
  <c r="AU9" i="10" s="1"/>
  <c r="AD7" i="10"/>
  <c r="AL13" i="29" s="1"/>
  <c r="E76" i="18"/>
  <c r="H25" i="21" s="1"/>
  <c r="BV7" i="6"/>
  <c r="BV9" i="6" s="1"/>
  <c r="AQ7" i="6"/>
  <c r="AQ9" i="6" s="1"/>
  <c r="AW7" i="6"/>
  <c r="AW9" i="6" s="1"/>
  <c r="BH7" i="6"/>
  <c r="BH9" i="6" s="1"/>
  <c r="AW7" i="10"/>
  <c r="AW9" i="10" s="1"/>
  <c r="B17" i="10"/>
  <c r="J11" i="13"/>
  <c r="I242" i="22"/>
  <c r="H38" i="29"/>
  <c r="G38" i="29" s="1"/>
  <c r="FC28" i="29"/>
  <c r="V74" i="17"/>
  <c r="V14" i="17" s="1"/>
  <c r="H29" i="17"/>
  <c r="EK25" i="29"/>
  <c r="EK18" i="29"/>
  <c r="AT29" i="17"/>
  <c r="R29" i="17"/>
  <c r="H16" i="34"/>
  <c r="H19" i="34" s="1"/>
  <c r="F173" i="19"/>
  <c r="H188" i="19"/>
  <c r="O59" i="34"/>
  <c r="P52" i="34"/>
  <c r="EG5" i="29"/>
  <c r="P5" i="31" s="1"/>
  <c r="Q29" i="17"/>
  <c r="AO29" i="17"/>
  <c r="B260" i="11"/>
  <c r="F166" i="19"/>
  <c r="AL24" i="29"/>
  <c r="AA29" i="17"/>
  <c r="AA9" i="17" s="1"/>
  <c r="C37" i="18"/>
  <c r="K27" i="18" s="1"/>
  <c r="S84" i="9"/>
  <c r="EC29" i="29"/>
  <c r="EC30" i="29" s="1"/>
  <c r="AD74" i="17"/>
  <c r="AD14" i="17" s="1"/>
  <c r="AQ29" i="17"/>
  <c r="L29" i="17"/>
  <c r="CG11" i="6"/>
  <c r="CG10" i="6" s="1"/>
  <c r="C6" i="13"/>
  <c r="Z29" i="17"/>
  <c r="V29" i="17"/>
  <c r="EK27" i="29"/>
  <c r="K29" i="17"/>
  <c r="AK242" i="22"/>
  <c r="AK228" i="22"/>
  <c r="EK11" i="29"/>
  <c r="AN29" i="17"/>
  <c r="AN9" i="17" s="1"/>
  <c r="AS11" i="13"/>
  <c r="AK227" i="22"/>
  <c r="AK241" i="22"/>
  <c r="T218" i="19"/>
  <c r="H99" i="7" s="1"/>
  <c r="AH38" i="29"/>
  <c r="AG38" i="29" s="1"/>
  <c r="EK38" i="29"/>
  <c r="AC4" i="34"/>
  <c r="AD4" i="34" s="1"/>
  <c r="AE4" i="34" s="1"/>
  <c r="AF4" i="34" s="1"/>
  <c r="AG3" i="34"/>
  <c r="H100" i="9"/>
  <c r="N100" i="9" s="1"/>
  <c r="AS19" i="20"/>
  <c r="AS226" i="22"/>
  <c r="Z226" i="22"/>
  <c r="W19" i="20"/>
  <c r="AN19" i="20"/>
  <c r="AN226" i="22"/>
  <c r="AM19" i="20"/>
  <c r="AQ19" i="20"/>
  <c r="I18" i="20"/>
  <c r="AB18" i="20"/>
  <c r="L53" i="13"/>
  <c r="AB226" i="22"/>
  <c r="AB19" i="20"/>
  <c r="M226" i="22"/>
  <c r="M19" i="20"/>
  <c r="AI18" i="20"/>
  <c r="J18" i="20"/>
  <c r="J225" i="22"/>
  <c r="AA19" i="20"/>
  <c r="AP19" i="20"/>
  <c r="AP226" i="22"/>
  <c r="L226" i="22"/>
  <c r="L19" i="20"/>
  <c r="T226" i="22"/>
  <c r="Q225" i="22"/>
  <c r="AJ225" i="22"/>
  <c r="AJ18" i="20"/>
  <c r="AV225" i="22"/>
  <c r="AV18" i="20"/>
  <c r="AR19" i="20"/>
  <c r="AC225" i="22"/>
  <c r="AC18" i="20"/>
  <c r="P18" i="20"/>
  <c r="P225" i="22"/>
  <c r="X18" i="20"/>
  <c r="I19" i="20"/>
  <c r="I226" i="22"/>
  <c r="AH19" i="20"/>
  <c r="AH226" i="22"/>
  <c r="AE226" i="22"/>
  <c r="AE19" i="20"/>
  <c r="Q226" i="22"/>
  <c r="Q19" i="20"/>
  <c r="O19" i="20"/>
  <c r="O226" i="22"/>
  <c r="AE18" i="20"/>
  <c r="AE225" i="22"/>
  <c r="AF18" i="20"/>
  <c r="B14" i="10"/>
  <c r="B32" i="10" s="1"/>
  <c r="Q32" i="29"/>
  <c r="Q31" i="29"/>
  <c r="AP3" i="13"/>
  <c r="AR3" i="13"/>
  <c r="AN3" i="13"/>
  <c r="AQ3" i="13"/>
  <c r="AO3" i="13"/>
  <c r="D449" i="17"/>
  <c r="AK74" i="17"/>
  <c r="AK14" i="17" s="1"/>
  <c r="AK364" i="17"/>
  <c r="D424" i="17"/>
  <c r="D364" i="17" s="1"/>
  <c r="E364" i="17"/>
  <c r="E18" i="20" s="1"/>
  <c r="AP74" i="17"/>
  <c r="AP14" i="17" s="1"/>
  <c r="AP364" i="17"/>
  <c r="Z364" i="17"/>
  <c r="Z74" i="17"/>
  <c r="Z14" i="17" s="1"/>
  <c r="AT364" i="17"/>
  <c r="AT74" i="17"/>
  <c r="AT14" i="17" s="1"/>
  <c r="EK17" i="29"/>
  <c r="EK19" i="29"/>
  <c r="EK15" i="29"/>
  <c r="K74" i="17"/>
  <c r="K14" i="17" s="1"/>
  <c r="AU224" i="22"/>
  <c r="AU17" i="20"/>
  <c r="F29" i="17"/>
  <c r="X29" i="17"/>
  <c r="X9" i="17" s="1"/>
  <c r="F47" i="27"/>
  <c r="D47" i="27" s="1"/>
  <c r="E48" i="27"/>
  <c r="D379" i="17"/>
  <c r="O32" i="29"/>
  <c r="O31" i="29"/>
  <c r="X74" i="17"/>
  <c r="X14" i="17" s="1"/>
  <c r="X434" i="17"/>
  <c r="G74" i="17"/>
  <c r="G14" i="17" s="1"/>
  <c r="G434" i="17"/>
  <c r="D494" i="17"/>
  <c r="D434" i="17" s="1"/>
  <c r="E434" i="17"/>
  <c r="E19" i="20" s="1"/>
  <c r="EY22" i="29"/>
  <c r="EY23" i="29"/>
  <c r="EY33" i="29"/>
  <c r="EY21" i="29"/>
  <c r="AC224" i="22"/>
  <c r="AC17" i="20"/>
  <c r="AK29" i="17"/>
  <c r="AP29" i="17"/>
  <c r="AP9" i="17" s="1"/>
  <c r="AY7" i="43" s="1"/>
  <c r="L218" i="19"/>
  <c r="H63" i="7"/>
  <c r="H63" i="21"/>
  <c r="EI22" i="29"/>
  <c r="EI33" i="29"/>
  <c r="EI21" i="29"/>
  <c r="EI23" i="29"/>
  <c r="J522" i="17"/>
  <c r="S32" i="29"/>
  <c r="S31" i="29"/>
  <c r="Q74" i="17"/>
  <c r="Q14" i="17" s="1"/>
  <c r="AH224" i="22"/>
  <c r="AH17" i="20"/>
  <c r="U29" i="17"/>
  <c r="J29" i="17"/>
  <c r="AH29" i="17"/>
  <c r="AH9" i="17" s="1"/>
  <c r="AT359" i="17"/>
  <c r="R359" i="17"/>
  <c r="K359" i="17"/>
  <c r="AD29" i="17"/>
  <c r="L359" i="17"/>
  <c r="AJ29" i="17"/>
  <c r="C20" i="13"/>
  <c r="C45" i="22"/>
  <c r="EQ38" i="29"/>
  <c r="Q213" i="19"/>
  <c r="O213" i="19" s="1"/>
  <c r="ES9" i="29"/>
  <c r="AB17" i="20"/>
  <c r="AB224" i="22"/>
  <c r="AB29" i="17"/>
  <c r="AO17" i="20"/>
  <c r="AO224" i="22"/>
  <c r="W31" i="29"/>
  <c r="W32" i="29"/>
  <c r="F74" i="17"/>
  <c r="F14" i="17" s="1"/>
  <c r="F364" i="17"/>
  <c r="T364" i="17"/>
  <c r="T74" i="17"/>
  <c r="T14" i="17" s="1"/>
  <c r="AL364" i="17"/>
  <c r="AL74" i="17"/>
  <c r="AL14" i="17" s="1"/>
  <c r="AH364" i="17"/>
  <c r="AH18" i="20" s="1"/>
  <c r="AH74" i="17"/>
  <c r="AH14" i="17" s="1"/>
  <c r="O364" i="17"/>
  <c r="O74" i="17"/>
  <c r="O14" i="17" s="1"/>
  <c r="AS364" i="17"/>
  <c r="AS225" i="22" s="1"/>
  <c r="AS74" i="17"/>
  <c r="AS14" i="17" s="1"/>
  <c r="EK24" i="29"/>
  <c r="EL20" i="29"/>
  <c r="EK9" i="29"/>
  <c r="EK16" i="29"/>
  <c r="U224" i="22"/>
  <c r="U17" i="20"/>
  <c r="AF74" i="17"/>
  <c r="AF14" i="17" s="1"/>
  <c r="AV29" i="17"/>
  <c r="I29" i="17"/>
  <c r="I9" i="17" s="1"/>
  <c r="AU29" i="17"/>
  <c r="T29" i="17"/>
  <c r="W29" i="17"/>
  <c r="Y32" i="29"/>
  <c r="Y31" i="29"/>
  <c r="AV74" i="17"/>
  <c r="AV14" i="17" s="1"/>
  <c r="AV434" i="17"/>
  <c r="AV19" i="20" s="1"/>
  <c r="AV13" i="20" s="1"/>
  <c r="J74" i="17"/>
  <c r="J14" i="17" s="1"/>
  <c r="J434" i="17"/>
  <c r="J226" i="22" s="1"/>
  <c r="EY19" i="29"/>
  <c r="EY18" i="29"/>
  <c r="EY9" i="29"/>
  <c r="AJ17" i="20"/>
  <c r="AJ224" i="22"/>
  <c r="J14" i="34"/>
  <c r="J24" i="34" s="1"/>
  <c r="J6" i="34"/>
  <c r="K7" i="34"/>
  <c r="M74" i="17"/>
  <c r="M14" i="17" s="1"/>
  <c r="AM29" i="17"/>
  <c r="AM9" i="17" s="1"/>
  <c r="AI29" i="17"/>
  <c r="J58" i="34"/>
  <c r="J20" i="34" s="1"/>
  <c r="E34" i="34"/>
  <c r="E37" i="34" s="1"/>
  <c r="EI24" i="29"/>
  <c r="EJ20" i="29"/>
  <c r="U31" i="29"/>
  <c r="U32" i="29"/>
  <c r="S74" i="17"/>
  <c r="S14" i="17" s="1"/>
  <c r="Q224" i="22"/>
  <c r="Q17" i="20"/>
  <c r="AG29" i="17"/>
  <c r="G29" i="17"/>
  <c r="AE29" i="17"/>
  <c r="G29" i="34"/>
  <c r="V429" i="17"/>
  <c r="N29" i="17"/>
  <c r="AC429" i="17"/>
  <c r="AU359" i="17"/>
  <c r="T359" i="17"/>
  <c r="Q81" i="7"/>
  <c r="EF29" i="29"/>
  <c r="EF30" i="29" s="1"/>
  <c r="FC16" i="29"/>
  <c r="FC17" i="29"/>
  <c r="FC13" i="29"/>
  <c r="E14" i="17"/>
  <c r="DK31" i="29"/>
  <c r="DK32" i="29"/>
  <c r="V224" i="22"/>
  <c r="V17" i="20"/>
  <c r="AO364" i="17"/>
  <c r="AO74" i="17"/>
  <c r="AO14" i="17" s="1"/>
  <c r="U74" i="17"/>
  <c r="U14" i="17" s="1"/>
  <c r="U364" i="17"/>
  <c r="U18" i="20" s="1"/>
  <c r="AQ364" i="17"/>
  <c r="AQ225" i="22" s="1"/>
  <c r="AQ74" i="17"/>
  <c r="AQ14" i="17" s="1"/>
  <c r="Y364" i="17"/>
  <c r="Y74" i="17"/>
  <c r="Y14" i="17" s="1"/>
  <c r="EK12" i="29"/>
  <c r="EL31" i="29"/>
  <c r="EL32" i="29"/>
  <c r="EK22" i="29"/>
  <c r="EK33" i="29"/>
  <c r="EK21" i="29"/>
  <c r="EK23" i="29"/>
  <c r="O29" i="17"/>
  <c r="S29" i="17"/>
  <c r="S9" i="17" s="1"/>
  <c r="V7" i="43" s="1"/>
  <c r="N74" i="17"/>
  <c r="N14" i="17" s="1"/>
  <c r="N434" i="17"/>
  <c r="AG74" i="17"/>
  <c r="AG14" i="17" s="1"/>
  <c r="AG434" i="17"/>
  <c r="EY16" i="29"/>
  <c r="EY17" i="29"/>
  <c r="EY11" i="29"/>
  <c r="R74" i="17"/>
  <c r="R14" i="17" s="1"/>
  <c r="AI74" i="17"/>
  <c r="AI14" i="17" s="1"/>
  <c r="AS29" i="17"/>
  <c r="L55" i="34"/>
  <c r="K60" i="34"/>
  <c r="K58" i="34" s="1"/>
  <c r="K20" i="34" s="1"/>
  <c r="E33" i="34"/>
  <c r="F31" i="34" s="1"/>
  <c r="EJ31" i="29"/>
  <c r="EJ32" i="29"/>
  <c r="EI12" i="29"/>
  <c r="EI18" i="29"/>
  <c r="EI28" i="29"/>
  <c r="AJ74" i="17"/>
  <c r="AJ14" i="17" s="1"/>
  <c r="P29" i="17"/>
  <c r="P9" i="17" s="1"/>
  <c r="AO359" i="17"/>
  <c r="AN359" i="17"/>
  <c r="Y429" i="17"/>
  <c r="W359" i="17"/>
  <c r="AR29" i="17"/>
  <c r="AA224" i="22"/>
  <c r="AA17" i="20"/>
  <c r="AR17" i="20"/>
  <c r="AR224" i="22"/>
  <c r="H364" i="17"/>
  <c r="H18" i="20" s="1"/>
  <c r="H74" i="17"/>
  <c r="H14" i="17" s="1"/>
  <c r="AN364" i="17"/>
  <c r="AN74" i="17"/>
  <c r="AN14" i="17" s="1"/>
  <c r="W364" i="17"/>
  <c r="W74" i="17"/>
  <c r="W14" i="17" s="1"/>
  <c r="L74" i="17"/>
  <c r="L14" i="17" s="1"/>
  <c r="AU74" i="17"/>
  <c r="AU14" i="17" s="1"/>
  <c r="M29" i="17"/>
  <c r="M47" i="13"/>
  <c r="P74" i="17"/>
  <c r="P14" i="17" s="1"/>
  <c r="P434" i="17"/>
  <c r="P19" i="20" s="1"/>
  <c r="EY24" i="29"/>
  <c r="EZ20" i="29"/>
  <c r="I15" i="34"/>
  <c r="I13" i="34"/>
  <c r="I35" i="34"/>
  <c r="AM74" i="17"/>
  <c r="AM14" i="17" s="1"/>
  <c r="AC74" i="17"/>
  <c r="AC14" i="17" s="1"/>
  <c r="AD224" i="22"/>
  <c r="AD17" i="20"/>
  <c r="AL29" i="17"/>
  <c r="I74" i="17"/>
  <c r="I14" i="17" s="1"/>
  <c r="E29" i="17"/>
  <c r="M359" i="17"/>
  <c r="DG32" i="29"/>
  <c r="DG31" i="29"/>
  <c r="CM11" i="6"/>
  <c r="CM10" i="6" s="1"/>
  <c r="R207" i="19"/>
  <c r="T224" i="19"/>
  <c r="L63" i="21"/>
  <c r="L222" i="19"/>
  <c r="L63" i="7"/>
  <c r="F45" i="7"/>
  <c r="I216" i="19"/>
  <c r="F45" i="21"/>
  <c r="BK38" i="29"/>
  <c r="BH38" i="29"/>
  <c r="BG38" i="29" s="1"/>
  <c r="P99" i="7"/>
  <c r="BY10" i="10"/>
  <c r="BY20" i="10"/>
  <c r="K34" i="9" s="1"/>
  <c r="K47" i="9" s="1"/>
  <c r="EB35" i="29"/>
  <c r="L216" i="19"/>
  <c r="F63" i="7"/>
  <c r="F63" i="21"/>
  <c r="ES15" i="29"/>
  <c r="ET14" i="29"/>
  <c r="ES14" i="29" s="1"/>
  <c r="K45" i="21"/>
  <c r="K45" i="7"/>
  <c r="I221" i="19"/>
  <c r="EY32" i="29"/>
  <c r="EY31" i="29"/>
  <c r="AI241" i="22"/>
  <c r="AI227" i="22"/>
  <c r="AP11" i="13"/>
  <c r="AM11" i="13" s="1"/>
  <c r="AO8" i="10"/>
  <c r="J13" i="31" s="1"/>
  <c r="DG11" i="29"/>
  <c r="DG27" i="29"/>
  <c r="CB8" i="10"/>
  <c r="P13" i="31" s="1"/>
  <c r="CC8" i="6"/>
  <c r="CC9" i="6" s="1"/>
  <c r="CD8" i="6"/>
  <c r="CE8" i="6"/>
  <c r="CJ8" i="6"/>
  <c r="CH8" i="6"/>
  <c r="CL8" i="6"/>
  <c r="CG8" i="6"/>
  <c r="CK8" i="6"/>
  <c r="CM8" i="6"/>
  <c r="CM9" i="6" s="1"/>
  <c r="CF8" i="6"/>
  <c r="CI8" i="6"/>
  <c r="N49" i="21"/>
  <c r="N48" i="21"/>
  <c r="I196" i="19"/>
  <c r="O196" i="19"/>
  <c r="N63" i="21"/>
  <c r="G30" i="22"/>
  <c r="L224" i="19"/>
  <c r="G30" i="8"/>
  <c r="N63" i="7"/>
  <c r="Q63" i="7" s="1"/>
  <c r="DU31" i="29"/>
  <c r="DU32" i="29"/>
  <c r="DG15" i="29"/>
  <c r="EQ17" i="29"/>
  <c r="EH17" i="29"/>
  <c r="EQ19" i="29"/>
  <c r="EH19" i="29"/>
  <c r="ER32" i="29"/>
  <c r="ER31" i="29"/>
  <c r="EQ12" i="29"/>
  <c r="EQ24" i="29"/>
  <c r="EH24" i="29"/>
  <c r="AH31" i="29"/>
  <c r="AH32" i="29"/>
  <c r="AG12" i="29"/>
  <c r="CL20" i="10"/>
  <c r="L34" i="9" s="1"/>
  <c r="L47" i="9" s="1"/>
  <c r="FB35" i="29"/>
  <c r="DG28" i="29"/>
  <c r="DQ32" i="29"/>
  <c r="DQ31" i="29"/>
  <c r="AM32" i="29"/>
  <c r="AM31" i="29"/>
  <c r="BI14" i="29"/>
  <c r="BH14" i="29"/>
  <c r="BG14" i="29" s="1"/>
  <c r="E45" i="21"/>
  <c r="E45" i="7"/>
  <c r="Q45" i="7" s="1"/>
  <c r="I215" i="19"/>
  <c r="DY31" i="29"/>
  <c r="DY32" i="29"/>
  <c r="BM31" i="29"/>
  <c r="BM32" i="29"/>
  <c r="DG16" i="29"/>
  <c r="O218" i="19"/>
  <c r="H81" i="7"/>
  <c r="H81" i="21"/>
  <c r="FE15" i="29"/>
  <c r="FD31" i="29"/>
  <c r="FC12" i="29"/>
  <c r="FD32" i="29"/>
  <c r="G63" i="7"/>
  <c r="L217" i="19"/>
  <c r="G63" i="21"/>
  <c r="BG12" i="29"/>
  <c r="BH31" i="29"/>
  <c r="BH32" i="29"/>
  <c r="CI14" i="29"/>
  <c r="CH14" i="29"/>
  <c r="CG14" i="29" s="1"/>
  <c r="AI242" i="22"/>
  <c r="AI228" i="22"/>
  <c r="P81" i="7"/>
  <c r="N213" i="19"/>
  <c r="AO8" i="6"/>
  <c r="BO8" i="10"/>
  <c r="N13" i="31" s="1"/>
  <c r="ED29" i="29"/>
  <c r="ED30" i="29" s="1"/>
  <c r="BO8" i="6"/>
  <c r="ES20" i="29"/>
  <c r="ES25" i="29"/>
  <c r="ES38" i="29"/>
  <c r="ES24" i="29"/>
  <c r="EE29" i="29"/>
  <c r="EE30" i="29" s="1"/>
  <c r="K213" i="19"/>
  <c r="I213" i="19" s="1"/>
  <c r="FE28" i="29"/>
  <c r="FE11" i="29"/>
  <c r="FE27" i="29"/>
  <c r="FC38" i="29"/>
  <c r="FC25" i="29"/>
  <c r="FC18" i="29"/>
  <c r="L99" i="21"/>
  <c r="R222" i="19"/>
  <c r="L99" i="7"/>
  <c r="BL10" i="10"/>
  <c r="BL20" i="10"/>
  <c r="J34" i="9" s="1"/>
  <c r="J47" i="9" s="1"/>
  <c r="DB35" i="29"/>
  <c r="EQ27" i="29"/>
  <c r="EH27" i="29"/>
  <c r="EQ28" i="29"/>
  <c r="EH28" i="29"/>
  <c r="D28" i="29" s="1"/>
  <c r="DS32" i="29"/>
  <c r="DS31" i="29"/>
  <c r="N5" i="31"/>
  <c r="J45" i="21"/>
  <c r="I220" i="19"/>
  <c r="J45" i="7"/>
  <c r="R179" i="19"/>
  <c r="L93" i="9"/>
  <c r="J99" i="21"/>
  <c r="J99" i="7"/>
  <c r="R220" i="19"/>
  <c r="EO31" i="29"/>
  <c r="EO32" i="29"/>
  <c r="FA31" i="29"/>
  <c r="FA32" i="29"/>
  <c r="DG22" i="29"/>
  <c r="DG33" i="29"/>
  <c r="DG21" i="29"/>
  <c r="DG23" i="29"/>
  <c r="N7" i="31"/>
  <c r="EQ25" i="29"/>
  <c r="EH25" i="29"/>
  <c r="D25" i="29" s="1"/>
  <c r="EQ15" i="29"/>
  <c r="ER14" i="29"/>
  <c r="EQ14" i="29" s="1"/>
  <c r="EH15" i="29"/>
  <c r="EQ16" i="29"/>
  <c r="EH16" i="29"/>
  <c r="EQ22" i="29"/>
  <c r="EQ33" i="29"/>
  <c r="EQ21" i="29"/>
  <c r="EQ23" i="29"/>
  <c r="EG7" i="29"/>
  <c r="R219" i="19"/>
  <c r="I99" i="21"/>
  <c r="I99" i="7"/>
  <c r="O221" i="19"/>
  <c r="K81" i="7"/>
  <c r="K81" i="21"/>
  <c r="AY20" i="10"/>
  <c r="I34" i="9" s="1"/>
  <c r="I47" i="9" s="1"/>
  <c r="AY10" i="10"/>
  <c r="CB35" i="29"/>
  <c r="O228" i="22"/>
  <c r="O242" i="22"/>
  <c r="EW32" i="29"/>
  <c r="EW31" i="29"/>
  <c r="L81" i="21"/>
  <c r="L81" i="7"/>
  <c r="O222" i="19"/>
  <c r="O67" i="21"/>
  <c r="O66" i="21"/>
  <c r="O66" i="7"/>
  <c r="O67" i="7"/>
  <c r="N84" i="21"/>
  <c r="N85" i="21"/>
  <c r="ET31" i="29"/>
  <c r="ES12" i="29"/>
  <c r="ET32" i="29"/>
  <c r="G45" i="7"/>
  <c r="G45" i="21"/>
  <c r="I217" i="19"/>
  <c r="FC22" i="29"/>
  <c r="FC23" i="29"/>
  <c r="EG8" i="29"/>
  <c r="FC33" i="29"/>
  <c r="FC21" i="29"/>
  <c r="BK31" i="29"/>
  <c r="BK32" i="29"/>
  <c r="DW31" i="29"/>
  <c r="DW32" i="29"/>
  <c r="E99" i="21"/>
  <c r="E99" i="7"/>
  <c r="R215" i="19"/>
  <c r="DG17" i="29"/>
  <c r="DG20" i="29"/>
  <c r="T196" i="19"/>
  <c r="ES11" i="29"/>
  <c r="FF20" i="29"/>
  <c r="FE20" i="29" s="1"/>
  <c r="FE13" i="29"/>
  <c r="FE38" i="29"/>
  <c r="FD20" i="29"/>
  <c r="FC20" i="29" s="1"/>
  <c r="BB8" i="10"/>
  <c r="L13" i="31" s="1"/>
  <c r="DG19" i="29"/>
  <c r="D64" i="17"/>
  <c r="EO38" i="29"/>
  <c r="EH38" i="29"/>
  <c r="EH31" i="29"/>
  <c r="CG32" i="29"/>
  <c r="CG31" i="29"/>
  <c r="EQ18" i="29"/>
  <c r="EH18" i="29"/>
  <c r="N48" i="7"/>
  <c r="N49" i="7"/>
  <c r="DO31" i="29"/>
  <c r="DO32" i="29"/>
  <c r="EQ11" i="29"/>
  <c r="EH11" i="29"/>
  <c r="EQ9" i="29"/>
  <c r="EG6" i="29"/>
  <c r="C6" i="29" s="1"/>
  <c r="R216" i="19"/>
  <c r="I225" i="19"/>
  <c r="F31" i="22"/>
  <c r="F31" i="8"/>
  <c r="O45" i="21"/>
  <c r="O45" i="7"/>
  <c r="Q11" i="13"/>
  <c r="O227" i="22"/>
  <c r="O241" i="22"/>
  <c r="O217" i="19"/>
  <c r="G81" i="21"/>
  <c r="G81" i="7"/>
  <c r="EE31" i="29"/>
  <c r="EE32" i="29"/>
  <c r="N84" i="7"/>
  <c r="N85" i="7"/>
  <c r="EC32" i="29"/>
  <c r="EC31" i="29"/>
  <c r="DH14" i="29"/>
  <c r="DG14" i="29" s="1"/>
  <c r="DI14" i="29"/>
  <c r="EU31" i="29"/>
  <c r="EU32" i="29"/>
  <c r="N6" i="31"/>
  <c r="DG9" i="29"/>
  <c r="N9" i="31" s="1"/>
  <c r="ES23" i="29"/>
  <c r="ES33" i="29"/>
  <c r="ES22" i="29"/>
  <c r="ES21" i="29"/>
  <c r="CN11" i="6"/>
  <c r="CN10" i="6" s="1"/>
  <c r="R208" i="19"/>
  <c r="T225" i="19"/>
  <c r="R217" i="19"/>
  <c r="L219" i="19"/>
  <c r="I63" i="21"/>
  <c r="I63" i="7"/>
  <c r="P45" i="7"/>
  <c r="FE12" i="29"/>
  <c r="FF31" i="29"/>
  <c r="FF32" i="29"/>
  <c r="FE23" i="29"/>
  <c r="FE21" i="29"/>
  <c r="FE33" i="29"/>
  <c r="FE22" i="29"/>
  <c r="FC15" i="29"/>
  <c r="K63" i="21"/>
  <c r="K63" i="7"/>
  <c r="L221" i="19"/>
  <c r="C57" i="9"/>
  <c r="F109" i="9"/>
  <c r="C109" i="9" s="1"/>
  <c r="F11" i="9"/>
  <c r="DG24" i="29"/>
  <c r="DG18" i="29"/>
  <c r="DG25" i="29"/>
  <c r="DH38" i="29"/>
  <c r="DG38" i="29" s="1"/>
  <c r="C188" i="19"/>
  <c r="G102" i="9"/>
  <c r="G97" i="9"/>
  <c r="C183" i="19"/>
  <c r="C186" i="19"/>
  <c r="G100" i="9"/>
  <c r="C187" i="19"/>
  <c r="G101" i="9"/>
  <c r="M101" i="9" s="1"/>
  <c r="G98" i="9"/>
  <c r="M98" i="9" s="1"/>
  <c r="C184" i="19"/>
  <c r="C185" i="19"/>
  <c r="G99" i="9"/>
  <c r="M99" i="9" s="1"/>
  <c r="K32" i="29"/>
  <c r="K31" i="29"/>
  <c r="K242" i="22"/>
  <c r="K228" i="22"/>
  <c r="T241" i="22"/>
  <c r="T227" i="22"/>
  <c r="W11" i="13"/>
  <c r="AH12" i="13"/>
  <c r="AC241" i="22"/>
  <c r="AI11" i="13"/>
  <c r="AC227" i="22"/>
  <c r="AM241" i="22"/>
  <c r="AU11" i="13"/>
  <c r="AM227" i="22"/>
  <c r="AL228" i="22"/>
  <c r="AL242" i="22"/>
  <c r="X242" i="22"/>
  <c r="X228" i="22"/>
  <c r="P228" i="22"/>
  <c r="P242" i="22"/>
  <c r="AA228" i="22"/>
  <c r="AA242" i="22"/>
  <c r="AF242" i="22"/>
  <c r="AF228" i="22"/>
  <c r="V242" i="22"/>
  <c r="V228" i="22"/>
  <c r="U227" i="22"/>
  <c r="Y11" i="13"/>
  <c r="U241" i="22"/>
  <c r="K11" i="13"/>
  <c r="J241" i="22"/>
  <c r="J227" i="22"/>
  <c r="H242" i="22"/>
  <c r="H228" i="22"/>
  <c r="T228" i="22"/>
  <c r="T242" i="22"/>
  <c r="AM242" i="22"/>
  <c r="AM228" i="22"/>
  <c r="AL227" i="22"/>
  <c r="AT11" i="13"/>
  <c r="AL241" i="22"/>
  <c r="AB11" i="13"/>
  <c r="X227" i="22"/>
  <c r="X241" i="22"/>
  <c r="R11" i="13"/>
  <c r="P241" i="22"/>
  <c r="P227" i="22"/>
  <c r="AF11" i="13"/>
  <c r="AA227" i="22"/>
  <c r="AA241" i="22"/>
  <c r="AF241" i="22"/>
  <c r="AL11" i="13"/>
  <c r="AF227" i="22"/>
  <c r="V227" i="22"/>
  <c r="Z11" i="13"/>
  <c r="V241" i="22"/>
  <c r="U228" i="22"/>
  <c r="U242" i="22"/>
  <c r="J242" i="22"/>
  <c r="J228" i="22"/>
  <c r="H11" i="13"/>
  <c r="H227" i="22"/>
  <c r="H241" i="22"/>
  <c r="F242" i="22"/>
  <c r="F228" i="22"/>
  <c r="AS227" i="22"/>
  <c r="AS241" i="22"/>
  <c r="BC11" i="13"/>
  <c r="AB227" i="22"/>
  <c r="AB241" i="22"/>
  <c r="AG11" i="13"/>
  <c r="AP227" i="22"/>
  <c r="AP241" i="22"/>
  <c r="AY11" i="13"/>
  <c r="BA11" i="13"/>
  <c r="AR241" i="22"/>
  <c r="AR227" i="22"/>
  <c r="AQ228" i="22"/>
  <c r="AQ242" i="22"/>
  <c r="AT228" i="22"/>
  <c r="AT242" i="22"/>
  <c r="R242" i="22"/>
  <c r="R228" i="22"/>
  <c r="AR13" i="13"/>
  <c r="X12" i="13"/>
  <c r="I13" i="13"/>
  <c r="AC13" i="13"/>
  <c r="S12" i="13"/>
  <c r="AR12" i="13"/>
  <c r="K227" i="22"/>
  <c r="K241" i="22"/>
  <c r="L11" i="13"/>
  <c r="F227" i="22"/>
  <c r="F241" i="22"/>
  <c r="F11" i="13"/>
  <c r="AH13" i="13"/>
  <c r="AC228" i="22"/>
  <c r="AC242" i="22"/>
  <c r="AS242" i="22"/>
  <c r="AS228" i="22"/>
  <c r="AB228" i="22"/>
  <c r="AB242" i="22"/>
  <c r="AP242" i="22"/>
  <c r="AP228" i="22"/>
  <c r="AR242" i="22"/>
  <c r="AR228" i="22"/>
  <c r="AQ241" i="22"/>
  <c r="AZ11" i="13"/>
  <c r="AQ227" i="22"/>
  <c r="BD11" i="13"/>
  <c r="AT227" i="22"/>
  <c r="AT241" i="22"/>
  <c r="U11" i="13"/>
  <c r="R241" i="22"/>
  <c r="R227" i="22"/>
  <c r="AC12" i="13"/>
  <c r="N13" i="13"/>
  <c r="BB13" i="13"/>
  <c r="X13" i="13"/>
  <c r="D13" i="13"/>
  <c r="O27" i="10"/>
  <c r="BB12" i="13"/>
  <c r="I12" i="13"/>
  <c r="H15" i="19"/>
  <c r="BB27" i="29"/>
  <c r="BA27" i="29" s="1"/>
  <c r="AL27" i="29"/>
  <c r="AK27" i="29" s="1"/>
  <c r="H7" i="19"/>
  <c r="CL13" i="29"/>
  <c r="EJ13" i="29"/>
  <c r="CC9" i="10"/>
  <c r="H7" i="21"/>
  <c r="H117" i="19"/>
  <c r="AJ27" i="29"/>
  <c r="Y74" i="16"/>
  <c r="AQ74" i="16"/>
  <c r="Q74" i="16"/>
  <c r="F74" i="16"/>
  <c r="AS74" i="16"/>
  <c r="M74" i="16"/>
  <c r="AH74" i="16"/>
  <c r="AN74" i="16"/>
  <c r="W74" i="16"/>
  <c r="AB74" i="16"/>
  <c r="AL74" i="16"/>
  <c r="H74" i="16"/>
  <c r="P74" i="16"/>
  <c r="AM74" i="16"/>
  <c r="V74" i="16"/>
  <c r="AU74" i="16"/>
  <c r="AG74" i="16"/>
  <c r="L74" i="16"/>
  <c r="J74" i="16"/>
  <c r="N74" i="16"/>
  <c r="S74" i="16"/>
  <c r="R74" i="16"/>
  <c r="AE74" i="16"/>
  <c r="X74" i="16"/>
  <c r="Z74" i="16"/>
  <c r="K74" i="16"/>
  <c r="E74" i="16"/>
  <c r="AD74" i="16"/>
  <c r="AK74" i="16"/>
  <c r="AR74" i="16"/>
  <c r="AI74" i="16"/>
  <c r="AP74" i="16"/>
  <c r="I74" i="16"/>
  <c r="D74" i="16"/>
  <c r="AF74" i="16"/>
  <c r="AC74" i="16"/>
  <c r="AT74" i="16"/>
  <c r="AO74" i="16"/>
  <c r="O74" i="16"/>
  <c r="G74" i="16"/>
  <c r="AJ74" i="16"/>
  <c r="T74" i="16"/>
  <c r="AA74" i="16"/>
  <c r="U74" i="16"/>
  <c r="D97" i="21"/>
  <c r="D7" i="21"/>
  <c r="CJ13" i="29"/>
  <c r="BC9" i="10"/>
  <c r="Q44" i="7"/>
  <c r="M80" i="9"/>
  <c r="S81" i="9"/>
  <c r="AU194" i="11"/>
  <c r="J58" i="18"/>
  <c r="J7" i="21"/>
  <c r="L7" i="21"/>
  <c r="AJ13" i="29"/>
  <c r="K27" i="29"/>
  <c r="L14" i="29"/>
  <c r="AA27" i="29"/>
  <c r="AB14" i="29"/>
  <c r="AA14" i="29" s="1"/>
  <c r="E7" i="21"/>
  <c r="AP9" i="10"/>
  <c r="BJ13" i="29"/>
  <c r="J64" i="18"/>
  <c r="D43" i="21"/>
  <c r="K7" i="21"/>
  <c r="C7" i="19"/>
  <c r="E181" i="19"/>
  <c r="C15" i="19"/>
  <c r="E189" i="19"/>
  <c r="AP9" i="6"/>
  <c r="H27" i="29"/>
  <c r="I27" i="29"/>
  <c r="J14" i="29"/>
  <c r="AU192" i="11"/>
  <c r="G117" i="19"/>
  <c r="L21" i="23"/>
  <c r="L32" i="43" s="1"/>
  <c r="L33" i="43" s="1"/>
  <c r="O15" i="23"/>
  <c r="J33" i="13"/>
  <c r="N18" i="23"/>
  <c r="N23" i="23" s="1"/>
  <c r="N21" i="23" s="1"/>
  <c r="O32" i="43" s="1"/>
  <c r="CN13" i="29" l="1"/>
  <c r="G99" i="7"/>
  <c r="F99" i="21"/>
  <c r="AI9" i="17"/>
  <c r="U226" i="22"/>
  <c r="EH32" i="29"/>
  <c r="R218" i="19"/>
  <c r="AG9" i="17"/>
  <c r="AK225" i="22"/>
  <c r="AE245" i="22"/>
  <c r="AL19" i="20"/>
  <c r="AA225" i="22"/>
  <c r="AT226" i="22"/>
  <c r="AC9" i="17"/>
  <c r="X11" i="43"/>
  <c r="D59" i="17"/>
  <c r="D74" i="18"/>
  <c r="K59" i="18"/>
  <c r="M63" i="18"/>
  <c r="J63" i="18" s="1"/>
  <c r="AV11" i="6"/>
  <c r="AV10" i="6" s="1"/>
  <c r="F78" i="18"/>
  <c r="J43" i="21" s="1"/>
  <c r="AD226" i="22"/>
  <c r="Q9" i="17"/>
  <c r="T7" i="13" s="1"/>
  <c r="EG12" i="29"/>
  <c r="G19" i="20"/>
  <c r="Z225" i="22"/>
  <c r="Z245" i="22" s="1"/>
  <c r="AK19" i="20"/>
  <c r="V9" i="17"/>
  <c r="Z7" i="43" s="1"/>
  <c r="L9" i="17"/>
  <c r="J60" i="18"/>
  <c r="AH11" i="43"/>
  <c r="D77" i="18"/>
  <c r="I7" i="21" s="1"/>
  <c r="K62" i="18"/>
  <c r="J62" i="18" s="1"/>
  <c r="BE11" i="6"/>
  <c r="BE10" i="6" s="1"/>
  <c r="BB10" i="6" s="1"/>
  <c r="N59" i="18"/>
  <c r="G74" i="18"/>
  <c r="F61" i="21" s="1"/>
  <c r="O9" i="17"/>
  <c r="Q7" i="43" s="1"/>
  <c r="AU9" i="17"/>
  <c r="BE7" i="13" s="1"/>
  <c r="AD9" i="17"/>
  <c r="F9" i="17"/>
  <c r="F7" i="43" s="1"/>
  <c r="S225" i="22"/>
  <c r="N225" i="22"/>
  <c r="N245" i="22" s="1"/>
  <c r="V225" i="22"/>
  <c r="R19" i="20"/>
  <c r="Z9" i="17"/>
  <c r="AA243" i="22"/>
  <c r="AL9" i="17"/>
  <c r="M9" i="17"/>
  <c r="O7" i="43" s="1"/>
  <c r="J9" i="17"/>
  <c r="AE7" i="13"/>
  <c r="D429" i="17"/>
  <c r="G18" i="20"/>
  <c r="G13" i="20" s="1"/>
  <c r="S19" i="20"/>
  <c r="AI226" i="22"/>
  <c r="K9" i="17"/>
  <c r="R9" i="17"/>
  <c r="U7" i="13" s="1"/>
  <c r="AQ245" i="22"/>
  <c r="AE9" i="17"/>
  <c r="AK7" i="43" s="1"/>
  <c r="O225" i="22"/>
  <c r="O245" i="22" s="1"/>
  <c r="AL225" i="22"/>
  <c r="AL245" i="22" s="1"/>
  <c r="H19" i="20"/>
  <c r="H99" i="21"/>
  <c r="AR9" i="17"/>
  <c r="BA7" i="13" s="1"/>
  <c r="N9" i="17"/>
  <c r="G9" i="17"/>
  <c r="W9" i="17"/>
  <c r="AA7" i="43" s="1"/>
  <c r="AV9" i="17"/>
  <c r="BF7" i="43" s="1"/>
  <c r="AJ9" i="17"/>
  <c r="AT9" i="17"/>
  <c r="C9" i="40"/>
  <c r="J7" i="43"/>
  <c r="Y243" i="22"/>
  <c r="I230" i="22"/>
  <c r="G7" i="43"/>
  <c r="AQ7" i="43"/>
  <c r="AI7" i="43"/>
  <c r="AM11" i="43"/>
  <c r="D34" i="17"/>
  <c r="AJ116" i="7"/>
  <c r="AF126" i="7"/>
  <c r="BE7" i="43"/>
  <c r="AO7" i="43"/>
  <c r="AI13" i="20"/>
  <c r="BD7" i="43"/>
  <c r="AJ137" i="20" a="1"/>
  <c r="AJ137" i="20" s="1"/>
  <c r="AM13" i="20"/>
  <c r="G32" i="29"/>
  <c r="E5" i="19"/>
  <c r="F20" i="19" s="1"/>
  <c r="G20" i="19" s="1"/>
  <c r="G19" i="19" s="1"/>
  <c r="E180" i="19"/>
  <c r="P8" i="10" s="1" a="1"/>
  <c r="R243" i="22"/>
  <c r="O229" i="22"/>
  <c r="Y229" i="22"/>
  <c r="F229" i="22"/>
  <c r="S243" i="22"/>
  <c r="V229" i="22"/>
  <c r="I243" i="22"/>
  <c r="P243" i="22"/>
  <c r="AC17" i="13"/>
  <c r="N17" i="13"/>
  <c r="G229" i="22"/>
  <c r="D17" i="13"/>
  <c r="AW17" i="13"/>
  <c r="AM17" i="13"/>
  <c r="BB17" i="13"/>
  <c r="K243" i="22"/>
  <c r="L243" i="22"/>
  <c r="N243" i="22"/>
  <c r="R7" i="43"/>
  <c r="AM17" i="43"/>
  <c r="T243" i="22"/>
  <c r="Z243" i="22"/>
  <c r="AR17" i="13"/>
  <c r="B352" i="11"/>
  <c r="E14" i="3"/>
  <c r="CE9" i="6"/>
  <c r="J66" i="18"/>
  <c r="DB29" i="29"/>
  <c r="EB29" i="29"/>
  <c r="EB30" i="29" s="1"/>
  <c r="J61" i="18"/>
  <c r="BB7" i="10"/>
  <c r="L12" i="31" s="1"/>
  <c r="L14" i="31" s="1"/>
  <c r="L15" i="31" s="1"/>
  <c r="C75" i="18"/>
  <c r="BP9" i="10"/>
  <c r="CR13" i="29"/>
  <c r="CX13" i="29"/>
  <c r="CW13" i="29" s="1"/>
  <c r="CW29" i="29" s="1"/>
  <c r="CW30" i="29" s="1"/>
  <c r="CP13" i="29"/>
  <c r="CV13" i="29"/>
  <c r="CV29" i="29" s="1"/>
  <c r="CV30" i="29" s="1"/>
  <c r="BF9" i="10"/>
  <c r="BB9" i="10" s="1"/>
  <c r="CZ13" i="29"/>
  <c r="CZ29" i="29" s="1"/>
  <c r="CZ30" i="29" s="1"/>
  <c r="D12" i="5"/>
  <c r="P33" i="18"/>
  <c r="W33" i="18" s="1"/>
  <c r="P80" i="18" s="1"/>
  <c r="I28" i="22" s="1"/>
  <c r="CT13" i="29"/>
  <c r="CK9" i="6"/>
  <c r="X17" i="13"/>
  <c r="AR17" i="43"/>
  <c r="S17" i="13"/>
  <c r="BB17" i="43"/>
  <c r="D17" i="43"/>
  <c r="Q230" i="22"/>
  <c r="AA229" i="22"/>
  <c r="AA230" i="22" s="1"/>
  <c r="Q243" i="22"/>
  <c r="X17" i="43"/>
  <c r="AH17" i="43"/>
  <c r="AB229" i="22"/>
  <c r="AB230" i="22" s="1"/>
  <c r="W229" i="22"/>
  <c r="X229" i="22"/>
  <c r="U243" i="22"/>
  <c r="S17" i="43"/>
  <c r="S98" i="9"/>
  <c r="AU16" i="13"/>
  <c r="AU16" i="43"/>
  <c r="AD229" i="22"/>
  <c r="AJ23" i="43"/>
  <c r="AJ23" i="13"/>
  <c r="AD243" i="22" s="1"/>
  <c r="H18" i="34"/>
  <c r="T7" i="43"/>
  <c r="C12" i="43"/>
  <c r="N17" i="43"/>
  <c r="AG19" i="20"/>
  <c r="BF16" i="13"/>
  <c r="BF16" i="43"/>
  <c r="AB9" i="17"/>
  <c r="AG7" i="43" s="1"/>
  <c r="H47" i="34"/>
  <c r="AE13" i="20"/>
  <c r="M7" i="43"/>
  <c r="D11" i="43"/>
  <c r="AB243" i="22"/>
  <c r="AK23" i="43"/>
  <c r="AK23" i="13"/>
  <c r="AP16" i="13"/>
  <c r="AP16" i="43"/>
  <c r="AT7" i="43"/>
  <c r="AN7" i="43"/>
  <c r="K7" i="43"/>
  <c r="H17" i="34"/>
  <c r="AF7" i="13"/>
  <c r="AF7" i="43"/>
  <c r="AH17" i="13"/>
  <c r="AK128" i="20" a="1"/>
  <c r="AK128" i="20" s="1"/>
  <c r="AI128" i="20" a="1"/>
  <c r="AI128" i="20" s="1"/>
  <c r="AO9" i="17"/>
  <c r="AX7" i="43" s="1"/>
  <c r="AR11" i="43"/>
  <c r="P55" i="13"/>
  <c r="Q50" i="13"/>
  <c r="AL23" i="43"/>
  <c r="AL23" i="13"/>
  <c r="AF229" i="22" s="1"/>
  <c r="AB7" i="43"/>
  <c r="AS9" i="17"/>
  <c r="BC7" i="43" s="1"/>
  <c r="U9" i="17"/>
  <c r="Y7" i="43" s="1"/>
  <c r="AK9" i="17"/>
  <c r="AS7" i="43" s="1"/>
  <c r="H49" i="34"/>
  <c r="K226" i="22"/>
  <c r="L7" i="43"/>
  <c r="W243" i="22"/>
  <c r="AC17" i="43"/>
  <c r="I11" i="43"/>
  <c r="BA7" i="43"/>
  <c r="AP7" i="43"/>
  <c r="AM7" i="43" s="1"/>
  <c r="H36" i="34"/>
  <c r="AD225" i="22"/>
  <c r="AD245" i="22" s="1"/>
  <c r="I17" i="13"/>
  <c r="AW17" i="43"/>
  <c r="AC23" i="13"/>
  <c r="AI129" i="21"/>
  <c r="AI134" i="21"/>
  <c r="AG134" i="21"/>
  <c r="AF130" i="21"/>
  <c r="AH129" i="21"/>
  <c r="AF132" i="21"/>
  <c r="AG131" i="21"/>
  <c r="AF134" i="21"/>
  <c r="AH131" i="21"/>
  <c r="AH134" i="21"/>
  <c r="AI132" i="21"/>
  <c r="AH133" i="21"/>
  <c r="AI131" i="21"/>
  <c r="AF131" i="21"/>
  <c r="AH130" i="21"/>
  <c r="AH132" i="21"/>
  <c r="AI130" i="21"/>
  <c r="AG129" i="21"/>
  <c r="AF133" i="21"/>
  <c r="AG133" i="21"/>
  <c r="AF129" i="21"/>
  <c r="AG132" i="21"/>
  <c r="AI133" i="21"/>
  <c r="AG130" i="21"/>
  <c r="AI23" i="43"/>
  <c r="AI23" i="13"/>
  <c r="T16" i="13"/>
  <c r="T16" i="43"/>
  <c r="P7" i="43"/>
  <c r="AU7" i="43"/>
  <c r="AJ7" i="13"/>
  <c r="AJ7" i="43"/>
  <c r="AM225" i="22"/>
  <c r="AM245" i="22" s="1"/>
  <c r="AV7" i="43"/>
  <c r="J229" i="22"/>
  <c r="J230" i="22" s="1"/>
  <c r="C13" i="43"/>
  <c r="BB11" i="43"/>
  <c r="AC23" i="43"/>
  <c r="D19" i="17"/>
  <c r="AJ126" i="21"/>
  <c r="AN116" i="21"/>
  <c r="N11" i="43"/>
  <c r="S11" i="43"/>
  <c r="Z229" i="22"/>
  <c r="AE7" i="43"/>
  <c r="AD7" i="43"/>
  <c r="H2" i="41"/>
  <c r="G2" i="41"/>
  <c r="I17" i="43"/>
  <c r="O33" i="43"/>
  <c r="I32" i="43"/>
  <c r="D17" i="20"/>
  <c r="T9" i="17"/>
  <c r="W7" i="43" s="1"/>
  <c r="S245" i="22"/>
  <c r="AU226" i="22"/>
  <c r="AQ9" i="17"/>
  <c r="AZ7" i="43" s="1"/>
  <c r="EG16" i="29"/>
  <c r="H13" i="20"/>
  <c r="N226" i="22"/>
  <c r="Y18" i="20"/>
  <c r="F18" i="20"/>
  <c r="AO19" i="20"/>
  <c r="D54" i="17"/>
  <c r="D39" i="17"/>
  <c r="AF9" i="17"/>
  <c r="AJ138" i="20" a="1"/>
  <c r="AJ138" i="20" s="1"/>
  <c r="AB7" i="13"/>
  <c r="E226" i="22"/>
  <c r="X19" i="20"/>
  <c r="H9" i="17"/>
  <c r="H7" i="43" s="1"/>
  <c r="AJ128" i="20" a="1"/>
  <c r="AJ128" i="20" s="1"/>
  <c r="AI245" i="22"/>
  <c r="E229" i="22"/>
  <c r="E243" i="22"/>
  <c r="DT13" i="29"/>
  <c r="DT29" i="29" s="1"/>
  <c r="DT30" i="29" s="1"/>
  <c r="C80" i="18"/>
  <c r="DL13" i="29"/>
  <c r="DL29" i="29" s="1"/>
  <c r="DL30" i="29" s="1"/>
  <c r="D11" i="5"/>
  <c r="E82" i="21" s="1"/>
  <c r="C77" i="18"/>
  <c r="DX13" i="29"/>
  <c r="DW13" i="29" s="1"/>
  <c r="DW29" i="29" s="1"/>
  <c r="DW30" i="29" s="1"/>
  <c r="G7" i="21"/>
  <c r="DZ13" i="29"/>
  <c r="DY13" i="29" s="1"/>
  <c r="DY29" i="29" s="1"/>
  <c r="DY30" i="29" s="1"/>
  <c r="O7" i="6"/>
  <c r="S101" i="9"/>
  <c r="CH9" i="6"/>
  <c r="J100" i="21"/>
  <c r="D10" i="5"/>
  <c r="G64" i="21" s="1"/>
  <c r="AR9" i="10"/>
  <c r="AN381" i="20"/>
  <c r="AN370" i="20" s="1"/>
  <c r="AB7" i="6"/>
  <c r="FA13" i="29"/>
  <c r="FA29" i="29" s="1"/>
  <c r="FA30" i="29" s="1"/>
  <c r="I7" i="10"/>
  <c r="AT172" i="11"/>
  <c r="CF9" i="6"/>
  <c r="J7" i="10"/>
  <c r="K26" i="18"/>
  <c r="K43" i="18" s="1"/>
  <c r="M25" i="18"/>
  <c r="M42" i="18" s="1"/>
  <c r="P28" i="18"/>
  <c r="W28" i="18" s="1"/>
  <c r="P75" i="18" s="1"/>
  <c r="I23" i="22" s="1"/>
  <c r="CD9" i="10"/>
  <c r="BO7" i="10"/>
  <c r="N12" i="31" s="1"/>
  <c r="N14" i="31" s="1"/>
  <c r="N15" i="31" s="1"/>
  <c r="P26" i="18"/>
  <c r="P43" i="18" s="1"/>
  <c r="N27" i="18"/>
  <c r="N44" i="18" s="1"/>
  <c r="BB11" i="6"/>
  <c r="I82" i="18"/>
  <c r="AT13" i="29"/>
  <c r="DN13" i="29"/>
  <c r="DN29" i="29" s="1"/>
  <c r="DN30" i="29" s="1"/>
  <c r="F82" i="18"/>
  <c r="DV13" i="29"/>
  <c r="DV29" i="29" s="1"/>
  <c r="DV30" i="29" s="1"/>
  <c r="DP13" i="29"/>
  <c r="DP29" i="29" s="1"/>
  <c r="DP30" i="29" s="1"/>
  <c r="AQ9" i="10"/>
  <c r="H82" i="18"/>
  <c r="BU9" i="10"/>
  <c r="AT7" i="13"/>
  <c r="G7" i="13"/>
  <c r="EZ13" i="29"/>
  <c r="EY13" i="29" s="1"/>
  <c r="ET13" i="29"/>
  <c r="ES13" i="29" s="1"/>
  <c r="ES29" i="29" s="1"/>
  <c r="ES30" i="29" s="1"/>
  <c r="AO10" i="6"/>
  <c r="E7" i="6"/>
  <c r="C79" i="18"/>
  <c r="AO11" i="6"/>
  <c r="DR13" i="29"/>
  <c r="DR29" i="29" s="1"/>
  <c r="DR30" i="29" s="1"/>
  <c r="BX13" i="29"/>
  <c r="BX29" i="29" s="1"/>
  <c r="BX30" i="29" s="1"/>
  <c r="AX13" i="29"/>
  <c r="AW13" i="29" s="1"/>
  <c r="D9" i="5"/>
  <c r="H46" i="21" s="1"/>
  <c r="D82" i="18"/>
  <c r="G82" i="18"/>
  <c r="J65" i="18"/>
  <c r="AJ20" i="29"/>
  <c r="AI20" i="29" s="1"/>
  <c r="BA24" i="29"/>
  <c r="AO20" i="29"/>
  <c r="J168" i="11"/>
  <c r="P13" i="29"/>
  <c r="O13" i="29" s="1"/>
  <c r="AK378" i="20"/>
  <c r="AK367" i="20" s="1"/>
  <c r="CE9" i="10"/>
  <c r="P30" i="18"/>
  <c r="W30" i="18" s="1"/>
  <c r="P77" i="18" s="1"/>
  <c r="I25" i="22" s="1"/>
  <c r="M28" i="18"/>
  <c r="T28" i="18" s="1"/>
  <c r="O34" i="18"/>
  <c r="O51" i="18" s="1"/>
  <c r="ER13" i="29"/>
  <c r="ER29" i="29" s="1"/>
  <c r="ER30" i="29" s="1"/>
  <c r="AR13" i="29"/>
  <c r="AQ13" i="29" s="1"/>
  <c r="AZ14" i="29"/>
  <c r="AY14" i="29" s="1"/>
  <c r="C72" i="18"/>
  <c r="BB11" i="13"/>
  <c r="V7" i="13"/>
  <c r="L7" i="13"/>
  <c r="AV13" i="29"/>
  <c r="AU13" i="29" s="1"/>
  <c r="P29" i="18"/>
  <c r="P46" i="18" s="1"/>
  <c r="L32" i="18"/>
  <c r="S32" i="18" s="1"/>
  <c r="L79" i="18" s="1"/>
  <c r="K32" i="18"/>
  <c r="K49" i="18" s="1"/>
  <c r="BT13" i="29"/>
  <c r="BT29" i="29" s="1"/>
  <c r="BT30" i="29" s="1"/>
  <c r="Q7" i="13"/>
  <c r="Z7" i="13"/>
  <c r="AY24" i="29"/>
  <c r="AL397" i="20"/>
  <c r="G7" i="6"/>
  <c r="C7" i="6"/>
  <c r="O33" i="18"/>
  <c r="V33" i="18" s="1"/>
  <c r="O80" i="18" s="1"/>
  <c r="L26" i="18"/>
  <c r="S26" i="18" s="1"/>
  <c r="L73" i="18" s="1"/>
  <c r="O32" i="18"/>
  <c r="O49" i="18" s="1"/>
  <c r="L34" i="18"/>
  <c r="S34" i="18" s="1"/>
  <c r="L96" i="18" s="1"/>
  <c r="M26" i="18"/>
  <c r="T26" i="18" s="1"/>
  <c r="K34" i="18"/>
  <c r="K51" i="18" s="1"/>
  <c r="M31" i="18"/>
  <c r="M48" i="18" s="1"/>
  <c r="L30" i="18"/>
  <c r="S30" i="18" s="1"/>
  <c r="L77" i="18" s="1"/>
  <c r="O31" i="18"/>
  <c r="V31" i="18" s="1"/>
  <c r="O78" i="18" s="1"/>
  <c r="L27" i="18"/>
  <c r="S27" i="18" s="1"/>
  <c r="L74" i="18" s="1"/>
  <c r="P27" i="18"/>
  <c r="W27" i="18" s="1"/>
  <c r="BP9" i="6"/>
  <c r="BO9" i="6" s="1"/>
  <c r="E225" i="22"/>
  <c r="CI9" i="6"/>
  <c r="CG9" i="6"/>
  <c r="H7" i="13"/>
  <c r="AJ245" i="22"/>
  <c r="AS245" i="22"/>
  <c r="AB245" i="22"/>
  <c r="AP225" i="22"/>
  <c r="AP245" i="22" s="1"/>
  <c r="AK245" i="22"/>
  <c r="AF226" i="22"/>
  <c r="AF245" i="22" s="1"/>
  <c r="F19" i="20"/>
  <c r="AG225" i="22"/>
  <c r="AR225" i="22"/>
  <c r="AR245" i="22" s="1"/>
  <c r="AJ19" i="20"/>
  <c r="AJ13" i="20" s="1"/>
  <c r="C67" i="18"/>
  <c r="C68" i="18" s="1"/>
  <c r="CB7" i="6"/>
  <c r="O7" i="10"/>
  <c r="F12" i="31" s="1"/>
  <c r="Z13" i="29"/>
  <c r="Z29" i="29" s="1"/>
  <c r="Z30" i="29" s="1"/>
  <c r="AN379" i="20"/>
  <c r="AN368" i="20" s="1"/>
  <c r="AN383" i="20"/>
  <c r="AN377" i="20"/>
  <c r="AM383" i="20"/>
  <c r="AM377" i="20"/>
  <c r="AN380" i="20"/>
  <c r="AN369" i="20" s="1"/>
  <c r="AN378" i="20"/>
  <c r="AN367" i="20" s="1"/>
  <c r="AL383" i="20"/>
  <c r="AL377" i="20"/>
  <c r="AK390" i="20"/>
  <c r="AG366" i="20"/>
  <c r="AG365" i="20" s="1"/>
  <c r="AG376" i="20"/>
  <c r="AI366" i="20"/>
  <c r="AI365" i="20" s="1"/>
  <c r="AI376" i="20"/>
  <c r="E529" i="17"/>
  <c r="F529" i="17" s="1"/>
  <c r="G529" i="17" s="1"/>
  <c r="H529" i="17" s="1"/>
  <c r="I529" i="17" s="1"/>
  <c r="J529" i="17" s="1"/>
  <c r="K529" i="17" s="1"/>
  <c r="L529" i="17" s="1"/>
  <c r="M529" i="17" s="1"/>
  <c r="N529" i="17" s="1"/>
  <c r="O529" i="17" s="1"/>
  <c r="P529" i="17" s="1"/>
  <c r="Q529" i="17" s="1"/>
  <c r="R529" i="17" s="1"/>
  <c r="S529" i="17" s="1"/>
  <c r="T529" i="17" s="1"/>
  <c r="U529" i="17" s="1"/>
  <c r="V529" i="17" s="1"/>
  <c r="W529" i="17" s="1"/>
  <c r="X529" i="17" s="1"/>
  <c r="Y529" i="17" s="1"/>
  <c r="Z529" i="17" s="1"/>
  <c r="AA529" i="17" s="1"/>
  <c r="AB529" i="17" s="1"/>
  <c r="AC529" i="17" s="1"/>
  <c r="AD529" i="17" s="1"/>
  <c r="AE529" i="17" s="1"/>
  <c r="AF529" i="17" s="1"/>
  <c r="AG529" i="17" s="1"/>
  <c r="AH529" i="17" s="1"/>
  <c r="AI529" i="17" s="1"/>
  <c r="AJ529" i="17" s="1"/>
  <c r="AK529" i="17" s="1"/>
  <c r="AO3" i="17"/>
  <c r="E531" i="17"/>
  <c r="F531" i="17" s="1"/>
  <c r="G531" i="17" s="1"/>
  <c r="H531" i="17" s="1"/>
  <c r="I531" i="17" s="1"/>
  <c r="J531" i="17" s="1"/>
  <c r="K531" i="17" s="1"/>
  <c r="L531" i="17" s="1"/>
  <c r="M531" i="17" s="1"/>
  <c r="N531" i="17" s="1"/>
  <c r="O531" i="17" s="1"/>
  <c r="P531" i="17" s="1"/>
  <c r="Q531" i="17" s="1"/>
  <c r="R531" i="17" s="1"/>
  <c r="S531" i="17" s="1"/>
  <c r="T531" i="17" s="1"/>
  <c r="U531" i="17" s="1"/>
  <c r="V531" i="17" s="1"/>
  <c r="W531" i="17" s="1"/>
  <c r="X531" i="17" s="1"/>
  <c r="Y531" i="17" s="1"/>
  <c r="Z531" i="17" s="1"/>
  <c r="AA531" i="17" s="1"/>
  <c r="AB531" i="17" s="1"/>
  <c r="AC531" i="17" s="1"/>
  <c r="AD531" i="17" s="1"/>
  <c r="AE531" i="17" s="1"/>
  <c r="AF531" i="17" s="1"/>
  <c r="AG531" i="17" s="1"/>
  <c r="AH531" i="17" s="1"/>
  <c r="AI531" i="17" s="1"/>
  <c r="AJ531" i="17" s="1"/>
  <c r="AK531" i="17" s="1"/>
  <c r="AL531" i="17" s="1"/>
  <c r="AM531" i="17" s="1"/>
  <c r="E532" i="17"/>
  <c r="F532" i="17" s="1"/>
  <c r="G532" i="17" s="1"/>
  <c r="H532" i="17" s="1"/>
  <c r="I532" i="17" s="1"/>
  <c r="J532" i="17" s="1"/>
  <c r="K532" i="17" s="1"/>
  <c r="L532" i="17" s="1"/>
  <c r="M532" i="17" s="1"/>
  <c r="N532" i="17" s="1"/>
  <c r="O532" i="17" s="1"/>
  <c r="P532" i="17" s="1"/>
  <c r="Q532" i="17" s="1"/>
  <c r="R532" i="17" s="1"/>
  <c r="S532" i="17" s="1"/>
  <c r="T532" i="17" s="1"/>
  <c r="U532" i="17" s="1"/>
  <c r="V532" i="17" s="1"/>
  <c r="W532" i="17" s="1"/>
  <c r="X532" i="17" s="1"/>
  <c r="Y532" i="17" s="1"/>
  <c r="Z532" i="17" s="1"/>
  <c r="AA532" i="17" s="1"/>
  <c r="AB532" i="17" s="1"/>
  <c r="AC532" i="17" s="1"/>
  <c r="AD532" i="17" s="1"/>
  <c r="AE532" i="17" s="1"/>
  <c r="AF532" i="17" s="1"/>
  <c r="AG532" i="17" s="1"/>
  <c r="AH532" i="17" s="1"/>
  <c r="AI532" i="17" s="1"/>
  <c r="AJ532" i="17" s="1"/>
  <c r="AK532" i="17" s="1"/>
  <c r="AL532" i="17" s="1"/>
  <c r="AM532" i="17" s="1"/>
  <c r="AN532" i="17" s="1"/>
  <c r="E530" i="17"/>
  <c r="F530" i="17" s="1"/>
  <c r="G530" i="17" s="1"/>
  <c r="H530" i="17" s="1"/>
  <c r="I530" i="17" s="1"/>
  <c r="J530" i="17" s="1"/>
  <c r="K530" i="17" s="1"/>
  <c r="L530" i="17" s="1"/>
  <c r="M530" i="17" s="1"/>
  <c r="N530" i="17" s="1"/>
  <c r="O530" i="17" s="1"/>
  <c r="P530" i="17" s="1"/>
  <c r="Q530" i="17" s="1"/>
  <c r="R530" i="17" s="1"/>
  <c r="S530" i="17" s="1"/>
  <c r="T530" i="17" s="1"/>
  <c r="U530" i="17" s="1"/>
  <c r="V530" i="17" s="1"/>
  <c r="W530" i="17" s="1"/>
  <c r="X530" i="17" s="1"/>
  <c r="Y530" i="17" s="1"/>
  <c r="Z530" i="17" s="1"/>
  <c r="AA530" i="17" s="1"/>
  <c r="AB530" i="17" s="1"/>
  <c r="AC530" i="17" s="1"/>
  <c r="AD530" i="17" s="1"/>
  <c r="AE530" i="17" s="1"/>
  <c r="AF530" i="17" s="1"/>
  <c r="AG530" i="17" s="1"/>
  <c r="AH530" i="17" s="1"/>
  <c r="AI530" i="17" s="1"/>
  <c r="AJ530" i="17" s="1"/>
  <c r="AK530" i="17" s="1"/>
  <c r="AL530" i="17" s="1"/>
  <c r="AH127" i="20" a="1"/>
  <c r="AH127" i="20" s="1"/>
  <c r="AJ127" i="20" a="1"/>
  <c r="AJ127" i="20" s="1"/>
  <c r="AI127" i="20" a="1"/>
  <c r="AI127" i="20" s="1"/>
  <c r="AK127" i="20" a="1"/>
  <c r="AK127" i="20" s="1"/>
  <c r="AK138" i="20" a="1"/>
  <c r="AK138" i="20" s="1"/>
  <c r="AQ24" i="29"/>
  <c r="AL390" i="20"/>
  <c r="AK233" i="22"/>
  <c r="AO219" i="22"/>
  <c r="AJ366" i="20"/>
  <c r="AJ365" i="20" s="1"/>
  <c r="AJ376" i="20"/>
  <c r="E82" i="18"/>
  <c r="AM20" i="29"/>
  <c r="P34" i="18"/>
  <c r="P51" i="18" s="1"/>
  <c r="V13" i="29"/>
  <c r="U13" i="29" s="1"/>
  <c r="U29" i="29" s="1"/>
  <c r="U30" i="29" s="1"/>
  <c r="C81" i="18"/>
  <c r="E48" i="7"/>
  <c r="Q48" i="7" s="1"/>
  <c r="CB7" i="10"/>
  <c r="P12" i="31" s="1"/>
  <c r="P14" i="31" s="1"/>
  <c r="P15" i="31" s="1"/>
  <c r="S230" i="22"/>
  <c r="P32" i="18"/>
  <c r="P49" i="18" s="1"/>
  <c r="K25" i="18"/>
  <c r="R25" i="18" s="1"/>
  <c r="K72" i="18" s="1"/>
  <c r="N32" i="18"/>
  <c r="N49" i="18" s="1"/>
  <c r="L33" i="18"/>
  <c r="L50" i="18" s="1"/>
  <c r="K30" i="18"/>
  <c r="M33" i="18"/>
  <c r="M50" i="18" s="1"/>
  <c r="O30" i="18"/>
  <c r="O47" i="18" s="1"/>
  <c r="O28" i="18"/>
  <c r="V28" i="18" s="1"/>
  <c r="O75" i="18" s="1"/>
  <c r="K29" i="18"/>
  <c r="K46" i="18" s="1"/>
  <c r="O26" i="18"/>
  <c r="V26" i="18" s="1"/>
  <c r="O73" i="18" s="1"/>
  <c r="C38" i="18"/>
  <c r="D7" i="10"/>
  <c r="E6" i="40" s="1"/>
  <c r="E7" i="10"/>
  <c r="F6" i="40" s="1"/>
  <c r="C76" i="18"/>
  <c r="AI7" i="13"/>
  <c r="R7" i="13"/>
  <c r="D359" i="17"/>
  <c r="H7" i="10"/>
  <c r="L7" i="6"/>
  <c r="AO387" i="20"/>
  <c r="AR384" i="20"/>
  <c r="AO391" i="20"/>
  <c r="AP396" i="20"/>
  <c r="AR391" i="20"/>
  <c r="AP403" i="20"/>
  <c r="AO400" i="20"/>
  <c r="AP391" i="20"/>
  <c r="AS374" i="20"/>
  <c r="AR403" i="20"/>
  <c r="AQ385" i="20"/>
  <c r="AQ396" i="20"/>
  <c r="AR388" i="20"/>
  <c r="AO399" i="20"/>
  <c r="AO402" i="20"/>
  <c r="AQ398" i="20"/>
  <c r="AP389" i="20"/>
  <c r="AP402" i="20"/>
  <c r="AQ399" i="20"/>
  <c r="AQ393" i="20"/>
  <c r="AP395" i="20"/>
  <c r="AP393" i="20"/>
  <c r="AO386" i="20"/>
  <c r="AR401" i="20"/>
  <c r="AO394" i="20"/>
  <c r="AQ391" i="20"/>
  <c r="AO388" i="20"/>
  <c r="AQ395" i="20"/>
  <c r="AP388" i="20"/>
  <c r="AQ401" i="20"/>
  <c r="AO401" i="20"/>
  <c r="AP387" i="20"/>
  <c r="AQ387" i="20"/>
  <c r="AO396" i="20"/>
  <c r="AR393" i="20"/>
  <c r="AR394" i="20"/>
  <c r="AO393" i="20"/>
  <c r="AP384" i="20"/>
  <c r="AO389" i="20"/>
  <c r="AP394" i="20"/>
  <c r="AR396" i="20"/>
  <c r="AO395" i="20"/>
  <c r="AP398" i="20"/>
  <c r="AQ389" i="20"/>
  <c r="AR387" i="20"/>
  <c r="AO385" i="20"/>
  <c r="AQ388" i="20"/>
  <c r="AQ403" i="20"/>
  <c r="AP399" i="20"/>
  <c r="AR402" i="20"/>
  <c r="AP401" i="20"/>
  <c r="AQ384" i="20"/>
  <c r="AQ402" i="20"/>
  <c r="AQ392" i="20"/>
  <c r="AR395" i="20"/>
  <c r="AP386" i="20"/>
  <c r="AR389" i="20"/>
  <c r="AR386" i="20"/>
  <c r="AR399" i="20"/>
  <c r="AO398" i="20"/>
  <c r="AP392" i="20"/>
  <c r="AP385" i="20"/>
  <c r="AO384" i="20"/>
  <c r="AO403" i="20"/>
  <c r="AP400" i="20"/>
  <c r="AR385" i="20"/>
  <c r="AR392" i="20"/>
  <c r="AQ400" i="20"/>
  <c r="AQ394" i="20"/>
  <c r="AO392" i="20"/>
  <c r="AR398" i="20"/>
  <c r="AR400" i="20"/>
  <c r="AQ386" i="20"/>
  <c r="AK397" i="20"/>
  <c r="AK382" i="20"/>
  <c r="AK371" i="20" s="1"/>
  <c r="AK381" i="20"/>
  <c r="AK370" i="20" s="1"/>
  <c r="AL379" i="20"/>
  <c r="AL368" i="20" s="1"/>
  <c r="AK380" i="20"/>
  <c r="AK369" i="20" s="1"/>
  <c r="AM379" i="20"/>
  <c r="AM368" i="20" s="1"/>
  <c r="AM382" i="20"/>
  <c r="AM371" i="20" s="1"/>
  <c r="AL382" i="20"/>
  <c r="AL371" i="20" s="1"/>
  <c r="AM380" i="20"/>
  <c r="AM369" i="20" s="1"/>
  <c r="AK137" i="20" a="1"/>
  <c r="AK137" i="20" s="1"/>
  <c r="AI137" i="20" a="1"/>
  <c r="AI137" i="20" s="1"/>
  <c r="AI138" i="20" a="1"/>
  <c r="AI138" i="20" s="1"/>
  <c r="AM297" i="20"/>
  <c r="AM298" i="20" s="1"/>
  <c r="AL339" i="20"/>
  <c r="AL340" i="20" s="1"/>
  <c r="AL289" i="20"/>
  <c r="AL290" i="20" s="1"/>
  <c r="AM211" i="20"/>
  <c r="AM212" i="20" s="1"/>
  <c r="AM311" i="20"/>
  <c r="AM312" i="20" s="1"/>
  <c r="AK281" i="20"/>
  <c r="AK282" i="20" s="1"/>
  <c r="AK227" i="20"/>
  <c r="AK228" i="20" s="1"/>
  <c r="AL225" i="20"/>
  <c r="AL226" i="20" s="1"/>
  <c r="AN275" i="20"/>
  <c r="AN276" i="20" s="1"/>
  <c r="AM327" i="20"/>
  <c r="AM328" i="20" s="1"/>
  <c r="AN227" i="20"/>
  <c r="AN228" i="20" s="1"/>
  <c r="AK263" i="20"/>
  <c r="AK264" i="20" s="1"/>
  <c r="AK215" i="20"/>
  <c r="AK216" i="20" s="1"/>
  <c r="AM315" i="20"/>
  <c r="AM316" i="20" s="1"/>
  <c r="AM221" i="20"/>
  <c r="AM222" i="20" s="1"/>
  <c r="AL287" i="20"/>
  <c r="AL288" i="20" s="1"/>
  <c r="AL211" i="20"/>
  <c r="AL212" i="20" s="1"/>
  <c r="AK255" i="20"/>
  <c r="AK256" i="20" s="1"/>
  <c r="AL307" i="20"/>
  <c r="AL308" i="20" s="1"/>
  <c r="AL319" i="20"/>
  <c r="AL320" i="20" s="1"/>
  <c r="AN235" i="20"/>
  <c r="AN236" i="20" s="1"/>
  <c r="AM259" i="20"/>
  <c r="AM260" i="20" s="1"/>
  <c r="AN237" i="20"/>
  <c r="AN238" i="20" s="1"/>
  <c r="AM261" i="20"/>
  <c r="AM262" i="20" s="1"/>
  <c r="AM215" i="20"/>
  <c r="AM216" i="20" s="1"/>
  <c r="AK285" i="20"/>
  <c r="AK286" i="20" s="1"/>
  <c r="AN211" i="20"/>
  <c r="AN212" i="20" s="1"/>
  <c r="AK295" i="20"/>
  <c r="AK296" i="20" s="1"/>
  <c r="AN315" i="20"/>
  <c r="AN316" i="20" s="1"/>
  <c r="AM253" i="20"/>
  <c r="AM254" i="20" s="1"/>
  <c r="AL311" i="20"/>
  <c r="AL312" i="20" s="1"/>
  <c r="AN261" i="20"/>
  <c r="AN262" i="20" s="1"/>
  <c r="AK233" i="20"/>
  <c r="AK234" i="20" s="1"/>
  <c r="AN327" i="20"/>
  <c r="AN328" i="20" s="1"/>
  <c r="AN279" i="20"/>
  <c r="AN280" i="20" s="1"/>
  <c r="AK261" i="20"/>
  <c r="AK262" i="20" s="1"/>
  <c r="AM339" i="20"/>
  <c r="AM340" i="20" s="1"/>
  <c r="AK347" i="20"/>
  <c r="AK348" i="20" s="1"/>
  <c r="AK265" i="20"/>
  <c r="AK266" i="20" s="1"/>
  <c r="AN219" i="20"/>
  <c r="AN220" i="20" s="1"/>
  <c r="AL237" i="20"/>
  <c r="AL238" i="20" s="1"/>
  <c r="AM317" i="20"/>
  <c r="AM318" i="20" s="1"/>
  <c r="AN273" i="20"/>
  <c r="AN274" i="20" s="1"/>
  <c r="AL337" i="20"/>
  <c r="AL338" i="20" s="1"/>
  <c r="AM263" i="20"/>
  <c r="AM264" i="20" s="1"/>
  <c r="AM321" i="20"/>
  <c r="AM322" i="20" s="1"/>
  <c r="AL303" i="20"/>
  <c r="AL304" i="20" s="1"/>
  <c r="AN337" i="20"/>
  <c r="AN338" i="20" s="1"/>
  <c r="AK209" i="20"/>
  <c r="AK210" i="20" s="1"/>
  <c r="AN285" i="20"/>
  <c r="AN286" i="20" s="1"/>
  <c r="AL321" i="20"/>
  <c r="AL322" i="20" s="1"/>
  <c r="AN287" i="20"/>
  <c r="AN288" i="20" s="1"/>
  <c r="AN267" i="20"/>
  <c r="AN268" i="20" s="1"/>
  <c r="AM299" i="20"/>
  <c r="AM300" i="20" s="1"/>
  <c r="AN221" i="20"/>
  <c r="AN222" i="20" s="1"/>
  <c r="AL227" i="20"/>
  <c r="AL228" i="20" s="1"/>
  <c r="AK259" i="20"/>
  <c r="AK260" i="20" s="1"/>
  <c r="AN311" i="20"/>
  <c r="AN312" i="20" s="1"/>
  <c r="AK271" i="20"/>
  <c r="AK272" i="20" s="1"/>
  <c r="AM219" i="20"/>
  <c r="AM220" i="20" s="1"/>
  <c r="AK269" i="20"/>
  <c r="AK270" i="20" s="1"/>
  <c r="AM325" i="20"/>
  <c r="AM326" i="20" s="1"/>
  <c r="AK329" i="20"/>
  <c r="AK330" i="20" s="1"/>
  <c r="AK323" i="20"/>
  <c r="AK324" i="20" s="1"/>
  <c r="AN243" i="20"/>
  <c r="AN244" i="20" s="1"/>
  <c r="AK291" i="20"/>
  <c r="AK292" i="20" s="1"/>
  <c r="AM335" i="20"/>
  <c r="AM336" i="20" s="1"/>
  <c r="AM229" i="20"/>
  <c r="AM230" i="20" s="1"/>
  <c r="AN305" i="20"/>
  <c r="AN306" i="20" s="1"/>
  <c r="AN283" i="20"/>
  <c r="AN284" i="20" s="1"/>
  <c r="AL243" i="20"/>
  <c r="AL244" i="20" s="1"/>
  <c r="AM329" i="20"/>
  <c r="AM330" i="20" s="1"/>
  <c r="AN295" i="20"/>
  <c r="AN296" i="20" s="1"/>
  <c r="AL249" i="20"/>
  <c r="AL250" i="20" s="1"/>
  <c r="AK299" i="20"/>
  <c r="AK300" i="20" s="1"/>
  <c r="AK303" i="20"/>
  <c r="AK304" i="20" s="1"/>
  <c r="AM279" i="20"/>
  <c r="AM280" i="20" s="1"/>
  <c r="AL219" i="20"/>
  <c r="AL220" i="20" s="1"/>
  <c r="AN345" i="20"/>
  <c r="AN346" i="20" s="1"/>
  <c r="AM281" i="20"/>
  <c r="AM282" i="20" s="1"/>
  <c r="AL315" i="20"/>
  <c r="AL316" i="20" s="1"/>
  <c r="AN347" i="20"/>
  <c r="AN348" i="20" s="1"/>
  <c r="AK211" i="20"/>
  <c r="AK212" i="20" s="1"/>
  <c r="AL281" i="20"/>
  <c r="AL282" i="20" s="1"/>
  <c r="AL215" i="20"/>
  <c r="AL216" i="20" s="1"/>
  <c r="AL331" i="20"/>
  <c r="AL332" i="20" s="1"/>
  <c r="AN209" i="20"/>
  <c r="AN210" i="20" s="1"/>
  <c r="AM285" i="20"/>
  <c r="AM286" i="20" s="1"/>
  <c r="AM209" i="20"/>
  <c r="AM210" i="20" s="1"/>
  <c r="AM257" i="20"/>
  <c r="AM258" i="20" s="1"/>
  <c r="AN293" i="20"/>
  <c r="AN294" i="20" s="1"/>
  <c r="AM271" i="20"/>
  <c r="AM272" i="20" s="1"/>
  <c r="AM227" i="20"/>
  <c r="AM228" i="20" s="1"/>
  <c r="AN205" i="20"/>
  <c r="AN206" i="20" s="1"/>
  <c r="AN225" i="20"/>
  <c r="AN226" i="20" s="1"/>
  <c r="AL347" i="20"/>
  <c r="AL348" i="20" s="1"/>
  <c r="AL245" i="20"/>
  <c r="AL246" i="20" s="1"/>
  <c r="AL269" i="20"/>
  <c r="AL270" i="20" s="1"/>
  <c r="AK221" i="20"/>
  <c r="AK222" i="20" s="1"/>
  <c r="AM275" i="20"/>
  <c r="AM276" i="20" s="1"/>
  <c r="AM205" i="20"/>
  <c r="AM206" i="20" s="1"/>
  <c r="AM301" i="20"/>
  <c r="AM302" i="20" s="1"/>
  <c r="AL343" i="20"/>
  <c r="AL344" i="20" s="1"/>
  <c r="AK251" i="20"/>
  <c r="AK252" i="20" s="1"/>
  <c r="AL275" i="20"/>
  <c r="AL276" i="20" s="1"/>
  <c r="AL223" i="20"/>
  <c r="AL224" i="20" s="1"/>
  <c r="AN335" i="20"/>
  <c r="AN336" i="20" s="1"/>
  <c r="AN323" i="20"/>
  <c r="AN324" i="20" s="1"/>
  <c r="AL291" i="20"/>
  <c r="AL292" i="20" s="1"/>
  <c r="AN289" i="20"/>
  <c r="AN290" i="20" s="1"/>
  <c r="AL301" i="20"/>
  <c r="AL302" i="20" s="1"/>
  <c r="AM241" i="20"/>
  <c r="AM242" i="20" s="1"/>
  <c r="AK231" i="20"/>
  <c r="AK232" i="20" s="1"/>
  <c r="AN233" i="20"/>
  <c r="AN234" i="20" s="1"/>
  <c r="AM343" i="20"/>
  <c r="AM344" i="20" s="1"/>
  <c r="AL251" i="20"/>
  <c r="AL252" i="20" s="1"/>
  <c r="AN313" i="20"/>
  <c r="AN314" i="20" s="1"/>
  <c r="AM235" i="20"/>
  <c r="AM236" i="20" s="1"/>
  <c r="AM231" i="20"/>
  <c r="AM232" i="20" s="1"/>
  <c r="AK319" i="20"/>
  <c r="AK320" i="20" s="1"/>
  <c r="AN301" i="20"/>
  <c r="AN302" i="20" s="1"/>
  <c r="AM267" i="20"/>
  <c r="AM268" i="20" s="1"/>
  <c r="AK235" i="20"/>
  <c r="AK236" i="20" s="1"/>
  <c r="AL325" i="20"/>
  <c r="AL326" i="20" s="1"/>
  <c r="AK277" i="20"/>
  <c r="AK278" i="20" s="1"/>
  <c r="AK313" i="20"/>
  <c r="AK314" i="20" s="1"/>
  <c r="AM319" i="20"/>
  <c r="AM320" i="20" s="1"/>
  <c r="AN257" i="20"/>
  <c r="AN258" i="20" s="1"/>
  <c r="AL209" i="20"/>
  <c r="AL210" i="20" s="1"/>
  <c r="AK327" i="20"/>
  <c r="AK328" i="20" s="1"/>
  <c r="AM217" i="20"/>
  <c r="AM218" i="20" s="1"/>
  <c r="AL221" i="20"/>
  <c r="AL222" i="20" s="1"/>
  <c r="AM269" i="20"/>
  <c r="AM270" i="20" s="1"/>
  <c r="AL295" i="20"/>
  <c r="AL296" i="20" s="1"/>
  <c r="AM273" i="20"/>
  <c r="AM274" i="20" s="1"/>
  <c r="AM309" i="20"/>
  <c r="AM310" i="20" s="1"/>
  <c r="AK301" i="20"/>
  <c r="AK302" i="20" s="1"/>
  <c r="AL253" i="20"/>
  <c r="AL254" i="20" s="1"/>
  <c r="AM247" i="20"/>
  <c r="AM248" i="20" s="1"/>
  <c r="AK207" i="20"/>
  <c r="AK208" i="20" s="1"/>
  <c r="AN215" i="20"/>
  <c r="AN216" i="20" s="1"/>
  <c r="AM313" i="20"/>
  <c r="AM314" i="20" s="1"/>
  <c r="AK237" i="20"/>
  <c r="AK238" i="20" s="1"/>
  <c r="AL273" i="20"/>
  <c r="AL274" i="20" s="1"/>
  <c r="AK275" i="20"/>
  <c r="AK276" i="20" s="1"/>
  <c r="AK245" i="20"/>
  <c r="AK246" i="20" s="1"/>
  <c r="AK249" i="20"/>
  <c r="AK250" i="20" s="1"/>
  <c r="AM347" i="20"/>
  <c r="AM348" i="20" s="1"/>
  <c r="AL265" i="20"/>
  <c r="AL266" i="20" s="1"/>
  <c r="AN271" i="20"/>
  <c r="AN272" i="20" s="1"/>
  <c r="AN231" i="20"/>
  <c r="AN232" i="20" s="1"/>
  <c r="AL207" i="20"/>
  <c r="AL208" i="20" s="1"/>
  <c r="AL279" i="20"/>
  <c r="AL280" i="20" s="1"/>
  <c r="AN263" i="20"/>
  <c r="AN264" i="20" s="1"/>
  <c r="AM289" i="20"/>
  <c r="AM290" i="20" s="1"/>
  <c r="AN207" i="20"/>
  <c r="AN208" i="20" s="1"/>
  <c r="AK253" i="20"/>
  <c r="AK254" i="20" s="1"/>
  <c r="AN325" i="20"/>
  <c r="AN326" i="20" s="1"/>
  <c r="AN241" i="20"/>
  <c r="AN242" i="20" s="1"/>
  <c r="AM333" i="20"/>
  <c r="AM334" i="20" s="1"/>
  <c r="AL231" i="20"/>
  <c r="AL232" i="20" s="1"/>
  <c r="AN309" i="20"/>
  <c r="AN310" i="20" s="1"/>
  <c r="AL259" i="20"/>
  <c r="AL260" i="20" s="1"/>
  <c r="AN297" i="20"/>
  <c r="AN298" i="20" s="1"/>
  <c r="AM307" i="20"/>
  <c r="AM308" i="20" s="1"/>
  <c r="AN343" i="20"/>
  <c r="AN344" i="20" s="1"/>
  <c r="AN281" i="20"/>
  <c r="AN282" i="20" s="1"/>
  <c r="AM249" i="20"/>
  <c r="AM250" i="20" s="1"/>
  <c r="AM303" i="20"/>
  <c r="AM304" i="20" s="1"/>
  <c r="AK247" i="20"/>
  <c r="AK248" i="20" s="1"/>
  <c r="AL285" i="20"/>
  <c r="AL286" i="20" s="1"/>
  <c r="AM291" i="20"/>
  <c r="AM292" i="20" s="1"/>
  <c r="AK283" i="20"/>
  <c r="AK284" i="20" s="1"/>
  <c r="AN329" i="20"/>
  <c r="AN330" i="20" s="1"/>
  <c r="AN213" i="20"/>
  <c r="AN214" i="20" s="1"/>
  <c r="AL305" i="20"/>
  <c r="AL306" i="20" s="1"/>
  <c r="AK341" i="20"/>
  <c r="AK342" i="20" s="1"/>
  <c r="AM323" i="20"/>
  <c r="AM324" i="20" s="1"/>
  <c r="AM243" i="20"/>
  <c r="AM244" i="20" s="1"/>
  <c r="AL229" i="20"/>
  <c r="AL230" i="20" s="1"/>
  <c r="AL213" i="20"/>
  <c r="AL214" i="20" s="1"/>
  <c r="AN303" i="20"/>
  <c r="AN304" i="20" s="1"/>
  <c r="AK297" i="20"/>
  <c r="AK298" i="20" s="1"/>
  <c r="AL277" i="20"/>
  <c r="AL278" i="20" s="1"/>
  <c r="AN245" i="20"/>
  <c r="AN246" i="20" s="1"/>
  <c r="AM239" i="20"/>
  <c r="AM240" i="20" s="1"/>
  <c r="AK309" i="20"/>
  <c r="AK310" i="20" s="1"/>
  <c r="AM277" i="20"/>
  <c r="AM278" i="20" s="1"/>
  <c r="AK223" i="20"/>
  <c r="AK224" i="20" s="1"/>
  <c r="AL217" i="20"/>
  <c r="AL218" i="20" s="1"/>
  <c r="AN307" i="20"/>
  <c r="AN308" i="20" s="1"/>
  <c r="AN255" i="20"/>
  <c r="AN256" i="20" s="1"/>
  <c r="AL333" i="20"/>
  <c r="AL334" i="20" s="1"/>
  <c r="AM337" i="20"/>
  <c r="AM338" i="20" s="1"/>
  <c r="AK225" i="20"/>
  <c r="AK226" i="20" s="1"/>
  <c r="AL137" i="20" s="1" a="1"/>
  <c r="AL137" i="20" s="1"/>
  <c r="AL267" i="20"/>
  <c r="AL268" i="20" s="1"/>
  <c r="AL271" i="20"/>
  <c r="AL272" i="20" s="1"/>
  <c r="AK317" i="20"/>
  <c r="AK318" i="20" s="1"/>
  <c r="AN249" i="20"/>
  <c r="AN250" i="20" s="1"/>
  <c r="AN217" i="20"/>
  <c r="AN218" i="20" s="1"/>
  <c r="AL313" i="20"/>
  <c r="AL314" i="20" s="1"/>
  <c r="AK239" i="20"/>
  <c r="AK240" i="20" s="1"/>
  <c r="AK331" i="20"/>
  <c r="AK332" i="20" s="1"/>
  <c r="AM265" i="20"/>
  <c r="AM266" i="20" s="1"/>
  <c r="AK289" i="20"/>
  <c r="AK290" i="20" s="1"/>
  <c r="AM293" i="20"/>
  <c r="AM294" i="20" s="1"/>
  <c r="AL317" i="20"/>
  <c r="AL318" i="20" s="1"/>
  <c r="AL241" i="20"/>
  <c r="AL242" i="20" s="1"/>
  <c r="AK343" i="20"/>
  <c r="AK344" i="20" s="1"/>
  <c r="AN319" i="20"/>
  <c r="AN320" i="20" s="1"/>
  <c r="AM245" i="20"/>
  <c r="AM246" i="20" s="1"/>
  <c r="AL235" i="20"/>
  <c r="AL236" i="20" s="1"/>
  <c r="AN229" i="20"/>
  <c r="AN230" i="20" s="1"/>
  <c r="AK305" i="20"/>
  <c r="AK306" i="20" s="1"/>
  <c r="AN291" i="20"/>
  <c r="AN292" i="20" s="1"/>
  <c r="AN341" i="20"/>
  <c r="AN342" i="20" s="1"/>
  <c r="AL323" i="20"/>
  <c r="AL324" i="20" s="1"/>
  <c r="AM341" i="20"/>
  <c r="AM342" i="20" s="1"/>
  <c r="AL255" i="20"/>
  <c r="AL256" i="20" s="1"/>
  <c r="AK219" i="20"/>
  <c r="AK220" i="20" s="1"/>
  <c r="AK257" i="20"/>
  <c r="AK258" i="20" s="1"/>
  <c r="AK287" i="20"/>
  <c r="AK288" i="20" s="1"/>
  <c r="AN339" i="20"/>
  <c r="AN340" i="20" s="1"/>
  <c r="AK325" i="20"/>
  <c r="AK326" i="20" s="1"/>
  <c r="AN223" i="20"/>
  <c r="AN224" i="20" s="1"/>
  <c r="AM305" i="20"/>
  <c r="AM306" i="20" s="1"/>
  <c r="AL283" i="20"/>
  <c r="AL284" i="20" s="1"/>
  <c r="AK213" i="20"/>
  <c r="AK214" i="20" s="1"/>
  <c r="AM207" i="20"/>
  <c r="AM208" i="20" s="1"/>
  <c r="AN321" i="20"/>
  <c r="AN322" i="20" s="1"/>
  <c r="AM331" i="20"/>
  <c r="AM332" i="20" s="1"/>
  <c r="AN333" i="20"/>
  <c r="AN334" i="20" s="1"/>
  <c r="AL205" i="20"/>
  <c r="AL206" i="20" s="1"/>
  <c r="AM223" i="20"/>
  <c r="AM224" i="20" s="1"/>
  <c r="AN265" i="20"/>
  <c r="AN266" i="20" s="1"/>
  <c r="AM251" i="20"/>
  <c r="AM252" i="20" s="1"/>
  <c r="AL327" i="20"/>
  <c r="AL328" i="20" s="1"/>
  <c r="AL257" i="20"/>
  <c r="AL258" i="20" s="1"/>
  <c r="AN239" i="20"/>
  <c r="AN240" i="20" s="1"/>
  <c r="AN299" i="20"/>
  <c r="AN300" i="20" s="1"/>
  <c r="AM295" i="20"/>
  <c r="AM296" i="20" s="1"/>
  <c r="AL345" i="20"/>
  <c r="AL346" i="20" s="1"/>
  <c r="AL233" i="20"/>
  <c r="AL234" i="20" s="1"/>
  <c r="AK339" i="20"/>
  <c r="AK340" i="20" s="1"/>
  <c r="AK267" i="20"/>
  <c r="AK268" i="20" s="1"/>
  <c r="AL261" i="20"/>
  <c r="AL262" i="20" s="1"/>
  <c r="AK311" i="20"/>
  <c r="AK312" i="20" s="1"/>
  <c r="AM237" i="20"/>
  <c r="AM238" i="20" s="1"/>
  <c r="AN247" i="20"/>
  <c r="AN248" i="20" s="1"/>
  <c r="AK315" i="20"/>
  <c r="AK316" i="20" s="1"/>
  <c r="AN317" i="20"/>
  <c r="AN318" i="20" s="1"/>
  <c r="AM287" i="20"/>
  <c r="AM288" i="20" s="1"/>
  <c r="AN253" i="20"/>
  <c r="AN254" i="20" s="1"/>
  <c r="AK337" i="20"/>
  <c r="AK338" i="20" s="1"/>
  <c r="AM255" i="20"/>
  <c r="AM256" i="20" s="1"/>
  <c r="AK241" i="20"/>
  <c r="AK242" i="20" s="1"/>
  <c r="AL247" i="20"/>
  <c r="AL248" i="20" s="1"/>
  <c r="AL299" i="20"/>
  <c r="AL300" i="20" s="1"/>
  <c r="AM233" i="20"/>
  <c r="AM234" i="20" s="1"/>
  <c r="AM345" i="20"/>
  <c r="AM346" i="20" s="1"/>
  <c r="AM213" i="20"/>
  <c r="AM214" i="20" s="1"/>
  <c r="AK243" i="20"/>
  <c r="AK244" i="20" s="1"/>
  <c r="AL335" i="20"/>
  <c r="AL336" i="20" s="1"/>
  <c r="AK335" i="20"/>
  <c r="AK336" i="20" s="1"/>
  <c r="AK345" i="20"/>
  <c r="AK346" i="20" s="1"/>
  <c r="AK217" i="20"/>
  <c r="AK218" i="20" s="1"/>
  <c r="AK273" i="20"/>
  <c r="AK274" i="20" s="1"/>
  <c r="AL309" i="20"/>
  <c r="AL310" i="20" s="1"/>
  <c r="AK4" i="20"/>
  <c r="AN269" i="20"/>
  <c r="AN270" i="20" s="1"/>
  <c r="AL239" i="20"/>
  <c r="AL240" i="20" s="1"/>
  <c r="AK293" i="20"/>
  <c r="AK294" i="20" s="1"/>
  <c r="AN259" i="20"/>
  <c r="AN260" i="20" s="1"/>
  <c r="AK333" i="20"/>
  <c r="AK334" i="20" s="1"/>
  <c r="AN277" i="20"/>
  <c r="AN278" i="20" s="1"/>
  <c r="AN251" i="20"/>
  <c r="AN252" i="20" s="1"/>
  <c r="AK321" i="20"/>
  <c r="AK322" i="20" s="1"/>
  <c r="AK205" i="20"/>
  <c r="AK206" i="20" s="1"/>
  <c r="AK279" i="20"/>
  <c r="AK280" i="20" s="1"/>
  <c r="AN331" i="20"/>
  <c r="AN332" i="20" s="1"/>
  <c r="AL297" i="20"/>
  <c r="AL298" i="20" s="1"/>
  <c r="AK307" i="20"/>
  <c r="AK308" i="20" s="1"/>
  <c r="AL293" i="20"/>
  <c r="AL294" i="20" s="1"/>
  <c r="AL263" i="20"/>
  <c r="AL264" i="20" s="1"/>
  <c r="AM225" i="20"/>
  <c r="AM226" i="20" s="1"/>
  <c r="AL341" i="20"/>
  <c r="AL342" i="20" s="1"/>
  <c r="AL329" i="20"/>
  <c r="AL330" i="20" s="1"/>
  <c r="AK229" i="20"/>
  <c r="AK230" i="20" s="1"/>
  <c r="AM283" i="20"/>
  <c r="AM284" i="20" s="1"/>
  <c r="AH366" i="20"/>
  <c r="AH365" i="20" s="1"/>
  <c r="AH376" i="20"/>
  <c r="AL172" i="11"/>
  <c r="M32" i="18"/>
  <c r="T32" i="18" s="1"/>
  <c r="L31" i="18"/>
  <c r="S31" i="18" s="1"/>
  <c r="L29" i="18"/>
  <c r="L46" i="18" s="1"/>
  <c r="N28" i="18"/>
  <c r="U28" i="18" s="1"/>
  <c r="N75" i="18" s="1"/>
  <c r="P31" i="18"/>
  <c r="P48" i="18" s="1"/>
  <c r="L25" i="18"/>
  <c r="L42" i="18" s="1"/>
  <c r="N33" i="18"/>
  <c r="U33" i="18" s="1"/>
  <c r="N80" i="18" s="1"/>
  <c r="N26" i="18"/>
  <c r="N43" i="18" s="1"/>
  <c r="N29" i="18"/>
  <c r="U29" i="18" s="1"/>
  <c r="N76" i="18" s="1"/>
  <c r="O29" i="18"/>
  <c r="O46" i="18" s="1"/>
  <c r="M27" i="18"/>
  <c r="T27" i="18" s="1"/>
  <c r="M74" i="18" s="1"/>
  <c r="O27" i="18"/>
  <c r="V27" i="18" s="1"/>
  <c r="K7" i="10"/>
  <c r="E49" i="7"/>
  <c r="D11" i="13"/>
  <c r="Q226" i="19"/>
  <c r="AD7" i="13"/>
  <c r="BD7" i="13"/>
  <c r="AK379" i="20"/>
  <c r="AK368" i="20" s="1"/>
  <c r="AL378" i="20"/>
  <c r="AL367" i="20" s="1"/>
  <c r="AM390" i="20"/>
  <c r="AN390" i="20"/>
  <c r="AN397" i="20"/>
  <c r="AL380" i="20"/>
  <c r="AL369" i="20" s="1"/>
  <c r="AK377" i="20"/>
  <c r="AK383" i="20"/>
  <c r="AM378" i="20"/>
  <c r="AM367" i="20" s="1"/>
  <c r="AM381" i="20"/>
  <c r="AM370" i="20" s="1"/>
  <c r="AM397" i="20"/>
  <c r="AL381" i="20"/>
  <c r="AL370" i="20" s="1"/>
  <c r="AN382" i="20"/>
  <c r="AN371" i="20" s="1"/>
  <c r="AH137" i="20" a="1"/>
  <c r="AH137" i="20" s="1"/>
  <c r="H99" i="9"/>
  <c r="N99" i="9" s="1"/>
  <c r="S99" i="9" s="1"/>
  <c r="F185" i="19"/>
  <c r="T172" i="11"/>
  <c r="AB172" i="11"/>
  <c r="U172" i="11"/>
  <c r="AS172" i="11"/>
  <c r="AQ20" i="29"/>
  <c r="AR14" i="29"/>
  <c r="AQ14" i="29" s="1"/>
  <c r="R168" i="11"/>
  <c r="Q168" i="11"/>
  <c r="O168" i="11"/>
  <c r="E168" i="11"/>
  <c r="AG168" i="11"/>
  <c r="AO24" i="29"/>
  <c r="AV20" i="29"/>
  <c r="AV14" i="29" s="1"/>
  <c r="AU14" i="29" s="1"/>
  <c r="L168" i="11"/>
  <c r="AH24" i="29"/>
  <c r="AG24" i="29" s="1"/>
  <c r="AR172" i="11"/>
  <c r="AD172" i="11"/>
  <c r="M172" i="11"/>
  <c r="H168" i="11"/>
  <c r="R169" i="11"/>
  <c r="U168" i="11"/>
  <c r="D169" i="11"/>
  <c r="C168" i="11"/>
  <c r="AI169" i="11"/>
  <c r="AR168" i="11"/>
  <c r="T168" i="11"/>
  <c r="X168" i="11"/>
  <c r="M169" i="11"/>
  <c r="H171" i="11"/>
  <c r="AX20" i="29"/>
  <c r="AW24" i="29"/>
  <c r="L172" i="11"/>
  <c r="P169" i="11"/>
  <c r="U169" i="11"/>
  <c r="X172" i="11"/>
  <c r="AH172" i="11"/>
  <c r="AT20" i="29"/>
  <c r="AS24" i="29"/>
  <c r="AC11" i="13"/>
  <c r="D31" i="29"/>
  <c r="BO10" i="6"/>
  <c r="AB7" i="10"/>
  <c r="H12" i="31" s="1"/>
  <c r="F7" i="10"/>
  <c r="BZ13" i="29"/>
  <c r="BY13" i="29" s="1"/>
  <c r="BY29" i="29" s="1"/>
  <c r="BY30" i="29" s="1"/>
  <c r="EV13" i="29"/>
  <c r="EV29" i="29" s="1"/>
  <c r="EV30" i="29" s="1"/>
  <c r="EP13" i="29"/>
  <c r="EO13" i="29" s="1"/>
  <c r="EO29" i="29" s="1"/>
  <c r="EO30" i="29" s="1"/>
  <c r="CD9" i="6"/>
  <c r="BO11" i="6"/>
  <c r="C73" i="18"/>
  <c r="N34" i="18"/>
  <c r="U34" i="18" s="1"/>
  <c r="N96" i="18" s="1"/>
  <c r="M29" i="18"/>
  <c r="M46" i="18" s="1"/>
  <c r="K33" i="18"/>
  <c r="K50" i="18" s="1"/>
  <c r="P25" i="18"/>
  <c r="W25" i="18" s="1"/>
  <c r="P72" i="18" s="1"/>
  <c r="N25" i="18"/>
  <c r="U25" i="18" s="1"/>
  <c r="N72" i="18" s="1"/>
  <c r="O25" i="18"/>
  <c r="V25" i="18" s="1"/>
  <c r="O72" i="18" s="1"/>
  <c r="M34" i="18"/>
  <c r="M51" i="18" s="1"/>
  <c r="M30" i="18"/>
  <c r="M47" i="18" s="1"/>
  <c r="L28" i="18"/>
  <c r="L45" i="18" s="1"/>
  <c r="N31" i="18"/>
  <c r="N48" i="18" s="1"/>
  <c r="K31" i="18"/>
  <c r="K48" i="18" s="1"/>
  <c r="K28" i="18"/>
  <c r="K45" i="18" s="1"/>
  <c r="N30" i="18"/>
  <c r="U30" i="18" s="1"/>
  <c r="N77" i="18" s="1"/>
  <c r="C52" i="18"/>
  <c r="F80" i="9" s="1"/>
  <c r="C80" i="9" s="1"/>
  <c r="C78" i="18"/>
  <c r="X13" i="29"/>
  <c r="W13" i="29" s="1"/>
  <c r="W29" i="29" s="1"/>
  <c r="W30" i="29" s="1"/>
  <c r="R13" i="29"/>
  <c r="Q13" i="29" s="1"/>
  <c r="BP13" i="29"/>
  <c r="BP29" i="29" s="1"/>
  <c r="BP30" i="29" s="1"/>
  <c r="EX13" i="29"/>
  <c r="EW13" i="29" s="1"/>
  <c r="EW29" i="29" s="1"/>
  <c r="EW30" i="29" s="1"/>
  <c r="CF9" i="10"/>
  <c r="G7" i="10"/>
  <c r="CJ9" i="6"/>
  <c r="AO7" i="6"/>
  <c r="T13" i="29"/>
  <c r="S13" i="29" s="1"/>
  <c r="C7" i="10"/>
  <c r="D6" i="40" s="1"/>
  <c r="BR13" i="29"/>
  <c r="BQ13" i="29" s="1"/>
  <c r="BQ29" i="29" s="1"/>
  <c r="BQ30" i="29" s="1"/>
  <c r="F7" i="6"/>
  <c r="AO7" i="10"/>
  <c r="J12" i="31" s="1"/>
  <c r="J14" i="31" s="1"/>
  <c r="J15" i="31" s="1"/>
  <c r="I7" i="6"/>
  <c r="BV13" i="29"/>
  <c r="BU13" i="29" s="1"/>
  <c r="BU29" i="29" s="1"/>
  <c r="BU30" i="29" s="1"/>
  <c r="K7" i="6"/>
  <c r="J7" i="6"/>
  <c r="BB9" i="6"/>
  <c r="AS9" i="6"/>
  <c r="AO9" i="6" s="1"/>
  <c r="CA13" i="29"/>
  <c r="CA29" i="29" s="1"/>
  <c r="CA30" i="29" s="1"/>
  <c r="H7" i="6"/>
  <c r="AP13" i="29"/>
  <c r="AP29" i="29" s="1"/>
  <c r="AP30" i="29" s="1"/>
  <c r="AZ13" i="29"/>
  <c r="BB7" i="6"/>
  <c r="BO7" i="6"/>
  <c r="D7" i="6"/>
  <c r="L7" i="10"/>
  <c r="G6" i="40" s="1"/>
  <c r="B27" i="10"/>
  <c r="D32" i="29"/>
  <c r="B32" i="29" s="1"/>
  <c r="N11" i="13"/>
  <c r="D168" i="11"/>
  <c r="AB13" i="20"/>
  <c r="D227" i="22"/>
  <c r="C5" i="29"/>
  <c r="C5" i="31" s="1"/>
  <c r="AK3" i="34"/>
  <c r="AG4" i="34"/>
  <c r="AH4" i="34" s="1"/>
  <c r="AI4" i="34" s="1"/>
  <c r="AJ4" i="34" s="1"/>
  <c r="Q52" i="34"/>
  <c r="P59" i="34"/>
  <c r="J7" i="13"/>
  <c r="AF13" i="20"/>
  <c r="D224" i="22"/>
  <c r="H102" i="9"/>
  <c r="AN173" i="11" s="1"/>
  <c r="F188" i="19"/>
  <c r="O7" i="13"/>
  <c r="S13" i="20"/>
  <c r="CB11" i="6"/>
  <c r="C12" i="13"/>
  <c r="X11" i="13"/>
  <c r="D228" i="22"/>
  <c r="AH11" i="13"/>
  <c r="FF14" i="29"/>
  <c r="FE14" i="29" s="1"/>
  <c r="FE29" i="29" s="1"/>
  <c r="FE30" i="29" s="1"/>
  <c r="P7" i="13"/>
  <c r="AY7" i="13"/>
  <c r="AK24" i="29"/>
  <c r="AL20" i="29"/>
  <c r="AQ169" i="11"/>
  <c r="P13" i="20"/>
  <c r="N230" i="22"/>
  <c r="J245" i="22"/>
  <c r="AJ169" i="11"/>
  <c r="H169" i="11"/>
  <c r="AF169" i="11"/>
  <c r="AC169" i="11"/>
  <c r="E169" i="11"/>
  <c r="J169" i="11"/>
  <c r="O169" i="11"/>
  <c r="AA169" i="11"/>
  <c r="C81" i="7"/>
  <c r="R81" i="7" s="1"/>
  <c r="C63" i="21"/>
  <c r="R63" i="21" s="1"/>
  <c r="M225" i="22"/>
  <c r="M245" i="22" s="1"/>
  <c r="M18" i="20"/>
  <c r="M13" i="20" s="1"/>
  <c r="O47" i="13"/>
  <c r="AN18" i="20"/>
  <c r="AN13" i="20" s="1"/>
  <c r="AN225" i="22"/>
  <c r="AN245" i="22" s="1"/>
  <c r="EI31" i="29"/>
  <c r="EI32" i="29"/>
  <c r="D14" i="17"/>
  <c r="D10" i="17" s="1"/>
  <c r="F144" i="9" s="1"/>
  <c r="C144" i="9" s="1"/>
  <c r="AC226" i="22"/>
  <c r="AC19" i="20"/>
  <c r="AC13" i="20" s="1"/>
  <c r="V19" i="20"/>
  <c r="V13" i="20" s="1"/>
  <c r="V226" i="22"/>
  <c r="G30" i="34"/>
  <c r="AN7" i="13"/>
  <c r="AX7" i="13"/>
  <c r="K7" i="13"/>
  <c r="K522" i="17"/>
  <c r="F48" i="27"/>
  <c r="D48" i="27" s="1"/>
  <c r="E49" i="27"/>
  <c r="M7" i="13"/>
  <c r="U225" i="22"/>
  <c r="U245" i="22" s="1"/>
  <c r="X13" i="20"/>
  <c r="G226" i="22"/>
  <c r="F225" i="22"/>
  <c r="F245" i="22" s="1"/>
  <c r="Q245" i="22"/>
  <c r="AS18" i="20"/>
  <c r="AS13" i="20" s="1"/>
  <c r="N19" i="20"/>
  <c r="N13" i="20" s="1"/>
  <c r="AK18" i="20"/>
  <c r="AK13" i="20" s="1"/>
  <c r="O18" i="20"/>
  <c r="O13" i="20" s="1"/>
  <c r="Y225" i="22"/>
  <c r="P226" i="22"/>
  <c r="AV226" i="22"/>
  <c r="AV245" i="22" s="1"/>
  <c r="Q169" i="11"/>
  <c r="Z169" i="11"/>
  <c r="AR169" i="11"/>
  <c r="Y169" i="11"/>
  <c r="AO169" i="11"/>
  <c r="K169" i="11"/>
  <c r="AL169" i="11"/>
  <c r="V169" i="11"/>
  <c r="AP169" i="11"/>
  <c r="AM168" i="11"/>
  <c r="C81" i="21"/>
  <c r="R81" i="21" s="1"/>
  <c r="C45" i="21"/>
  <c r="R45" i="21" s="1"/>
  <c r="I16" i="34"/>
  <c r="L60" i="34"/>
  <c r="L58" i="34" s="1"/>
  <c r="L20" i="34" s="1"/>
  <c r="M55" i="34"/>
  <c r="D74" i="17"/>
  <c r="AU7" i="13"/>
  <c r="T18" i="20"/>
  <c r="T13" i="20" s="1"/>
  <c r="T225" i="22"/>
  <c r="T245" i="22" s="1"/>
  <c r="EI20" i="29"/>
  <c r="EJ14" i="29"/>
  <c r="EI14" i="29" s="1"/>
  <c r="F7" i="13"/>
  <c r="K225" i="22"/>
  <c r="K18" i="20"/>
  <c r="K13" i="20" s="1"/>
  <c r="AO7" i="13"/>
  <c r="AS3" i="13"/>
  <c r="AV3" i="13"/>
  <c r="AT3" i="13"/>
  <c r="AW3" i="13"/>
  <c r="AU3" i="13"/>
  <c r="AQ18" i="20"/>
  <c r="AQ13" i="20" s="1"/>
  <c r="H225" i="22"/>
  <c r="AG226" i="22"/>
  <c r="AG245" i="22" s="1"/>
  <c r="AH225" i="22"/>
  <c r="AL18" i="20"/>
  <c r="AP18" i="20"/>
  <c r="AP13" i="20" s="1"/>
  <c r="X226" i="22"/>
  <c r="X245" i="22" s="1"/>
  <c r="AA13" i="20"/>
  <c r="I13" i="20"/>
  <c r="Z18" i="20"/>
  <c r="Z13" i="20" s="1"/>
  <c r="W18" i="20"/>
  <c r="W13" i="20" s="1"/>
  <c r="W225" i="22"/>
  <c r="AO18" i="20"/>
  <c r="AO13" i="20" s="1"/>
  <c r="AO225" i="22"/>
  <c r="AO245" i="22" s="1"/>
  <c r="AQ7" i="13"/>
  <c r="K6" i="34"/>
  <c r="K14" i="34"/>
  <c r="K24" i="34" s="1"/>
  <c r="L7" i="34"/>
  <c r="L18" i="20"/>
  <c r="L13" i="20" s="1"/>
  <c r="L225" i="22"/>
  <c r="R225" i="22"/>
  <c r="R245" i="22" s="1"/>
  <c r="R18" i="20"/>
  <c r="U13" i="20"/>
  <c r="AD13" i="20"/>
  <c r="J19" i="20"/>
  <c r="J13" i="20" s="1"/>
  <c r="AA245" i="22"/>
  <c r="AG13" i="20"/>
  <c r="AR13" i="20"/>
  <c r="AW11" i="13"/>
  <c r="AK169" i="11"/>
  <c r="AE169" i="11"/>
  <c r="AH169" i="11"/>
  <c r="I169" i="11"/>
  <c r="AT169" i="11"/>
  <c r="G169" i="11"/>
  <c r="AS169" i="11"/>
  <c r="AR11" i="13"/>
  <c r="AD169" i="11"/>
  <c r="T213" i="19"/>
  <c r="R213" i="19" s="1"/>
  <c r="D29" i="17"/>
  <c r="E9" i="17"/>
  <c r="E7" i="43" s="1"/>
  <c r="EY20" i="29"/>
  <c r="EZ14" i="29"/>
  <c r="EY14" i="29" s="1"/>
  <c r="M54" i="13"/>
  <c r="M53" i="13" s="1"/>
  <c r="Y226" i="22"/>
  <c r="Y19" i="20"/>
  <c r="F32" i="34"/>
  <c r="F28" i="34" s="1"/>
  <c r="F34" i="34" s="1"/>
  <c r="F37" i="34" s="1"/>
  <c r="EK32" i="29"/>
  <c r="EK31" i="29"/>
  <c r="AU225" i="22"/>
  <c r="AU245" i="22" s="1"/>
  <c r="AU18" i="20"/>
  <c r="AU13" i="20" s="1"/>
  <c r="AV7" i="13"/>
  <c r="AP7" i="13"/>
  <c r="J35" i="34"/>
  <c r="J15" i="34"/>
  <c r="J13" i="34"/>
  <c r="EK20" i="29"/>
  <c r="EL14" i="29"/>
  <c r="EK14" i="29" s="1"/>
  <c r="Y7" i="13"/>
  <c r="AT18" i="20"/>
  <c r="AT13" i="20" s="1"/>
  <c r="AT225" i="22"/>
  <c r="AT245" i="22" s="1"/>
  <c r="AH13" i="20"/>
  <c r="EG31" i="29"/>
  <c r="EG32" i="29"/>
  <c r="C6" i="31"/>
  <c r="P8" i="31"/>
  <c r="C8" i="29"/>
  <c r="C8" i="31" s="1"/>
  <c r="BL29" i="10"/>
  <c r="J129" i="9"/>
  <c r="O99" i="7"/>
  <c r="O103" i="7" s="1"/>
  <c r="O99" i="21"/>
  <c r="O103" i="21" s="1"/>
  <c r="R225" i="19"/>
  <c r="I31" i="22"/>
  <c r="I31" i="8"/>
  <c r="EG11" i="29"/>
  <c r="D11" i="29"/>
  <c r="CA35" i="29"/>
  <c r="CB34" i="29"/>
  <c r="CA34" i="29" s="1"/>
  <c r="BG31" i="29"/>
  <c r="BG32" i="29"/>
  <c r="FC31" i="29"/>
  <c r="FC32" i="29"/>
  <c r="FB34" i="29"/>
  <c r="FA34" i="29" s="1"/>
  <c r="FA35" i="29"/>
  <c r="N66" i="7"/>
  <c r="N67" i="7"/>
  <c r="N66" i="21"/>
  <c r="N67" i="21"/>
  <c r="AJ171" i="11"/>
  <c r="D241" i="22"/>
  <c r="EG27" i="29"/>
  <c r="EH20" i="29"/>
  <c r="EG24" i="29"/>
  <c r="CB8" i="6"/>
  <c r="AH168" i="11"/>
  <c r="AL168" i="11"/>
  <c r="Q49" i="7"/>
  <c r="D38" i="29"/>
  <c r="AK171" i="11"/>
  <c r="I11" i="13"/>
  <c r="N168" i="11"/>
  <c r="C7" i="29"/>
  <c r="C25" i="29" s="1"/>
  <c r="C45" i="7"/>
  <c r="R45" i="7" s="1"/>
  <c r="EG15" i="29"/>
  <c r="EG17" i="29"/>
  <c r="K226" i="19"/>
  <c r="D17" i="29"/>
  <c r="R196" i="19"/>
  <c r="AY29" i="10"/>
  <c r="I129" i="9"/>
  <c r="P7" i="31"/>
  <c r="EG22" i="29"/>
  <c r="EG33" i="29"/>
  <c r="EG21" i="29"/>
  <c r="EG23" i="29"/>
  <c r="EA35" i="29"/>
  <c r="EB34" i="29"/>
  <c r="EA34" i="29" s="1"/>
  <c r="EA39" i="29" s="1"/>
  <c r="EA40" i="29" s="1"/>
  <c r="FE31" i="29"/>
  <c r="FE32" i="29"/>
  <c r="O49" i="21"/>
  <c r="O48" i="21"/>
  <c r="ES31" i="29"/>
  <c r="ES32" i="29"/>
  <c r="DA35" i="29"/>
  <c r="DB34" i="29"/>
  <c r="DA34" i="29" s="1"/>
  <c r="DA39" i="29" s="1"/>
  <c r="DA40" i="29" s="1"/>
  <c r="L213" i="19"/>
  <c r="N226" i="19"/>
  <c r="EQ31" i="29"/>
  <c r="EQ32" i="29"/>
  <c r="K129" i="9"/>
  <c r="BY29" i="10"/>
  <c r="C13" i="13"/>
  <c r="AC168" i="11"/>
  <c r="AI168" i="11"/>
  <c r="K168" i="11"/>
  <c r="AB168" i="11"/>
  <c r="CB10" i="6"/>
  <c r="AK168" i="11"/>
  <c r="F168" i="11"/>
  <c r="AJ168" i="11"/>
  <c r="M168" i="11"/>
  <c r="AT168" i="11"/>
  <c r="P168" i="11"/>
  <c r="AF168" i="11"/>
  <c r="S11" i="13"/>
  <c r="AP168" i="11"/>
  <c r="S168" i="11"/>
  <c r="FD14" i="29"/>
  <c r="EG38" i="29"/>
  <c r="EG25" i="29"/>
  <c r="EG28" i="29"/>
  <c r="C63" i="7"/>
  <c r="R63" i="7" s="1"/>
  <c r="O49" i="7"/>
  <c r="O48" i="7"/>
  <c r="EG9" i="29"/>
  <c r="P9" i="31" s="1"/>
  <c r="P6" i="31"/>
  <c r="EG18" i="29"/>
  <c r="D18" i="29"/>
  <c r="E49" i="21"/>
  <c r="E48" i="21"/>
  <c r="AG32" i="29"/>
  <c r="AG31" i="29"/>
  <c r="EG19" i="29"/>
  <c r="D19" i="29"/>
  <c r="R224" i="19"/>
  <c r="I30" i="22"/>
  <c r="I30" i="8"/>
  <c r="N99" i="21"/>
  <c r="N99" i="7"/>
  <c r="Q99" i="7" s="1"/>
  <c r="D242" i="22"/>
  <c r="D16" i="29"/>
  <c r="E13" i="20"/>
  <c r="M100" i="9"/>
  <c r="S100" i="9" s="1"/>
  <c r="AF171" i="11"/>
  <c r="J171" i="11"/>
  <c r="AT171" i="11"/>
  <c r="AL171" i="11"/>
  <c r="AD171" i="11"/>
  <c r="AN171" i="11"/>
  <c r="M171" i="11"/>
  <c r="G171" i="11"/>
  <c r="Y171" i="11"/>
  <c r="C171" i="11"/>
  <c r="P171" i="11"/>
  <c r="Z171" i="11"/>
  <c r="AE171" i="11"/>
  <c r="I171" i="11"/>
  <c r="X171" i="11"/>
  <c r="AR171" i="11"/>
  <c r="N171" i="11"/>
  <c r="AP171" i="11"/>
  <c r="U171" i="11"/>
  <c r="W171" i="11"/>
  <c r="O171" i="11"/>
  <c r="AG171" i="11"/>
  <c r="AB171" i="11"/>
  <c r="D171" i="11"/>
  <c r="AA171" i="11"/>
  <c r="V171" i="11"/>
  <c r="R171" i="11"/>
  <c r="F171" i="11"/>
  <c r="E171" i="11"/>
  <c r="T171" i="11"/>
  <c r="Q171" i="11"/>
  <c r="S171" i="11"/>
  <c r="Y172" i="11"/>
  <c r="AJ172" i="11"/>
  <c r="H82" i="21"/>
  <c r="P172" i="11"/>
  <c r="AF172" i="11"/>
  <c r="Q172" i="11"/>
  <c r="K82" i="21"/>
  <c r="AN172" i="11"/>
  <c r="C172" i="11"/>
  <c r="AC172" i="11"/>
  <c r="G82" i="21"/>
  <c r="AP172" i="11"/>
  <c r="AK172" i="11"/>
  <c r="G172" i="11"/>
  <c r="J82" i="21"/>
  <c r="AO172" i="11"/>
  <c r="W168" i="11"/>
  <c r="AI171" i="11"/>
  <c r="AQ171" i="11"/>
  <c r="L171" i="11"/>
  <c r="N169" i="11"/>
  <c r="W169" i="11"/>
  <c r="F172" i="11"/>
  <c r="M102" i="9"/>
  <c r="M97" i="9"/>
  <c r="S97" i="9" s="1"/>
  <c r="Z168" i="11"/>
  <c r="S172" i="11"/>
  <c r="AM172" i="11"/>
  <c r="V172" i="11"/>
  <c r="R172" i="11"/>
  <c r="K172" i="11"/>
  <c r="H172" i="11"/>
  <c r="AM171" i="11"/>
  <c r="AS171" i="11"/>
  <c r="AH171" i="11"/>
  <c r="W172" i="11"/>
  <c r="AG172" i="11"/>
  <c r="AE172" i="11"/>
  <c r="Z172" i="11"/>
  <c r="V168" i="11"/>
  <c r="G168" i="11"/>
  <c r="AN168" i="11"/>
  <c r="F169" i="11"/>
  <c r="T169" i="11"/>
  <c r="N172" i="11"/>
  <c r="O172" i="11"/>
  <c r="AI172" i="11"/>
  <c r="AQ168" i="11"/>
  <c r="AA168" i="11"/>
  <c r="C169" i="11"/>
  <c r="AM169" i="11"/>
  <c r="J172" i="11"/>
  <c r="AQ172" i="11"/>
  <c r="Y168" i="11"/>
  <c r="AS168" i="11"/>
  <c r="AD168" i="11"/>
  <c r="AB169" i="11"/>
  <c r="X169" i="11"/>
  <c r="L169" i="11"/>
  <c r="D172" i="11"/>
  <c r="AE168" i="11"/>
  <c r="AO171" i="11"/>
  <c r="K171" i="11"/>
  <c r="AC171" i="11"/>
  <c r="AG169" i="11"/>
  <c r="E172" i="11"/>
  <c r="AO168" i="11"/>
  <c r="S169" i="11"/>
  <c r="AA172" i="11"/>
  <c r="AN169" i="11"/>
  <c r="I172" i="11"/>
  <c r="I168" i="11"/>
  <c r="BB14" i="29"/>
  <c r="H100" i="21"/>
  <c r="H21" i="21"/>
  <c r="W26" i="18"/>
  <c r="P73" i="18" s="1"/>
  <c r="P45" i="18"/>
  <c r="EA30" i="29"/>
  <c r="CO13" i="29"/>
  <c r="CO29" i="29" s="1"/>
  <c r="CO30" i="29" s="1"/>
  <c r="CP29" i="29"/>
  <c r="CP30" i="29" s="1"/>
  <c r="CU13" i="29"/>
  <c r="CU29" i="29" s="1"/>
  <c r="CU30" i="29" s="1"/>
  <c r="BN29" i="29"/>
  <c r="BN30" i="29" s="1"/>
  <c r="BM13" i="29"/>
  <c r="BM29" i="29" s="1"/>
  <c r="BM30" i="29" s="1"/>
  <c r="EI13" i="29"/>
  <c r="EI29" i="29" s="1"/>
  <c r="EI30" i="29" s="1"/>
  <c r="DA30" i="29"/>
  <c r="E100" i="21"/>
  <c r="K100" i="21"/>
  <c r="I100" i="21"/>
  <c r="L100" i="21"/>
  <c r="G100" i="21"/>
  <c r="G27" i="29"/>
  <c r="CB30" i="29"/>
  <c r="FB30" i="29"/>
  <c r="T25" i="18"/>
  <c r="O45" i="18"/>
  <c r="EK13" i="29"/>
  <c r="EK29" i="29" s="1"/>
  <c r="EK30" i="29" s="1"/>
  <c r="DZ29" i="29"/>
  <c r="DZ30" i="29" s="1"/>
  <c r="J21" i="21"/>
  <c r="CS13" i="29"/>
  <c r="CS29" i="29" s="1"/>
  <c r="CS30" i="29" s="1"/>
  <c r="CT29" i="29"/>
  <c r="CT30" i="29" s="1"/>
  <c r="D100" i="21"/>
  <c r="C97" i="21"/>
  <c r="R97" i="21" s="1"/>
  <c r="R110" i="21" s="1"/>
  <c r="C74" i="16"/>
  <c r="AH27" i="29"/>
  <c r="AG27" i="29" s="1"/>
  <c r="AI27" i="29"/>
  <c r="N100" i="21"/>
  <c r="O100" i="21"/>
  <c r="O100" i="7"/>
  <c r="N100" i="7"/>
  <c r="C25" i="21"/>
  <c r="R25" i="21" s="1"/>
  <c r="R38" i="21" s="1"/>
  <c r="C61" i="21"/>
  <c r="R61" i="21" s="1"/>
  <c r="R74" i="21" s="1"/>
  <c r="L21" i="21"/>
  <c r="BK13" i="29"/>
  <c r="BK29" i="29" s="1"/>
  <c r="BK30" i="29" s="1"/>
  <c r="BL29" i="29"/>
  <c r="BL30" i="29" s="1"/>
  <c r="CJ29" i="29"/>
  <c r="CJ30" i="29" s="1"/>
  <c r="CI13" i="29"/>
  <c r="CI29" i="29" s="1"/>
  <c r="CI30" i="29" s="1"/>
  <c r="AS13" i="29"/>
  <c r="P7" i="21"/>
  <c r="P20" i="21" s="1"/>
  <c r="F117" i="19"/>
  <c r="DB30" i="29"/>
  <c r="F15" i="19"/>
  <c r="H189" i="19"/>
  <c r="CM13" i="29"/>
  <c r="CM29" i="29" s="1"/>
  <c r="CM30" i="29" s="1"/>
  <c r="CN29" i="29"/>
  <c r="CN30" i="29" s="1"/>
  <c r="H14" i="29"/>
  <c r="I14" i="29"/>
  <c r="C189" i="19"/>
  <c r="G103" i="9"/>
  <c r="M103" i="9" s="1"/>
  <c r="G95" i="9"/>
  <c r="C181" i="19"/>
  <c r="BI13" i="29"/>
  <c r="BI29" i="29" s="1"/>
  <c r="BI30" i="29" s="1"/>
  <c r="BJ29" i="29"/>
  <c r="BJ30" i="29" s="1"/>
  <c r="P50" i="18"/>
  <c r="M44" i="18"/>
  <c r="I13" i="29"/>
  <c r="I21" i="21"/>
  <c r="K21" i="21"/>
  <c r="AM13" i="29"/>
  <c r="AM29" i="29" s="1"/>
  <c r="AM30" i="29" s="1"/>
  <c r="AN29" i="29"/>
  <c r="AN30" i="29" s="1"/>
  <c r="C43" i="21"/>
  <c r="R43" i="21" s="1"/>
  <c r="R56" i="21" s="1"/>
  <c r="EM13" i="29"/>
  <c r="EM29" i="29" s="1"/>
  <c r="EM30" i="29" s="1"/>
  <c r="EN29" i="29"/>
  <c r="EN30" i="29" s="1"/>
  <c r="K14" i="29"/>
  <c r="K44" i="18"/>
  <c r="R27" i="18"/>
  <c r="K74" i="18" s="1"/>
  <c r="AI13" i="29"/>
  <c r="AK13" i="29"/>
  <c r="DI13" i="29"/>
  <c r="DI29" i="29" s="1"/>
  <c r="DI30" i="29" s="1"/>
  <c r="DJ29" i="29"/>
  <c r="DJ30" i="29" s="1"/>
  <c r="C79" i="21"/>
  <c r="R79" i="21" s="1"/>
  <c r="R92" i="21" s="1"/>
  <c r="CQ13" i="29"/>
  <c r="CQ29" i="29" s="1"/>
  <c r="CQ30" i="29" s="1"/>
  <c r="CR29" i="29"/>
  <c r="CR30" i="29" s="1"/>
  <c r="M13" i="29"/>
  <c r="M29" i="29" s="1"/>
  <c r="M30" i="29" s="1"/>
  <c r="N29" i="29"/>
  <c r="N30" i="29" s="1"/>
  <c r="AB29" i="29"/>
  <c r="AA13" i="29"/>
  <c r="AA29" i="29" s="1"/>
  <c r="AA30" i="29" s="1"/>
  <c r="O82" i="21"/>
  <c r="O82" i="7"/>
  <c r="N82" i="7"/>
  <c r="CK13" i="29"/>
  <c r="CK29" i="29" s="1"/>
  <c r="CK30" i="29" s="1"/>
  <c r="CL29" i="29"/>
  <c r="CL30" i="29" s="1"/>
  <c r="F7" i="19"/>
  <c r="H181" i="19"/>
  <c r="F100" i="21"/>
  <c r="O32" i="13"/>
  <c r="P15" i="23"/>
  <c r="P22" i="23" s="1"/>
  <c r="O18" i="23"/>
  <c r="L32" i="13"/>
  <c r="D55" i="29"/>
  <c r="D51" i="29" s="1"/>
  <c r="D56" i="29" s="1"/>
  <c r="O22" i="23"/>
  <c r="AD230" i="22" l="1"/>
  <c r="FF29" i="29"/>
  <c r="FF30" i="29" s="1"/>
  <c r="AA7" i="13"/>
  <c r="K245" i="22"/>
  <c r="BC7" i="13"/>
  <c r="AK7" i="13"/>
  <c r="AL13" i="20"/>
  <c r="Z230" i="22"/>
  <c r="J59" i="18"/>
  <c r="J67" i="18" s="1"/>
  <c r="C74" i="18"/>
  <c r="F7" i="21"/>
  <c r="F21" i="21" s="1"/>
  <c r="Y13" i="20"/>
  <c r="AD16" i="13" s="1"/>
  <c r="R13" i="20"/>
  <c r="U16" i="13" s="1"/>
  <c r="BF7" i="13"/>
  <c r="AG7" i="13"/>
  <c r="AC7" i="13" s="1"/>
  <c r="H48" i="29" s="1"/>
  <c r="AS7" i="13"/>
  <c r="AH23" i="43"/>
  <c r="O230" i="22"/>
  <c r="D7" i="43"/>
  <c r="W7" i="13"/>
  <c r="S7" i="13" s="1"/>
  <c r="F48" i="29" s="1"/>
  <c r="BB7" i="43"/>
  <c r="U7" i="43"/>
  <c r="AZ7" i="13"/>
  <c r="AW7" i="13" s="1"/>
  <c r="AC7" i="43"/>
  <c r="X7" i="43"/>
  <c r="H29" i="34"/>
  <c r="H30" i="34" s="1"/>
  <c r="AJ126" i="7"/>
  <c r="AN116" i="7"/>
  <c r="E230" i="22"/>
  <c r="F13" i="20"/>
  <c r="F16" i="43" s="1"/>
  <c r="AR7" i="43"/>
  <c r="AF230" i="22"/>
  <c r="C180" i="19"/>
  <c r="G94" i="9"/>
  <c r="M94" i="9" s="1"/>
  <c r="E179" i="19"/>
  <c r="C179" i="19" s="1"/>
  <c r="P8" i="6" a="1"/>
  <c r="T8" i="6" s="1"/>
  <c r="G2" i="19"/>
  <c r="C33" i="4"/>
  <c r="C34" i="4" s="1"/>
  <c r="E207" i="19" s="1"/>
  <c r="C5" i="19"/>
  <c r="H20" i="19"/>
  <c r="H19" i="19" s="1"/>
  <c r="I7" i="43"/>
  <c r="G230" i="22"/>
  <c r="C17" i="13"/>
  <c r="V230" i="22"/>
  <c r="X230" i="22"/>
  <c r="N7" i="43"/>
  <c r="V29" i="29"/>
  <c r="V30" i="29" s="1"/>
  <c r="K42" i="18"/>
  <c r="DX29" i="29"/>
  <c r="DX30" i="29" s="1"/>
  <c r="R32" i="18"/>
  <c r="D157" i="22" s="1"/>
  <c r="BO9" i="10"/>
  <c r="DQ13" i="29"/>
  <c r="DQ29" i="29" s="1"/>
  <c r="DQ30" i="29" s="1"/>
  <c r="AO9" i="10"/>
  <c r="ET29" i="29"/>
  <c r="ET30" i="29" s="1"/>
  <c r="CH13" i="29"/>
  <c r="CG13" i="29" s="1"/>
  <c r="D64" i="21"/>
  <c r="CY13" i="29"/>
  <c r="CY29" i="29" s="1"/>
  <c r="CY30" i="29" s="1"/>
  <c r="N64" i="7"/>
  <c r="I64" i="21"/>
  <c r="G21" i="21"/>
  <c r="G19" i="21" s="1"/>
  <c r="CX29" i="29"/>
  <c r="CX30" i="29" s="1"/>
  <c r="M45" i="18"/>
  <c r="J64" i="21"/>
  <c r="DK13" i="29"/>
  <c r="DK29" i="29" s="1"/>
  <c r="DK30" i="29" s="1"/>
  <c r="O64" i="21"/>
  <c r="O44" i="18"/>
  <c r="L64" i="21"/>
  <c r="H64" i="21"/>
  <c r="BS13" i="29"/>
  <c r="BS29" i="29" s="1"/>
  <c r="BS30" i="29" s="1"/>
  <c r="O48" i="18"/>
  <c r="J46" i="21"/>
  <c r="O64" i="7"/>
  <c r="V30" i="18"/>
  <c r="H155" i="22" s="1"/>
  <c r="O46" i="7"/>
  <c r="O50" i="18"/>
  <c r="W34" i="18"/>
  <c r="P96" i="18" s="1"/>
  <c r="E64" i="21"/>
  <c r="F46" i="21"/>
  <c r="BW13" i="29"/>
  <c r="BW29" i="29" s="1"/>
  <c r="BW30" i="29" s="1"/>
  <c r="N45" i="18"/>
  <c r="N64" i="21"/>
  <c r="L49" i="18"/>
  <c r="K64" i="21"/>
  <c r="F64" i="21"/>
  <c r="C17" i="43"/>
  <c r="AQ170" i="11"/>
  <c r="F16" i="13"/>
  <c r="AL16" i="13"/>
  <c r="AL16" i="43"/>
  <c r="AQ23" i="43"/>
  <c r="AQ23" i="13"/>
  <c r="Y16" i="13"/>
  <c r="Y16" i="43"/>
  <c r="AO23" i="43"/>
  <c r="AO23" i="13"/>
  <c r="AE229" i="22"/>
  <c r="AE230" i="22" s="1"/>
  <c r="AE243" i="22"/>
  <c r="O16" i="13"/>
  <c r="O16" i="43"/>
  <c r="DS13" i="29"/>
  <c r="DS29" i="29" s="1"/>
  <c r="DS30" i="29" s="1"/>
  <c r="V16" i="13"/>
  <c r="V16" i="43"/>
  <c r="AG16" i="13"/>
  <c r="AG16" i="43"/>
  <c r="AW7" i="43"/>
  <c r="G16" i="13"/>
  <c r="G16" i="43"/>
  <c r="AM133" i="21"/>
  <c r="AK130" i="21"/>
  <c r="AK129" i="21"/>
  <c r="AK131" i="21"/>
  <c r="AL130" i="21"/>
  <c r="AK133" i="21"/>
  <c r="AL129" i="21"/>
  <c r="AK134" i="21"/>
  <c r="AK132" i="21"/>
  <c r="AM129" i="21"/>
  <c r="AM134" i="21"/>
  <c r="AL134" i="21"/>
  <c r="AM132" i="21"/>
  <c r="AJ129" i="21"/>
  <c r="AJ131" i="21"/>
  <c r="AL132" i="21"/>
  <c r="AM131" i="21"/>
  <c r="AJ134" i="21"/>
  <c r="AJ133" i="21"/>
  <c r="AL131" i="21"/>
  <c r="AJ132" i="21"/>
  <c r="AL133" i="21"/>
  <c r="AM130" i="21"/>
  <c r="AJ130" i="21"/>
  <c r="AH23" i="13"/>
  <c r="AC229" i="22"/>
  <c r="AC230" i="22" s="1"/>
  <c r="AC243" i="22"/>
  <c r="FA39" i="29"/>
  <c r="FA40" i="29" s="1"/>
  <c r="U16" i="43"/>
  <c r="AF16" i="13"/>
  <c r="AF16" i="43"/>
  <c r="L16" i="13"/>
  <c r="L16" i="43"/>
  <c r="C6" i="40"/>
  <c r="AZ16" i="13"/>
  <c r="AZ16" i="43"/>
  <c r="EX29" i="29"/>
  <c r="EX30" i="29" s="1"/>
  <c r="E16" i="13"/>
  <c r="D16" i="13" s="1"/>
  <c r="E16" i="43"/>
  <c r="AO16" i="13"/>
  <c r="AO16" i="43"/>
  <c r="F33" i="34"/>
  <c r="BA16" i="13"/>
  <c r="BA16" i="43"/>
  <c r="AX16" i="13"/>
  <c r="AW16" i="13" s="1"/>
  <c r="AX16" i="43"/>
  <c r="AY16" i="13"/>
  <c r="AY16" i="43"/>
  <c r="AL7" i="13"/>
  <c r="AH7" i="13" s="1"/>
  <c r="AG48" i="29" s="1"/>
  <c r="AL7" i="43"/>
  <c r="AH7" i="43" s="1"/>
  <c r="H16" i="13"/>
  <c r="H16" i="43"/>
  <c r="J16" i="13"/>
  <c r="J16" i="43"/>
  <c r="Z16" i="13"/>
  <c r="Z16" i="43"/>
  <c r="AI16" i="13"/>
  <c r="AH16" i="13" s="1"/>
  <c r="AI16" i="43"/>
  <c r="AD16" i="43"/>
  <c r="AN16" i="13"/>
  <c r="AN16" i="43"/>
  <c r="M16" i="13"/>
  <c r="M16" i="43"/>
  <c r="AT16" i="13"/>
  <c r="AT16" i="43"/>
  <c r="Q16" i="13"/>
  <c r="Q16" i="43"/>
  <c r="AB16" i="13"/>
  <c r="X16" i="13" s="1"/>
  <c r="AB16" i="43"/>
  <c r="R16" i="13"/>
  <c r="R16" i="43"/>
  <c r="C11" i="43"/>
  <c r="AQ16" i="13"/>
  <c r="AQ16" i="43"/>
  <c r="C9" i="29"/>
  <c r="BD16" i="13"/>
  <c r="BB16" i="13" s="1"/>
  <c r="BD16" i="43"/>
  <c r="AA16" i="13"/>
  <c r="AA16" i="43"/>
  <c r="AS16" i="13"/>
  <c r="AR16" i="13" s="1"/>
  <c r="AS16" i="43"/>
  <c r="AN23" i="43"/>
  <c r="AN23" i="13"/>
  <c r="AP23" i="43"/>
  <c r="AP23" i="13"/>
  <c r="AK16" i="13"/>
  <c r="AK16" i="43"/>
  <c r="AF243" i="22"/>
  <c r="BE16" i="13"/>
  <c r="BE16" i="43"/>
  <c r="K16" i="13"/>
  <c r="K16" i="43"/>
  <c r="P16" i="13"/>
  <c r="P16" i="43"/>
  <c r="AJ16" i="13"/>
  <c r="AJ16" i="43"/>
  <c r="AE16" i="13"/>
  <c r="AE16" i="43"/>
  <c r="W16" i="13"/>
  <c r="W16" i="43"/>
  <c r="BC16" i="13"/>
  <c r="BC16" i="43"/>
  <c r="AV16" i="13"/>
  <c r="AV16" i="43"/>
  <c r="E245" i="22"/>
  <c r="AN126" i="21"/>
  <c r="AR116" i="21"/>
  <c r="AR126" i="21" s="1"/>
  <c r="Q55" i="13"/>
  <c r="R50" i="13"/>
  <c r="S7" i="43"/>
  <c r="I33" i="43"/>
  <c r="EY29" i="29"/>
  <c r="EY30" i="29" s="1"/>
  <c r="EJ29" i="29"/>
  <c r="EJ30" i="29" s="1"/>
  <c r="C19" i="29"/>
  <c r="C17" i="29"/>
  <c r="F230" i="22"/>
  <c r="AM127" i="20" a="1"/>
  <c r="AM127" i="20" s="1"/>
  <c r="T230" i="22"/>
  <c r="AO13" i="29"/>
  <c r="AO29" i="29" s="1"/>
  <c r="AO30" i="29" s="1"/>
  <c r="C38" i="29"/>
  <c r="V245" i="22"/>
  <c r="K46" i="21"/>
  <c r="N82" i="21"/>
  <c r="D82" i="21"/>
  <c r="D46" i="21"/>
  <c r="N50" i="18"/>
  <c r="S29" i="18"/>
  <c r="H142" i="21" s="1"/>
  <c r="H26" i="21" s="1"/>
  <c r="N46" i="7"/>
  <c r="F82" i="21"/>
  <c r="I82" i="21"/>
  <c r="L82" i="21"/>
  <c r="U27" i="18"/>
  <c r="N74" i="18" s="1"/>
  <c r="G22" i="8" s="1"/>
  <c r="DM13" i="29"/>
  <c r="DM29" i="29" s="1"/>
  <c r="DM30" i="29" s="1"/>
  <c r="L47" i="18"/>
  <c r="L44" i="18"/>
  <c r="L51" i="18"/>
  <c r="DU13" i="29"/>
  <c r="DU29" i="29" s="1"/>
  <c r="DU30" i="29" s="1"/>
  <c r="G46" i="21"/>
  <c r="L46" i="21"/>
  <c r="EQ13" i="29"/>
  <c r="EQ29" i="29" s="1"/>
  <c r="EQ30" i="29" s="1"/>
  <c r="U31" i="18"/>
  <c r="N78" i="18" s="1"/>
  <c r="G26" i="8" s="1"/>
  <c r="T29" i="18"/>
  <c r="M76" i="18" s="1"/>
  <c r="F24" i="22" s="1"/>
  <c r="N46" i="21"/>
  <c r="E46" i="21"/>
  <c r="P42" i="18"/>
  <c r="I46" i="21"/>
  <c r="O46" i="21"/>
  <c r="U173" i="11"/>
  <c r="AQ29" i="29"/>
  <c r="AQ30" i="29" s="1"/>
  <c r="CB9" i="10"/>
  <c r="L48" i="18"/>
  <c r="Y13" i="29"/>
  <c r="Y29" i="29" s="1"/>
  <c r="Y30" i="29" s="1"/>
  <c r="V29" i="18"/>
  <c r="H145" i="21" s="1"/>
  <c r="H80" i="21" s="1"/>
  <c r="R26" i="18"/>
  <c r="K73" i="18" s="1"/>
  <c r="V34" i="18"/>
  <c r="O96" i="18" s="1"/>
  <c r="U32" i="18"/>
  <c r="N79" i="18" s="1"/>
  <c r="G27" i="22" s="1"/>
  <c r="DO13" i="29"/>
  <c r="DO29" i="29" s="1"/>
  <c r="DO30" i="29" s="1"/>
  <c r="M43" i="18"/>
  <c r="U26" i="18"/>
  <c r="G151" i="8" s="1"/>
  <c r="X29" i="29"/>
  <c r="X30" i="29" s="1"/>
  <c r="AQ381" i="20"/>
  <c r="AQ370" i="20" s="1"/>
  <c r="J30" i="18"/>
  <c r="J47" i="18" s="1"/>
  <c r="DH13" i="29"/>
  <c r="DG13" i="29" s="1"/>
  <c r="J31" i="18"/>
  <c r="J48" i="18" s="1"/>
  <c r="R29" i="18"/>
  <c r="K76" i="18" s="1"/>
  <c r="P44" i="18"/>
  <c r="S170" i="11"/>
  <c r="I170" i="11"/>
  <c r="R170" i="11"/>
  <c r="AP378" i="20"/>
  <c r="AP367" i="20" s="1"/>
  <c r="O37" i="18"/>
  <c r="O52" i="18" s="1"/>
  <c r="BZ29" i="29"/>
  <c r="BZ30" i="29" s="1"/>
  <c r="T31" i="18"/>
  <c r="M78" i="18" s="1"/>
  <c r="F26" i="8" s="1"/>
  <c r="P47" i="18"/>
  <c r="N7" i="13"/>
  <c r="E48" i="29" s="1"/>
  <c r="AM170" i="11"/>
  <c r="AU29" i="29"/>
  <c r="AU30" i="29" s="1"/>
  <c r="AR29" i="29"/>
  <c r="AR30" i="29" s="1"/>
  <c r="N47" i="18"/>
  <c r="V32" i="18"/>
  <c r="O79" i="18" s="1"/>
  <c r="H27" i="8" s="1"/>
  <c r="W29" i="18"/>
  <c r="P76" i="18" s="1"/>
  <c r="I24" i="8" s="1"/>
  <c r="R30" i="18"/>
  <c r="K77" i="18" s="1"/>
  <c r="W32" i="18"/>
  <c r="P79" i="18" s="1"/>
  <c r="I27" i="22" s="1"/>
  <c r="W170" i="11"/>
  <c r="V170" i="11"/>
  <c r="AR378" i="20"/>
  <c r="AR367" i="20" s="1"/>
  <c r="AR379" i="20"/>
  <c r="AR368" i="20" s="1"/>
  <c r="R28" i="18"/>
  <c r="K75" i="18" s="1"/>
  <c r="T30" i="18"/>
  <c r="M77" i="18" s="1"/>
  <c r="F25" i="8" s="1"/>
  <c r="R34" i="18"/>
  <c r="K81" i="18" s="1"/>
  <c r="D96" i="18" s="1"/>
  <c r="EU13" i="29"/>
  <c r="EU29" i="29" s="1"/>
  <c r="EU30" i="29" s="1"/>
  <c r="K47" i="18"/>
  <c r="S25" i="18"/>
  <c r="L72" i="18" s="1"/>
  <c r="S33" i="18"/>
  <c r="L80" i="18" s="1"/>
  <c r="AP173" i="11"/>
  <c r="Q173" i="11"/>
  <c r="K170" i="11"/>
  <c r="L170" i="11"/>
  <c r="I7" i="13"/>
  <c r="D48" i="29" s="1"/>
  <c r="AH13" i="29"/>
  <c r="AG13" i="29" s="1"/>
  <c r="AQ379" i="20"/>
  <c r="AQ368" i="20" s="1"/>
  <c r="AR380" i="20"/>
  <c r="AR369" i="20" s="1"/>
  <c r="EP29" i="29"/>
  <c r="EP30" i="29" s="1"/>
  <c r="AB170" i="11"/>
  <c r="J26" i="18"/>
  <c r="J43" i="18" s="1"/>
  <c r="Y173" i="11"/>
  <c r="AS170" i="11"/>
  <c r="O170" i="11"/>
  <c r="T170" i="11"/>
  <c r="AG170" i="11"/>
  <c r="H173" i="11"/>
  <c r="AP235" i="20"/>
  <c r="AP236" i="20" s="1"/>
  <c r="AO4" i="20"/>
  <c r="AO277" i="20"/>
  <c r="AO278" i="20" s="1"/>
  <c r="AP295" i="20"/>
  <c r="AP296" i="20" s="1"/>
  <c r="AP325" i="20"/>
  <c r="AP326" i="20" s="1"/>
  <c r="AR281" i="20"/>
  <c r="AR282" i="20" s="1"/>
  <c r="AO273" i="20"/>
  <c r="AO274" i="20" s="1"/>
  <c r="AP253" i="20"/>
  <c r="AP254" i="20" s="1"/>
  <c r="AQ289" i="20"/>
  <c r="AQ290" i="20" s="1"/>
  <c r="AQ217" i="20"/>
  <c r="AQ218" i="20" s="1"/>
  <c r="AP273" i="20"/>
  <c r="AP274" i="20" s="1"/>
  <c r="AO249" i="20"/>
  <c r="AO250" i="20" s="1"/>
  <c r="AP301" i="20"/>
  <c r="AP302" i="20" s="1"/>
  <c r="AO333" i="20"/>
  <c r="AO334" i="20" s="1"/>
  <c r="AR333" i="20"/>
  <c r="AR334" i="20" s="1"/>
  <c r="AQ209" i="20"/>
  <c r="AQ210" i="20" s="1"/>
  <c r="AP247" i="20"/>
  <c r="AP248" i="20" s="1"/>
  <c r="AO287" i="20"/>
  <c r="AO288" i="20" s="1"/>
  <c r="AR315" i="20"/>
  <c r="AR316" i="20" s="1"/>
  <c r="AO293" i="20"/>
  <c r="AO294" i="20" s="1"/>
  <c r="AO271" i="20"/>
  <c r="AO272" i="20" s="1"/>
  <c r="AO219" i="20"/>
  <c r="AO220" i="20" s="1"/>
  <c r="AO279" i="20"/>
  <c r="AO280" i="20" s="1"/>
  <c r="AQ215" i="20"/>
  <c r="AQ216" i="20" s="1"/>
  <c r="AO247" i="20"/>
  <c r="AO248" i="20" s="1"/>
  <c r="AO233" i="20"/>
  <c r="AO234" i="20" s="1"/>
  <c r="AQ261" i="20"/>
  <c r="AQ262" i="20" s="1"/>
  <c r="AQ293" i="20"/>
  <c r="AQ294" i="20" s="1"/>
  <c r="AR205" i="20"/>
  <c r="AR206" i="20" s="1"/>
  <c r="AQ223" i="20"/>
  <c r="AQ224" i="20" s="1"/>
  <c r="AR297" i="20"/>
  <c r="AR298" i="20" s="1"/>
  <c r="AP233" i="20"/>
  <c r="AP234" i="20" s="1"/>
  <c r="AR295" i="20"/>
  <c r="AR296" i="20" s="1"/>
  <c r="AO339" i="20"/>
  <c r="AO340" i="20" s="1"/>
  <c r="AR347" i="20"/>
  <c r="AR348" i="20" s="1"/>
  <c r="AP313" i="20"/>
  <c r="AP314" i="20" s="1"/>
  <c r="AQ267" i="20"/>
  <c r="AQ268" i="20" s="1"/>
  <c r="AP221" i="20"/>
  <c r="AP222" i="20" s="1"/>
  <c r="AQ285" i="20"/>
  <c r="AQ286" i="20" s="1"/>
  <c r="AR231" i="20"/>
  <c r="AR232" i="20" s="1"/>
  <c r="AP251" i="20"/>
  <c r="AP252" i="20" s="1"/>
  <c r="AR247" i="20"/>
  <c r="AR248" i="20" s="1"/>
  <c r="AP245" i="20"/>
  <c r="AP246" i="20" s="1"/>
  <c r="AQ309" i="20"/>
  <c r="AQ310" i="20" s="1"/>
  <c r="AP205" i="20"/>
  <c r="AP206" i="20" s="1"/>
  <c r="AR319" i="20"/>
  <c r="AR320" i="20" s="1"/>
  <c r="AO311" i="20"/>
  <c r="AO312" i="20" s="1"/>
  <c r="AQ287" i="20"/>
  <c r="AQ288" i="20" s="1"/>
  <c r="AQ275" i="20"/>
  <c r="AQ276" i="20" s="1"/>
  <c r="AP219" i="20"/>
  <c r="AP220" i="20" s="1"/>
  <c r="AP207" i="20"/>
  <c r="AP208" i="20" s="1"/>
  <c r="AR207" i="20"/>
  <c r="AR208" i="20" s="1"/>
  <c r="AO223" i="20"/>
  <c r="AO224" i="20" s="1"/>
  <c r="AR273" i="20"/>
  <c r="AR274" i="20" s="1"/>
  <c r="AO297" i="20"/>
  <c r="AO298" i="20" s="1"/>
  <c r="AQ239" i="20"/>
  <c r="AQ240" i="20" s="1"/>
  <c r="AO347" i="20"/>
  <c r="AO348" i="20" s="1"/>
  <c r="AO289" i="20"/>
  <c r="AO290" i="20" s="1"/>
  <c r="AQ321" i="20"/>
  <c r="AQ322" i="20" s="1"/>
  <c r="AR253" i="20"/>
  <c r="AR254" i="20" s="1"/>
  <c r="AP315" i="20"/>
  <c r="AP316" i="20" s="1"/>
  <c r="AO239" i="20"/>
  <c r="AO240" i="20" s="1"/>
  <c r="AQ291" i="20"/>
  <c r="AQ292" i="20" s="1"/>
  <c r="AQ341" i="20"/>
  <c r="AQ342" i="20" s="1"/>
  <c r="AP305" i="20"/>
  <c r="AP306" i="20" s="1"/>
  <c r="AQ283" i="20"/>
  <c r="AQ284" i="20" s="1"/>
  <c r="AQ229" i="20"/>
  <c r="AQ230" i="20" s="1"/>
  <c r="AP213" i="20"/>
  <c r="AP214" i="20" s="1"/>
  <c r="AO335" i="20"/>
  <c r="AO336" i="20" s="1"/>
  <c r="AO323" i="20"/>
  <c r="AO324" i="20" s="1"/>
  <c r="AO283" i="20"/>
  <c r="AO284" i="20" s="1"/>
  <c r="AR229" i="20"/>
  <c r="AR230" i="20" s="1"/>
  <c r="AP331" i="20"/>
  <c r="AP332" i="20" s="1"/>
  <c r="AR285" i="20"/>
  <c r="AR286" i="20" s="1"/>
  <c r="AR325" i="20"/>
  <c r="AR326" i="20" s="1"/>
  <c r="AP343" i="20"/>
  <c r="AP344" i="20" s="1"/>
  <c r="AO205" i="20"/>
  <c r="AO206" i="20" s="1"/>
  <c r="AP127" i="20" s="1" a="1"/>
  <c r="AP127" i="20" s="1"/>
  <c r="AR313" i="20"/>
  <c r="AR314" i="20" s="1"/>
  <c r="AP261" i="20"/>
  <c r="AP262" i="20" s="1"/>
  <c r="AO263" i="20"/>
  <c r="AO264" i="20" s="1"/>
  <c r="AP279" i="20"/>
  <c r="AP280" i="20" s="1"/>
  <c r="AQ219" i="20"/>
  <c r="AQ220" i="20" s="1"/>
  <c r="AQ277" i="20"/>
  <c r="AQ278" i="20" s="1"/>
  <c r="AQ265" i="20"/>
  <c r="AQ266" i="20" s="1"/>
  <c r="AP259" i="20"/>
  <c r="AP260" i="20" s="1"/>
  <c r="AQ317" i="20"/>
  <c r="AQ318" i="20" s="1"/>
  <c r="AO215" i="20"/>
  <c r="AO216" i="20" s="1"/>
  <c r="AP285" i="20"/>
  <c r="AP286" i="20" s="1"/>
  <c r="AQ241" i="20"/>
  <c r="AQ242" i="20" s="1"/>
  <c r="AR211" i="20"/>
  <c r="AR212" i="20" s="1"/>
  <c r="AQ281" i="20"/>
  <c r="AQ282" i="20" s="1"/>
  <c r="AP271" i="20"/>
  <c r="AP272" i="20" s="1"/>
  <c r="AR311" i="20"/>
  <c r="AR312" i="20" s="1"/>
  <c r="AO255" i="20"/>
  <c r="AO256" i="20" s="1"/>
  <c r="AQ327" i="20"/>
  <c r="AQ328" i="20" s="1"/>
  <c r="AQ337" i="20"/>
  <c r="AQ338" i="20" s="1"/>
  <c r="AQ237" i="20"/>
  <c r="AQ238" i="20" s="1"/>
  <c r="AQ259" i="20"/>
  <c r="AQ260" i="20" s="1"/>
  <c r="AQ279" i="20"/>
  <c r="AQ280" i="20" s="1"/>
  <c r="AR289" i="20"/>
  <c r="AR290" i="20" s="1"/>
  <c r="AP341" i="20"/>
  <c r="AP342" i="20" s="1"/>
  <c r="AQ323" i="20"/>
  <c r="AQ324" i="20" s="1"/>
  <c r="AO329" i="20"/>
  <c r="AO330" i="20" s="1"/>
  <c r="AO213" i="20"/>
  <c r="AO214" i="20" s="1"/>
  <c r="AO313" i="20"/>
  <c r="AO314" i="20" s="1"/>
  <c r="AR277" i="20"/>
  <c r="AR278" i="20" s="1"/>
  <c r="AP227" i="20"/>
  <c r="AP228" i="20" s="1"/>
  <c r="AR251" i="20"/>
  <c r="AR252" i="20" s="1"/>
  <c r="AP239" i="20"/>
  <c r="AP240" i="20" s="1"/>
  <c r="AR275" i="20"/>
  <c r="AR276" i="20" s="1"/>
  <c r="AR237" i="20"/>
  <c r="AR238" i="20" s="1"/>
  <c r="AO337" i="20"/>
  <c r="AO338" i="20" s="1"/>
  <c r="AR307" i="20"/>
  <c r="AR308" i="20" s="1"/>
  <c r="AO281" i="20"/>
  <c r="AO282" i="20" s="1"/>
  <c r="AQ315" i="20"/>
  <c r="AQ316" i="20" s="1"/>
  <c r="AO345" i="20"/>
  <c r="AO346" i="20" s="1"/>
  <c r="AO211" i="20"/>
  <c r="AO212" i="20" s="1"/>
  <c r="AQ299" i="20"/>
  <c r="AQ300" i="20" s="1"/>
  <c r="AO261" i="20"/>
  <c r="AO262" i="20" s="1"/>
  <c r="AQ245" i="20"/>
  <c r="AQ246" i="20" s="1"/>
  <c r="AO251" i="20"/>
  <c r="AO252" i="20" s="1"/>
  <c r="AP299" i="20"/>
  <c r="AP300" i="20" s="1"/>
  <c r="AR245" i="20"/>
  <c r="AR246" i="20" s="1"/>
  <c r="AP303" i="20"/>
  <c r="AP304" i="20" s="1"/>
  <c r="AR235" i="20"/>
  <c r="AR236" i="20" s="1"/>
  <c r="AO317" i="20"/>
  <c r="AO318" i="20" s="1"/>
  <c r="AP231" i="20"/>
  <c r="AP232" i="20" s="1"/>
  <c r="AQ333" i="20"/>
  <c r="AQ334" i="20" s="1"/>
  <c r="AR269" i="20"/>
  <c r="AR270" i="20" s="1"/>
  <c r="AP339" i="20"/>
  <c r="AP340" i="20" s="1"/>
  <c r="AO225" i="20"/>
  <c r="AO226" i="20" s="1"/>
  <c r="AO259" i="20"/>
  <c r="AO260" i="20" s="1"/>
  <c r="AP215" i="20"/>
  <c r="AP216" i="20" s="1"/>
  <c r="AO295" i="20"/>
  <c r="AO296" i="20" s="1"/>
  <c r="AP255" i="20"/>
  <c r="AP256" i="20" s="1"/>
  <c r="AQ205" i="20"/>
  <c r="AQ206" i="20" s="1"/>
  <c r="AR249" i="20"/>
  <c r="AR250" i="20" s="1"/>
  <c r="AO207" i="20"/>
  <c r="AO208" i="20" s="1"/>
  <c r="AP345" i="20"/>
  <c r="AP346" i="20" s="1"/>
  <c r="AR309" i="20"/>
  <c r="AR310" i="20" s="1"/>
  <c r="AP277" i="20"/>
  <c r="AP278" i="20" s="1"/>
  <c r="AP289" i="20"/>
  <c r="AP290" i="20" s="1"/>
  <c r="AQ207" i="20"/>
  <c r="AQ208" i="20" s="1"/>
  <c r="AR303" i="20"/>
  <c r="AR304" i="20" s="1"/>
  <c r="AQ247" i="20"/>
  <c r="AQ248" i="20" s="1"/>
  <c r="AP321" i="20"/>
  <c r="AP322" i="20" s="1"/>
  <c r="AP333" i="20"/>
  <c r="AP334" i="20" s="1"/>
  <c r="AP217" i="20"/>
  <c r="AP218" i="20" s="1"/>
  <c r="AR345" i="20"/>
  <c r="AR346" i="20" s="1"/>
  <c r="AO343" i="20"/>
  <c r="AO344" i="20" s="1"/>
  <c r="AQ271" i="20"/>
  <c r="AQ272" i="20" s="1"/>
  <c r="AQ251" i="20"/>
  <c r="AQ252" i="20" s="1"/>
  <c r="AP281" i="20"/>
  <c r="AP282" i="20" s="1"/>
  <c r="AR343" i="20"/>
  <c r="AR344" i="20" s="1"/>
  <c r="AO221" i="20"/>
  <c r="AO222" i="20" s="1"/>
  <c r="AR267" i="20"/>
  <c r="AR268" i="20" s="1"/>
  <c r="AP275" i="20"/>
  <c r="AP276" i="20" s="1"/>
  <c r="AP311" i="20"/>
  <c r="AP312" i="20" s="1"/>
  <c r="AO331" i="20"/>
  <c r="AO332" i="20" s="1"/>
  <c r="AO217" i="20"/>
  <c r="AO218" i="20" s="1"/>
  <c r="AR317" i="20"/>
  <c r="AR318" i="20" s="1"/>
  <c r="AO227" i="20"/>
  <c r="AO228" i="20" s="1"/>
  <c r="AP263" i="20"/>
  <c r="AP264" i="20" s="1"/>
  <c r="AR337" i="20"/>
  <c r="AR338" i="20" s="1"/>
  <c r="AP241" i="20"/>
  <c r="AP242" i="20" s="1"/>
  <c r="AQ231" i="20"/>
  <c r="AQ232" i="20" s="1"/>
  <c r="AQ329" i="20"/>
  <c r="AQ330" i="20" s="1"/>
  <c r="AP323" i="20"/>
  <c r="AP324" i="20" s="1"/>
  <c r="AR283" i="20"/>
  <c r="AR284" i="20" s="1"/>
  <c r="AO229" i="20"/>
  <c r="AO230" i="20" s="1"/>
  <c r="AR335" i="20"/>
  <c r="AR336" i="20" s="1"/>
  <c r="AO341" i="20"/>
  <c r="AO342" i="20" s="1"/>
  <c r="AQ243" i="20"/>
  <c r="AQ244" i="20" s="1"/>
  <c r="AR329" i="20"/>
  <c r="AR330" i="20" s="1"/>
  <c r="AP243" i="20"/>
  <c r="AP244" i="20" s="1"/>
  <c r="AQ335" i="20"/>
  <c r="AQ336" i="20" s="1"/>
  <c r="AR241" i="20"/>
  <c r="AR242" i="20" s="1"/>
  <c r="AP287" i="20"/>
  <c r="AP288" i="20" s="1"/>
  <c r="AR219" i="20"/>
  <c r="AR220" i="20" s="1"/>
  <c r="AQ227" i="20"/>
  <c r="AQ228" i="20" s="1"/>
  <c r="AO265" i="20"/>
  <c r="AO266" i="20" s="1"/>
  <c r="AO327" i="20"/>
  <c r="AO328" i="20" s="1"/>
  <c r="AQ249" i="20"/>
  <c r="AQ250" i="20" s="1"/>
  <c r="AQ343" i="20"/>
  <c r="AQ344" i="20" s="1"/>
  <c r="AQ221" i="20"/>
  <c r="AQ222" i="20" s="1"/>
  <c r="AO241" i="20"/>
  <c r="AO242" i="20" s="1"/>
  <c r="AR299" i="20"/>
  <c r="AR300" i="20" s="1"/>
  <c r="AP347" i="20"/>
  <c r="AP348" i="20" s="1"/>
  <c r="AO269" i="20"/>
  <c r="AO270" i="20" s="1"/>
  <c r="AO237" i="20"/>
  <c r="AO238" i="20" s="1"/>
  <c r="AR301" i="20"/>
  <c r="AR302" i="20" s="1"/>
  <c r="AQ263" i="20"/>
  <c r="AQ264" i="20" s="1"/>
  <c r="AP319" i="20"/>
  <c r="AP320" i="20" s="1"/>
  <c r="AQ313" i="20"/>
  <c r="AQ314" i="20" s="1"/>
  <c r="AP225" i="20"/>
  <c r="AP226" i="20" s="1"/>
  <c r="AR265" i="20"/>
  <c r="AR266" i="20" s="1"/>
  <c r="AO321" i="20"/>
  <c r="AO322" i="20" s="1"/>
  <c r="AR255" i="20"/>
  <c r="AR256" i="20" s="1"/>
  <c r="AP337" i="20"/>
  <c r="AP338" i="20" s="1"/>
  <c r="AO267" i="20"/>
  <c r="AO268" i="20" s="1"/>
  <c r="AR261" i="20"/>
  <c r="AR262" i="20" s="1"/>
  <c r="AP327" i="20"/>
  <c r="AP328" i="20" s="1"/>
  <c r="AO257" i="20"/>
  <c r="AO258" i="20" s="1"/>
  <c r="AQ211" i="20"/>
  <c r="AQ212" i="20" s="1"/>
  <c r="AQ303" i="20"/>
  <c r="AQ304" i="20" s="1"/>
  <c r="AQ339" i="20"/>
  <c r="AQ340" i="20" s="1"/>
  <c r="AP293" i="20"/>
  <c r="AP294" i="20" s="1"/>
  <c r="AO301" i="20"/>
  <c r="AO302" i="20" s="1"/>
  <c r="AQ295" i="20"/>
  <c r="AQ296" i="20" s="1"/>
  <c r="AR271" i="20"/>
  <c r="AR272" i="20" s="1"/>
  <c r="AQ273" i="20"/>
  <c r="AQ274" i="20" s="1"/>
  <c r="AP229" i="20"/>
  <c r="AP230" i="20" s="1"/>
  <c r="AP291" i="20"/>
  <c r="AP292" i="20" s="1"/>
  <c r="AR213" i="20"/>
  <c r="AR214" i="20" s="1"/>
  <c r="AQ213" i="20"/>
  <c r="AQ214" i="20" s="1"/>
  <c r="AO243" i="20"/>
  <c r="AO244" i="20" s="1"/>
  <c r="AP335" i="20"/>
  <c r="AP336" i="20" s="1"/>
  <c r="AP269" i="20"/>
  <c r="AP270" i="20" s="1"/>
  <c r="AR321" i="20"/>
  <c r="AR322" i="20" s="1"/>
  <c r="AO319" i="20"/>
  <c r="AO320" i="20" s="1"/>
  <c r="AR223" i="20"/>
  <c r="AR224" i="20" s="1"/>
  <c r="AP309" i="20"/>
  <c r="AP310" i="20" s="1"/>
  <c r="AQ325" i="20"/>
  <c r="AQ326" i="20" s="1"/>
  <c r="AR339" i="20"/>
  <c r="AR340" i="20" s="1"/>
  <c r="AQ331" i="20"/>
  <c r="AQ332" i="20" s="1"/>
  <c r="AO275" i="20"/>
  <c r="AO276" i="20" s="1"/>
  <c r="AO299" i="20"/>
  <c r="AO300" i="20" s="1"/>
  <c r="AQ257" i="20"/>
  <c r="AQ258" i="20" s="1"/>
  <c r="AQ311" i="20"/>
  <c r="AQ312" i="20" s="1"/>
  <c r="AQ347" i="20"/>
  <c r="AQ348" i="20" s="1"/>
  <c r="AR259" i="20"/>
  <c r="AR260" i="20" s="1"/>
  <c r="AP265" i="20"/>
  <c r="AP266" i="20" s="1"/>
  <c r="AR257" i="20"/>
  <c r="AR258" i="20" s="1"/>
  <c r="AQ233" i="20"/>
  <c r="AQ234" i="20" s="1"/>
  <c r="AP237" i="20"/>
  <c r="AP238" i="20" s="1"/>
  <c r="AP307" i="20"/>
  <c r="AP308" i="20" s="1"/>
  <c r="AO231" i="20"/>
  <c r="AO232" i="20" s="1"/>
  <c r="AR227" i="20"/>
  <c r="AR228" i="20" s="1"/>
  <c r="AP267" i="20"/>
  <c r="AP268" i="20" s="1"/>
  <c r="AO245" i="20"/>
  <c r="AO246" i="20" s="1"/>
  <c r="AR279" i="20"/>
  <c r="AR280" i="20" s="1"/>
  <c r="AR215" i="20"/>
  <c r="AR216" i="20" s="1"/>
  <c r="AO325" i="20"/>
  <c r="AO326" i="20" s="1"/>
  <c r="AR287" i="20"/>
  <c r="AR288" i="20" s="1"/>
  <c r="AP209" i="20"/>
  <c r="AP210" i="20" s="1"/>
  <c r="AP297" i="20"/>
  <c r="AP298" i="20" s="1"/>
  <c r="AR239" i="20"/>
  <c r="AR240" i="20" s="1"/>
  <c r="AQ345" i="20"/>
  <c r="AQ346" i="20" s="1"/>
  <c r="AQ255" i="20"/>
  <c r="AQ256" i="20" s="1"/>
  <c r="AO235" i="20"/>
  <c r="AO236" i="20" s="1"/>
  <c r="AP249" i="20"/>
  <c r="AP250" i="20" s="1"/>
  <c r="AP257" i="20"/>
  <c r="AP258" i="20" s="1"/>
  <c r="AR327" i="20"/>
  <c r="AR328" i="20" s="1"/>
  <c r="AQ307" i="20"/>
  <c r="AQ308" i="20" s="1"/>
  <c r="AO253" i="20"/>
  <c r="AO254" i="20" s="1"/>
  <c r="AR217" i="20"/>
  <c r="AR218" i="20" s="1"/>
  <c r="AO315" i="20"/>
  <c r="AO316" i="20" s="1"/>
  <c r="AQ319" i="20"/>
  <c r="AQ320" i="20" s="1"/>
  <c r="AQ301" i="20"/>
  <c r="AQ302" i="20" s="1"/>
  <c r="AO309" i="20"/>
  <c r="AO310" i="20" s="1"/>
  <c r="AR225" i="20"/>
  <c r="AR226" i="20" s="1"/>
  <c r="AQ225" i="20"/>
  <c r="AQ226" i="20" s="1"/>
  <c r="AP317" i="20"/>
  <c r="AP318" i="20" s="1"/>
  <c r="AO303" i="20"/>
  <c r="AO304" i="20" s="1"/>
  <c r="AP223" i="20"/>
  <c r="AP224" i="20" s="1"/>
  <c r="AQ253" i="20"/>
  <c r="AQ254" i="20" s="1"/>
  <c r="AR331" i="20"/>
  <c r="AR332" i="20" s="1"/>
  <c r="AO209" i="20"/>
  <c r="AO210" i="20" s="1"/>
  <c r="AQ269" i="20"/>
  <c r="AQ270" i="20" s="1"/>
  <c r="AR209" i="20"/>
  <c r="AR210" i="20" s="1"/>
  <c r="AO307" i="20"/>
  <c r="AO308" i="20" s="1"/>
  <c r="AQ297" i="20"/>
  <c r="AQ298" i="20" s="1"/>
  <c r="AP211" i="20"/>
  <c r="AP212" i="20" s="1"/>
  <c r="AQ235" i="20"/>
  <c r="AQ236" i="20" s="1"/>
  <c r="AR293" i="20"/>
  <c r="AR294" i="20" s="1"/>
  <c r="AO285" i="20"/>
  <c r="AO286" i="20" s="1"/>
  <c r="AR233" i="20"/>
  <c r="AR234" i="20" s="1"/>
  <c r="AR221" i="20"/>
  <c r="AR222" i="20" s="1"/>
  <c r="AR263" i="20"/>
  <c r="AR264" i="20" s="1"/>
  <c r="AR291" i="20"/>
  <c r="AR292" i="20" s="1"/>
  <c r="AR323" i="20"/>
  <c r="AR324" i="20" s="1"/>
  <c r="AO305" i="20"/>
  <c r="AO306" i="20" s="1"/>
  <c r="AR341" i="20"/>
  <c r="AR342" i="20" s="1"/>
  <c r="AP329" i="20"/>
  <c r="AP330" i="20" s="1"/>
  <c r="AP283" i="20"/>
  <c r="AP284" i="20" s="1"/>
  <c r="AR243" i="20"/>
  <c r="AR244" i="20" s="1"/>
  <c r="AO291" i="20"/>
  <c r="AO292" i="20" s="1"/>
  <c r="AQ305" i="20"/>
  <c r="AQ306" i="20" s="1"/>
  <c r="AR305" i="20"/>
  <c r="AR306" i="20" s="1"/>
  <c r="AO378" i="20"/>
  <c r="AO367" i="20" s="1"/>
  <c r="EZ29" i="29"/>
  <c r="EZ30" i="29" s="1"/>
  <c r="J27" i="18"/>
  <c r="J44" i="18" s="1"/>
  <c r="S28" i="18"/>
  <c r="E153" i="22" s="1"/>
  <c r="J29" i="18"/>
  <c r="J46" i="18" s="1"/>
  <c r="W31" i="18"/>
  <c r="P78" i="18" s="1"/>
  <c r="I26" i="22" s="1"/>
  <c r="M49" i="18"/>
  <c r="EH13" i="29"/>
  <c r="EG13" i="29" s="1"/>
  <c r="O43" i="18"/>
  <c r="N46" i="18"/>
  <c r="M170" i="11"/>
  <c r="AO170" i="11"/>
  <c r="AQ138" i="20" a="1"/>
  <c r="AQ138" i="20" s="1"/>
  <c r="C82" i="18"/>
  <c r="C83" i="18" s="1"/>
  <c r="E15" i="26" s="1"/>
  <c r="J34" i="18"/>
  <c r="J51" i="18" s="1"/>
  <c r="J33" i="18"/>
  <c r="J50" i="18" s="1"/>
  <c r="C31" i="29"/>
  <c r="AD170" i="11"/>
  <c r="AM138" i="20" a="1"/>
  <c r="AM138" i="20" s="1"/>
  <c r="AL138" i="20" a="1"/>
  <c r="AL138" i="20" s="1"/>
  <c r="AO138" i="20" a="1"/>
  <c r="AO138" i="20" s="1"/>
  <c r="AN138" i="20" a="1"/>
  <c r="AN138" i="20" s="1"/>
  <c r="AO397" i="20"/>
  <c r="AP379" i="20"/>
  <c r="AP368" i="20" s="1"/>
  <c r="AQ383" i="20"/>
  <c r="AQ377" i="20"/>
  <c r="AQ382" i="20"/>
  <c r="AQ371" i="20" s="1"/>
  <c r="AP380" i="20"/>
  <c r="AP369" i="20" s="1"/>
  <c r="AQ397" i="20"/>
  <c r="AP390" i="20"/>
  <c r="AM137" i="20" a="1"/>
  <c r="AM137" i="20" s="1"/>
  <c r="E533" i="17"/>
  <c r="F533" i="17" s="1"/>
  <c r="G533" i="17" s="1"/>
  <c r="H533" i="17" s="1"/>
  <c r="I533" i="17" s="1"/>
  <c r="J533" i="17" s="1"/>
  <c r="K533" i="17" s="1"/>
  <c r="L533" i="17" s="1"/>
  <c r="M533" i="17" s="1"/>
  <c r="N533" i="17" s="1"/>
  <c r="O533" i="17" s="1"/>
  <c r="P533" i="17" s="1"/>
  <c r="Q533" i="17" s="1"/>
  <c r="R533" i="17" s="1"/>
  <c r="S533" i="17" s="1"/>
  <c r="T533" i="17" s="1"/>
  <c r="U533" i="17" s="1"/>
  <c r="V533" i="17" s="1"/>
  <c r="W533" i="17" s="1"/>
  <c r="X533" i="17" s="1"/>
  <c r="Y533" i="17" s="1"/>
  <c r="Z533" i="17" s="1"/>
  <c r="AA533" i="17" s="1"/>
  <c r="AB533" i="17" s="1"/>
  <c r="AC533" i="17" s="1"/>
  <c r="AD533" i="17" s="1"/>
  <c r="AE533" i="17" s="1"/>
  <c r="AF533" i="17" s="1"/>
  <c r="AG533" i="17" s="1"/>
  <c r="AH533" i="17" s="1"/>
  <c r="AI533" i="17" s="1"/>
  <c r="AJ533" i="17" s="1"/>
  <c r="AK533" i="17" s="1"/>
  <c r="AL533" i="17" s="1"/>
  <c r="AM533" i="17" s="1"/>
  <c r="AN533" i="17" s="1"/>
  <c r="AO533" i="17" s="1"/>
  <c r="E535" i="17"/>
  <c r="F535" i="17" s="1"/>
  <c r="G535" i="17" s="1"/>
  <c r="H535" i="17" s="1"/>
  <c r="I535" i="17" s="1"/>
  <c r="J535" i="17" s="1"/>
  <c r="K535" i="17" s="1"/>
  <c r="L535" i="17" s="1"/>
  <c r="M535" i="17" s="1"/>
  <c r="N535" i="17" s="1"/>
  <c r="O535" i="17" s="1"/>
  <c r="P535" i="17" s="1"/>
  <c r="Q535" i="17" s="1"/>
  <c r="R535" i="17" s="1"/>
  <c r="S535" i="17" s="1"/>
  <c r="T535" i="17" s="1"/>
  <c r="U535" i="17" s="1"/>
  <c r="V535" i="17" s="1"/>
  <c r="W535" i="17" s="1"/>
  <c r="X535" i="17" s="1"/>
  <c r="Y535" i="17" s="1"/>
  <c r="Z535" i="17" s="1"/>
  <c r="AA535" i="17" s="1"/>
  <c r="AB535" i="17" s="1"/>
  <c r="AC535" i="17" s="1"/>
  <c r="AD535" i="17" s="1"/>
  <c r="AE535" i="17" s="1"/>
  <c r="AF535" i="17" s="1"/>
  <c r="AG535" i="17" s="1"/>
  <c r="AH535" i="17" s="1"/>
  <c r="AI535" i="17" s="1"/>
  <c r="AJ535" i="17" s="1"/>
  <c r="AK535" i="17" s="1"/>
  <c r="AL535" i="17" s="1"/>
  <c r="AM535" i="17" s="1"/>
  <c r="AN535" i="17" s="1"/>
  <c r="AO535" i="17" s="1"/>
  <c r="AP535" i="17" s="1"/>
  <c r="AQ535" i="17" s="1"/>
  <c r="AS3" i="17"/>
  <c r="E534" i="17"/>
  <c r="F534" i="17" s="1"/>
  <c r="G534" i="17" s="1"/>
  <c r="H534" i="17" s="1"/>
  <c r="I534" i="17" s="1"/>
  <c r="J534" i="17" s="1"/>
  <c r="K534" i="17" s="1"/>
  <c r="L534" i="17" s="1"/>
  <c r="M534" i="17" s="1"/>
  <c r="N534" i="17" s="1"/>
  <c r="O534" i="17" s="1"/>
  <c r="P534" i="17" s="1"/>
  <c r="Q534" i="17" s="1"/>
  <c r="R534" i="17" s="1"/>
  <c r="S534" i="17" s="1"/>
  <c r="T534" i="17" s="1"/>
  <c r="U534" i="17" s="1"/>
  <c r="V534" i="17" s="1"/>
  <c r="W534" i="17" s="1"/>
  <c r="X534" i="17" s="1"/>
  <c r="Y534" i="17" s="1"/>
  <c r="Z534" i="17" s="1"/>
  <c r="AA534" i="17" s="1"/>
  <c r="AB534" i="17" s="1"/>
  <c r="AC534" i="17" s="1"/>
  <c r="AD534" i="17" s="1"/>
  <c r="AE534" i="17" s="1"/>
  <c r="AF534" i="17" s="1"/>
  <c r="AG534" i="17" s="1"/>
  <c r="AH534" i="17" s="1"/>
  <c r="AI534" i="17" s="1"/>
  <c r="AJ534" i="17" s="1"/>
  <c r="AK534" i="17" s="1"/>
  <c r="AL534" i="17" s="1"/>
  <c r="AM534" i="17" s="1"/>
  <c r="AN534" i="17" s="1"/>
  <c r="AO534" i="17" s="1"/>
  <c r="AP534" i="17" s="1"/>
  <c r="E536" i="17"/>
  <c r="F536" i="17" s="1"/>
  <c r="G536" i="17" s="1"/>
  <c r="H536" i="17" s="1"/>
  <c r="I536" i="17" s="1"/>
  <c r="J536" i="17" s="1"/>
  <c r="K536" i="17" s="1"/>
  <c r="L536" i="17" s="1"/>
  <c r="M536" i="17" s="1"/>
  <c r="N536" i="17" s="1"/>
  <c r="O536" i="17" s="1"/>
  <c r="P536" i="17" s="1"/>
  <c r="Q536" i="17" s="1"/>
  <c r="R536" i="17" s="1"/>
  <c r="S536" i="17" s="1"/>
  <c r="T536" i="17" s="1"/>
  <c r="U536" i="17" s="1"/>
  <c r="V536" i="17" s="1"/>
  <c r="W536" i="17" s="1"/>
  <c r="X536" i="17" s="1"/>
  <c r="Y536" i="17" s="1"/>
  <c r="Z536" i="17" s="1"/>
  <c r="AA536" i="17" s="1"/>
  <c r="AB536" i="17" s="1"/>
  <c r="AC536" i="17" s="1"/>
  <c r="AD536" i="17" s="1"/>
  <c r="AE536" i="17" s="1"/>
  <c r="AF536" i="17" s="1"/>
  <c r="AG536" i="17" s="1"/>
  <c r="AH536" i="17" s="1"/>
  <c r="AI536" i="17" s="1"/>
  <c r="AJ536" i="17" s="1"/>
  <c r="AK536" i="17" s="1"/>
  <c r="AL536" i="17" s="1"/>
  <c r="AM536" i="17" s="1"/>
  <c r="AN536" i="17" s="1"/>
  <c r="AO536" i="17" s="1"/>
  <c r="AP536" i="17" s="1"/>
  <c r="AQ536" i="17" s="1"/>
  <c r="AR536" i="17" s="1"/>
  <c r="AL366" i="20"/>
  <c r="AL365" i="20" s="1"/>
  <c r="AL376" i="20"/>
  <c r="AM366" i="20"/>
  <c r="AM365" i="20" s="1"/>
  <c r="AM376" i="20"/>
  <c r="AK366" i="20"/>
  <c r="AK365" i="20" s="1"/>
  <c r="AK376" i="20"/>
  <c r="AP383" i="20"/>
  <c r="AP377" i="20"/>
  <c r="AQ390" i="20"/>
  <c r="AN366" i="20"/>
  <c r="AN365" i="20" s="1"/>
  <c r="AN376" i="20"/>
  <c r="N37" i="18"/>
  <c r="N52" i="18" s="1"/>
  <c r="P37" i="18"/>
  <c r="I149" i="8" s="1"/>
  <c r="N51" i="18"/>
  <c r="T33" i="18"/>
  <c r="M80" i="18" s="1"/>
  <c r="F28" i="22" s="1"/>
  <c r="L43" i="18"/>
  <c r="L37" i="18"/>
  <c r="E149" i="22" s="1"/>
  <c r="J170" i="11"/>
  <c r="P170" i="11"/>
  <c r="G170" i="11"/>
  <c r="AP137" i="20" a="1"/>
  <c r="AP137" i="20" s="1"/>
  <c r="J28" i="18"/>
  <c r="J45" i="18" s="1"/>
  <c r="N42" i="18"/>
  <c r="H13" i="29"/>
  <c r="G13" i="29" s="1"/>
  <c r="J32" i="18"/>
  <c r="J49" i="18" s="1"/>
  <c r="Q170" i="11"/>
  <c r="AC170" i="11"/>
  <c r="C170" i="11"/>
  <c r="AN170" i="11"/>
  <c r="AA170" i="11"/>
  <c r="AT170" i="11"/>
  <c r="AE170" i="11"/>
  <c r="AP170" i="11"/>
  <c r="T226" i="19"/>
  <c r="U230" i="22"/>
  <c r="J25" i="18"/>
  <c r="J42" i="18" s="1"/>
  <c r="CB9" i="6"/>
  <c r="B7" i="10"/>
  <c r="AR170" i="11"/>
  <c r="AO137" i="20" a="1"/>
  <c r="AO137" i="20" s="1"/>
  <c r="AL127" i="20" a="1"/>
  <c r="AL127" i="20" s="1"/>
  <c r="AN127" i="20" a="1"/>
  <c r="AN127" i="20" s="1"/>
  <c r="AR397" i="20"/>
  <c r="AO383" i="20"/>
  <c r="AO377" i="20"/>
  <c r="AP397" i="20"/>
  <c r="AO382" i="20"/>
  <c r="AO381" i="20"/>
  <c r="AO379" i="20"/>
  <c r="AQ378" i="20"/>
  <c r="AQ367" i="20" s="1"/>
  <c r="AO390" i="20"/>
  <c r="AR383" i="20"/>
  <c r="AR377" i="20"/>
  <c r="AO127" i="20" a="1"/>
  <c r="AO127" i="20" s="1"/>
  <c r="EL29" i="29"/>
  <c r="EL30" i="29" s="1"/>
  <c r="AI170" i="11"/>
  <c r="AK170" i="11"/>
  <c r="AF170" i="11"/>
  <c r="Z170" i="11"/>
  <c r="H170" i="11"/>
  <c r="Y170" i="11"/>
  <c r="AJ170" i="11"/>
  <c r="AH170" i="11"/>
  <c r="E170" i="11"/>
  <c r="C18" i="29"/>
  <c r="AL170" i="11"/>
  <c r="X7" i="13"/>
  <c r="G48" i="29" s="1"/>
  <c r="BB7" i="13"/>
  <c r="X170" i="11"/>
  <c r="U170" i="11"/>
  <c r="AN128" i="20" a="1"/>
  <c r="AN128" i="20" s="1"/>
  <c r="AO128" i="20" a="1"/>
  <c r="AO128" i="20" s="1"/>
  <c r="AL128" i="20" a="1"/>
  <c r="AL128" i="20" s="1"/>
  <c r="AM128" i="20" a="1"/>
  <c r="AM128" i="20" s="1"/>
  <c r="AN137" i="20" a="1"/>
  <c r="AN137" i="20" s="1"/>
  <c r="AR382" i="20"/>
  <c r="AR371" i="20" s="1"/>
  <c r="AQ380" i="20"/>
  <c r="AQ369" i="20" s="1"/>
  <c r="AP381" i="20"/>
  <c r="AP370" i="20" s="1"/>
  <c r="AP382" i="20"/>
  <c r="AP371" i="20" s="1"/>
  <c r="AR381" i="20"/>
  <c r="AR370" i="20" s="1"/>
  <c r="AS393" i="20"/>
  <c r="AV393" i="20"/>
  <c r="AT388" i="20"/>
  <c r="AV396" i="20"/>
  <c r="AV392" i="20"/>
  <c r="AS399" i="20"/>
  <c r="AV398" i="20"/>
  <c r="AT395" i="20"/>
  <c r="AV402" i="20"/>
  <c r="AT387" i="20"/>
  <c r="AU398" i="20"/>
  <c r="AS385" i="20"/>
  <c r="AT403" i="20"/>
  <c r="AS386" i="20"/>
  <c r="AV388" i="20"/>
  <c r="AT385" i="20"/>
  <c r="AT399" i="20"/>
  <c r="AV385" i="20"/>
  <c r="AT401" i="20"/>
  <c r="AV386" i="20"/>
  <c r="AV403" i="20"/>
  <c r="AU395" i="20"/>
  <c r="AS392" i="20"/>
  <c r="AT389" i="20"/>
  <c r="AV387" i="20"/>
  <c r="AU399" i="20"/>
  <c r="AS388" i="20"/>
  <c r="AS387" i="20"/>
  <c r="AV391" i="20"/>
  <c r="AT400" i="20"/>
  <c r="AU384" i="20"/>
  <c r="AU400" i="20"/>
  <c r="AT398" i="20"/>
  <c r="AV384" i="20"/>
  <c r="AU401" i="20"/>
  <c r="AU403" i="20"/>
  <c r="AV400" i="20"/>
  <c r="AS400" i="20"/>
  <c r="AT386" i="20"/>
  <c r="AV395" i="20"/>
  <c r="AT384" i="20"/>
  <c r="AT396" i="20"/>
  <c r="AU393" i="20"/>
  <c r="AS402" i="20"/>
  <c r="AU387" i="20"/>
  <c r="AT391" i="20"/>
  <c r="AV401" i="20"/>
  <c r="AT402" i="20"/>
  <c r="AU388" i="20"/>
  <c r="AU402" i="20"/>
  <c r="AT392" i="20"/>
  <c r="AS391" i="20"/>
  <c r="AV389" i="20"/>
  <c r="AS396" i="20"/>
  <c r="AS394" i="20"/>
  <c r="AT393" i="20"/>
  <c r="AS395" i="20"/>
  <c r="AV394" i="20"/>
  <c r="AU396" i="20"/>
  <c r="AS389" i="20"/>
  <c r="AS398" i="20"/>
  <c r="AS403" i="20"/>
  <c r="AT394" i="20"/>
  <c r="AU389" i="20"/>
  <c r="AU385" i="20"/>
  <c r="AU386" i="20"/>
  <c r="AU392" i="20"/>
  <c r="AU394" i="20"/>
  <c r="AS384" i="20"/>
  <c r="AS401" i="20"/>
  <c r="AV399" i="20"/>
  <c r="AU391" i="20"/>
  <c r="AR390" i="20"/>
  <c r="AO380" i="20"/>
  <c r="AO233" i="22"/>
  <c r="AS219" i="22"/>
  <c r="AS233" i="22" s="1"/>
  <c r="AB173" i="11"/>
  <c r="AG173" i="11"/>
  <c r="E173" i="11"/>
  <c r="AO173" i="11"/>
  <c r="AS173" i="11"/>
  <c r="N170" i="11"/>
  <c r="F170" i="11"/>
  <c r="D170" i="11"/>
  <c r="AK173" i="11"/>
  <c r="AE173" i="11"/>
  <c r="AC173" i="11"/>
  <c r="K173" i="11"/>
  <c r="AA173" i="11"/>
  <c r="R173" i="11"/>
  <c r="AI173" i="11"/>
  <c r="AH173" i="11"/>
  <c r="AR173" i="11"/>
  <c r="J173" i="11"/>
  <c r="V173" i="11"/>
  <c r="AV29" i="29"/>
  <c r="AV30" i="29" s="1"/>
  <c r="S173" i="11"/>
  <c r="AF173" i="11"/>
  <c r="AU20" i="29"/>
  <c r="D24" i="29"/>
  <c r="C24" i="29" s="1"/>
  <c r="P173" i="11"/>
  <c r="AD173" i="11"/>
  <c r="F173" i="11"/>
  <c r="AL173" i="11"/>
  <c r="C173" i="11"/>
  <c r="G173" i="11"/>
  <c r="M173" i="11"/>
  <c r="AT173" i="11"/>
  <c r="D173" i="11"/>
  <c r="O173" i="11"/>
  <c r="I173" i="11"/>
  <c r="W173" i="11"/>
  <c r="AX14" i="29"/>
  <c r="AW20" i="29"/>
  <c r="Z173" i="11"/>
  <c r="N173" i="11"/>
  <c r="X173" i="11"/>
  <c r="AQ173" i="11"/>
  <c r="AJ173" i="11"/>
  <c r="AT14" i="29"/>
  <c r="AS20" i="29"/>
  <c r="B31" i="29"/>
  <c r="K37" i="18"/>
  <c r="D149" i="22" s="1"/>
  <c r="AY13" i="29"/>
  <c r="AY29" i="29" s="1"/>
  <c r="AY30" i="29" s="1"/>
  <c r="BV29" i="29"/>
  <c r="BV30" i="29" s="1"/>
  <c r="R31" i="18"/>
  <c r="K78" i="18" s="1"/>
  <c r="O42" i="18"/>
  <c r="R33" i="18"/>
  <c r="K80" i="18" s="1"/>
  <c r="BR29" i="29"/>
  <c r="BR30" i="29" s="1"/>
  <c r="BO13" i="29"/>
  <c r="BO29" i="29" s="1"/>
  <c r="BO30" i="29" s="1"/>
  <c r="BH13" i="29"/>
  <c r="BG13" i="29" s="1"/>
  <c r="M37" i="18"/>
  <c r="M52" i="18" s="1"/>
  <c r="AZ29" i="29"/>
  <c r="AZ30" i="29" s="1"/>
  <c r="T34" i="18"/>
  <c r="M96" i="18" s="1"/>
  <c r="CA39" i="29"/>
  <c r="CA40" i="29" s="1"/>
  <c r="B7" i="6"/>
  <c r="B38" i="29"/>
  <c r="C11" i="13"/>
  <c r="AK20" i="29"/>
  <c r="AH20" i="29"/>
  <c r="AG20" i="29" s="1"/>
  <c r="AL14" i="29"/>
  <c r="AK4" i="34"/>
  <c r="AL4" i="34" s="1"/>
  <c r="AM4" i="34" s="1"/>
  <c r="AN4" i="34" s="1"/>
  <c r="AO3" i="34"/>
  <c r="C16" i="29"/>
  <c r="AR7" i="13"/>
  <c r="N102" i="9"/>
  <c r="S102" i="9" s="1"/>
  <c r="L173" i="11"/>
  <c r="T173" i="11"/>
  <c r="R52" i="34"/>
  <c r="Q59" i="34"/>
  <c r="C11" i="29"/>
  <c r="R230" i="22"/>
  <c r="AC245" i="22"/>
  <c r="AM173" i="11"/>
  <c r="EB39" i="29"/>
  <c r="EB40" i="29" s="1"/>
  <c r="DB39" i="29"/>
  <c r="DB40" i="29" s="1"/>
  <c r="FB39" i="29"/>
  <c r="FB40" i="29" s="1"/>
  <c r="EG20" i="29"/>
  <c r="D9" i="17"/>
  <c r="D5" i="17" s="1"/>
  <c r="G4" i="27" s="1"/>
  <c r="E7" i="13"/>
  <c r="D7" i="13" s="1"/>
  <c r="BA3" i="13"/>
  <c r="AX3" i="13"/>
  <c r="AY3" i="13"/>
  <c r="AZ3" i="13"/>
  <c r="BB3" i="13"/>
  <c r="M60" i="34"/>
  <c r="M58" i="34" s="1"/>
  <c r="M20" i="34" s="1"/>
  <c r="N55" i="34"/>
  <c r="I18" i="34"/>
  <c r="I49" i="34"/>
  <c r="I36" i="34"/>
  <c r="I17" i="34"/>
  <c r="I47" i="34"/>
  <c r="I19" i="34"/>
  <c r="F49" i="27"/>
  <c r="D49" i="27" s="1"/>
  <c r="E50" i="27"/>
  <c r="L522" i="17"/>
  <c r="D225" i="22"/>
  <c r="D18" i="20"/>
  <c r="K35" i="34"/>
  <c r="K13" i="34"/>
  <c r="K15" i="34"/>
  <c r="I16" i="13"/>
  <c r="H245" i="22"/>
  <c r="H230" i="22"/>
  <c r="P230" i="22"/>
  <c r="P245" i="22"/>
  <c r="AH245" i="22"/>
  <c r="P47" i="13"/>
  <c r="P54" i="13" s="1"/>
  <c r="P53" i="13" s="1"/>
  <c r="D226" i="22"/>
  <c r="G245" i="22"/>
  <c r="B168" i="11"/>
  <c r="J16" i="34"/>
  <c r="D19" i="20"/>
  <c r="Y245" i="22"/>
  <c r="Y230" i="22"/>
  <c r="O54" i="13"/>
  <c r="O53" i="13" s="1"/>
  <c r="K230" i="22"/>
  <c r="L245" i="22"/>
  <c r="L230" i="22"/>
  <c r="L6" i="34"/>
  <c r="M7" i="34"/>
  <c r="L14" i="34"/>
  <c r="L24" i="34" s="1"/>
  <c r="AM7" i="13"/>
  <c r="W245" i="22"/>
  <c r="W230" i="22"/>
  <c r="G31" i="34"/>
  <c r="N103" i="7"/>
  <c r="N102" i="7"/>
  <c r="FC14" i="29"/>
  <c r="FC29" i="29" s="1"/>
  <c r="FC30" i="29" s="1"/>
  <c r="FD29" i="29"/>
  <c r="FD30" i="29" s="1"/>
  <c r="EH14" i="29"/>
  <c r="EG14" i="29" s="1"/>
  <c r="C22" i="29"/>
  <c r="C21" i="29"/>
  <c r="C23" i="29"/>
  <c r="C7" i="31"/>
  <c r="C33" i="29"/>
  <c r="C32" i="29"/>
  <c r="C12" i="29"/>
  <c r="CB39" i="29"/>
  <c r="CB40" i="29" s="1"/>
  <c r="B172" i="11"/>
  <c r="C28" i="29"/>
  <c r="C99" i="7"/>
  <c r="R99" i="7" s="1"/>
  <c r="B169" i="11"/>
  <c r="N102" i="21"/>
  <c r="N103" i="21"/>
  <c r="C99" i="21"/>
  <c r="R99" i="21" s="1"/>
  <c r="B171" i="11"/>
  <c r="L81" i="18"/>
  <c r="E96" i="18" s="1"/>
  <c r="E99" i="18" s="1"/>
  <c r="BA14" i="29"/>
  <c r="BA29" i="29" s="1"/>
  <c r="BA30" i="29" s="1"/>
  <c r="BB29" i="29"/>
  <c r="BB30" i="29" s="1"/>
  <c r="I21" i="22"/>
  <c r="I21" i="8"/>
  <c r="G25" i="8"/>
  <c r="G25" i="22"/>
  <c r="G20" i="8"/>
  <c r="G20" i="22"/>
  <c r="G28" i="22"/>
  <c r="G28" i="8"/>
  <c r="H20" i="22"/>
  <c r="H20" i="8"/>
  <c r="H26" i="8"/>
  <c r="H26" i="22"/>
  <c r="I20" i="22"/>
  <c r="J142" i="21"/>
  <c r="J26" i="21" s="1"/>
  <c r="E156" i="22"/>
  <c r="E156" i="8"/>
  <c r="D157" i="8"/>
  <c r="H23" i="8"/>
  <c r="H23" i="22"/>
  <c r="F150" i="8"/>
  <c r="D143" i="21"/>
  <c r="F150" i="22"/>
  <c r="W8" i="10"/>
  <c r="R8" i="10"/>
  <c r="V8" i="10"/>
  <c r="Y8" i="10"/>
  <c r="P8" i="10"/>
  <c r="Z8" i="10"/>
  <c r="X8" i="10"/>
  <c r="T8" i="10"/>
  <c r="Q8" i="10"/>
  <c r="U8" i="10"/>
  <c r="S8" i="10"/>
  <c r="H21" i="8"/>
  <c r="H21" i="22"/>
  <c r="D63" i="22"/>
  <c r="T15" i="10"/>
  <c r="H19" i="21"/>
  <c r="B187" i="11"/>
  <c r="F181" i="19"/>
  <c r="H95" i="9"/>
  <c r="N95" i="9" s="1"/>
  <c r="AB30" i="29"/>
  <c r="D152" i="22"/>
  <c r="D152" i="8"/>
  <c r="F141" i="21"/>
  <c r="F8" i="21" s="1"/>
  <c r="F152" i="8"/>
  <c r="F152" i="22"/>
  <c r="F143" i="21"/>
  <c r="F44" i="21" s="1"/>
  <c r="H158" i="8"/>
  <c r="L145" i="21"/>
  <c r="L80" i="21" s="1"/>
  <c r="H158" i="22"/>
  <c r="E155" i="22"/>
  <c r="E155" i="8"/>
  <c r="I142" i="21"/>
  <c r="I26" i="21" s="1"/>
  <c r="G143" i="21"/>
  <c r="G44" i="21" s="1"/>
  <c r="F153" i="8"/>
  <c r="F153" i="22"/>
  <c r="D61" i="22"/>
  <c r="R15" i="10"/>
  <c r="B185" i="11"/>
  <c r="F19" i="21"/>
  <c r="H152" i="8"/>
  <c r="H152" i="22"/>
  <c r="F145" i="21"/>
  <c r="F80" i="21" s="1"/>
  <c r="H151" i="8"/>
  <c r="E145" i="21"/>
  <c r="E80" i="21" s="1"/>
  <c r="H151" i="22"/>
  <c r="G24" i="8"/>
  <c r="G24" i="22"/>
  <c r="K142" i="21"/>
  <c r="K26" i="21" s="1"/>
  <c r="E157" i="8"/>
  <c r="E157" i="22"/>
  <c r="I28" i="8"/>
  <c r="C100" i="21"/>
  <c r="R100" i="21" s="1"/>
  <c r="D27" i="29"/>
  <c r="I23" i="8"/>
  <c r="I25" i="8"/>
  <c r="K19" i="21"/>
  <c r="W15" i="10"/>
  <c r="W30" i="10" s="1"/>
  <c r="D66" i="22"/>
  <c r="B190" i="11"/>
  <c r="V15" i="10"/>
  <c r="V30" i="10" s="1"/>
  <c r="D65" i="22"/>
  <c r="J19" i="21"/>
  <c r="B189" i="11"/>
  <c r="F151" i="22"/>
  <c r="E143" i="21"/>
  <c r="F151" i="8"/>
  <c r="G23" i="22"/>
  <c r="G23" i="8"/>
  <c r="I144" i="21"/>
  <c r="I62" i="21" s="1"/>
  <c r="G155" i="8"/>
  <c r="G155" i="22"/>
  <c r="I150" i="22"/>
  <c r="I150" i="8"/>
  <c r="D146" i="21"/>
  <c r="F154" i="8"/>
  <c r="U15" i="10"/>
  <c r="U30" i="10" s="1"/>
  <c r="D64" i="22"/>
  <c r="I19" i="21"/>
  <c r="B188" i="11"/>
  <c r="H156" i="8"/>
  <c r="J145" i="21"/>
  <c r="J80" i="21" s="1"/>
  <c r="H156" i="22"/>
  <c r="I158" i="8"/>
  <c r="L146" i="21"/>
  <c r="L98" i="21" s="1"/>
  <c r="I158" i="22"/>
  <c r="M95" i="9"/>
  <c r="H103" i="9"/>
  <c r="N103" i="9" s="1"/>
  <c r="S103" i="9" s="1"/>
  <c r="F189" i="19"/>
  <c r="L19" i="21"/>
  <c r="D67" i="22"/>
  <c r="B191" i="11"/>
  <c r="X15" i="10"/>
  <c r="X30" i="10" s="1"/>
  <c r="D141" i="21"/>
  <c r="D150" i="8"/>
  <c r="D150" i="22"/>
  <c r="H153" i="8"/>
  <c r="H153" i="22"/>
  <c r="G145" i="21"/>
  <c r="G80" i="21" s="1"/>
  <c r="G144" i="21"/>
  <c r="G62" i="21" s="1"/>
  <c r="G153" i="8"/>
  <c r="G153" i="22"/>
  <c r="Z8" i="6"/>
  <c r="P8" i="6"/>
  <c r="G146" i="21"/>
  <c r="G98" i="21" s="1"/>
  <c r="I153" i="22"/>
  <c r="I153" i="8"/>
  <c r="H144" i="21"/>
  <c r="H62" i="21" s="1"/>
  <c r="G154" i="8"/>
  <c r="G154" i="22"/>
  <c r="I146" i="21"/>
  <c r="I98" i="21" s="1"/>
  <c r="I155" i="8"/>
  <c r="I155" i="22"/>
  <c r="N81" i="18"/>
  <c r="G96" i="18" s="1"/>
  <c r="G99" i="18" s="1"/>
  <c r="M73" i="18"/>
  <c r="O74" i="18"/>
  <c r="F146" i="21"/>
  <c r="F98" i="21" s="1"/>
  <c r="I152" i="22"/>
  <c r="I152" i="8"/>
  <c r="K143" i="21"/>
  <c r="K44" i="21" s="1"/>
  <c r="F157" i="8"/>
  <c r="F157" i="22"/>
  <c r="H150" i="22"/>
  <c r="D145" i="21"/>
  <c r="H150" i="8"/>
  <c r="D144" i="21"/>
  <c r="G150" i="8"/>
  <c r="G150" i="22"/>
  <c r="F22" i="22"/>
  <c r="F22" i="8"/>
  <c r="H28" i="22"/>
  <c r="H28" i="8"/>
  <c r="G14" i="29"/>
  <c r="G158" i="22"/>
  <c r="G158" i="8"/>
  <c r="L144" i="21"/>
  <c r="L62" i="21" s="1"/>
  <c r="E142" i="21"/>
  <c r="E26" i="21" s="1"/>
  <c r="E151" i="8"/>
  <c r="E151" i="22"/>
  <c r="F142" i="21"/>
  <c r="F26" i="21" s="1"/>
  <c r="E152" i="8"/>
  <c r="E152" i="22"/>
  <c r="I151" i="22"/>
  <c r="E146" i="21"/>
  <c r="E98" i="21" s="1"/>
  <c r="I151" i="8"/>
  <c r="I20" i="8"/>
  <c r="L78" i="18"/>
  <c r="P74" i="18"/>
  <c r="M75" i="18"/>
  <c r="M72" i="18"/>
  <c r="M79" i="18"/>
  <c r="P18" i="23"/>
  <c r="P23" i="23" s="1"/>
  <c r="P21" i="23" s="1"/>
  <c r="O33" i="13"/>
  <c r="O23" i="23"/>
  <c r="O21" i="23" s="1"/>
  <c r="P32" i="43" s="1"/>
  <c r="L33" i="13"/>
  <c r="I32" i="13"/>
  <c r="Q15" i="23"/>
  <c r="AM16" i="13" l="1"/>
  <c r="AM16" i="43"/>
  <c r="AW16" i="43"/>
  <c r="C7" i="21"/>
  <c r="Q7" i="21" s="1"/>
  <c r="Q20" i="21" s="1"/>
  <c r="AR16" i="43"/>
  <c r="AV134" i="21"/>
  <c r="S16" i="13"/>
  <c r="C16" i="13" s="1"/>
  <c r="AC16" i="13"/>
  <c r="D16" i="43"/>
  <c r="AR116" i="7"/>
  <c r="AR126" i="7" s="1"/>
  <c r="AN126" i="7"/>
  <c r="AV133" i="21"/>
  <c r="BB16" i="43"/>
  <c r="N16" i="13"/>
  <c r="G93" i="9"/>
  <c r="W8" i="6"/>
  <c r="W9" i="6" s="1"/>
  <c r="H6" i="19"/>
  <c r="F6" i="19" s="1"/>
  <c r="Y8" i="6"/>
  <c r="Q8" i="6"/>
  <c r="Q9" i="6" s="1"/>
  <c r="S8" i="6"/>
  <c r="S9" i="6" s="1"/>
  <c r="U8" i="6"/>
  <c r="U9" i="6" s="1"/>
  <c r="X8" i="6"/>
  <c r="R8" i="6"/>
  <c r="R9" i="6" s="1"/>
  <c r="V8" i="6"/>
  <c r="V9" i="6" s="1"/>
  <c r="AJ15" i="29"/>
  <c r="AI15" i="29" s="1"/>
  <c r="S15" i="10"/>
  <c r="R36" i="29" s="1"/>
  <c r="Q36" i="29" s="1"/>
  <c r="F19" i="19"/>
  <c r="E75" i="16"/>
  <c r="E80" i="16" s="1"/>
  <c r="P75" i="16"/>
  <c r="P80" i="16" s="1"/>
  <c r="AH75" i="16"/>
  <c r="AH80" i="16" s="1"/>
  <c r="H75" i="16"/>
  <c r="H80" i="16" s="1"/>
  <c r="AB75" i="16"/>
  <c r="AB80" i="16" s="1"/>
  <c r="L75" i="16"/>
  <c r="L80" i="16" s="1"/>
  <c r="AP75" i="16"/>
  <c r="AP80" i="16" s="1"/>
  <c r="AF75" i="16"/>
  <c r="AF80" i="16" s="1"/>
  <c r="D75" i="16"/>
  <c r="S75" i="16"/>
  <c r="S80" i="16" s="1"/>
  <c r="AT75" i="16"/>
  <c r="AT80" i="16" s="1"/>
  <c r="K75" i="16"/>
  <c r="K80" i="16" s="1"/>
  <c r="Y75" i="16"/>
  <c r="Y80" i="16" s="1"/>
  <c r="J75" i="16"/>
  <c r="J80" i="16" s="1"/>
  <c r="AJ75" i="16"/>
  <c r="AJ80" i="16" s="1"/>
  <c r="AU75" i="16"/>
  <c r="AU80" i="16" s="1"/>
  <c r="AD75" i="16"/>
  <c r="AD80" i="16" s="1"/>
  <c r="AS75" i="16"/>
  <c r="AS80" i="16" s="1"/>
  <c r="AC75" i="16"/>
  <c r="AC80" i="16" s="1"/>
  <c r="AG75" i="16"/>
  <c r="AG80" i="16" s="1"/>
  <c r="Z75" i="16"/>
  <c r="Z80" i="16" s="1"/>
  <c r="G75" i="16"/>
  <c r="G80" i="16" s="1"/>
  <c r="AM75" i="16"/>
  <c r="AM80" i="16" s="1"/>
  <c r="F75" i="16"/>
  <c r="F80" i="16" s="1"/>
  <c r="O75" i="16"/>
  <c r="O80" i="16" s="1"/>
  <c r="N75" i="16"/>
  <c r="N80" i="16" s="1"/>
  <c r="AL75" i="16"/>
  <c r="AL80" i="16" s="1"/>
  <c r="AK75" i="16"/>
  <c r="AK80" i="16" s="1"/>
  <c r="U75" i="16"/>
  <c r="U80" i="16" s="1"/>
  <c r="AO75" i="16"/>
  <c r="AO80" i="16" s="1"/>
  <c r="Q75" i="16"/>
  <c r="Q80" i="16" s="1"/>
  <c r="AA75" i="16"/>
  <c r="AA80" i="16" s="1"/>
  <c r="X75" i="16"/>
  <c r="X80" i="16" s="1"/>
  <c r="I75" i="16"/>
  <c r="I80" i="16" s="1"/>
  <c r="AQ75" i="16"/>
  <c r="AQ80" i="16" s="1"/>
  <c r="R75" i="16"/>
  <c r="R80" i="16" s="1"/>
  <c r="AN75" i="16"/>
  <c r="AN80" i="16" s="1"/>
  <c r="AE75" i="16"/>
  <c r="AE80" i="16" s="1"/>
  <c r="V75" i="16"/>
  <c r="V80" i="16" s="1"/>
  <c r="AI75" i="16"/>
  <c r="AI80" i="16" s="1"/>
  <c r="M75" i="16"/>
  <c r="M80" i="16" s="1"/>
  <c r="W75" i="16"/>
  <c r="W80" i="16" s="1"/>
  <c r="T75" i="16"/>
  <c r="T80" i="16" s="1"/>
  <c r="AR75" i="16"/>
  <c r="AR80" i="16" s="1"/>
  <c r="H5" i="19"/>
  <c r="D62" i="22"/>
  <c r="S16" i="43"/>
  <c r="K141" i="21"/>
  <c r="K8" i="21" s="1"/>
  <c r="J144" i="21"/>
  <c r="J62" i="21" s="1"/>
  <c r="J66" i="21" s="1"/>
  <c r="K79" i="18"/>
  <c r="H155" i="8"/>
  <c r="O77" i="18"/>
  <c r="D151" i="8"/>
  <c r="C151" i="8" s="1"/>
  <c r="G157" i="8"/>
  <c r="L143" i="21"/>
  <c r="L44" i="21" s="1"/>
  <c r="L48" i="21" s="1"/>
  <c r="F155" i="22"/>
  <c r="I145" i="21"/>
  <c r="I80" i="21" s="1"/>
  <c r="I84" i="21" s="1"/>
  <c r="C64" i="21"/>
  <c r="R64" i="21" s="1"/>
  <c r="G141" i="21"/>
  <c r="G8" i="21" s="1"/>
  <c r="G8" i="7" s="1"/>
  <c r="B186" i="11"/>
  <c r="AK186" i="11" s="1"/>
  <c r="H157" i="22"/>
  <c r="G152" i="22"/>
  <c r="C152" i="22" s="1"/>
  <c r="I157" i="22"/>
  <c r="F24" i="8"/>
  <c r="F28" i="8"/>
  <c r="E150" i="8"/>
  <c r="C150" i="8" s="1"/>
  <c r="O76" i="18"/>
  <c r="H24" i="22" s="1"/>
  <c r="G156" i="8"/>
  <c r="K145" i="21"/>
  <c r="K80" i="21" s="1"/>
  <c r="K85" i="21" s="1"/>
  <c r="P81" i="18"/>
  <c r="I96" i="18" s="1"/>
  <c r="I99" i="18" s="1"/>
  <c r="D154" i="8"/>
  <c r="D153" i="8"/>
  <c r="H154" i="22"/>
  <c r="E154" i="22"/>
  <c r="G151" i="22"/>
  <c r="H27" i="22"/>
  <c r="N16" i="43"/>
  <c r="C7" i="43"/>
  <c r="V37" i="18"/>
  <c r="O81" i="18"/>
  <c r="H96" i="18" s="1"/>
  <c r="H99" i="18" s="1"/>
  <c r="R55" i="13"/>
  <c r="T50" i="13"/>
  <c r="AC16" i="43"/>
  <c r="I16" i="43"/>
  <c r="X16" i="43"/>
  <c r="AV23" i="43"/>
  <c r="AV23" i="13"/>
  <c r="AU134" i="21"/>
  <c r="AR130" i="21"/>
  <c r="AU130" i="21"/>
  <c r="AT132" i="21"/>
  <c r="AU133" i="21"/>
  <c r="AT129" i="21"/>
  <c r="AT130" i="21"/>
  <c r="AS131" i="21"/>
  <c r="AU132" i="21"/>
  <c r="AR131" i="21"/>
  <c r="AS134" i="21"/>
  <c r="AU131" i="21"/>
  <c r="AS129" i="21"/>
  <c r="AS133" i="21"/>
  <c r="AT134" i="21"/>
  <c r="AS132" i="21"/>
  <c r="AR133" i="21"/>
  <c r="AR134" i="21"/>
  <c r="AR132" i="21"/>
  <c r="AT133" i="21"/>
  <c r="AR129" i="21"/>
  <c r="AT131" i="21"/>
  <c r="AS130" i="21"/>
  <c r="AU129" i="21"/>
  <c r="AU23" i="43"/>
  <c r="AU23" i="13"/>
  <c r="AH229" i="22"/>
  <c r="AH230" i="22" s="1"/>
  <c r="AH243" i="22"/>
  <c r="AP134" i="21"/>
  <c r="AP132" i="21"/>
  <c r="AN134" i="21"/>
  <c r="AO133" i="21"/>
  <c r="AO130" i="21"/>
  <c r="AQ133" i="21"/>
  <c r="AQ134" i="21"/>
  <c r="AO132" i="21"/>
  <c r="AN129" i="21"/>
  <c r="AN132" i="21"/>
  <c r="AQ131" i="21"/>
  <c r="AO129" i="21"/>
  <c r="AP129" i="21"/>
  <c r="AN133" i="21"/>
  <c r="AQ130" i="21"/>
  <c r="AN130" i="21"/>
  <c r="AP131" i="21"/>
  <c r="AP130" i="21"/>
  <c r="AQ129" i="21"/>
  <c r="AQ132" i="21"/>
  <c r="AO134" i="21"/>
  <c r="AN131" i="21"/>
  <c r="AO131" i="21"/>
  <c r="AP133" i="21"/>
  <c r="AI243" i="22"/>
  <c r="AI229" i="22"/>
  <c r="AI230" i="22" s="1"/>
  <c r="AS23" i="43"/>
  <c r="AS23" i="13"/>
  <c r="AV132" i="21"/>
  <c r="AG229" i="22"/>
  <c r="AG230" i="22" s="1"/>
  <c r="AM23" i="13"/>
  <c r="AG243" i="22"/>
  <c r="AH16" i="43"/>
  <c r="AV131" i="21"/>
  <c r="AS127" i="20" a="1"/>
  <c r="AS127" i="20" s="1"/>
  <c r="AM23" i="43"/>
  <c r="AV130" i="21"/>
  <c r="AT23" i="43"/>
  <c r="AT23" i="13"/>
  <c r="AJ229" i="22"/>
  <c r="AJ230" i="22" s="1"/>
  <c r="AJ243" i="22"/>
  <c r="P33" i="43"/>
  <c r="Q32" i="13"/>
  <c r="Q33" i="13" s="1"/>
  <c r="Q32" i="43"/>
  <c r="Q33" i="43" s="1"/>
  <c r="G157" i="22"/>
  <c r="E150" i="22"/>
  <c r="I24" i="22"/>
  <c r="J143" i="21"/>
  <c r="J44" i="21" s="1"/>
  <c r="J44" i="7" s="1"/>
  <c r="G22" i="22"/>
  <c r="F26" i="22"/>
  <c r="Q27" i="18"/>
  <c r="G27" i="8"/>
  <c r="AR137" i="20" a="1"/>
  <c r="AR137" i="20" s="1"/>
  <c r="J74" i="18"/>
  <c r="K144" i="21"/>
  <c r="K62" i="21" s="1"/>
  <c r="K66" i="21" s="1"/>
  <c r="U37" i="18"/>
  <c r="Q25" i="18"/>
  <c r="F144" i="21"/>
  <c r="F62" i="21" s="1"/>
  <c r="F66" i="21" s="1"/>
  <c r="I154" i="8"/>
  <c r="G152" i="8"/>
  <c r="C152" i="8" s="1"/>
  <c r="F158" i="22"/>
  <c r="F25" i="22"/>
  <c r="AR138" i="20" a="1"/>
  <c r="AR138" i="20" s="1"/>
  <c r="C82" i="21"/>
  <c r="R82" i="21" s="1"/>
  <c r="C46" i="21"/>
  <c r="R46" i="21" s="1"/>
  <c r="L76" i="18"/>
  <c r="D154" i="22"/>
  <c r="Q28" i="18"/>
  <c r="N73" i="18"/>
  <c r="N82" i="18" s="1"/>
  <c r="N83" i="18" s="1"/>
  <c r="H157" i="8"/>
  <c r="E154" i="8"/>
  <c r="E144" i="21"/>
  <c r="E62" i="21" s="1"/>
  <c r="E66" i="21" s="1"/>
  <c r="H141" i="21"/>
  <c r="H8" i="21" s="1"/>
  <c r="H8" i="7" s="1"/>
  <c r="G156" i="22"/>
  <c r="D153" i="22"/>
  <c r="C153" i="22" s="1"/>
  <c r="G149" i="22"/>
  <c r="Q26" i="18"/>
  <c r="D151" i="22"/>
  <c r="F149" i="8"/>
  <c r="G26" i="22"/>
  <c r="H143" i="21"/>
  <c r="H44" i="21" s="1"/>
  <c r="H48" i="21" s="1"/>
  <c r="E141" i="21"/>
  <c r="E8" i="21" s="1"/>
  <c r="E8" i="7" s="1"/>
  <c r="I27" i="8"/>
  <c r="I26" i="8"/>
  <c r="F154" i="22"/>
  <c r="K52" i="18"/>
  <c r="H149" i="8"/>
  <c r="H149" i="22"/>
  <c r="H154" i="8"/>
  <c r="E158" i="22"/>
  <c r="Q29" i="18"/>
  <c r="D155" i="22"/>
  <c r="C155" i="22" s="1"/>
  <c r="D13" i="29"/>
  <c r="C13" i="29" s="1"/>
  <c r="J80" i="18"/>
  <c r="D403" i="20"/>
  <c r="L141" i="21"/>
  <c r="L8" i="21" s="1"/>
  <c r="L8" i="7" s="1"/>
  <c r="D402" i="20"/>
  <c r="D387" i="20"/>
  <c r="D395" i="20"/>
  <c r="F156" i="8"/>
  <c r="I154" i="22"/>
  <c r="D142" i="21"/>
  <c r="D158" i="8"/>
  <c r="I157" i="8"/>
  <c r="F149" i="22"/>
  <c r="I156" i="8"/>
  <c r="Q32" i="18"/>
  <c r="G142" i="21"/>
  <c r="G26" i="21" s="1"/>
  <c r="G26" i="7" s="1"/>
  <c r="AH48" i="29"/>
  <c r="J72" i="18"/>
  <c r="F156" i="22"/>
  <c r="H146" i="21"/>
  <c r="H98" i="21" s="1"/>
  <c r="H103" i="21" s="1"/>
  <c r="D158" i="22"/>
  <c r="W37" i="18"/>
  <c r="K146" i="21"/>
  <c r="K98" i="21" s="1"/>
  <c r="K102" i="21" s="1"/>
  <c r="F158" i="8"/>
  <c r="I143" i="21"/>
  <c r="I44" i="21" s="1"/>
  <c r="I49" i="21" s="1"/>
  <c r="AU381" i="20"/>
  <c r="AU370" i="20" s="1"/>
  <c r="L142" i="21"/>
  <c r="L26" i="21" s="1"/>
  <c r="L26" i="7" s="1"/>
  <c r="E15" i="3"/>
  <c r="I141" i="21"/>
  <c r="I8" i="21" s="1"/>
  <c r="I8" i="7" s="1"/>
  <c r="D394" i="20"/>
  <c r="AT379" i="20"/>
  <c r="AT368" i="20" s="1"/>
  <c r="D392" i="20"/>
  <c r="AV381" i="20"/>
  <c r="AV370" i="20" s="1"/>
  <c r="AT381" i="20"/>
  <c r="AT370" i="20" s="1"/>
  <c r="E158" i="8"/>
  <c r="Q30" i="18"/>
  <c r="J146" i="21"/>
  <c r="J98" i="21" s="1"/>
  <c r="J98" i="7" s="1"/>
  <c r="G149" i="8"/>
  <c r="F155" i="8"/>
  <c r="D401" i="20"/>
  <c r="D396" i="20"/>
  <c r="D400" i="20"/>
  <c r="D399" i="20"/>
  <c r="S37" i="18"/>
  <c r="D155" i="8"/>
  <c r="I156" i="22"/>
  <c r="K96" i="18"/>
  <c r="D149" i="8"/>
  <c r="D384" i="20"/>
  <c r="AV382" i="20"/>
  <c r="AV371" i="20" s="1"/>
  <c r="AV390" i="20"/>
  <c r="D393" i="20"/>
  <c r="AS381" i="20"/>
  <c r="AS370" i="20" s="1"/>
  <c r="D388" i="20"/>
  <c r="AR376" i="20"/>
  <c r="AR366" i="20"/>
  <c r="AR365" i="20" s="1"/>
  <c r="AQ128" i="20" a="1"/>
  <c r="AQ128" i="20" s="1"/>
  <c r="L75" i="18"/>
  <c r="J75" i="18" s="1"/>
  <c r="J37" i="18"/>
  <c r="J52" i="18" s="1"/>
  <c r="AU378" i="20"/>
  <c r="AU367" i="20" s="1"/>
  <c r="AU380" i="20"/>
  <c r="AU369" i="20" s="1"/>
  <c r="AT397" i="20"/>
  <c r="AV380" i="20"/>
  <c r="AV369" i="20" s="1"/>
  <c r="AO370" i="20"/>
  <c r="AR128" i="20" a="1"/>
  <c r="AR128" i="20" s="1"/>
  <c r="AP128" i="20" a="1"/>
  <c r="AP128" i="20" s="1"/>
  <c r="AS128" i="20" a="1"/>
  <c r="AS128" i="20" s="1"/>
  <c r="AU397" i="20"/>
  <c r="D386" i="20"/>
  <c r="E538" i="17"/>
  <c r="F538" i="17" s="1"/>
  <c r="G538" i="17" s="1"/>
  <c r="H538" i="17" s="1"/>
  <c r="I538" i="17" s="1"/>
  <c r="J538" i="17" s="1"/>
  <c r="K538" i="17" s="1"/>
  <c r="L538" i="17" s="1"/>
  <c r="M538" i="17" s="1"/>
  <c r="N538" i="17" s="1"/>
  <c r="O538" i="17" s="1"/>
  <c r="P538" i="17" s="1"/>
  <c r="Q538" i="17" s="1"/>
  <c r="R538" i="17" s="1"/>
  <c r="S538" i="17" s="1"/>
  <c r="T538" i="17" s="1"/>
  <c r="U538" i="17" s="1"/>
  <c r="V538" i="17" s="1"/>
  <c r="W538" i="17" s="1"/>
  <c r="X538" i="17" s="1"/>
  <c r="Y538" i="17" s="1"/>
  <c r="Z538" i="17" s="1"/>
  <c r="AA538" i="17" s="1"/>
  <c r="AB538" i="17" s="1"/>
  <c r="AC538" i="17" s="1"/>
  <c r="AD538" i="17" s="1"/>
  <c r="AE538" i="17" s="1"/>
  <c r="AF538" i="17" s="1"/>
  <c r="AG538" i="17" s="1"/>
  <c r="AH538" i="17" s="1"/>
  <c r="AI538" i="17" s="1"/>
  <c r="AJ538" i="17" s="1"/>
  <c r="AK538" i="17" s="1"/>
  <c r="AL538" i="17" s="1"/>
  <c r="AM538" i="17" s="1"/>
  <c r="AN538" i="17" s="1"/>
  <c r="AO538" i="17" s="1"/>
  <c r="AP538" i="17" s="1"/>
  <c r="AQ538" i="17" s="1"/>
  <c r="AR538" i="17" s="1"/>
  <c r="AS538" i="17" s="1"/>
  <c r="AT538" i="17" s="1"/>
  <c r="E539" i="17"/>
  <c r="F539" i="17" s="1"/>
  <c r="G539" i="17" s="1"/>
  <c r="H539" i="17" s="1"/>
  <c r="I539" i="17" s="1"/>
  <c r="J539" i="17" s="1"/>
  <c r="K539" i="17" s="1"/>
  <c r="L539" i="17" s="1"/>
  <c r="M539" i="17" s="1"/>
  <c r="N539" i="17" s="1"/>
  <c r="O539" i="17" s="1"/>
  <c r="P539" i="17" s="1"/>
  <c r="Q539" i="17" s="1"/>
  <c r="R539" i="17" s="1"/>
  <c r="S539" i="17" s="1"/>
  <c r="T539" i="17" s="1"/>
  <c r="U539" i="17" s="1"/>
  <c r="V539" i="17" s="1"/>
  <c r="W539" i="17" s="1"/>
  <c r="X539" i="17" s="1"/>
  <c r="Y539" i="17" s="1"/>
  <c r="Z539" i="17" s="1"/>
  <c r="AA539" i="17" s="1"/>
  <c r="AB539" i="17" s="1"/>
  <c r="AC539" i="17" s="1"/>
  <c r="AD539" i="17" s="1"/>
  <c r="AE539" i="17" s="1"/>
  <c r="AF539" i="17" s="1"/>
  <c r="AG539" i="17" s="1"/>
  <c r="AH539" i="17" s="1"/>
  <c r="AI539" i="17" s="1"/>
  <c r="AJ539" i="17" s="1"/>
  <c r="AK539" i="17" s="1"/>
  <c r="AL539" i="17" s="1"/>
  <c r="AM539" i="17" s="1"/>
  <c r="AN539" i="17" s="1"/>
  <c r="AO539" i="17" s="1"/>
  <c r="AP539" i="17" s="1"/>
  <c r="AQ539" i="17" s="1"/>
  <c r="AR539" i="17" s="1"/>
  <c r="AS539" i="17" s="1"/>
  <c r="AT539" i="17" s="1"/>
  <c r="AU539" i="17" s="1"/>
  <c r="E540" i="17"/>
  <c r="F540" i="17" s="1"/>
  <c r="G540" i="17" s="1"/>
  <c r="H540" i="17" s="1"/>
  <c r="I540" i="17" s="1"/>
  <c r="J540" i="17" s="1"/>
  <c r="K540" i="17" s="1"/>
  <c r="L540" i="17" s="1"/>
  <c r="M540" i="17" s="1"/>
  <c r="N540" i="17" s="1"/>
  <c r="O540" i="17" s="1"/>
  <c r="P540" i="17" s="1"/>
  <c r="Q540" i="17" s="1"/>
  <c r="R540" i="17" s="1"/>
  <c r="S540" i="17" s="1"/>
  <c r="T540" i="17" s="1"/>
  <c r="U540" i="17" s="1"/>
  <c r="V540" i="17" s="1"/>
  <c r="W540" i="17" s="1"/>
  <c r="X540" i="17" s="1"/>
  <c r="Y540" i="17" s="1"/>
  <c r="Z540" i="17" s="1"/>
  <c r="AA540" i="17" s="1"/>
  <c r="AB540" i="17" s="1"/>
  <c r="AC540" i="17" s="1"/>
  <c r="AD540" i="17" s="1"/>
  <c r="AE540" i="17" s="1"/>
  <c r="AF540" i="17" s="1"/>
  <c r="AG540" i="17" s="1"/>
  <c r="AH540" i="17" s="1"/>
  <c r="AI540" i="17" s="1"/>
  <c r="AJ540" i="17" s="1"/>
  <c r="AK540" i="17" s="1"/>
  <c r="AL540" i="17" s="1"/>
  <c r="AM540" i="17" s="1"/>
  <c r="AN540" i="17" s="1"/>
  <c r="AO540" i="17" s="1"/>
  <c r="AP540" i="17" s="1"/>
  <c r="AQ540" i="17" s="1"/>
  <c r="AR540" i="17" s="1"/>
  <c r="AS540" i="17" s="1"/>
  <c r="AT540" i="17" s="1"/>
  <c r="AU540" i="17" s="1"/>
  <c r="AV540" i="17" s="1"/>
  <c r="E537" i="17"/>
  <c r="F537" i="17" s="1"/>
  <c r="G537" i="17" s="1"/>
  <c r="H537" i="17" s="1"/>
  <c r="I537" i="17" s="1"/>
  <c r="J537" i="17" s="1"/>
  <c r="K537" i="17" s="1"/>
  <c r="L537" i="17" s="1"/>
  <c r="M537" i="17" s="1"/>
  <c r="N537" i="17" s="1"/>
  <c r="O537" i="17" s="1"/>
  <c r="P537" i="17" s="1"/>
  <c r="Q537" i="17" s="1"/>
  <c r="R537" i="17" s="1"/>
  <c r="S537" i="17" s="1"/>
  <c r="T537" i="17" s="1"/>
  <c r="U537" i="17" s="1"/>
  <c r="V537" i="17" s="1"/>
  <c r="W537" i="17" s="1"/>
  <c r="X537" i="17" s="1"/>
  <c r="Y537" i="17" s="1"/>
  <c r="Z537" i="17" s="1"/>
  <c r="AA537" i="17" s="1"/>
  <c r="AB537" i="17" s="1"/>
  <c r="AC537" i="17" s="1"/>
  <c r="AD537" i="17" s="1"/>
  <c r="AE537" i="17" s="1"/>
  <c r="AF537" i="17" s="1"/>
  <c r="AG537" i="17" s="1"/>
  <c r="AH537" i="17" s="1"/>
  <c r="AI537" i="17" s="1"/>
  <c r="AJ537" i="17" s="1"/>
  <c r="AK537" i="17" s="1"/>
  <c r="AL537" i="17" s="1"/>
  <c r="AM537" i="17" s="1"/>
  <c r="AN537" i="17" s="1"/>
  <c r="AO537" i="17" s="1"/>
  <c r="AP537" i="17" s="1"/>
  <c r="AQ537" i="17" s="1"/>
  <c r="AR537" i="17" s="1"/>
  <c r="AS537" i="17" s="1"/>
  <c r="AQ376" i="20"/>
  <c r="AQ366" i="20"/>
  <c r="AQ365" i="20" s="1"/>
  <c r="I149" i="22"/>
  <c r="E149" i="8"/>
  <c r="B170" i="11"/>
  <c r="AS377" i="20"/>
  <c r="AS383" i="20"/>
  <c r="AS397" i="20"/>
  <c r="D398" i="20"/>
  <c r="AT383" i="20"/>
  <c r="AT377" i="20"/>
  <c r="P52" i="18"/>
  <c r="D156" i="22"/>
  <c r="Q33" i="18"/>
  <c r="L52" i="18"/>
  <c r="T37" i="18"/>
  <c r="E153" i="8"/>
  <c r="AU390" i="20"/>
  <c r="AU382" i="20"/>
  <c r="AU371" i="20" s="1"/>
  <c r="AS382" i="20"/>
  <c r="AS371" i="20" s="1"/>
  <c r="AS390" i="20"/>
  <c r="D391" i="20"/>
  <c r="AS380" i="20"/>
  <c r="AS369" i="20" s="1"/>
  <c r="AT382" i="20"/>
  <c r="AT371" i="20" s="1"/>
  <c r="AV379" i="20"/>
  <c r="AV368" i="20" s="1"/>
  <c r="AT378" i="20"/>
  <c r="AT367" i="20" s="1"/>
  <c r="AS378" i="20"/>
  <c r="D389" i="20"/>
  <c r="AO366" i="20"/>
  <c r="AO376" i="20"/>
  <c r="D385" i="20"/>
  <c r="AQ137" i="20" a="1"/>
  <c r="AQ137" i="20" s="1"/>
  <c r="AS137" i="20" a="1"/>
  <c r="AS137" i="20" s="1"/>
  <c r="AS138" i="20" a="1"/>
  <c r="AS138" i="20" s="1"/>
  <c r="AU377" i="20"/>
  <c r="AU383" i="20"/>
  <c r="AV397" i="20"/>
  <c r="AO371" i="20"/>
  <c r="AT347" i="20"/>
  <c r="AT348" i="20" s="1"/>
  <c r="AT215" i="20"/>
  <c r="AT216" i="20" s="1"/>
  <c r="AU289" i="20"/>
  <c r="AU290" i="20" s="1"/>
  <c r="AU253" i="20"/>
  <c r="AU254" i="20" s="1"/>
  <c r="AS269" i="20"/>
  <c r="AS270" i="20" s="1"/>
  <c r="AS265" i="20"/>
  <c r="AS266" i="20" s="1"/>
  <c r="AS215" i="20"/>
  <c r="AS216" i="20" s="1"/>
  <c r="AU251" i="20"/>
  <c r="AU252" i="20" s="1"/>
  <c r="AV327" i="20"/>
  <c r="AV328" i="20" s="1"/>
  <c r="AT251" i="20"/>
  <c r="AT252" i="20" s="1"/>
  <c r="AT263" i="20"/>
  <c r="AT264" i="20" s="1"/>
  <c r="AU245" i="20"/>
  <c r="AU246" i="20" s="1"/>
  <c r="AV209" i="20"/>
  <c r="AV210" i="20" s="1"/>
  <c r="AV217" i="20"/>
  <c r="AV218" i="20" s="1"/>
  <c r="AV319" i="20"/>
  <c r="AV320" i="20" s="1"/>
  <c r="AT259" i="20"/>
  <c r="AT260" i="20" s="1"/>
  <c r="AS309" i="20"/>
  <c r="AS310" i="20" s="1"/>
  <c r="AV345" i="20"/>
  <c r="AV346" i="20" s="1"/>
  <c r="AT261" i="20"/>
  <c r="AT262" i="20" s="1"/>
  <c r="AU273" i="20"/>
  <c r="AU274" i="20" s="1"/>
  <c r="AS235" i="20"/>
  <c r="AS236" i="20" s="1"/>
  <c r="AT275" i="20"/>
  <c r="AT276" i="20" s="1"/>
  <c r="AS237" i="20"/>
  <c r="AS238" i="20" s="1"/>
  <c r="AU315" i="20"/>
  <c r="AU316" i="20" s="1"/>
  <c r="AU259" i="20"/>
  <c r="AU260" i="20" s="1"/>
  <c r="AV309" i="20"/>
  <c r="AV310" i="20" s="1"/>
  <c r="AS261" i="20"/>
  <c r="AS262" i="20" s="1"/>
  <c r="AU239" i="20"/>
  <c r="AU240" i="20" s="1"/>
  <c r="AT337" i="20"/>
  <c r="AT338" i="20" s="1"/>
  <c r="AV277" i="20"/>
  <c r="AV278" i="20" s="1"/>
  <c r="AV257" i="20"/>
  <c r="AV258" i="20" s="1"/>
  <c r="AV333" i="20"/>
  <c r="AV334" i="20" s="1"/>
  <c r="AS4" i="20"/>
  <c r="AU267" i="20"/>
  <c r="AU268" i="20" s="1"/>
  <c r="AV285" i="20"/>
  <c r="AV286" i="20" s="1"/>
  <c r="AU297" i="20"/>
  <c r="AU298" i="20" s="1"/>
  <c r="AV269" i="20"/>
  <c r="AV270" i="20" s="1"/>
  <c r="AT247" i="20"/>
  <c r="AT248" i="20" s="1"/>
  <c r="AS299" i="20"/>
  <c r="AS300" i="20" s="1"/>
  <c r="AS223" i="20"/>
  <c r="AS224" i="20" s="1"/>
  <c r="AV265" i="20"/>
  <c r="AV266" i="20" s="1"/>
  <c r="AT303" i="20"/>
  <c r="AT304" i="20" s="1"/>
  <c r="AU225" i="20"/>
  <c r="AU226" i="20" s="1"/>
  <c r="AT281" i="20"/>
  <c r="AT282" i="20" s="1"/>
  <c r="AT267" i="20"/>
  <c r="AT268" i="20" s="1"/>
  <c r="AU255" i="20"/>
  <c r="AU256" i="20" s="1"/>
  <c r="AT219" i="20"/>
  <c r="AT220" i="20" s="1"/>
  <c r="AU207" i="20"/>
  <c r="AU208" i="20" s="1"/>
  <c r="AU249" i="20"/>
  <c r="AU250" i="20" s="1"/>
  <c r="AV337" i="20"/>
  <c r="AV338" i="20" s="1"/>
  <c r="AT269" i="20"/>
  <c r="AT270" i="20" s="1"/>
  <c r="AT293" i="20"/>
  <c r="AT294" i="20" s="1"/>
  <c r="AV289" i="20"/>
  <c r="AV290" i="20" s="1"/>
  <c r="AT271" i="20"/>
  <c r="AT272" i="20" s="1"/>
  <c r="AS249" i="20"/>
  <c r="AS250" i="20" s="1"/>
  <c r="AS307" i="20"/>
  <c r="AS308" i="20" s="1"/>
  <c r="AU301" i="20"/>
  <c r="AU302" i="20" s="1"/>
  <c r="AS327" i="20"/>
  <c r="AS328" i="20" s="1"/>
  <c r="AS221" i="20"/>
  <c r="AS222" i="20" s="1"/>
  <c r="AS225" i="20"/>
  <c r="AS226" i="20" s="1"/>
  <c r="AT137" i="20" s="1" a="1"/>
  <c r="AT137" i="20" s="1"/>
  <c r="AT333" i="20"/>
  <c r="AT334" i="20" s="1"/>
  <c r="AU293" i="20"/>
  <c r="AU294" i="20" s="1"/>
  <c r="AV313" i="20"/>
  <c r="AV314" i="20" s="1"/>
  <c r="AS229" i="20"/>
  <c r="AS230" i="20" s="1"/>
  <c r="AV243" i="20"/>
  <c r="AV244" i="20" s="1"/>
  <c r="AS329" i="20"/>
  <c r="AS330" i="20" s="1"/>
  <c r="AS341" i="20"/>
  <c r="AS342" i="20" s="1"/>
  <c r="AS291" i="20"/>
  <c r="AS292" i="20" s="1"/>
  <c r="AS283" i="20"/>
  <c r="AS284" i="20" s="1"/>
  <c r="AV341" i="20"/>
  <c r="AV342" i="20" s="1"/>
  <c r="AS213" i="20"/>
  <c r="AS214" i="20" s="1"/>
  <c r="AS243" i="20"/>
  <c r="AS244" i="20" s="1"/>
  <c r="AS323" i="20"/>
  <c r="AS324" i="20" s="1"/>
  <c r="AT241" i="20"/>
  <c r="AT242" i="20" s="1"/>
  <c r="AV221" i="20"/>
  <c r="AV222" i="20" s="1"/>
  <c r="AV247" i="20"/>
  <c r="AV248" i="20" s="1"/>
  <c r="AT257" i="20"/>
  <c r="AT258" i="20" s="1"/>
  <c r="AU211" i="20"/>
  <c r="AU212" i="20" s="1"/>
  <c r="AT321" i="20"/>
  <c r="AT322" i="20" s="1"/>
  <c r="AU247" i="20"/>
  <c r="AU248" i="20" s="1"/>
  <c r="AV267" i="20"/>
  <c r="AV268" i="20" s="1"/>
  <c r="AS295" i="20"/>
  <c r="AS296" i="20" s="1"/>
  <c r="AU303" i="20"/>
  <c r="AU304" i="20" s="1"/>
  <c r="AS227" i="20"/>
  <c r="AS228" i="20" s="1"/>
  <c r="AT138" i="20" s="1" a="1"/>
  <c r="AT138" i="20" s="1"/>
  <c r="AV215" i="20"/>
  <c r="AV216" i="20" s="1"/>
  <c r="AU233" i="20"/>
  <c r="AU234" i="20" s="1"/>
  <c r="AS315" i="20"/>
  <c r="AS316" i="20" s="1"/>
  <c r="AV237" i="20"/>
  <c r="AV238" i="20" s="1"/>
  <c r="AU333" i="20"/>
  <c r="AU334" i="20" s="1"/>
  <c r="AU275" i="20"/>
  <c r="AU276" i="20" s="1"/>
  <c r="AV295" i="20"/>
  <c r="AV296" i="20" s="1"/>
  <c r="AT205" i="20"/>
  <c r="AT206" i="20" s="1"/>
  <c r="AS293" i="20"/>
  <c r="AS294" i="20" s="1"/>
  <c r="AS241" i="20"/>
  <c r="AS242" i="20" s="1"/>
  <c r="AU287" i="20"/>
  <c r="AU288" i="20" s="1"/>
  <c r="AT345" i="20"/>
  <c r="AT346" i="20" s="1"/>
  <c r="AU271" i="20"/>
  <c r="AU272" i="20" s="1"/>
  <c r="AT209" i="20"/>
  <c r="AT210" i="20" s="1"/>
  <c r="AT265" i="20"/>
  <c r="AT266" i="20" s="1"/>
  <c r="AU345" i="20"/>
  <c r="AU346" i="20" s="1"/>
  <c r="AU257" i="20"/>
  <c r="AU258" i="20" s="1"/>
  <c r="AS233" i="20"/>
  <c r="AS234" i="20" s="1"/>
  <c r="AV251" i="20"/>
  <c r="AV252" i="20" s="1"/>
  <c r="AT325" i="20"/>
  <c r="AT326" i="20" s="1"/>
  <c r="AT285" i="20"/>
  <c r="AT286" i="20" s="1"/>
  <c r="AS325" i="20"/>
  <c r="AS326" i="20" s="1"/>
  <c r="AU343" i="20"/>
  <c r="AU344" i="20" s="1"/>
  <c r="AS251" i="20"/>
  <c r="AS252" i="20" s="1"/>
  <c r="AU241" i="20"/>
  <c r="AU242" i="20" s="1"/>
  <c r="AT289" i="20"/>
  <c r="AT290" i="20" s="1"/>
  <c r="AV297" i="20"/>
  <c r="AV298" i="20" s="1"/>
  <c r="AT279" i="20"/>
  <c r="AT280" i="20" s="1"/>
  <c r="AV239" i="20"/>
  <c r="AV240" i="20" s="1"/>
  <c r="AV249" i="20"/>
  <c r="AV250" i="20" s="1"/>
  <c r="AS253" i="20"/>
  <c r="AS254" i="20" s="1"/>
  <c r="AS301" i="20"/>
  <c r="AS302" i="20" s="1"/>
  <c r="AV263" i="20"/>
  <c r="AV264" i="20" s="1"/>
  <c r="AT299" i="20"/>
  <c r="AT300" i="20" s="1"/>
  <c r="AV207" i="20"/>
  <c r="AV208" i="20" s="1"/>
  <c r="AT343" i="20"/>
  <c r="AT344" i="20" s="1"/>
  <c r="AU313" i="20"/>
  <c r="AU314" i="20" s="1"/>
  <c r="AV343" i="20"/>
  <c r="AV344" i="20" s="1"/>
  <c r="AV261" i="20"/>
  <c r="AV262" i="20" s="1"/>
  <c r="AU277" i="20"/>
  <c r="AU278" i="20" s="1"/>
  <c r="AT307" i="20"/>
  <c r="AT308" i="20" s="1"/>
  <c r="AU235" i="20"/>
  <c r="AU236" i="20" s="1"/>
  <c r="AS333" i="20"/>
  <c r="AS334" i="20" s="1"/>
  <c r="AU217" i="20"/>
  <c r="AU218" i="20" s="1"/>
  <c r="AS273" i="20"/>
  <c r="AS274" i="20" s="1"/>
  <c r="AV273" i="20"/>
  <c r="AV274" i="20" s="1"/>
  <c r="AV293" i="20"/>
  <c r="AV294" i="20" s="1"/>
  <c r="AV271" i="20"/>
  <c r="AV272" i="20" s="1"/>
  <c r="AU205" i="20"/>
  <c r="AU206" i="20" s="1"/>
  <c r="AT223" i="20"/>
  <c r="AT224" i="20" s="1"/>
  <c r="AS321" i="20"/>
  <c r="AS322" i="20" s="1"/>
  <c r="AU305" i="20"/>
  <c r="AU306" i="20" s="1"/>
  <c r="AV213" i="20"/>
  <c r="AV214" i="20" s="1"/>
  <c r="AU335" i="20"/>
  <c r="AU336" i="20" s="1"/>
  <c r="AV323" i="20"/>
  <c r="AV324" i="20" s="1"/>
  <c r="AV335" i="20"/>
  <c r="AV336" i="20" s="1"/>
  <c r="AT323" i="20"/>
  <c r="AT324" i="20" s="1"/>
  <c r="AT291" i="20"/>
  <c r="AT292" i="20" s="1"/>
  <c r="AU283" i="20"/>
  <c r="AU284" i="20" s="1"/>
  <c r="AV329" i="20"/>
  <c r="AV330" i="20" s="1"/>
  <c r="AT341" i="20"/>
  <c r="AT342" i="20" s="1"/>
  <c r="AU319" i="20"/>
  <c r="AU320" i="20" s="1"/>
  <c r="AV339" i="20"/>
  <c r="AV340" i="20" s="1"/>
  <c r="AS297" i="20"/>
  <c r="AS298" i="20" s="1"/>
  <c r="AV279" i="20"/>
  <c r="AV280" i="20" s="1"/>
  <c r="AV315" i="20"/>
  <c r="AV316" i="20" s="1"/>
  <c r="AS255" i="20"/>
  <c r="AS256" i="20" s="1"/>
  <c r="AS317" i="20"/>
  <c r="AS318" i="20" s="1"/>
  <c r="AU309" i="20"/>
  <c r="AU310" i="20" s="1"/>
  <c r="AV307" i="20"/>
  <c r="AV308" i="20" s="1"/>
  <c r="AV281" i="20"/>
  <c r="AV282" i="20" s="1"/>
  <c r="AS211" i="20"/>
  <c r="AS212" i="20" s="1"/>
  <c r="AU261" i="20"/>
  <c r="AU262" i="20" s="1"/>
  <c r="AT287" i="20"/>
  <c r="AT288" i="20" s="1"/>
  <c r="AS289" i="20"/>
  <c r="AS290" i="20" s="1"/>
  <c r="AU311" i="20"/>
  <c r="AU312" i="20" s="1"/>
  <c r="AS347" i="20"/>
  <c r="AS348" i="20" s="1"/>
  <c r="AU237" i="20"/>
  <c r="AU238" i="20" s="1"/>
  <c r="AS219" i="20"/>
  <c r="AS220" i="20" s="1"/>
  <c r="AT237" i="20"/>
  <c r="AT238" i="20" s="1"/>
  <c r="AV223" i="20"/>
  <c r="AV224" i="20" s="1"/>
  <c r="AT331" i="20"/>
  <c r="AT332" i="20" s="1"/>
  <c r="AS319" i="20"/>
  <c r="AS320" i="20" s="1"/>
  <c r="AT253" i="20"/>
  <c r="AT254" i="20" s="1"/>
  <c r="AU221" i="20"/>
  <c r="AU222" i="20" s="1"/>
  <c r="AS263" i="20"/>
  <c r="AS264" i="20" s="1"/>
  <c r="AU227" i="20"/>
  <c r="AU228" i="20" s="1"/>
  <c r="AV233" i="20"/>
  <c r="AV234" i="20" s="1"/>
  <c r="AU327" i="20"/>
  <c r="AU328" i="20" s="1"/>
  <c r="AT339" i="20"/>
  <c r="AT340" i="20" s="1"/>
  <c r="AT245" i="20"/>
  <c r="AT246" i="20" s="1"/>
  <c r="AS259" i="20"/>
  <c r="AS260" i="20" s="1"/>
  <c r="AV303" i="20"/>
  <c r="AV304" i="20" s="1"/>
  <c r="AS231" i="20"/>
  <c r="AS232" i="20" s="1"/>
  <c r="AT211" i="20"/>
  <c r="AT212" i="20" s="1"/>
  <c r="AV205" i="20"/>
  <c r="AV206" i="20" s="1"/>
  <c r="AT301" i="20"/>
  <c r="AT302" i="20" s="1"/>
  <c r="AV245" i="20"/>
  <c r="AV246" i="20" s="1"/>
  <c r="AU269" i="20"/>
  <c r="AU270" i="20" s="1"/>
  <c r="AT277" i="20"/>
  <c r="AT278" i="20" s="1"/>
  <c r="AU213" i="20"/>
  <c r="AU214" i="20" s="1"/>
  <c r="AS335" i="20"/>
  <c r="AS336" i="20" s="1"/>
  <c r="AS305" i="20"/>
  <c r="AS306" i="20" s="1"/>
  <c r="AU341" i="20"/>
  <c r="AU342" i="20" s="1"/>
  <c r="AV229" i="20"/>
  <c r="AV230" i="20" s="1"/>
  <c r="AT329" i="20"/>
  <c r="AT330" i="20" s="1"/>
  <c r="AU291" i="20"/>
  <c r="AU292" i="20" s="1"/>
  <c r="AU307" i="20"/>
  <c r="AU308" i="20" s="1"/>
  <c r="AU285" i="20"/>
  <c r="AU286" i="20" s="1"/>
  <c r="AS205" i="20"/>
  <c r="AS206" i="20" s="1"/>
  <c r="AV325" i="20"/>
  <c r="AV326" i="20" s="1"/>
  <c r="AV253" i="20"/>
  <c r="AV254" i="20" s="1"/>
  <c r="AV219" i="20"/>
  <c r="AV220" i="20" s="1"/>
  <c r="AU299" i="20"/>
  <c r="AU300" i="20" s="1"/>
  <c r="AV231" i="20"/>
  <c r="AV232" i="20" s="1"/>
  <c r="AS275" i="20"/>
  <c r="AS276" i="20" s="1"/>
  <c r="AV275" i="20"/>
  <c r="AV276" i="20" s="1"/>
  <c r="AS239" i="20"/>
  <c r="AS240" i="20" s="1"/>
  <c r="AV301" i="20"/>
  <c r="AV302" i="20" s="1"/>
  <c r="AS217" i="20"/>
  <c r="AS218" i="20" s="1"/>
  <c r="AT315" i="20"/>
  <c r="AT316" i="20" s="1"/>
  <c r="AV255" i="20"/>
  <c r="AV256" i="20" s="1"/>
  <c r="AU219" i="20"/>
  <c r="AU220" i="20" s="1"/>
  <c r="AS279" i="20"/>
  <c r="AS280" i="20" s="1"/>
  <c r="AS245" i="20"/>
  <c r="AS246" i="20" s="1"/>
  <c r="AT297" i="20"/>
  <c r="AT298" i="20" s="1"/>
  <c r="AT311" i="20"/>
  <c r="AT312" i="20" s="1"/>
  <c r="AS311" i="20"/>
  <c r="AS312" i="20" s="1"/>
  <c r="AS303" i="20"/>
  <c r="AS304" i="20" s="1"/>
  <c r="AU347" i="20"/>
  <c r="AU348" i="20" s="1"/>
  <c r="AV347" i="20"/>
  <c r="AV348" i="20" s="1"/>
  <c r="AS209" i="20"/>
  <c r="AS210" i="20" s="1"/>
  <c r="AV317" i="20"/>
  <c r="AV318" i="20" s="1"/>
  <c r="AS313" i="20"/>
  <c r="AS314" i="20" s="1"/>
  <c r="AV241" i="20"/>
  <c r="AV242" i="20" s="1"/>
  <c r="AU209" i="20"/>
  <c r="AU210" i="20" s="1"/>
  <c r="AT319" i="20"/>
  <c r="AT320" i="20" s="1"/>
  <c r="AT249" i="20"/>
  <c r="AT250" i="20" s="1"/>
  <c r="AT235" i="20"/>
  <c r="AT236" i="20" s="1"/>
  <c r="AV311" i="20"/>
  <c r="AV312" i="20" s="1"/>
  <c r="AT327" i="20"/>
  <c r="AT328" i="20" s="1"/>
  <c r="AS331" i="20"/>
  <c r="AS332" i="20" s="1"/>
  <c r="AS285" i="20"/>
  <c r="AS286" i="20" s="1"/>
  <c r="AT255" i="20"/>
  <c r="AT256" i="20" s="1"/>
  <c r="AT283" i="20"/>
  <c r="AT284" i="20" s="1"/>
  <c r="AT229" i="20"/>
  <c r="AT230" i="20" s="1"/>
  <c r="AU229" i="20"/>
  <c r="AU230" i="20" s="1"/>
  <c r="AV283" i="20"/>
  <c r="AV284" i="20" s="1"/>
  <c r="AV291" i="20"/>
  <c r="AV292" i="20" s="1"/>
  <c r="AS277" i="20"/>
  <c r="AS278" i="20" s="1"/>
  <c r="AT239" i="20"/>
  <c r="AT240" i="20" s="1"/>
  <c r="AU295" i="20"/>
  <c r="AU296" i="20" s="1"/>
  <c r="AT309" i="20"/>
  <c r="AT310" i="20" s="1"/>
  <c r="AT295" i="20"/>
  <c r="AT296" i="20" s="1"/>
  <c r="AU325" i="20"/>
  <c r="AU326" i="20" s="1"/>
  <c r="AU223" i="20"/>
  <c r="AU224" i="20" s="1"/>
  <c r="AV225" i="20"/>
  <c r="AV226" i="20" s="1"/>
  <c r="AT233" i="20"/>
  <c r="AT234" i="20" s="1"/>
  <c r="AU339" i="20"/>
  <c r="AU340" i="20" s="1"/>
  <c r="AU317" i="20"/>
  <c r="AU318" i="20" s="1"/>
  <c r="AV331" i="20"/>
  <c r="AV332" i="20" s="1"/>
  <c r="AU281" i="20"/>
  <c r="AU282" i="20" s="1"/>
  <c r="AV211" i="20"/>
  <c r="AV212" i="20" s="1"/>
  <c r="AS343" i="20"/>
  <c r="AS344" i="20" s="1"/>
  <c r="AS281" i="20"/>
  <c r="AS282" i="20" s="1"/>
  <c r="AT227" i="20"/>
  <c r="AT228" i="20" s="1"/>
  <c r="AU337" i="20"/>
  <c r="AU338" i="20" s="1"/>
  <c r="AU331" i="20"/>
  <c r="AU332" i="20" s="1"/>
  <c r="AU279" i="20"/>
  <c r="AU280" i="20" s="1"/>
  <c r="AS271" i="20"/>
  <c r="AS272" i="20" s="1"/>
  <c r="AT221" i="20"/>
  <c r="AT222" i="20" s="1"/>
  <c r="AV235" i="20"/>
  <c r="AV236" i="20" s="1"/>
  <c r="AT305" i="20"/>
  <c r="AT306" i="20" s="1"/>
  <c r="AU323" i="20"/>
  <c r="AU324" i="20" s="1"/>
  <c r="AT213" i="20"/>
  <c r="AT214" i="20" s="1"/>
  <c r="AU231" i="20"/>
  <c r="AU232" i="20" s="1"/>
  <c r="AT207" i="20"/>
  <c r="AT208" i="20" s="1"/>
  <c r="AT217" i="20"/>
  <c r="AT218" i="20" s="1"/>
  <c r="AS267" i="20"/>
  <c r="AS268" i="20" s="1"/>
  <c r="AS247" i="20"/>
  <c r="AS248" i="20" s="1"/>
  <c r="AV259" i="20"/>
  <c r="AV260" i="20" s="1"/>
  <c r="AV227" i="20"/>
  <c r="AV228" i="20" s="1"/>
  <c r="AV299" i="20"/>
  <c r="AV300" i="20" s="1"/>
  <c r="AS345" i="20"/>
  <c r="AS346" i="20" s="1"/>
  <c r="AU265" i="20"/>
  <c r="AU266" i="20" s="1"/>
  <c r="AV321" i="20"/>
  <c r="AV322" i="20" s="1"/>
  <c r="AU321" i="20"/>
  <c r="AU322" i="20" s="1"/>
  <c r="AS257" i="20"/>
  <c r="AS258" i="20" s="1"/>
  <c r="AV287" i="20"/>
  <c r="AV288" i="20" s="1"/>
  <c r="AT273" i="20"/>
  <c r="AT274" i="20" s="1"/>
  <c r="AS339" i="20"/>
  <c r="AS340" i="20" s="1"/>
  <c r="AS287" i="20"/>
  <c r="AS288" i="20" s="1"/>
  <c r="AT231" i="20"/>
  <c r="AT232" i="20" s="1"/>
  <c r="AT225" i="20"/>
  <c r="AT226" i="20" s="1"/>
  <c r="AS337" i="20"/>
  <c r="AS338" i="20" s="1"/>
  <c r="AT317" i="20"/>
  <c r="AT318" i="20" s="1"/>
  <c r="AU263" i="20"/>
  <c r="AU264" i="20" s="1"/>
  <c r="AU215" i="20"/>
  <c r="AU216" i="20" s="1"/>
  <c r="AT313" i="20"/>
  <c r="AT314" i="20" s="1"/>
  <c r="AS207" i="20"/>
  <c r="AS208" i="20" s="1"/>
  <c r="AU329" i="20"/>
  <c r="AU330" i="20" s="1"/>
  <c r="AT243" i="20"/>
  <c r="AT244" i="20" s="1"/>
  <c r="AU243" i="20"/>
  <c r="AU244" i="20" s="1"/>
  <c r="AV305" i="20"/>
  <c r="AV306" i="20" s="1"/>
  <c r="AT335" i="20"/>
  <c r="AT336" i="20" s="1"/>
  <c r="AO369" i="20"/>
  <c r="AU379" i="20"/>
  <c r="AU368" i="20" s="1"/>
  <c r="AT390" i="20"/>
  <c r="AV377" i="20"/>
  <c r="AV383" i="20"/>
  <c r="AV378" i="20"/>
  <c r="AV367" i="20" s="1"/>
  <c r="AS379" i="20"/>
  <c r="AS368" i="20" s="1"/>
  <c r="AT380" i="20"/>
  <c r="AT369" i="20" s="1"/>
  <c r="AO368" i="20"/>
  <c r="AP138" i="20" a="1"/>
  <c r="AP138" i="20" s="1"/>
  <c r="AP376" i="20"/>
  <c r="AP366" i="20"/>
  <c r="AP365" i="20" s="1"/>
  <c r="AR127" i="20" a="1"/>
  <c r="AR127" i="20" s="1"/>
  <c r="AQ127" i="20" a="1"/>
  <c r="AQ127" i="20" s="1"/>
  <c r="AW14" i="29"/>
  <c r="AW29" i="29" s="1"/>
  <c r="AW30" i="29" s="1"/>
  <c r="AX29" i="29"/>
  <c r="AX30" i="29" s="1"/>
  <c r="D20" i="29"/>
  <c r="C20" i="29" s="1"/>
  <c r="AS14" i="29"/>
  <c r="AS29" i="29" s="1"/>
  <c r="AS30" i="29" s="1"/>
  <c r="AT29" i="29"/>
  <c r="AT30" i="29" s="1"/>
  <c r="K82" i="18"/>
  <c r="R37" i="18"/>
  <c r="D156" i="8"/>
  <c r="B173" i="11"/>
  <c r="J141" i="21"/>
  <c r="J8" i="21" s="1"/>
  <c r="J8" i="7" s="1"/>
  <c r="M81" i="18"/>
  <c r="F96" i="18" s="1"/>
  <c r="F99" i="18" s="1"/>
  <c r="Q31" i="18"/>
  <c r="Q34" i="18"/>
  <c r="I29" i="34"/>
  <c r="I30" i="34" s="1"/>
  <c r="S52" i="34"/>
  <c r="R59" i="34"/>
  <c r="AS3" i="34"/>
  <c r="AO4" i="34"/>
  <c r="AP4" i="34" s="1"/>
  <c r="AQ4" i="34" s="1"/>
  <c r="AR4" i="34" s="1"/>
  <c r="AK14" i="29"/>
  <c r="AK29" i="29" s="1"/>
  <c r="AK30" i="29" s="1"/>
  <c r="AL29" i="29"/>
  <c r="AL30" i="29" s="1"/>
  <c r="AP166" i="11"/>
  <c r="AE166" i="11"/>
  <c r="L15" i="34"/>
  <c r="L13" i="34"/>
  <c r="L35" i="34"/>
  <c r="D13" i="20"/>
  <c r="M522" i="17"/>
  <c r="O55" i="34"/>
  <c r="N60" i="34"/>
  <c r="N58" i="34" s="1"/>
  <c r="N20" i="34" s="1"/>
  <c r="K16" i="34"/>
  <c r="E51" i="27"/>
  <c r="F50" i="27"/>
  <c r="D50" i="27" s="1"/>
  <c r="J19" i="34"/>
  <c r="J47" i="34"/>
  <c r="J17" i="34"/>
  <c r="J18" i="34"/>
  <c r="J49" i="34"/>
  <c r="J36" i="34"/>
  <c r="D245" i="22"/>
  <c r="BD3" i="13"/>
  <c r="BC3" i="13"/>
  <c r="BE3" i="13"/>
  <c r="BF3" i="13"/>
  <c r="G32" i="34"/>
  <c r="G28" i="34" s="1"/>
  <c r="G34" i="34" s="1"/>
  <c r="G37" i="34" s="1"/>
  <c r="AL166" i="11"/>
  <c r="N7" i="34"/>
  <c r="M6" i="34"/>
  <c r="M14" i="34"/>
  <c r="M24" i="34" s="1"/>
  <c r="Q47" i="13"/>
  <c r="Q54" i="13" s="1"/>
  <c r="Q53" i="13" s="1"/>
  <c r="C7" i="13"/>
  <c r="C48" i="29"/>
  <c r="Z166" i="11"/>
  <c r="AD166" i="11"/>
  <c r="C166" i="11"/>
  <c r="L166" i="11"/>
  <c r="P166" i="11"/>
  <c r="AM166" i="11"/>
  <c r="AR166" i="11"/>
  <c r="AH166" i="11"/>
  <c r="E197" i="19"/>
  <c r="P11" i="6" s="1"/>
  <c r="AB166" i="11"/>
  <c r="Q166" i="11"/>
  <c r="AQ166" i="11"/>
  <c r="R166" i="11"/>
  <c r="AO166" i="11"/>
  <c r="O166" i="11"/>
  <c r="V166" i="11"/>
  <c r="N166" i="11"/>
  <c r="E166" i="11"/>
  <c r="U166" i="11"/>
  <c r="AC166" i="11"/>
  <c r="E200" i="19"/>
  <c r="S11" i="6" s="1"/>
  <c r="F166" i="11"/>
  <c r="AK166" i="11"/>
  <c r="AS166" i="11"/>
  <c r="J166" i="11"/>
  <c r="X166" i="11"/>
  <c r="I166" i="11"/>
  <c r="AG166" i="11"/>
  <c r="M166" i="11"/>
  <c r="AT166" i="11"/>
  <c r="K166" i="11"/>
  <c r="G166" i="11"/>
  <c r="S95" i="9"/>
  <c r="E201" i="19"/>
  <c r="T11" i="6" s="1"/>
  <c r="AJ166" i="11"/>
  <c r="AN166" i="11"/>
  <c r="D166" i="11"/>
  <c r="S166" i="11"/>
  <c r="T166" i="11"/>
  <c r="AI166" i="11"/>
  <c r="AF166" i="11"/>
  <c r="Y166" i="11"/>
  <c r="W166" i="11"/>
  <c r="H166" i="11"/>
  <c r="AA166" i="11"/>
  <c r="E208" i="19"/>
  <c r="C208" i="19" s="1"/>
  <c r="E202" i="19"/>
  <c r="U11" i="6" s="1"/>
  <c r="C207" i="19"/>
  <c r="E224" i="19"/>
  <c r="Z11" i="6"/>
  <c r="L66" i="21"/>
  <c r="L67" i="21"/>
  <c r="L62" i="7"/>
  <c r="X9" i="6"/>
  <c r="H191" i="11"/>
  <c r="K191" i="11"/>
  <c r="U191" i="11"/>
  <c r="AI191" i="11"/>
  <c r="F191" i="11"/>
  <c r="Q191" i="11"/>
  <c r="AQ191" i="11"/>
  <c r="R191" i="11"/>
  <c r="P191" i="11"/>
  <c r="AE191" i="11"/>
  <c r="AH191" i="11"/>
  <c r="M191" i="11"/>
  <c r="AO191" i="11"/>
  <c r="AG191" i="11"/>
  <c r="X191" i="11"/>
  <c r="J191" i="11"/>
  <c r="N191" i="11"/>
  <c r="AA191" i="11"/>
  <c r="D191" i="11"/>
  <c r="AR191" i="11"/>
  <c r="AT191" i="11"/>
  <c r="AD191" i="11"/>
  <c r="C191" i="11"/>
  <c r="I191" i="11"/>
  <c r="AL191" i="11"/>
  <c r="O191" i="11"/>
  <c r="G191" i="11"/>
  <c r="W191" i="11"/>
  <c r="AC191" i="11"/>
  <c r="AS191" i="11"/>
  <c r="AB191" i="11"/>
  <c r="Y191" i="11"/>
  <c r="AF191" i="11"/>
  <c r="AK191" i="11"/>
  <c r="T191" i="11"/>
  <c r="S191" i="11"/>
  <c r="AN191" i="11"/>
  <c r="E191" i="11"/>
  <c r="Z191" i="11"/>
  <c r="AM191" i="11"/>
  <c r="L191" i="11"/>
  <c r="AJ191" i="11"/>
  <c r="AP191" i="11"/>
  <c r="V191" i="11"/>
  <c r="L98" i="7"/>
  <c r="L102" i="21"/>
  <c r="L103" i="21"/>
  <c r="AH188" i="11"/>
  <c r="AL188" i="11"/>
  <c r="Z188" i="11"/>
  <c r="Y188" i="11"/>
  <c r="J188" i="11"/>
  <c r="X188" i="11"/>
  <c r="AP188" i="11"/>
  <c r="F188" i="11"/>
  <c r="W188" i="11"/>
  <c r="S188" i="11"/>
  <c r="M188" i="11"/>
  <c r="AK188" i="11"/>
  <c r="AT188" i="11"/>
  <c r="AD188" i="11"/>
  <c r="N188" i="11"/>
  <c r="T188" i="11"/>
  <c r="AG188" i="11"/>
  <c r="O188" i="11"/>
  <c r="AS188" i="11"/>
  <c r="V188" i="11"/>
  <c r="AC188" i="11"/>
  <c r="AI188" i="11"/>
  <c r="P188" i="11"/>
  <c r="AR188" i="11"/>
  <c r="I188" i="11"/>
  <c r="AE188" i="11"/>
  <c r="AA188" i="11"/>
  <c r="K188" i="11"/>
  <c r="C188" i="11"/>
  <c r="Q188" i="11"/>
  <c r="AB188" i="11"/>
  <c r="L188" i="11"/>
  <c r="U188" i="11"/>
  <c r="H188" i="11"/>
  <c r="AJ188" i="11"/>
  <c r="R188" i="11"/>
  <c r="AF188" i="11"/>
  <c r="AO188" i="11"/>
  <c r="AM188" i="11"/>
  <c r="AN188" i="11"/>
  <c r="G188" i="11"/>
  <c r="E188" i="11"/>
  <c r="AQ188" i="11"/>
  <c r="D188" i="11"/>
  <c r="K26" i="7"/>
  <c r="E85" i="21"/>
  <c r="E80" i="7"/>
  <c r="E84" i="21"/>
  <c r="H185" i="11"/>
  <c r="AS185" i="11"/>
  <c r="AA185" i="11"/>
  <c r="AR185" i="11"/>
  <c r="I185" i="11"/>
  <c r="AB185" i="11"/>
  <c r="D185" i="11"/>
  <c r="S185" i="11"/>
  <c r="AH185" i="11"/>
  <c r="AO185" i="11"/>
  <c r="T185" i="11"/>
  <c r="AQ185" i="11"/>
  <c r="C185" i="11"/>
  <c r="G185" i="11"/>
  <c r="M185" i="11"/>
  <c r="V185" i="11"/>
  <c r="AJ185" i="11"/>
  <c r="W185" i="11"/>
  <c r="AG185" i="11"/>
  <c r="P185" i="11"/>
  <c r="Y185" i="11"/>
  <c r="AM185" i="11"/>
  <c r="Z185" i="11"/>
  <c r="Q185" i="11"/>
  <c r="O185" i="11"/>
  <c r="U185" i="11"/>
  <c r="AC185" i="11"/>
  <c r="AD185" i="11"/>
  <c r="AL185" i="11"/>
  <c r="AE185" i="11"/>
  <c r="AP185" i="11"/>
  <c r="AT185" i="11"/>
  <c r="AF185" i="11"/>
  <c r="AN185" i="11"/>
  <c r="N185" i="11"/>
  <c r="AI185" i="11"/>
  <c r="F185" i="11"/>
  <c r="J185" i="11"/>
  <c r="AK185" i="11"/>
  <c r="X185" i="11"/>
  <c r="K185" i="11"/>
  <c r="R185" i="11"/>
  <c r="L185" i="11"/>
  <c r="E185" i="11"/>
  <c r="G49" i="21"/>
  <c r="G44" i="7"/>
  <c r="G48" i="21"/>
  <c r="I26" i="7"/>
  <c r="F49" i="21"/>
  <c r="F48" i="21"/>
  <c r="F44" i="7"/>
  <c r="Q35" i="10"/>
  <c r="Q9" i="10"/>
  <c r="P35" i="10"/>
  <c r="O8" i="10"/>
  <c r="P9" i="10"/>
  <c r="W9" i="10"/>
  <c r="F23" i="22"/>
  <c r="F23" i="8"/>
  <c r="E26" i="7"/>
  <c r="D80" i="21"/>
  <c r="H80" i="7"/>
  <c r="H84" i="21"/>
  <c r="H85" i="21"/>
  <c r="F98" i="7"/>
  <c r="F103" i="21"/>
  <c r="F102" i="21"/>
  <c r="H22" i="8"/>
  <c r="H22" i="22"/>
  <c r="F21" i="8"/>
  <c r="F21" i="22"/>
  <c r="Y26" i="6"/>
  <c r="Y27" i="6" s="1"/>
  <c r="Y28" i="6" s="1"/>
  <c r="G85" i="21"/>
  <c r="G84" i="21"/>
  <c r="G80" i="7"/>
  <c r="J84" i="21"/>
  <c r="J80" i="7"/>
  <c r="J85" i="21"/>
  <c r="D98" i="21"/>
  <c r="F8" i="7"/>
  <c r="AF187" i="11"/>
  <c r="AG187" i="11"/>
  <c r="AO187" i="11"/>
  <c r="X187" i="11"/>
  <c r="AI187" i="11"/>
  <c r="F187" i="11"/>
  <c r="AB187" i="11"/>
  <c r="Z187" i="11"/>
  <c r="K187" i="11"/>
  <c r="D187" i="11"/>
  <c r="AD187" i="11"/>
  <c r="AS187" i="11"/>
  <c r="I187" i="11"/>
  <c r="P187" i="11"/>
  <c r="AH187" i="11"/>
  <c r="AK187" i="11"/>
  <c r="AJ187" i="11"/>
  <c r="Q187" i="11"/>
  <c r="R187" i="11"/>
  <c r="U187" i="11"/>
  <c r="AA187" i="11"/>
  <c r="AT187" i="11"/>
  <c r="H187" i="11"/>
  <c r="AQ187" i="11"/>
  <c r="AC187" i="11"/>
  <c r="V187" i="11"/>
  <c r="J187" i="11"/>
  <c r="AM187" i="11"/>
  <c r="N187" i="11"/>
  <c r="AL187" i="11"/>
  <c r="Y187" i="11"/>
  <c r="AR187" i="11"/>
  <c r="W187" i="11"/>
  <c r="G187" i="11"/>
  <c r="AE187" i="11"/>
  <c r="T187" i="11"/>
  <c r="M187" i="11"/>
  <c r="O187" i="11"/>
  <c r="S187" i="11"/>
  <c r="AN187" i="11"/>
  <c r="C187" i="11"/>
  <c r="AP187" i="11"/>
  <c r="E187" i="11"/>
  <c r="L187" i="11"/>
  <c r="U9" i="10"/>
  <c r="Z35" i="10"/>
  <c r="Z9" i="10"/>
  <c r="R9" i="10"/>
  <c r="D44" i="21"/>
  <c r="C150" i="22"/>
  <c r="E204" i="19"/>
  <c r="J78" i="18"/>
  <c r="H25" i="22"/>
  <c r="H25" i="8"/>
  <c r="F20" i="8"/>
  <c r="F20" i="22"/>
  <c r="I22" i="22"/>
  <c r="I22" i="8"/>
  <c r="E102" i="21"/>
  <c r="E103" i="21"/>
  <c r="E98" i="7"/>
  <c r="J67" i="21"/>
  <c r="H62" i="7"/>
  <c r="H66" i="21"/>
  <c r="H67" i="21"/>
  <c r="T9" i="6"/>
  <c r="G62" i="7"/>
  <c r="G66" i="21"/>
  <c r="G67" i="21"/>
  <c r="V36" i="29"/>
  <c r="U36" i="29" s="1"/>
  <c r="S30" i="10"/>
  <c r="X36" i="29"/>
  <c r="W36" i="29" s="1"/>
  <c r="F85" i="21"/>
  <c r="F80" i="7"/>
  <c r="F84" i="21"/>
  <c r="L85" i="21"/>
  <c r="L84" i="21"/>
  <c r="L80" i="7"/>
  <c r="E198" i="19"/>
  <c r="E206" i="19"/>
  <c r="S9" i="10"/>
  <c r="X9" i="10"/>
  <c r="V9" i="10"/>
  <c r="K8" i="7"/>
  <c r="J77" i="18"/>
  <c r="P82" i="18"/>
  <c r="F26" i="7"/>
  <c r="F27" i="22"/>
  <c r="F27" i="8"/>
  <c r="J79" i="18"/>
  <c r="M93" i="9"/>
  <c r="D99" i="18"/>
  <c r="D62" i="21"/>
  <c r="K49" i="21"/>
  <c r="K44" i="7"/>
  <c r="K48" i="21"/>
  <c r="I103" i="21"/>
  <c r="I98" i="7"/>
  <c r="I102" i="21"/>
  <c r="G103" i="21"/>
  <c r="G98" i="7"/>
  <c r="G102" i="21"/>
  <c r="P9" i="6"/>
  <c r="Z9" i="6"/>
  <c r="D8" i="21"/>
  <c r="I66" i="21"/>
  <c r="I62" i="7"/>
  <c r="I67" i="21"/>
  <c r="O189" i="11"/>
  <c r="Z189" i="11"/>
  <c r="H189" i="11"/>
  <c r="AD189" i="11"/>
  <c r="AE189" i="11"/>
  <c r="AR189" i="11"/>
  <c r="Q189" i="11"/>
  <c r="E189" i="11"/>
  <c r="V189" i="11"/>
  <c r="AH189" i="11"/>
  <c r="M189" i="11"/>
  <c r="R189" i="11"/>
  <c r="G189" i="11"/>
  <c r="P189" i="11"/>
  <c r="D189" i="11"/>
  <c r="AQ189" i="11"/>
  <c r="AC189" i="11"/>
  <c r="W189" i="11"/>
  <c r="AP189" i="11"/>
  <c r="AF189" i="11"/>
  <c r="AK189" i="11"/>
  <c r="N189" i="11"/>
  <c r="AN189" i="11"/>
  <c r="I189" i="11"/>
  <c r="AJ189" i="11"/>
  <c r="AO189" i="11"/>
  <c r="K189" i="11"/>
  <c r="AM189" i="11"/>
  <c r="F189" i="11"/>
  <c r="AG189" i="11"/>
  <c r="AL189" i="11"/>
  <c r="AA189" i="11"/>
  <c r="T189" i="11"/>
  <c r="AI189" i="11"/>
  <c r="U189" i="11"/>
  <c r="AT189" i="11"/>
  <c r="AS189" i="11"/>
  <c r="L189" i="11"/>
  <c r="S189" i="11"/>
  <c r="J189" i="11"/>
  <c r="C189" i="11"/>
  <c r="X189" i="11"/>
  <c r="Y189" i="11"/>
  <c r="AB189" i="11"/>
  <c r="J190" i="11"/>
  <c r="AH190" i="11"/>
  <c r="AN190" i="11"/>
  <c r="V190" i="11"/>
  <c r="O190" i="11"/>
  <c r="X190" i="11"/>
  <c r="F190" i="11"/>
  <c r="AC190" i="11"/>
  <c r="I190" i="11"/>
  <c r="AQ190" i="11"/>
  <c r="S190" i="11"/>
  <c r="AA190" i="11"/>
  <c r="AF190" i="11"/>
  <c r="P190" i="11"/>
  <c r="E190" i="11"/>
  <c r="C190" i="11"/>
  <c r="Z190" i="11"/>
  <c r="W190" i="11"/>
  <c r="L190" i="11"/>
  <c r="Y190" i="11"/>
  <c r="R190" i="11"/>
  <c r="AL190" i="11"/>
  <c r="D190" i="11"/>
  <c r="AP190" i="11"/>
  <c r="M190" i="11"/>
  <c r="T190" i="11"/>
  <c r="K190" i="11"/>
  <c r="N190" i="11"/>
  <c r="H190" i="11"/>
  <c r="U190" i="11"/>
  <c r="AM190" i="11"/>
  <c r="AR190" i="11"/>
  <c r="AB190" i="11"/>
  <c r="AJ190" i="11"/>
  <c r="AE190" i="11"/>
  <c r="AO190" i="11"/>
  <c r="AS190" i="11"/>
  <c r="Q190" i="11"/>
  <c r="AI190" i="11"/>
  <c r="AK190" i="11"/>
  <c r="AD190" i="11"/>
  <c r="AG190" i="11"/>
  <c r="AT190" i="11"/>
  <c r="G190" i="11"/>
  <c r="C27" i="29"/>
  <c r="N36" i="29"/>
  <c r="M36" i="29" s="1"/>
  <c r="R30" i="10"/>
  <c r="T36" i="29"/>
  <c r="S36" i="29" s="1"/>
  <c r="T30" i="10"/>
  <c r="H26" i="7"/>
  <c r="T9" i="10"/>
  <c r="J26" i="7"/>
  <c r="E203" i="19"/>
  <c r="E205" i="19"/>
  <c r="E199" i="19"/>
  <c r="R15" i="23"/>
  <c r="P32" i="13"/>
  <c r="Q18" i="23"/>
  <c r="Q23" i="23" s="1"/>
  <c r="I33" i="13"/>
  <c r="Q22" i="23"/>
  <c r="H180" i="19" l="1"/>
  <c r="J103" i="21"/>
  <c r="I80" i="7"/>
  <c r="I85" i="7" s="1"/>
  <c r="L49" i="21"/>
  <c r="AU128" i="20" a="1"/>
  <c r="AU128" i="20" s="1"/>
  <c r="AV131" i="7"/>
  <c r="AV132" i="7"/>
  <c r="AV130" i="7"/>
  <c r="AV133" i="7"/>
  <c r="AV134" i="7"/>
  <c r="O8" i="6"/>
  <c r="AJ14" i="29"/>
  <c r="AH15" i="29"/>
  <c r="D15" i="29" s="1"/>
  <c r="C15" i="29" s="1"/>
  <c r="Z36" i="29"/>
  <c r="Y36" i="29" s="1"/>
  <c r="D33" i="4"/>
  <c r="U5" i="19"/>
  <c r="F5" i="19"/>
  <c r="BC10" i="13"/>
  <c r="BC10" i="43"/>
  <c r="AQ10" i="13"/>
  <c r="AQ8" i="13" s="1"/>
  <c r="AQ10" i="43"/>
  <c r="AQ8" i="43" s="1"/>
  <c r="V10" i="43"/>
  <c r="V8" i="43" s="1"/>
  <c r="V10" i="13"/>
  <c r="V8" i="13" s="1"/>
  <c r="AG10" i="43"/>
  <c r="AG8" i="43" s="1"/>
  <c r="AG10" i="13"/>
  <c r="AG8" i="13" s="1"/>
  <c r="AT10" i="43"/>
  <c r="AT8" i="43" s="1"/>
  <c r="AT10" i="13"/>
  <c r="AT8" i="13" s="1"/>
  <c r="G10" i="13"/>
  <c r="G8" i="13" s="1"/>
  <c r="G10" i="43"/>
  <c r="G8" i="43" s="1"/>
  <c r="AO10" i="43"/>
  <c r="AO8" i="43" s="1"/>
  <c r="AO10" i="13"/>
  <c r="AO8" i="13" s="1"/>
  <c r="BF10" i="43"/>
  <c r="BF8" i="43" s="1"/>
  <c r="BF10" i="13"/>
  <c r="BF8" i="13" s="1"/>
  <c r="M10" i="13"/>
  <c r="M8" i="13" s="1"/>
  <c r="M10" i="43"/>
  <c r="M8" i="43" s="1"/>
  <c r="AN10" i="13"/>
  <c r="AN10" i="43"/>
  <c r="J10" i="43"/>
  <c r="J10" i="13"/>
  <c r="P10" i="43"/>
  <c r="P8" i="43" s="1"/>
  <c r="P10" i="13"/>
  <c r="P8" i="13" s="1"/>
  <c r="AX10" i="13"/>
  <c r="AX10" i="43"/>
  <c r="AD10" i="13"/>
  <c r="AD10" i="43"/>
  <c r="Z10" i="43"/>
  <c r="Z8" i="43" s="1"/>
  <c r="Z10" i="13"/>
  <c r="Z8" i="13" s="1"/>
  <c r="R10" i="13"/>
  <c r="R8" i="13" s="1"/>
  <c r="R10" i="43"/>
  <c r="R8" i="43" s="1"/>
  <c r="AF10" i="13"/>
  <c r="AF8" i="13" s="1"/>
  <c r="AF10" i="43"/>
  <c r="AF8" i="43" s="1"/>
  <c r="AK10" i="13"/>
  <c r="AK8" i="13" s="1"/>
  <c r="AK10" i="43"/>
  <c r="AK8" i="43" s="1"/>
  <c r="AE10" i="13"/>
  <c r="AE8" i="13" s="1"/>
  <c r="AE10" i="43"/>
  <c r="AE8" i="43" s="1"/>
  <c r="D80" i="16"/>
  <c r="C75" i="16"/>
  <c r="C80" i="16" s="1"/>
  <c r="C81" i="16" s="1"/>
  <c r="AI10" i="43"/>
  <c r="AI10" i="13"/>
  <c r="F10" i="43"/>
  <c r="F8" i="43" s="1"/>
  <c r="F10" i="13"/>
  <c r="F8" i="13" s="1"/>
  <c r="AB10" i="43"/>
  <c r="AB8" i="43" s="1"/>
  <c r="AB10" i="13"/>
  <c r="AB8" i="13" s="1"/>
  <c r="AL10" i="13"/>
  <c r="AL8" i="13" s="1"/>
  <c r="AL10" i="43"/>
  <c r="AL8" i="43" s="1"/>
  <c r="K10" i="13"/>
  <c r="K8" i="13" s="1"/>
  <c r="K10" i="43"/>
  <c r="K8" i="43" s="1"/>
  <c r="AY10" i="13"/>
  <c r="AY8" i="13" s="1"/>
  <c r="AY10" i="43"/>
  <c r="AY8" i="43" s="1"/>
  <c r="Q10" i="13"/>
  <c r="Q8" i="13" s="1"/>
  <c r="Q10" i="43"/>
  <c r="Q8" i="43" s="1"/>
  <c r="H10" i="13"/>
  <c r="H8" i="13" s="1"/>
  <c r="H10" i="43"/>
  <c r="H8" i="43" s="1"/>
  <c r="BD10" i="43"/>
  <c r="BD8" i="43" s="1"/>
  <c r="BD10" i="13"/>
  <c r="BD8" i="13" s="1"/>
  <c r="L10" i="13"/>
  <c r="L8" i="13" s="1"/>
  <c r="L10" i="43"/>
  <c r="L8" i="43" s="1"/>
  <c r="W10" i="13"/>
  <c r="W8" i="13" s="1"/>
  <c r="W10" i="43"/>
  <c r="W8" i="43" s="1"/>
  <c r="O10" i="43"/>
  <c r="O10" i="13"/>
  <c r="T10" i="13"/>
  <c r="T10" i="43"/>
  <c r="F180" i="19"/>
  <c r="AC8" i="6" a="1"/>
  <c r="H94" i="9"/>
  <c r="AC8" i="10" a="1"/>
  <c r="H179" i="19"/>
  <c r="Y10" i="43"/>
  <c r="Y10" i="13"/>
  <c r="AA10" i="43"/>
  <c r="AA8" i="43" s="1"/>
  <c r="AA10" i="13"/>
  <c r="AA8" i="13" s="1"/>
  <c r="BA10" i="43"/>
  <c r="BA8" i="43" s="1"/>
  <c r="BA10" i="13"/>
  <c r="BA8" i="13" s="1"/>
  <c r="U10" i="13"/>
  <c r="U8" i="13" s="1"/>
  <c r="U10" i="43"/>
  <c r="U8" i="43" s="1"/>
  <c r="AU10" i="43"/>
  <c r="AU8" i="43" s="1"/>
  <c r="AU10" i="13"/>
  <c r="AU8" i="13" s="1"/>
  <c r="AV10" i="13"/>
  <c r="AV8" i="13" s="1"/>
  <c r="AV10" i="43"/>
  <c r="AV8" i="43" s="1"/>
  <c r="AJ10" i="43"/>
  <c r="AJ8" i="43" s="1"/>
  <c r="AJ10" i="13"/>
  <c r="AJ8" i="13" s="1"/>
  <c r="AS10" i="43"/>
  <c r="AS10" i="13"/>
  <c r="BE10" i="43"/>
  <c r="BE8" i="43" s="1"/>
  <c r="BE10" i="13"/>
  <c r="BE8" i="13" s="1"/>
  <c r="AZ10" i="13"/>
  <c r="AZ8" i="13" s="1"/>
  <c r="AZ10" i="43"/>
  <c r="AZ8" i="43" s="1"/>
  <c r="AP10" i="13"/>
  <c r="AP8" i="13" s="1"/>
  <c r="AP10" i="43"/>
  <c r="AP8" i="43" s="1"/>
  <c r="AO186" i="11"/>
  <c r="G186" i="11"/>
  <c r="U186" i="11"/>
  <c r="AR186" i="11"/>
  <c r="AA186" i="11"/>
  <c r="C186" i="11"/>
  <c r="J186" i="11"/>
  <c r="D186" i="11"/>
  <c r="AD186" i="11"/>
  <c r="Y186" i="11"/>
  <c r="I186" i="11"/>
  <c r="AT186" i="11"/>
  <c r="AC186" i="11"/>
  <c r="AS186" i="11"/>
  <c r="O186" i="11"/>
  <c r="X186" i="11"/>
  <c r="AN186" i="11"/>
  <c r="AF186" i="11"/>
  <c r="AE186" i="11"/>
  <c r="AH186" i="11"/>
  <c r="AM186" i="11"/>
  <c r="Q186" i="11"/>
  <c r="H49" i="21"/>
  <c r="J62" i="7"/>
  <c r="J66" i="7" s="1"/>
  <c r="I85" i="21"/>
  <c r="J102" i="21"/>
  <c r="K84" i="21"/>
  <c r="H44" i="7"/>
  <c r="H48" i="7" s="1"/>
  <c r="C145" i="21"/>
  <c r="H24" i="8"/>
  <c r="C154" i="8"/>
  <c r="L44" i="7"/>
  <c r="L49" i="7" s="1"/>
  <c r="K62" i="7"/>
  <c r="K67" i="7" s="1"/>
  <c r="G21" i="8"/>
  <c r="AG186" i="11"/>
  <c r="F186" i="11"/>
  <c r="N186" i="11"/>
  <c r="W186" i="11"/>
  <c r="L186" i="11"/>
  <c r="K186" i="11"/>
  <c r="AI186" i="11"/>
  <c r="AP186" i="11"/>
  <c r="AQ186" i="11"/>
  <c r="AB186" i="11"/>
  <c r="AJ186" i="11"/>
  <c r="K67" i="21"/>
  <c r="J76" i="18"/>
  <c r="H102" i="21"/>
  <c r="I19" i="22"/>
  <c r="Z186" i="11"/>
  <c r="T186" i="11"/>
  <c r="R186" i="11"/>
  <c r="V186" i="11"/>
  <c r="H186" i="11"/>
  <c r="P186" i="11"/>
  <c r="S186" i="11"/>
  <c r="M186" i="11"/>
  <c r="AL186" i="11"/>
  <c r="E186" i="11"/>
  <c r="C157" i="22"/>
  <c r="F62" i="7"/>
  <c r="F67" i="7" s="1"/>
  <c r="K80" i="7"/>
  <c r="K84" i="7" s="1"/>
  <c r="C151" i="22"/>
  <c r="C154" i="22"/>
  <c r="G21" i="22"/>
  <c r="G19" i="22" s="1"/>
  <c r="L82" i="18"/>
  <c r="C153" i="8"/>
  <c r="J73" i="18"/>
  <c r="I44" i="7"/>
  <c r="I48" i="7" s="1"/>
  <c r="C144" i="21"/>
  <c r="AR23" i="13"/>
  <c r="AK229" i="22"/>
  <c r="AK230" i="22" s="1"/>
  <c r="AK243" i="22"/>
  <c r="F67" i="21"/>
  <c r="C99" i="18"/>
  <c r="AR23" i="43"/>
  <c r="AX23" i="43"/>
  <c r="AX23" i="13"/>
  <c r="I48" i="21"/>
  <c r="AL243" i="22"/>
  <c r="AL229" i="22"/>
  <c r="AL230" i="22" s="1"/>
  <c r="C16" i="43"/>
  <c r="O82" i="18"/>
  <c r="J81" i="18"/>
  <c r="BF23" i="43"/>
  <c r="BF23" i="13"/>
  <c r="BA23" i="43"/>
  <c r="BA23" i="13"/>
  <c r="C157" i="8"/>
  <c r="AN229" i="22"/>
  <c r="AN230" i="22" s="1"/>
  <c r="AN243" i="22"/>
  <c r="AZ23" i="43"/>
  <c r="AZ23" i="13"/>
  <c r="BE23" i="43"/>
  <c r="BE23" i="13"/>
  <c r="T55" i="13"/>
  <c r="U50" i="13"/>
  <c r="AM243" i="22"/>
  <c r="AM229" i="22"/>
  <c r="AM230" i="22" s="1"/>
  <c r="AY23" i="43"/>
  <c r="AY23" i="13"/>
  <c r="BC23" i="43"/>
  <c r="BC23" i="13"/>
  <c r="BD23" i="43"/>
  <c r="BD23" i="13"/>
  <c r="E62" i="7"/>
  <c r="E67" i="7" s="1"/>
  <c r="K98" i="7"/>
  <c r="K102" i="7" s="1"/>
  <c r="J49" i="21"/>
  <c r="AV128" i="20" a="1"/>
  <c r="AV128" i="20" s="1"/>
  <c r="C158" i="22"/>
  <c r="E67" i="21"/>
  <c r="J48" i="21"/>
  <c r="AV138" i="20" a="1"/>
  <c r="AV138" i="20" s="1"/>
  <c r="AU137" i="20" a="1"/>
  <c r="AU137" i="20" s="1"/>
  <c r="AT128" i="20" a="1"/>
  <c r="AT128" i="20" s="1"/>
  <c r="C158" i="8"/>
  <c r="C96" i="18"/>
  <c r="E12" i="31" s="1"/>
  <c r="C12" i="31" s="1"/>
  <c r="M82" i="18"/>
  <c r="K103" i="21"/>
  <c r="C155" i="8"/>
  <c r="C146" i="21"/>
  <c r="C143" i="21"/>
  <c r="C149" i="22"/>
  <c r="C142" i="21"/>
  <c r="D26" i="21"/>
  <c r="C26" i="21" s="1"/>
  <c r="D379" i="20"/>
  <c r="C149" i="8"/>
  <c r="H98" i="7"/>
  <c r="H102" i="7" s="1"/>
  <c r="Q37" i="18"/>
  <c r="C156" i="8"/>
  <c r="D368" i="20"/>
  <c r="J420" i="20" s="1"/>
  <c r="D382" i="20"/>
  <c r="D383" i="20"/>
  <c r="D390" i="20"/>
  <c r="C156" i="22"/>
  <c r="D397" i="20"/>
  <c r="D381" i="20"/>
  <c r="D370" i="20"/>
  <c r="I422" i="20" s="1"/>
  <c r="H420" i="20"/>
  <c r="AV376" i="20"/>
  <c r="AV366" i="20"/>
  <c r="AV365" i="20" s="1"/>
  <c r="AT127" i="20" a="1"/>
  <c r="AT127" i="20" s="1"/>
  <c r="AV127" i="20" a="1"/>
  <c r="AV127" i="20" s="1"/>
  <c r="AU127" i="20" a="1"/>
  <c r="AU127" i="20" s="1"/>
  <c r="AU366" i="20"/>
  <c r="AU365" i="20" s="1"/>
  <c r="AU376" i="20"/>
  <c r="AS367" i="20"/>
  <c r="D367" i="20" s="1"/>
  <c r="D378" i="20"/>
  <c r="D369" i="20"/>
  <c r="AT366" i="20"/>
  <c r="AT365" i="20" s="1"/>
  <c r="AT376" i="20"/>
  <c r="AU138" i="20" a="1"/>
  <c r="AU138" i="20" s="1"/>
  <c r="D377" i="20"/>
  <c r="C141" i="21"/>
  <c r="L16" i="34"/>
  <c r="L49" i="34" s="1"/>
  <c r="D371" i="20"/>
  <c r="AV137" i="20" a="1"/>
  <c r="AV137" i="20" s="1"/>
  <c r="AS376" i="20"/>
  <c r="AS366" i="20"/>
  <c r="AO365" i="20"/>
  <c r="D380" i="20"/>
  <c r="G33" i="34"/>
  <c r="H31" i="34" s="1"/>
  <c r="H32" i="34" s="1"/>
  <c r="H28" i="34" s="1"/>
  <c r="AW3" i="34"/>
  <c r="AS4" i="34"/>
  <c r="AT4" i="34" s="1"/>
  <c r="AU4" i="34" s="1"/>
  <c r="AV4" i="34" s="1"/>
  <c r="T52" i="34"/>
  <c r="S59" i="34"/>
  <c r="E225" i="19"/>
  <c r="C225" i="19" s="1"/>
  <c r="M35" i="34"/>
  <c r="M15" i="34"/>
  <c r="M13" i="34"/>
  <c r="AA11" i="6"/>
  <c r="R47" i="13"/>
  <c r="R54" i="13" s="1"/>
  <c r="R53" i="13" s="1"/>
  <c r="O7" i="34"/>
  <c r="N6" i="34"/>
  <c r="N14" i="34"/>
  <c r="N24" i="34" s="1"/>
  <c r="J29" i="34"/>
  <c r="J30" i="34" s="1"/>
  <c r="K47" i="34"/>
  <c r="K19" i="34"/>
  <c r="K18" i="34"/>
  <c r="K17" i="34"/>
  <c r="K36" i="34"/>
  <c r="K49" i="34"/>
  <c r="O60" i="34"/>
  <c r="O58" i="34" s="1"/>
  <c r="O20" i="34" s="1"/>
  <c r="P55" i="34"/>
  <c r="E52" i="27"/>
  <c r="F51" i="27"/>
  <c r="D51" i="27" s="1"/>
  <c r="N522" i="17"/>
  <c r="E217" i="19"/>
  <c r="C217" i="19" s="1"/>
  <c r="C202" i="19"/>
  <c r="C200" i="19"/>
  <c r="E219" i="19"/>
  <c r="C219" i="19" s="1"/>
  <c r="C201" i="19"/>
  <c r="E218" i="19"/>
  <c r="D24" i="22" s="1"/>
  <c r="B166" i="11"/>
  <c r="E214" i="19"/>
  <c r="D9" i="7" s="1"/>
  <c r="C197" i="19"/>
  <c r="F19" i="22"/>
  <c r="H19" i="22"/>
  <c r="AU190" i="11"/>
  <c r="AU189" i="11"/>
  <c r="E196" i="19"/>
  <c r="F6" i="5" s="1"/>
  <c r="C80" i="21"/>
  <c r="D85" i="21"/>
  <c r="D80" i="7"/>
  <c r="D84" i="21"/>
  <c r="C84" i="21" s="1"/>
  <c r="R84" i="21" s="1"/>
  <c r="Z10" i="6"/>
  <c r="J103" i="7"/>
  <c r="J102" i="7"/>
  <c r="D49" i="21"/>
  <c r="C44" i="21"/>
  <c r="D48" i="21"/>
  <c r="D44" i="7"/>
  <c r="Z26" i="10"/>
  <c r="C98" i="21"/>
  <c r="D103" i="21"/>
  <c r="D98" i="7"/>
  <c r="D102" i="21"/>
  <c r="H84" i="7"/>
  <c r="H85" i="7"/>
  <c r="Q26" i="7"/>
  <c r="AU188" i="11"/>
  <c r="Y11" i="10"/>
  <c r="C206" i="19"/>
  <c r="E223" i="19"/>
  <c r="C223" i="19" s="1"/>
  <c r="L85" i="7"/>
  <c r="L84" i="7"/>
  <c r="F84" i="7"/>
  <c r="F85" i="7"/>
  <c r="H67" i="7"/>
  <c r="H66" i="7"/>
  <c r="G85" i="7"/>
  <c r="G84" i="7"/>
  <c r="F103" i="7"/>
  <c r="F102" i="7"/>
  <c r="F49" i="7"/>
  <c r="F48" i="7"/>
  <c r="E84" i="7"/>
  <c r="Q84" i="7" s="1"/>
  <c r="E85" i="7"/>
  <c r="Q80" i="7"/>
  <c r="Q85" i="7" s="1"/>
  <c r="K85" i="7"/>
  <c r="I84" i="7"/>
  <c r="J84" i="7"/>
  <c r="J85" i="7"/>
  <c r="O35" i="10"/>
  <c r="F13" i="31"/>
  <c r="F14" i="31" s="1"/>
  <c r="L102" i="7"/>
  <c r="L103" i="7"/>
  <c r="L67" i="7"/>
  <c r="L66" i="7"/>
  <c r="AU187" i="11"/>
  <c r="AU185" i="11"/>
  <c r="AU191" i="11"/>
  <c r="C199" i="19"/>
  <c r="E216" i="19"/>
  <c r="R11" i="6"/>
  <c r="O9" i="6"/>
  <c r="G103" i="7"/>
  <c r="G102" i="7"/>
  <c r="I103" i="7"/>
  <c r="I102" i="7"/>
  <c r="D67" i="21"/>
  <c r="C62" i="21"/>
  <c r="D66" i="21"/>
  <c r="C66" i="21" s="1"/>
  <c r="R66" i="21" s="1"/>
  <c r="D62" i="7"/>
  <c r="C203" i="19"/>
  <c r="E220" i="19"/>
  <c r="V11" i="6"/>
  <c r="I67" i="7"/>
  <c r="I66" i="7"/>
  <c r="C8" i="21"/>
  <c r="P8" i="21"/>
  <c r="D8" i="7"/>
  <c r="K48" i="7"/>
  <c r="K49" i="7"/>
  <c r="C205" i="19"/>
  <c r="E222" i="19"/>
  <c r="X11" i="6"/>
  <c r="C198" i="19"/>
  <c r="Q11" i="6"/>
  <c r="E215" i="19"/>
  <c r="G66" i="7"/>
  <c r="G67" i="7"/>
  <c r="Q98" i="7"/>
  <c r="Q103" i="7" s="1"/>
  <c r="E103" i="7"/>
  <c r="E102" i="7"/>
  <c r="Q102" i="7" s="1"/>
  <c r="C204" i="19"/>
  <c r="E221" i="19"/>
  <c r="W11" i="6"/>
  <c r="O9" i="10"/>
  <c r="O26" i="10" s="1"/>
  <c r="P26" i="10"/>
  <c r="Q26" i="10"/>
  <c r="G49" i="7"/>
  <c r="G48" i="7"/>
  <c r="J49" i="7"/>
  <c r="J48" i="7"/>
  <c r="C224" i="19"/>
  <c r="D30" i="8"/>
  <c r="D30" i="22"/>
  <c r="N9" i="7"/>
  <c r="N9" i="21"/>
  <c r="S15" i="23"/>
  <c r="S22" i="23" s="1"/>
  <c r="R18" i="23"/>
  <c r="R23" i="23" s="1"/>
  <c r="Q21" i="23"/>
  <c r="R32" i="43" s="1"/>
  <c r="R33" i="43" s="1"/>
  <c r="R22" i="23"/>
  <c r="P33" i="13"/>
  <c r="H49" i="7" l="1"/>
  <c r="C85" i="21"/>
  <c r="K66" i="7"/>
  <c r="J67" i="7"/>
  <c r="I49" i="7"/>
  <c r="AS130" i="7"/>
  <c r="AR130" i="7"/>
  <c r="W130" i="7"/>
  <c r="AC130" i="7"/>
  <c r="S130" i="7"/>
  <c r="AA130" i="7"/>
  <c r="AL130" i="7"/>
  <c r="R130" i="7"/>
  <c r="N130" i="7"/>
  <c r="Y130" i="7"/>
  <c r="Z130" i="7"/>
  <c r="AU130" i="7"/>
  <c r="D130" i="7"/>
  <c r="AJ130" i="7"/>
  <c r="AP130" i="7"/>
  <c r="O130" i="7"/>
  <c r="AE130" i="7"/>
  <c r="AH130" i="7"/>
  <c r="T130" i="7"/>
  <c r="U130" i="7"/>
  <c r="E130" i="7"/>
  <c r="G130" i="7"/>
  <c r="K130" i="7"/>
  <c r="AM130" i="7"/>
  <c r="M130" i="7"/>
  <c r="X130" i="7"/>
  <c r="H130" i="7"/>
  <c r="AN130" i="7"/>
  <c r="AO130" i="7"/>
  <c r="AI130" i="7"/>
  <c r="AK130" i="7"/>
  <c r="AF130" i="7"/>
  <c r="I130" i="7"/>
  <c r="AG130" i="7"/>
  <c r="AD130" i="7"/>
  <c r="AQ130" i="7"/>
  <c r="P130" i="7"/>
  <c r="J130" i="7"/>
  <c r="AB130" i="7"/>
  <c r="L130" i="7"/>
  <c r="AT130" i="7"/>
  <c r="Q130" i="7"/>
  <c r="V130" i="7"/>
  <c r="L48" i="7"/>
  <c r="C102" i="21"/>
  <c r="R102" i="21" s="1"/>
  <c r="L132" i="7"/>
  <c r="U132" i="7"/>
  <c r="AK132" i="7"/>
  <c r="R132" i="7"/>
  <c r="N132" i="7"/>
  <c r="AO132" i="7"/>
  <c r="AJ132" i="7"/>
  <c r="AN132" i="7"/>
  <c r="AL132" i="7"/>
  <c r="Z132" i="7"/>
  <c r="E132" i="7"/>
  <c r="H132" i="7"/>
  <c r="AM132" i="7"/>
  <c r="O132" i="7"/>
  <c r="AA132" i="7"/>
  <c r="Q132" i="7"/>
  <c r="V132" i="7"/>
  <c r="AR132" i="7"/>
  <c r="AE132" i="7"/>
  <c r="W132" i="7"/>
  <c r="AD132" i="7"/>
  <c r="T132" i="7"/>
  <c r="AG132" i="7"/>
  <c r="AP132" i="7"/>
  <c r="S132" i="7"/>
  <c r="K132" i="7"/>
  <c r="AQ132" i="7"/>
  <c r="AT132" i="7"/>
  <c r="I132" i="7"/>
  <c r="AC132" i="7"/>
  <c r="P132" i="7"/>
  <c r="AF132" i="7"/>
  <c r="AB132" i="7"/>
  <c r="D132" i="7"/>
  <c r="Y132" i="7"/>
  <c r="G132" i="7"/>
  <c r="J132" i="7"/>
  <c r="AU132" i="7"/>
  <c r="M132" i="7"/>
  <c r="AI132" i="7"/>
  <c r="X132" i="7"/>
  <c r="AS132" i="7"/>
  <c r="AH132" i="7"/>
  <c r="E134" i="7"/>
  <c r="AG134" i="7"/>
  <c r="R134" i="7"/>
  <c r="P134" i="7"/>
  <c r="O134" i="7"/>
  <c r="H134" i="7"/>
  <c r="D134" i="7"/>
  <c r="AE134" i="7"/>
  <c r="V134" i="7"/>
  <c r="I134" i="7"/>
  <c r="AM134" i="7"/>
  <c r="Z134" i="7"/>
  <c r="AN134" i="7"/>
  <c r="AS134" i="7"/>
  <c r="J134" i="7"/>
  <c r="AH134" i="7"/>
  <c r="AI134" i="7"/>
  <c r="AQ134" i="7"/>
  <c r="AF134" i="7"/>
  <c r="AA134" i="7"/>
  <c r="Y134" i="7"/>
  <c r="U134" i="7"/>
  <c r="M134" i="7"/>
  <c r="AU134" i="7"/>
  <c r="AC134" i="7"/>
  <c r="AL134" i="7"/>
  <c r="AR134" i="7"/>
  <c r="G134" i="7"/>
  <c r="Q134" i="7"/>
  <c r="K134" i="7"/>
  <c r="S134" i="7"/>
  <c r="AT134" i="7"/>
  <c r="AK134" i="7"/>
  <c r="W134" i="7"/>
  <c r="AB134" i="7"/>
  <c r="AP134" i="7"/>
  <c r="AO134" i="7"/>
  <c r="T134" i="7"/>
  <c r="AD134" i="7"/>
  <c r="L134" i="7"/>
  <c r="N134" i="7"/>
  <c r="AJ134" i="7"/>
  <c r="X134" i="7"/>
  <c r="X131" i="7"/>
  <c r="V131" i="7"/>
  <c r="AL131" i="7"/>
  <c r="M131" i="7"/>
  <c r="U131" i="7"/>
  <c r="Y131" i="7"/>
  <c r="AH131" i="7"/>
  <c r="I131" i="7"/>
  <c r="H131" i="7"/>
  <c r="AO131" i="7"/>
  <c r="G131" i="7"/>
  <c r="E131" i="7"/>
  <c r="AP131" i="7"/>
  <c r="AB131" i="7"/>
  <c r="AM131" i="7"/>
  <c r="AU131" i="7"/>
  <c r="AF131" i="7"/>
  <c r="AK131" i="7"/>
  <c r="R131" i="7"/>
  <c r="O131" i="7"/>
  <c r="AR131" i="7"/>
  <c r="AG131" i="7"/>
  <c r="AD131" i="7"/>
  <c r="J131" i="7"/>
  <c r="P131" i="7"/>
  <c r="T131" i="7"/>
  <c r="AA131" i="7"/>
  <c r="W131" i="7"/>
  <c r="AS131" i="7"/>
  <c r="S131" i="7"/>
  <c r="AJ131" i="7"/>
  <c r="AE131" i="7"/>
  <c r="N131" i="7"/>
  <c r="L131" i="7"/>
  <c r="K131" i="7"/>
  <c r="Z131" i="7"/>
  <c r="D131" i="7"/>
  <c r="Q131" i="7"/>
  <c r="AC131" i="7"/>
  <c r="AI131" i="7"/>
  <c r="AT131" i="7"/>
  <c r="AN131" i="7"/>
  <c r="AQ131" i="7"/>
  <c r="AM133" i="7"/>
  <c r="AI133" i="7"/>
  <c r="AQ133" i="7"/>
  <c r="AH133" i="7"/>
  <c r="T133" i="7"/>
  <c r="AA133" i="7"/>
  <c r="D133" i="7"/>
  <c r="AE133" i="7"/>
  <c r="AR133" i="7"/>
  <c r="AJ133" i="7"/>
  <c r="L133" i="7"/>
  <c r="K133" i="7"/>
  <c r="O133" i="7"/>
  <c r="AD133" i="7"/>
  <c r="U133" i="7"/>
  <c r="E133" i="7"/>
  <c r="P133" i="7"/>
  <c r="V133" i="7"/>
  <c r="W133" i="7"/>
  <c r="N133" i="7"/>
  <c r="AP133" i="7"/>
  <c r="M133" i="7"/>
  <c r="AN133" i="7"/>
  <c r="AS133" i="7"/>
  <c r="AU133" i="7"/>
  <c r="AL133" i="7"/>
  <c r="AO133" i="7"/>
  <c r="Q133" i="7"/>
  <c r="J133" i="7"/>
  <c r="H133" i="7"/>
  <c r="X133" i="7"/>
  <c r="Y133" i="7"/>
  <c r="AK133" i="7"/>
  <c r="G133" i="7"/>
  <c r="R133" i="7"/>
  <c r="AG133" i="7"/>
  <c r="AB133" i="7"/>
  <c r="I133" i="7"/>
  <c r="S133" i="7"/>
  <c r="AT133" i="7"/>
  <c r="Z133" i="7"/>
  <c r="AF133" i="7"/>
  <c r="AC133" i="7"/>
  <c r="AJ29" i="29"/>
  <c r="AJ30" i="29" s="1"/>
  <c r="AH14" i="29"/>
  <c r="AI14" i="29"/>
  <c r="AI29" i="29" s="1"/>
  <c r="AI30" i="29" s="1"/>
  <c r="AG15" i="29"/>
  <c r="AJ8" i="6"/>
  <c r="AL8" i="6"/>
  <c r="AE8" i="6"/>
  <c r="AK8" i="6"/>
  <c r="AD8" i="6"/>
  <c r="AC8" i="6"/>
  <c r="AF8" i="6"/>
  <c r="AH8" i="6"/>
  <c r="AM8" i="6"/>
  <c r="AG8" i="6"/>
  <c r="AI8" i="6"/>
  <c r="O8" i="13"/>
  <c r="N8" i="13" s="1"/>
  <c r="N10" i="13"/>
  <c r="AI8" i="13"/>
  <c r="AH8" i="13" s="1"/>
  <c r="AH10" i="13"/>
  <c r="AW10" i="43"/>
  <c r="AX8" i="43"/>
  <c r="AW8" i="43" s="1"/>
  <c r="J8" i="13"/>
  <c r="I8" i="13" s="1"/>
  <c r="I10" i="13"/>
  <c r="BC8" i="43"/>
  <c r="BB10" i="43"/>
  <c r="D34" i="4"/>
  <c r="H198" i="19" s="1"/>
  <c r="X10" i="13"/>
  <c r="Y8" i="13"/>
  <c r="X8" i="13" s="1"/>
  <c r="N94" i="9"/>
  <c r="AQ165" i="11"/>
  <c r="AQ164" i="11" s="1"/>
  <c r="AQ177" i="11" s="1"/>
  <c r="Z165" i="11"/>
  <c r="Z164" i="11" s="1"/>
  <c r="Z177" i="11" s="1"/>
  <c r="L165" i="11"/>
  <c r="L164" i="11" s="1"/>
  <c r="L177" i="11" s="1"/>
  <c r="L351" i="11" s="1"/>
  <c r="I165" i="11"/>
  <c r="I164" i="11" s="1"/>
  <c r="I177" i="11" s="1"/>
  <c r="I351" i="11" s="1"/>
  <c r="N165" i="11"/>
  <c r="N164" i="11" s="1"/>
  <c r="N177" i="11" s="1"/>
  <c r="N351" i="11" s="1"/>
  <c r="AC165" i="11"/>
  <c r="AC164" i="11" s="1"/>
  <c r="AC177" i="11" s="1"/>
  <c r="K165" i="11"/>
  <c r="K164" i="11" s="1"/>
  <c r="K177" i="11" s="1"/>
  <c r="K351" i="11" s="1"/>
  <c r="AB165" i="11"/>
  <c r="AB164" i="11" s="1"/>
  <c r="AB177" i="11" s="1"/>
  <c r="AD165" i="11"/>
  <c r="AD164" i="11" s="1"/>
  <c r="AD177" i="11" s="1"/>
  <c r="AA165" i="11"/>
  <c r="AA164" i="11" s="1"/>
  <c r="AA177" i="11" s="1"/>
  <c r="AT165" i="11"/>
  <c r="AT164" i="11" s="1"/>
  <c r="AT177" i="11" s="1"/>
  <c r="AS165" i="11"/>
  <c r="AS164" i="11" s="1"/>
  <c r="AS177" i="11" s="1"/>
  <c r="AI165" i="11"/>
  <c r="AI164" i="11" s="1"/>
  <c r="AI177" i="11" s="1"/>
  <c r="AG165" i="11"/>
  <c r="AG164" i="11" s="1"/>
  <c r="AG177" i="11" s="1"/>
  <c r="R165" i="11"/>
  <c r="R164" i="11" s="1"/>
  <c r="R177" i="11" s="1"/>
  <c r="H165" i="11"/>
  <c r="H164" i="11" s="1"/>
  <c r="H177" i="11" s="1"/>
  <c r="H351" i="11" s="1"/>
  <c r="W165" i="11"/>
  <c r="W164" i="11" s="1"/>
  <c r="W177" i="11" s="1"/>
  <c r="E165" i="11"/>
  <c r="E164" i="11" s="1"/>
  <c r="E177" i="11" s="1"/>
  <c r="T165" i="11"/>
  <c r="T164" i="11" s="1"/>
  <c r="T177" i="11" s="1"/>
  <c r="AO165" i="11"/>
  <c r="AO164" i="11" s="1"/>
  <c r="AO177" i="11" s="1"/>
  <c r="AF165" i="11"/>
  <c r="AF164" i="11" s="1"/>
  <c r="AF177" i="11" s="1"/>
  <c r="AN165" i="11"/>
  <c r="AN164" i="11" s="1"/>
  <c r="AN177" i="11" s="1"/>
  <c r="C165" i="11"/>
  <c r="AJ165" i="11"/>
  <c r="AJ164" i="11" s="1"/>
  <c r="AJ177" i="11" s="1"/>
  <c r="Y165" i="11"/>
  <c r="Y164" i="11" s="1"/>
  <c r="Y177" i="11" s="1"/>
  <c r="AE165" i="11"/>
  <c r="AE164" i="11" s="1"/>
  <c r="AE177" i="11" s="1"/>
  <c r="F165" i="11"/>
  <c r="F164" i="11" s="1"/>
  <c r="F177" i="11" s="1"/>
  <c r="Q165" i="11"/>
  <c r="Q164" i="11" s="1"/>
  <c r="Q177" i="11" s="1"/>
  <c r="AH165" i="11"/>
  <c r="AH164" i="11" s="1"/>
  <c r="AH177" i="11" s="1"/>
  <c r="AL165" i="11"/>
  <c r="AL164" i="11" s="1"/>
  <c r="AL177" i="11" s="1"/>
  <c r="G165" i="11"/>
  <c r="G164" i="11" s="1"/>
  <c r="G177" i="11" s="1"/>
  <c r="M165" i="11"/>
  <c r="M164" i="11" s="1"/>
  <c r="M177" i="11" s="1"/>
  <c r="M351" i="11" s="1"/>
  <c r="P165" i="11"/>
  <c r="P164" i="11" s="1"/>
  <c r="P177" i="11" s="1"/>
  <c r="AR165" i="11"/>
  <c r="AR164" i="11" s="1"/>
  <c r="AR177" i="11" s="1"/>
  <c r="S165" i="11"/>
  <c r="S164" i="11" s="1"/>
  <c r="S177" i="11" s="1"/>
  <c r="O165" i="11"/>
  <c r="O164" i="11" s="1"/>
  <c r="O177" i="11" s="1"/>
  <c r="O351" i="11" s="1"/>
  <c r="AP165" i="11"/>
  <c r="AP164" i="11" s="1"/>
  <c r="AP177" i="11" s="1"/>
  <c r="V165" i="11"/>
  <c r="V164" i="11" s="1"/>
  <c r="V177" i="11" s="1"/>
  <c r="U165" i="11"/>
  <c r="U164" i="11" s="1"/>
  <c r="U177" i="11" s="1"/>
  <c r="D165" i="11"/>
  <c r="D164" i="11" s="1"/>
  <c r="D177" i="11" s="1"/>
  <c r="AK165" i="11"/>
  <c r="AK164" i="11" s="1"/>
  <c r="AK177" i="11" s="1"/>
  <c r="J165" i="11"/>
  <c r="J164" i="11" s="1"/>
  <c r="J177" i="11" s="1"/>
  <c r="J351" i="11" s="1"/>
  <c r="AM165" i="11"/>
  <c r="AM164" i="11" s="1"/>
  <c r="AM177" i="11" s="1"/>
  <c r="X165" i="11"/>
  <c r="X164" i="11" s="1"/>
  <c r="X177" i="11" s="1"/>
  <c r="S10" i="13"/>
  <c r="T8" i="13"/>
  <c r="S8" i="13" s="1"/>
  <c r="E10" i="43"/>
  <c r="E10" i="13"/>
  <c r="AD8" i="13"/>
  <c r="AC8" i="13" s="1"/>
  <c r="AC10" i="13"/>
  <c r="AN8" i="13"/>
  <c r="AM8" i="13" s="1"/>
  <c r="AM10" i="13"/>
  <c r="BB8" i="43"/>
  <c r="AS8" i="43"/>
  <c r="AR8" i="43" s="1"/>
  <c r="AR10" i="43"/>
  <c r="AI8" i="10"/>
  <c r="AH8" i="10"/>
  <c r="AF8" i="10"/>
  <c r="AL8" i="10"/>
  <c r="L8" i="10" s="1"/>
  <c r="AC8" i="10"/>
  <c r="AM8" i="10"/>
  <c r="AJ8" i="10"/>
  <c r="AD8" i="10"/>
  <c r="AG8" i="10"/>
  <c r="AE8" i="10"/>
  <c r="AK8" i="10"/>
  <c r="T8" i="43"/>
  <c r="S10" i="43"/>
  <c r="E13" i="26"/>
  <c r="E13" i="3"/>
  <c r="AD8" i="43"/>
  <c r="AC8" i="43" s="1"/>
  <c r="AC10" i="43"/>
  <c r="AN8" i="43"/>
  <c r="AM8" i="43" s="1"/>
  <c r="AM10" i="43"/>
  <c r="Y8" i="43"/>
  <c r="X8" i="43" s="1"/>
  <c r="X10" i="43"/>
  <c r="AR10" i="13"/>
  <c r="AS8" i="13"/>
  <c r="AR8" i="13" s="1"/>
  <c r="U179" i="19"/>
  <c r="F179" i="19"/>
  <c r="H93" i="9"/>
  <c r="O8" i="43"/>
  <c r="N8" i="43" s="1"/>
  <c r="N10" i="43"/>
  <c r="AI8" i="43"/>
  <c r="AH8" i="43" s="1"/>
  <c r="AH10" i="43"/>
  <c r="AX8" i="13"/>
  <c r="AW8" i="13" s="1"/>
  <c r="AW10" i="13"/>
  <c r="J8" i="43"/>
  <c r="I8" i="43" s="1"/>
  <c r="I10" i="43"/>
  <c r="BC8" i="13"/>
  <c r="BB8" i="13" s="1"/>
  <c r="BB10" i="13"/>
  <c r="S8" i="43"/>
  <c r="K103" i="7"/>
  <c r="E66" i="7"/>
  <c r="Q66" i="7" s="1"/>
  <c r="J82" i="18"/>
  <c r="AU186" i="11"/>
  <c r="F66" i="7"/>
  <c r="D26" i="7"/>
  <c r="P26" i="7" s="1"/>
  <c r="C49" i="21"/>
  <c r="Q62" i="7"/>
  <c r="Q67" i="7" s="1"/>
  <c r="C103" i="21"/>
  <c r="AU229" i="22"/>
  <c r="AU230" i="22" s="1"/>
  <c r="AU243" i="22"/>
  <c r="C67" i="21"/>
  <c r="AP243" i="22"/>
  <c r="AP229" i="22"/>
  <c r="AP230" i="22" s="1"/>
  <c r="AQ229" i="22"/>
  <c r="AQ230" i="22" s="1"/>
  <c r="AQ243" i="22"/>
  <c r="AR229" i="22"/>
  <c r="AR230" i="22" s="1"/>
  <c r="AR243" i="22"/>
  <c r="AS229" i="22"/>
  <c r="AS230" i="22" s="1"/>
  <c r="BB23" i="13"/>
  <c r="AS243" i="22"/>
  <c r="AS365" i="20"/>
  <c r="C48" i="21"/>
  <c r="R48" i="21" s="1"/>
  <c r="AV243" i="22"/>
  <c r="AV229" i="22"/>
  <c r="AV230" i="22" s="1"/>
  <c r="AO229" i="22"/>
  <c r="AO230" i="22" s="1"/>
  <c r="AO243" i="22"/>
  <c r="AW23" i="13"/>
  <c r="AT243" i="22"/>
  <c r="AT229" i="22"/>
  <c r="AT230" i="22" s="1"/>
  <c r="U55" i="13"/>
  <c r="V50" i="13"/>
  <c r="BB23" i="43"/>
  <c r="AW23" i="43"/>
  <c r="N32" i="43"/>
  <c r="O9" i="21"/>
  <c r="O12" i="21" s="1"/>
  <c r="H103" i="7"/>
  <c r="L18" i="34"/>
  <c r="L17" i="34"/>
  <c r="K420" i="20"/>
  <c r="J46" i="7" s="1"/>
  <c r="G420" i="20"/>
  <c r="G411" i="20" s="1"/>
  <c r="F420" i="20"/>
  <c r="E46" i="7" s="1"/>
  <c r="Q46" i="7" s="1"/>
  <c r="J149" i="8"/>
  <c r="M420" i="20"/>
  <c r="I420" i="20"/>
  <c r="H46" i="7" s="1"/>
  <c r="E420" i="20"/>
  <c r="E411" i="20" s="1"/>
  <c r="N420" i="20"/>
  <c r="N411" i="20" s="1"/>
  <c r="G422" i="20"/>
  <c r="G413" i="20" s="1"/>
  <c r="O9" i="7"/>
  <c r="O12" i="7" s="1"/>
  <c r="E422" i="20"/>
  <c r="D82" i="7" s="1"/>
  <c r="D366" i="20"/>
  <c r="N418" i="20" s="1"/>
  <c r="N409" i="20" s="1"/>
  <c r="F422" i="20"/>
  <c r="E82" i="7" s="1"/>
  <c r="Q82" i="7" s="1"/>
  <c r="N422" i="20"/>
  <c r="N413" i="20" s="1"/>
  <c r="L420" i="20"/>
  <c r="L411" i="20" s="1"/>
  <c r="L422" i="20"/>
  <c r="L413" i="20" s="1"/>
  <c r="K422" i="20"/>
  <c r="J82" i="7" s="1"/>
  <c r="M422" i="20"/>
  <c r="M413" i="20" s="1"/>
  <c r="H422" i="20"/>
  <c r="G82" i="7" s="1"/>
  <c r="J422" i="20"/>
  <c r="I82" i="7" s="1"/>
  <c r="J418" i="20"/>
  <c r="J409" i="20" s="1"/>
  <c r="L47" i="34"/>
  <c r="D376" i="20"/>
  <c r="H421" i="20"/>
  <c r="G421" i="20"/>
  <c r="I421" i="20"/>
  <c r="M421" i="20"/>
  <c r="J421" i="20"/>
  <c r="K421" i="20"/>
  <c r="N421" i="20"/>
  <c r="N412" i="20" s="1"/>
  <c r="E421" i="20"/>
  <c r="L421" i="20"/>
  <c r="F421" i="20"/>
  <c r="D46" i="7"/>
  <c r="E419" i="20"/>
  <c r="H419" i="20"/>
  <c r="H410" i="20" s="1"/>
  <c r="F419" i="20"/>
  <c r="F410" i="20" s="1"/>
  <c r="G419" i="20"/>
  <c r="G410" i="20" s="1"/>
  <c r="N419" i="20"/>
  <c r="N410" i="20" s="1"/>
  <c r="K419" i="20"/>
  <c r="K410" i="20" s="1"/>
  <c r="M419" i="20"/>
  <c r="M410" i="20" s="1"/>
  <c r="L419" i="20"/>
  <c r="L410" i="20" s="1"/>
  <c r="I419" i="20"/>
  <c r="I410" i="20" s="1"/>
  <c r="J419" i="20"/>
  <c r="J410" i="20" s="1"/>
  <c r="M16" i="34"/>
  <c r="M36" i="34" s="1"/>
  <c r="L19" i="34"/>
  <c r="L29" i="34" s="1"/>
  <c r="L30" i="34" s="1"/>
  <c r="L36" i="34"/>
  <c r="I413" i="20"/>
  <c r="H82" i="7"/>
  <c r="M423" i="20"/>
  <c r="H423" i="20"/>
  <c r="E423" i="20"/>
  <c r="F423" i="20"/>
  <c r="K423" i="20"/>
  <c r="N423" i="20"/>
  <c r="N414" i="20" s="1"/>
  <c r="J423" i="20"/>
  <c r="L423" i="20"/>
  <c r="I423" i="20"/>
  <c r="G423" i="20"/>
  <c r="I46" i="7"/>
  <c r="J411" i="20"/>
  <c r="E413" i="20"/>
  <c r="L46" i="7"/>
  <c r="F411" i="20"/>
  <c r="G46" i="7"/>
  <c r="H411" i="20"/>
  <c r="C218" i="19"/>
  <c r="D31" i="22"/>
  <c r="D31" i="8"/>
  <c r="I9" i="21"/>
  <c r="I13" i="21" s="1"/>
  <c r="K29" i="34"/>
  <c r="K30" i="34" s="1"/>
  <c r="T59" i="34"/>
  <c r="U52" i="34"/>
  <c r="G9" i="21"/>
  <c r="G13" i="21" s="1"/>
  <c r="BA3" i="34"/>
  <c r="AW4" i="34"/>
  <c r="AX4" i="34" s="1"/>
  <c r="AY4" i="34" s="1"/>
  <c r="AZ4" i="34" s="1"/>
  <c r="D20" i="8"/>
  <c r="G9" i="7"/>
  <c r="G13" i="7" s="1"/>
  <c r="AA10" i="6"/>
  <c r="D23" i="22"/>
  <c r="D23" i="8"/>
  <c r="D25" i="22"/>
  <c r="H34" i="34"/>
  <c r="H37" i="34" s="1"/>
  <c r="E53" i="27"/>
  <c r="F52" i="27"/>
  <c r="D52" i="27" s="1"/>
  <c r="O6" i="34"/>
  <c r="O14" i="34"/>
  <c r="O24" i="34" s="1"/>
  <c r="P7" i="34"/>
  <c r="H33" i="34"/>
  <c r="I31" i="34" s="1"/>
  <c r="Q55" i="34"/>
  <c r="P60" i="34"/>
  <c r="P58" i="34" s="1"/>
  <c r="P20" i="34" s="1"/>
  <c r="O522" i="17"/>
  <c r="N35" i="34"/>
  <c r="N13" i="34"/>
  <c r="N15" i="34"/>
  <c r="T47" i="13"/>
  <c r="T54" i="13" s="1"/>
  <c r="T53" i="13" s="1"/>
  <c r="D24" i="8"/>
  <c r="H9" i="21"/>
  <c r="H12" i="21" s="1"/>
  <c r="H9" i="7"/>
  <c r="H12" i="7" s="1"/>
  <c r="D25" i="8"/>
  <c r="I9" i="7"/>
  <c r="I13" i="7" s="1"/>
  <c r="C214" i="19"/>
  <c r="D9" i="21"/>
  <c r="D13" i="21" s="1"/>
  <c r="D7" i="5"/>
  <c r="D20" i="22"/>
  <c r="C196" i="19"/>
  <c r="E213" i="19"/>
  <c r="C226" i="19" s="1"/>
  <c r="P8" i="7"/>
  <c r="D12" i="7"/>
  <c r="C8" i="7"/>
  <c r="D13" i="7"/>
  <c r="E9" i="21"/>
  <c r="E9" i="7"/>
  <c r="C215" i="19"/>
  <c r="D21" i="8"/>
  <c r="D21" i="22"/>
  <c r="Q8" i="21"/>
  <c r="C62" i="7"/>
  <c r="D66" i="7"/>
  <c r="P62" i="7"/>
  <c r="P67" i="7" s="1"/>
  <c r="D67" i="7"/>
  <c r="C67" i="7" s="1"/>
  <c r="F15" i="31"/>
  <c r="C26" i="7"/>
  <c r="AB35" i="29"/>
  <c r="Y10" i="10"/>
  <c r="Y20" i="10"/>
  <c r="C44" i="7"/>
  <c r="D48" i="7"/>
  <c r="D49" i="7"/>
  <c r="C49" i="7" s="1"/>
  <c r="P44" i="7"/>
  <c r="P49" i="7" s="1"/>
  <c r="H19" i="8"/>
  <c r="R80" i="21"/>
  <c r="R85" i="21" s="1"/>
  <c r="O11" i="6"/>
  <c r="F9" i="21"/>
  <c r="F9" i="7"/>
  <c r="C216" i="19"/>
  <c r="D22" i="22"/>
  <c r="D22" i="8"/>
  <c r="R98" i="21"/>
  <c r="R103" i="21" s="1"/>
  <c r="I19" i="8"/>
  <c r="J9" i="7"/>
  <c r="J9" i="21"/>
  <c r="C220" i="19"/>
  <c r="D26" i="8"/>
  <c r="D26" i="22"/>
  <c r="R26" i="21"/>
  <c r="C98" i="7"/>
  <c r="D102" i="7"/>
  <c r="P98" i="7"/>
  <c r="P103" i="7" s="1"/>
  <c r="D103" i="7"/>
  <c r="N13" i="7"/>
  <c r="N12" i="7"/>
  <c r="N13" i="21"/>
  <c r="N12" i="21"/>
  <c r="P9" i="7"/>
  <c r="K9" i="7"/>
  <c r="C221" i="19"/>
  <c r="K9" i="21"/>
  <c r="D27" i="22"/>
  <c r="D27" i="8"/>
  <c r="L9" i="21"/>
  <c r="L9" i="7"/>
  <c r="C222" i="19"/>
  <c r="D28" i="22"/>
  <c r="D28" i="8"/>
  <c r="R62" i="21"/>
  <c r="R67" i="21" s="1"/>
  <c r="G19" i="8"/>
  <c r="F19" i="8"/>
  <c r="R44" i="21"/>
  <c r="R49" i="21" s="1"/>
  <c r="D85" i="7"/>
  <c r="C85" i="7" s="1"/>
  <c r="D84" i="7"/>
  <c r="C80" i="7"/>
  <c r="P80" i="7"/>
  <c r="P85" i="7" s="1"/>
  <c r="R21" i="23"/>
  <c r="T15" i="23"/>
  <c r="R32" i="13"/>
  <c r="E55" i="29"/>
  <c r="E51" i="29" s="1"/>
  <c r="E56" i="29" s="1"/>
  <c r="S18" i="23"/>
  <c r="S23" i="23" s="1"/>
  <c r="S21" i="23" s="1"/>
  <c r="U32" i="43" s="1"/>
  <c r="U33" i="43" s="1"/>
  <c r="F413" i="20" l="1"/>
  <c r="K413" i="20"/>
  <c r="C103" i="7"/>
  <c r="M19" i="34"/>
  <c r="N16" i="34"/>
  <c r="AG14" i="29"/>
  <c r="D14" i="29"/>
  <c r="H202" i="19"/>
  <c r="H219" i="19" s="1"/>
  <c r="H204" i="19"/>
  <c r="H221" i="19" s="1"/>
  <c r="H206" i="19"/>
  <c r="F206" i="19" s="1"/>
  <c r="H208" i="19"/>
  <c r="AN11" i="6" s="1"/>
  <c r="H200" i="19"/>
  <c r="F200" i="19" s="1"/>
  <c r="AJ11" i="6"/>
  <c r="J11" i="6" s="1"/>
  <c r="AM9" i="6"/>
  <c r="M9" i="6" s="1"/>
  <c r="M8" i="6"/>
  <c r="AJ9" i="6"/>
  <c r="J9" i="6" s="1"/>
  <c r="J8" i="6"/>
  <c r="AE9" i="10"/>
  <c r="E9" i="10" s="1"/>
  <c r="E8" i="10"/>
  <c r="AM9" i="10"/>
  <c r="M9" i="10" s="1"/>
  <c r="M26" i="10" s="1"/>
  <c r="M8" i="10"/>
  <c r="AH9" i="10"/>
  <c r="H9" i="10" s="1"/>
  <c r="H8" i="10"/>
  <c r="F99" i="9" s="1"/>
  <c r="C99" i="9" s="1"/>
  <c r="AD11" i="6"/>
  <c r="D11" i="6" s="1"/>
  <c r="F198" i="19"/>
  <c r="H215" i="19"/>
  <c r="AG9" i="6"/>
  <c r="G9" i="6" s="1"/>
  <c r="G8" i="6"/>
  <c r="C8" i="6"/>
  <c r="AC9" i="6"/>
  <c r="AB8" i="6"/>
  <c r="AL26" i="6"/>
  <c r="AL27" i="6" s="1"/>
  <c r="AL28" i="6" s="1"/>
  <c r="L8" i="6"/>
  <c r="AG9" i="10"/>
  <c r="G9" i="10" s="1"/>
  <c r="G8" i="10"/>
  <c r="F98" i="9" s="1"/>
  <c r="C98" i="9" s="1"/>
  <c r="C8" i="10"/>
  <c r="AB8" i="10"/>
  <c r="H13" i="31" s="1"/>
  <c r="H14" i="31" s="1"/>
  <c r="AC9" i="10"/>
  <c r="AI9" i="10"/>
  <c r="I9" i="10" s="1"/>
  <c r="I8" i="10"/>
  <c r="F100" i="9" s="1"/>
  <c r="C100" i="9" s="1"/>
  <c r="AD9" i="6"/>
  <c r="D9" i="6" s="1"/>
  <c r="D8" i="6"/>
  <c r="AK9" i="10"/>
  <c r="K9" i="10" s="1"/>
  <c r="K8" i="10"/>
  <c r="F102" i="9" s="1"/>
  <c r="C102" i="9" s="1"/>
  <c r="AJ9" i="10"/>
  <c r="J9" i="10" s="1"/>
  <c r="J8" i="10"/>
  <c r="F101" i="9" s="1"/>
  <c r="C101" i="9" s="1"/>
  <c r="AF9" i="10"/>
  <c r="F9" i="10" s="1"/>
  <c r="F8" i="10"/>
  <c r="F97" i="9" s="1"/>
  <c r="C97" i="9" s="1"/>
  <c r="E8" i="43"/>
  <c r="D8" i="43" s="1"/>
  <c r="D10" i="43"/>
  <c r="C10" i="43" s="1"/>
  <c r="C8" i="43" s="1"/>
  <c r="C164" i="11"/>
  <c r="C177" i="11" s="1"/>
  <c r="B177" i="11" s="1"/>
  <c r="B351" i="11" s="1"/>
  <c r="B165" i="11"/>
  <c r="B164" i="11" s="1"/>
  <c r="AI9" i="6"/>
  <c r="I9" i="6" s="1"/>
  <c r="I8" i="6"/>
  <c r="AF9" i="6"/>
  <c r="F9" i="6" s="1"/>
  <c r="F8" i="6"/>
  <c r="AE9" i="6"/>
  <c r="E9" i="6" s="1"/>
  <c r="E8" i="6"/>
  <c r="H205" i="19"/>
  <c r="H199" i="19"/>
  <c r="H197" i="19"/>
  <c r="AD9" i="10"/>
  <c r="D9" i="10" s="1"/>
  <c r="D26" i="10" s="1"/>
  <c r="D8" i="10"/>
  <c r="G7" i="40"/>
  <c r="F103" i="9"/>
  <c r="C103" i="9" s="1"/>
  <c r="E8" i="13"/>
  <c r="D8" i="13" s="1"/>
  <c r="D10" i="13"/>
  <c r="C10" i="13" s="1"/>
  <c r="C8" i="13" s="1"/>
  <c r="N93" i="9"/>
  <c r="S94" i="9"/>
  <c r="AH9" i="6"/>
  <c r="H9" i="6" s="1"/>
  <c r="H8" i="6"/>
  <c r="AK9" i="6"/>
  <c r="K9" i="6" s="1"/>
  <c r="K8" i="6"/>
  <c r="H203" i="19"/>
  <c r="H201" i="19"/>
  <c r="H207" i="19"/>
  <c r="O13" i="21"/>
  <c r="O13" i="7"/>
  <c r="V55" i="13"/>
  <c r="W50" i="13"/>
  <c r="T32" i="13"/>
  <c r="T33" i="13" s="1"/>
  <c r="T32" i="43"/>
  <c r="N33" i="43"/>
  <c r="F46" i="7"/>
  <c r="K46" i="7"/>
  <c r="D365" i="20"/>
  <c r="H413" i="20"/>
  <c r="F82" i="7"/>
  <c r="K411" i="20"/>
  <c r="K418" i="20"/>
  <c r="K409" i="20" s="1"/>
  <c r="V12" i="10" s="1"/>
  <c r="I411" i="20"/>
  <c r="I418" i="20"/>
  <c r="I409" i="20" s="1"/>
  <c r="T12" i="6" s="1"/>
  <c r="E418" i="20"/>
  <c r="D420" i="20"/>
  <c r="M411" i="20"/>
  <c r="L82" i="7"/>
  <c r="J413" i="20"/>
  <c r="H418" i="20"/>
  <c r="H409" i="20" s="1"/>
  <c r="S12" i="10" s="1"/>
  <c r="L418" i="20"/>
  <c r="L409" i="20" s="1"/>
  <c r="W12" i="10" s="1"/>
  <c r="M418" i="20"/>
  <c r="M409" i="20" s="1"/>
  <c r="X12" i="10" s="1"/>
  <c r="K82" i="7"/>
  <c r="I12" i="21"/>
  <c r="D422" i="20"/>
  <c r="F418" i="20"/>
  <c r="F409" i="20" s="1"/>
  <c r="Q12" i="6" s="1"/>
  <c r="G418" i="20"/>
  <c r="G409" i="20" s="1"/>
  <c r="R12" i="6" s="1"/>
  <c r="L414" i="20"/>
  <c r="K100" i="7"/>
  <c r="E410" i="20"/>
  <c r="D419" i="20"/>
  <c r="P46" i="7"/>
  <c r="M17" i="34"/>
  <c r="G414" i="20"/>
  <c r="F100" i="7"/>
  <c r="AK12" i="10"/>
  <c r="AK12" i="6"/>
  <c r="AD12" i="10"/>
  <c r="AD12" i="6"/>
  <c r="E64" i="7"/>
  <c r="Q64" i="7" s="1"/>
  <c r="F412" i="20"/>
  <c r="K412" i="20"/>
  <c r="J64" i="7"/>
  <c r="G412" i="20"/>
  <c r="F64" i="7"/>
  <c r="U12" i="6"/>
  <c r="U12" i="10"/>
  <c r="V12" i="6"/>
  <c r="F414" i="20"/>
  <c r="E100" i="7"/>
  <c r="Q100" i="7" s="1"/>
  <c r="D64" i="7"/>
  <c r="E412" i="20"/>
  <c r="D421" i="20"/>
  <c r="M18" i="34"/>
  <c r="H414" i="20"/>
  <c r="G100" i="7"/>
  <c r="M47" i="34"/>
  <c r="I414" i="20"/>
  <c r="H100" i="7"/>
  <c r="K414" i="20"/>
  <c r="J100" i="7"/>
  <c r="M414" i="20"/>
  <c r="L100" i="7"/>
  <c r="AH12" i="10"/>
  <c r="AH12" i="6"/>
  <c r="AI12" i="10"/>
  <c r="AI12" i="6"/>
  <c r="AF12" i="10"/>
  <c r="AF12" i="6"/>
  <c r="L412" i="20"/>
  <c r="K64" i="7"/>
  <c r="J412" i="20"/>
  <c r="I64" i="7"/>
  <c r="H412" i="20"/>
  <c r="G64" i="7"/>
  <c r="AG12" i="10"/>
  <c r="AG12" i="6"/>
  <c r="M412" i="20"/>
  <c r="L64" i="7"/>
  <c r="G12" i="7"/>
  <c r="M49" i="34"/>
  <c r="P82" i="7"/>
  <c r="J414" i="20"/>
  <c r="I100" i="7"/>
  <c r="D100" i="7"/>
  <c r="P100" i="7" s="1"/>
  <c r="E414" i="20"/>
  <c r="D423" i="20"/>
  <c r="AJ12" i="6"/>
  <c r="AJ12" i="10"/>
  <c r="AE12" i="6"/>
  <c r="AE12" i="10"/>
  <c r="I412" i="20"/>
  <c r="H64" i="7"/>
  <c r="E409" i="20"/>
  <c r="G12" i="21"/>
  <c r="AS44" i="20"/>
  <c r="AO44" i="20"/>
  <c r="S34" i="20"/>
  <c r="AO45" i="20"/>
  <c r="AP45" i="20"/>
  <c r="V44" i="20"/>
  <c r="R35" i="20"/>
  <c r="H13" i="7"/>
  <c r="BE3" i="34"/>
  <c r="BA4" i="34"/>
  <c r="BB4" i="34" s="1"/>
  <c r="BC4" i="34" s="1"/>
  <c r="BD4" i="34" s="1"/>
  <c r="U59" i="34"/>
  <c r="V52" i="34"/>
  <c r="H13" i="21"/>
  <c r="I12" i="7"/>
  <c r="N36" i="34"/>
  <c r="N47" i="34"/>
  <c r="N49" i="34"/>
  <c r="N19" i="34"/>
  <c r="N17" i="34"/>
  <c r="N18" i="34"/>
  <c r="P522" i="17"/>
  <c r="R55" i="34"/>
  <c r="Q60" i="34"/>
  <c r="Q58" i="34" s="1"/>
  <c r="Q20" i="34" s="1"/>
  <c r="P6" i="34"/>
  <c r="P14" i="34"/>
  <c r="P24" i="34" s="1"/>
  <c r="Q7" i="34"/>
  <c r="I32" i="34"/>
  <c r="I28" i="34" s="1"/>
  <c r="AU35" i="20"/>
  <c r="T44" i="20"/>
  <c r="AE35" i="20"/>
  <c r="AR45" i="20"/>
  <c r="AP34" i="20"/>
  <c r="AR34" i="20"/>
  <c r="R44" i="20"/>
  <c r="AM45" i="20"/>
  <c r="O13" i="34"/>
  <c r="O15" i="34"/>
  <c r="O35" i="34"/>
  <c r="E54" i="27"/>
  <c r="F53" i="27"/>
  <c r="D53" i="27" s="1"/>
  <c r="AO34" i="20"/>
  <c r="AB35" i="20"/>
  <c r="AF35" i="20"/>
  <c r="N10" i="7"/>
  <c r="AH44" i="20"/>
  <c r="I10" i="21"/>
  <c r="Y34" i="20"/>
  <c r="AU44" i="20"/>
  <c r="I10" i="7"/>
  <c r="G10" i="21"/>
  <c r="AK34" i="20"/>
  <c r="AJ34" i="20"/>
  <c r="AL34" i="20"/>
  <c r="D10" i="7"/>
  <c r="P10" i="7" s="1"/>
  <c r="W45" i="20"/>
  <c r="AM44" i="20"/>
  <c r="AT44" i="20"/>
  <c r="AG44" i="20"/>
  <c r="AJ35" i="20"/>
  <c r="AS35" i="20"/>
  <c r="U47" i="13"/>
  <c r="U54" i="13" s="1"/>
  <c r="U53" i="13" s="1"/>
  <c r="D12" i="21"/>
  <c r="P12" i="21" s="1"/>
  <c r="P9" i="21"/>
  <c r="P13" i="21" s="1"/>
  <c r="F10" i="21"/>
  <c r="D10" i="21"/>
  <c r="P10" i="21" s="1"/>
  <c r="H10" i="21"/>
  <c r="AN34" i="20"/>
  <c r="AU34" i="20"/>
  <c r="AA34" i="20"/>
  <c r="AB34" i="20"/>
  <c r="AH34" i="20"/>
  <c r="AJ45" i="20"/>
  <c r="AA44" i="20"/>
  <c r="AT34" i="20"/>
  <c r="AN35" i="20"/>
  <c r="AE45" i="20"/>
  <c r="AI35" i="20"/>
  <c r="AC45" i="20"/>
  <c r="Y44" i="20"/>
  <c r="X35" i="20"/>
  <c r="AG45" i="20"/>
  <c r="AJ44" i="20"/>
  <c r="O10" i="7"/>
  <c r="AT35" i="20"/>
  <c r="AR35" i="20"/>
  <c r="Z45" i="20"/>
  <c r="AI44" i="20"/>
  <c r="AM34" i="20"/>
  <c r="AM35" i="20"/>
  <c r="AK45" i="20"/>
  <c r="AL35" i="20"/>
  <c r="W44" i="20"/>
  <c r="X44" i="20"/>
  <c r="AE34" i="20"/>
  <c r="W35" i="20"/>
  <c r="AQ35" i="20"/>
  <c r="V35" i="20"/>
  <c r="S45" i="20"/>
  <c r="AV44" i="20"/>
  <c r="Q44" i="20"/>
  <c r="E10" i="21"/>
  <c r="J10" i="21"/>
  <c r="R34" i="20"/>
  <c r="W34" i="20"/>
  <c r="Z34" i="20"/>
  <c r="AV34" i="20"/>
  <c r="X34" i="20"/>
  <c r="AC34" i="20"/>
  <c r="AQ34" i="20"/>
  <c r="AD34" i="20"/>
  <c r="AL45" i="20"/>
  <c r="O10" i="21"/>
  <c r="AG35" i="20"/>
  <c r="Y35" i="20"/>
  <c r="Z35" i="20"/>
  <c r="AL44" i="20"/>
  <c r="V45" i="20"/>
  <c r="Q35" i="20"/>
  <c r="S35" i="20"/>
  <c r="AP44" i="20"/>
  <c r="AV45" i="20"/>
  <c r="AA35" i="20"/>
  <c r="AA45" i="20"/>
  <c r="AF44" i="20"/>
  <c r="AS34" i="20"/>
  <c r="AD45" i="20"/>
  <c r="AI45" i="20"/>
  <c r="AT45" i="20"/>
  <c r="AR44" i="20"/>
  <c r="T45" i="20"/>
  <c r="AK44" i="20"/>
  <c r="U34" i="20"/>
  <c r="AH35" i="20"/>
  <c r="AO35" i="20"/>
  <c r="AV35" i="20"/>
  <c r="AP35" i="20"/>
  <c r="AC44" i="20"/>
  <c r="S44" i="20"/>
  <c r="L10" i="21"/>
  <c r="K10" i="21"/>
  <c r="AI34" i="20"/>
  <c r="Q34" i="20"/>
  <c r="AG34" i="20"/>
  <c r="V34" i="20"/>
  <c r="AF34" i="20"/>
  <c r="AH45" i="20"/>
  <c r="T35" i="20"/>
  <c r="U45" i="20"/>
  <c r="AC35" i="20"/>
  <c r="Z44" i="20"/>
  <c r="AD35" i="20"/>
  <c r="X45" i="20"/>
  <c r="T34" i="20"/>
  <c r="Y45" i="20"/>
  <c r="AQ44" i="20"/>
  <c r="AE44" i="20"/>
  <c r="U35" i="20"/>
  <c r="N10" i="21"/>
  <c r="AS45" i="20"/>
  <c r="AF45" i="20"/>
  <c r="AB45" i="20"/>
  <c r="R45" i="20"/>
  <c r="U44" i="20"/>
  <c r="AB44" i="20"/>
  <c r="AQ45" i="20"/>
  <c r="AK35" i="20"/>
  <c r="AN45" i="20"/>
  <c r="AU45" i="20"/>
  <c r="Q45" i="20"/>
  <c r="AN44" i="20"/>
  <c r="AD44" i="20"/>
  <c r="R98" i="7"/>
  <c r="R103" i="7" s="1"/>
  <c r="E226" i="19"/>
  <c r="R26" i="7"/>
  <c r="C213" i="19"/>
  <c r="Q8" i="7"/>
  <c r="S8" i="7" s="1"/>
  <c r="Y29" i="10"/>
  <c r="G129" i="9"/>
  <c r="E16" i="3"/>
  <c r="E16" i="26"/>
  <c r="AB34" i="29"/>
  <c r="AA35" i="29"/>
  <c r="F12" i="21"/>
  <c r="F13" i="21"/>
  <c r="G34" i="9"/>
  <c r="P13" i="7"/>
  <c r="R62" i="7"/>
  <c r="R67" i="7" s="1"/>
  <c r="J12" i="21"/>
  <c r="J13" i="21"/>
  <c r="C48" i="7"/>
  <c r="P48" i="7"/>
  <c r="E13" i="7"/>
  <c r="E12" i="7"/>
  <c r="K12" i="21"/>
  <c r="K13" i="21"/>
  <c r="P84" i="7"/>
  <c r="C84" i="7"/>
  <c r="L13" i="21"/>
  <c r="L12" i="21"/>
  <c r="C102" i="7"/>
  <c r="P102" i="7"/>
  <c r="L13" i="7"/>
  <c r="L12" i="7"/>
  <c r="K13" i="7"/>
  <c r="K12" i="7"/>
  <c r="J12" i="7"/>
  <c r="J13" i="7"/>
  <c r="F13" i="7"/>
  <c r="F12" i="7"/>
  <c r="P66" i="7"/>
  <c r="C66" i="7"/>
  <c r="E13" i="21"/>
  <c r="E12" i="21"/>
  <c r="P12" i="7"/>
  <c r="D19" i="22"/>
  <c r="C9" i="21"/>
  <c r="R80" i="7"/>
  <c r="R85" i="7" s="1"/>
  <c r="C9" i="7"/>
  <c r="Q9" i="7" s="1"/>
  <c r="S9" i="7" s="1"/>
  <c r="R44" i="7"/>
  <c r="R49" i="7" s="1"/>
  <c r="U32" i="13"/>
  <c r="U33" i="13" s="1"/>
  <c r="R33" i="13"/>
  <c r="N32" i="13"/>
  <c r="U15" i="23"/>
  <c r="T18" i="23"/>
  <c r="T22" i="23"/>
  <c r="J10" i="7" l="1"/>
  <c r="M29" i="34"/>
  <c r="M30" i="34" s="1"/>
  <c r="AL11" i="10"/>
  <c r="L11" i="10" s="1"/>
  <c r="B27" i="29"/>
  <c r="J33" i="29"/>
  <c r="I33" i="29" s="1"/>
  <c r="B25" i="29"/>
  <c r="B15" i="29"/>
  <c r="N33" i="29"/>
  <c r="M33" i="29" s="1"/>
  <c r="B13" i="29"/>
  <c r="B14" i="29"/>
  <c r="B28" i="29"/>
  <c r="B20" i="29"/>
  <c r="B18" i="29"/>
  <c r="P33" i="29"/>
  <c r="O33" i="29" s="1"/>
  <c r="B16" i="29"/>
  <c r="R33" i="29"/>
  <c r="Q33" i="29" s="1"/>
  <c r="B17" i="29"/>
  <c r="L33" i="29"/>
  <c r="K33" i="29" s="1"/>
  <c r="B19" i="29"/>
  <c r="C14" i="29"/>
  <c r="C29" i="29" s="1"/>
  <c r="C30" i="29" s="1"/>
  <c r="B24" i="29"/>
  <c r="F208" i="19"/>
  <c r="AH11" i="6"/>
  <c r="H11" i="6" s="1"/>
  <c r="AF11" i="6"/>
  <c r="F11" i="6" s="1"/>
  <c r="F204" i="19"/>
  <c r="H217" i="19"/>
  <c r="E23" i="8" s="1"/>
  <c r="C23" i="8" s="1"/>
  <c r="F202" i="19"/>
  <c r="AD10" i="6"/>
  <c r="H223" i="19"/>
  <c r="F223" i="19" s="1"/>
  <c r="H225" i="19"/>
  <c r="E31" i="22" s="1"/>
  <c r="C31" i="22" s="1"/>
  <c r="H214" i="19"/>
  <c r="H196" i="19"/>
  <c r="AC11" i="6"/>
  <c r="F197" i="19"/>
  <c r="AB9" i="10"/>
  <c r="C9" i="10"/>
  <c r="E27" i="7"/>
  <c r="E21" i="22"/>
  <c r="C21" i="22" s="1"/>
  <c r="E21" i="8"/>
  <c r="C21" i="8" s="1"/>
  <c r="F215" i="19"/>
  <c r="E27" i="21"/>
  <c r="H7" i="40"/>
  <c r="M35" i="10"/>
  <c r="F104" i="9"/>
  <c r="C104" i="9" s="1"/>
  <c r="F207" i="19"/>
  <c r="H224" i="19"/>
  <c r="AM11" i="6"/>
  <c r="F203" i="19"/>
  <c r="H220" i="19"/>
  <c r="AI11" i="6"/>
  <c r="I11" i="6" s="1"/>
  <c r="E7" i="40"/>
  <c r="D35" i="10"/>
  <c r="F95" i="9"/>
  <c r="C95" i="9" s="1"/>
  <c r="F205" i="19"/>
  <c r="H222" i="19"/>
  <c r="AK11" i="6"/>
  <c r="K11" i="6" s="1"/>
  <c r="D7" i="40"/>
  <c r="F94" i="9"/>
  <c r="C94" i="9" s="1"/>
  <c r="C35" i="10"/>
  <c r="B8" i="10"/>
  <c r="F221" i="19"/>
  <c r="K27" i="7"/>
  <c r="E27" i="8"/>
  <c r="C27" i="8" s="1"/>
  <c r="K27" i="21"/>
  <c r="E27" i="22"/>
  <c r="C27" i="22" s="1"/>
  <c r="AI10" i="6"/>
  <c r="AB9" i="6"/>
  <c r="C9" i="6"/>
  <c r="B9" i="6" s="1"/>
  <c r="F219" i="19"/>
  <c r="I27" i="21"/>
  <c r="I27" i="7"/>
  <c r="E25" i="22"/>
  <c r="C25" i="22" s="1"/>
  <c r="E25" i="8"/>
  <c r="C25" i="8" s="1"/>
  <c r="H218" i="19"/>
  <c r="AG11" i="6"/>
  <c r="G11" i="6" s="1"/>
  <c r="F201" i="19"/>
  <c r="F199" i="19"/>
  <c r="AE11" i="6"/>
  <c r="E11" i="6" s="1"/>
  <c r="H216" i="19"/>
  <c r="H15" i="31"/>
  <c r="C14" i="31"/>
  <c r="F96" i="9"/>
  <c r="C96" i="9" s="1"/>
  <c r="F7" i="40"/>
  <c r="AN10" i="6"/>
  <c r="N10" i="6" s="1"/>
  <c r="N11" i="6"/>
  <c r="AJ10" i="6"/>
  <c r="B8" i="6"/>
  <c r="C46" i="7"/>
  <c r="H10" i="7"/>
  <c r="C82" i="7"/>
  <c r="R82" i="7" s="1"/>
  <c r="D411" i="20"/>
  <c r="G10" i="7"/>
  <c r="S12" i="6"/>
  <c r="T12" i="10"/>
  <c r="D413" i="20"/>
  <c r="W55" i="13"/>
  <c r="Y50" i="13"/>
  <c r="T33" i="43"/>
  <c r="E10" i="7"/>
  <c r="W12" i="6"/>
  <c r="R12" i="10"/>
  <c r="E12" i="10" s="1"/>
  <c r="Q12" i="10"/>
  <c r="D12" i="10" s="1"/>
  <c r="K12" i="10"/>
  <c r="D418" i="20"/>
  <c r="L10" i="7"/>
  <c r="X12" i="6"/>
  <c r="X10" i="6" s="1"/>
  <c r="F10" i="7"/>
  <c r="K10" i="7"/>
  <c r="J12" i="10"/>
  <c r="G12" i="10"/>
  <c r="D414" i="20"/>
  <c r="F12" i="10"/>
  <c r="D412" i="20"/>
  <c r="I12" i="10"/>
  <c r="E12" i="6"/>
  <c r="R10" i="6"/>
  <c r="G12" i="6"/>
  <c r="T10" i="6"/>
  <c r="F12" i="6"/>
  <c r="S10" i="6"/>
  <c r="C64" i="7"/>
  <c r="P64" i="7"/>
  <c r="I12" i="6"/>
  <c r="V10" i="6"/>
  <c r="AC12" i="10"/>
  <c r="AB12" i="10" s="1"/>
  <c r="AC12" i="6"/>
  <c r="D410" i="20"/>
  <c r="P12" i="6"/>
  <c r="D409" i="20"/>
  <c r="P12" i="10"/>
  <c r="D12" i="6"/>
  <c r="Q10" i="6"/>
  <c r="H12" i="10"/>
  <c r="C100" i="7"/>
  <c r="R100" i="7" s="1"/>
  <c r="R46" i="7"/>
  <c r="N29" i="34"/>
  <c r="N30" i="34" s="1"/>
  <c r="J12" i="6"/>
  <c r="W10" i="6"/>
  <c r="J10" i="6" s="1"/>
  <c r="H12" i="6"/>
  <c r="U10" i="6"/>
  <c r="W52" i="34"/>
  <c r="V59" i="34"/>
  <c r="BI3" i="34"/>
  <c r="BE4" i="34"/>
  <c r="BF4" i="34" s="1"/>
  <c r="BG4" i="34" s="1"/>
  <c r="BH4" i="34" s="1"/>
  <c r="O16" i="34"/>
  <c r="O47" i="34" s="1"/>
  <c r="I33" i="34"/>
  <c r="J31" i="34" s="1"/>
  <c r="J32" i="34" s="1"/>
  <c r="J28" i="34" s="1"/>
  <c r="F54" i="27"/>
  <c r="D54" i="27" s="1"/>
  <c r="E55" i="27"/>
  <c r="I34" i="34"/>
  <c r="I37" i="34" s="1"/>
  <c r="Q522" i="17"/>
  <c r="V47" i="13"/>
  <c r="V54" i="13" s="1"/>
  <c r="V53" i="13" s="1"/>
  <c r="C10" i="21"/>
  <c r="Q10" i="21" s="1"/>
  <c r="R7" i="34"/>
  <c r="Q6" i="34"/>
  <c r="Q14" i="34"/>
  <c r="Q24" i="34" s="1"/>
  <c r="S55" i="34"/>
  <c r="R60" i="34"/>
  <c r="R58" i="34" s="1"/>
  <c r="R20" i="34" s="1"/>
  <c r="P35" i="34"/>
  <c r="P15" i="34"/>
  <c r="P13" i="34"/>
  <c r="R102" i="7"/>
  <c r="R48" i="7"/>
  <c r="C12" i="7"/>
  <c r="Q12" i="7" s="1"/>
  <c r="S12" i="7" s="1"/>
  <c r="C13" i="7"/>
  <c r="C12" i="21"/>
  <c r="Q12" i="21" s="1"/>
  <c r="Q9" i="21"/>
  <c r="Q13" i="21" s="1"/>
  <c r="D19" i="8"/>
  <c r="G47" i="9"/>
  <c r="AA34" i="29"/>
  <c r="AA39" i="29" s="1"/>
  <c r="AA40" i="29" s="1"/>
  <c r="AB39" i="29"/>
  <c r="AB40" i="29" s="1"/>
  <c r="Q13" i="7"/>
  <c r="R66" i="7"/>
  <c r="R84" i="7"/>
  <c r="C13" i="21"/>
  <c r="V15" i="23"/>
  <c r="V22" i="23" s="1"/>
  <c r="U22" i="23"/>
  <c r="U18" i="23"/>
  <c r="N33" i="13"/>
  <c r="T23" i="23"/>
  <c r="T21" i="23" s="1"/>
  <c r="V32" i="43" s="1"/>
  <c r="V33" i="43" s="1"/>
  <c r="AL20" i="10" l="1"/>
  <c r="AF10" i="6"/>
  <c r="P16" i="34"/>
  <c r="P36" i="34" s="1"/>
  <c r="D10" i="6"/>
  <c r="F225" i="19"/>
  <c r="G27" i="21"/>
  <c r="G30" i="21" s="1"/>
  <c r="AL10" i="10"/>
  <c r="AL29" i="10" s="1"/>
  <c r="AH10" i="6"/>
  <c r="H10" i="6" s="1"/>
  <c r="BB35" i="29"/>
  <c r="BA35" i="29" s="1"/>
  <c r="E23" i="22"/>
  <c r="C23" i="22" s="1"/>
  <c r="AE10" i="6"/>
  <c r="E10" i="6" s="1"/>
  <c r="O27" i="7"/>
  <c r="O30" i="7" s="1"/>
  <c r="I10" i="6"/>
  <c r="F10" i="6"/>
  <c r="G27" i="7"/>
  <c r="G31" i="7" s="1"/>
  <c r="F217" i="19"/>
  <c r="AG10" i="6"/>
  <c r="G10" i="6" s="1"/>
  <c r="O27" i="21"/>
  <c r="O30" i="21" s="1"/>
  <c r="E31" i="8"/>
  <c r="C31" i="8" s="1"/>
  <c r="F218" i="19"/>
  <c r="E24" i="22"/>
  <c r="C24" i="22" s="1"/>
  <c r="H27" i="21"/>
  <c r="E24" i="8"/>
  <c r="C24" i="8" s="1"/>
  <c r="H27" i="7"/>
  <c r="K31" i="21"/>
  <c r="K30" i="21"/>
  <c r="F93" i="9"/>
  <c r="C93" i="9" s="1"/>
  <c r="B35" i="10"/>
  <c r="F27" i="7"/>
  <c r="F216" i="19"/>
  <c r="F27" i="21"/>
  <c r="E22" i="22"/>
  <c r="C22" i="22" s="1"/>
  <c r="E22" i="8"/>
  <c r="C22" i="8" s="1"/>
  <c r="I30" i="7"/>
  <c r="I31" i="7"/>
  <c r="E26" i="22"/>
  <c r="C26" i="22" s="1"/>
  <c r="J27" i="21"/>
  <c r="J27" i="7"/>
  <c r="F220" i="19"/>
  <c r="E26" i="8"/>
  <c r="C26" i="8" s="1"/>
  <c r="N27" i="7"/>
  <c r="Q27" i="7" s="1"/>
  <c r="Q31" i="7" s="1"/>
  <c r="N27" i="21"/>
  <c r="F224" i="19"/>
  <c r="E30" i="22"/>
  <c r="C30" i="22" s="1"/>
  <c r="E30" i="8"/>
  <c r="C30" i="8" s="1"/>
  <c r="B9" i="10"/>
  <c r="C26" i="10"/>
  <c r="D8" i="5"/>
  <c r="D6" i="5"/>
  <c r="D5" i="5" s="1"/>
  <c r="F196" i="19"/>
  <c r="U196" i="19"/>
  <c r="C7" i="40"/>
  <c r="I31" i="21"/>
  <c r="I30" i="21"/>
  <c r="D27" i="7"/>
  <c r="D27" i="21"/>
  <c r="E20" i="8"/>
  <c r="C20" i="8" s="1"/>
  <c r="F214" i="19"/>
  <c r="E20" i="22"/>
  <c r="H213" i="19"/>
  <c r="K31" i="7"/>
  <c r="K30" i="7"/>
  <c r="AM10" i="6"/>
  <c r="M10" i="6" s="1"/>
  <c r="M11" i="6"/>
  <c r="H34" i="9"/>
  <c r="L20" i="10"/>
  <c r="E31" i="21"/>
  <c r="E30" i="21"/>
  <c r="E30" i="7"/>
  <c r="E31" i="7"/>
  <c r="AB11" i="6"/>
  <c r="C11" i="6"/>
  <c r="AK10" i="6"/>
  <c r="K10" i="6" s="1"/>
  <c r="L27" i="21"/>
  <c r="F222" i="19"/>
  <c r="E28" i="8"/>
  <c r="C28" i="8" s="1"/>
  <c r="L27" i="7"/>
  <c r="E28" i="22"/>
  <c r="C28" i="22" s="1"/>
  <c r="O19" i="34"/>
  <c r="Y55" i="13"/>
  <c r="Z50" i="13"/>
  <c r="K12" i="6"/>
  <c r="C10" i="7"/>
  <c r="Q10" i="7" s="1"/>
  <c r="S10" i="7" s="1"/>
  <c r="R64" i="7"/>
  <c r="O17" i="34"/>
  <c r="O12" i="10"/>
  <c r="C12" i="10"/>
  <c r="B12" i="10" s="1"/>
  <c r="AB12" i="6"/>
  <c r="AC10" i="6"/>
  <c r="P10" i="6"/>
  <c r="C12" i="6"/>
  <c r="O12" i="6"/>
  <c r="O36" i="34"/>
  <c r="O49" i="34"/>
  <c r="BM3" i="34"/>
  <c r="BI4" i="34"/>
  <c r="BJ4" i="34" s="1"/>
  <c r="BK4" i="34" s="1"/>
  <c r="BL4" i="34" s="1"/>
  <c r="O18" i="34"/>
  <c r="X52" i="34"/>
  <c r="W59" i="34"/>
  <c r="J33" i="34"/>
  <c r="K31" i="34" s="1"/>
  <c r="S7" i="34"/>
  <c r="R14" i="34"/>
  <c r="R24" i="34" s="1"/>
  <c r="R6" i="34"/>
  <c r="R522" i="17"/>
  <c r="P47" i="34"/>
  <c r="P17" i="34"/>
  <c r="P18" i="34"/>
  <c r="J34" i="34"/>
  <c r="J37" i="34" s="1"/>
  <c r="S60" i="34"/>
  <c r="S58" i="34" s="1"/>
  <c r="S20" i="34" s="1"/>
  <c r="T55" i="34"/>
  <c r="W47" i="13"/>
  <c r="Q13" i="34"/>
  <c r="Q35" i="34"/>
  <c r="Q15" i="34"/>
  <c r="F55" i="27"/>
  <c r="D55" i="27" s="1"/>
  <c r="E56" i="27"/>
  <c r="S13" i="7"/>
  <c r="V18" i="23"/>
  <c r="V23" i="23" s="1"/>
  <c r="V21" i="23" s="1"/>
  <c r="Y32" i="43" s="1"/>
  <c r="W15" i="23"/>
  <c r="W22" i="23" s="1"/>
  <c r="U23" i="23"/>
  <c r="U21" i="23" s="1"/>
  <c r="V32" i="13"/>
  <c r="P49" i="34" l="1"/>
  <c r="P19" i="34"/>
  <c r="H129" i="9"/>
  <c r="G31" i="21"/>
  <c r="BB34" i="29"/>
  <c r="BB39" i="29" s="1"/>
  <c r="BB40" i="29" s="1"/>
  <c r="G30" i="7"/>
  <c r="L10" i="10"/>
  <c r="L29" i="10" s="1"/>
  <c r="O31" i="7"/>
  <c r="O31" i="21"/>
  <c r="AB10" i="6"/>
  <c r="B11" i="6"/>
  <c r="D30" i="21"/>
  <c r="D31" i="21"/>
  <c r="C27" i="21"/>
  <c r="G10" i="40"/>
  <c r="H30" i="7"/>
  <c r="H31" i="7"/>
  <c r="L31" i="7"/>
  <c r="L30" i="7"/>
  <c r="N31" i="7"/>
  <c r="N30" i="7"/>
  <c r="Q30" i="7" s="1"/>
  <c r="J30" i="21"/>
  <c r="J31" i="21"/>
  <c r="F31" i="7"/>
  <c r="F30" i="7"/>
  <c r="U213" i="19"/>
  <c r="V213" i="19" s="1"/>
  <c r="F213" i="19"/>
  <c r="B26" i="10"/>
  <c r="D3" i="11"/>
  <c r="L31" i="21"/>
  <c r="L30" i="21"/>
  <c r="O28" i="21"/>
  <c r="J28" i="21"/>
  <c r="H28" i="21"/>
  <c r="O28" i="7"/>
  <c r="K28" i="21"/>
  <c r="L28" i="21"/>
  <c r="N28" i="21"/>
  <c r="F28" i="21"/>
  <c r="D28" i="21"/>
  <c r="N28" i="7"/>
  <c r="G28" i="21"/>
  <c r="E28" i="21"/>
  <c r="I28" i="21"/>
  <c r="H28" i="7"/>
  <c r="K28" i="7"/>
  <c r="G28" i="7"/>
  <c r="U178" i="11"/>
  <c r="U179" i="11" s="1"/>
  <c r="V178" i="11"/>
  <c r="V179" i="11" s="1"/>
  <c r="AG178" i="11"/>
  <c r="AG179" i="11" s="1"/>
  <c r="AM178" i="11"/>
  <c r="AM179" i="11" s="1"/>
  <c r="P178" i="11"/>
  <c r="P179" i="11" s="1"/>
  <c r="AR178" i="11"/>
  <c r="AR179" i="11" s="1"/>
  <c r="H178" i="11"/>
  <c r="H179" i="11" s="1"/>
  <c r="AO178" i="11"/>
  <c r="AO179" i="11" s="1"/>
  <c r="J178" i="11"/>
  <c r="J179" i="11" s="1"/>
  <c r="AN178" i="11"/>
  <c r="AN179" i="11" s="1"/>
  <c r="AF178" i="11"/>
  <c r="AF179" i="11" s="1"/>
  <c r="D178" i="11"/>
  <c r="D179" i="11" s="1"/>
  <c r="AD178" i="11"/>
  <c r="AD179" i="11" s="1"/>
  <c r="C178" i="11"/>
  <c r="W178" i="11"/>
  <c r="W179" i="11" s="1"/>
  <c r="M178" i="11"/>
  <c r="M179" i="11" s="1"/>
  <c r="AS178" i="11"/>
  <c r="AS179" i="11" s="1"/>
  <c r="F28" i="7"/>
  <c r="S178" i="11"/>
  <c r="S179" i="11" s="1"/>
  <c r="N178" i="11"/>
  <c r="N179" i="11" s="1"/>
  <c r="L28" i="7"/>
  <c r="I28" i="7"/>
  <c r="D28" i="7"/>
  <c r="AI178" i="11"/>
  <c r="AI179" i="11" s="1"/>
  <c r="AB178" i="11"/>
  <c r="AB179" i="11" s="1"/>
  <c r="X178" i="11"/>
  <c r="X179" i="11" s="1"/>
  <c r="AP178" i="11"/>
  <c r="AP179" i="11" s="1"/>
  <c r="O178" i="11"/>
  <c r="O179" i="11" s="1"/>
  <c r="R178" i="11"/>
  <c r="R179" i="11" s="1"/>
  <c r="F178" i="11"/>
  <c r="F179" i="11" s="1"/>
  <c r="E178" i="11"/>
  <c r="E179" i="11" s="1"/>
  <c r="T178" i="11"/>
  <c r="T179" i="11" s="1"/>
  <c r="Q178" i="11"/>
  <c r="Q179" i="11" s="1"/>
  <c r="AE178" i="11"/>
  <c r="AE179" i="11" s="1"/>
  <c r="AC178" i="11"/>
  <c r="AC179" i="11" s="1"/>
  <c r="E28" i="7"/>
  <c r="I178" i="11"/>
  <c r="I179" i="11" s="1"/>
  <c r="AQ178" i="11"/>
  <c r="AQ179" i="11" s="1"/>
  <c r="Y178" i="11"/>
  <c r="Y179" i="11" s="1"/>
  <c r="G178" i="11"/>
  <c r="G179" i="11" s="1"/>
  <c r="K178" i="11"/>
  <c r="K179" i="11" s="1"/>
  <c r="L178" i="11"/>
  <c r="L179" i="11" s="1"/>
  <c r="J28" i="7"/>
  <c r="AH178" i="11"/>
  <c r="AH179" i="11" s="1"/>
  <c r="AT178" i="11"/>
  <c r="AT179" i="11" s="1"/>
  <c r="Z178" i="11"/>
  <c r="Z179" i="11" s="1"/>
  <c r="AA178" i="11"/>
  <c r="AA179" i="11" s="1"/>
  <c r="AJ178" i="11"/>
  <c r="AJ179" i="11" s="1"/>
  <c r="AL178" i="11"/>
  <c r="AL179" i="11" s="1"/>
  <c r="AK178" i="11"/>
  <c r="AK179" i="11" s="1"/>
  <c r="N31" i="21"/>
  <c r="N30" i="21"/>
  <c r="J31" i="7"/>
  <c r="J30" i="7"/>
  <c r="H30" i="21"/>
  <c r="H31" i="21"/>
  <c r="H226" i="19"/>
  <c r="H47" i="9"/>
  <c r="F34" i="9"/>
  <c r="C20" i="22"/>
  <c r="E19" i="22"/>
  <c r="C19" i="22" s="1"/>
  <c r="P27" i="7"/>
  <c r="P31" i="7" s="1"/>
  <c r="D31" i="7"/>
  <c r="C27" i="7"/>
  <c r="D30" i="7"/>
  <c r="F30" i="21"/>
  <c r="F31" i="21"/>
  <c r="O29" i="34"/>
  <c r="O30" i="34" s="1"/>
  <c r="Z55" i="13"/>
  <c r="AA50" i="13"/>
  <c r="W32" i="13"/>
  <c r="W33" i="13" s="1"/>
  <c r="W32" i="43"/>
  <c r="Y33" i="43"/>
  <c r="B12" i="6"/>
  <c r="Q16" i="34"/>
  <c r="Q17" i="34" s="1"/>
  <c r="C10" i="6"/>
  <c r="B10" i="6" s="1"/>
  <c r="O10" i="6"/>
  <c r="BQ3" i="34"/>
  <c r="BM4" i="34"/>
  <c r="BN4" i="34" s="1"/>
  <c r="BO4" i="34" s="1"/>
  <c r="BP4" i="34" s="1"/>
  <c r="Y52" i="34"/>
  <c r="X59" i="34"/>
  <c r="R35" i="34"/>
  <c r="R15" i="34"/>
  <c r="R13" i="34"/>
  <c r="Y47" i="13"/>
  <c r="Y54" i="13" s="1"/>
  <c r="Y53" i="13" s="1"/>
  <c r="T60" i="34"/>
  <c r="T58" i="34" s="1"/>
  <c r="T20" i="34" s="1"/>
  <c r="U55" i="34"/>
  <c r="P29" i="34"/>
  <c r="P30" i="34" s="1"/>
  <c r="S522" i="17"/>
  <c r="S6" i="34"/>
  <c r="S14" i="34"/>
  <c r="S24" i="34" s="1"/>
  <c r="T7" i="34"/>
  <c r="E57" i="27"/>
  <c r="F56" i="27"/>
  <c r="D56" i="27" s="1"/>
  <c r="W54" i="13"/>
  <c r="W53" i="13" s="1"/>
  <c r="K32" i="34"/>
  <c r="K28" i="34" s="1"/>
  <c r="F55" i="29"/>
  <c r="F51" i="29" s="1"/>
  <c r="F56" i="29" s="1"/>
  <c r="Y32" i="13"/>
  <c r="W18" i="23"/>
  <c r="W23" i="23" s="1"/>
  <c r="W21" i="23" s="1"/>
  <c r="Z32" i="43" s="1"/>
  <c r="Z33" i="43" s="1"/>
  <c r="V33" i="13"/>
  <c r="X15" i="23"/>
  <c r="X22" i="23" s="1"/>
  <c r="Q18" i="34" l="1"/>
  <c r="R16" i="34"/>
  <c r="R19" i="34" s="1"/>
  <c r="BA34" i="29"/>
  <c r="BA39" i="29" s="1"/>
  <c r="BA40" i="29" s="1"/>
  <c r="F129" i="9"/>
  <c r="C129" i="9" s="1"/>
  <c r="Q28" i="7"/>
  <c r="R27" i="7"/>
  <c r="R31" i="7" s="1"/>
  <c r="C28" i="21"/>
  <c r="R28" i="21" s="1"/>
  <c r="C31" i="21"/>
  <c r="C179" i="11"/>
  <c r="B179" i="11" s="1"/>
  <c r="B178" i="11"/>
  <c r="R27" i="21"/>
  <c r="R31" i="21" s="1"/>
  <c r="E19" i="8"/>
  <c r="C19" i="8" s="1"/>
  <c r="P30" i="7"/>
  <c r="C30" i="7"/>
  <c r="F47" i="9"/>
  <c r="C34" i="9"/>
  <c r="C47" i="9" s="1"/>
  <c r="P28" i="7"/>
  <c r="C28" i="7"/>
  <c r="C30" i="21"/>
  <c r="R30" i="21" s="1"/>
  <c r="C31" i="7"/>
  <c r="Q47" i="34"/>
  <c r="AA55" i="13"/>
  <c r="AB50" i="13"/>
  <c r="Q36" i="34"/>
  <c r="S32" i="13"/>
  <c r="S33" i="13" s="1"/>
  <c r="W33" i="43"/>
  <c r="S32" i="43"/>
  <c r="K33" i="34"/>
  <c r="L31" i="34" s="1"/>
  <c r="L32" i="34" s="1"/>
  <c r="L28" i="34" s="1"/>
  <c r="L34" i="34" s="1"/>
  <c r="L37" i="34" s="1"/>
  <c r="Q19" i="34"/>
  <c r="Q29" i="34" s="1"/>
  <c r="Q30" i="34" s="1"/>
  <c r="Q49" i="34"/>
  <c r="Z52" i="34"/>
  <c r="Y59" i="34"/>
  <c r="BU3" i="34"/>
  <c r="BQ4" i="34"/>
  <c r="BR4" i="34" s="1"/>
  <c r="BS4" i="34" s="1"/>
  <c r="BT4" i="34" s="1"/>
  <c r="K34" i="34"/>
  <c r="K37" i="34" s="1"/>
  <c r="T14" i="34"/>
  <c r="T24" i="34" s="1"/>
  <c r="T6" i="34"/>
  <c r="U7" i="34"/>
  <c r="V55" i="34"/>
  <c r="U60" i="34"/>
  <c r="U58" i="34" s="1"/>
  <c r="U20" i="34" s="1"/>
  <c r="R47" i="34"/>
  <c r="R18" i="34"/>
  <c r="T522" i="17"/>
  <c r="Z47" i="13"/>
  <c r="S13" i="34"/>
  <c r="S35" i="34"/>
  <c r="S15" i="34"/>
  <c r="E58" i="27"/>
  <c r="F57" i="27"/>
  <c r="D57" i="27" s="1"/>
  <c r="Z32" i="13"/>
  <c r="Z33" i="13" s="1"/>
  <c r="Y33" i="13"/>
  <c r="Y15" i="23"/>
  <c r="Y22" i="23" s="1"/>
  <c r="X18" i="23"/>
  <c r="X23" i="23" s="1"/>
  <c r="X21" i="23" s="1"/>
  <c r="AA32" i="43" s="1"/>
  <c r="AA33" i="43" s="1"/>
  <c r="R36" i="34" l="1"/>
  <c r="R17" i="34"/>
  <c r="R49" i="34"/>
  <c r="R28" i="7"/>
  <c r="R30" i="7"/>
  <c r="AB55" i="13"/>
  <c r="AD50" i="13"/>
  <c r="L33" i="34"/>
  <c r="M31" i="34" s="1"/>
  <c r="M32" i="34" s="1"/>
  <c r="M28" i="34" s="1"/>
  <c r="M34" i="34" s="1"/>
  <c r="M37" i="34" s="1"/>
  <c r="S33" i="43"/>
  <c r="R29" i="34"/>
  <c r="R30" i="34" s="1"/>
  <c r="BU4" i="34"/>
  <c r="BV4" i="34" s="1"/>
  <c r="BW4" i="34" s="1"/>
  <c r="BX4" i="34" s="1"/>
  <c r="BY3" i="34"/>
  <c r="S16" i="34"/>
  <c r="S17" i="34" s="1"/>
  <c r="Z59" i="34"/>
  <c r="AA52" i="34"/>
  <c r="E59" i="27"/>
  <c r="F58" i="27"/>
  <c r="D58" i="27" s="1"/>
  <c r="AA47" i="13"/>
  <c r="U522" i="17"/>
  <c r="V60" i="34"/>
  <c r="V58" i="34" s="1"/>
  <c r="V20" i="34" s="1"/>
  <c r="W55" i="34"/>
  <c r="V7" i="34"/>
  <c r="U6" i="34"/>
  <c r="U14" i="34"/>
  <c r="U24" i="34" s="1"/>
  <c r="Z54" i="13"/>
  <c r="Z53" i="13" s="1"/>
  <c r="T35" i="34"/>
  <c r="T13" i="34"/>
  <c r="T15" i="34"/>
  <c r="AA32" i="13"/>
  <c r="AA33" i="13" s="1"/>
  <c r="Y18" i="23"/>
  <c r="Z15" i="23"/>
  <c r="Z22" i="23" s="1"/>
  <c r="AD55" i="13" l="1"/>
  <c r="AE50" i="13"/>
  <c r="S49" i="34"/>
  <c r="S36" i="34"/>
  <c r="S18" i="34"/>
  <c r="S47" i="34"/>
  <c r="BY4" i="34"/>
  <c r="BZ4" i="34" s="1"/>
  <c r="CA4" i="34" s="1"/>
  <c r="CB4" i="34" s="1"/>
  <c r="CC3" i="34"/>
  <c r="S19" i="34"/>
  <c r="AB52" i="34"/>
  <c r="AA59" i="34"/>
  <c r="M33" i="34"/>
  <c r="N31" i="34" s="1"/>
  <c r="N32" i="34" s="1"/>
  <c r="N28" i="34" s="1"/>
  <c r="N34" i="34" s="1"/>
  <c r="N37" i="34" s="1"/>
  <c r="V522" i="17"/>
  <c r="V6" i="34"/>
  <c r="V14" i="34"/>
  <c r="V24" i="34" s="1"/>
  <c r="W7" i="34"/>
  <c r="T16" i="34"/>
  <c r="X55" i="34"/>
  <c r="W60" i="34"/>
  <c r="W58" i="34" s="1"/>
  <c r="W20" i="34" s="1"/>
  <c r="AB47" i="13"/>
  <c r="AB54" i="13" s="1"/>
  <c r="AB53" i="13" s="1"/>
  <c r="F59" i="27"/>
  <c r="D59" i="27" s="1"/>
  <c r="E60" i="27"/>
  <c r="AA54" i="13"/>
  <c r="AA53" i="13" s="1"/>
  <c r="U13" i="34"/>
  <c r="U15" i="34"/>
  <c r="U35" i="34"/>
  <c r="AA15" i="23"/>
  <c r="Z18" i="23"/>
  <c r="Z23" i="23" s="1"/>
  <c r="Z21" i="23" s="1"/>
  <c r="AD32" i="43" s="1"/>
  <c r="Y23" i="23"/>
  <c r="Y21" i="23" s="1"/>
  <c r="AB32" i="43" s="1"/>
  <c r="U16" i="34" l="1"/>
  <c r="U36" i="34" s="1"/>
  <c r="S29" i="34"/>
  <c r="S30" i="34" s="1"/>
  <c r="AE55" i="13"/>
  <c r="AF50" i="13"/>
  <c r="AD33" i="43"/>
  <c r="AB33" i="43"/>
  <c r="X32" i="43"/>
  <c r="N33" i="34"/>
  <c r="O31" i="34" s="1"/>
  <c r="AC52" i="34"/>
  <c r="AB59" i="34"/>
  <c r="CC4" i="34"/>
  <c r="CD4" i="34" s="1"/>
  <c r="CE4" i="34" s="1"/>
  <c r="CF4" i="34" s="1"/>
  <c r="CG3" i="34"/>
  <c r="U49" i="34"/>
  <c r="U18" i="34"/>
  <c r="X60" i="34"/>
  <c r="X58" i="34" s="1"/>
  <c r="X20" i="34" s="1"/>
  <c r="Y55" i="34"/>
  <c r="W6" i="34"/>
  <c r="X7" i="34"/>
  <c r="W14" i="34"/>
  <c r="W24" i="34" s="1"/>
  <c r="F60" i="27"/>
  <c r="D60" i="27" s="1"/>
  <c r="E61" i="27"/>
  <c r="T17" i="34"/>
  <c r="T36" i="34"/>
  <c r="T47" i="34"/>
  <c r="T49" i="34"/>
  <c r="T18" i="34"/>
  <c r="T19" i="34"/>
  <c r="AD47" i="13"/>
  <c r="AD54" i="13" s="1"/>
  <c r="AD53" i="13" s="1"/>
  <c r="V35" i="34"/>
  <c r="V13" i="34"/>
  <c r="V15" i="34"/>
  <c r="W522" i="17"/>
  <c r="O32" i="34"/>
  <c r="O28" i="34" s="1"/>
  <c r="AD32" i="13"/>
  <c r="AB15" i="23"/>
  <c r="AB32" i="13"/>
  <c r="G55" i="29"/>
  <c r="G51" i="29" s="1"/>
  <c r="G56" i="29" s="1"/>
  <c r="AA22" i="23"/>
  <c r="AA18" i="23"/>
  <c r="AA23" i="23" s="1"/>
  <c r="U19" i="34" l="1"/>
  <c r="U17" i="34"/>
  <c r="U47" i="34"/>
  <c r="AF55" i="13"/>
  <c r="AG50" i="13"/>
  <c r="X33" i="43"/>
  <c r="CG4" i="34"/>
  <c r="CH4" i="34" s="1"/>
  <c r="CI4" i="34" s="1"/>
  <c r="CJ4" i="34" s="1"/>
  <c r="CK3" i="34"/>
  <c r="V16" i="34"/>
  <c r="V18" i="34" s="1"/>
  <c r="AC59" i="34"/>
  <c r="AD52" i="34"/>
  <c r="E62" i="27"/>
  <c r="F61" i="27"/>
  <c r="D61" i="27" s="1"/>
  <c r="X6" i="34"/>
  <c r="X14" i="34"/>
  <c r="X24" i="34" s="1"/>
  <c r="Y7" i="34"/>
  <c r="W15" i="34"/>
  <c r="W13" i="34"/>
  <c r="W35" i="34"/>
  <c r="Y60" i="34"/>
  <c r="Y58" i="34" s="1"/>
  <c r="Y20" i="34" s="1"/>
  <c r="Z55" i="34"/>
  <c r="X522" i="17"/>
  <c r="AE47" i="13"/>
  <c r="AE54" i="13" s="1"/>
  <c r="AE53" i="13" s="1"/>
  <c r="T29" i="34"/>
  <c r="T30" i="34" s="1"/>
  <c r="U29" i="34"/>
  <c r="U30" i="34" s="1"/>
  <c r="O34" i="34"/>
  <c r="O37" i="34" s="1"/>
  <c r="O33" i="34"/>
  <c r="P31" i="34" s="1"/>
  <c r="AA21" i="23"/>
  <c r="AD33" i="13"/>
  <c r="AB33" i="13"/>
  <c r="X32" i="13"/>
  <c r="AC15" i="23"/>
  <c r="AC22" i="23" s="1"/>
  <c r="AB18" i="23"/>
  <c r="AB23" i="23" s="1"/>
  <c r="AB22" i="23"/>
  <c r="W16" i="34" l="1"/>
  <c r="W36" i="34" s="1"/>
  <c r="V47" i="34"/>
  <c r="AG55" i="13"/>
  <c r="AI50" i="13"/>
  <c r="V49" i="34"/>
  <c r="AE32" i="13"/>
  <c r="AE33" i="13" s="1"/>
  <c r="AE32" i="43"/>
  <c r="V36" i="34"/>
  <c r="V17" i="34"/>
  <c r="V19" i="34"/>
  <c r="AD59" i="34"/>
  <c r="AE52" i="34"/>
  <c r="CO3" i="34"/>
  <c r="CK4" i="34"/>
  <c r="CL4" i="34" s="1"/>
  <c r="CM4" i="34" s="1"/>
  <c r="CN4" i="34" s="1"/>
  <c r="Z60" i="34"/>
  <c r="Z58" i="34" s="1"/>
  <c r="Z20" i="34" s="1"/>
  <c r="AA55" i="34"/>
  <c r="X15" i="34"/>
  <c r="X35" i="34"/>
  <c r="X13" i="34"/>
  <c r="W49" i="34"/>
  <c r="W19" i="34"/>
  <c r="W47" i="34"/>
  <c r="AF47" i="13"/>
  <c r="Y522" i="17"/>
  <c r="Z7" i="34"/>
  <c r="Y6" i="34"/>
  <c r="Y14" i="34"/>
  <c r="Y24" i="34" s="1"/>
  <c r="E63" i="27"/>
  <c r="F63" i="27" s="1"/>
  <c r="D63" i="27" s="1"/>
  <c r="F62" i="27"/>
  <c r="D62" i="27" s="1"/>
  <c r="P32" i="34"/>
  <c r="P28" i="34" s="1"/>
  <c r="AC18" i="23"/>
  <c r="X33" i="13"/>
  <c r="AD15" i="23"/>
  <c r="AD22" i="23" s="1"/>
  <c r="AB21" i="23"/>
  <c r="AF32" i="43" s="1"/>
  <c r="AF33" i="43" s="1"/>
  <c r="W17" i="34" l="1"/>
  <c r="W18" i="34"/>
  <c r="AI55" i="13"/>
  <c r="AJ50" i="13"/>
  <c r="X16" i="34"/>
  <c r="X49" i="34" s="1"/>
  <c r="V29" i="34"/>
  <c r="V30" i="34" s="1"/>
  <c r="AE33" i="43"/>
  <c r="CS3" i="34"/>
  <c r="CO4" i="34"/>
  <c r="CP4" i="34" s="1"/>
  <c r="CQ4" i="34" s="1"/>
  <c r="CR4" i="34" s="1"/>
  <c r="AE59" i="34"/>
  <c r="AF52" i="34"/>
  <c r="W29" i="34"/>
  <c r="W30" i="34" s="1"/>
  <c r="X18" i="34"/>
  <c r="X19" i="34"/>
  <c r="Y13" i="34"/>
  <c r="Y35" i="34"/>
  <c r="Y15" i="34"/>
  <c r="Z14" i="34"/>
  <c r="Z24" i="34" s="1"/>
  <c r="AA7" i="34"/>
  <c r="Z6" i="34"/>
  <c r="AG47" i="13"/>
  <c r="Z522" i="17"/>
  <c r="AA60" i="34"/>
  <c r="AA58" i="34" s="1"/>
  <c r="AA20" i="34" s="1"/>
  <c r="AB55" i="34"/>
  <c r="AF54" i="13"/>
  <c r="AF53" i="13" s="1"/>
  <c r="P34" i="34"/>
  <c r="P37" i="34" s="1"/>
  <c r="P33" i="34"/>
  <c r="Q31" i="34" s="1"/>
  <c r="AD18" i="23"/>
  <c r="AC23" i="23"/>
  <c r="AC21" i="23" s="1"/>
  <c r="AE15" i="23"/>
  <c r="AF32" i="13"/>
  <c r="X17" i="34" l="1"/>
  <c r="X36" i="34"/>
  <c r="X47" i="34"/>
  <c r="AJ55" i="13"/>
  <c r="AK50" i="13"/>
  <c r="AG32" i="13"/>
  <c r="AG33" i="13" s="1"/>
  <c r="AG32" i="43"/>
  <c r="Y16" i="34"/>
  <c r="Y19" i="34" s="1"/>
  <c r="AF59" i="34"/>
  <c r="AG52" i="34"/>
  <c r="X29" i="34"/>
  <c r="X30" i="34" s="1"/>
  <c r="CS4" i="34"/>
  <c r="CT4" i="34" s="1"/>
  <c r="CU4" i="34" s="1"/>
  <c r="CV4" i="34" s="1"/>
  <c r="CW3" i="34"/>
  <c r="AB60" i="34"/>
  <c r="AB58" i="34" s="1"/>
  <c r="AB20" i="34" s="1"/>
  <c r="AC55" i="34"/>
  <c r="AB7" i="34"/>
  <c r="AA14" i="34"/>
  <c r="AA24" i="34" s="1"/>
  <c r="AA6" i="34"/>
  <c r="AI47" i="13"/>
  <c r="AI54" i="13" s="1"/>
  <c r="AI53" i="13" s="1"/>
  <c r="AG54" i="13"/>
  <c r="AG53" i="13" s="1"/>
  <c r="AA522" i="17"/>
  <c r="Z15" i="34"/>
  <c r="Z35" i="34"/>
  <c r="Z13" i="34"/>
  <c r="Q32" i="34"/>
  <c r="Q28" i="34" s="1"/>
  <c r="H55" i="29"/>
  <c r="H51" i="29" s="1"/>
  <c r="H56" i="29" s="1"/>
  <c r="AF15" i="23"/>
  <c r="AE18" i="23"/>
  <c r="AF33" i="13"/>
  <c r="AE22" i="23"/>
  <c r="AD23" i="23"/>
  <c r="AD21" i="23" s="1"/>
  <c r="AI32" i="43" s="1"/>
  <c r="AK55" i="13" l="1"/>
  <c r="AL50" i="13"/>
  <c r="AC32" i="13"/>
  <c r="AC33" i="13" s="1"/>
  <c r="AG33" i="43"/>
  <c r="AC32" i="43"/>
  <c r="AI33" i="43"/>
  <c r="Y36" i="34"/>
  <c r="Y49" i="34"/>
  <c r="Z16" i="34"/>
  <c r="Z17" i="34" s="1"/>
  <c r="Y47" i="34"/>
  <c r="Y17" i="34"/>
  <c r="Y18" i="34"/>
  <c r="CW4" i="34"/>
  <c r="CX4" i="34" s="1"/>
  <c r="CY4" i="34" s="1"/>
  <c r="CZ4" i="34" s="1"/>
  <c r="DA3" i="34"/>
  <c r="AG59" i="34"/>
  <c r="AH52" i="34"/>
  <c r="AB522" i="17"/>
  <c r="AA35" i="34"/>
  <c r="AA13" i="34"/>
  <c r="AA15" i="34"/>
  <c r="Z47" i="34"/>
  <c r="Z49" i="34"/>
  <c r="AD55" i="34"/>
  <c r="AC60" i="34"/>
  <c r="AC58" i="34" s="1"/>
  <c r="AC20" i="34" s="1"/>
  <c r="AJ47" i="13"/>
  <c r="AJ54" i="13" s="1"/>
  <c r="AJ53" i="13" s="1"/>
  <c r="AB14" i="34"/>
  <c r="AB24" i="34" s="1"/>
  <c r="AC7" i="34"/>
  <c r="AB6" i="34"/>
  <c r="Q34" i="34"/>
  <c r="Q37" i="34" s="1"/>
  <c r="Q33" i="34"/>
  <c r="R31" i="34" s="1"/>
  <c r="AG15" i="23"/>
  <c r="AG22" i="23" s="1"/>
  <c r="AF22" i="23"/>
  <c r="AF18" i="23"/>
  <c r="AF23" i="23" s="1"/>
  <c r="AI32" i="13"/>
  <c r="AE23" i="23"/>
  <c r="AE21" i="23" s="1"/>
  <c r="AJ32" i="43" s="1"/>
  <c r="AJ33" i="43" s="1"/>
  <c r="AL55" i="13" l="1"/>
  <c r="AN50" i="13"/>
  <c r="AC33" i="43"/>
  <c r="Z19" i="34"/>
  <c r="Z29" i="34" s="1"/>
  <c r="Z30" i="34" s="1"/>
  <c r="Y29" i="34"/>
  <c r="Y30" i="34" s="1"/>
  <c r="Z18" i="34"/>
  <c r="Z36" i="34"/>
  <c r="AA16" i="34"/>
  <c r="AA18" i="34" s="1"/>
  <c r="AI52" i="34"/>
  <c r="AH59" i="34"/>
  <c r="DA4" i="34"/>
  <c r="DB4" i="34" s="1"/>
  <c r="DC4" i="34" s="1"/>
  <c r="DD4" i="34" s="1"/>
  <c r="DE3" i="34"/>
  <c r="AC6" i="34"/>
  <c r="AC14" i="34"/>
  <c r="AC24" i="34" s="1"/>
  <c r="AD7" i="34"/>
  <c r="AE55" i="34"/>
  <c r="AD60" i="34"/>
  <c r="AD58" i="34" s="1"/>
  <c r="AD20" i="34" s="1"/>
  <c r="AB35" i="34"/>
  <c r="AB13" i="34"/>
  <c r="AB15" i="34"/>
  <c r="AK47" i="13"/>
  <c r="AK54" i="13" s="1"/>
  <c r="AK53" i="13" s="1"/>
  <c r="AC522" i="17"/>
  <c r="R32" i="34"/>
  <c r="R28" i="34" s="1"/>
  <c r="AJ32" i="13"/>
  <c r="AJ33" i="13" s="1"/>
  <c r="AG18" i="23"/>
  <c r="AH15" i="23"/>
  <c r="AF21" i="23"/>
  <c r="AI33" i="13"/>
  <c r="AB16" i="34" l="1"/>
  <c r="AB18" i="34" s="1"/>
  <c r="AA47" i="34"/>
  <c r="AA19" i="34"/>
  <c r="AN55" i="13"/>
  <c r="AO50" i="13"/>
  <c r="AK32" i="13"/>
  <c r="AK33" i="13" s="1"/>
  <c r="AK32" i="43"/>
  <c r="AA36" i="34"/>
  <c r="AA49" i="34"/>
  <c r="AA17" i="34"/>
  <c r="DE4" i="34"/>
  <c r="DF4" i="34" s="1"/>
  <c r="DG4" i="34" s="1"/>
  <c r="DH4" i="34" s="1"/>
  <c r="DI3" i="34"/>
  <c r="AI59" i="34"/>
  <c r="AJ52" i="34"/>
  <c r="AB19" i="34"/>
  <c r="AB49" i="34"/>
  <c r="AB17" i="34"/>
  <c r="AC15" i="34"/>
  <c r="AC35" i="34"/>
  <c r="AC13" i="34"/>
  <c r="AL47" i="13"/>
  <c r="AD522" i="17"/>
  <c r="AT163" i="20" a="1"/>
  <c r="AT163" i="20" s="1"/>
  <c r="AT70" i="20" s="1"/>
  <c r="AE155" i="20" a="1"/>
  <c r="AE155" i="20" s="1"/>
  <c r="W151" i="20" a="1"/>
  <c r="W151" i="20" s="1"/>
  <c r="W58" i="20" s="1"/>
  <c r="AK192" i="20" a="1"/>
  <c r="AK192" i="20" s="1"/>
  <c r="AK99" i="20" s="1"/>
  <c r="AQ180" i="20" a="1"/>
  <c r="AQ180" i="20" s="1"/>
  <c r="AQ87" i="20" s="1"/>
  <c r="AP193" i="20" a="1"/>
  <c r="AP193" i="20" s="1"/>
  <c r="AP100" i="20" s="1"/>
  <c r="H189" i="20" a="1"/>
  <c r="H189" i="20" s="1"/>
  <c r="H96" i="20" s="1"/>
  <c r="V146" i="20" a="1"/>
  <c r="V146" i="20" s="1"/>
  <c r="V53" i="20" s="1"/>
  <c r="H168" i="20" a="1"/>
  <c r="H168" i="20" s="1"/>
  <c r="H75" i="20" s="1"/>
  <c r="G143" i="20" a="1"/>
  <c r="G143" i="20" s="1"/>
  <c r="G50" i="20" s="1"/>
  <c r="P182" i="20" a="1"/>
  <c r="P182" i="20" s="1"/>
  <c r="P89" i="20" s="1"/>
  <c r="T196" i="20" a="1"/>
  <c r="T196" i="20" s="1"/>
  <c r="T103" i="20" s="1"/>
  <c r="AT174" i="20" a="1"/>
  <c r="AT174" i="20" s="1"/>
  <c r="AT81" i="20" s="1"/>
  <c r="AP154" i="20" a="1"/>
  <c r="AP154" i="20" s="1"/>
  <c r="H173" i="20" a="1"/>
  <c r="H173" i="20" s="1"/>
  <c r="H80" i="20" s="1"/>
  <c r="Q171" i="20" a="1"/>
  <c r="Q171" i="20" s="1"/>
  <c r="Q78" i="20" s="1"/>
  <c r="AT190" i="20" a="1"/>
  <c r="AT190" i="20" s="1"/>
  <c r="AT97" i="20" s="1"/>
  <c r="AB167" i="20" a="1"/>
  <c r="AB167" i="20" s="1"/>
  <c r="AB74" i="20" s="1"/>
  <c r="AU132" i="20" a="1"/>
  <c r="AU132" i="20" s="1"/>
  <c r="AU39" i="20" s="1"/>
  <c r="X196" i="20" a="1"/>
  <c r="X196" i="20" s="1"/>
  <c r="X103" i="20" s="1"/>
  <c r="AJ154" i="20" a="1"/>
  <c r="AJ154" i="20" s="1"/>
  <c r="G137" i="20" a="1"/>
  <c r="G137" i="20" s="1"/>
  <c r="G44" i="20" s="1"/>
  <c r="AR190" i="20" a="1"/>
  <c r="AR190" i="20" s="1"/>
  <c r="AR97" i="20" s="1"/>
  <c r="P175" i="20" a="1"/>
  <c r="P175" i="20" s="1"/>
  <c r="Z135" i="20" a="1"/>
  <c r="Z135" i="20" s="1"/>
  <c r="Z42" i="20" s="1"/>
  <c r="AB186" i="20" a="1"/>
  <c r="AB186" i="20" s="1"/>
  <c r="AB93" i="20" s="1"/>
  <c r="L196" i="20" a="1"/>
  <c r="L196" i="20" s="1"/>
  <c r="L103" i="20" s="1"/>
  <c r="AG190" i="20" a="1"/>
  <c r="AG190" i="20" s="1"/>
  <c r="AG97" i="20" s="1"/>
  <c r="E167" i="20" a="1"/>
  <c r="E167" i="20" s="1"/>
  <c r="P172" i="20" a="1"/>
  <c r="P172" i="20" s="1"/>
  <c r="P79" i="20" s="1"/>
  <c r="AR148" i="20" a="1"/>
  <c r="AR148" i="20" s="1"/>
  <c r="AR55" i="20" s="1"/>
  <c r="X172" i="20" a="1"/>
  <c r="X172" i="20" s="1"/>
  <c r="X79" i="20" s="1"/>
  <c r="I148" i="20" a="1"/>
  <c r="I148" i="20" s="1"/>
  <c r="I55" i="20" s="1"/>
  <c r="X161" i="20" a="1"/>
  <c r="X161" i="20" s="1"/>
  <c r="X68" i="20" s="1"/>
  <c r="I170" i="20" a="1"/>
  <c r="I170" i="20" s="1"/>
  <c r="I77" i="20" s="1"/>
  <c r="G159" i="20" a="1"/>
  <c r="G159" i="20" s="1"/>
  <c r="G66" i="20" s="1"/>
  <c r="AR176" i="20" a="1"/>
  <c r="AR176" i="20" s="1"/>
  <c r="AR83" i="20" s="1"/>
  <c r="P130" i="20" a="1"/>
  <c r="P130" i="20" s="1"/>
  <c r="P37" i="20" s="1"/>
  <c r="V170" i="20" a="1"/>
  <c r="V170" i="20" s="1"/>
  <c r="V77" i="20" s="1"/>
  <c r="K182" i="20" a="1"/>
  <c r="K182" i="20" s="1"/>
  <c r="K89" i="20" s="1"/>
  <c r="T174" i="20" a="1"/>
  <c r="T174" i="20" s="1"/>
  <c r="T81" i="20" s="1"/>
  <c r="AT188" i="20" a="1"/>
  <c r="AT188" i="20" s="1"/>
  <c r="AV158" i="20" a="1"/>
  <c r="AV158" i="20" s="1"/>
  <c r="AV65" i="20" s="1"/>
  <c r="E198" i="20" a="1"/>
  <c r="E198" i="20" s="1"/>
  <c r="W168" i="20" a="1"/>
  <c r="W168" i="20" s="1"/>
  <c r="W75" i="20" s="1"/>
  <c r="L197" i="20" a="1"/>
  <c r="L197" i="20" s="1"/>
  <c r="L104" i="20" s="1"/>
  <c r="X182" i="20" a="1"/>
  <c r="X182" i="20" s="1"/>
  <c r="X89" i="20" s="1"/>
  <c r="N168" i="20" a="1"/>
  <c r="N168" i="20" s="1"/>
  <c r="N75" i="20" s="1"/>
  <c r="E157" i="20" a="1"/>
  <c r="E157" i="20" s="1"/>
  <c r="AH182" i="20" a="1"/>
  <c r="AH182" i="20" s="1"/>
  <c r="AH89" i="20" s="1"/>
  <c r="P185" i="20" a="1"/>
  <c r="P185" i="20" s="1"/>
  <c r="P92" i="20" s="1"/>
  <c r="AQ202" i="20" a="1"/>
  <c r="AQ202" i="20" s="1"/>
  <c r="AQ109" i="20" s="1"/>
  <c r="F189" i="20" a="1"/>
  <c r="F189" i="20" s="1"/>
  <c r="F96" i="20" s="1"/>
  <c r="AI154" i="20" a="1"/>
  <c r="AI154" i="20" s="1"/>
  <c r="AI61" i="20" s="1"/>
  <c r="M174" i="20" a="1"/>
  <c r="M174" i="20" s="1"/>
  <c r="M81" i="20" s="1"/>
  <c r="X136" i="20" a="1"/>
  <c r="X136" i="20" s="1"/>
  <c r="X43" i="20" s="1"/>
  <c r="P135" i="20" a="1"/>
  <c r="P135" i="20" s="1"/>
  <c r="P42" i="20" s="1"/>
  <c r="N196" i="20" a="1"/>
  <c r="N196" i="20" s="1"/>
  <c r="N103" i="20" s="1"/>
  <c r="AO164" i="20" a="1"/>
  <c r="AO164" i="20" s="1"/>
  <c r="AO71" i="20" s="1"/>
  <c r="J161" i="20" a="1"/>
  <c r="J161" i="20" s="1"/>
  <c r="J68" i="20" s="1"/>
  <c r="F151" i="20" a="1"/>
  <c r="F151" i="20" s="1"/>
  <c r="F58" i="20" s="1"/>
  <c r="R170" i="20" a="1"/>
  <c r="R170" i="20" s="1"/>
  <c r="R77" i="20" s="1"/>
  <c r="V198" i="20" a="1"/>
  <c r="V198" i="20" s="1"/>
  <c r="V105" i="20" s="1"/>
  <c r="AP180" i="20" a="1"/>
  <c r="AP180" i="20" s="1"/>
  <c r="AP87" i="20" s="1"/>
  <c r="AV161" i="20" a="1"/>
  <c r="AV161" i="20" s="1"/>
  <c r="AV68" i="20" s="1"/>
  <c r="X174" i="20" a="1"/>
  <c r="X174" i="20" s="1"/>
  <c r="X81" i="20" s="1"/>
  <c r="AF146" i="20" a="1"/>
  <c r="AF146" i="20" s="1"/>
  <c r="AF53" i="20" s="1"/>
  <c r="AH192" i="20" a="1"/>
  <c r="AH192" i="20" s="1"/>
  <c r="AH99" i="20" s="1"/>
  <c r="AA193" i="20" a="1"/>
  <c r="AA193" i="20" s="1"/>
  <c r="AA100" i="20" s="1"/>
  <c r="G166" i="20" a="1"/>
  <c r="G166" i="20" s="1"/>
  <c r="G73" i="20" s="1"/>
  <c r="Y140" i="20" a="1"/>
  <c r="Y140" i="20" s="1"/>
  <c r="G187" i="20" a="1"/>
  <c r="G187" i="20" s="1"/>
  <c r="G94" i="20" s="1"/>
  <c r="AL156" i="20" a="1"/>
  <c r="AL156" i="20" s="1"/>
  <c r="AL63" i="20" s="1"/>
  <c r="AI198" i="20" a="1"/>
  <c r="AI198" i="20" s="1"/>
  <c r="AI105" i="20" s="1"/>
  <c r="O173" i="20" a="1"/>
  <c r="O173" i="20" s="1"/>
  <c r="O80" i="20" s="1"/>
  <c r="G145" i="20" a="1"/>
  <c r="G145" i="20" s="1"/>
  <c r="G52" i="20" s="1"/>
  <c r="K141" i="20" a="1"/>
  <c r="K141" i="20" s="1"/>
  <c r="K48" i="20" s="1"/>
  <c r="AN190" i="20" a="1"/>
  <c r="AN190" i="20" s="1"/>
  <c r="AN97" i="20" s="1"/>
  <c r="AI177" i="20" a="1"/>
  <c r="AI177" i="20" s="1"/>
  <c r="AI84" i="20" s="1"/>
  <c r="AF194" i="20" a="1"/>
  <c r="AF194" i="20" s="1"/>
  <c r="AF101" i="20" s="1"/>
  <c r="R172" i="20" a="1"/>
  <c r="R172" i="20" s="1"/>
  <c r="R79" i="20" s="1"/>
  <c r="Y175" i="20" a="1"/>
  <c r="Y175" i="20" s="1"/>
  <c r="I129" i="20" a="1"/>
  <c r="I129" i="20" s="1"/>
  <c r="I36" i="20" s="1"/>
  <c r="AS174" i="20" a="1"/>
  <c r="AS174" i="20" s="1"/>
  <c r="AS81" i="20" s="1"/>
  <c r="AP197" i="20" a="1"/>
  <c r="AP197" i="20" s="1"/>
  <c r="AP104" i="20" s="1"/>
  <c r="E140" i="20" a="1"/>
  <c r="E140" i="20" s="1"/>
  <c r="AT140" i="20" a="1"/>
  <c r="AT140" i="20" s="1"/>
  <c r="P133" i="20" a="1"/>
  <c r="P133" i="20" s="1"/>
  <c r="P40" i="20" s="1"/>
  <c r="AP166" i="20" a="1"/>
  <c r="AP166" i="20" s="1"/>
  <c r="AP73" i="20" s="1"/>
  <c r="AA145" i="20" a="1"/>
  <c r="AA145" i="20" s="1"/>
  <c r="AA52" i="20" s="1"/>
  <c r="AB189" i="20" a="1"/>
  <c r="AB189" i="20" s="1"/>
  <c r="AB96" i="20" s="1"/>
  <c r="M137" i="20" a="1"/>
  <c r="M137" i="20" s="1"/>
  <c r="M44" i="20" s="1"/>
  <c r="K198" i="20" a="1"/>
  <c r="K198" i="20" s="1"/>
  <c r="K105" i="20" s="1"/>
  <c r="J130" i="20" a="1"/>
  <c r="J130" i="20" s="1"/>
  <c r="J37" i="20" s="1"/>
  <c r="AP146" i="20" a="1"/>
  <c r="AP146" i="20" s="1"/>
  <c r="AP53" i="20" s="1"/>
  <c r="AH164" i="20" a="1"/>
  <c r="AH164" i="20" s="1"/>
  <c r="AH71" i="20" s="1"/>
  <c r="O135" i="20" a="1"/>
  <c r="O135" i="20" s="1"/>
  <c r="O42" i="20" s="1"/>
  <c r="Z141" i="20" a="1"/>
  <c r="Z141" i="20" s="1"/>
  <c r="Z48" i="20" s="1"/>
  <c r="AD175" i="20" a="1"/>
  <c r="AD175" i="20" s="1"/>
  <c r="AA132" i="20" a="1"/>
  <c r="AA132" i="20" s="1"/>
  <c r="AA39" i="20" s="1"/>
  <c r="N173" i="20" a="1"/>
  <c r="N173" i="20" s="1"/>
  <c r="N80" i="20" s="1"/>
  <c r="AR130" i="20" a="1"/>
  <c r="AR130" i="20" s="1"/>
  <c r="AR37" i="20" s="1"/>
  <c r="AJ167" i="20" a="1"/>
  <c r="AJ167" i="20" s="1"/>
  <c r="AJ74" i="20" s="1"/>
  <c r="AE190" i="20" a="1"/>
  <c r="AE190" i="20" s="1"/>
  <c r="AE97" i="20" s="1"/>
  <c r="AS146" i="20" a="1"/>
  <c r="AS146" i="20" s="1"/>
  <c r="AS53" i="20" s="1"/>
  <c r="N140" i="20" a="1"/>
  <c r="N140" i="20" s="1"/>
  <c r="N47" i="20" s="1"/>
  <c r="E149" i="20" a="1"/>
  <c r="E149" i="20" s="1"/>
  <c r="AU149" i="20" a="1"/>
  <c r="AU149" i="20" s="1"/>
  <c r="AU56" i="20" s="1"/>
  <c r="Q170" i="20" a="1"/>
  <c r="Q170" i="20" s="1"/>
  <c r="Q77" i="20" s="1"/>
  <c r="AR147" i="20" a="1"/>
  <c r="AR147" i="20" s="1"/>
  <c r="AR54" i="20" s="1"/>
  <c r="AM194" i="20" a="1"/>
  <c r="AM194" i="20" s="1"/>
  <c r="AM101" i="20" s="1"/>
  <c r="AS171" i="20" a="1"/>
  <c r="AS171" i="20" s="1"/>
  <c r="AS78" i="20" s="1"/>
  <c r="AU188" i="20" a="1"/>
  <c r="AU188" i="20" s="1"/>
  <c r="W184" i="20" a="1"/>
  <c r="W184" i="20" s="1"/>
  <c r="W91" i="20" s="1"/>
  <c r="E186" i="20" a="1"/>
  <c r="E186" i="20" s="1"/>
  <c r="L136" i="20" a="1"/>
  <c r="L136" i="20" s="1"/>
  <c r="L43" i="20" s="1"/>
  <c r="AV172" i="20" a="1"/>
  <c r="AV172" i="20" s="1"/>
  <c r="AV79" i="20" s="1"/>
  <c r="AQ142" i="20" a="1"/>
  <c r="AQ142" i="20" s="1"/>
  <c r="AQ49" i="20" s="1"/>
  <c r="AT173" i="20" a="1"/>
  <c r="AT173" i="20" s="1"/>
  <c r="AT80" i="20" s="1"/>
  <c r="AQ164" i="20" a="1"/>
  <c r="AQ164" i="20" s="1"/>
  <c r="AQ71" i="20" s="1"/>
  <c r="AR189" i="20" a="1"/>
  <c r="AR189" i="20" s="1"/>
  <c r="AR96" i="20" s="1"/>
  <c r="AK182" i="20" a="1"/>
  <c r="AK182" i="20" s="1"/>
  <c r="AK89" i="20" s="1"/>
  <c r="I202" i="20" a="1"/>
  <c r="I202" i="20" s="1"/>
  <c r="I109" i="20" s="1"/>
  <c r="T157" i="20" a="1"/>
  <c r="T157" i="20" s="1"/>
  <c r="T64" i="20" s="1"/>
  <c r="AP186" i="20" a="1"/>
  <c r="AP186" i="20" s="1"/>
  <c r="AP93" i="20" s="1"/>
  <c r="T134" i="20" a="1"/>
  <c r="T134" i="20" s="1"/>
  <c r="T41" i="20" s="1"/>
  <c r="T136" i="20" a="1"/>
  <c r="T136" i="20" s="1"/>
  <c r="T43" i="20" s="1"/>
  <c r="AH177" i="20" a="1"/>
  <c r="AH177" i="20" s="1"/>
  <c r="AH84" i="20" s="1"/>
  <c r="P189" i="20" a="1"/>
  <c r="P189" i="20" s="1"/>
  <c r="P96" i="20" s="1"/>
  <c r="P137" i="20" a="1"/>
  <c r="P137" i="20" s="1"/>
  <c r="P44" i="20" s="1"/>
  <c r="O159" i="20" a="1"/>
  <c r="O159" i="20" s="1"/>
  <c r="O66" i="20" s="1"/>
  <c r="V132" i="20" a="1"/>
  <c r="V132" i="20" s="1"/>
  <c r="V39" i="20" s="1"/>
  <c r="AS177" i="20" a="1"/>
  <c r="AS177" i="20" s="1"/>
  <c r="AS84" i="20" s="1"/>
  <c r="P134" i="20" a="1"/>
  <c r="P134" i="20" s="1"/>
  <c r="P41" i="20" s="1"/>
  <c r="AL159" i="20" a="1"/>
  <c r="AL159" i="20" s="1"/>
  <c r="AL66" i="20" s="1"/>
  <c r="AD166" i="20" a="1"/>
  <c r="AD166" i="20" s="1"/>
  <c r="AD73" i="20" s="1"/>
  <c r="Y133" i="20" a="1"/>
  <c r="Y133" i="20" s="1"/>
  <c r="Y40" i="20" s="1"/>
  <c r="AH146" i="20" a="1"/>
  <c r="AH146" i="20" s="1"/>
  <c r="AH53" i="20" s="1"/>
  <c r="AB157" i="20" a="1"/>
  <c r="AB157" i="20" s="1"/>
  <c r="AB64" i="20" s="1"/>
  <c r="AA175" i="20" a="1"/>
  <c r="AA175" i="20" s="1"/>
  <c r="T189" i="20" a="1"/>
  <c r="T189" i="20" s="1"/>
  <c r="T96" i="20" s="1"/>
  <c r="V143" i="20" a="1"/>
  <c r="V143" i="20" s="1"/>
  <c r="V50" i="20" s="1"/>
  <c r="AP187" i="20" a="1"/>
  <c r="AP187" i="20" s="1"/>
  <c r="AP94" i="20" s="1"/>
  <c r="AK187" i="20" a="1"/>
  <c r="AK187" i="20" s="1"/>
  <c r="AK94" i="20" s="1"/>
  <c r="AV160" i="20" a="1"/>
  <c r="AV160" i="20" s="1"/>
  <c r="AV67" i="20" s="1"/>
  <c r="K143" i="20" a="1"/>
  <c r="K143" i="20" s="1"/>
  <c r="K50" i="20" s="1"/>
  <c r="N157" i="20" a="1"/>
  <c r="N157" i="20" s="1"/>
  <c r="N64" i="20" s="1"/>
  <c r="H171" i="20" a="1"/>
  <c r="H171" i="20" s="1"/>
  <c r="H78" i="20" s="1"/>
  <c r="I149" i="20" a="1"/>
  <c r="I149" i="20" s="1"/>
  <c r="I56" i="20" s="1"/>
  <c r="AR171" i="20" a="1"/>
  <c r="AR171" i="20" s="1"/>
  <c r="AR78" i="20" s="1"/>
  <c r="AT171" i="20" a="1"/>
  <c r="AT171" i="20" s="1"/>
  <c r="AT78" i="20" s="1"/>
  <c r="U180" i="20" a="1"/>
  <c r="U180" i="20" s="1"/>
  <c r="U87" i="20" s="1"/>
  <c r="W149" i="20" a="1"/>
  <c r="W149" i="20" s="1"/>
  <c r="W56" i="20" s="1"/>
  <c r="S129" i="20" a="1"/>
  <c r="S129" i="20" s="1"/>
  <c r="AE159" i="20" a="1"/>
  <c r="AE159" i="20" s="1"/>
  <c r="AE66" i="20" s="1"/>
  <c r="I146" i="20" a="1"/>
  <c r="I146" i="20" s="1"/>
  <c r="I53" i="20" s="1"/>
  <c r="AR163" i="20" a="1"/>
  <c r="AR163" i="20" s="1"/>
  <c r="AR70" i="20" s="1"/>
  <c r="F172" i="20" a="1"/>
  <c r="F172" i="20" s="1"/>
  <c r="F79" i="20" s="1"/>
  <c r="H157" i="20" a="1"/>
  <c r="H157" i="20" s="1"/>
  <c r="H64" i="20" s="1"/>
  <c r="P146" i="20" a="1"/>
  <c r="P146" i="20" s="1"/>
  <c r="P53" i="20" s="1"/>
  <c r="P131" i="20" a="1"/>
  <c r="P131" i="20" s="1"/>
  <c r="P38" i="20" s="1"/>
  <c r="Z129" i="20" a="1"/>
  <c r="Z129" i="20" s="1"/>
  <c r="I196" i="20" a="1"/>
  <c r="I196" i="20" s="1"/>
  <c r="I103" i="20" s="1"/>
  <c r="S158" i="20" a="1"/>
  <c r="S158" i="20" s="1"/>
  <c r="S65" i="20" s="1"/>
  <c r="AM164" i="20" a="1"/>
  <c r="AM164" i="20" s="1"/>
  <c r="AM71" i="20" s="1"/>
  <c r="N180" i="20" a="1"/>
  <c r="N180" i="20" s="1"/>
  <c r="N87" i="20" s="1"/>
  <c r="AG134" i="20" a="1"/>
  <c r="AG134" i="20" s="1"/>
  <c r="AG41" i="20" s="1"/>
  <c r="M176" i="20" a="1"/>
  <c r="M176" i="20" s="1"/>
  <c r="M83" i="20" s="1"/>
  <c r="AS155" i="20" a="1"/>
  <c r="AS155" i="20" s="1"/>
  <c r="AS62" i="20" s="1"/>
  <c r="V186" i="20" a="1"/>
  <c r="V186" i="20" s="1"/>
  <c r="V93" i="20" s="1"/>
  <c r="T167" i="20" a="1"/>
  <c r="T167" i="20" s="1"/>
  <c r="T74" i="20" s="1"/>
  <c r="AK200" i="20" a="1"/>
  <c r="AK200" i="20" s="1"/>
  <c r="AK107" i="20" s="1"/>
  <c r="AE177" i="20" a="1"/>
  <c r="AE177" i="20" s="1"/>
  <c r="AE84" i="20" s="1"/>
  <c r="AH183" i="20" a="1"/>
  <c r="AH183" i="20" s="1"/>
  <c r="AH90" i="20" s="1"/>
  <c r="M157" i="20" a="1"/>
  <c r="M157" i="20" s="1"/>
  <c r="M64" i="20" s="1"/>
  <c r="I169" i="20" a="1"/>
  <c r="I169" i="20" s="1"/>
  <c r="I76" i="20" s="1"/>
  <c r="R160" i="20" a="1"/>
  <c r="R160" i="20" s="1"/>
  <c r="R67" i="20" s="1"/>
  <c r="K160" i="20" a="1"/>
  <c r="K160" i="20" s="1"/>
  <c r="K67" i="20" s="1"/>
  <c r="K146" i="20" a="1"/>
  <c r="K146" i="20" s="1"/>
  <c r="K53" i="20" s="1"/>
  <c r="N202" i="20" a="1"/>
  <c r="N202" i="20" s="1"/>
  <c r="N109" i="20" s="1"/>
  <c r="P143" i="20" a="1"/>
  <c r="P143" i="20" s="1"/>
  <c r="P50" i="20" s="1"/>
  <c r="T193" i="20" a="1"/>
  <c r="T193" i="20" s="1"/>
  <c r="T100" i="20" s="1"/>
  <c r="Q195" i="20" a="1"/>
  <c r="Q195" i="20" s="1"/>
  <c r="Q102" i="20" s="1"/>
  <c r="O196" i="20" a="1"/>
  <c r="O196" i="20" s="1"/>
  <c r="O103" i="20" s="1"/>
  <c r="AE187" i="20" a="1"/>
  <c r="AE187" i="20" s="1"/>
  <c r="AE94" i="20" s="1"/>
  <c r="S173" i="20" a="1"/>
  <c r="S173" i="20" s="1"/>
  <c r="S80" i="20" s="1"/>
  <c r="Z166" i="20" a="1"/>
  <c r="Z166" i="20" s="1"/>
  <c r="Z73" i="20" s="1"/>
  <c r="AU130" i="20" a="1"/>
  <c r="AU130" i="20" s="1"/>
  <c r="AU37" i="20" s="1"/>
  <c r="AS132" i="20" a="1"/>
  <c r="AS132" i="20" s="1"/>
  <c r="AS39" i="20" s="1"/>
  <c r="G147" i="20" a="1"/>
  <c r="G147" i="20" s="1"/>
  <c r="G54" i="20" s="1"/>
  <c r="Q159" i="20" a="1"/>
  <c r="Q159" i="20" s="1"/>
  <c r="Q66" i="20" s="1"/>
  <c r="L141" i="20" a="1"/>
  <c r="L141" i="20" s="1"/>
  <c r="L48" i="20" s="1"/>
  <c r="V130" i="20" a="1"/>
  <c r="V130" i="20" s="1"/>
  <c r="V37" i="20" s="1"/>
  <c r="T129" i="20" a="1"/>
  <c r="T129" i="20" s="1"/>
  <c r="AK190" i="20" a="1"/>
  <c r="AK190" i="20" s="1"/>
  <c r="AK97" i="20" s="1"/>
  <c r="H174" i="20" a="1"/>
  <c r="H174" i="20" s="1"/>
  <c r="H81" i="20" s="1"/>
  <c r="AC135" i="20" a="1"/>
  <c r="AC135" i="20" s="1"/>
  <c r="AC42" i="20" s="1"/>
  <c r="AT155" i="20" a="1"/>
  <c r="AT155" i="20" s="1"/>
  <c r="AT62" i="20" s="1"/>
  <c r="AJ136" i="20" a="1"/>
  <c r="AJ136" i="20" s="1"/>
  <c r="AJ43" i="20" s="1"/>
  <c r="AB146" i="20" a="1"/>
  <c r="AB146" i="20" s="1"/>
  <c r="AB53" i="20" s="1"/>
  <c r="W147" i="20" a="1"/>
  <c r="W147" i="20" s="1"/>
  <c r="W54" i="20" s="1"/>
  <c r="AV177" i="20" a="1"/>
  <c r="AV177" i="20" s="1"/>
  <c r="AV84" i="20" s="1"/>
  <c r="U157" i="20" a="1"/>
  <c r="U157" i="20" s="1"/>
  <c r="U64" i="20" s="1"/>
  <c r="G174" i="20" a="1"/>
  <c r="G174" i="20" s="1"/>
  <c r="G81" i="20" s="1"/>
  <c r="U195" i="20" a="1"/>
  <c r="U195" i="20" s="1"/>
  <c r="U102" i="20" s="1"/>
  <c r="Q146" i="20" a="1"/>
  <c r="Q146" i="20" s="1"/>
  <c r="Q53" i="20" s="1"/>
  <c r="L195" i="20" a="1"/>
  <c r="L195" i="20" s="1"/>
  <c r="L102" i="20" s="1"/>
  <c r="R135" i="20" a="1"/>
  <c r="R135" i="20" s="1"/>
  <c r="R42" i="20" s="1"/>
  <c r="X143" i="20" a="1"/>
  <c r="X143" i="20" s="1"/>
  <c r="X50" i="20" s="1"/>
  <c r="N134" i="20" a="1"/>
  <c r="N134" i="20" s="1"/>
  <c r="N41" i="20" s="1"/>
  <c r="AL185" i="20" a="1"/>
  <c r="AL185" i="20" s="1"/>
  <c r="AL92" i="20" s="1"/>
  <c r="AA143" i="20" a="1"/>
  <c r="AA143" i="20" s="1"/>
  <c r="AA50" i="20" s="1"/>
  <c r="R167" i="20" a="1"/>
  <c r="R167" i="20" s="1"/>
  <c r="R74" i="20" s="1"/>
  <c r="G168" i="20" a="1"/>
  <c r="G168" i="20" s="1"/>
  <c r="G75" i="20" s="1"/>
  <c r="AR153" i="20" a="1"/>
  <c r="AR153" i="20" s="1"/>
  <c r="R129" i="20" a="1"/>
  <c r="R129" i="20" s="1"/>
  <c r="K147" i="20" a="1"/>
  <c r="K147" i="20" s="1"/>
  <c r="K54" i="20" s="1"/>
  <c r="F135" i="20" a="1"/>
  <c r="F135" i="20" s="1"/>
  <c r="F42" i="20" s="1"/>
  <c r="AS131" i="20" a="1"/>
  <c r="AS131" i="20" s="1"/>
  <c r="AS38" i="20" s="1"/>
  <c r="M153" i="20" a="1"/>
  <c r="M153" i="20" s="1"/>
  <c r="M60" i="20" s="1"/>
  <c r="H196" i="20" a="1"/>
  <c r="H196" i="20" s="1"/>
  <c r="H103" i="20" s="1"/>
  <c r="S141" i="20" a="1"/>
  <c r="S141" i="20" s="1"/>
  <c r="S48" i="20" s="1"/>
  <c r="N129" i="20" a="1"/>
  <c r="N129" i="20" s="1"/>
  <c r="N36" i="20" s="1"/>
  <c r="I138" i="20" a="1"/>
  <c r="I138" i="20" s="1"/>
  <c r="I45" i="20" s="1"/>
  <c r="AU196" i="20" a="1"/>
  <c r="AU196" i="20" s="1"/>
  <c r="AU103" i="20" s="1"/>
  <c r="AC159" i="20" a="1"/>
  <c r="AC159" i="20" s="1"/>
  <c r="AC66" i="20" s="1"/>
  <c r="AG136" i="20" a="1"/>
  <c r="AG136" i="20" s="1"/>
  <c r="AG43" i="20" s="1"/>
  <c r="V147" i="20" a="1"/>
  <c r="V147" i="20" s="1"/>
  <c r="V54" i="20" s="1"/>
  <c r="W174" i="20" a="1"/>
  <c r="W174" i="20" s="1"/>
  <c r="W81" i="20" s="1"/>
  <c r="AR149" i="20" a="1"/>
  <c r="AR149" i="20" s="1"/>
  <c r="AR56" i="20" s="1"/>
  <c r="N195" i="20" a="1"/>
  <c r="N195" i="20" s="1"/>
  <c r="N102" i="20" s="1"/>
  <c r="L150" i="20" a="1"/>
  <c r="L150" i="20" s="1"/>
  <c r="L57" i="20" s="1"/>
  <c r="P202" i="20" a="1"/>
  <c r="P202" i="20" s="1"/>
  <c r="P109" i="20" s="1"/>
  <c r="AP147" i="20" a="1"/>
  <c r="AP147" i="20" s="1"/>
  <c r="AP54" i="20" s="1"/>
  <c r="E172" i="20" a="1"/>
  <c r="E172" i="20" s="1"/>
  <c r="AU187" i="20" a="1"/>
  <c r="AU187" i="20" s="1"/>
  <c r="AU94" i="20" s="1"/>
  <c r="U136" i="20" a="1"/>
  <c r="U136" i="20" s="1"/>
  <c r="U43" i="20" s="1"/>
  <c r="Z130" i="20" a="1"/>
  <c r="Z130" i="20" s="1"/>
  <c r="Z37" i="20" s="1"/>
  <c r="AO154" i="20" a="1"/>
  <c r="AO154" i="20" s="1"/>
  <c r="Z145" i="20" a="1"/>
  <c r="Z145" i="20" s="1"/>
  <c r="Z52" i="20" s="1"/>
  <c r="Q176" i="20" a="1"/>
  <c r="Q176" i="20" s="1"/>
  <c r="Q83" i="20" s="1"/>
  <c r="AV192" i="20" a="1"/>
  <c r="AV192" i="20" s="1"/>
  <c r="AV99" i="20" s="1"/>
  <c r="AR129" i="20" a="1"/>
  <c r="AR129" i="20" s="1"/>
  <c r="AP133" i="20" a="1"/>
  <c r="AP133" i="20" s="1"/>
  <c r="AP40" i="20" s="1"/>
  <c r="AB198" i="20" a="1"/>
  <c r="AB198" i="20" s="1"/>
  <c r="AB105" i="20" s="1"/>
  <c r="AQ186" i="20" a="1"/>
  <c r="AQ186" i="20" s="1"/>
  <c r="AQ93" i="20" s="1"/>
  <c r="U144" i="20" a="1"/>
  <c r="U144" i="20" s="1"/>
  <c r="U51" i="20" s="1"/>
  <c r="V174" i="20" a="1"/>
  <c r="V174" i="20" s="1"/>
  <c r="V81" i="20" s="1"/>
  <c r="AT167" i="20" a="1"/>
  <c r="AT167" i="20" s="1"/>
  <c r="AT74" i="20" s="1"/>
  <c r="X169" i="20" a="1"/>
  <c r="X169" i="20" s="1"/>
  <c r="X76" i="20" s="1"/>
  <c r="J159" i="20" a="1"/>
  <c r="J159" i="20" s="1"/>
  <c r="J66" i="20" s="1"/>
  <c r="AJ135" i="20" a="1"/>
  <c r="AJ135" i="20" s="1"/>
  <c r="AJ42" i="20" s="1"/>
  <c r="J202" i="20" a="1"/>
  <c r="J202" i="20" s="1"/>
  <c r="J109" i="20" s="1"/>
  <c r="H150" i="20" a="1"/>
  <c r="H150" i="20" s="1"/>
  <c r="H57" i="20" s="1"/>
  <c r="AS188" i="20" a="1"/>
  <c r="AS188" i="20" s="1"/>
  <c r="E173" i="20" a="1"/>
  <c r="E173" i="20" s="1"/>
  <c r="AQ170" i="20" a="1"/>
  <c r="AQ170" i="20" s="1"/>
  <c r="AQ77" i="20" s="1"/>
  <c r="AD133" i="20" a="1"/>
  <c r="AD133" i="20" s="1"/>
  <c r="AD40" i="20" s="1"/>
  <c r="O153" i="20" a="1"/>
  <c r="O153" i="20" s="1"/>
  <c r="AF135" i="20" a="1"/>
  <c r="AF135" i="20" s="1"/>
  <c r="AF42" i="20" s="1"/>
  <c r="AM190" i="20" a="1"/>
  <c r="AM190" i="20" s="1"/>
  <c r="AM97" i="20" s="1"/>
  <c r="AT201" i="20" a="1"/>
  <c r="AT201" i="20" s="1"/>
  <c r="F164" i="20" a="1"/>
  <c r="F164" i="20" s="1"/>
  <c r="F71" i="20" s="1"/>
  <c r="R146" i="20" a="1"/>
  <c r="R146" i="20" s="1"/>
  <c r="R53" i="20" s="1"/>
  <c r="L176" i="20" a="1"/>
  <c r="L176" i="20" s="1"/>
  <c r="L83" i="20" s="1"/>
  <c r="X132" i="20" a="1"/>
  <c r="X132" i="20" s="1"/>
  <c r="X39" i="20" s="1"/>
  <c r="L182" i="20" a="1"/>
  <c r="L182" i="20" s="1"/>
  <c r="L89" i="20" s="1"/>
  <c r="AV176" i="20" a="1"/>
  <c r="AV176" i="20" s="1"/>
  <c r="AV83" i="20" s="1"/>
  <c r="AU146" i="20" a="1"/>
  <c r="AU146" i="20" s="1"/>
  <c r="AU53" i="20" s="1"/>
  <c r="K189" i="20" a="1"/>
  <c r="K189" i="20" s="1"/>
  <c r="K96" i="20" s="1"/>
  <c r="AI133" i="20" a="1"/>
  <c r="AI133" i="20" s="1"/>
  <c r="AI40" i="20" s="1"/>
  <c r="AT134" i="20" a="1"/>
  <c r="AT134" i="20" s="1"/>
  <c r="AT41" i="20" s="1"/>
  <c r="AV147" i="20" a="1"/>
  <c r="AV147" i="20" s="1"/>
  <c r="AV54" i="20" s="1"/>
  <c r="AG133" i="20" a="1"/>
  <c r="AG133" i="20" s="1"/>
  <c r="AG40" i="20" s="1"/>
  <c r="AU163" i="20" a="1"/>
  <c r="AU163" i="20" s="1"/>
  <c r="AU70" i="20" s="1"/>
  <c r="S133" i="20" a="1"/>
  <c r="S133" i="20" s="1"/>
  <c r="S40" i="20" s="1"/>
  <c r="AI194" i="20" a="1"/>
  <c r="AI194" i="20" s="1"/>
  <c r="AI101" i="20" s="1"/>
  <c r="Q169" i="20" a="1"/>
  <c r="Q169" i="20" s="1"/>
  <c r="Q76" i="20" s="1"/>
  <c r="J160" i="20" a="1"/>
  <c r="J160" i="20" s="1"/>
  <c r="J67" i="20" s="1"/>
  <c r="AR185" i="20" a="1"/>
  <c r="AR185" i="20" s="1"/>
  <c r="AR92" i="20" s="1"/>
  <c r="O138" i="20" a="1"/>
  <c r="O138" i="20" s="1"/>
  <c r="O45" i="20" s="1"/>
  <c r="AP129" i="20" a="1"/>
  <c r="AP129" i="20" s="1"/>
  <c r="J147" i="20" a="1"/>
  <c r="J147" i="20" s="1"/>
  <c r="J54" i="20" s="1"/>
  <c r="T176" i="20" a="1"/>
  <c r="T176" i="20" s="1"/>
  <c r="T83" i="20" s="1"/>
  <c r="P147" i="20" a="1"/>
  <c r="P147" i="20" s="1"/>
  <c r="P54" i="20" s="1"/>
  <c r="AP170" i="20" a="1"/>
  <c r="AP170" i="20" s="1"/>
  <c r="AP77" i="20" s="1"/>
  <c r="AE166" i="20" a="1"/>
  <c r="AE166" i="20" s="1"/>
  <c r="AE73" i="20" s="1"/>
  <c r="Y153" i="20" a="1"/>
  <c r="Y153" i="20" s="1"/>
  <c r="Y60" i="20" s="1"/>
  <c r="X202" i="20" a="1"/>
  <c r="X202" i="20" s="1"/>
  <c r="X109" i="20" s="1"/>
  <c r="AJ164" i="20" a="1"/>
  <c r="AJ164" i="20" s="1"/>
  <c r="AJ71" i="20" s="1"/>
  <c r="K170" i="20" a="1"/>
  <c r="K170" i="20" s="1"/>
  <c r="K77" i="20" s="1"/>
  <c r="K156" i="20" a="1"/>
  <c r="K156" i="20" s="1"/>
  <c r="K63" i="20" s="1"/>
  <c r="K187" i="20" a="1"/>
  <c r="K187" i="20" s="1"/>
  <c r="K94" i="20" s="1"/>
  <c r="E129" i="20" a="1"/>
  <c r="E129" i="20" s="1"/>
  <c r="AU195" i="20" a="1"/>
  <c r="AU195" i="20" s="1"/>
  <c r="AU102" i="20" s="1"/>
  <c r="AP162" i="20" a="1"/>
  <c r="AP162" i="20" s="1"/>
  <c r="AP69" i="20" s="1"/>
  <c r="AO147" i="20" a="1"/>
  <c r="AO147" i="20" s="1"/>
  <c r="AO54" i="20" s="1"/>
  <c r="M146" i="20" a="1"/>
  <c r="M146" i="20" s="1"/>
  <c r="M53" i="20" s="1"/>
  <c r="X167" i="20" a="1"/>
  <c r="X167" i="20" s="1"/>
  <c r="X74" i="20" s="1"/>
  <c r="R202" i="20" a="1"/>
  <c r="R202" i="20" s="1"/>
  <c r="R109" i="20" s="1"/>
  <c r="AR157" i="20" a="1"/>
  <c r="AR157" i="20" s="1"/>
  <c r="AR64" i="20" s="1"/>
  <c r="G134" i="20" a="1"/>
  <c r="G134" i="20" s="1"/>
  <c r="G41" i="20" s="1"/>
  <c r="AN159" i="20" a="1"/>
  <c r="AN159" i="20" s="1"/>
  <c r="AN66" i="20" s="1"/>
  <c r="U182" i="20" a="1"/>
  <c r="U182" i="20" s="1"/>
  <c r="U89" i="20" s="1"/>
  <c r="R134" i="20" a="1"/>
  <c r="R134" i="20" s="1"/>
  <c r="R41" i="20" s="1"/>
  <c r="AK159" i="20" a="1"/>
  <c r="AK159" i="20" s="1"/>
  <c r="AK66" i="20" s="1"/>
  <c r="Q182" i="20" a="1"/>
  <c r="Q182" i="20" s="1"/>
  <c r="Q89" i="20" s="1"/>
  <c r="O136" i="20" a="1"/>
  <c r="O136" i="20" s="1"/>
  <c r="O43" i="20" s="1"/>
  <c r="E160" i="20" a="1"/>
  <c r="E160" i="20" s="1"/>
  <c r="AV166" i="20" a="1"/>
  <c r="AV166" i="20" s="1"/>
  <c r="AV73" i="20" s="1"/>
  <c r="AK145" i="20" a="1"/>
  <c r="AK145" i="20" s="1"/>
  <c r="AK52" i="20" s="1"/>
  <c r="X164" i="20" a="1"/>
  <c r="X164" i="20" s="1"/>
  <c r="X71" i="20" s="1"/>
  <c r="K161" i="20" a="1"/>
  <c r="K161" i="20" s="1"/>
  <c r="K68" i="20" s="1"/>
  <c r="Z195" i="20" a="1"/>
  <c r="Z195" i="20" s="1"/>
  <c r="Z102" i="20" s="1"/>
  <c r="AN145" i="20" a="1"/>
  <c r="AN145" i="20" s="1"/>
  <c r="AN52" i="20" s="1"/>
  <c r="P187" i="20" a="1"/>
  <c r="P187" i="20" s="1"/>
  <c r="P94" i="20" s="1"/>
  <c r="I135" i="20" a="1"/>
  <c r="I135" i="20" s="1"/>
  <c r="I42" i="20" s="1"/>
  <c r="AV134" i="20" a="1"/>
  <c r="AV134" i="20" s="1"/>
  <c r="AV41" i="20" s="1"/>
  <c r="AD150" i="20" a="1"/>
  <c r="AD150" i="20" s="1"/>
  <c r="AD57" i="20" s="1"/>
  <c r="AG166" i="20" a="1"/>
  <c r="AG166" i="20" s="1"/>
  <c r="AG73" i="20" s="1"/>
  <c r="G185" i="20" a="1"/>
  <c r="G185" i="20" s="1"/>
  <c r="G92" i="20" s="1"/>
  <c r="AA148" i="20" a="1"/>
  <c r="AA148" i="20" s="1"/>
  <c r="AA55" i="20" s="1"/>
  <c r="AA146" i="20" a="1"/>
  <c r="AA146" i="20" s="1"/>
  <c r="AA53" i="20" s="1"/>
  <c r="W169" i="20" a="1"/>
  <c r="W169" i="20" s="1"/>
  <c r="W76" i="20" s="1"/>
  <c r="G140" i="20" a="1"/>
  <c r="G140" i="20" s="1"/>
  <c r="G47" i="20" s="1"/>
  <c r="AF129" i="20" a="1"/>
  <c r="AF129" i="20" s="1"/>
  <c r="F186" i="20" a="1"/>
  <c r="F186" i="20" s="1"/>
  <c r="F93" i="20" s="1"/>
  <c r="AA195" i="20" a="1"/>
  <c r="AA195" i="20" s="1"/>
  <c r="AA102" i="20" s="1"/>
  <c r="N158" i="20" a="1"/>
  <c r="N158" i="20" s="1"/>
  <c r="N65" i="20" s="1"/>
  <c r="AQ140" i="20" a="1"/>
  <c r="AQ140" i="20" s="1"/>
  <c r="AS149" i="20" a="1"/>
  <c r="AS149" i="20" s="1"/>
  <c r="AS56" i="20" s="1"/>
  <c r="T202" i="20" a="1"/>
  <c r="T202" i="20" s="1"/>
  <c r="T109" i="20" s="1"/>
  <c r="E127" i="20" a="1"/>
  <c r="E127" i="20" s="1"/>
  <c r="I158" i="20" a="1"/>
  <c r="I158" i="20" s="1"/>
  <c r="I65" i="20" s="1"/>
  <c r="AD182" i="20" a="1"/>
  <c r="AD182" i="20" s="1"/>
  <c r="AD89" i="20" s="1"/>
  <c r="H146" i="20" a="1"/>
  <c r="H146" i="20" s="1"/>
  <c r="H53" i="20" s="1"/>
  <c r="I133" i="20" a="1"/>
  <c r="I133" i="20" s="1"/>
  <c r="I40" i="20" s="1"/>
  <c r="G130" i="20" a="1"/>
  <c r="G130" i="20" s="1"/>
  <c r="G37" i="20" s="1"/>
  <c r="R148" i="20" a="1"/>
  <c r="R148" i="20" s="1"/>
  <c r="R55" i="20" s="1"/>
  <c r="AI175" i="20" a="1"/>
  <c r="AI175" i="20" s="1"/>
  <c r="AQ129" i="20" a="1"/>
  <c r="AQ129" i="20" s="1"/>
  <c r="AB193" i="20" a="1"/>
  <c r="AB193" i="20" s="1"/>
  <c r="AB100" i="20" s="1"/>
  <c r="AS192" i="20" a="1"/>
  <c r="AS192" i="20" s="1"/>
  <c r="AS99" i="20" s="1"/>
  <c r="F133" i="20" a="1"/>
  <c r="F133" i="20" s="1"/>
  <c r="F40" i="20" s="1"/>
  <c r="X173" i="20" a="1"/>
  <c r="X173" i="20" s="1"/>
  <c r="X80" i="20" s="1"/>
  <c r="S189" i="20" a="1"/>
  <c r="S189" i="20" s="1"/>
  <c r="S96" i="20" s="1"/>
  <c r="AA186" i="20" a="1"/>
  <c r="AA186" i="20" s="1"/>
  <c r="AA93" i="20" s="1"/>
  <c r="Q130" i="20" a="1"/>
  <c r="Q130" i="20" s="1"/>
  <c r="Q37" i="20" s="1"/>
  <c r="J166" i="20" a="1"/>
  <c r="J166" i="20" s="1"/>
  <c r="J73" i="20" s="1"/>
  <c r="P186" i="20" a="1"/>
  <c r="P186" i="20" s="1"/>
  <c r="P93" i="20" s="1"/>
  <c r="AG199" i="20" a="1"/>
  <c r="AG199" i="20" s="1"/>
  <c r="AG106" i="20" s="1"/>
  <c r="K151" i="20" a="1"/>
  <c r="K151" i="20" s="1"/>
  <c r="K58" i="20" s="1"/>
  <c r="K180" i="20" a="1"/>
  <c r="K180" i="20" s="1"/>
  <c r="K87" i="20" s="1"/>
  <c r="U172" i="20" a="1"/>
  <c r="U172" i="20" s="1"/>
  <c r="U79" i="20" s="1"/>
  <c r="AT150" i="20" a="1"/>
  <c r="AT150" i="20" s="1"/>
  <c r="AT57" i="20" s="1"/>
  <c r="P156" i="20" a="1"/>
  <c r="P156" i="20" s="1"/>
  <c r="P63" i="20" s="1"/>
  <c r="J168" i="20" a="1"/>
  <c r="J168" i="20" s="1"/>
  <c r="J75" i="20" s="1"/>
  <c r="X133" i="20" a="1"/>
  <c r="X133" i="20" s="1"/>
  <c r="X40" i="20" s="1"/>
  <c r="U161" i="20" a="1"/>
  <c r="U161" i="20" s="1"/>
  <c r="U68" i="20" s="1"/>
  <c r="AL166" i="20" a="1"/>
  <c r="AL166" i="20" s="1"/>
  <c r="AL73" i="20" s="1"/>
  <c r="S130" i="20" a="1"/>
  <c r="S130" i="20" s="1"/>
  <c r="S37" i="20" s="1"/>
  <c r="L174" i="20" a="1"/>
  <c r="L174" i="20" s="1"/>
  <c r="L81" i="20" s="1"/>
  <c r="N167" i="20" a="1"/>
  <c r="N167" i="20" s="1"/>
  <c r="N74" i="20" s="1"/>
  <c r="J134" i="20" a="1"/>
  <c r="J134" i="20" s="1"/>
  <c r="J41" i="20" s="1"/>
  <c r="AR200" i="20" a="1"/>
  <c r="AR200" i="20" s="1"/>
  <c r="AR107" i="20" s="1"/>
  <c r="AR154" i="20" a="1"/>
  <c r="AR154" i="20" s="1"/>
  <c r="AR61" i="20" s="1"/>
  <c r="AQ184" i="20" a="1"/>
  <c r="AQ184" i="20" s="1"/>
  <c r="AQ91" i="20" s="1"/>
  <c r="P196" i="20" a="1"/>
  <c r="P196" i="20" s="1"/>
  <c r="P103" i="20" s="1"/>
  <c r="AB197" i="20" a="1"/>
  <c r="AB197" i="20" s="1"/>
  <c r="AB104" i="20" s="1"/>
  <c r="AM200" i="20" a="1"/>
  <c r="AM200" i="20" s="1"/>
  <c r="AM107" i="20" s="1"/>
  <c r="F141" i="20" a="1"/>
  <c r="F141" i="20" s="1"/>
  <c r="F48" i="20" s="1"/>
  <c r="AQ200" i="20" a="1"/>
  <c r="AQ200" i="20" s="1"/>
  <c r="AQ107" i="20" s="1"/>
  <c r="J184" i="20" a="1"/>
  <c r="J184" i="20" s="1"/>
  <c r="J91" i="20" s="1"/>
  <c r="AA131" i="20" a="1"/>
  <c r="AA131" i="20" s="1"/>
  <c r="AA38" i="20" s="1"/>
  <c r="AF172" i="20" a="1"/>
  <c r="AF172" i="20" s="1"/>
  <c r="AF79" i="20" s="1"/>
  <c r="U158" i="20" a="1"/>
  <c r="U158" i="20" s="1"/>
  <c r="U65" i="20" s="1"/>
  <c r="J185" i="20" a="1"/>
  <c r="J185" i="20" s="1"/>
  <c r="J92" i="20" s="1"/>
  <c r="I145" i="20" a="1"/>
  <c r="I145" i="20" s="1"/>
  <c r="I52" i="20" s="1"/>
  <c r="L148" i="20" a="1"/>
  <c r="L148" i="20" s="1"/>
  <c r="L55" i="20" s="1"/>
  <c r="AA141" i="20" a="1"/>
  <c r="AA141" i="20" s="1"/>
  <c r="AA48" i="20" s="1"/>
  <c r="AU186" i="20" a="1"/>
  <c r="AU186" i="20" s="1"/>
  <c r="AU93" i="20" s="1"/>
  <c r="AT186" i="20" a="1"/>
  <c r="AT186" i="20" s="1"/>
  <c r="AT93" i="20" s="1"/>
  <c r="M182" i="20" a="1"/>
  <c r="M182" i="20" s="1"/>
  <c r="M89" i="20" s="1"/>
  <c r="AF182" i="20" a="1"/>
  <c r="AF182" i="20" s="1"/>
  <c r="AF89" i="20" s="1"/>
  <c r="AO131" i="20" a="1"/>
  <c r="AO131" i="20" s="1"/>
  <c r="AO38" i="20" s="1"/>
  <c r="AG144" i="20" a="1"/>
  <c r="AG144" i="20" s="1"/>
  <c r="AG51" i="20" s="1"/>
  <c r="F175" i="20" a="1"/>
  <c r="F175" i="20" s="1"/>
  <c r="J138" i="20" a="1"/>
  <c r="J138" i="20" s="1"/>
  <c r="J45" i="20" s="1"/>
  <c r="P129" i="20" a="1"/>
  <c r="P129" i="20" s="1"/>
  <c r="P36" i="20" s="1"/>
  <c r="AB156" i="20" a="1"/>
  <c r="AB156" i="20" s="1"/>
  <c r="AB63" i="20" s="1"/>
  <c r="U148" i="20" a="1"/>
  <c r="U148" i="20" s="1"/>
  <c r="U55" i="20" s="1"/>
  <c r="P149" i="20" a="1"/>
  <c r="P149" i="20" s="1"/>
  <c r="P56" i="20" s="1"/>
  <c r="L143" i="20" a="1"/>
  <c r="L143" i="20" s="1"/>
  <c r="L50" i="20" s="1"/>
  <c r="S167" i="20" a="1"/>
  <c r="S167" i="20" s="1"/>
  <c r="S74" i="20" s="1"/>
  <c r="AT161" i="20" a="1"/>
  <c r="AT161" i="20" s="1"/>
  <c r="AT68" i="20" s="1"/>
  <c r="AJ198" i="20" a="1"/>
  <c r="AJ198" i="20" s="1"/>
  <c r="AJ105" i="20" s="1"/>
  <c r="AB163" i="20" a="1"/>
  <c r="AB163" i="20" s="1"/>
  <c r="AB70" i="20" s="1"/>
  <c r="W162" i="20" a="1"/>
  <c r="W162" i="20" s="1"/>
  <c r="W69" i="20" s="1"/>
  <c r="AG175" i="20" a="1"/>
  <c r="AG175" i="20" s="1"/>
  <c r="M171" i="20" a="1"/>
  <c r="M171" i="20" s="1"/>
  <c r="M78" i="20" s="1"/>
  <c r="V168" i="20" a="1"/>
  <c r="V168" i="20" s="1"/>
  <c r="V75" i="20" s="1"/>
  <c r="W161" i="20" a="1"/>
  <c r="W161" i="20" s="1"/>
  <c r="W68" i="20" s="1"/>
  <c r="AT160" i="20" a="1"/>
  <c r="AT160" i="20" s="1"/>
  <c r="AT67" i="20" s="1"/>
  <c r="Y189" i="20" a="1"/>
  <c r="Y189" i="20" s="1"/>
  <c r="Y96" i="20" s="1"/>
  <c r="AT133" i="20" a="1"/>
  <c r="AT133" i="20" s="1"/>
  <c r="AT40" i="20" s="1"/>
  <c r="L198" i="20" a="1"/>
  <c r="L198" i="20" s="1"/>
  <c r="L105" i="20" s="1"/>
  <c r="AK168" i="20" a="1"/>
  <c r="AK168" i="20" s="1"/>
  <c r="AK75" i="20" s="1"/>
  <c r="X148" i="20" a="1"/>
  <c r="X148" i="20" s="1"/>
  <c r="X55" i="20" s="1"/>
  <c r="U129" i="20" a="1"/>
  <c r="U129" i="20" s="1"/>
  <c r="X145" i="20" a="1"/>
  <c r="X145" i="20" s="1"/>
  <c r="X52" i="20" s="1"/>
  <c r="AJ190" i="20" a="1"/>
  <c r="AJ190" i="20" s="1"/>
  <c r="AJ97" i="20" s="1"/>
  <c r="AR201" i="20" a="1"/>
  <c r="AR201" i="20" s="1"/>
  <c r="M141" i="20" a="1"/>
  <c r="M141" i="20" s="1"/>
  <c r="M48" i="20" s="1"/>
  <c r="Q172" i="20" a="1"/>
  <c r="Q172" i="20" s="1"/>
  <c r="Q79" i="20" s="1"/>
  <c r="L172" i="20" a="1"/>
  <c r="L172" i="20" s="1"/>
  <c r="L79" i="20" s="1"/>
  <c r="AN192" i="20" a="1"/>
  <c r="AN192" i="20" s="1"/>
  <c r="AN99" i="20" s="1"/>
  <c r="AO183" i="20" a="1"/>
  <c r="AO183" i="20" s="1"/>
  <c r="AO90" i="20" s="1"/>
  <c r="F137" i="20" a="1"/>
  <c r="F137" i="20" s="1"/>
  <c r="F44" i="20" s="1"/>
  <c r="O133" i="20" a="1"/>
  <c r="O133" i="20" s="1"/>
  <c r="O40" i="20" s="1"/>
  <c r="T160" i="20" a="1"/>
  <c r="T160" i="20" s="1"/>
  <c r="T67" i="20" s="1"/>
  <c r="Y129" i="20" a="1"/>
  <c r="Y129" i="20" s="1"/>
  <c r="E148" i="20" a="1"/>
  <c r="E148" i="20" s="1"/>
  <c r="N198" i="20" a="1"/>
  <c r="N198" i="20" s="1"/>
  <c r="N105" i="20" s="1"/>
  <c r="AQ148" i="20" a="1"/>
  <c r="AQ148" i="20" s="1"/>
  <c r="AQ55" i="20" s="1"/>
  <c r="AI182" i="20" a="1"/>
  <c r="AI182" i="20" s="1"/>
  <c r="AI89" i="20" s="1"/>
  <c r="J151" i="20" a="1"/>
  <c r="J151" i="20" s="1"/>
  <c r="J58" i="20" s="1"/>
  <c r="U134" i="20" a="1"/>
  <c r="U134" i="20" s="1"/>
  <c r="U41" i="20" s="1"/>
  <c r="F146" i="20" a="1"/>
  <c r="F146" i="20" s="1"/>
  <c r="F53" i="20" s="1"/>
  <c r="I147" i="20" a="1"/>
  <c r="I147" i="20" s="1"/>
  <c r="I54" i="20" s="1"/>
  <c r="N141" i="20" a="1"/>
  <c r="N141" i="20" s="1"/>
  <c r="N48" i="20" s="1"/>
  <c r="AL167" i="20" a="1"/>
  <c r="AL167" i="20" s="1"/>
  <c r="AL74" i="20" s="1"/>
  <c r="S155" i="20" a="1"/>
  <c r="S155" i="20" s="1"/>
  <c r="S62" i="20" s="1"/>
  <c r="H130" i="20" a="1"/>
  <c r="H130" i="20" s="1"/>
  <c r="H37" i="20" s="1"/>
  <c r="AL146" i="20" a="1"/>
  <c r="AL146" i="20" s="1"/>
  <c r="AL53" i="20" s="1"/>
  <c r="E155" i="20" a="1"/>
  <c r="E155" i="20" s="1"/>
  <c r="F153" i="20" a="1"/>
  <c r="F153" i="20" s="1"/>
  <c r="S149" i="20" a="1"/>
  <c r="S149" i="20" s="1"/>
  <c r="S56" i="20" s="1"/>
  <c r="AE174" i="20" a="1"/>
  <c r="AE174" i="20" s="1"/>
  <c r="AE81" i="20" s="1"/>
  <c r="Y176" i="20" a="1"/>
  <c r="Y176" i="20" s="1"/>
  <c r="Y83" i="20" s="1"/>
  <c r="R140" i="20" a="1"/>
  <c r="R140" i="20" s="1"/>
  <c r="AG192" i="20" a="1"/>
  <c r="AG192" i="20" s="1"/>
  <c r="AG99" i="20" s="1"/>
  <c r="Y160" i="20" a="1"/>
  <c r="Y160" i="20" s="1"/>
  <c r="Y67" i="20" s="1"/>
  <c r="AU148" i="20" a="1"/>
  <c r="AU148" i="20" s="1"/>
  <c r="AU55" i="20" s="1"/>
  <c r="AH200" i="20" a="1"/>
  <c r="AH200" i="20" s="1"/>
  <c r="AH107" i="20" s="1"/>
  <c r="T173" i="20" a="1"/>
  <c r="T173" i="20" s="1"/>
  <c r="T80" i="20" s="1"/>
  <c r="F140" i="20" a="1"/>
  <c r="F140" i="20" s="1"/>
  <c r="AU197" i="20" a="1"/>
  <c r="AU197" i="20" s="1"/>
  <c r="AU104" i="20" s="1"/>
  <c r="AK174" i="20" a="1"/>
  <c r="AK174" i="20" s="1"/>
  <c r="AK81" i="20" s="1"/>
  <c r="AU159" i="20" a="1"/>
  <c r="AU159" i="20" s="1"/>
  <c r="AU66" i="20" s="1"/>
  <c r="L160" i="20" a="1"/>
  <c r="L160" i="20" s="1"/>
  <c r="L67" i="20" s="1"/>
  <c r="AM166" i="20" a="1"/>
  <c r="AM166" i="20" s="1"/>
  <c r="AM73" i="20" s="1"/>
  <c r="H167" i="20" a="1"/>
  <c r="H167" i="20" s="1"/>
  <c r="H74" i="20" s="1"/>
  <c r="AB169" i="20" a="1"/>
  <c r="AB169" i="20" s="1"/>
  <c r="AB76" i="20" s="1"/>
  <c r="AQ156" i="20" a="1"/>
  <c r="AQ156" i="20" s="1"/>
  <c r="AQ63" i="20" s="1"/>
  <c r="AE198" i="20" a="1"/>
  <c r="AE198" i="20" s="1"/>
  <c r="AE105" i="20" s="1"/>
  <c r="P138" i="20" a="1"/>
  <c r="P138" i="20" s="1"/>
  <c r="P45" i="20" s="1"/>
  <c r="K133" i="20" a="1"/>
  <c r="K133" i="20" s="1"/>
  <c r="K40" i="20" s="1"/>
  <c r="V160" i="20" a="1"/>
  <c r="V160" i="20" s="1"/>
  <c r="V67" i="20" s="1"/>
  <c r="AF136" i="20" a="1"/>
  <c r="AF136" i="20" s="1"/>
  <c r="AF43" i="20" s="1"/>
  <c r="O171" i="20" a="1"/>
  <c r="O171" i="20" s="1"/>
  <c r="O78" i="20" s="1"/>
  <c r="O170" i="20" a="1"/>
  <c r="O170" i="20" s="1"/>
  <c r="O77" i="20" s="1"/>
  <c r="T140" i="20" a="1"/>
  <c r="T140" i="20" s="1"/>
  <c r="N170" i="20" a="1"/>
  <c r="N170" i="20" s="1"/>
  <c r="N77" i="20" s="1"/>
  <c r="AB143" i="20" a="1"/>
  <c r="AB143" i="20" s="1"/>
  <c r="AB50" i="20" s="1"/>
  <c r="Z182" i="20" a="1"/>
  <c r="Z182" i="20" s="1"/>
  <c r="Z89" i="20" s="1"/>
  <c r="T175" i="20" a="1"/>
  <c r="T175" i="20" s="1"/>
  <c r="AB151" i="20" a="1"/>
  <c r="AB151" i="20" s="1"/>
  <c r="AB58" i="20" s="1"/>
  <c r="S193" i="20" a="1"/>
  <c r="S193" i="20" s="1"/>
  <c r="S100" i="20" s="1"/>
  <c r="AQ188" i="20" a="1"/>
  <c r="AQ188" i="20" s="1"/>
  <c r="Z193" i="20" a="1"/>
  <c r="Z193" i="20" s="1"/>
  <c r="Z100" i="20" s="1"/>
  <c r="AP157" i="20" a="1"/>
  <c r="AP157" i="20" s="1"/>
  <c r="AP64" i="20" s="1"/>
  <c r="AS193" i="20" a="1"/>
  <c r="AS193" i="20" s="1"/>
  <c r="AS100" i="20" s="1"/>
  <c r="O127" i="20" a="1"/>
  <c r="O127" i="20" s="1"/>
  <c r="E174" i="20" a="1"/>
  <c r="E174" i="20" s="1"/>
  <c r="Z132" i="20" a="1"/>
  <c r="Z132" i="20" s="1"/>
  <c r="Z39" i="20" s="1"/>
  <c r="Q134" i="20" a="1"/>
  <c r="Q134" i="20" s="1"/>
  <c r="Q41" i="20" s="1"/>
  <c r="H159" i="20" a="1"/>
  <c r="H159" i="20" s="1"/>
  <c r="H66" i="20" s="1"/>
  <c r="X198" i="20" a="1"/>
  <c r="X198" i="20" s="1"/>
  <c r="X105" i="20" s="1"/>
  <c r="M151" i="20" a="1"/>
  <c r="M151" i="20" s="1"/>
  <c r="M58" i="20" s="1"/>
  <c r="AV129" i="20" a="1"/>
  <c r="AV129" i="20" s="1"/>
  <c r="F134" i="20" a="1"/>
  <c r="F134" i="20" s="1"/>
  <c r="F41" i="20" s="1"/>
  <c r="R174" i="20" a="1"/>
  <c r="R174" i="20" s="1"/>
  <c r="R81" i="20" s="1"/>
  <c r="N137" i="20" a="1"/>
  <c r="N137" i="20" s="1"/>
  <c r="N44" i="20" s="1"/>
  <c r="F187" i="20" a="1"/>
  <c r="F187" i="20" s="1"/>
  <c r="F94" i="20" s="1"/>
  <c r="L135" i="20" a="1"/>
  <c r="L135" i="20" s="1"/>
  <c r="L42" i="20" s="1"/>
  <c r="J156" i="20" a="1"/>
  <c r="J156" i="20" s="1"/>
  <c r="J63" i="20" s="1"/>
  <c r="I159" i="20" a="1"/>
  <c r="I159" i="20" s="1"/>
  <c r="I66" i="20" s="1"/>
  <c r="AT148" i="20" a="1"/>
  <c r="AT148" i="20" s="1"/>
  <c r="AT55" i="20" s="1"/>
  <c r="W158" i="20" a="1"/>
  <c r="W158" i="20" s="1"/>
  <c r="W65" i="20" s="1"/>
  <c r="Y163" i="20" a="1"/>
  <c r="Y163" i="20" s="1"/>
  <c r="Y70" i="20" s="1"/>
  <c r="U168" i="20" a="1"/>
  <c r="U168" i="20" s="1"/>
  <c r="U75" i="20" s="1"/>
  <c r="AA164" i="20" a="1"/>
  <c r="AA164" i="20" s="1"/>
  <c r="AA71" i="20" s="1"/>
  <c r="I185" i="20" a="1"/>
  <c r="I185" i="20" s="1"/>
  <c r="I92" i="20" s="1"/>
  <c r="H141" i="20" a="1"/>
  <c r="H141" i="20" s="1"/>
  <c r="H48" i="20" s="1"/>
  <c r="S135" i="20" a="1"/>
  <c r="S135" i="20" s="1"/>
  <c r="S42" i="20" s="1"/>
  <c r="Q157" i="20" a="1"/>
  <c r="Q157" i="20" s="1"/>
  <c r="Q64" i="20" s="1"/>
  <c r="AT162" i="20" a="1"/>
  <c r="AT162" i="20" s="1"/>
  <c r="AT69" i="20" s="1"/>
  <c r="F136" i="20" a="1"/>
  <c r="F136" i="20" s="1"/>
  <c r="F43" i="20" s="1"/>
  <c r="AC160" i="20" a="1"/>
  <c r="AC160" i="20" s="1"/>
  <c r="AC67" i="20" s="1"/>
  <c r="M149" i="20" a="1"/>
  <c r="M149" i="20" s="1"/>
  <c r="M56" i="20" s="1"/>
  <c r="AU142" i="20" a="1"/>
  <c r="AU142" i="20" s="1"/>
  <c r="AU49" i="20" s="1"/>
  <c r="X140" i="20" a="1"/>
  <c r="X140" i="20" s="1"/>
  <c r="X47" i="20" s="1"/>
  <c r="V169" i="20" a="1"/>
  <c r="V169" i="20" s="1"/>
  <c r="V76" i="20" s="1"/>
  <c r="AL129" i="20" a="1"/>
  <c r="AL129" i="20" s="1"/>
  <c r="T147" i="20" a="1"/>
  <c r="T147" i="20" s="1"/>
  <c r="T54" i="20" s="1"/>
  <c r="X186" i="20" a="1"/>
  <c r="X186" i="20" s="1"/>
  <c r="X93" i="20" s="1"/>
  <c r="X170" i="20" a="1"/>
  <c r="X170" i="20" s="1"/>
  <c r="X77" i="20" s="1"/>
  <c r="AS151" i="20" a="1"/>
  <c r="AS151" i="20" s="1"/>
  <c r="AS58" i="20" s="1"/>
  <c r="AA187" i="20" a="1"/>
  <c r="AA187" i="20" s="1"/>
  <c r="AA94" i="20" s="1"/>
  <c r="J196" i="20" a="1"/>
  <c r="J196" i="20" s="1"/>
  <c r="J103" i="20" s="1"/>
  <c r="AR174" i="20" a="1"/>
  <c r="AR174" i="20" s="1"/>
  <c r="AR81" i="20" s="1"/>
  <c r="K138" i="20" a="1"/>
  <c r="K138" i="20" s="1"/>
  <c r="K45" i="20" s="1"/>
  <c r="AT177" i="20" a="1"/>
  <c r="AT177" i="20" s="1"/>
  <c r="AT84" i="20" s="1"/>
  <c r="K173" i="20" a="1"/>
  <c r="K173" i="20" s="1"/>
  <c r="K80" i="20" s="1"/>
  <c r="U143" i="20" a="1"/>
  <c r="U143" i="20" s="1"/>
  <c r="U50" i="20" s="1"/>
  <c r="AK166" i="20" a="1"/>
  <c r="AK166" i="20" s="1"/>
  <c r="AK73" i="20" s="1"/>
  <c r="AK179" i="20" a="1"/>
  <c r="AK179" i="20" s="1"/>
  <c r="AK86" i="20" s="1"/>
  <c r="N161" i="20" a="1"/>
  <c r="N161" i="20" s="1"/>
  <c r="N68" i="20" s="1"/>
  <c r="AK135" i="20" a="1"/>
  <c r="AK135" i="20" s="1"/>
  <c r="AK42" i="20" s="1"/>
  <c r="AC130" i="20" a="1"/>
  <c r="AC130" i="20" s="1"/>
  <c r="AC37" i="20" s="1"/>
  <c r="AA133" i="20" a="1"/>
  <c r="AA133" i="20" s="1"/>
  <c r="AA40" i="20" s="1"/>
  <c r="AM146" i="20" a="1"/>
  <c r="AM146" i="20" s="1"/>
  <c r="AM53" i="20" s="1"/>
  <c r="E147" i="20" a="1"/>
  <c r="E147" i="20" s="1"/>
  <c r="Y148" i="20" a="1"/>
  <c r="Y148" i="20" s="1"/>
  <c r="Y55" i="20" s="1"/>
  <c r="AT149" i="20" a="1"/>
  <c r="AT149" i="20" s="1"/>
  <c r="AT56" i="20" s="1"/>
  <c r="Q153" i="20" a="1"/>
  <c r="Q153" i="20" s="1"/>
  <c r="Q60" i="20" s="1"/>
  <c r="R173" i="20" a="1"/>
  <c r="R173" i="20" s="1"/>
  <c r="R80" i="20" s="1"/>
  <c r="W144" i="20" a="1"/>
  <c r="W144" i="20" s="1"/>
  <c r="W51" i="20" s="1"/>
  <c r="AD146" i="20" a="1"/>
  <c r="AD146" i="20" s="1"/>
  <c r="AD53" i="20" s="1"/>
  <c r="Q149" i="20" a="1"/>
  <c r="Q149" i="20" s="1"/>
  <c r="Q56" i="20" s="1"/>
  <c r="J146" i="20" a="1"/>
  <c r="J146" i="20" s="1"/>
  <c r="J53" i="20" s="1"/>
  <c r="V163" i="20" a="1"/>
  <c r="V163" i="20" s="1"/>
  <c r="V70" i="20" s="1"/>
  <c r="W134" i="20" a="1"/>
  <c r="W134" i="20" s="1"/>
  <c r="W41" i="20" s="1"/>
  <c r="I137" i="20" a="1"/>
  <c r="I137" i="20" s="1"/>
  <c r="I44" i="20" s="1"/>
  <c r="Q143" i="20" a="1"/>
  <c r="Q143" i="20" s="1"/>
  <c r="Q50" i="20" s="1"/>
  <c r="AA171" i="20" a="1"/>
  <c r="AA171" i="20" s="1"/>
  <c r="AA78" i="20" s="1"/>
  <c r="H137" i="20" a="1"/>
  <c r="H137" i="20" s="1"/>
  <c r="H44" i="20" s="1"/>
  <c r="AN169" i="20" a="1"/>
  <c r="AN169" i="20" s="1"/>
  <c r="AN76" i="20" s="1"/>
  <c r="AD167" i="20" a="1"/>
  <c r="AD167" i="20" s="1"/>
  <c r="AD74" i="20" s="1"/>
  <c r="R176" i="20" a="1"/>
  <c r="R176" i="20" s="1"/>
  <c r="R83" i="20" s="1"/>
  <c r="Y169" i="20" a="1"/>
  <c r="Y169" i="20" s="1"/>
  <c r="Y76" i="20" s="1"/>
  <c r="AA197" i="20" a="1"/>
  <c r="AA197" i="20" s="1"/>
  <c r="AA104" i="20" s="1"/>
  <c r="L166" i="20" a="1"/>
  <c r="L166" i="20" s="1"/>
  <c r="L73" i="20" s="1"/>
  <c r="M155" i="20" a="1"/>
  <c r="M155" i="20" s="1"/>
  <c r="M62" i="20" s="1"/>
  <c r="AJ202" i="20" a="1"/>
  <c r="AJ202" i="20" s="1"/>
  <c r="AJ109" i="20" s="1"/>
  <c r="V153" i="20" a="1"/>
  <c r="V153" i="20" s="1"/>
  <c r="V60" i="20" s="1"/>
  <c r="Y143" i="20" a="1"/>
  <c r="Y143" i="20" s="1"/>
  <c r="Y50" i="20" s="1"/>
  <c r="M129" i="20" a="1"/>
  <c r="M129" i="20" s="1"/>
  <c r="M36" i="20" s="1"/>
  <c r="I186" i="20" a="1"/>
  <c r="I186" i="20" s="1"/>
  <c r="I93" i="20" s="1"/>
  <c r="AV148" i="20" a="1"/>
  <c r="AV148" i="20" s="1"/>
  <c r="AV55" i="20" s="1"/>
  <c r="J187" i="20" a="1"/>
  <c r="J187" i="20" s="1"/>
  <c r="J94" i="20" s="1"/>
  <c r="X147" i="20" a="1"/>
  <c r="X147" i="20" s="1"/>
  <c r="X54" i="20" s="1"/>
  <c r="L169" i="20" a="1"/>
  <c r="L169" i="20" s="1"/>
  <c r="L76" i="20" s="1"/>
  <c r="Z173" i="20" a="1"/>
  <c r="Z173" i="20" s="1"/>
  <c r="Z80" i="20" s="1"/>
  <c r="V185" i="20" a="1"/>
  <c r="V185" i="20" s="1"/>
  <c r="V92" i="20" s="1"/>
  <c r="Z174" i="20" a="1"/>
  <c r="Z174" i="20" s="1"/>
  <c r="Z81" i="20" s="1"/>
  <c r="AT197" i="20" a="1"/>
  <c r="AT197" i="20" s="1"/>
  <c r="AT104" i="20" s="1"/>
  <c r="P164" i="20" a="1"/>
  <c r="P164" i="20" s="1"/>
  <c r="P71" i="20" s="1"/>
  <c r="AA202" i="20" a="1"/>
  <c r="AA202" i="20" s="1"/>
  <c r="AA109" i="20" s="1"/>
  <c r="AU158" i="20" a="1"/>
  <c r="AU158" i="20" s="1"/>
  <c r="AU65" i="20" s="1"/>
  <c r="P170" i="20" a="1"/>
  <c r="P170" i="20" s="1"/>
  <c r="P77" i="20" s="1"/>
  <c r="Y171" i="20" a="1"/>
  <c r="Y171" i="20" s="1"/>
  <c r="Y78" i="20" s="1"/>
  <c r="AV149" i="20" a="1"/>
  <c r="AV149" i="20" s="1"/>
  <c r="AV56" i="20" s="1"/>
  <c r="X156" i="20" a="1"/>
  <c r="X156" i="20" s="1"/>
  <c r="X63" i="20" s="1"/>
  <c r="AH159" i="20" a="1"/>
  <c r="AH159" i="20" s="1"/>
  <c r="AH66" i="20" s="1"/>
  <c r="O151" i="20" a="1"/>
  <c r="O151" i="20" s="1"/>
  <c r="O58" i="20" s="1"/>
  <c r="Z131" i="20" a="1"/>
  <c r="Z131" i="20" s="1"/>
  <c r="Z38" i="20" s="1"/>
  <c r="AA160" i="20" a="1"/>
  <c r="AA160" i="20" s="1"/>
  <c r="AA67" i="20" s="1"/>
  <c r="AD195" i="20" a="1"/>
  <c r="AD195" i="20" s="1"/>
  <c r="AD102" i="20" s="1"/>
  <c r="V189" i="20" a="1"/>
  <c r="V189" i="20" s="1"/>
  <c r="V96" i="20" s="1"/>
  <c r="H186" i="20" a="1"/>
  <c r="H186" i="20" s="1"/>
  <c r="H93" i="20" s="1"/>
  <c r="AR159" i="20" a="1"/>
  <c r="AR159" i="20" s="1"/>
  <c r="AR66" i="20" s="1"/>
  <c r="O160" i="20" a="1"/>
  <c r="O160" i="20" s="1"/>
  <c r="O67" i="20" s="1"/>
  <c r="F158" i="20" a="1"/>
  <c r="F158" i="20" s="1"/>
  <c r="F65" i="20" s="1"/>
  <c r="K168" i="20" a="1"/>
  <c r="K168" i="20" s="1"/>
  <c r="K75" i="20" s="1"/>
  <c r="Y134" i="20" a="1"/>
  <c r="Y134" i="20" s="1"/>
  <c r="Y41" i="20" s="1"/>
  <c r="E175" i="20" a="1"/>
  <c r="E175" i="20" s="1"/>
  <c r="U175" i="20" a="1"/>
  <c r="U175" i="20" s="1"/>
  <c r="S144" i="20" a="1"/>
  <c r="S144" i="20" s="1"/>
  <c r="S51" i="20" s="1"/>
  <c r="E138" i="20" a="1"/>
  <c r="E138" i="20" s="1"/>
  <c r="AU150" i="20" a="1"/>
  <c r="AU150" i="20" s="1"/>
  <c r="AU57" i="20" s="1"/>
  <c r="P169" i="20" a="1"/>
  <c r="P169" i="20" s="1"/>
  <c r="P76" i="20" s="1"/>
  <c r="Y157" i="20" a="1"/>
  <c r="Y157" i="20" s="1"/>
  <c r="Y64" i="20" s="1"/>
  <c r="F144" i="20" a="1"/>
  <c r="F144" i="20" s="1"/>
  <c r="F51" i="20" s="1"/>
  <c r="J137" i="20" a="1"/>
  <c r="J137" i="20" s="1"/>
  <c r="J44" i="20" s="1"/>
  <c r="AP131" i="20" a="1"/>
  <c r="AP131" i="20" s="1"/>
  <c r="AP38" i="20" s="1"/>
  <c r="U140" i="20" a="1"/>
  <c r="U140" i="20" s="1"/>
  <c r="Y147" i="20" a="1"/>
  <c r="Y147" i="20" s="1"/>
  <c r="Y54" i="20" s="1"/>
  <c r="AU140" i="20" a="1"/>
  <c r="AU140" i="20" s="1"/>
  <c r="Q161" i="20" a="1"/>
  <c r="Q161" i="20" s="1"/>
  <c r="Q68" i="20" s="1"/>
  <c r="T156" i="20" a="1"/>
  <c r="T156" i="20" s="1"/>
  <c r="T63" i="20" s="1"/>
  <c r="K175" i="20" a="1"/>
  <c r="K175" i="20" s="1"/>
  <c r="T168" i="20" a="1"/>
  <c r="T168" i="20" s="1"/>
  <c r="T75" i="20" s="1"/>
  <c r="M189" i="20" a="1"/>
  <c r="M189" i="20" s="1"/>
  <c r="M96" i="20" s="1"/>
  <c r="M172" i="20" a="1"/>
  <c r="M172" i="20" s="1"/>
  <c r="M79" i="20" s="1"/>
  <c r="AO155" i="20" a="1"/>
  <c r="AO155" i="20" s="1"/>
  <c r="AO62" i="20" s="1"/>
  <c r="AA166" i="20" a="1"/>
  <c r="AA166" i="20" s="1"/>
  <c r="AA73" i="20" s="1"/>
  <c r="F198" i="20" a="1"/>
  <c r="F198" i="20" s="1"/>
  <c r="F105" i="20" s="1"/>
  <c r="E135" i="20" a="1"/>
  <c r="E135" i="20" s="1"/>
  <c r="I167" i="20" a="1"/>
  <c r="I167" i="20" s="1"/>
  <c r="I74" i="20" s="1"/>
  <c r="W186" i="20" a="1"/>
  <c r="W186" i="20" s="1"/>
  <c r="W93" i="20" s="1"/>
  <c r="O129" i="20" a="1"/>
  <c r="O129" i="20" s="1"/>
  <c r="O36" i="20" s="1"/>
  <c r="K158" i="20" a="1"/>
  <c r="K158" i="20" s="1"/>
  <c r="K65" i="20" s="1"/>
  <c r="AF133" i="20" a="1"/>
  <c r="AF133" i="20" s="1"/>
  <c r="AF40" i="20" s="1"/>
  <c r="AD164" i="20" a="1"/>
  <c r="AD164" i="20" s="1"/>
  <c r="AD71" i="20" s="1"/>
  <c r="W175" i="20" a="1"/>
  <c r="W175" i="20" s="1"/>
  <c r="Z170" i="20" a="1"/>
  <c r="Z170" i="20" s="1"/>
  <c r="Z77" i="20" s="1"/>
  <c r="T198" i="20" a="1"/>
  <c r="T198" i="20" s="1"/>
  <c r="T105" i="20" s="1"/>
  <c r="M136" i="20" a="1"/>
  <c r="M136" i="20" s="1"/>
  <c r="M43" i="20" s="1"/>
  <c r="X153" i="20" a="1"/>
  <c r="X153" i="20" s="1"/>
  <c r="AJ183" i="20" a="1"/>
  <c r="AJ183" i="20" s="1"/>
  <c r="AJ90" i="20" s="1"/>
  <c r="L162" i="20" a="1"/>
  <c r="L162" i="20" s="1"/>
  <c r="L69" i="20" s="1"/>
  <c r="I140" i="20" a="1"/>
  <c r="I140" i="20" s="1"/>
  <c r="I47" i="20" s="1"/>
  <c r="Q135" i="20" a="1"/>
  <c r="Q135" i="20" s="1"/>
  <c r="Q42" i="20" s="1"/>
  <c r="AL200" i="20" a="1"/>
  <c r="AL200" i="20" s="1"/>
  <c r="AL107" i="20" s="1"/>
  <c r="F185" i="20" a="1"/>
  <c r="F185" i="20" s="1"/>
  <c r="F92" i="20" s="1"/>
  <c r="AV183" i="20" a="1"/>
  <c r="AV183" i="20" s="1"/>
  <c r="AV90" i="20" s="1"/>
  <c r="Z159" i="20" a="1"/>
  <c r="Z159" i="20" s="1"/>
  <c r="Z66" i="20" s="1"/>
  <c r="AQ173" i="20" a="1"/>
  <c r="AQ173" i="20" s="1"/>
  <c r="AQ80" i="20" s="1"/>
  <c r="AD129" i="20" a="1"/>
  <c r="AD129" i="20" s="1"/>
  <c r="T182" i="20" a="1"/>
  <c r="T182" i="20" s="1"/>
  <c r="T89" i="20" s="1"/>
  <c r="K166" i="20" a="1"/>
  <c r="K166" i="20" s="1"/>
  <c r="K73" i="20" s="1"/>
  <c r="AP130" i="20" a="1"/>
  <c r="AP130" i="20" s="1"/>
  <c r="AP37" i="20" s="1"/>
  <c r="R157" i="20" a="1"/>
  <c r="R157" i="20" s="1"/>
  <c r="R64" i="20" s="1"/>
  <c r="K167" i="20" a="1"/>
  <c r="K167" i="20" s="1"/>
  <c r="K74" i="20" s="1"/>
  <c r="Y149" i="20" a="1"/>
  <c r="Y149" i="20" s="1"/>
  <c r="Y56" i="20" s="1"/>
  <c r="I189" i="20" a="1"/>
  <c r="I189" i="20" s="1"/>
  <c r="I96" i="20" s="1"/>
  <c r="AS162" i="20" a="1"/>
  <c r="AS162" i="20" s="1"/>
  <c r="AS69" i="20" s="1"/>
  <c r="X149" i="20" a="1"/>
  <c r="X149" i="20" s="1"/>
  <c r="X56" i="20" s="1"/>
  <c r="AS161" i="20" a="1"/>
  <c r="AS161" i="20" s="1"/>
  <c r="AS68" i="20" s="1"/>
  <c r="AP150" i="20" a="1"/>
  <c r="AP150" i="20" s="1"/>
  <c r="AP57" i="20" s="1"/>
  <c r="AV163" i="20" a="1"/>
  <c r="AV163" i="20" s="1"/>
  <c r="AV70" i="20" s="1"/>
  <c r="AH157" i="20" a="1"/>
  <c r="AH157" i="20" s="1"/>
  <c r="AH64" i="20" s="1"/>
  <c r="J141" i="20" a="1"/>
  <c r="J141" i="20" s="1"/>
  <c r="J48" i="20" s="1"/>
  <c r="W195" i="20" a="1"/>
  <c r="W195" i="20" s="1"/>
  <c r="W102" i="20" s="1"/>
  <c r="AV189" i="20" a="1"/>
  <c r="AV189" i="20" s="1"/>
  <c r="AV96" i="20" s="1"/>
  <c r="E202" i="20" a="1"/>
  <c r="E202" i="20" s="1"/>
  <c r="N149" i="20" a="1"/>
  <c r="N149" i="20" s="1"/>
  <c r="N56" i="20" s="1"/>
  <c r="AN164" i="20" a="1"/>
  <c r="AN164" i="20" s="1"/>
  <c r="AN71" i="20" s="1"/>
  <c r="T171" i="20" a="1"/>
  <c r="T171" i="20" s="1"/>
  <c r="T78" i="20" s="1"/>
  <c r="F169" i="20" a="1"/>
  <c r="F169" i="20" s="1"/>
  <c r="F76" i="20" s="1"/>
  <c r="AO167" i="20" a="1"/>
  <c r="AO167" i="20" s="1"/>
  <c r="AO74" i="20" s="1"/>
  <c r="Q173" i="20" a="1"/>
  <c r="Q173" i="20" s="1"/>
  <c r="Q80" i="20" s="1"/>
  <c r="AB136" i="20" a="1"/>
  <c r="AB136" i="20" s="1"/>
  <c r="AB43" i="20" s="1"/>
  <c r="R196" i="20" a="1"/>
  <c r="R196" i="20" s="1"/>
  <c r="R103" i="20" s="1"/>
  <c r="F202" i="20" a="1"/>
  <c r="F202" i="20" s="1"/>
  <c r="F109" i="20" s="1"/>
  <c r="AR133" i="20" a="1"/>
  <c r="AR133" i="20" s="1"/>
  <c r="AR40" i="20" s="1"/>
  <c r="P174" i="20" a="1"/>
  <c r="P174" i="20" s="1"/>
  <c r="P81" i="20" s="1"/>
  <c r="AU167" i="20" a="1"/>
  <c r="AU167" i="20" s="1"/>
  <c r="AU74" i="20" s="1"/>
  <c r="X157" i="20" a="1"/>
  <c r="X157" i="20" s="1"/>
  <c r="X64" i="20" s="1"/>
  <c r="K196" i="20" a="1"/>
  <c r="K196" i="20" s="1"/>
  <c r="K103" i="20" s="1"/>
  <c r="AG194" i="20" a="1"/>
  <c r="AG194" i="20" s="1"/>
  <c r="AG101" i="20" s="1"/>
  <c r="AT129" i="20" a="1"/>
  <c r="AT129" i="20" s="1"/>
  <c r="M140" i="20" a="1"/>
  <c r="M140" i="20" s="1"/>
  <c r="AU192" i="20" a="1"/>
  <c r="AU192" i="20" s="1"/>
  <c r="AU99" i="20" s="1"/>
  <c r="AT170" i="20" a="1"/>
  <c r="AT170" i="20" s="1"/>
  <c r="AT77" i="20" s="1"/>
  <c r="O134" i="20" a="1"/>
  <c r="O134" i="20" s="1"/>
  <c r="O41" i="20" s="1"/>
  <c r="I198" i="20" a="1"/>
  <c r="I198" i="20" s="1"/>
  <c r="I105" i="20" s="1"/>
  <c r="O185" i="20" a="1"/>
  <c r="O185" i="20" s="1"/>
  <c r="O92" i="20" s="1"/>
  <c r="H143" i="20" a="1"/>
  <c r="H143" i="20" s="1"/>
  <c r="H50" i="20" s="1"/>
  <c r="AL136" i="20" a="1"/>
  <c r="AL136" i="20" s="1"/>
  <c r="AL43" i="20" s="1"/>
  <c r="F180" i="20" a="1"/>
  <c r="F180" i="20" s="1"/>
  <c r="F87" i="20" s="1"/>
  <c r="AF177" i="20" a="1"/>
  <c r="AF177" i="20" s="1"/>
  <c r="AF84" i="20" s="1"/>
  <c r="T130" i="20" a="1"/>
  <c r="T130" i="20" s="1"/>
  <c r="T37" i="20" s="1"/>
  <c r="G175" i="20" a="1"/>
  <c r="G175" i="20" s="1"/>
  <c r="Y174" i="20" a="1"/>
  <c r="Y174" i="20" s="1"/>
  <c r="Y81" i="20" s="1"/>
  <c r="AB164" i="20" a="1"/>
  <c r="AB164" i="20" s="1"/>
  <c r="AB71" i="20" s="1"/>
  <c r="F130" i="20" a="1"/>
  <c r="F130" i="20" s="1"/>
  <c r="F37" i="20" s="1"/>
  <c r="N130" i="20" a="1"/>
  <c r="N130" i="20" s="1"/>
  <c r="N37" i="20" s="1"/>
  <c r="AA170" i="20" a="1"/>
  <c r="AA170" i="20" s="1"/>
  <c r="AA77" i="20" s="1"/>
  <c r="AJ192" i="20" a="1"/>
  <c r="AJ192" i="20" s="1"/>
  <c r="AJ99" i="20" s="1"/>
  <c r="S134" i="20" a="1"/>
  <c r="S134" i="20" s="1"/>
  <c r="S41" i="20" s="1"/>
  <c r="AA161" i="20" a="1"/>
  <c r="AA161" i="20" s="1"/>
  <c r="AA68" i="20" s="1"/>
  <c r="Y136" i="20" a="1"/>
  <c r="Y136" i="20" s="1"/>
  <c r="Y43" i="20" s="1"/>
  <c r="P140" i="20" a="1"/>
  <c r="P140" i="20" s="1"/>
  <c r="P47" i="20" s="1"/>
  <c r="Q198" i="20" a="1"/>
  <c r="Q198" i="20" s="1"/>
  <c r="Q105" i="20" s="1"/>
  <c r="AR162" i="20" a="1"/>
  <c r="AR162" i="20" s="1"/>
  <c r="AR69" i="20" s="1"/>
  <c r="AB182" i="20" a="1"/>
  <c r="AB182" i="20" s="1"/>
  <c r="AB89" i="20" s="1"/>
  <c r="AP176" i="20" a="1"/>
  <c r="AP176" i="20" s="1"/>
  <c r="AP83" i="20" s="1"/>
  <c r="AE136" i="20" a="1"/>
  <c r="AE136" i="20" s="1"/>
  <c r="AE43" i="20" s="1"/>
  <c r="AS185" i="20" a="1"/>
  <c r="AS185" i="20" s="1"/>
  <c r="AS92" i="20" s="1"/>
  <c r="L193" i="20" a="1"/>
  <c r="L193" i="20" s="1"/>
  <c r="L100" i="20" s="1"/>
  <c r="W187" i="20" a="1"/>
  <c r="W187" i="20" s="1"/>
  <c r="W94" i="20" s="1"/>
  <c r="AQ197" i="20" a="1"/>
  <c r="AQ197" i="20" s="1"/>
  <c r="AQ104" i="20" s="1"/>
  <c r="AI146" i="20" a="1"/>
  <c r="AI146" i="20" s="1"/>
  <c r="AI53" i="20" s="1"/>
  <c r="AV195" i="20" a="1"/>
  <c r="AV195" i="20" s="1"/>
  <c r="AV102" i="20" s="1"/>
  <c r="U133" i="20" a="1"/>
  <c r="U133" i="20" s="1"/>
  <c r="U40" i="20" s="1"/>
  <c r="AJ166" i="20" a="1"/>
  <c r="AJ166" i="20" s="1"/>
  <c r="AJ73" i="20" s="1"/>
  <c r="U173" i="20" a="1"/>
  <c r="U173" i="20" s="1"/>
  <c r="U80" i="20" s="1"/>
  <c r="Q175" i="20" a="1"/>
  <c r="Q175" i="20" s="1"/>
  <c r="AS168" i="20" a="1"/>
  <c r="AS168" i="20" s="1"/>
  <c r="AS75" i="20" s="1"/>
  <c r="M202" i="20" a="1"/>
  <c r="M202" i="20" s="1"/>
  <c r="M109" i="20" s="1"/>
  <c r="X151" i="20" a="1"/>
  <c r="X151" i="20" s="1"/>
  <c r="X58" i="20" s="1"/>
  <c r="AU155" i="20" a="1"/>
  <c r="AU155" i="20" s="1"/>
  <c r="AU62" i="20" s="1"/>
  <c r="X130" i="20" a="1"/>
  <c r="X130" i="20" s="1"/>
  <c r="X37" i="20" s="1"/>
  <c r="AF190" i="20" a="1"/>
  <c r="AF190" i="20" s="1"/>
  <c r="AF97" i="20" s="1"/>
  <c r="F147" i="20" a="1"/>
  <c r="F147" i="20" s="1"/>
  <c r="F54" i="20" s="1"/>
  <c r="Q174" i="20" a="1"/>
  <c r="Q174" i="20" s="1"/>
  <c r="Q81" i="20" s="1"/>
  <c r="AN172" i="20" a="1"/>
  <c r="AN172" i="20" s="1"/>
  <c r="AN79" i="20" s="1"/>
  <c r="N169" i="20" a="1"/>
  <c r="N169" i="20" s="1"/>
  <c r="N76" i="20" s="1"/>
  <c r="AA176" i="20" a="1"/>
  <c r="AA176" i="20" s="1"/>
  <c r="AA83" i="20" s="1"/>
  <c r="S172" i="20" a="1"/>
  <c r="S172" i="20" s="1"/>
  <c r="S79" i="20" s="1"/>
  <c r="AH175" i="20" a="1"/>
  <c r="AH175" i="20" s="1"/>
  <c r="F173" i="20" a="1"/>
  <c r="F173" i="20" s="1"/>
  <c r="F80" i="20" s="1"/>
  <c r="AT195" i="20" a="1"/>
  <c r="AT195" i="20" s="1"/>
  <c r="AT102" i="20" s="1"/>
  <c r="K134" i="20" a="1"/>
  <c r="K134" i="20" s="1"/>
  <c r="K41" i="20" s="1"/>
  <c r="AP161" i="20" a="1"/>
  <c r="AP161" i="20" s="1"/>
  <c r="AP68" i="20" s="1"/>
  <c r="Z153" i="20" a="1"/>
  <c r="Z153" i="20" s="1"/>
  <c r="Z60" i="20" s="1"/>
  <c r="F166" i="20" a="1"/>
  <c r="F166" i="20" s="1"/>
  <c r="F73" i="20" s="1"/>
  <c r="AN136" i="20" a="1"/>
  <c r="AN136" i="20" s="1"/>
  <c r="AN43" i="20" s="1"/>
  <c r="E185" i="20" a="1"/>
  <c r="E185" i="20" s="1"/>
  <c r="M166" i="20" a="1"/>
  <c r="M166" i="20" s="1"/>
  <c r="M73" i="20" s="1"/>
  <c r="W176" i="20" a="1"/>
  <c r="W176" i="20" s="1"/>
  <c r="W83" i="20" s="1"/>
  <c r="AP194" i="20" a="1"/>
  <c r="AP194" i="20" s="1"/>
  <c r="AP101" i="20" s="1"/>
  <c r="AP160" i="20" a="1"/>
  <c r="AP160" i="20" s="1"/>
  <c r="AP67" i="20" s="1"/>
  <c r="W136" i="20" a="1"/>
  <c r="W136" i="20" s="1"/>
  <c r="W43" i="20" s="1"/>
  <c r="H166" i="20" a="1"/>
  <c r="H166" i="20" s="1"/>
  <c r="H73" i="20" s="1"/>
  <c r="L184" i="20" a="1"/>
  <c r="L184" i="20" s="1"/>
  <c r="L91" i="20" s="1"/>
  <c r="E187" i="20" a="1"/>
  <c r="E187" i="20" s="1"/>
  <c r="AH187" i="20" a="1"/>
  <c r="AH187" i="20" s="1"/>
  <c r="AH94" i="20" s="1"/>
  <c r="L137" i="20" a="1"/>
  <c r="L137" i="20" s="1"/>
  <c r="L44" i="20" s="1"/>
  <c r="X160" i="20" a="1"/>
  <c r="X160" i="20" s="1"/>
  <c r="X67" i="20" s="1"/>
  <c r="AN133" i="20" a="1"/>
  <c r="AN133" i="20" s="1"/>
  <c r="AN40" i="20" s="1"/>
  <c r="AV133" i="20" a="1"/>
  <c r="AV133" i="20" s="1"/>
  <c r="AV40" i="20" s="1"/>
  <c r="O161" i="20" a="1"/>
  <c r="O161" i="20" s="1"/>
  <c r="O68" i="20" s="1"/>
  <c r="X171" i="20" a="1"/>
  <c r="X171" i="20" s="1"/>
  <c r="X78" i="20" s="1"/>
  <c r="G133" i="20" a="1"/>
  <c r="G133" i="20" s="1"/>
  <c r="G40" i="20" s="1"/>
  <c r="H142" i="20" a="1"/>
  <c r="H142" i="20" s="1"/>
  <c r="H49" i="20" s="1"/>
  <c r="AL199" i="20" a="1"/>
  <c r="AL199" i="20" s="1"/>
  <c r="AL106" i="20" s="1"/>
  <c r="W182" i="20" a="1"/>
  <c r="W182" i="20" s="1"/>
  <c r="W89" i="20" s="1"/>
  <c r="AK183" i="20" a="1"/>
  <c r="AK183" i="20" s="1"/>
  <c r="AK90" i="20" s="1"/>
  <c r="AR166" i="20" a="1"/>
  <c r="AR166" i="20" s="1"/>
  <c r="AR73" i="20" s="1"/>
  <c r="AC176" i="20" a="1"/>
  <c r="AC176" i="20" s="1"/>
  <c r="AC83" i="20" s="1"/>
  <c r="W131" i="20" a="1"/>
  <c r="W131" i="20" s="1"/>
  <c r="W38" i="20" s="1"/>
  <c r="T195" i="20" a="1"/>
  <c r="T195" i="20" s="1"/>
  <c r="T102" i="20" s="1"/>
  <c r="G141" i="20" a="1"/>
  <c r="G141" i="20" s="1"/>
  <c r="G48" i="20" s="1"/>
  <c r="E159" i="20" a="1"/>
  <c r="E159" i="20" s="1"/>
  <c r="U146" i="20" a="1"/>
  <c r="U146" i="20" s="1"/>
  <c r="U53" i="20" s="1"/>
  <c r="AU190" i="20" a="1"/>
  <c r="AU190" i="20" s="1"/>
  <c r="AU97" i="20" s="1"/>
  <c r="J189" i="20" a="1"/>
  <c r="J189" i="20" s="1"/>
  <c r="J96" i="20" s="1"/>
  <c r="H151" i="20" a="1"/>
  <c r="H151" i="20" s="1"/>
  <c r="H58" i="20" s="1"/>
  <c r="AP163" i="20" a="1"/>
  <c r="AP163" i="20" s="1"/>
  <c r="AP70" i="20" s="1"/>
  <c r="AB149" i="20" a="1"/>
  <c r="AB149" i="20" s="1"/>
  <c r="AB56" i="20" s="1"/>
  <c r="AB148" i="20" a="1"/>
  <c r="AB148" i="20" s="1"/>
  <c r="AB55" i="20" s="1"/>
  <c r="AR188" i="20" a="1"/>
  <c r="AR188" i="20" s="1"/>
  <c r="H175" i="20" a="1"/>
  <c r="H175" i="20" s="1"/>
  <c r="AH142" i="20" a="1"/>
  <c r="AH142" i="20" s="1"/>
  <c r="AH49" i="20" s="1"/>
  <c r="L138" i="20" a="1"/>
  <c r="L138" i="20" s="1"/>
  <c r="L45" i="20" s="1"/>
  <c r="R187" i="20" a="1"/>
  <c r="R187" i="20" s="1"/>
  <c r="R94" i="20" s="1"/>
  <c r="Z134" i="20" a="1"/>
  <c r="Z134" i="20" s="1"/>
  <c r="Z41" i="20" s="1"/>
  <c r="V193" i="20" a="1"/>
  <c r="V193" i="20" s="1"/>
  <c r="V100" i="20" s="1"/>
  <c r="AU171" i="20" a="1"/>
  <c r="AU171" i="20" s="1"/>
  <c r="AU78" i="20" s="1"/>
  <c r="AH174" i="20" a="1"/>
  <c r="AH174" i="20" s="1"/>
  <c r="AH81" i="20" s="1"/>
  <c r="AH166" i="20" a="1"/>
  <c r="AH166" i="20" s="1"/>
  <c r="AH73" i="20" s="1"/>
  <c r="AH167" i="20" a="1"/>
  <c r="AH167" i="20" s="1"/>
  <c r="AH74" i="20" s="1"/>
  <c r="K171" i="20" a="1"/>
  <c r="K171" i="20" s="1"/>
  <c r="K78" i="20" s="1"/>
  <c r="K153" i="20" a="1"/>
  <c r="K153" i="20" s="1"/>
  <c r="K60" i="20" s="1"/>
  <c r="P168" i="20" a="1"/>
  <c r="P168" i="20" s="1"/>
  <c r="P75" i="20" s="1"/>
  <c r="G193" i="20" a="1"/>
  <c r="G193" i="20" s="1"/>
  <c r="G100" i="20" s="1"/>
  <c r="Z140" i="20" a="1"/>
  <c r="Z140" i="20" s="1"/>
  <c r="E196" i="20" a="1"/>
  <c r="E196" i="20" s="1"/>
  <c r="AN174" i="20" a="1"/>
  <c r="AN174" i="20" s="1"/>
  <c r="AN81" i="20" s="1"/>
  <c r="AL194" i="20" a="1"/>
  <c r="AL194" i="20" s="1"/>
  <c r="AL101" i="20" s="1"/>
  <c r="AV184" i="20" a="1"/>
  <c r="AV184" i="20" s="1"/>
  <c r="AV91" i="20" s="1"/>
  <c r="AR180" i="20" a="1"/>
  <c r="AR180" i="20" s="1"/>
  <c r="AR87" i="20" s="1"/>
  <c r="I141" i="20" a="1"/>
  <c r="I141" i="20" s="1"/>
  <c r="I48" i="20" s="1"/>
  <c r="AE145" i="20" a="1"/>
  <c r="AE145" i="20" s="1"/>
  <c r="AE52" i="20" s="1"/>
  <c r="AQ151" i="20" a="1"/>
  <c r="AQ151" i="20" s="1"/>
  <c r="AQ58" i="20" s="1"/>
  <c r="AV186" i="20" a="1"/>
  <c r="AV186" i="20" s="1"/>
  <c r="AV93" i="20" s="1"/>
  <c r="AQ146" i="20" a="1"/>
  <c r="AQ146" i="20" s="1"/>
  <c r="AQ53" i="20" s="1"/>
  <c r="P148" i="20" a="1"/>
  <c r="P148" i="20" s="1"/>
  <c r="P55" i="20" s="1"/>
  <c r="X189" i="20" a="1"/>
  <c r="X189" i="20" s="1"/>
  <c r="X96" i="20" s="1"/>
  <c r="N156" i="20" a="1"/>
  <c r="N156" i="20" s="1"/>
  <c r="N63" i="20" s="1"/>
  <c r="AM154" i="20" a="1"/>
  <c r="AM154" i="20" s="1"/>
  <c r="AV196" i="20" a="1"/>
  <c r="AV196" i="20" s="1"/>
  <c r="AV103" i="20" s="1"/>
  <c r="S184" i="20" a="1"/>
  <c r="S184" i="20" s="1"/>
  <c r="S91" i="20" s="1"/>
  <c r="R182" i="20" a="1"/>
  <c r="R182" i="20" s="1"/>
  <c r="R89" i="20" s="1"/>
  <c r="AC189" i="20" a="1"/>
  <c r="AC189" i="20" s="1"/>
  <c r="AC96" i="20" s="1"/>
  <c r="Z167" i="20" a="1"/>
  <c r="Z167" i="20" s="1"/>
  <c r="Z74" i="20" s="1"/>
  <c r="H129" i="20" a="1"/>
  <c r="H129" i="20" s="1"/>
  <c r="H36" i="20" s="1"/>
  <c r="F170" i="20" a="1"/>
  <c r="F170" i="20" s="1"/>
  <c r="F77" i="20" s="1"/>
  <c r="J169" i="20" a="1"/>
  <c r="J169" i="20" s="1"/>
  <c r="J76" i="20" s="1"/>
  <c r="AA189" i="20" a="1"/>
  <c r="AA189" i="20" s="1"/>
  <c r="AA96" i="20" s="1"/>
  <c r="W148" i="20" a="1"/>
  <c r="W148" i="20" s="1"/>
  <c r="W55" i="20" s="1"/>
  <c r="L175" i="20" a="1"/>
  <c r="L175" i="20" s="1"/>
  <c r="AQ150" i="20" a="1"/>
  <c r="AQ150" i="20" s="1"/>
  <c r="AQ57" i="20" s="1"/>
  <c r="AE185" i="20" a="1"/>
  <c r="AE185" i="20" s="1"/>
  <c r="AE92" i="20" s="1"/>
  <c r="AB158" i="20" a="1"/>
  <c r="AB158" i="20" s="1"/>
  <c r="AB65" i="20" s="1"/>
  <c r="AM167" i="20" a="1"/>
  <c r="AM167" i="20" s="1"/>
  <c r="AM74" i="20" s="1"/>
  <c r="AL198" i="20" a="1"/>
  <c r="AL198" i="20" s="1"/>
  <c r="AL105" i="20" s="1"/>
  <c r="Z198" i="20" a="1"/>
  <c r="Z198" i="20" s="1"/>
  <c r="Z105" i="20" s="1"/>
  <c r="Z148" i="20" a="1"/>
  <c r="Z148" i="20" s="1"/>
  <c r="Z55" i="20" s="1"/>
  <c r="V141" i="20" a="1"/>
  <c r="V141" i="20" s="1"/>
  <c r="V48" i="20" s="1"/>
  <c r="W171" i="20" a="1"/>
  <c r="W171" i="20" s="1"/>
  <c r="W78" i="20" s="1"/>
  <c r="AN129" i="20" a="1"/>
  <c r="AN129" i="20" s="1"/>
  <c r="Y182" i="20" a="1"/>
  <c r="Y182" i="20" s="1"/>
  <c r="Y89" i="20" s="1"/>
  <c r="L127" i="20" a="1"/>
  <c r="L127" i="20" s="1"/>
  <c r="AQ201" i="20" a="1"/>
  <c r="AQ201" i="20" s="1"/>
  <c r="U186" i="20" a="1"/>
  <c r="U186" i="20" s="1"/>
  <c r="U93" i="20" s="1"/>
  <c r="Z189" i="20" a="1"/>
  <c r="Z189" i="20" s="1"/>
  <c r="Z96" i="20" s="1"/>
  <c r="AS158" i="20" a="1"/>
  <c r="AS158" i="20" s="1"/>
  <c r="AS65" i="20" s="1"/>
  <c r="K135" i="20" a="1"/>
  <c r="K135" i="20" s="1"/>
  <c r="K42" i="20" s="1"/>
  <c r="AS148" i="20" a="1"/>
  <c r="AS148" i="20" s="1"/>
  <c r="AS55" i="20" s="1"/>
  <c r="G129" i="20" a="1"/>
  <c r="G129" i="20" s="1"/>
  <c r="G36" i="20" s="1"/>
  <c r="K172" i="20" a="1"/>
  <c r="K172" i="20" s="1"/>
  <c r="K79" i="20" s="1"/>
  <c r="J127" i="20" a="1"/>
  <c r="J127" i="20" s="1"/>
  <c r="Y164" i="20" a="1"/>
  <c r="Y164" i="20" s="1"/>
  <c r="Y71" i="20" s="1"/>
  <c r="AA149" i="20" a="1"/>
  <c r="AA149" i="20" s="1"/>
  <c r="AA56" i="20" s="1"/>
  <c r="F138" i="20" a="1"/>
  <c r="F138" i="20" s="1"/>
  <c r="F45" i="20" s="1"/>
  <c r="T161" i="20" a="1"/>
  <c r="T161" i="20" s="1"/>
  <c r="T68" i="20" s="1"/>
  <c r="J172" i="20" a="1"/>
  <c r="J172" i="20" s="1"/>
  <c r="J79" i="20" s="1"/>
  <c r="U149" i="20" a="1"/>
  <c r="U149" i="20" s="1"/>
  <c r="U56" i="20" s="1"/>
  <c r="AF175" i="20" a="1"/>
  <c r="AF175" i="20" s="1"/>
  <c r="AS147" i="20" a="1"/>
  <c r="AS147" i="20" s="1"/>
  <c r="AS54" i="20" s="1"/>
  <c r="AU160" i="20" a="1"/>
  <c r="AU160" i="20" s="1"/>
  <c r="AU67" i="20" s="1"/>
  <c r="AT182" i="20" a="1"/>
  <c r="AT182" i="20" s="1"/>
  <c r="AT89" i="20" s="1"/>
  <c r="Q180" i="20" a="1"/>
  <c r="Q180" i="20" s="1"/>
  <c r="Q87" i="20" s="1"/>
  <c r="G198" i="20" a="1"/>
  <c r="G198" i="20" s="1"/>
  <c r="G105" i="20" s="1"/>
  <c r="AS195" i="20" a="1"/>
  <c r="AS195" i="20" s="1"/>
  <c r="AS102" i="20" s="1"/>
  <c r="T142" i="20" a="1"/>
  <c r="T142" i="20" s="1"/>
  <c r="T49" i="20" s="1"/>
  <c r="T185" i="20" a="1"/>
  <c r="T185" i="20" s="1"/>
  <c r="T92" i="20" s="1"/>
  <c r="M185" i="20" a="1"/>
  <c r="M185" i="20" s="1"/>
  <c r="M92" i="20" s="1"/>
  <c r="AM133" i="20" a="1"/>
  <c r="AM133" i="20" s="1"/>
  <c r="AM40" i="20" s="1"/>
  <c r="AE133" i="20" a="1"/>
  <c r="AE133" i="20" s="1"/>
  <c r="AE40" i="20" s="1"/>
  <c r="I174" i="20" a="1"/>
  <c r="I174" i="20" s="1"/>
  <c r="I81" i="20" s="1"/>
  <c r="AQ134" i="20" a="1"/>
  <c r="AQ134" i="20" s="1"/>
  <c r="AQ41" i="20" s="1"/>
  <c r="AL193" i="20" a="1"/>
  <c r="AL193" i="20" s="1"/>
  <c r="AL100" i="20" s="1"/>
  <c r="M156" i="20" a="1"/>
  <c r="M156" i="20" s="1"/>
  <c r="M63" i="20" s="1"/>
  <c r="AP183" i="20" a="1"/>
  <c r="AP183" i="20" s="1"/>
  <c r="AP90" i="20" s="1"/>
  <c r="AA169" i="20" a="1"/>
  <c r="AA169" i="20" s="1"/>
  <c r="AA76" i="20" s="1"/>
  <c r="AC169" i="20" a="1"/>
  <c r="AC169" i="20" s="1"/>
  <c r="AC76" i="20" s="1"/>
  <c r="W135" i="20" a="1"/>
  <c r="W135" i="20" s="1"/>
  <c r="W42" i="20" s="1"/>
  <c r="O174" i="20" a="1"/>
  <c r="O174" i="20" s="1"/>
  <c r="O81" i="20" s="1"/>
  <c r="Q154" i="20" a="1"/>
  <c r="Q154" i="20" s="1"/>
  <c r="Y158" i="20" a="1"/>
  <c r="Y158" i="20" s="1"/>
  <c r="Y65" i="20" s="1"/>
  <c r="AB131" i="20" a="1"/>
  <c r="AB131" i="20" s="1"/>
  <c r="AB38" i="20" s="1"/>
  <c r="G195" i="20" a="1"/>
  <c r="G195" i="20" s="1"/>
  <c r="G102" i="20" s="1"/>
  <c r="H185" i="20" a="1"/>
  <c r="H185" i="20" s="1"/>
  <c r="H92" i="20" s="1"/>
  <c r="AH172" i="20" a="1"/>
  <c r="AH172" i="20" s="1"/>
  <c r="AH79" i="20" s="1"/>
  <c r="AM198" i="20" a="1"/>
  <c r="AM198" i="20" s="1"/>
  <c r="AM105" i="20" s="1"/>
  <c r="E151" i="20" a="1"/>
  <c r="E151" i="20" s="1"/>
  <c r="AD144" i="20" a="1"/>
  <c r="AD144" i="20" s="1"/>
  <c r="AD51" i="20" s="1"/>
  <c r="Y186" i="20" a="1"/>
  <c r="Y186" i="20" s="1"/>
  <c r="Y93" i="20" s="1"/>
  <c r="W143" i="20" a="1"/>
  <c r="W143" i="20" s="1"/>
  <c r="W50" i="20" s="1"/>
  <c r="AT131" i="20" a="1"/>
  <c r="AT131" i="20" s="1"/>
  <c r="AT38" i="20" s="1"/>
  <c r="T141" i="20" a="1"/>
  <c r="T141" i="20" s="1"/>
  <c r="T48" i="20" s="1"/>
  <c r="X146" i="20" a="1"/>
  <c r="X146" i="20" s="1"/>
  <c r="X53" i="20" s="1"/>
  <c r="AQ194" i="20" a="1"/>
  <c r="AQ194" i="20" s="1"/>
  <c r="AQ101" i="20" s="1"/>
  <c r="L185" i="20" a="1"/>
  <c r="L185" i="20" s="1"/>
  <c r="L92" i="20" s="1"/>
  <c r="AP134" i="20" a="1"/>
  <c r="AP134" i="20" s="1"/>
  <c r="AP41" i="20" s="1"/>
  <c r="O143" i="20" a="1"/>
  <c r="O143" i="20" s="1"/>
  <c r="O50" i="20" s="1"/>
  <c r="O197" i="20" a="1"/>
  <c r="O197" i="20" s="1"/>
  <c r="O104" i="20" s="1"/>
  <c r="W130" i="20" a="1"/>
  <c r="W130" i="20" s="1"/>
  <c r="W37" i="20" s="1"/>
  <c r="AI187" i="20" a="1"/>
  <c r="AI187" i="20" s="1"/>
  <c r="AI94" i="20" s="1"/>
  <c r="AU133" i="20" a="1"/>
  <c r="AU133" i="20" s="1"/>
  <c r="AU40" i="20" s="1"/>
  <c r="Z161" i="20" a="1"/>
  <c r="Z161" i="20" s="1"/>
  <c r="Z68" i="20" s="1"/>
  <c r="AI164" i="20" a="1"/>
  <c r="AI164" i="20" s="1"/>
  <c r="AI71" i="20" s="1"/>
  <c r="AR161" i="20" a="1"/>
  <c r="AR161" i="20" s="1"/>
  <c r="AR68" i="20" s="1"/>
  <c r="R189" i="20" a="1"/>
  <c r="R189" i="20" s="1"/>
  <c r="R96" i="20" s="1"/>
  <c r="AN166" i="20" a="1"/>
  <c r="AN166" i="20" s="1"/>
  <c r="AN73" i="20" s="1"/>
  <c r="AQ158" i="20" a="1"/>
  <c r="AQ158" i="20" s="1"/>
  <c r="AQ65" i="20" s="1"/>
  <c r="AQ132" i="20" a="1"/>
  <c r="AQ132" i="20" s="1"/>
  <c r="AQ39" i="20" s="1"/>
  <c r="P167" i="20" a="1"/>
  <c r="P167" i="20" s="1"/>
  <c r="P74" i="20" s="1"/>
  <c r="J197" i="20" a="1"/>
  <c r="J197" i="20" s="1"/>
  <c r="J104" i="20" s="1"/>
  <c r="AD177" i="20" a="1"/>
  <c r="AD177" i="20" s="1"/>
  <c r="AD84" i="20" s="1"/>
  <c r="V177" i="20" a="1"/>
  <c r="V177" i="20" s="1"/>
  <c r="V84" i="20" s="1"/>
  <c r="R143" i="20" a="1"/>
  <c r="R143" i="20" s="1"/>
  <c r="R50" i="20" s="1"/>
  <c r="AJ175" i="20" a="1"/>
  <c r="AJ175" i="20" s="1"/>
  <c r="AH154" i="20" a="1"/>
  <c r="AH154" i="20" s="1"/>
  <c r="AH61" i="20" s="1"/>
  <c r="AT130" i="20" a="1"/>
  <c r="AT130" i="20" s="1"/>
  <c r="AT37" i="20" s="1"/>
  <c r="T133" i="20" a="1"/>
  <c r="T133" i="20" s="1"/>
  <c r="T40" i="20" s="1"/>
  <c r="S161" i="20" a="1"/>
  <c r="S161" i="20" s="1"/>
  <c r="S68" i="20" s="1"/>
  <c r="S148" i="20" a="1"/>
  <c r="S148" i="20" s="1"/>
  <c r="S55" i="20" s="1"/>
  <c r="AU189" i="20" a="1"/>
  <c r="AU189" i="20" s="1"/>
  <c r="AU96" i="20" s="1"/>
  <c r="J131" i="20" a="1"/>
  <c r="J131" i="20" s="1"/>
  <c r="J38" i="20" s="1"/>
  <c r="AS201" i="20" a="1"/>
  <c r="AS201" i="20" s="1"/>
  <c r="T166" i="20" a="1"/>
  <c r="T166" i="20" s="1"/>
  <c r="T73" i="20" s="1"/>
  <c r="J153" i="20" a="1"/>
  <c r="J153" i="20" s="1"/>
  <c r="J60" i="20" s="1"/>
  <c r="T132" i="20" a="1"/>
  <c r="T132" i="20" s="1"/>
  <c r="T39" i="20" s="1"/>
  <c r="S202" i="20" a="1"/>
  <c r="S202" i="20" s="1"/>
  <c r="S109" i="20" s="1"/>
  <c r="AT196" i="20" a="1"/>
  <c r="AT196" i="20" s="1"/>
  <c r="AT103" i="20" s="1"/>
  <c r="AA182" i="20" a="1"/>
  <c r="AA182" i="20" s="1"/>
  <c r="AA89" i="20" s="1"/>
  <c r="AS189" i="20" a="1"/>
  <c r="AS189" i="20" s="1"/>
  <c r="AS96" i="20" s="1"/>
  <c r="J133" i="20" a="1"/>
  <c r="J133" i="20" s="1"/>
  <c r="J40" i="20" s="1"/>
  <c r="AQ185" i="20" a="1"/>
  <c r="AQ185" i="20" s="1"/>
  <c r="AQ92" i="20" s="1"/>
  <c r="F167" i="20" a="1"/>
  <c r="F167" i="20" s="1"/>
  <c r="F74" i="20" s="1"/>
  <c r="G167" i="20" a="1"/>
  <c r="G167" i="20" s="1"/>
  <c r="G74" i="20" s="1"/>
  <c r="O182" i="20" a="1"/>
  <c r="O182" i="20" s="1"/>
  <c r="O89" i="20" s="1"/>
  <c r="AB171" i="20" a="1"/>
  <c r="AB171" i="20" s="1"/>
  <c r="AB78" i="20" s="1"/>
  <c r="G196" i="20" a="1"/>
  <c r="G196" i="20" s="1"/>
  <c r="G103" i="20" s="1"/>
  <c r="G202" i="20" a="1"/>
  <c r="G202" i="20" s="1"/>
  <c r="G109" i="20" s="1"/>
  <c r="L158" i="20" a="1"/>
  <c r="L158" i="20" s="1"/>
  <c r="L65" i="20" s="1"/>
  <c r="S151" i="20" a="1"/>
  <c r="S151" i="20" s="1"/>
  <c r="S58" i="20" s="1"/>
  <c r="S171" i="20" a="1"/>
  <c r="S171" i="20" s="1"/>
  <c r="S78" i="20" s="1"/>
  <c r="E143" i="20" a="1"/>
  <c r="E143" i="20" s="1"/>
  <c r="F149" i="20" a="1"/>
  <c r="F149" i="20" s="1"/>
  <c r="F56" i="20" s="1"/>
  <c r="AF174" i="20" a="1"/>
  <c r="AF174" i="20" s="1"/>
  <c r="AF81" i="20" s="1"/>
  <c r="AI168" i="20" a="1"/>
  <c r="AI168" i="20" s="1"/>
  <c r="AI75" i="20" s="1"/>
  <c r="AP190" i="20" a="1"/>
  <c r="AP190" i="20" s="1"/>
  <c r="AP97" i="20" s="1"/>
  <c r="L187" i="20" a="1"/>
  <c r="L187" i="20" s="1"/>
  <c r="L94" i="20" s="1"/>
  <c r="M134" i="20" a="1"/>
  <c r="M134" i="20" s="1"/>
  <c r="M41" i="20" s="1"/>
  <c r="AG129" i="20" a="1"/>
  <c r="AG129" i="20" s="1"/>
  <c r="AH199" i="20" a="1"/>
  <c r="AH199" i="20" s="1"/>
  <c r="AH106" i="20" s="1"/>
  <c r="O137" i="20" a="1"/>
  <c r="O137" i="20" s="1"/>
  <c r="O44" i="20" s="1"/>
  <c r="V157" i="20" a="1"/>
  <c r="V157" i="20" s="1"/>
  <c r="V64" i="20" s="1"/>
  <c r="H140" i="20" a="1"/>
  <c r="H140" i="20" s="1"/>
  <c r="H149" i="20" a="1"/>
  <c r="H149" i="20" s="1"/>
  <c r="H56" i="20" s="1"/>
  <c r="X135" i="20" a="1"/>
  <c r="X135" i="20" s="1"/>
  <c r="X42" i="20" s="1"/>
  <c r="V135" i="20" a="1"/>
  <c r="V135" i="20" s="1"/>
  <c r="V42" i="20" s="1"/>
  <c r="I175" i="20" a="1"/>
  <c r="I175" i="20" s="1"/>
  <c r="AQ159" i="20" a="1"/>
  <c r="AQ159" i="20" s="1"/>
  <c r="AQ66" i="20" s="1"/>
  <c r="AJ182" i="20" a="1"/>
  <c r="AJ182" i="20" s="1"/>
  <c r="AJ89" i="20" s="1"/>
  <c r="AT132" i="20" a="1"/>
  <c r="AT132" i="20" s="1"/>
  <c r="AT39" i="20" s="1"/>
  <c r="AP164" i="20" a="1"/>
  <c r="AP164" i="20" s="1"/>
  <c r="AP71" i="20" s="1"/>
  <c r="AP189" i="20" a="1"/>
  <c r="AP189" i="20" s="1"/>
  <c r="AP96" i="20" s="1"/>
  <c r="T148" i="20" a="1"/>
  <c r="T148" i="20" s="1"/>
  <c r="T55" i="20" s="1"/>
  <c r="M161" i="20" a="1"/>
  <c r="M161" i="20" s="1"/>
  <c r="M68" i="20" s="1"/>
  <c r="H195" i="20" a="1"/>
  <c r="H195" i="20" s="1"/>
  <c r="H102" i="20" s="1"/>
  <c r="X155" i="20" a="1"/>
  <c r="X155" i="20" s="1"/>
  <c r="X62" i="20" s="1"/>
  <c r="AU129" i="20" a="1"/>
  <c r="AU129" i="20" s="1"/>
  <c r="L134" i="20" a="1"/>
  <c r="L134" i="20" s="1"/>
  <c r="L41" i="20" s="1"/>
  <c r="AL157" i="20" a="1"/>
  <c r="AL157" i="20" s="1"/>
  <c r="AL64" i="20" s="1"/>
  <c r="G136" i="20" a="1"/>
  <c r="G136" i="20" s="1"/>
  <c r="G43" i="20" s="1"/>
  <c r="M167" i="20" a="1"/>
  <c r="M167" i="20" s="1"/>
  <c r="M74" i="20" s="1"/>
  <c r="J149" i="20" a="1"/>
  <c r="J149" i="20" s="1"/>
  <c r="J56" i="20" s="1"/>
  <c r="AG182" i="20" a="1"/>
  <c r="AG182" i="20" s="1"/>
  <c r="AG89" i="20" s="1"/>
  <c r="H156" i="20" a="1"/>
  <c r="H156" i="20" s="1"/>
  <c r="H63" i="20" s="1"/>
  <c r="I173" i="20" a="1"/>
  <c r="I173" i="20" s="1"/>
  <c r="I80" i="20" s="1"/>
  <c r="U187" i="20" a="1"/>
  <c r="U187" i="20" s="1"/>
  <c r="U94" i="20" s="1"/>
  <c r="W173" i="20" a="1"/>
  <c r="W173" i="20" s="1"/>
  <c r="W80" i="20" s="1"/>
  <c r="Q160" i="20" a="1"/>
  <c r="Q160" i="20" s="1"/>
  <c r="Q67" i="20" s="1"/>
  <c r="AJ159" i="20" a="1"/>
  <c r="AJ159" i="20" s="1"/>
  <c r="AJ66" i="20" s="1"/>
  <c r="T170" i="20" a="1"/>
  <c r="T170" i="20" s="1"/>
  <c r="T77" i="20" s="1"/>
  <c r="AH133" i="20" a="1"/>
  <c r="AH133" i="20" s="1"/>
  <c r="AH40" i="20" s="1"/>
  <c r="AR198" i="20" a="1"/>
  <c r="AR198" i="20" s="1"/>
  <c r="AR105" i="20" s="1"/>
  <c r="V158" i="20" a="1"/>
  <c r="V158" i="20" s="1"/>
  <c r="V65" i="20" s="1"/>
  <c r="AS186" i="20" a="1"/>
  <c r="AS186" i="20" s="1"/>
  <c r="AS93" i="20" s="1"/>
  <c r="AB161" i="20" a="1"/>
  <c r="AB161" i="20" s="1"/>
  <c r="AB68" i="20" s="1"/>
  <c r="M168" i="20" a="1"/>
  <c r="M168" i="20" s="1"/>
  <c r="M75" i="20" s="1"/>
  <c r="N146" i="20" a="1"/>
  <c r="N146" i="20" s="1"/>
  <c r="N53" i="20" s="1"/>
  <c r="Z187" i="20" a="1"/>
  <c r="Z187" i="20" s="1"/>
  <c r="Z94" i="20" s="1"/>
  <c r="AS130" i="20" a="1"/>
  <c r="AS130" i="20" s="1"/>
  <c r="AS37" i="20" s="1"/>
  <c r="AF55" i="34"/>
  <c r="AE60" i="34"/>
  <c r="AE58" i="34" s="1"/>
  <c r="AE20" i="34" s="1"/>
  <c r="AD6" i="34"/>
  <c r="AD14" i="34"/>
  <c r="AD24" i="34" s="1"/>
  <c r="AE7" i="34"/>
  <c r="AA29" i="34"/>
  <c r="AA30" i="34" s="1"/>
  <c r="R33" i="34"/>
  <c r="S31" i="34" s="1"/>
  <c r="R34" i="34"/>
  <c r="R37" i="34" s="1"/>
  <c r="AI15" i="23"/>
  <c r="AH22" i="23"/>
  <c r="AH18" i="23"/>
  <c r="AH23" i="23" s="1"/>
  <c r="AG23" i="23"/>
  <c r="AG21" i="23" s="1"/>
  <c r="AM183" i="20" l="1" a="1"/>
  <c r="AM183" i="20" s="1"/>
  <c r="AM90" i="20" s="1"/>
  <c r="H131" i="20" a="1"/>
  <c r="H131" i="20" s="1"/>
  <c r="H38" i="20" s="1"/>
  <c r="O130" i="20" a="1"/>
  <c r="O130" i="20" s="1"/>
  <c r="O37" i="20" s="1"/>
  <c r="I130" i="20" a="1"/>
  <c r="I130" i="20" s="1"/>
  <c r="I37" i="20" s="1"/>
  <c r="J150" i="20" a="1"/>
  <c r="J150" i="20" s="1"/>
  <c r="J57" i="20" s="1"/>
  <c r="AO189" i="20" a="1"/>
  <c r="AO189" i="20" s="1"/>
  <c r="AO96" i="20" s="1"/>
  <c r="I172" i="20" a="1"/>
  <c r="I172" i="20" s="1"/>
  <c r="I79" i="20" s="1"/>
  <c r="AD194" i="20" a="1"/>
  <c r="AD194" i="20" s="1"/>
  <c r="AD101" i="20" s="1"/>
  <c r="O167" i="20" a="1"/>
  <c r="O167" i="20" s="1"/>
  <c r="O74" i="20" s="1"/>
  <c r="AT176" i="20" a="1"/>
  <c r="AT176" i="20" s="1"/>
  <c r="AT83" i="20" s="1"/>
  <c r="U185" i="20" a="1"/>
  <c r="U185" i="20" s="1"/>
  <c r="U92" i="20" s="1"/>
  <c r="Q189" i="20" a="1"/>
  <c r="Q189" i="20" s="1"/>
  <c r="Q96" i="20" s="1"/>
  <c r="H169" i="20" a="1"/>
  <c r="H169" i="20" s="1"/>
  <c r="H76" i="20" s="1"/>
  <c r="AI129" i="20" a="1"/>
  <c r="AI129" i="20" s="1"/>
  <c r="AR140" i="20" a="1"/>
  <c r="AR140" i="20" s="1"/>
  <c r="AF166" i="20" a="1"/>
  <c r="AF166" i="20" s="1"/>
  <c r="AF73" i="20" s="1"/>
  <c r="AS197" i="20" a="1"/>
  <c r="AS197" i="20" s="1"/>
  <c r="AS104" i="20" s="1"/>
  <c r="AJ174" i="20" a="1"/>
  <c r="AJ174" i="20" s="1"/>
  <c r="AJ81" i="20" s="1"/>
  <c r="V136" i="20" a="1"/>
  <c r="V136" i="20" s="1"/>
  <c r="V43" i="20" s="1"/>
  <c r="G131" i="20" a="1"/>
  <c r="G131" i="20" s="1"/>
  <c r="G38" i="20" s="1"/>
  <c r="Q156" i="20" a="1"/>
  <c r="Q156" i="20" s="1"/>
  <c r="Q63" i="20" s="1"/>
  <c r="AM159" i="20" a="1"/>
  <c r="AM159" i="20" s="1"/>
  <c r="AM66" i="20" s="1"/>
  <c r="O169" i="20" a="1"/>
  <c r="O169" i="20" s="1"/>
  <c r="O76" i="20" s="1"/>
  <c r="AA198" i="20" a="1"/>
  <c r="AA198" i="20" s="1"/>
  <c r="AA105" i="20" s="1"/>
  <c r="AA130" i="20" a="1"/>
  <c r="AA130" i="20" s="1"/>
  <c r="AA37" i="20" s="1"/>
  <c r="G148" i="20" a="1"/>
  <c r="G148" i="20" s="1"/>
  <c r="G55" i="20" s="1"/>
  <c r="AC175" i="20" a="1"/>
  <c r="AC175" i="20" s="1"/>
  <c r="E153" i="20" a="1"/>
  <c r="E153" i="20" s="1"/>
  <c r="AJ133" i="20" a="1"/>
  <c r="AJ133" i="20" s="1"/>
  <c r="AJ40" i="20" s="1"/>
  <c r="R149" i="20" a="1"/>
  <c r="R149" i="20" s="1"/>
  <c r="R56" i="20" s="1"/>
  <c r="L161" i="20" a="1"/>
  <c r="L161" i="20" s="1"/>
  <c r="L68" i="20" s="1"/>
  <c r="E171" i="20" a="1"/>
  <c r="E171" i="20" s="1"/>
  <c r="AT142" i="20" a="1"/>
  <c r="AT142" i="20" s="1"/>
  <c r="AT49" i="20" s="1"/>
  <c r="AM136" i="20" a="1"/>
  <c r="AM136" i="20" s="1"/>
  <c r="AM43" i="20" s="1"/>
  <c r="I143" i="20" a="1"/>
  <c r="I143" i="20" s="1"/>
  <c r="I50" i="20" s="1"/>
  <c r="P195" i="20" a="1"/>
  <c r="P195" i="20" s="1"/>
  <c r="P102" i="20" s="1"/>
  <c r="K129" i="20" a="1"/>
  <c r="K129" i="20" s="1"/>
  <c r="K36" i="20" s="1"/>
  <c r="AN146" i="20" a="1"/>
  <c r="AN146" i="20" s="1"/>
  <c r="AN53" i="20" s="1"/>
  <c r="L159" i="20" a="1"/>
  <c r="L159" i="20" s="1"/>
  <c r="L66" i="20" s="1"/>
  <c r="M132" i="20" a="1"/>
  <c r="M132" i="20" s="1"/>
  <c r="M39" i="20" s="1"/>
  <c r="I168" i="20" a="1"/>
  <c r="I168" i="20" s="1"/>
  <c r="I75" i="20" s="1"/>
  <c r="AT166" i="20" a="1"/>
  <c r="AT166" i="20" s="1"/>
  <c r="AT73" i="20" s="1"/>
  <c r="T135" i="20" a="1"/>
  <c r="T135" i="20" s="1"/>
  <c r="T42" i="20" s="1"/>
  <c r="AL154" i="20" a="1"/>
  <c r="AL154" i="20" s="1"/>
  <c r="AV188" i="20" a="1"/>
  <c r="AV188" i="20" s="1"/>
  <c r="Y141" i="20" a="1"/>
  <c r="Y141" i="20" s="1"/>
  <c r="Y48" i="20" s="1"/>
  <c r="AK175" i="20" a="1"/>
  <c r="AK175" i="20" s="1"/>
  <c r="AB133" i="20" a="1"/>
  <c r="AB133" i="20" s="1"/>
  <c r="AB40" i="20" s="1"/>
  <c r="AO157" i="20" a="1"/>
  <c r="AO157" i="20" s="1"/>
  <c r="AO64" i="20" s="1"/>
  <c r="AP201" i="20" a="1"/>
  <c r="AP201" i="20" s="1"/>
  <c r="Y195" i="20" a="1"/>
  <c r="Y195" i="20" s="1"/>
  <c r="Y102" i="20" s="1"/>
  <c r="K132" i="20" a="1"/>
  <c r="K132" i="20" s="1"/>
  <c r="K39" i="20" s="1"/>
  <c r="K130" i="20" a="1"/>
  <c r="K130" i="20" s="1"/>
  <c r="K37" i="20" s="1"/>
  <c r="O132" i="20" a="1"/>
  <c r="O132" i="20" s="1"/>
  <c r="O39" i="20" s="1"/>
  <c r="AL153" i="20" a="1"/>
  <c r="AL153" i="20" s="1"/>
  <c r="AL60" i="20" s="1"/>
  <c r="M133" i="20" a="1"/>
  <c r="M133" i="20" s="1"/>
  <c r="M40" i="20" s="1"/>
  <c r="AA151" i="20" a="1"/>
  <c r="AA151" i="20" s="1"/>
  <c r="AA58" i="20" s="1"/>
  <c r="O149" i="20" a="1"/>
  <c r="O149" i="20" s="1"/>
  <c r="O56" i="20" s="1"/>
  <c r="M175" i="20" a="1"/>
  <c r="M175" i="20" s="1"/>
  <c r="V167" i="20" a="1"/>
  <c r="V167" i="20" s="1"/>
  <c r="V74" i="20" s="1"/>
  <c r="Z169" i="20" a="1"/>
  <c r="Z169" i="20" s="1"/>
  <c r="Z76" i="20" s="1"/>
  <c r="L140" i="20" a="1"/>
  <c r="L140" i="20" s="1"/>
  <c r="K202" i="20" a="1"/>
  <c r="K202" i="20" s="1"/>
  <c r="K109" i="20" s="1"/>
  <c r="Y170" i="20" a="1"/>
  <c r="Y170" i="20" s="1"/>
  <c r="Y77" i="20" s="1"/>
  <c r="V133" i="20" a="1"/>
  <c r="V133" i="20" s="1"/>
  <c r="V40" i="20" s="1"/>
  <c r="AS140" i="20" a="1"/>
  <c r="AS140" i="20" s="1"/>
  <c r="AO194" i="20" a="1"/>
  <c r="AO194" i="20" s="1"/>
  <c r="AO101" i="20" s="1"/>
  <c r="AQ171" i="20" a="1"/>
  <c r="AQ171" i="20" s="1"/>
  <c r="AQ78" i="20" s="1"/>
  <c r="AK203" i="20" a="1"/>
  <c r="AK203" i="20" s="1"/>
  <c r="AK110" i="20" s="1"/>
  <c r="AU170" i="20" a="1"/>
  <c r="AU170" i="20" s="1"/>
  <c r="AU77" i="20" s="1"/>
  <c r="N133" i="20" a="1"/>
  <c r="N133" i="20" s="1"/>
  <c r="N40" i="20" s="1"/>
  <c r="AP171" i="20" a="1"/>
  <c r="AP171" i="20" s="1"/>
  <c r="AP78" i="20" s="1"/>
  <c r="AB132" i="20" a="1"/>
  <c r="AB132" i="20" s="1"/>
  <c r="AB39" i="20" s="1"/>
  <c r="AS170" i="20" a="1"/>
  <c r="AS170" i="20" s="1"/>
  <c r="AS77" i="20" s="1"/>
  <c r="Z168" i="20" a="1"/>
  <c r="Z168" i="20" s="1"/>
  <c r="Z75" i="20" s="1"/>
  <c r="R151" i="20" a="1"/>
  <c r="R151" i="20" s="1"/>
  <c r="R58" i="20" s="1"/>
  <c r="F171" i="20" a="1"/>
  <c r="F171" i="20" s="1"/>
  <c r="F78" i="20" s="1"/>
  <c r="AV171" i="20" a="1"/>
  <c r="AV171" i="20" s="1"/>
  <c r="AV78" i="20" s="1"/>
  <c r="M196" i="20" a="1"/>
  <c r="M196" i="20" s="1"/>
  <c r="M103" i="20" s="1"/>
  <c r="AT189" i="20" a="1"/>
  <c r="AT189" i="20" s="1"/>
  <c r="AT96" i="20" s="1"/>
  <c r="W189" i="20" a="1"/>
  <c r="W189" i="20" s="1"/>
  <c r="W96" i="20" s="1"/>
  <c r="P166" i="20" a="1"/>
  <c r="P166" i="20" s="1"/>
  <c r="P73" i="20" s="1"/>
  <c r="AL187" i="20" a="1"/>
  <c r="AL187" i="20" s="1"/>
  <c r="AL94" i="20" s="1"/>
  <c r="AG179" i="20" a="1"/>
  <c r="AG179" i="20" s="1"/>
  <c r="AG86" i="20" s="1"/>
  <c r="W170" i="20" a="1"/>
  <c r="W170" i="20" s="1"/>
  <c r="W77" i="20" s="1"/>
  <c r="P157" i="20" a="1"/>
  <c r="P157" i="20" s="1"/>
  <c r="P64" i="20" s="1"/>
  <c r="AV162" i="20" a="1"/>
  <c r="AV162" i="20" s="1"/>
  <c r="AV69" i="20" s="1"/>
  <c r="AN200" i="20" a="1"/>
  <c r="AN200" i="20" s="1"/>
  <c r="AN107" i="20" s="1"/>
  <c r="AF187" i="20" a="1"/>
  <c r="AF187" i="20" s="1"/>
  <c r="AF94" i="20" s="1"/>
  <c r="AA142" i="20" a="1"/>
  <c r="AA142" i="20" s="1"/>
  <c r="AA49" i="20" s="1"/>
  <c r="E134" i="20" a="1"/>
  <c r="E134" i="20" s="1"/>
  <c r="X129" i="20" a="1"/>
  <c r="X129" i="20" s="1"/>
  <c r="AN187" i="20" a="1"/>
  <c r="AN187" i="20" s="1"/>
  <c r="AN94" i="20" s="1"/>
  <c r="AP149" i="20" a="1"/>
  <c r="AP149" i="20" s="1"/>
  <c r="AP56" i="20" s="1"/>
  <c r="Y132" i="20" a="1"/>
  <c r="Y132" i="20" s="1"/>
  <c r="Y39" i="20" s="1"/>
  <c r="AQ155" i="20" a="1"/>
  <c r="AQ155" i="20" s="1"/>
  <c r="AQ62" i="20" s="1"/>
  <c r="AF198" i="20" a="1"/>
  <c r="AF198" i="20" s="1"/>
  <c r="AF105" i="20" s="1"/>
  <c r="R153" i="20" a="1"/>
  <c r="R153" i="20" s="1"/>
  <c r="V156" i="20" a="1"/>
  <c r="V156" i="20" s="1"/>
  <c r="V63" i="20" s="1"/>
  <c r="L202" i="20" a="1"/>
  <c r="L202" i="20" s="1"/>
  <c r="L109" i="20" s="1"/>
  <c r="AT153" i="20" a="1"/>
  <c r="AT153" i="20" s="1"/>
  <c r="AT60" i="20" s="1"/>
  <c r="AQ131" i="20" a="1"/>
  <c r="AQ131" i="20" s="1"/>
  <c r="AQ38" i="20" s="1"/>
  <c r="V202" i="20" a="1"/>
  <c r="V202" i="20" s="1"/>
  <c r="V109" i="20" s="1"/>
  <c r="Z143" i="20" a="1"/>
  <c r="Z143" i="20" s="1"/>
  <c r="Z50" i="20" s="1"/>
  <c r="U147" i="20" a="1"/>
  <c r="U147" i="20" s="1"/>
  <c r="U54" i="20" s="1"/>
  <c r="AE167" i="20" a="1"/>
  <c r="AE167" i="20" s="1"/>
  <c r="AE74" i="20" s="1"/>
  <c r="AS134" i="20" a="1"/>
  <c r="AS134" i="20" s="1"/>
  <c r="AS41" i="20" s="1"/>
  <c r="N153" i="20" a="1"/>
  <c r="N153" i="20" s="1"/>
  <c r="N60" i="20" s="1"/>
  <c r="AC134" i="20" a="1"/>
  <c r="AC134" i="20" s="1"/>
  <c r="AC41" i="20" s="1"/>
  <c r="W185" i="20" a="1"/>
  <c r="W185" i="20" s="1"/>
  <c r="W92" i="20" s="1"/>
  <c r="R131" i="20" a="1"/>
  <c r="R131" i="20" s="1"/>
  <c r="R38" i="20" s="1"/>
  <c r="Q136" i="20" a="1"/>
  <c r="Q136" i="20" s="1"/>
  <c r="Q43" i="20" s="1"/>
  <c r="K131" i="20" a="1"/>
  <c r="K131" i="20" s="1"/>
  <c r="K38" i="20" s="1"/>
  <c r="J148" i="20" a="1"/>
  <c r="J148" i="20" s="1"/>
  <c r="J55" i="20" s="1"/>
  <c r="N147" i="20" a="1"/>
  <c r="N147" i="20" s="1"/>
  <c r="N54" i="20" s="1"/>
  <c r="H187" i="20" a="1"/>
  <c r="H187" i="20" s="1"/>
  <c r="H94" i="20" s="1"/>
  <c r="AO156" i="20" a="1"/>
  <c r="AO156" i="20" s="1"/>
  <c r="AO63" i="20" s="1"/>
  <c r="AQ154" i="20" a="1"/>
  <c r="AQ154" i="20" s="1"/>
  <c r="AQ61" i="20" s="1"/>
  <c r="U159" i="20" a="1"/>
  <c r="U159" i="20" s="1"/>
  <c r="U66" i="20" s="1"/>
  <c r="R186" i="20" a="1"/>
  <c r="R186" i="20" s="1"/>
  <c r="R93" i="20" s="1"/>
  <c r="AV194" i="20" a="1"/>
  <c r="AV194" i="20" s="1"/>
  <c r="AV101" i="20" s="1"/>
  <c r="L189" i="20" a="1"/>
  <c r="L189" i="20" s="1"/>
  <c r="L96" i="20" s="1"/>
  <c r="AI192" i="20" a="1"/>
  <c r="AI192" i="20" s="1"/>
  <c r="AI99" i="20" s="1"/>
  <c r="W167" i="20" a="1"/>
  <c r="W167" i="20" s="1"/>
  <c r="W74" i="20" s="1"/>
  <c r="Y184" i="20" a="1"/>
  <c r="Y184" i="20" s="1"/>
  <c r="Y91" i="20" s="1"/>
  <c r="T172" i="20" a="1"/>
  <c r="T172" i="20" s="1"/>
  <c r="T79" i="20" s="1"/>
  <c r="I153" i="20" a="1"/>
  <c r="I153" i="20" s="1"/>
  <c r="I60" i="20" s="1"/>
  <c r="T186" i="20" a="1"/>
  <c r="T186" i="20" s="1"/>
  <c r="T93" i="20" s="1"/>
  <c r="U153" i="20" a="1"/>
  <c r="U153" i="20" s="1"/>
  <c r="U60" i="20" s="1"/>
  <c r="E141" i="20" a="1"/>
  <c r="E141" i="20" s="1"/>
  <c r="AU201" i="20" a="1"/>
  <c r="AU201" i="20" s="1"/>
  <c r="U131" i="20" a="1"/>
  <c r="U131" i="20" s="1"/>
  <c r="U38" i="20" s="1"/>
  <c r="AR150" i="20" a="1"/>
  <c r="AR150" i="20" s="1"/>
  <c r="AR57" i="20" s="1"/>
  <c r="J164" i="20" a="1"/>
  <c r="J164" i="20" s="1"/>
  <c r="J71" i="20" s="1"/>
  <c r="AI183" i="20" a="1"/>
  <c r="AI183" i="20" s="1"/>
  <c r="AI90" i="20" s="1"/>
  <c r="H138" i="20" a="1"/>
  <c r="H138" i="20" s="1"/>
  <c r="H45" i="20" s="1"/>
  <c r="S185" i="20" a="1"/>
  <c r="S185" i="20" s="1"/>
  <c r="S92" i="20" s="1"/>
  <c r="AS150" i="20" a="1"/>
  <c r="AS150" i="20" s="1"/>
  <c r="AS57" i="20" s="1"/>
  <c r="AP188" i="20" a="1"/>
  <c r="AP188" i="20" s="1"/>
  <c r="J171" i="20" a="1"/>
  <c r="J171" i="20" s="1"/>
  <c r="J78" i="20" s="1"/>
  <c r="V159" i="20" a="1"/>
  <c r="V159" i="20" s="1"/>
  <c r="V66" i="20" s="1"/>
  <c r="P132" i="20" a="1"/>
  <c r="P132" i="20" s="1"/>
  <c r="P39" i="20" s="1"/>
  <c r="AA168" i="20" a="1"/>
  <c r="AA168" i="20" s="1"/>
  <c r="AA75" i="20" s="1"/>
  <c r="L151" i="20" a="1"/>
  <c r="L151" i="20" s="1"/>
  <c r="L58" i="20" s="1"/>
  <c r="AJ146" i="20" a="1"/>
  <c r="AJ146" i="20" s="1"/>
  <c r="AJ53" i="20" s="1"/>
  <c r="AF144" i="20" a="1"/>
  <c r="AF144" i="20" s="1"/>
  <c r="AF51" i="20" s="1"/>
  <c r="L129" i="20" a="1"/>
  <c r="L129" i="20" s="1"/>
  <c r="L36" i="20" s="1"/>
  <c r="K185" i="20" a="1"/>
  <c r="K185" i="20" s="1"/>
  <c r="K92" i="20" s="1"/>
  <c r="AL202" i="20" a="1"/>
  <c r="AL202" i="20" s="1"/>
  <c r="AL109" i="20" s="1"/>
  <c r="S160" i="20" a="1"/>
  <c r="S160" i="20" s="1"/>
  <c r="S67" i="20" s="1"/>
  <c r="W160" i="20" a="1"/>
  <c r="W160" i="20" s="1"/>
  <c r="W67" i="20" s="1"/>
  <c r="AV153" i="20" a="1"/>
  <c r="AV153" i="20" s="1"/>
  <c r="AV60" i="20" s="1"/>
  <c r="R150" i="20" a="1"/>
  <c r="R150" i="20" s="1"/>
  <c r="R57" i="20" s="1"/>
  <c r="AV180" i="20" a="1"/>
  <c r="AV180" i="20" s="1"/>
  <c r="AV87" i="20" s="1"/>
  <c r="N159" i="20" a="1"/>
  <c r="N159" i="20" s="1"/>
  <c r="N66" i="20" s="1"/>
  <c r="N174" i="20" a="1"/>
  <c r="N174" i="20" s="1"/>
  <c r="N81" i="20" s="1"/>
  <c r="O186" i="20" a="1"/>
  <c r="O186" i="20" s="1"/>
  <c r="O93" i="20" s="1"/>
  <c r="H158" i="20" a="1"/>
  <c r="H158" i="20" s="1"/>
  <c r="H65" i="20" s="1"/>
  <c r="R156" i="20" a="1"/>
  <c r="R156" i="20" s="1"/>
  <c r="R63" i="20" s="1"/>
  <c r="V140" i="20" a="1"/>
  <c r="V140" i="20" s="1"/>
  <c r="W159" i="20" a="1"/>
  <c r="W159" i="20" s="1"/>
  <c r="W66" i="20" s="1"/>
  <c r="T143" i="20" a="1"/>
  <c r="T143" i="20" s="1"/>
  <c r="T50" i="20" s="1"/>
  <c r="G156" i="20" a="1"/>
  <c r="G156" i="20" s="1"/>
  <c r="G63" i="20" s="1"/>
  <c r="AP177" i="20" a="1"/>
  <c r="AP177" i="20" s="1"/>
  <c r="AP84" i="20" s="1"/>
  <c r="AJ200" i="20" a="1"/>
  <c r="AJ200" i="20" s="1"/>
  <c r="AJ107" i="20" s="1"/>
  <c r="R168" i="20" a="1"/>
  <c r="R168" i="20" s="1"/>
  <c r="R75" i="20" s="1"/>
  <c r="Y151" i="20" a="1"/>
  <c r="Y151" i="20" s="1"/>
  <c r="Y58" i="20" s="1"/>
  <c r="H170" i="20" a="1"/>
  <c r="H170" i="20" s="1"/>
  <c r="H77" i="20" s="1"/>
  <c r="AF159" i="20" a="1"/>
  <c r="AF159" i="20" s="1"/>
  <c r="AF66" i="20" s="1"/>
  <c r="AT158" i="20" a="1"/>
  <c r="AT158" i="20" s="1"/>
  <c r="AT65" i="20" s="1"/>
  <c r="W140" i="20" a="1"/>
  <c r="W140" i="20" s="1"/>
  <c r="AB130" i="20" a="1"/>
  <c r="AB130" i="20" s="1"/>
  <c r="AB37" i="20" s="1"/>
  <c r="AK198" i="20" a="1"/>
  <c r="AK198" i="20" s="1"/>
  <c r="AK105" i="20" s="1"/>
  <c r="AO161" i="20" a="1"/>
  <c r="AO161" i="20" s="1"/>
  <c r="AO68" i="20" s="1"/>
  <c r="AS160" i="20" a="1"/>
  <c r="AS160" i="20" s="1"/>
  <c r="AS67" i="20" s="1"/>
  <c r="AO193" i="20" a="1"/>
  <c r="AO193" i="20" s="1"/>
  <c r="AO100" i="20" s="1"/>
  <c r="AD187" i="20" a="1"/>
  <c r="AD187" i="20" s="1"/>
  <c r="AD94" i="20" s="1"/>
  <c r="Z151" i="20" a="1"/>
  <c r="Z151" i="20" s="1"/>
  <c r="Z58" i="20" s="1"/>
  <c r="AD136" i="20" a="1"/>
  <c r="AD136" i="20" s="1"/>
  <c r="AD43" i="20" s="1"/>
  <c r="AU194" i="20" a="1"/>
  <c r="AU194" i="20" s="1"/>
  <c r="AU101" i="20" s="1"/>
  <c r="N132" i="20" a="1"/>
  <c r="N132" i="20" s="1"/>
  <c r="N39" i="20" s="1"/>
  <c r="AV132" i="20" a="1"/>
  <c r="AV132" i="20" s="1"/>
  <c r="AV39" i="20" s="1"/>
  <c r="AR184" i="20" a="1"/>
  <c r="AR184" i="20" s="1"/>
  <c r="AR91" i="20" s="1"/>
  <c r="AS153" i="20" a="1"/>
  <c r="AS153" i="20" s="1"/>
  <c r="AS60" i="20" s="1"/>
  <c r="U163" i="20" a="1"/>
  <c r="U163" i="20" s="1"/>
  <c r="U70" i="20" s="1"/>
  <c r="AT194" i="20" a="1"/>
  <c r="AT194" i="20" s="1"/>
  <c r="AT101" i="20" s="1"/>
  <c r="M158" i="20" a="1"/>
  <c r="M158" i="20" s="1"/>
  <c r="M65" i="20" s="1"/>
  <c r="H136" i="20" a="1"/>
  <c r="H136" i="20" s="1"/>
  <c r="H43" i="20" s="1"/>
  <c r="AR151" i="20" a="1"/>
  <c r="AR151" i="20" s="1"/>
  <c r="AR58" i="20" s="1"/>
  <c r="AR134" i="20" a="1"/>
  <c r="AR134" i="20" s="1"/>
  <c r="AR41" i="20" s="1"/>
  <c r="AI144" i="20" a="1"/>
  <c r="AI144" i="20" s="1"/>
  <c r="AI51" i="20" s="1"/>
  <c r="AS184" i="20" a="1"/>
  <c r="AS184" i="20" s="1"/>
  <c r="AS91" i="20" s="1"/>
  <c r="K159" i="20" a="1"/>
  <c r="K159" i="20" s="1"/>
  <c r="K66" i="20" s="1"/>
  <c r="AS194" i="20" a="1"/>
  <c r="AS194" i="20" s="1"/>
  <c r="AS101" i="20" s="1"/>
  <c r="AA180" i="20" a="1"/>
  <c r="AA180" i="20" s="1"/>
  <c r="AA87" i="20" s="1"/>
  <c r="W141" i="20" a="1"/>
  <c r="W141" i="20" s="1"/>
  <c r="W48" i="20" s="1"/>
  <c r="AB135" i="20" a="1"/>
  <c r="AB135" i="20" s="1"/>
  <c r="AB42" i="20" s="1"/>
  <c r="U160" i="20" a="1"/>
  <c r="U160" i="20" s="1"/>
  <c r="U67" i="20" s="1"/>
  <c r="AP151" i="20" a="1"/>
  <c r="AP151" i="20" s="1"/>
  <c r="AP58" i="20" s="1"/>
  <c r="AM129" i="20" a="1"/>
  <c r="AM129" i="20" s="1"/>
  <c r="AP159" i="20" a="1"/>
  <c r="AP159" i="20" s="1"/>
  <c r="AP66" i="20" s="1"/>
  <c r="N135" i="20" a="1"/>
  <c r="N135" i="20" s="1"/>
  <c r="N42" i="20" s="1"/>
  <c r="AT184" i="20" a="1"/>
  <c r="AT184" i="20" s="1"/>
  <c r="AT91" i="20" s="1"/>
  <c r="AJ155" i="20" a="1"/>
  <c r="AJ155" i="20" s="1"/>
  <c r="AJ62" i="20" s="1"/>
  <c r="I150" i="20" a="1"/>
  <c r="I150" i="20" s="1"/>
  <c r="I57" i="20" s="1"/>
  <c r="AI166" i="20" a="1"/>
  <c r="AI166" i="20" s="1"/>
  <c r="AI73" i="20" s="1"/>
  <c r="AE168" i="20" a="1"/>
  <c r="AE168" i="20" s="1"/>
  <c r="AE75" i="20" s="1"/>
  <c r="AT185" i="20" a="1"/>
  <c r="AT185" i="20" s="1"/>
  <c r="AT92" i="20" s="1"/>
  <c r="O172" i="20" a="1"/>
  <c r="O172" i="20" s="1"/>
  <c r="O79" i="20" s="1"/>
  <c r="AL182" i="20" a="1"/>
  <c r="AL182" i="20" s="1"/>
  <c r="AL89" i="20" s="1"/>
  <c r="AQ160" i="20" a="1"/>
  <c r="AQ160" i="20" s="1"/>
  <c r="AQ67" i="20" s="1"/>
  <c r="I151" i="20" a="1"/>
  <c r="I151" i="20" s="1"/>
  <c r="I58" i="20" s="1"/>
  <c r="Q147" i="20" a="1"/>
  <c r="Q147" i="20" s="1"/>
  <c r="Q54" i="20" s="1"/>
  <c r="T158" i="20" a="1"/>
  <c r="T158" i="20" s="1"/>
  <c r="T65" i="20" s="1"/>
  <c r="AP185" i="20" a="1"/>
  <c r="AP185" i="20" s="1"/>
  <c r="AP92" i="20" s="1"/>
  <c r="V129" i="20" a="1"/>
  <c r="V129" i="20" s="1"/>
  <c r="N185" i="20" a="1"/>
  <c r="N185" i="20" s="1"/>
  <c r="N92" i="20" s="1"/>
  <c r="AS142" i="20" a="1"/>
  <c r="AS142" i="20" s="1"/>
  <c r="AS49" i="20" s="1"/>
  <c r="L186" i="20" a="1"/>
  <c r="L186" i="20" s="1"/>
  <c r="L93" i="20" s="1"/>
  <c r="AL133" i="20" a="1"/>
  <c r="AL133" i="20" s="1"/>
  <c r="AL40" i="20" s="1"/>
  <c r="R141" i="20" a="1"/>
  <c r="R141" i="20" s="1"/>
  <c r="R48" i="20" s="1"/>
  <c r="N138" i="20" a="1"/>
  <c r="N138" i="20" s="1"/>
  <c r="N45" i="20" s="1"/>
  <c r="M169" i="20" a="1"/>
  <c r="M169" i="20" s="1"/>
  <c r="M76" i="20" s="1"/>
  <c r="M160" i="20" a="1"/>
  <c r="M160" i="20" s="1"/>
  <c r="M67" i="20" s="1"/>
  <c r="F193" i="20" a="1"/>
  <c r="F193" i="20" s="1"/>
  <c r="F100" i="20" s="1"/>
  <c r="S186" i="20" a="1"/>
  <c r="S186" i="20" s="1"/>
  <c r="S93" i="20" s="1"/>
  <c r="Q140" i="20" a="1"/>
  <c r="Q140" i="20" s="1"/>
  <c r="AB172" i="20" a="1"/>
  <c r="AB172" i="20" s="1"/>
  <c r="AB79" i="20" s="1"/>
  <c r="AN183" i="20" a="1"/>
  <c r="AN183" i="20" s="1"/>
  <c r="AN90" i="20" s="1"/>
  <c r="G149" i="20" a="1"/>
  <c r="G149" i="20" s="1"/>
  <c r="G56" i="20" s="1"/>
  <c r="AU162" i="20" a="1"/>
  <c r="AU162" i="20" s="1"/>
  <c r="AU69" i="20" s="1"/>
  <c r="AV174" i="20" a="1"/>
  <c r="AV174" i="20" s="1"/>
  <c r="AV81" i="20" s="1"/>
  <c r="AH145" i="20" a="1"/>
  <c r="AH145" i="20" s="1"/>
  <c r="AH52" i="20" s="1"/>
  <c r="W198" i="20" a="1"/>
  <c r="W198" i="20" s="1"/>
  <c r="W105" i="20" s="1"/>
  <c r="P161" i="20" a="1"/>
  <c r="P161" i="20" s="1"/>
  <c r="P68" i="20" s="1"/>
  <c r="O168" i="20" a="1"/>
  <c r="O168" i="20" s="1"/>
  <c r="O75" i="20" s="1"/>
  <c r="K149" i="20" a="1"/>
  <c r="K149" i="20" s="1"/>
  <c r="K56" i="20" s="1"/>
  <c r="L130" i="20" a="1"/>
  <c r="L130" i="20" s="1"/>
  <c r="L37" i="20" s="1"/>
  <c r="AA135" i="20" a="1"/>
  <c r="AA135" i="20" s="1"/>
  <c r="AA42" i="20" s="1"/>
  <c r="Z158" i="20" a="1"/>
  <c r="Z158" i="20" s="1"/>
  <c r="Z65" i="20" s="1"/>
  <c r="AB140" i="20" a="1"/>
  <c r="AB140" i="20" s="1"/>
  <c r="F195" i="20" a="1"/>
  <c r="F195" i="20" s="1"/>
  <c r="F102" i="20" s="1"/>
  <c r="N187" i="20" a="1"/>
  <c r="N187" i="20" s="1"/>
  <c r="N94" i="20" s="1"/>
  <c r="N160" i="20" a="1"/>
  <c r="N160" i="20" s="1"/>
  <c r="N67" i="20" s="1"/>
  <c r="AU168" i="20" a="1"/>
  <c r="AU168" i="20" s="1"/>
  <c r="AU75" i="20" s="1"/>
  <c r="Y168" i="20" a="1"/>
  <c r="Y168" i="20" s="1"/>
  <c r="Y75" i="20" s="1"/>
  <c r="K157" i="20" a="1"/>
  <c r="K157" i="20" s="1"/>
  <c r="K64" i="20" s="1"/>
  <c r="Y185" i="20" a="1"/>
  <c r="Y185" i="20" s="1"/>
  <c r="Y92" i="20" s="1"/>
  <c r="AH129" i="20" a="1"/>
  <c r="AH129" i="20" s="1"/>
  <c r="AH36" i="20" s="1"/>
  <c r="AB175" i="20" a="1"/>
  <c r="AB175" i="20" s="1"/>
  <c r="M130" i="20" a="1"/>
  <c r="M130" i="20" s="1"/>
  <c r="M37" i="20" s="1"/>
  <c r="W146" i="20" a="1"/>
  <c r="W146" i="20" s="1"/>
  <c r="W53" i="20" s="1"/>
  <c r="I131" i="20" a="1"/>
  <c r="I131" i="20" s="1"/>
  <c r="I38" i="20" s="1"/>
  <c r="AQ196" i="20" a="1"/>
  <c r="AQ196" i="20" s="1"/>
  <c r="AQ103" i="20" s="1"/>
  <c r="J186" i="20" a="1"/>
  <c r="J186" i="20" s="1"/>
  <c r="J93" i="20" s="1"/>
  <c r="AD198" i="20" a="1"/>
  <c r="AD198" i="20" s="1"/>
  <c r="AD105" i="20" s="1"/>
  <c r="O141" i="20" a="1"/>
  <c r="O141" i="20" s="1"/>
  <c r="O48" i="20" s="1"/>
  <c r="I161" i="20" a="1"/>
  <c r="I161" i="20" s="1"/>
  <c r="I68" i="20" s="1"/>
  <c r="AH190" i="20" a="1"/>
  <c r="AH190" i="20" s="1"/>
  <c r="AH97" i="20" s="1"/>
  <c r="AG167" i="20" a="1"/>
  <c r="AG167" i="20" s="1"/>
  <c r="AG74" i="20" s="1"/>
  <c r="AR196" i="20" a="1"/>
  <c r="AR196" i="20" s="1"/>
  <c r="AR103" i="20" s="1"/>
  <c r="N131" i="20" a="1"/>
  <c r="N131" i="20" s="1"/>
  <c r="N38" i="20" s="1"/>
  <c r="M195" i="20" a="1"/>
  <c r="M195" i="20" s="1"/>
  <c r="M102" i="20" s="1"/>
  <c r="K148" i="20" a="1"/>
  <c r="K148" i="20" s="1"/>
  <c r="K55" i="20" s="1"/>
  <c r="AU180" i="20" a="1"/>
  <c r="AU180" i="20" s="1"/>
  <c r="AU87" i="20" s="1"/>
  <c r="AF167" i="20" a="1"/>
  <c r="AF167" i="20" s="1"/>
  <c r="AF74" i="20" s="1"/>
  <c r="E168" i="20" a="1"/>
  <c r="E168" i="20" s="1"/>
  <c r="AR170" i="20" a="1"/>
  <c r="AR170" i="20" s="1"/>
  <c r="AR77" i="20" s="1"/>
  <c r="AS133" i="20" a="1"/>
  <c r="AS133" i="20" s="1"/>
  <c r="AS40" i="20" s="1"/>
  <c r="S169" i="20" a="1"/>
  <c r="S169" i="20" s="1"/>
  <c r="S76" i="20" s="1"/>
  <c r="P151" i="20" a="1"/>
  <c r="P151" i="20" s="1"/>
  <c r="P58" i="20" s="1"/>
  <c r="AR142" i="20" a="1"/>
  <c r="AR142" i="20" s="1"/>
  <c r="AR49" i="20" s="1"/>
  <c r="AG156" i="20" a="1"/>
  <c r="AG156" i="20" s="1"/>
  <c r="AG63" i="20" s="1"/>
  <c r="AG159" i="20" a="1"/>
  <c r="AG159" i="20" s="1"/>
  <c r="AG66" i="20" s="1"/>
  <c r="L144" i="20" a="1"/>
  <c r="L144" i="20" s="1"/>
  <c r="L51" i="20" s="1"/>
  <c r="AG146" i="20" a="1"/>
  <c r="AG146" i="20" s="1"/>
  <c r="AG53" i="20" s="1"/>
  <c r="AO159" i="20" a="1"/>
  <c r="AO159" i="20" s="1"/>
  <c r="AO66" i="20" s="1"/>
  <c r="AM177" i="20" a="1"/>
  <c r="AM177" i="20" s="1"/>
  <c r="AM84" i="20" s="1"/>
  <c r="J170" i="20" a="1"/>
  <c r="J170" i="20" s="1"/>
  <c r="J77" i="20" s="1"/>
  <c r="AU177" i="20" a="1"/>
  <c r="AU177" i="20" s="1"/>
  <c r="AU84" i="20" s="1"/>
  <c r="S196" i="20" a="1"/>
  <c r="S196" i="20" s="1"/>
  <c r="S103" i="20" s="1"/>
  <c r="J182" i="20" a="1"/>
  <c r="J182" i="20" s="1"/>
  <c r="J89" i="20" s="1"/>
  <c r="Q131" i="20" a="1"/>
  <c r="Q131" i="20" s="1"/>
  <c r="Q38" i="20" s="1"/>
  <c r="AI159" i="20" a="1"/>
  <c r="AI159" i="20" s="1"/>
  <c r="AI66" i="20" s="1"/>
  <c r="AP196" i="20" a="1"/>
  <c r="AP196" i="20" s="1"/>
  <c r="AP103" i="20" s="1"/>
  <c r="X187" i="20" a="1"/>
  <c r="X187" i="20" s="1"/>
  <c r="X94" i="20" s="1"/>
  <c r="Q129" i="20" a="1"/>
  <c r="Q129" i="20" s="1"/>
  <c r="AQ187" i="20" a="1"/>
  <c r="AQ187" i="20" s="1"/>
  <c r="AQ94" i="20" s="1"/>
  <c r="AD190" i="20" a="1"/>
  <c r="AD190" i="20" s="1"/>
  <c r="AD97" i="20" s="1"/>
  <c r="AN177" i="20" a="1"/>
  <c r="AN177" i="20" s="1"/>
  <c r="AN84" i="20" s="1"/>
  <c r="AV193" i="20" a="1"/>
  <c r="AV193" i="20" s="1"/>
  <c r="AV100" i="20" s="1"/>
  <c r="I182" i="20" a="1"/>
  <c r="I182" i="20" s="1"/>
  <c r="I89" i="20" s="1"/>
  <c r="AB129" i="20" a="1"/>
  <c r="AB129" i="20" s="1"/>
  <c r="AT193" i="20" a="1"/>
  <c r="AT193" i="20" s="1"/>
  <c r="AT100" i="20" s="1"/>
  <c r="Q141" i="20" a="1"/>
  <c r="Q141" i="20" s="1"/>
  <c r="Q48" i="20" s="1"/>
  <c r="AL177" i="20" a="1"/>
  <c r="AL177" i="20" s="1"/>
  <c r="AL84" i="20" s="1"/>
  <c r="AR164" i="20" a="1"/>
  <c r="AR164" i="20" s="1"/>
  <c r="AR71" i="20" s="1"/>
  <c r="I136" i="20" a="1"/>
  <c r="I136" i="20" s="1"/>
  <c r="I43" i="20" s="1"/>
  <c r="Y130" i="20" a="1"/>
  <c r="Y130" i="20" s="1"/>
  <c r="Y37" i="20" s="1"/>
  <c r="G172" i="20" a="1"/>
  <c r="G172" i="20" s="1"/>
  <c r="G79" i="20" s="1"/>
  <c r="AD174" i="20" a="1"/>
  <c r="AD174" i="20" s="1"/>
  <c r="AD81" i="20" s="1"/>
  <c r="AV159" i="20" a="1"/>
  <c r="AV159" i="20" s="1"/>
  <c r="AV66" i="20" s="1"/>
  <c r="T151" i="20" a="1"/>
  <c r="T151" i="20" s="1"/>
  <c r="T58" i="20" s="1"/>
  <c r="AF153" i="20" a="1"/>
  <c r="AF153" i="20" s="1"/>
  <c r="N143" i="20" a="1"/>
  <c r="N143" i="20" s="1"/>
  <c r="N50" i="20" s="1"/>
  <c r="AV151" i="20" a="1"/>
  <c r="AV151" i="20" s="1"/>
  <c r="AV58" i="20" s="1"/>
  <c r="AA174" i="20" a="1"/>
  <c r="AA174" i="20" s="1"/>
  <c r="AA81" i="20" s="1"/>
  <c r="M187" i="20" a="1"/>
  <c r="M187" i="20" s="1"/>
  <c r="M94" i="20" s="1"/>
  <c r="AN198" i="20" a="1"/>
  <c r="AN198" i="20" s="1"/>
  <c r="AN105" i="20" s="1"/>
  <c r="R175" i="20" a="1"/>
  <c r="R175" i="20" s="1"/>
  <c r="AL145" i="20" a="1"/>
  <c r="AL145" i="20" s="1"/>
  <c r="AL52" i="20" s="1"/>
  <c r="W193" i="20" a="1"/>
  <c r="W193" i="20" s="1"/>
  <c r="W100" i="20" s="1"/>
  <c r="R185" i="20" a="1"/>
  <c r="R185" i="20" s="1"/>
  <c r="R92" i="20" s="1"/>
  <c r="AV170" i="20" a="1"/>
  <c r="AV170" i="20" s="1"/>
  <c r="AV77" i="20" s="1"/>
  <c r="AQ177" i="20" a="1"/>
  <c r="AQ177" i="20" s="1"/>
  <c r="AQ84" i="20" s="1"/>
  <c r="X158" i="20" a="1"/>
  <c r="X158" i="20" s="1"/>
  <c r="X65" i="20" s="1"/>
  <c r="AU176" i="20" a="1"/>
  <c r="AU176" i="20" s="1"/>
  <c r="AU83" i="20" s="1"/>
  <c r="AE135" i="20" a="1"/>
  <c r="AE135" i="20" s="1"/>
  <c r="AE42" i="20" s="1"/>
  <c r="G138" i="20" a="1"/>
  <c r="G138" i="20" s="1"/>
  <c r="G45" i="20" s="1"/>
  <c r="AV197" i="20" a="1"/>
  <c r="AV197" i="20" s="1"/>
  <c r="AV104" i="20" s="1"/>
  <c r="E130" i="20" a="1"/>
  <c r="E130" i="20" s="1"/>
  <c r="AV150" i="20" a="1"/>
  <c r="AV150" i="20" s="1"/>
  <c r="AV57" i="20" s="1"/>
  <c r="X175" i="20" a="1"/>
  <c r="X175" i="20" s="1"/>
  <c r="F131" i="20" a="1"/>
  <c r="F131" i="20" s="1"/>
  <c r="F38" i="20" s="1"/>
  <c r="AO166" i="20" a="1"/>
  <c r="AO166" i="20" s="1"/>
  <c r="AO73" i="20" s="1"/>
  <c r="V196" i="20" a="1"/>
  <c r="V196" i="20" s="1"/>
  <c r="V103" i="20" s="1"/>
  <c r="S131" i="20" a="1"/>
  <c r="S131" i="20" s="1"/>
  <c r="S38" i="20" s="1"/>
  <c r="AB159" i="20" a="1"/>
  <c r="AB159" i="20" s="1"/>
  <c r="AB66" i="20" s="1"/>
  <c r="H147" i="20" a="1"/>
  <c r="H147" i="20" s="1"/>
  <c r="H54" i="20" s="1"/>
  <c r="S175" i="20" a="1"/>
  <c r="S175" i="20" s="1"/>
  <c r="AR155" i="20" a="1"/>
  <c r="AR155" i="20" s="1"/>
  <c r="AR62" i="20" s="1"/>
  <c r="T131" i="20" a="1"/>
  <c r="T131" i="20" s="1"/>
  <c r="T38" i="20" s="1"/>
  <c r="L180" i="20" a="1"/>
  <c r="L180" i="20" s="1"/>
  <c r="L87" i="20" s="1"/>
  <c r="Y173" i="20" a="1"/>
  <c r="Y173" i="20" s="1"/>
  <c r="Y80" i="20" s="1"/>
  <c r="AK172" i="20" a="1"/>
  <c r="AK172" i="20" s="1"/>
  <c r="AK79" i="20" s="1"/>
  <c r="AK156" i="20" a="1"/>
  <c r="AK156" i="20" s="1"/>
  <c r="AK63" i="20" s="1"/>
  <c r="S198" i="20" a="1"/>
  <c r="S198" i="20" s="1"/>
  <c r="S105" i="20" s="1"/>
  <c r="AI143" i="20" a="1"/>
  <c r="AI143" i="20" s="1"/>
  <c r="AI50" i="20" s="1"/>
  <c r="E137" i="20" a="1"/>
  <c r="E137" i="20" s="1"/>
  <c r="AS157" i="20" a="1"/>
  <c r="AS157" i="20" s="1"/>
  <c r="AS64" i="20" s="1"/>
  <c r="W202" i="20" a="1"/>
  <c r="W202" i="20" s="1"/>
  <c r="W109" i="20" s="1"/>
  <c r="M138" i="20" a="1"/>
  <c r="M138" i="20" s="1"/>
  <c r="M45" i="20" s="1"/>
  <c r="U196" i="20" a="1"/>
  <c r="U196" i="20" s="1"/>
  <c r="U103" i="20" s="1"/>
  <c r="V176" i="20" a="1"/>
  <c r="V176" i="20" s="1"/>
  <c r="V83" i="20" s="1"/>
  <c r="W196" i="20" a="1"/>
  <c r="W196" i="20" s="1"/>
  <c r="W103" i="20" s="1"/>
  <c r="Y156" i="20" a="1"/>
  <c r="Y156" i="20" s="1"/>
  <c r="Y63" i="20" s="1"/>
  <c r="AQ133" i="20" a="1"/>
  <c r="AQ133" i="20" s="1"/>
  <c r="AQ40" i="20" s="1"/>
  <c r="Y150" i="20" a="1"/>
  <c r="Y150" i="20" s="1"/>
  <c r="O175" i="20" a="1"/>
  <c r="O175" i="20" s="1"/>
  <c r="Z164" i="20" a="1"/>
  <c r="Z164" i="20" s="1"/>
  <c r="Z71" i="20" s="1"/>
  <c r="Q193" i="20" a="1"/>
  <c r="Q193" i="20" s="1"/>
  <c r="Q100" i="20" s="1"/>
  <c r="AP173" i="20" a="1"/>
  <c r="AP173" i="20" s="1"/>
  <c r="AP80" i="20" s="1"/>
  <c r="U135" i="20" a="1"/>
  <c r="U135" i="20" s="1"/>
  <c r="U42" i="20" s="1"/>
  <c r="AG198" i="20" a="1"/>
  <c r="AG198" i="20" s="1"/>
  <c r="AG105" i="20" s="1"/>
  <c r="U202" i="20" a="1"/>
  <c r="U202" i="20" s="1"/>
  <c r="U109" i="20" s="1"/>
  <c r="O146" i="20" a="1"/>
  <c r="O146" i="20" s="1"/>
  <c r="O53" i="20" s="1"/>
  <c r="M159" i="20" a="1"/>
  <c r="M159" i="20" s="1"/>
  <c r="M66" i="20" s="1"/>
  <c r="N148" i="20" a="1"/>
  <c r="N148" i="20" s="1"/>
  <c r="N55" i="20" s="1"/>
  <c r="AS173" i="20" a="1"/>
  <c r="AS173" i="20" s="1"/>
  <c r="AS80" i="20" s="1"/>
  <c r="AK129" i="20" a="1"/>
  <c r="AK129" i="20" s="1"/>
  <c r="AR193" i="20" a="1"/>
  <c r="AR193" i="20" s="1"/>
  <c r="AR100" i="20" s="1"/>
  <c r="M131" i="20" a="1"/>
  <c r="M131" i="20" s="1"/>
  <c r="M38" i="20" s="1"/>
  <c r="Y167" i="20" a="1"/>
  <c r="Y167" i="20" s="1"/>
  <c r="Y74" i="20" s="1"/>
  <c r="AV142" i="20" a="1"/>
  <c r="AV142" i="20" s="1"/>
  <c r="AV49" i="20" s="1"/>
  <c r="S159" i="20" a="1"/>
  <c r="S159" i="20" s="1"/>
  <c r="S66" i="20" s="1"/>
  <c r="V149" i="20" a="1"/>
  <c r="V149" i="20" s="1"/>
  <c r="V56" i="20" s="1"/>
  <c r="AE184" i="20" a="1"/>
  <c r="AE184" i="20" s="1"/>
  <c r="AE91" i="20" s="1"/>
  <c r="S147" i="20" a="1"/>
  <c r="S147" i="20" s="1"/>
  <c r="S54" i="20" s="1"/>
  <c r="Z133" i="20" a="1"/>
  <c r="Z133" i="20" s="1"/>
  <c r="Z40" i="20" s="1"/>
  <c r="N189" i="20" a="1"/>
  <c r="N189" i="20" s="1"/>
  <c r="N96" i="20" s="1"/>
  <c r="AS169" i="20" a="1"/>
  <c r="AS169" i="20" s="1"/>
  <c r="AS76" i="20" s="1"/>
  <c r="H161" i="20" a="1"/>
  <c r="H161" i="20" s="1"/>
  <c r="H68" i="20" s="1"/>
  <c r="AU151" i="20" a="1"/>
  <c r="AU151" i="20" s="1"/>
  <c r="AU58" i="20" s="1"/>
  <c r="AK184" i="20" a="1"/>
  <c r="AK184" i="20" s="1"/>
  <c r="AK91" i="20" s="1"/>
  <c r="AA196" i="20" a="1"/>
  <c r="AA196" i="20" s="1"/>
  <c r="AA103" i="20" s="1"/>
  <c r="Q151" i="20" a="1"/>
  <c r="Q151" i="20" s="1"/>
  <c r="Q58" i="20" s="1"/>
  <c r="R158" i="20" a="1"/>
  <c r="R158" i="20" s="1"/>
  <c r="R65" i="20" s="1"/>
  <c r="I132" i="20" a="1"/>
  <c r="I132" i="20" s="1"/>
  <c r="I39" i="20" s="1"/>
  <c r="AR158" i="20" a="1"/>
  <c r="AR158" i="20" s="1"/>
  <c r="AR65" i="20" s="1"/>
  <c r="R147" i="20" a="1"/>
  <c r="R147" i="20" s="1"/>
  <c r="R54" i="20" s="1"/>
  <c r="I134" i="20" a="1"/>
  <c r="I134" i="20" s="1"/>
  <c r="I41" i="20" s="1"/>
  <c r="W133" i="20" a="1"/>
  <c r="W133" i="20" s="1"/>
  <c r="W40" i="20" s="1"/>
  <c r="AD135" i="20" a="1"/>
  <c r="AD135" i="20" s="1"/>
  <c r="AD42" i="20" s="1"/>
  <c r="AC180" i="20" a="1"/>
  <c r="AC180" i="20" s="1"/>
  <c r="AC87" i="20" s="1"/>
  <c r="U174" i="20" a="1"/>
  <c r="U174" i="20" s="1"/>
  <c r="U81" i="20" s="1"/>
  <c r="AR195" i="20" a="1"/>
  <c r="AR195" i="20" s="1"/>
  <c r="AR102" i="20" s="1"/>
  <c r="L171" i="20" a="1"/>
  <c r="L171" i="20" s="1"/>
  <c r="L78" i="20" s="1"/>
  <c r="AC131" i="20" a="1"/>
  <c r="AC131" i="20" s="1"/>
  <c r="AC38" i="20" s="1"/>
  <c r="N172" i="20" a="1"/>
  <c r="N172" i="20" s="1"/>
  <c r="N79" i="20" s="1"/>
  <c r="H160" i="20" a="1"/>
  <c r="H160" i="20" s="1"/>
  <c r="H67" i="20" s="1"/>
  <c r="J135" i="20" a="1"/>
  <c r="J135" i="20" s="1"/>
  <c r="J42" i="20" s="1"/>
  <c r="AS163" i="20" a="1"/>
  <c r="AS163" i="20" s="1"/>
  <c r="AS70" i="20" s="1"/>
  <c r="S140" i="20" a="1"/>
  <c r="S140" i="20" s="1"/>
  <c r="J174" i="20" a="1"/>
  <c r="J174" i="20" s="1"/>
  <c r="J81" i="20" s="1"/>
  <c r="AC202" i="20" a="1"/>
  <c r="AC202" i="20" s="1"/>
  <c r="AC109" i="20" s="1"/>
  <c r="L153" i="20" a="1"/>
  <c r="L153" i="20" s="1"/>
  <c r="L60" i="20" s="1"/>
  <c r="J157" i="20" a="1"/>
  <c r="J157" i="20" s="1"/>
  <c r="J64" i="20" s="1"/>
  <c r="M145" i="20" a="1"/>
  <c r="M145" i="20" s="1"/>
  <c r="M52" i="20" s="1"/>
  <c r="M135" i="20" a="1"/>
  <c r="M135" i="20" s="1"/>
  <c r="M42" i="20" s="1"/>
  <c r="F174" i="20" a="1"/>
  <c r="F174" i="20" s="1"/>
  <c r="F81" i="20" s="1"/>
  <c r="AG174" i="20" a="1"/>
  <c r="AG174" i="20" s="1"/>
  <c r="AG81" i="20" s="1"/>
  <c r="AP132" i="20" a="1"/>
  <c r="AP132" i="20" s="1"/>
  <c r="AP39" i="20" s="1"/>
  <c r="AV185" i="20" a="1"/>
  <c r="AV185" i="20" s="1"/>
  <c r="AV92" i="20" s="1"/>
  <c r="AQ161" i="20" a="1"/>
  <c r="AQ161" i="20" s="1"/>
  <c r="AQ68" i="20" s="1"/>
  <c r="M198" i="20" a="1"/>
  <c r="M198" i="20" s="1"/>
  <c r="M105" i="20" s="1"/>
  <c r="AR186" i="20" a="1"/>
  <c r="AR186" i="20" s="1"/>
  <c r="AR93" i="20" s="1"/>
  <c r="I160" i="20" a="1"/>
  <c r="I160" i="20" s="1"/>
  <c r="I67" i="20" s="1"/>
  <c r="AP158" i="20" a="1"/>
  <c r="AP158" i="20" s="1"/>
  <c r="AP65" i="20" s="1"/>
  <c r="L146" i="20" a="1"/>
  <c r="L146" i="20" s="1"/>
  <c r="L53" i="20" s="1"/>
  <c r="AQ174" i="20" a="1"/>
  <c r="AQ174" i="20" s="1"/>
  <c r="AQ81" i="20" s="1"/>
  <c r="Y146" i="20" a="1"/>
  <c r="Y146" i="20" s="1"/>
  <c r="Y53" i="20" s="1"/>
  <c r="M186" i="20" a="1"/>
  <c r="M186" i="20" s="1"/>
  <c r="M93" i="20" s="1"/>
  <c r="AI174" i="20" a="1"/>
  <c r="AI174" i="20" s="1"/>
  <c r="AI81" i="20" s="1"/>
  <c r="X168" i="20" a="1"/>
  <c r="X168" i="20" s="1"/>
  <c r="X75" i="20" s="1"/>
  <c r="G151" i="20" a="1"/>
  <c r="G151" i="20" s="1"/>
  <c r="G58" i="20" s="1"/>
  <c r="AB47" i="34"/>
  <c r="AB36" i="34"/>
  <c r="AC16" i="34"/>
  <c r="AO55" i="13"/>
  <c r="AP50" i="13"/>
  <c r="AK33" i="43"/>
  <c r="AL32" i="13"/>
  <c r="AL33" i="13" s="1"/>
  <c r="AL32" i="43"/>
  <c r="AL33" i="43" s="1"/>
  <c r="G182" i="20" a="1"/>
  <c r="G182" i="20" s="1"/>
  <c r="U130" i="20" a="1"/>
  <c r="U130" i="20" s="1"/>
  <c r="U37" i="20" s="1"/>
  <c r="E146" i="20" a="1"/>
  <c r="E146" i="20" s="1"/>
  <c r="Z180" i="20" a="1"/>
  <c r="Z180" i="20" s="1"/>
  <c r="AD159" i="20" a="1"/>
  <c r="AD159" i="20" s="1"/>
  <c r="AD66" i="20" s="1"/>
  <c r="AQ176" i="20" a="1"/>
  <c r="AQ176" i="20" s="1"/>
  <c r="AQ83" i="20" s="1"/>
  <c r="AG168" i="20" a="1"/>
  <c r="AG168" i="20" s="1"/>
  <c r="AG75" i="20" s="1"/>
  <c r="G173" i="20" a="1"/>
  <c r="G173" i="20" s="1"/>
  <c r="G80" i="20" s="1"/>
  <c r="Y196" i="20" a="1"/>
  <c r="Y196" i="20" s="1"/>
  <c r="Y103" i="20" s="1"/>
  <c r="H198" i="20" a="1"/>
  <c r="H198" i="20" s="1"/>
  <c r="H105" i="20" s="1"/>
  <c r="H135" i="20" a="1"/>
  <c r="H135" i="20" s="1"/>
  <c r="H42" i="20" s="1"/>
  <c r="AS180" i="20" a="1"/>
  <c r="AS180" i="20" s="1"/>
  <c r="AS87" i="20" s="1"/>
  <c r="S187" i="20" a="1"/>
  <c r="S187" i="20" s="1"/>
  <c r="S94" i="20" s="1"/>
  <c r="X185" i="20" a="1"/>
  <c r="X185" i="20" s="1"/>
  <c r="X92" i="20" s="1"/>
  <c r="V175" i="20" a="1"/>
  <c r="V175" i="20" s="1"/>
  <c r="AH153" i="20" a="1"/>
  <c r="AH153" i="20" s="1"/>
  <c r="AH60" i="20" s="1"/>
  <c r="I157" i="20" a="1"/>
  <c r="I157" i="20" s="1"/>
  <c r="I64" i="20" s="1"/>
  <c r="I187" i="20" a="1"/>
  <c r="I187" i="20" s="1"/>
  <c r="I94" i="20" s="1"/>
  <c r="E131" i="20" a="1"/>
  <c r="E131" i="20" s="1"/>
  <c r="U198" i="20" a="1"/>
  <c r="U198" i="20" s="1"/>
  <c r="U105" i="20" s="1"/>
  <c r="N182" i="20" a="1"/>
  <c r="N182" i="20" s="1"/>
  <c r="N89" i="20" s="1"/>
  <c r="M173" i="20" a="1"/>
  <c r="M173" i="20" s="1"/>
  <c r="M80" i="20" s="1"/>
  <c r="AT180" i="20" a="1"/>
  <c r="AT180" i="20" s="1"/>
  <c r="AT87" i="20" s="1"/>
  <c r="AA158" i="20" a="1"/>
  <c r="AA158" i="20" s="1"/>
  <c r="AA65" i="20" s="1"/>
  <c r="Y198" i="20" a="1"/>
  <c r="Y198" i="20" s="1"/>
  <c r="Y105" i="20" s="1"/>
  <c r="L131" i="20" a="1"/>
  <c r="L131" i="20" s="1"/>
  <c r="L38" i="20" s="1"/>
  <c r="K137" i="20" a="1"/>
  <c r="K137" i="20" s="1"/>
  <c r="K44" i="20" s="1"/>
  <c r="I127" i="20" a="1"/>
  <c r="I127" i="20" s="1"/>
  <c r="I34" i="20" s="1"/>
  <c r="O189" i="20" a="1"/>
  <c r="O189" i="20" s="1"/>
  <c r="O96" i="20" s="1"/>
  <c r="AK154" i="20" a="1"/>
  <c r="AK154" i="20" s="1"/>
  <c r="AK61" i="20" s="1"/>
  <c r="L156" i="20" a="1"/>
  <c r="L156" i="20" s="1"/>
  <c r="L63" i="20" s="1"/>
  <c r="H172" i="20" a="1"/>
  <c r="H172" i="20" s="1"/>
  <c r="H79" i="20" s="1"/>
  <c r="AQ195" i="20" a="1"/>
  <c r="AQ195" i="20" s="1"/>
  <c r="AQ102" i="20" s="1"/>
  <c r="W129" i="20" a="1"/>
  <c r="W129" i="20" s="1"/>
  <c r="P171" i="20" a="1"/>
  <c r="P171" i="20" s="1"/>
  <c r="P78" i="20" s="1"/>
  <c r="AC158" i="20" a="1"/>
  <c r="AC158" i="20" s="1"/>
  <c r="AC65" i="20" s="1"/>
  <c r="AT157" i="20" a="1"/>
  <c r="AT157" i="20" s="1"/>
  <c r="AT64" i="20" s="1"/>
  <c r="F160" i="20" a="1"/>
  <c r="F160" i="20" s="1"/>
  <c r="F67" i="20" s="1"/>
  <c r="G146" i="20" a="1"/>
  <c r="G146" i="20" s="1"/>
  <c r="G53" i="20" s="1"/>
  <c r="AB173" i="20" a="1"/>
  <c r="AB173" i="20" s="1"/>
  <c r="AB80" i="20" s="1"/>
  <c r="Z175" i="20" a="1"/>
  <c r="Z175" i="20" s="1"/>
  <c r="F148" i="20" a="1"/>
  <c r="F148" i="20" s="1"/>
  <c r="F55" i="20" s="1"/>
  <c r="S174" i="20" a="1"/>
  <c r="S174" i="20" s="1"/>
  <c r="S81" i="20" s="1"/>
  <c r="O166" i="20" a="1"/>
  <c r="O166" i="20" s="1"/>
  <c r="O73" i="20" s="1"/>
  <c r="E195" i="20" a="1"/>
  <c r="E195" i="20" s="1"/>
  <c r="G157" i="20" a="1"/>
  <c r="G157" i="20" s="1"/>
  <c r="G64" i="20" s="1"/>
  <c r="X159" i="20" a="1"/>
  <c r="X159" i="20" s="1"/>
  <c r="X66" i="20" s="1"/>
  <c r="AP195" i="20" a="1"/>
  <c r="AP195" i="20" s="1"/>
  <c r="AP102" i="20" s="1"/>
  <c r="J143" i="20" a="1"/>
  <c r="J143" i="20" s="1"/>
  <c r="J50" i="20" s="1"/>
  <c r="AI136" i="20" a="1"/>
  <c r="AI136" i="20" s="1"/>
  <c r="AI43" i="20" s="1"/>
  <c r="AK136" i="20" a="1"/>
  <c r="AK136" i="20" s="1"/>
  <c r="AK43" i="20" s="1"/>
  <c r="P158" i="20" a="1"/>
  <c r="P158" i="20" s="1"/>
  <c r="P65" i="20" s="1"/>
  <c r="X131" i="20" a="1"/>
  <c r="X131" i="20" s="1"/>
  <c r="X38" i="20" s="1"/>
  <c r="O140" i="20" a="1"/>
  <c r="O140" i="20" s="1"/>
  <c r="O47" i="20" s="1"/>
  <c r="AB170" i="20" a="1"/>
  <c r="AB170" i="20" s="1"/>
  <c r="AB77" i="20" s="1"/>
  <c r="R169" i="20" a="1"/>
  <c r="R169" i="20" s="1"/>
  <c r="R76" i="20" s="1"/>
  <c r="AJ194" i="20" a="1"/>
  <c r="AJ194" i="20" s="1"/>
  <c r="AJ101" i="20" s="1"/>
  <c r="O187" i="20" a="1"/>
  <c r="O187" i="20" s="1"/>
  <c r="O94" i="20" s="1"/>
  <c r="O202" i="20" a="1"/>
  <c r="O202" i="20" s="1"/>
  <c r="O109" i="20" s="1"/>
  <c r="U171" i="20" a="1"/>
  <c r="U171" i="20" s="1"/>
  <c r="U78" i="20" s="1"/>
  <c r="AS164" i="20" a="1"/>
  <c r="AS164" i="20" s="1"/>
  <c r="AS71" i="20" s="1"/>
  <c r="W156" i="20" a="1"/>
  <c r="W156" i="20" s="1"/>
  <c r="W63" i="20" s="1"/>
  <c r="V172" i="20" a="1"/>
  <c r="V172" i="20" s="1"/>
  <c r="V79" i="20" s="1"/>
  <c r="J173" i="20" a="1"/>
  <c r="J173" i="20" s="1"/>
  <c r="J80" i="20" s="1"/>
  <c r="Z184" i="20" a="1"/>
  <c r="Z184" i="20" s="1"/>
  <c r="Z91" i="20" s="1"/>
  <c r="AT147" i="20" a="1"/>
  <c r="AT147" i="20" s="1"/>
  <c r="AT54" i="20" s="1"/>
  <c r="AG187" i="20" a="1"/>
  <c r="AG187" i="20" s="1"/>
  <c r="AG94" i="20" s="1"/>
  <c r="E133" i="20" a="1"/>
  <c r="E133" i="20" s="1"/>
  <c r="J195" i="20" a="1"/>
  <c r="J195" i="20" s="1"/>
  <c r="J102" i="20" s="1"/>
  <c r="S146" i="20" a="1"/>
  <c r="S146" i="20" s="1"/>
  <c r="S53" i="20" s="1"/>
  <c r="Q186" i="20" a="1"/>
  <c r="Q186" i="20" s="1"/>
  <c r="Q93" i="20" s="1"/>
  <c r="P153" i="20" a="1"/>
  <c r="P153" i="20" s="1"/>
  <c r="P60" i="20" s="1"/>
  <c r="P198" i="20" a="1"/>
  <c r="P198" i="20" s="1"/>
  <c r="P105" i="20" s="1"/>
  <c r="AP155" i="20" a="1"/>
  <c r="AP155" i="20" s="1"/>
  <c r="AP62" i="20" s="1"/>
  <c r="AS176" i="20" a="1"/>
  <c r="AS176" i="20" s="1"/>
  <c r="AS83" i="20" s="1"/>
  <c r="AE182" i="20" a="1"/>
  <c r="AE182" i="20" s="1"/>
  <c r="AE89" i="20" s="1"/>
  <c r="AA140" i="20" a="1"/>
  <c r="AA140" i="20" s="1"/>
  <c r="X176" i="20" a="1"/>
  <c r="X176" i="20" s="1"/>
  <c r="X83" i="20" s="1"/>
  <c r="AR194" i="20" a="1"/>
  <c r="AR194" i="20" s="1"/>
  <c r="AR101" i="20" s="1"/>
  <c r="AP174" i="20" a="1"/>
  <c r="AP174" i="20" s="1"/>
  <c r="AP81" i="20" s="1"/>
  <c r="F156" i="20" a="1"/>
  <c r="F156" i="20" s="1"/>
  <c r="F63" i="20" s="1"/>
  <c r="R161" i="20" a="1"/>
  <c r="R161" i="20" s="1"/>
  <c r="R68" i="20" s="1"/>
  <c r="K195" i="20" a="1"/>
  <c r="K195" i="20" s="1"/>
  <c r="K102" i="20" s="1"/>
  <c r="Z185" i="20" a="1"/>
  <c r="Z185" i="20" s="1"/>
  <c r="Z92" i="20" s="1"/>
  <c r="AN167" i="20" a="1"/>
  <c r="AN167" i="20" s="1"/>
  <c r="AN74" i="20" s="1"/>
  <c r="J198" i="20" a="1"/>
  <c r="J198" i="20" s="1"/>
  <c r="J105" i="20" s="1"/>
  <c r="G170" i="20" a="1"/>
  <c r="G170" i="20" s="1"/>
  <c r="G77" i="20" s="1"/>
  <c r="S182" i="20" a="1"/>
  <c r="S182" i="20" s="1"/>
  <c r="S89" i="20" s="1"/>
  <c r="U141" i="20" a="1"/>
  <c r="U141" i="20" s="1"/>
  <c r="U48" i="20" s="1"/>
  <c r="K176" i="20" a="1"/>
  <c r="K176" i="20" s="1"/>
  <c r="K83" i="20" s="1"/>
  <c r="F196" i="20" a="1"/>
  <c r="F196" i="20" s="1"/>
  <c r="F103" i="20" s="1"/>
  <c r="AA167" i="20" a="1"/>
  <c r="AA167" i="20" s="1"/>
  <c r="AA74" i="20" s="1"/>
  <c r="Y145" i="20" a="1"/>
  <c r="Y145" i="20" s="1"/>
  <c r="U176" i="20" a="1"/>
  <c r="U176" i="20" s="1"/>
  <c r="U83" i="20" s="1"/>
  <c r="AI167" i="20" a="1"/>
  <c r="AI167" i="20" s="1"/>
  <c r="AI74" i="20" s="1"/>
  <c r="P159" i="20" a="1"/>
  <c r="P159" i="20" s="1"/>
  <c r="P66" i="20" s="1"/>
  <c r="AU147" i="20" a="1"/>
  <c r="AU147" i="20" s="1"/>
  <c r="AU54" i="20" s="1"/>
  <c r="G135" i="20" a="1"/>
  <c r="G135" i="20" s="1"/>
  <c r="G42" i="20" s="1"/>
  <c r="AE146" i="20" a="1"/>
  <c r="AE146" i="20" s="1"/>
  <c r="AE53" i="20" s="1"/>
  <c r="AG135" i="20" a="1"/>
  <c r="AG135" i="20" s="1"/>
  <c r="AG42" i="20" s="1"/>
  <c r="AQ130" i="20" a="1"/>
  <c r="AQ130" i="20" s="1"/>
  <c r="AQ37" i="20" s="1"/>
  <c r="M143" i="20" a="1"/>
  <c r="M143" i="20" s="1"/>
  <c r="M50" i="20" s="1"/>
  <c r="S168" i="20" a="1"/>
  <c r="S168" i="20" s="1"/>
  <c r="S75" i="20" s="1"/>
  <c r="AK177" i="20" a="1"/>
  <c r="AK177" i="20" s="1"/>
  <c r="AK84" i="20" s="1"/>
  <c r="Z176" i="20" a="1"/>
  <c r="Z176" i="20" s="1"/>
  <c r="Z83" i="20" s="1"/>
  <c r="AC164" i="20" a="1"/>
  <c r="AC164" i="20" s="1"/>
  <c r="AC71" i="20" s="1"/>
  <c r="U193" i="20" a="1"/>
  <c r="U193" i="20" s="1"/>
  <c r="U100" i="20" s="1"/>
  <c r="AR131" i="20" a="1"/>
  <c r="AR131" i="20" s="1"/>
  <c r="AR38" i="20" s="1"/>
  <c r="X195" i="20" a="1"/>
  <c r="X195" i="20" s="1"/>
  <c r="X102" i="20" s="1"/>
  <c r="Y193" i="20" a="1"/>
  <c r="Y193" i="20" s="1"/>
  <c r="Y100" i="20" s="1"/>
  <c r="AS159" i="20" a="1"/>
  <c r="AS159" i="20" s="1"/>
  <c r="AS66" i="20" s="1"/>
  <c r="U189" i="20" a="1"/>
  <c r="U189" i="20" s="1"/>
  <c r="U96" i="20" s="1"/>
  <c r="X134" i="20" a="1"/>
  <c r="X134" i="20" s="1"/>
  <c r="X41" i="20" s="1"/>
  <c r="AQ193" i="20" a="1"/>
  <c r="AQ193" i="20" s="1"/>
  <c r="AQ100" i="20" s="1"/>
  <c r="E170" i="20" a="1"/>
  <c r="E170" i="20" s="1"/>
  <c r="P142" i="20" a="1"/>
  <c r="P142" i="20" s="1"/>
  <c r="F163" i="20" a="1"/>
  <c r="F163" i="20" s="1"/>
  <c r="F70" i="20" s="1"/>
  <c r="T169" i="20" a="1"/>
  <c r="T169" i="20" s="1"/>
  <c r="T76" i="20" s="1"/>
  <c r="AP140" i="20" a="1"/>
  <c r="AP140" i="20" s="1"/>
  <c r="AP47" i="20" s="1"/>
  <c r="AP148" i="20" a="1"/>
  <c r="AP148" i="20" s="1"/>
  <c r="AP55" i="20" s="1"/>
  <c r="Z160" i="20" a="1"/>
  <c r="Z160" i="20" s="1"/>
  <c r="Z67" i="20" s="1"/>
  <c r="AV130" i="20" a="1"/>
  <c r="AV130" i="20" s="1"/>
  <c r="AV37" i="20" s="1"/>
  <c r="T187" i="20" a="1"/>
  <c r="T187" i="20" s="1"/>
  <c r="T94" i="20" s="1"/>
  <c r="N197" i="20" a="1"/>
  <c r="N197" i="20" s="1"/>
  <c r="N104" i="20" s="1"/>
  <c r="S195" i="20" a="1"/>
  <c r="S195" i="20" s="1"/>
  <c r="S102" i="20" s="1"/>
  <c r="AU185" i="20" a="1"/>
  <c r="AU185" i="20" s="1"/>
  <c r="AU92" i="20" s="1"/>
  <c r="R193" i="20" a="1"/>
  <c r="R193" i="20" s="1"/>
  <c r="AE129" i="20" a="1"/>
  <c r="AE129" i="20" s="1"/>
  <c r="AS190" i="20" a="1"/>
  <c r="AS190" i="20" s="1"/>
  <c r="AS97" i="20" s="1"/>
  <c r="K169" i="20" a="1"/>
  <c r="K169" i="20" s="1"/>
  <c r="K76" i="20" s="1"/>
  <c r="F157" i="20" a="1"/>
  <c r="F157" i="20" s="1"/>
  <c r="F64" i="20" s="1"/>
  <c r="U169" i="20" a="1"/>
  <c r="U169" i="20" s="1"/>
  <c r="U76" i="20" s="1"/>
  <c r="AV201" i="20" a="1"/>
  <c r="AV201" i="20" s="1"/>
  <c r="AQ145" i="20" a="1"/>
  <c r="AQ145" i="20" s="1"/>
  <c r="AQ52" i="20" s="1"/>
  <c r="AB196" i="20" a="1"/>
  <c r="AB196" i="20" s="1"/>
  <c r="AB103" i="20" s="1"/>
  <c r="AC168" i="20" a="1"/>
  <c r="AC168" i="20" s="1"/>
  <c r="AC75" i="20" s="1"/>
  <c r="Z146" i="20" a="1"/>
  <c r="Z146" i="20" s="1"/>
  <c r="Z53" i="20" s="1"/>
  <c r="Z171" i="20" a="1"/>
  <c r="Z171" i="20" s="1"/>
  <c r="Z78" i="20" s="1"/>
  <c r="E161" i="20" a="1"/>
  <c r="E161" i="20" s="1"/>
  <c r="G160" i="20" a="1"/>
  <c r="G160" i="20" s="1"/>
  <c r="G67" i="20" s="1"/>
  <c r="AB174" i="20" a="1"/>
  <c r="AB174" i="20" s="1"/>
  <c r="AB81" i="20" s="1"/>
  <c r="L149" i="20" a="1"/>
  <c r="L149" i="20" s="1"/>
  <c r="L56" i="20" s="1"/>
  <c r="AU131" i="20" a="1"/>
  <c r="AU131" i="20" s="1"/>
  <c r="AU38" i="20" s="1"/>
  <c r="H134" i="20" a="1"/>
  <c r="H134" i="20" s="1"/>
  <c r="H41" i="20" s="1"/>
  <c r="W153" i="20" a="1"/>
  <c r="W153" i="20" s="1"/>
  <c r="O198" i="20" a="1"/>
  <c r="O198" i="20" s="1"/>
  <c r="O105" i="20" s="1"/>
  <c r="V148" i="20" a="1"/>
  <c r="V148" i="20" s="1"/>
  <c r="V55" i="20" s="1"/>
  <c r="AI190" i="20" a="1"/>
  <c r="AI190" i="20" s="1"/>
  <c r="AI97" i="20" s="1"/>
  <c r="AK164" i="20" a="1"/>
  <c r="AK164" i="20" s="1"/>
  <c r="AK71" i="20" s="1"/>
  <c r="AN154" i="20" a="1"/>
  <c r="AN154" i="20" s="1"/>
  <c r="O195" i="20" a="1"/>
  <c r="O195" i="20" s="1"/>
  <c r="O102" i="20" s="1"/>
  <c r="T146" i="20" a="1"/>
  <c r="T146" i="20" s="1"/>
  <c r="T53" i="20" s="1"/>
  <c r="H148" i="20" a="1"/>
  <c r="H148" i="20" s="1"/>
  <c r="H55" i="20" s="1"/>
  <c r="AH135" i="20" a="1"/>
  <c r="AH135" i="20" s="1"/>
  <c r="AH42" i="20" s="1"/>
  <c r="AP184" i="20" a="1"/>
  <c r="AP184" i="20" s="1"/>
  <c r="AP91" i="20" s="1"/>
  <c r="AL192" i="20" a="1"/>
  <c r="AL192" i="20" s="1"/>
  <c r="AL99" i="20" s="1"/>
  <c r="U156" i="20" a="1"/>
  <c r="U156" i="20" s="1"/>
  <c r="U63" i="20" s="1"/>
  <c r="AL174" i="20" a="1"/>
  <c r="AL174" i="20" s="1"/>
  <c r="AL81" i="20" s="1"/>
  <c r="W157" i="20" a="1"/>
  <c r="W157" i="20" s="1"/>
  <c r="W64" i="20" s="1"/>
  <c r="AM187" i="20" a="1"/>
  <c r="AM187" i="20" s="1"/>
  <c r="AM94" i="20" s="1"/>
  <c r="AU174" i="20" a="1"/>
  <c r="AU174" i="20" s="1"/>
  <c r="AU81" i="20" s="1"/>
  <c r="J140" i="20" a="1"/>
  <c r="J140" i="20" s="1"/>
  <c r="J47" i="20" s="1"/>
  <c r="X193" i="20" a="1"/>
  <c r="X193" i="20" s="1"/>
  <c r="X100" i="20" s="1"/>
  <c r="V134" i="20" a="1"/>
  <c r="V134" i="20" s="1"/>
  <c r="V41" i="20" s="1"/>
  <c r="AK146" i="20" a="1"/>
  <c r="AK146" i="20" s="1"/>
  <c r="AK53" i="20" s="1"/>
  <c r="Q187" i="20" a="1"/>
  <c r="Q187" i="20" s="1"/>
  <c r="Q94" i="20" s="1"/>
  <c r="AE201" i="20" a="1"/>
  <c r="AE201" i="20" s="1"/>
  <c r="O131" i="20" a="1"/>
  <c r="O131" i="20" s="1"/>
  <c r="O38" i="20" s="1"/>
  <c r="X197" i="20" a="1"/>
  <c r="X197" i="20" s="1"/>
  <c r="X104" i="20" s="1"/>
  <c r="AR132" i="20" a="1"/>
  <c r="AR132" i="20" s="1"/>
  <c r="AR39" i="20" s="1"/>
  <c r="AA147" i="20" a="1"/>
  <c r="AA147" i="20" s="1"/>
  <c r="AA54" i="20" s="1"/>
  <c r="AI184" i="20" a="1"/>
  <c r="AI184" i="20" s="1"/>
  <c r="AI91" i="20" s="1"/>
  <c r="AB147" i="20" a="1"/>
  <c r="AB147" i="20" s="1"/>
  <c r="AB54" i="20" s="1"/>
  <c r="AQ157" i="20" a="1"/>
  <c r="AQ157" i="20" s="1"/>
  <c r="AQ64" i="20" s="1"/>
  <c r="F143" i="20" a="1"/>
  <c r="F143" i="20" s="1"/>
  <c r="F50" i="20" s="1"/>
  <c r="J180" i="20" a="1"/>
  <c r="J180" i="20" s="1"/>
  <c r="J87" i="20" s="1"/>
  <c r="AM192" i="20" a="1"/>
  <c r="AM192" i="20" s="1"/>
  <c r="AM99" i="20" s="1"/>
  <c r="AH198" i="20" a="1"/>
  <c r="AH198" i="20" s="1"/>
  <c r="AH105" i="20" s="1"/>
  <c r="AM157" i="20" a="1"/>
  <c r="AM157" i="20" s="1"/>
  <c r="AM64" i="20" s="1"/>
  <c r="P160" i="20" a="1"/>
  <c r="P160" i="20" s="1"/>
  <c r="P67" i="20" s="1"/>
  <c r="AQ163" i="20" a="1"/>
  <c r="AQ163" i="20" s="1"/>
  <c r="AQ70" i="20" s="1"/>
  <c r="N186" i="20" a="1"/>
  <c r="N186" i="20" s="1"/>
  <c r="N93" i="20" s="1"/>
  <c r="V182" i="20" a="1"/>
  <c r="V182" i="20" s="1"/>
  <c r="V89" i="20" s="1"/>
  <c r="V195" i="20" a="1"/>
  <c r="V195" i="20" s="1"/>
  <c r="V102" i="20" s="1"/>
  <c r="M148" i="20" a="1"/>
  <c r="M148" i="20" s="1"/>
  <c r="M55" i="20" s="1"/>
  <c r="L133" i="20" a="1"/>
  <c r="L133" i="20" s="1"/>
  <c r="L40" i="20" s="1"/>
  <c r="S156" i="20" a="1"/>
  <c r="S156" i="20" s="1"/>
  <c r="S63" i="20" s="1"/>
  <c r="P141" i="20" a="1"/>
  <c r="P141" i="20" s="1"/>
  <c r="P48" i="20" s="1"/>
  <c r="R195" i="20" a="1"/>
  <c r="R195" i="20" s="1"/>
  <c r="R102" i="20" s="1"/>
  <c r="AS129" i="20" a="1"/>
  <c r="AS129" i="20" s="1"/>
  <c r="AQ189" i="20" a="1"/>
  <c r="AQ189" i="20" s="1"/>
  <c r="AQ96" i="20" s="1"/>
  <c r="AT151" i="20" a="1"/>
  <c r="AT151" i="20" s="1"/>
  <c r="AT58" i="20" s="1"/>
  <c r="AP198" i="20" a="1"/>
  <c r="AP198" i="20" s="1"/>
  <c r="AP105" i="20" s="1"/>
  <c r="U167" i="20" a="1"/>
  <c r="U167" i="20" s="1"/>
  <c r="U74" i="20" s="1"/>
  <c r="AQ162" i="20" a="1"/>
  <c r="AQ162" i="20" s="1"/>
  <c r="AQ69" i="20" s="1"/>
  <c r="AM145" i="20" a="1"/>
  <c r="AM145" i="20" s="1"/>
  <c r="AM52" i="20" s="1"/>
  <c r="AL183" i="20" a="1"/>
  <c r="AL183" i="20" s="1"/>
  <c r="AL90" i="20" s="1"/>
  <c r="AQ149" i="20" a="1"/>
  <c r="AQ149" i="20" s="1"/>
  <c r="AQ56" i="20" s="1"/>
  <c r="O176" i="20" a="1"/>
  <c r="O176" i="20" s="1"/>
  <c r="O83" i="20" s="1"/>
  <c r="Y187" i="20" a="1"/>
  <c r="Y187" i="20" s="1"/>
  <c r="Y94" i="20" s="1"/>
  <c r="K140" i="20" a="1"/>
  <c r="K140" i="20" s="1"/>
  <c r="Z149" i="20" a="1"/>
  <c r="Z149" i="20" s="1"/>
  <c r="Z56" i="20" s="1"/>
  <c r="AA129" i="20" a="1"/>
  <c r="AA129" i="20" s="1"/>
  <c r="Q168" i="20" a="1"/>
  <c r="Q168" i="20" s="1"/>
  <c r="Q75" i="20" s="1"/>
  <c r="AN157" i="20" a="1"/>
  <c r="AN157" i="20" s="1"/>
  <c r="AN64" i="20" s="1"/>
  <c r="AG195" i="20" a="1"/>
  <c r="AG195" i="20" s="1"/>
  <c r="AG102" i="20" s="1"/>
  <c r="U170" i="20" a="1"/>
  <c r="U170" i="20" s="1"/>
  <c r="U77" i="20" s="1"/>
  <c r="P173" i="20" a="1"/>
  <c r="P173" i="20" s="1"/>
  <c r="P80" i="20" s="1"/>
  <c r="AQ167" i="20" a="1"/>
  <c r="AQ167" i="20" s="1"/>
  <c r="AQ74" i="20" s="1"/>
  <c r="G161" i="20" a="1"/>
  <c r="G161" i="20" s="1"/>
  <c r="G68" i="20" s="1"/>
  <c r="AS145" i="20" a="1"/>
  <c r="AS145" i="20" s="1"/>
  <c r="AS52" i="20" s="1"/>
  <c r="R133" i="20" a="1"/>
  <c r="R133" i="20" s="1"/>
  <c r="R40" i="20" s="1"/>
  <c r="Q185" i="20" a="1"/>
  <c r="Q185" i="20" s="1"/>
  <c r="Q92" i="20" s="1"/>
  <c r="Q133" i="20" a="1"/>
  <c r="Q133" i="20" s="1"/>
  <c r="Q40" i="20" s="1"/>
  <c r="R159" i="20" a="1"/>
  <c r="R159" i="20" s="1"/>
  <c r="R66" i="20" s="1"/>
  <c r="AR167" i="20" a="1"/>
  <c r="AR167" i="20" s="1"/>
  <c r="AR74" i="20" s="1"/>
  <c r="J129" i="20" a="1"/>
  <c r="J129" i="20" s="1"/>
  <c r="J36" i="20" s="1"/>
  <c r="AQ147" i="20" a="1"/>
  <c r="AQ147" i="20" s="1"/>
  <c r="AQ54" i="20" s="1"/>
  <c r="S170" i="20" a="1"/>
  <c r="S170" i="20" s="1"/>
  <c r="S77" i="20" s="1"/>
  <c r="AB141" i="20" a="1"/>
  <c r="AB141" i="20" s="1"/>
  <c r="AB48" i="20" s="1"/>
  <c r="AA173" i="20" a="1"/>
  <c r="AA173" i="20" s="1"/>
  <c r="AA80" i="20" s="1"/>
  <c r="S176" i="20" a="1"/>
  <c r="S176" i="20" s="1"/>
  <c r="S83" i="20" s="1"/>
  <c r="AR173" i="20" a="1"/>
  <c r="AR173" i="20" s="1"/>
  <c r="AR80" i="20" s="1"/>
  <c r="AJ187" i="20" a="1"/>
  <c r="AJ187" i="20" s="1"/>
  <c r="AJ94" i="20" s="1"/>
  <c r="P193" i="20" a="1"/>
  <c r="P193" i="20" s="1"/>
  <c r="P100" i="20" s="1"/>
  <c r="AO153" i="20" a="1"/>
  <c r="AO153" i="20" s="1"/>
  <c r="AO60" i="20" s="1"/>
  <c r="V187" i="20" a="1"/>
  <c r="V187" i="20" s="1"/>
  <c r="V94" i="20" s="1"/>
  <c r="V161" i="20" a="1"/>
  <c r="V161" i="20" s="1"/>
  <c r="V68" i="20" s="1"/>
  <c r="AB168" i="20" a="1"/>
  <c r="AB168" i="20" s="1"/>
  <c r="AB75" i="20" s="1"/>
  <c r="R184" i="20" a="1"/>
  <c r="R184" i="20" s="1"/>
  <c r="R91" i="20" s="1"/>
  <c r="AB187" i="20" a="1"/>
  <c r="AB187" i="20" s="1"/>
  <c r="AB94" i="20" s="1"/>
  <c r="AR160" i="20" a="1"/>
  <c r="AR160" i="20" s="1"/>
  <c r="AR67" i="20" s="1"/>
  <c r="E156" i="20" a="1"/>
  <c r="E156" i="20" s="1"/>
  <c r="E63" i="20" s="1"/>
  <c r="N164" i="20" a="1"/>
  <c r="N164" i="20" s="1"/>
  <c r="N71" i="20" s="1"/>
  <c r="R136" i="20" a="1"/>
  <c r="R136" i="20" s="1"/>
  <c r="R43" i="20" s="1"/>
  <c r="Q196" i="20" a="1"/>
  <c r="Q196" i="20" s="1"/>
  <c r="Q103" i="20" s="1"/>
  <c r="AU173" i="20" a="1"/>
  <c r="AU173" i="20" s="1"/>
  <c r="AU80" i="20" s="1"/>
  <c r="F168" i="20" a="1"/>
  <c r="F168" i="20" s="1"/>
  <c r="F75" i="20" s="1"/>
  <c r="AV155" i="20" a="1"/>
  <c r="AV155" i="20" s="1"/>
  <c r="AV62" i="20" s="1"/>
  <c r="W172" i="20" a="1"/>
  <c r="W172" i="20" s="1"/>
  <c r="W79" i="20" s="1"/>
  <c r="AB202" i="20" a="1"/>
  <c r="AB202" i="20" s="1"/>
  <c r="AB109" i="20" s="1"/>
  <c r="F161" i="20" a="1"/>
  <c r="F161" i="20" s="1"/>
  <c r="F68" i="20" s="1"/>
  <c r="AK153" i="20" a="1"/>
  <c r="AK153" i="20" s="1"/>
  <c r="H182" i="20" a="1"/>
  <c r="H182" i="20" s="1"/>
  <c r="H89" i="20" s="1"/>
  <c r="AK144" i="20" a="1"/>
  <c r="AK144" i="20" s="1"/>
  <c r="AK51" i="20" s="1"/>
  <c r="AJ177" i="20" a="1"/>
  <c r="AJ177" i="20" s="1"/>
  <c r="AJ84" i="20" s="1"/>
  <c r="R130" i="20" a="1"/>
  <c r="R130" i="20" s="1"/>
  <c r="R37" i="20" s="1"/>
  <c r="AI200" i="20" a="1"/>
  <c r="AI200" i="20" s="1"/>
  <c r="AI107" i="20" s="1"/>
  <c r="AO187" i="20" a="1"/>
  <c r="AO187" i="20" s="1"/>
  <c r="AO94" i="20" s="1"/>
  <c r="AU145" i="20" a="1"/>
  <c r="AU145" i="20" s="1"/>
  <c r="AU52" i="20" s="1"/>
  <c r="AU134" i="20" a="1"/>
  <c r="AU134" i="20" s="1"/>
  <c r="AU41" i="20" s="1"/>
  <c r="E169" i="20" a="1"/>
  <c r="E169" i="20" s="1"/>
  <c r="J167" i="20" a="1"/>
  <c r="J167" i="20" s="1"/>
  <c r="J74" i="20" s="1"/>
  <c r="AK167" i="20" a="1"/>
  <c r="AK167" i="20" s="1"/>
  <c r="AK74" i="20" s="1"/>
  <c r="L170" i="20" a="1"/>
  <c r="L170" i="20" s="1"/>
  <c r="L77" i="20" s="1"/>
  <c r="O148" i="20" a="1"/>
  <c r="O148" i="20" s="1"/>
  <c r="O55" i="20" s="1"/>
  <c r="O147" i="20" a="1"/>
  <c r="O147" i="20" s="1"/>
  <c r="O54" i="20" s="1"/>
  <c r="AB180" i="20" a="1"/>
  <c r="AB180" i="20" s="1"/>
  <c r="AB87" i="20" s="1"/>
  <c r="AU184" i="20" a="1"/>
  <c r="AU184" i="20" s="1"/>
  <c r="AU91" i="20" s="1"/>
  <c r="AJ129" i="20" a="1"/>
  <c r="AJ129" i="20" s="1"/>
  <c r="Y161" i="20" a="1"/>
  <c r="Y161" i="20" s="1"/>
  <c r="Y68" i="20" s="1"/>
  <c r="G158" i="20" a="1"/>
  <c r="G158" i="20" s="1"/>
  <c r="G65" i="20" s="1"/>
  <c r="AM182" i="20" a="1"/>
  <c r="AM182" i="20" s="1"/>
  <c r="AM89" i="20" s="1"/>
  <c r="AD153" i="20" a="1"/>
  <c r="AD153" i="20" s="1"/>
  <c r="AD60" i="20" s="1"/>
  <c r="R198" i="20" a="1"/>
  <c r="R198" i="20" s="1"/>
  <c r="R105" i="20" s="1"/>
  <c r="O156" i="20" a="1"/>
  <c r="O156" i="20" s="1"/>
  <c r="O63" i="20" s="1"/>
  <c r="X150" i="20" a="1"/>
  <c r="X150" i="20" s="1"/>
  <c r="X57" i="20" s="1"/>
  <c r="AV173" i="20" a="1"/>
  <c r="AV173" i="20" s="1"/>
  <c r="AV80" i="20" s="1"/>
  <c r="AT192" i="20" a="1"/>
  <c r="AT192" i="20" s="1"/>
  <c r="AT99" i="20" s="1"/>
  <c r="AQ166" i="20" a="1"/>
  <c r="AQ166" i="20" s="1"/>
  <c r="AQ73" i="20" s="1"/>
  <c r="AV131" i="20" a="1"/>
  <c r="AV131" i="20" s="1"/>
  <c r="AV38" i="20" s="1"/>
  <c r="G186" i="20" a="1"/>
  <c r="G186" i="20" s="1"/>
  <c r="G93" i="20" s="1"/>
  <c r="AG157" i="20" a="1"/>
  <c r="AG157" i="20" s="1"/>
  <c r="AG64" i="20" s="1"/>
  <c r="O157" i="20" a="1"/>
  <c r="O157" i="20" s="1"/>
  <c r="O64" i="20" s="1"/>
  <c r="S157" i="20" a="1"/>
  <c r="S157" i="20" s="1"/>
  <c r="S64" i="20" s="1"/>
  <c r="AR197" i="20" a="1"/>
  <c r="AR197" i="20" s="1"/>
  <c r="AR104" i="20" s="1"/>
  <c r="AL164" i="20" a="1"/>
  <c r="AL164" i="20" s="1"/>
  <c r="AL71" i="20" s="1"/>
  <c r="AO160" i="20" a="1"/>
  <c r="AO160" i="20" s="1"/>
  <c r="AO67" i="20" s="1"/>
  <c r="I156" i="20" a="1"/>
  <c r="I156" i="20" s="1"/>
  <c r="I63" i="20" s="1"/>
  <c r="I195" i="20" a="1"/>
  <c r="I195" i="20" s="1"/>
  <c r="I102" i="20" s="1"/>
  <c r="AG177" i="20" a="1"/>
  <c r="AG177" i="20" s="1"/>
  <c r="AG84" i="20" s="1"/>
  <c r="N175" i="20" a="1"/>
  <c r="N175" i="20" s="1"/>
  <c r="N82" i="20" s="1"/>
  <c r="Y131" i="20" a="1"/>
  <c r="Y131" i="20" s="1"/>
  <c r="Y38" i="20" s="1"/>
  <c r="J176" i="20" a="1"/>
  <c r="J176" i="20" s="1"/>
  <c r="J83" i="20" s="1"/>
  <c r="AN182" i="20" a="1"/>
  <c r="AN182" i="20" s="1"/>
  <c r="AN89" i="20" s="1"/>
  <c r="AB176" i="20" a="1"/>
  <c r="AB176" i="20" s="1"/>
  <c r="AB83" i="20" s="1"/>
  <c r="G169" i="20" a="1"/>
  <c r="G169" i="20" s="1"/>
  <c r="G76" i="20" s="1"/>
  <c r="Q158" i="20" a="1"/>
  <c r="Q158" i="20" s="1"/>
  <c r="Q65" i="20" s="1"/>
  <c r="AS196" i="20" a="1"/>
  <c r="AS196" i="20" s="1"/>
  <c r="AS103" i="20" s="1"/>
  <c r="L173" i="20" a="1"/>
  <c r="L173" i="20" s="1"/>
  <c r="L80" i="20" s="1"/>
  <c r="S153" i="20" a="1"/>
  <c r="S153" i="20" s="1"/>
  <c r="S60" i="20" s="1"/>
  <c r="T180" i="20" a="1"/>
  <c r="T180" i="20" s="1"/>
  <c r="T87" i="20" s="1"/>
  <c r="F129" i="20" a="1"/>
  <c r="F129" i="20" s="1"/>
  <c r="F36" i="20" s="1"/>
  <c r="Z186" i="20" a="1"/>
  <c r="Z186" i="20" s="1"/>
  <c r="Z93" i="20" s="1"/>
  <c r="T149" i="20" a="1"/>
  <c r="T149" i="20" s="1"/>
  <c r="T56" i="20" s="1"/>
  <c r="AU193" i="20" a="1"/>
  <c r="AU193" i="20" s="1"/>
  <c r="AU100" i="20" s="1"/>
  <c r="K136" i="20" a="1"/>
  <c r="K136" i="20" s="1"/>
  <c r="K43" i="20" s="1"/>
  <c r="S143" i="20" a="1"/>
  <c r="S143" i="20" s="1"/>
  <c r="S50" i="20" s="1"/>
  <c r="F182" i="20" a="1"/>
  <c r="F182" i="20" s="1"/>
  <c r="F89" i="20" s="1"/>
  <c r="G153" i="20" a="1"/>
  <c r="G153" i="20" s="1"/>
  <c r="G60" i="20" s="1"/>
  <c r="AK157" i="20" a="1"/>
  <c r="AK157" i="20" s="1"/>
  <c r="AK64" i="20" s="1"/>
  <c r="F159" i="20" a="1"/>
  <c r="F159" i="20" s="1"/>
  <c r="F66" i="20" s="1"/>
  <c r="U132" i="20" a="1"/>
  <c r="U132" i="20" s="1"/>
  <c r="U39" i="20" s="1"/>
  <c r="M163" i="20" a="1"/>
  <c r="M163" i="20" s="1"/>
  <c r="M70" i="20" s="1"/>
  <c r="AM174" i="20" a="1"/>
  <c r="AM174" i="20" s="1"/>
  <c r="AM81" i="20" s="1"/>
  <c r="H133" i="20" a="1"/>
  <c r="H133" i="20" s="1"/>
  <c r="H40" i="20" s="1"/>
  <c r="AV157" i="20" a="1"/>
  <c r="AV157" i="20" s="1"/>
  <c r="AV64" i="20" s="1"/>
  <c r="N171" i="20" a="1"/>
  <c r="N171" i="20" s="1"/>
  <c r="N78" i="20" s="1"/>
  <c r="AU161" i="20" a="1"/>
  <c r="AU161" i="20" s="1"/>
  <c r="AU68" i="20" s="1"/>
  <c r="AN153" i="20" a="1"/>
  <c r="AN153" i="20" s="1"/>
  <c r="AN60" i="20" s="1"/>
  <c r="J175" i="20" a="1"/>
  <c r="J175" i="20" s="1"/>
  <c r="J158" i="20" a="1"/>
  <c r="J158" i="20" s="1"/>
  <c r="J65" i="20" s="1"/>
  <c r="AR187" i="20" a="1"/>
  <c r="AR187" i="20" s="1"/>
  <c r="AR94" i="20" s="1"/>
  <c r="AB134" i="20" a="1"/>
  <c r="AB134" i="20" s="1"/>
  <c r="AB41" i="20" s="1"/>
  <c r="AE175" i="20" a="1"/>
  <c r="AE175" i="20" s="1"/>
  <c r="AE82" i="20" s="1"/>
  <c r="AV140" i="20" a="1"/>
  <c r="AV140" i="20" s="1"/>
  <c r="AV47" i="20" s="1"/>
  <c r="O158" i="20" a="1"/>
  <c r="O158" i="20" s="1"/>
  <c r="O65" i="20" s="1"/>
  <c r="AK133" i="20" a="1"/>
  <c r="AK133" i="20" s="1"/>
  <c r="AK40" i="20" s="1"/>
  <c r="AJ59" i="34"/>
  <c r="AK52" i="34"/>
  <c r="DI4" i="34"/>
  <c r="DJ4" i="34" s="1"/>
  <c r="DK4" i="34" s="1"/>
  <c r="DL4" i="34" s="1"/>
  <c r="DM3" i="34"/>
  <c r="AC49" i="34"/>
  <c r="AC18" i="34"/>
  <c r="AC36" i="34"/>
  <c r="AC17" i="34"/>
  <c r="AC47" i="34"/>
  <c r="AC19" i="34"/>
  <c r="H47" i="20"/>
  <c r="AE6" i="34"/>
  <c r="AE14" i="34"/>
  <c r="AE24" i="34" s="1"/>
  <c r="AF7" i="34"/>
  <c r="AF60" i="34"/>
  <c r="AF58" i="34" s="1"/>
  <c r="AF20" i="34" s="1"/>
  <c r="AG55" i="34"/>
  <c r="E50" i="20"/>
  <c r="AN36" i="20"/>
  <c r="E94" i="20"/>
  <c r="E92" i="20"/>
  <c r="AH82" i="20"/>
  <c r="E42" i="20"/>
  <c r="U47" i="20"/>
  <c r="E54" i="20"/>
  <c r="E62" i="20"/>
  <c r="AG82" i="20"/>
  <c r="F82" i="20"/>
  <c r="AS95" i="20"/>
  <c r="AR36" i="20"/>
  <c r="R36" i="20"/>
  <c r="Z36" i="20"/>
  <c r="S47" i="20"/>
  <c r="AE108" i="20"/>
  <c r="AS36" i="20"/>
  <c r="K47" i="20"/>
  <c r="AA36" i="20"/>
  <c r="AK60" i="20"/>
  <c r="E76" i="20"/>
  <c r="AJ36" i="20"/>
  <c r="J82" i="20"/>
  <c r="E40" i="20"/>
  <c r="Q203" i="20" a="1"/>
  <c r="Q203" i="20" s="1"/>
  <c r="Q110" i="20" s="1"/>
  <c r="L179" i="20" a="1"/>
  <c r="L179" i="20" s="1"/>
  <c r="L86" i="20" s="1"/>
  <c r="O179" i="20" a="1"/>
  <c r="O179" i="20" s="1"/>
  <c r="O86" i="20" s="1"/>
  <c r="N155" i="20" a="1"/>
  <c r="N155" i="20" s="1"/>
  <c r="N62" i="20" s="1"/>
  <c r="AK195" i="20" a="1"/>
  <c r="AK195" i="20" s="1"/>
  <c r="AK102" i="20" s="1"/>
  <c r="AD130" i="20" a="1"/>
  <c r="AD130" i="20" s="1"/>
  <c r="AD37" i="20" s="1"/>
  <c r="AN131" i="20" a="1"/>
  <c r="AN131" i="20" s="1"/>
  <c r="AN38" i="20" s="1"/>
  <c r="AJ147" i="20" a="1"/>
  <c r="AJ147" i="20" s="1"/>
  <c r="AJ54" i="20" s="1"/>
  <c r="AK130" i="20" a="1"/>
  <c r="AK130" i="20" s="1"/>
  <c r="AK37" i="20" s="1"/>
  <c r="M190" i="20" a="1"/>
  <c r="M190" i="20" s="1"/>
  <c r="M97" i="20" s="1"/>
  <c r="AI201" i="20" a="1"/>
  <c r="AI201" i="20" s="1"/>
  <c r="X180" i="20" a="1"/>
  <c r="X180" i="20" s="1"/>
  <c r="X87" i="20" s="1"/>
  <c r="J188" i="20" a="1"/>
  <c r="J188" i="20" s="1"/>
  <c r="K200" i="20" a="1"/>
  <c r="K200" i="20" s="1"/>
  <c r="K107" i="20" s="1"/>
  <c r="AC197" i="20" a="1"/>
  <c r="AC197" i="20" s="1"/>
  <c r="AC104" i="20" s="1"/>
  <c r="P192" i="20" a="1"/>
  <c r="P192" i="20" s="1"/>
  <c r="P99" i="20" s="1"/>
  <c r="AV136" i="20" a="1"/>
  <c r="AV136" i="20" s="1"/>
  <c r="AV43" i="20" s="1"/>
  <c r="F155" i="20" a="1"/>
  <c r="F155" i="20" s="1"/>
  <c r="F62" i="20" s="1"/>
  <c r="AI160" i="20" a="1"/>
  <c r="AI160" i="20" s="1"/>
  <c r="AI67" i="20" s="1"/>
  <c r="N127" i="20" a="1"/>
  <c r="N127" i="20" s="1"/>
  <c r="N34" i="20" s="1"/>
  <c r="AI199" i="20" a="1"/>
  <c r="AI199" i="20" s="1"/>
  <c r="AI106" i="20" s="1"/>
  <c r="N150" i="20" a="1"/>
  <c r="N150" i="20" s="1"/>
  <c r="N57" i="20" s="1"/>
  <c r="AE163" i="20" a="1"/>
  <c r="AE163" i="20" s="1"/>
  <c r="AE70" i="20" s="1"/>
  <c r="AO140" i="20" a="1"/>
  <c r="AO140" i="20" s="1"/>
  <c r="E194" i="20" a="1"/>
  <c r="E194" i="20" s="1"/>
  <c r="AE132" i="20" a="1"/>
  <c r="AE132" i="20" s="1"/>
  <c r="AE39" i="20" s="1"/>
  <c r="AQ181" i="20" a="1"/>
  <c r="AQ181" i="20" s="1"/>
  <c r="AQ88" i="20" s="1"/>
  <c r="X200" i="20" a="1"/>
  <c r="X200" i="20" s="1"/>
  <c r="X107" i="20" s="1"/>
  <c r="AG140" i="20" a="1"/>
  <c r="AG140" i="20" s="1"/>
  <c r="AG47" i="20" s="1"/>
  <c r="AR136" i="20" a="1"/>
  <c r="AR136" i="20" s="1"/>
  <c r="AR43" i="20" s="1"/>
  <c r="AV182" i="20" a="1"/>
  <c r="AV182" i="20" s="1"/>
  <c r="AV89" i="20" s="1"/>
  <c r="AL170" i="20" a="1"/>
  <c r="AL170" i="20" s="1"/>
  <c r="AL77" i="20" s="1"/>
  <c r="E189" i="20" a="1"/>
  <c r="E189" i="20" s="1"/>
  <c r="AO133" i="20" a="1"/>
  <c r="AO133" i="20" s="1"/>
  <c r="AO40" i="20" s="1"/>
  <c r="AQ183" i="20" a="1"/>
  <c r="AQ183" i="20" s="1"/>
  <c r="AQ90" i="20" s="1"/>
  <c r="AL142" i="20" a="1"/>
  <c r="AL142" i="20" s="1"/>
  <c r="AL49" i="20" s="1"/>
  <c r="X188" i="20" a="1"/>
  <c r="X188" i="20" s="1"/>
  <c r="AE194" i="20" a="1"/>
  <c r="AE194" i="20" s="1"/>
  <c r="AE101" i="20" s="1"/>
  <c r="I155" i="20" a="1"/>
  <c r="I155" i="20" s="1"/>
  <c r="I62" i="20" s="1"/>
  <c r="Y181" i="20" a="1"/>
  <c r="Y181" i="20" s="1"/>
  <c r="Y88" i="20" s="1"/>
  <c r="AC177" i="20" a="1"/>
  <c r="AC177" i="20" s="1"/>
  <c r="AC84" i="20" s="1"/>
  <c r="Q202" i="20" a="1"/>
  <c r="Q202" i="20" s="1"/>
  <c r="Q109" i="20" s="1"/>
  <c r="N200" i="20" a="1"/>
  <c r="N200" i="20" s="1"/>
  <c r="N107" i="20" s="1"/>
  <c r="AJ157" i="20" a="1"/>
  <c r="AJ157" i="20" s="1"/>
  <c r="AJ64" i="20" s="1"/>
  <c r="M181" i="20" a="1"/>
  <c r="M181" i="20" s="1"/>
  <c r="M88" i="20" s="1"/>
  <c r="W183" i="20" a="1"/>
  <c r="W183" i="20" s="1"/>
  <c r="W90" i="20" s="1"/>
  <c r="Q142" i="20" a="1"/>
  <c r="Q142" i="20" s="1"/>
  <c r="Q49" i="20" s="1"/>
  <c r="H194" i="20" a="1"/>
  <c r="H194" i="20" s="1"/>
  <c r="H101" i="20" s="1"/>
  <c r="AG132" i="20" a="1"/>
  <c r="AG132" i="20" s="1"/>
  <c r="AG39" i="20" s="1"/>
  <c r="Y192" i="20" a="1"/>
  <c r="Y192" i="20" s="1"/>
  <c r="Y99" i="20" s="1"/>
  <c r="AP167" i="20" a="1"/>
  <c r="AP167" i="20" s="1"/>
  <c r="AP74" i="20" s="1"/>
  <c r="AE158" i="20" a="1"/>
  <c r="AE158" i="20" s="1"/>
  <c r="AE65" i="20" s="1"/>
  <c r="AH131" i="20" a="1"/>
  <c r="AH131" i="20" s="1"/>
  <c r="AD202" i="20" a="1"/>
  <c r="AD202" i="20" s="1"/>
  <c r="AD109" i="20" s="1"/>
  <c r="AM142" i="20" a="1"/>
  <c r="AM142" i="20" s="1"/>
  <c r="AM49" i="20" s="1"/>
  <c r="AN141" i="20" a="1"/>
  <c r="AN141" i="20" s="1"/>
  <c r="AN48" i="20" s="1"/>
  <c r="W179" i="20" a="1"/>
  <c r="W179" i="20" s="1"/>
  <c r="W86" i="20" s="1"/>
  <c r="AC157" i="20" a="1"/>
  <c r="AC157" i="20" s="1"/>
  <c r="AC64" i="20" s="1"/>
  <c r="M164" i="20" a="1"/>
  <c r="M164" i="20" s="1"/>
  <c r="M71" i="20" s="1"/>
  <c r="Z201" i="20" a="1"/>
  <c r="Z201" i="20" s="1"/>
  <c r="O144" i="20" a="1"/>
  <c r="O144" i="20" s="1"/>
  <c r="O51" i="20" s="1"/>
  <c r="N199" i="20" a="1"/>
  <c r="N199" i="20" s="1"/>
  <c r="N106" i="20" s="1"/>
  <c r="W142" i="20" a="1"/>
  <c r="W142" i="20" s="1"/>
  <c r="W49" i="20" s="1"/>
  <c r="K186" i="20" a="1"/>
  <c r="K186" i="20" s="1"/>
  <c r="K93" i="20" s="1"/>
  <c r="AK132" i="20" a="1"/>
  <c r="AK132" i="20" s="1"/>
  <c r="AK39" i="20" s="1"/>
  <c r="AF183" i="20" a="1"/>
  <c r="AF183" i="20" s="1"/>
  <c r="AF90" i="20" s="1"/>
  <c r="L177" i="20" a="1"/>
  <c r="L177" i="20" s="1"/>
  <c r="L84" i="20" s="1"/>
  <c r="Q179" i="20" a="1"/>
  <c r="Q179" i="20" s="1"/>
  <c r="Q86" i="20" s="1"/>
  <c r="AL169" i="20" a="1"/>
  <c r="AL169" i="20" s="1"/>
  <c r="AL76" i="20" s="1"/>
  <c r="AK197" i="20" a="1"/>
  <c r="AK197" i="20" s="1"/>
  <c r="AK104" i="20" s="1"/>
  <c r="M147" i="20" a="1"/>
  <c r="M147" i="20" s="1"/>
  <c r="M54" i="20" s="1"/>
  <c r="AM130" i="20" a="1"/>
  <c r="AM130" i="20" s="1"/>
  <c r="AM37" i="20" s="1"/>
  <c r="AF188" i="20" a="1"/>
  <c r="AF188" i="20" s="1"/>
  <c r="AG197" i="20" a="1"/>
  <c r="AG197" i="20" s="1"/>
  <c r="AG104" i="20" s="1"/>
  <c r="AN173" i="20" a="1"/>
  <c r="AN173" i="20" s="1"/>
  <c r="AN80" i="20" s="1"/>
  <c r="AH202" i="20" a="1"/>
  <c r="AH202" i="20" s="1"/>
  <c r="AH109" i="20" s="1"/>
  <c r="O203" i="20" a="1"/>
  <c r="O203" i="20" s="1"/>
  <c r="O110" i="20" s="1"/>
  <c r="T190" i="20" a="1"/>
  <c r="T190" i="20" s="1"/>
  <c r="T97" i="20" s="1"/>
  <c r="W150" i="20" a="1"/>
  <c r="W150" i="20" s="1"/>
  <c r="W57" i="20" s="1"/>
  <c r="AN189" i="20" a="1"/>
  <c r="AN189" i="20" s="1"/>
  <c r="AN96" i="20" s="1"/>
  <c r="P162" i="20" a="1"/>
  <c r="P162" i="20" s="1"/>
  <c r="P69" i="20" s="1"/>
  <c r="L199" i="20" a="1"/>
  <c r="L199" i="20" s="1"/>
  <c r="L106" i="20" s="1"/>
  <c r="AN203" i="20" a="1"/>
  <c r="AN203" i="20" s="1"/>
  <c r="AN110" i="20" s="1"/>
  <c r="M200" i="20" a="1"/>
  <c r="M200" i="20" s="1"/>
  <c r="M107" i="20" s="1"/>
  <c r="AI147" i="20" a="1"/>
  <c r="AI147" i="20" s="1"/>
  <c r="AI54" i="20" s="1"/>
  <c r="AL190" i="20" a="1"/>
  <c r="AL190" i="20" s="1"/>
  <c r="AL97" i="20" s="1"/>
  <c r="AJ148" i="20" a="1"/>
  <c r="AJ148" i="20" s="1"/>
  <c r="AJ55" i="20" s="1"/>
  <c r="AE149" i="20" a="1"/>
  <c r="AE149" i="20" s="1"/>
  <c r="AE56" i="20" s="1"/>
  <c r="T200" i="20" a="1"/>
  <c r="T200" i="20" s="1"/>
  <c r="T107" i="20" s="1"/>
  <c r="AD169" i="20" a="1"/>
  <c r="AD169" i="20" s="1"/>
  <c r="AD76" i="20" s="1"/>
  <c r="X166" i="20" a="1"/>
  <c r="X166" i="20" s="1"/>
  <c r="X73" i="20" s="1"/>
  <c r="J154" i="20" a="1"/>
  <c r="J154" i="20" s="1"/>
  <c r="W188" i="20" a="1"/>
  <c r="W188" i="20" s="1"/>
  <c r="Z172" i="20" a="1"/>
  <c r="Z172" i="20" s="1"/>
  <c r="Z79" i="20" s="1"/>
  <c r="S164" i="20" a="1"/>
  <c r="S164" i="20" s="1"/>
  <c r="S71" i="20" s="1"/>
  <c r="Q199" i="20" a="1"/>
  <c r="Q199" i="20" s="1"/>
  <c r="Q106" i="20" s="1"/>
  <c r="V154" i="20" a="1"/>
  <c r="V154" i="20" s="1"/>
  <c r="T155" i="20" a="1"/>
  <c r="T155" i="20" s="1"/>
  <c r="T62" i="20" s="1"/>
  <c r="X184" i="20" a="1"/>
  <c r="X184" i="20" s="1"/>
  <c r="X91" i="20" s="1"/>
  <c r="N183" i="20" a="1"/>
  <c r="N183" i="20" s="1"/>
  <c r="N90" i="20" s="1"/>
  <c r="AC192" i="20" a="1"/>
  <c r="AC192" i="20" s="1"/>
  <c r="AC99" i="20" s="1"/>
  <c r="F179" i="20" a="1"/>
  <c r="F179" i="20" s="1"/>
  <c r="F86" i="20" s="1"/>
  <c r="AN132" i="20" a="1"/>
  <c r="AN132" i="20" s="1"/>
  <c r="AN39" i="20" s="1"/>
  <c r="AC199" i="20" a="1"/>
  <c r="AC199" i="20" s="1"/>
  <c r="AC106" i="20" s="1"/>
  <c r="AF200" i="20" a="1"/>
  <c r="AF200" i="20" s="1"/>
  <c r="AF107" i="20" s="1"/>
  <c r="AL131" i="20" a="1"/>
  <c r="AL131" i="20" s="1"/>
  <c r="AL38" i="20" s="1"/>
  <c r="J132" i="20" a="1"/>
  <c r="J132" i="20" s="1"/>
  <c r="J39" i="20" s="1"/>
  <c r="AL135" i="20" a="1"/>
  <c r="AL135" i="20" s="1"/>
  <c r="AL42" i="20" s="1"/>
  <c r="AS198" i="20" a="1"/>
  <c r="AS198" i="20" s="1"/>
  <c r="AS105" i="20" s="1"/>
  <c r="N184" i="20" a="1"/>
  <c r="N184" i="20" s="1"/>
  <c r="N91" i="20" s="1"/>
  <c r="AG183" i="20" a="1"/>
  <c r="AG183" i="20" s="1"/>
  <c r="AG90" i="20" s="1"/>
  <c r="P179" i="20" a="1"/>
  <c r="P179" i="20" s="1"/>
  <c r="P86" i="20" s="1"/>
  <c r="K197" i="20" a="1"/>
  <c r="K197" i="20" s="1"/>
  <c r="K104" i="20" s="1"/>
  <c r="Y203" i="20" a="1"/>
  <c r="Y203" i="20" s="1"/>
  <c r="Y110" i="20" s="1"/>
  <c r="R179" i="20" a="1"/>
  <c r="R179" i="20" s="1"/>
  <c r="R86" i="20" s="1"/>
  <c r="AD171" i="20" a="1"/>
  <c r="AD171" i="20" s="1"/>
  <c r="AD78" i="20" s="1"/>
  <c r="R166" i="20" a="1"/>
  <c r="R166" i="20" s="1"/>
  <c r="R73" i="20" s="1"/>
  <c r="AH180" i="20" a="1"/>
  <c r="AH180" i="20" s="1"/>
  <c r="AH87" i="20" s="1"/>
  <c r="W155" i="20" a="1"/>
  <c r="W155" i="20" s="1"/>
  <c r="W62" i="20" s="1"/>
  <c r="AS200" i="20" a="1"/>
  <c r="AS200" i="20" s="1"/>
  <c r="AS107" i="20" s="1"/>
  <c r="AP141" i="20" a="1"/>
  <c r="AP141" i="20" s="1"/>
  <c r="AP48" i="20" s="1"/>
  <c r="AI132" i="20" a="1"/>
  <c r="AI132" i="20" s="1"/>
  <c r="AI39" i="20" s="1"/>
  <c r="AN149" i="20" a="1"/>
  <c r="AN149" i="20" s="1"/>
  <c r="AN56" i="20" s="1"/>
  <c r="U162" i="20" a="1"/>
  <c r="U162" i="20" s="1"/>
  <c r="U69" i="20" s="1"/>
  <c r="E145" i="20" a="1"/>
  <c r="E145" i="20" s="1"/>
  <c r="E52" i="20" s="1"/>
  <c r="I194" i="20" a="1"/>
  <c r="I194" i="20" s="1"/>
  <c r="I101" i="20" s="1"/>
  <c r="Q144" i="20" a="1"/>
  <c r="Q144" i="20" s="1"/>
  <c r="Q51" i="20" s="1"/>
  <c r="AM197" i="20" a="1"/>
  <c r="AM197" i="20" s="1"/>
  <c r="AM104" i="20" s="1"/>
  <c r="AB192" i="20" a="1"/>
  <c r="AB192" i="20" s="1"/>
  <c r="AB99" i="20" s="1"/>
  <c r="AE157" i="20" a="1"/>
  <c r="AE157" i="20" s="1"/>
  <c r="AE64" i="20" s="1"/>
  <c r="Q162" i="20" a="1"/>
  <c r="Q162" i="20" s="1"/>
  <c r="Q69" i="20" s="1"/>
  <c r="AB188" i="20" a="1"/>
  <c r="AB188" i="20" s="1"/>
  <c r="X177" i="20" a="1"/>
  <c r="X177" i="20" s="1"/>
  <c r="X84" i="20" s="1"/>
  <c r="Q164" i="20" a="1"/>
  <c r="Q164" i="20" s="1"/>
  <c r="Q71" i="20" s="1"/>
  <c r="N179" i="20" a="1"/>
  <c r="N179" i="20" s="1"/>
  <c r="N86" i="20" s="1"/>
  <c r="G194" i="20" a="1"/>
  <c r="G194" i="20" s="1"/>
  <c r="G101" i="20" s="1"/>
  <c r="L145" i="20" a="1"/>
  <c r="L145" i="20" s="1"/>
  <c r="L52" i="20" s="1"/>
  <c r="E192" i="20" a="1"/>
  <c r="E192" i="20" s="1"/>
  <c r="I154" i="20" a="1"/>
  <c r="I154" i="20" s="1"/>
  <c r="AC147" i="20" a="1"/>
  <c r="AC147" i="20" s="1"/>
  <c r="AC54" i="20" s="1"/>
  <c r="AQ192" i="20" a="1"/>
  <c r="AQ192" i="20" s="1"/>
  <c r="AQ99" i="20" s="1"/>
  <c r="AE181" i="20" a="1"/>
  <c r="AE181" i="20" s="1"/>
  <c r="AE88" i="20" s="1"/>
  <c r="AR141" i="20" a="1"/>
  <c r="AR141" i="20" s="1"/>
  <c r="AR48" i="20" s="1"/>
  <c r="S192" i="20" a="1"/>
  <c r="S192" i="20" s="1"/>
  <c r="S99" i="20" s="1"/>
  <c r="AC149" i="20" a="1"/>
  <c r="AC149" i="20" s="1"/>
  <c r="AC56" i="20" s="1"/>
  <c r="AH143" i="20" a="1"/>
  <c r="AH143" i="20" s="1"/>
  <c r="AH50" i="20" s="1"/>
  <c r="AD158" i="20" a="1"/>
  <c r="AD158" i="20" s="1"/>
  <c r="AD65" i="20" s="1"/>
  <c r="AL155" i="20" a="1"/>
  <c r="AL155" i="20" s="1"/>
  <c r="AL62" i="20" s="1"/>
  <c r="AO182" i="20" a="1"/>
  <c r="AO182" i="20" s="1"/>
  <c r="AO89" i="20" s="1"/>
  <c r="AJ150" i="20" a="1"/>
  <c r="AJ150" i="20" s="1"/>
  <c r="AJ57" i="20" s="1"/>
  <c r="I176" i="20" a="1"/>
  <c r="I176" i="20" s="1"/>
  <c r="I83" i="20" s="1"/>
  <c r="AN161" i="20" a="1"/>
  <c r="AN161" i="20" s="1"/>
  <c r="AN68" i="20" s="1"/>
  <c r="AP169" i="20" a="1"/>
  <c r="AP169" i="20" s="1"/>
  <c r="AP76" i="20" s="1"/>
  <c r="I142" i="20" a="1"/>
  <c r="I142" i="20" s="1"/>
  <c r="AA179" i="20" a="1"/>
  <c r="AA179" i="20" s="1"/>
  <c r="AA86" i="20" s="1"/>
  <c r="AJ181" i="20" a="1"/>
  <c r="AJ181" i="20" s="1"/>
  <c r="AJ88" i="20" s="1"/>
  <c r="AC162" i="20" a="1"/>
  <c r="AC162" i="20" s="1"/>
  <c r="AC69" i="20" s="1"/>
  <c r="AG164" i="20" a="1"/>
  <c r="AG164" i="20" s="1"/>
  <c r="AG71" i="20" s="1"/>
  <c r="AJ130" i="20" a="1"/>
  <c r="AJ130" i="20" s="1"/>
  <c r="AJ37" i="20" s="1"/>
  <c r="AB150" i="20" a="1"/>
  <c r="AB150" i="20" s="1"/>
  <c r="AB57" i="20" s="1"/>
  <c r="AQ203" i="20" a="1"/>
  <c r="AQ203" i="20" s="1"/>
  <c r="AQ110" i="20" s="1"/>
  <c r="AA190" i="20" a="1"/>
  <c r="AA190" i="20" s="1"/>
  <c r="AA97" i="20" s="1"/>
  <c r="O184" i="20" a="1"/>
  <c r="O184" i="20" s="1"/>
  <c r="O91" i="20" s="1"/>
  <c r="AM140" i="20" a="1"/>
  <c r="AM140" i="20" s="1"/>
  <c r="AD183" i="20" a="1"/>
  <c r="AD183" i="20" s="1"/>
  <c r="AD90" i="20" s="1"/>
  <c r="S190" i="20" a="1"/>
  <c r="S190" i="20" s="1"/>
  <c r="S97" i="20" s="1"/>
  <c r="S142" i="20" a="1"/>
  <c r="S142" i="20" s="1"/>
  <c r="S49" i="20" s="1"/>
  <c r="AN144" i="20" a="1"/>
  <c r="AN144" i="20" s="1"/>
  <c r="AN51" i="20" s="1"/>
  <c r="H162" i="20" a="1"/>
  <c r="H162" i="20" s="1"/>
  <c r="H69" i="20" s="1"/>
  <c r="AQ143" i="20" a="1"/>
  <c r="AQ143" i="20" s="1"/>
  <c r="AQ50" i="20" s="1"/>
  <c r="AL163" i="20" a="1"/>
  <c r="AL163" i="20" s="1"/>
  <c r="AL70" i="20" s="1"/>
  <c r="F184" i="20" a="1"/>
  <c r="F184" i="20" s="1"/>
  <c r="F91" i="20" s="1"/>
  <c r="AD140" i="20" a="1"/>
  <c r="AD140" i="20" s="1"/>
  <c r="Z199" i="20" a="1"/>
  <c r="Z199" i="20" s="1"/>
  <c r="Z106" i="20" s="1"/>
  <c r="AE180" i="20" a="1"/>
  <c r="AE180" i="20" s="1"/>
  <c r="AE87" i="20" s="1"/>
  <c r="AE192" i="20" a="1"/>
  <c r="AE192" i="20" s="1"/>
  <c r="AE99" i="20" s="1"/>
  <c r="Q163" i="20" a="1"/>
  <c r="Q163" i="20" s="1"/>
  <c r="Q70" i="20" s="1"/>
  <c r="E184" i="20" a="1"/>
  <c r="E184" i="20" s="1"/>
  <c r="F200" i="20" a="1"/>
  <c r="F200" i="20" s="1"/>
  <c r="F107" i="20" s="1"/>
  <c r="AI145" i="20" a="1"/>
  <c r="AI145" i="20" s="1"/>
  <c r="AI52" i="20" s="1"/>
  <c r="AA155" i="20" a="1"/>
  <c r="AA155" i="20" s="1"/>
  <c r="AA62" i="20" s="1"/>
  <c r="AL172" i="20" a="1"/>
  <c r="AL172" i="20" s="1"/>
  <c r="AL79" i="20" s="1"/>
  <c r="T150" i="20" a="1"/>
  <c r="T150" i="20" s="1"/>
  <c r="T57" i="20" s="1"/>
  <c r="AL184" i="20" a="1"/>
  <c r="AL184" i="20" s="1"/>
  <c r="AL91" i="20" s="1"/>
  <c r="V180" i="20" a="1"/>
  <c r="V180" i="20" s="1"/>
  <c r="V87" i="20" s="1"/>
  <c r="T192" i="20" a="1"/>
  <c r="T192" i="20" s="1"/>
  <c r="T99" i="20" s="1"/>
  <c r="AG149" i="20" a="1"/>
  <c r="AG149" i="20" s="1"/>
  <c r="AG56" i="20" s="1"/>
  <c r="X142" i="20" a="1"/>
  <c r="X142" i="20" s="1"/>
  <c r="X199" i="20" a="1"/>
  <c r="X199" i="20" s="1"/>
  <c r="X106" i="20" s="1"/>
  <c r="U166" i="20" a="1"/>
  <c r="U166" i="20" s="1"/>
  <c r="U73" i="20" s="1"/>
  <c r="AE171" i="20" a="1"/>
  <c r="AE171" i="20" s="1"/>
  <c r="AE78" i="20" s="1"/>
  <c r="AR202" i="20" a="1"/>
  <c r="AR202" i="20" s="1"/>
  <c r="AR109" i="20" s="1"/>
  <c r="AE140" i="20" a="1"/>
  <c r="AE140" i="20" s="1"/>
  <c r="AE47" i="20" s="1"/>
  <c r="AN170" i="20" a="1"/>
  <c r="AN170" i="20" s="1"/>
  <c r="AN77" i="20" s="1"/>
  <c r="G199" i="20" a="1"/>
  <c r="G199" i="20" s="1"/>
  <c r="G106" i="20" s="1"/>
  <c r="J179" i="20" a="1"/>
  <c r="J179" i="20" s="1"/>
  <c r="J86" i="20" s="1"/>
  <c r="N163" i="20" a="1"/>
  <c r="N163" i="20" s="1"/>
  <c r="N70" i="20" s="1"/>
  <c r="AN202" i="20" a="1"/>
  <c r="AN202" i="20" s="1"/>
  <c r="AN109" i="20" s="1"/>
  <c r="AS167" i="20" a="1"/>
  <c r="AS167" i="20" s="1"/>
  <c r="AS74" i="20" s="1"/>
  <c r="AE176" i="20" a="1"/>
  <c r="AE176" i="20" s="1"/>
  <c r="AE83" i="20" s="1"/>
  <c r="P188" i="20" a="1"/>
  <c r="P188" i="20" s="1"/>
  <c r="R201" i="20" a="1"/>
  <c r="R201" i="20" s="1"/>
  <c r="AT202" i="20" a="1"/>
  <c r="AT202" i="20" s="1"/>
  <c r="AT109" i="20" s="1"/>
  <c r="M192" i="20" a="1"/>
  <c r="M192" i="20" s="1"/>
  <c r="M99" i="20" s="1"/>
  <c r="H144" i="20" a="1"/>
  <c r="H144" i="20" s="1"/>
  <c r="H51" i="20" s="1"/>
  <c r="AN142" i="20" a="1"/>
  <c r="AN142" i="20" s="1"/>
  <c r="AN49" i="20" s="1"/>
  <c r="M150" i="20" a="1"/>
  <c r="M150" i="20" s="1"/>
  <c r="M57" i="20" s="1"/>
  <c r="AG143" i="20" a="1"/>
  <c r="AG143" i="20" s="1"/>
  <c r="AG50" i="20" s="1"/>
  <c r="AS144" i="20" a="1"/>
  <c r="AS144" i="20" s="1"/>
  <c r="AS51" i="20" s="1"/>
  <c r="AE196" i="20" a="1"/>
  <c r="AE196" i="20" s="1"/>
  <c r="AE103" i="20" s="1"/>
  <c r="AF179" i="20" a="1"/>
  <c r="AF179" i="20" s="1"/>
  <c r="AF86" i="20" s="1"/>
  <c r="AV167" i="20" a="1"/>
  <c r="AV167" i="20" s="1"/>
  <c r="AV74" i="20" s="1"/>
  <c r="AF140" i="20" a="1"/>
  <c r="AF140" i="20" s="1"/>
  <c r="AF145" i="20" a="1"/>
  <c r="AF145" i="20" s="1"/>
  <c r="AF52" i="20" s="1"/>
  <c r="AQ190" i="20" a="1"/>
  <c r="AQ190" i="20" s="1"/>
  <c r="AQ97" i="20" s="1"/>
  <c r="AH140" i="20" a="1"/>
  <c r="AH140" i="20" s="1"/>
  <c r="AV156" i="20" a="1"/>
  <c r="AV156" i="20" s="1"/>
  <c r="AV63" i="20" s="1"/>
  <c r="AF132" i="20" a="1"/>
  <c r="AF132" i="20" s="1"/>
  <c r="AF39" i="20" s="1"/>
  <c r="L155" i="20" a="1"/>
  <c r="L155" i="20" s="1"/>
  <c r="AG186" i="20" a="1"/>
  <c r="AG186" i="20" s="1"/>
  <c r="AG93" i="20" s="1"/>
  <c r="AV154" i="20" a="1"/>
  <c r="AV154" i="20" s="1"/>
  <c r="AR144" i="20" a="1"/>
  <c r="AR144" i="20" s="1"/>
  <c r="AR51" i="20" s="1"/>
  <c r="K162" i="20" a="1"/>
  <c r="K162" i="20" s="1"/>
  <c r="K69" i="20" s="1"/>
  <c r="X154" i="20" a="1"/>
  <c r="X154" i="20" s="1"/>
  <c r="X61" i="20" s="1"/>
  <c r="AJ172" i="20" a="1"/>
  <c r="AJ172" i="20" s="1"/>
  <c r="AJ79" i="20" s="1"/>
  <c r="AO174" i="20" a="1"/>
  <c r="AO174" i="20" s="1"/>
  <c r="AO81" i="20" s="1"/>
  <c r="O199" i="20" a="1"/>
  <c r="O199" i="20" s="1"/>
  <c r="O106" i="20" s="1"/>
  <c r="AD203" i="20" a="1"/>
  <c r="AD203" i="20" s="1"/>
  <c r="AD110" i="20" s="1"/>
  <c r="AE203" i="20" a="1"/>
  <c r="AE203" i="20" s="1"/>
  <c r="AE110" i="20" s="1"/>
  <c r="AT199" i="20" a="1"/>
  <c r="AT199" i="20" s="1"/>
  <c r="AT106" i="20" s="1"/>
  <c r="AE153" i="20" a="1"/>
  <c r="AE153" i="20" s="1"/>
  <c r="AE60" i="20" s="1"/>
  <c r="W199" i="20" a="1"/>
  <c r="W199" i="20" s="1"/>
  <c r="W106" i="20" s="1"/>
  <c r="AA177" i="20" a="1"/>
  <c r="AA177" i="20" s="1"/>
  <c r="AA84" i="20" s="1"/>
  <c r="R180" i="20" a="1"/>
  <c r="R180" i="20" s="1"/>
  <c r="R87" i="20" s="1"/>
  <c r="N142" i="20" a="1"/>
  <c r="N142" i="20" s="1"/>
  <c r="L164" i="20" a="1"/>
  <c r="L164" i="20" s="1"/>
  <c r="L71" i="20" s="1"/>
  <c r="J145" i="20" a="1"/>
  <c r="J145" i="20" s="1"/>
  <c r="J52" i="20" s="1"/>
  <c r="AR168" i="20" a="1"/>
  <c r="AR168" i="20" s="1"/>
  <c r="AR75" i="20" s="1"/>
  <c r="AB190" i="20" a="1"/>
  <c r="AB190" i="20" s="1"/>
  <c r="AB97" i="20" s="1"/>
  <c r="G132" i="20" a="1"/>
  <c r="G132" i="20" s="1"/>
  <c r="G39" i="20" s="1"/>
  <c r="T162" i="20" a="1"/>
  <c r="T162" i="20" s="1"/>
  <c r="T69" i="20" s="1"/>
  <c r="AJ160" i="20" a="1"/>
  <c r="AJ160" i="20" s="1"/>
  <c r="AJ67" i="20" s="1"/>
  <c r="AE186" i="20" a="1"/>
  <c r="AE186" i="20" s="1"/>
  <c r="AE93" i="20" s="1"/>
  <c r="J183" i="20" a="1"/>
  <c r="J183" i="20" s="1"/>
  <c r="J90" i="20" s="1"/>
  <c r="AI195" i="20" a="1"/>
  <c r="AI195" i="20" s="1"/>
  <c r="AI102" i="20" s="1"/>
  <c r="Q192" i="20" a="1"/>
  <c r="Q192" i="20" s="1"/>
  <c r="Q99" i="20" s="1"/>
  <c r="E190" i="20" a="1"/>
  <c r="E190" i="20" s="1"/>
  <c r="AT135" i="20" a="1"/>
  <c r="AT135" i="20" s="1"/>
  <c r="AT42" i="20" s="1"/>
  <c r="AH130" i="20" a="1"/>
  <c r="AH130" i="20" s="1"/>
  <c r="AH37" i="20" s="1"/>
  <c r="G192" i="20" a="1"/>
  <c r="G192" i="20" s="1"/>
  <c r="G99" i="20" s="1"/>
  <c r="G176" i="20" a="1"/>
  <c r="G176" i="20" s="1"/>
  <c r="G83" i="20" s="1"/>
  <c r="AD184" i="20" a="1"/>
  <c r="AD184" i="20" s="1"/>
  <c r="AD91" i="20" s="1"/>
  <c r="R142" i="20" a="1"/>
  <c r="R142" i="20" s="1"/>
  <c r="R49" i="20" s="1"/>
  <c r="AI203" i="20" a="1"/>
  <c r="AI203" i="20" s="1"/>
  <c r="AI110" i="20" s="1"/>
  <c r="AH150" i="20" a="1"/>
  <c r="AH150" i="20" s="1"/>
  <c r="AH57" i="20" s="1"/>
  <c r="E197" i="20" a="1"/>
  <c r="E197" i="20" s="1"/>
  <c r="AO158" i="20" a="1"/>
  <c r="AO158" i="20" s="1"/>
  <c r="AO65" i="20" s="1"/>
  <c r="AD168" i="20" a="1"/>
  <c r="AD168" i="20" s="1"/>
  <c r="AD75" i="20" s="1"/>
  <c r="AP202" i="20" a="1"/>
  <c r="AP202" i="20" s="1"/>
  <c r="AP109" i="20" s="1"/>
  <c r="AT168" i="20" a="1"/>
  <c r="AT168" i="20" s="1"/>
  <c r="AT75" i="20" s="1"/>
  <c r="H202" i="20" a="1"/>
  <c r="H202" i="20" s="1"/>
  <c r="H109" i="20" s="1"/>
  <c r="I166" i="20" a="1"/>
  <c r="I166" i="20" s="1"/>
  <c r="I73" i="20" s="1"/>
  <c r="N154" i="20" a="1"/>
  <c r="N154" i="20" s="1"/>
  <c r="AP136" i="20" a="1"/>
  <c r="AP136" i="20" s="1"/>
  <c r="AP43" i="20" s="1"/>
  <c r="Q194" i="20" a="1"/>
  <c r="Q194" i="20" s="1"/>
  <c r="Q101" i="20" s="1"/>
  <c r="P199" i="20" a="1"/>
  <c r="P199" i="20" s="1"/>
  <c r="P106" i="20" s="1"/>
  <c r="AM158" i="20" a="1"/>
  <c r="AM158" i="20" s="1"/>
  <c r="AM65" i="20" s="1"/>
  <c r="AI131" i="20" a="1"/>
  <c r="AI131" i="20" s="1"/>
  <c r="AI38" i="20" s="1"/>
  <c r="AH155" i="20" a="1"/>
  <c r="AH155" i="20" s="1"/>
  <c r="AH62" i="20" s="1"/>
  <c r="AC186" i="20" a="1"/>
  <c r="AC186" i="20" s="1"/>
  <c r="AC93" i="20" s="1"/>
  <c r="J128" i="20" a="1"/>
  <c r="J128" i="20" s="1"/>
  <c r="J35" i="20" s="1"/>
  <c r="AQ172" i="20" a="1"/>
  <c r="AQ172" i="20" s="1"/>
  <c r="AQ79" i="20" s="1"/>
  <c r="N192" i="20" a="1"/>
  <c r="N192" i="20" s="1"/>
  <c r="N99" i="20" s="1"/>
  <c r="AC161" i="20" a="1"/>
  <c r="AC161" i="20" s="1"/>
  <c r="AC68" i="20" s="1"/>
  <c r="S154" i="20" a="1"/>
  <c r="S154" i="20" s="1"/>
  <c r="X183" i="20" a="1"/>
  <c r="X183" i="20" s="1"/>
  <c r="X90" i="20" s="1"/>
  <c r="U194" i="20" a="1"/>
  <c r="U194" i="20" s="1"/>
  <c r="U101" i="20" s="1"/>
  <c r="AV145" i="20" a="1"/>
  <c r="AV145" i="20" s="1"/>
  <c r="AV52" i="20" s="1"/>
  <c r="T145" i="20" a="1"/>
  <c r="T145" i="20" s="1"/>
  <c r="T52" i="20" s="1"/>
  <c r="AH160" i="20" a="1"/>
  <c r="AH160" i="20" s="1"/>
  <c r="AH67" i="20" s="1"/>
  <c r="AL195" i="20" a="1"/>
  <c r="AL195" i="20" s="1"/>
  <c r="AL102" i="20" s="1"/>
  <c r="AV199" i="20" a="1"/>
  <c r="AV199" i="20" s="1"/>
  <c r="AV106" i="20" s="1"/>
  <c r="AI158" i="20" a="1"/>
  <c r="AI158" i="20" s="1"/>
  <c r="AI65" i="20" s="1"/>
  <c r="AM195" i="20" a="1"/>
  <c r="AM195" i="20" s="1"/>
  <c r="AM102" i="20" s="1"/>
  <c r="AV144" i="20" a="1"/>
  <c r="AV144" i="20" s="1"/>
  <c r="AV51" i="20" s="1"/>
  <c r="AV168" i="20" a="1"/>
  <c r="AV168" i="20" s="1"/>
  <c r="AV75" i="20" s="1"/>
  <c r="L194" i="20" a="1"/>
  <c r="L194" i="20" s="1"/>
  <c r="L101" i="20" s="1"/>
  <c r="AP168" i="20" a="1"/>
  <c r="AP168" i="20" s="1"/>
  <c r="AP75" i="20" s="1"/>
  <c r="L168" i="20" a="1"/>
  <c r="L168" i="20" s="1"/>
  <c r="L75" i="20" s="1"/>
  <c r="AF180" i="20" a="1"/>
  <c r="AF180" i="20" s="1"/>
  <c r="AF87" i="20" s="1"/>
  <c r="AP199" i="20" a="1"/>
  <c r="AP199" i="20" s="1"/>
  <c r="AP106" i="20" s="1"/>
  <c r="AE202" i="20" a="1"/>
  <c r="AE202" i="20" s="1"/>
  <c r="AE109" i="20" s="1"/>
  <c r="E181" i="20" a="1"/>
  <c r="E181" i="20" s="1"/>
  <c r="AS179" i="20" a="1"/>
  <c r="AS179" i="20" s="1"/>
  <c r="AS86" i="20" s="1"/>
  <c r="V179" i="20" a="1"/>
  <c r="V179" i="20" s="1"/>
  <c r="V86" i="20" s="1"/>
  <c r="O164" i="20" a="1"/>
  <c r="O164" i="20" s="1"/>
  <c r="O71" i="20" s="1"/>
  <c r="AN156" i="20" a="1"/>
  <c r="AN156" i="20" s="1"/>
  <c r="AN63" i="20" s="1"/>
  <c r="AK194" i="20" a="1"/>
  <c r="AK194" i="20" s="1"/>
  <c r="AK101" i="20" s="1"/>
  <c r="T154" i="20" a="1"/>
  <c r="T154" i="20" s="1"/>
  <c r="T61" i="20" s="1"/>
  <c r="X181" i="20" a="1"/>
  <c r="X181" i="20" s="1"/>
  <c r="X88" i="20" s="1"/>
  <c r="AS175" i="20" a="1"/>
  <c r="AS175" i="20" s="1"/>
  <c r="AD154" i="20" a="1"/>
  <c r="AD154" i="20" s="1"/>
  <c r="AD61" i="20" s="1"/>
  <c r="Y180" i="20" a="1"/>
  <c r="Y180" i="20" s="1"/>
  <c r="Y87" i="20" s="1"/>
  <c r="AD156" i="20" a="1"/>
  <c r="AD156" i="20" s="1"/>
  <c r="AD63" i="20" s="1"/>
  <c r="H163" i="20" a="1"/>
  <c r="H163" i="20" s="1"/>
  <c r="H70" i="20" s="1"/>
  <c r="E201" i="20" a="1"/>
  <c r="E201" i="20" s="1"/>
  <c r="Q150" i="20" a="1"/>
  <c r="Q150" i="20" s="1"/>
  <c r="Q57" i="20" s="1"/>
  <c r="AD173" i="20" a="1"/>
  <c r="AD173" i="20" s="1"/>
  <c r="AD80" i="20" s="1"/>
  <c r="AM172" i="20" a="1"/>
  <c r="AM172" i="20" s="1"/>
  <c r="AM79" i="20" s="1"/>
  <c r="W145" i="20" a="1"/>
  <c r="W145" i="20" s="1"/>
  <c r="W52" i="20" s="1"/>
  <c r="Q197" i="20" a="1"/>
  <c r="Q197" i="20" s="1"/>
  <c r="Q104" i="20" s="1"/>
  <c r="AN175" i="20" a="1"/>
  <c r="AN175" i="20" s="1"/>
  <c r="AC170" i="20" a="1"/>
  <c r="AC170" i="20" s="1"/>
  <c r="AC77" i="20" s="1"/>
  <c r="F162" i="20" a="1"/>
  <c r="F162" i="20" s="1"/>
  <c r="F69" i="20" s="1"/>
  <c r="AI149" i="20" a="1"/>
  <c r="AI149" i="20" s="1"/>
  <c r="AI56" i="20" s="1"/>
  <c r="R177" i="20" a="1"/>
  <c r="R177" i="20" s="1"/>
  <c r="R84" i="20" s="1"/>
  <c r="AK158" i="20" a="1"/>
  <c r="AK158" i="20" s="1"/>
  <c r="AK65" i="20" s="1"/>
  <c r="I184" i="20" a="1"/>
  <c r="I184" i="20" s="1"/>
  <c r="I91" i="20" s="1"/>
  <c r="AI173" i="20" a="1"/>
  <c r="AI173" i="20" s="1"/>
  <c r="AI80" i="20" s="1"/>
  <c r="AH181" i="20" a="1"/>
  <c r="AH181" i="20" s="1"/>
  <c r="AH88" i="20" s="1"/>
  <c r="AD197" i="20" a="1"/>
  <c r="AD197" i="20" s="1"/>
  <c r="AD104" i="20" s="1"/>
  <c r="H183" i="20" a="1"/>
  <c r="H183" i="20" s="1"/>
  <c r="H90" i="20" s="1"/>
  <c r="R200" i="20" a="1"/>
  <c r="R200" i="20" s="1"/>
  <c r="R107" i="20" s="1"/>
  <c r="V155" i="20" a="1"/>
  <c r="V155" i="20" s="1"/>
  <c r="V62" i="20" s="1"/>
  <c r="E188" i="20" a="1"/>
  <c r="E188" i="20" s="1"/>
  <c r="AO135" i="20" a="1"/>
  <c r="AO135" i="20" s="1"/>
  <c r="AO42" i="20" s="1"/>
  <c r="AT183" i="20" a="1"/>
  <c r="AT183" i="20" s="1"/>
  <c r="AT90" i="20" s="1"/>
  <c r="E162" i="20" a="1"/>
  <c r="E162" i="20" s="1"/>
  <c r="AJ196" i="20" a="1"/>
  <c r="AJ196" i="20" s="1"/>
  <c r="AJ103" i="20" s="1"/>
  <c r="AP200" i="20" a="1"/>
  <c r="AP200" i="20" s="1"/>
  <c r="AP107" i="20" s="1"/>
  <c r="AI155" i="20" a="1"/>
  <c r="AI155" i="20" s="1"/>
  <c r="AI62" i="20" s="1"/>
  <c r="L188" i="20" a="1"/>
  <c r="L188" i="20" s="1"/>
  <c r="AC163" i="20" a="1"/>
  <c r="AC163" i="20" s="1"/>
  <c r="AC70" i="20" s="1"/>
  <c r="AR156" i="20" a="1"/>
  <c r="AR156" i="20" s="1"/>
  <c r="AR63" i="20" s="1"/>
  <c r="N177" i="20" a="1"/>
  <c r="N177" i="20" s="1"/>
  <c r="N84" i="20" s="1"/>
  <c r="V194" i="20" a="1"/>
  <c r="V194" i="20" s="1"/>
  <c r="V101" i="20" s="1"/>
  <c r="AA144" i="20" a="1"/>
  <c r="AA144" i="20" s="1"/>
  <c r="AA51" i="20" s="1"/>
  <c r="AB201" i="20" a="1"/>
  <c r="AB201" i="20" s="1"/>
  <c r="U184" i="20" a="1"/>
  <c r="U184" i="20" s="1"/>
  <c r="U91" i="20" s="1"/>
  <c r="E199" i="20" a="1"/>
  <c r="E199" i="20" s="1"/>
  <c r="M170" i="20" a="1"/>
  <c r="M170" i="20" s="1"/>
  <c r="M77" i="20" s="1"/>
  <c r="W194" i="20" a="1"/>
  <c r="W194" i="20" s="1"/>
  <c r="W101" i="20" s="1"/>
  <c r="K144" i="20" a="1"/>
  <c r="K144" i="20" s="1"/>
  <c r="K51" i="20" s="1"/>
  <c r="AL176" i="20" a="1"/>
  <c r="AL176" i="20" s="1"/>
  <c r="AL83" i="20" s="1"/>
  <c r="AF193" i="20" a="1"/>
  <c r="AF193" i="20" s="1"/>
  <c r="AF100" i="20" s="1"/>
  <c r="AN130" i="20" a="1"/>
  <c r="AN130" i="20" s="1"/>
  <c r="AN37" i="20" s="1"/>
  <c r="AB179" i="20" a="1"/>
  <c r="AB179" i="20" s="1"/>
  <c r="AB86" i="20" s="1"/>
  <c r="Y199" i="20" a="1"/>
  <c r="Y199" i="20" s="1"/>
  <c r="Y106" i="20" s="1"/>
  <c r="AG150" i="20" a="1"/>
  <c r="AG150" i="20" s="1"/>
  <c r="AG57" i="20" s="1"/>
  <c r="AG188" i="20" a="1"/>
  <c r="AG188" i="20" s="1"/>
  <c r="AJ158" i="20" a="1"/>
  <c r="AJ158" i="20" s="1"/>
  <c r="AJ65" i="20" s="1"/>
  <c r="R190" i="20" a="1"/>
  <c r="R190" i="20" s="1"/>
  <c r="R97" i="20" s="1"/>
  <c r="AG158" i="20" a="1"/>
  <c r="AG158" i="20" s="1"/>
  <c r="AG65" i="20" s="1"/>
  <c r="AC190" i="20" a="1"/>
  <c r="AC190" i="20" s="1"/>
  <c r="AC97" i="20" s="1"/>
  <c r="Q200" i="20" a="1"/>
  <c r="Q200" i="20" s="1"/>
  <c r="Q107" i="20" s="1"/>
  <c r="Z192" i="20" a="1"/>
  <c r="Z192" i="20" s="1"/>
  <c r="Z99" i="20" s="1"/>
  <c r="V199" i="20" a="1"/>
  <c r="V199" i="20" s="1"/>
  <c r="V106" i="20" s="1"/>
  <c r="AG185" i="20" a="1"/>
  <c r="AG185" i="20" s="1"/>
  <c r="AG92" i="20" s="1"/>
  <c r="H192" i="20" a="1"/>
  <c r="H192" i="20" s="1"/>
  <c r="H99" i="20" s="1"/>
  <c r="AL132" i="20" a="1"/>
  <c r="AL132" i="20" s="1"/>
  <c r="AL39" i="20" s="1"/>
  <c r="AN176" i="20" a="1"/>
  <c r="AN176" i="20" s="1"/>
  <c r="AN83" i="20" s="1"/>
  <c r="AA163" i="20" a="1"/>
  <c r="AA163" i="20" s="1"/>
  <c r="AA70" i="20" s="1"/>
  <c r="AN179" i="20" a="1"/>
  <c r="AN179" i="20" s="1"/>
  <c r="AN86" i="20" s="1"/>
  <c r="T181" i="20" a="1"/>
  <c r="T181" i="20" s="1"/>
  <c r="T88" i="20" s="1"/>
  <c r="O188" i="20" a="1"/>
  <c r="O188" i="20" s="1"/>
  <c r="AG196" i="20" a="1"/>
  <c r="AG196" i="20" s="1"/>
  <c r="AG103" i="20" s="1"/>
  <c r="T194" i="20" a="1"/>
  <c r="T194" i="20" s="1"/>
  <c r="T101" i="20" s="1"/>
  <c r="AB166" i="20" a="1"/>
  <c r="AB166" i="20" s="1"/>
  <c r="AB73" i="20" s="1"/>
  <c r="G197" i="20" a="1"/>
  <c r="G197" i="20" s="1"/>
  <c r="G104" i="20" s="1"/>
  <c r="I179" i="20" a="1"/>
  <c r="I179" i="20" s="1"/>
  <c r="I86" i="20" s="1"/>
  <c r="AE164" i="20" a="1"/>
  <c r="AE164" i="20" s="1"/>
  <c r="AE71" i="20" s="1"/>
  <c r="AD160" i="20" a="1"/>
  <c r="AD160" i="20" s="1"/>
  <c r="AD67" i="20" s="1"/>
  <c r="K194" i="20" a="1"/>
  <c r="K194" i="20" s="1"/>
  <c r="K101" i="20" s="1"/>
  <c r="AC183" i="20" a="1"/>
  <c r="AC183" i="20" s="1"/>
  <c r="AC90" i="20" s="1"/>
  <c r="W163" i="20" a="1"/>
  <c r="W163" i="20" s="1"/>
  <c r="W70" i="20" s="1"/>
  <c r="L167" i="20" a="1"/>
  <c r="L167" i="20" s="1"/>
  <c r="L74" i="20" s="1"/>
  <c r="AT136" i="20" a="1"/>
  <c r="AT136" i="20" s="1"/>
  <c r="AT43" i="20" s="1"/>
  <c r="U155" i="20" a="1"/>
  <c r="U155" i="20" s="1"/>
  <c r="U62" i="20" s="1"/>
  <c r="Y188" i="20" a="1"/>
  <c r="Y188" i="20" s="1"/>
  <c r="F194" i="20" a="1"/>
  <c r="F194" i="20" s="1"/>
  <c r="F101" i="20" s="1"/>
  <c r="AF201" i="20" a="1"/>
  <c r="AF201" i="20" s="1"/>
  <c r="AE179" i="20" a="1"/>
  <c r="AE179" i="20" s="1"/>
  <c r="AE86" i="20" s="1"/>
  <c r="AF142" i="20" a="1"/>
  <c r="AF142" i="20" s="1"/>
  <c r="AF49" i="20" s="1"/>
  <c r="M199" i="20" a="1"/>
  <c r="M199" i="20" s="1"/>
  <c r="M106" i="20" s="1"/>
  <c r="AC172" i="20" a="1"/>
  <c r="AC172" i="20" s="1"/>
  <c r="AC79" i="20" s="1"/>
  <c r="N145" i="20" a="1"/>
  <c r="N145" i="20" s="1"/>
  <c r="N52" i="20" s="1"/>
  <c r="AF197" i="20" a="1"/>
  <c r="AF197" i="20" s="1"/>
  <c r="AF104" i="20" s="1"/>
  <c r="AC129" i="20" a="1"/>
  <c r="AC129" i="20" s="1"/>
  <c r="AJ151" i="20" a="1"/>
  <c r="AJ151" i="20" s="1"/>
  <c r="AJ58" i="20" s="1"/>
  <c r="AO144" i="20" a="1"/>
  <c r="AO144" i="20" s="1"/>
  <c r="AO51" i="20" s="1"/>
  <c r="G184" i="20" a="1"/>
  <c r="G184" i="20" s="1"/>
  <c r="G91" i="20" s="1"/>
  <c r="O180" i="20" a="1"/>
  <c r="O180" i="20" s="1"/>
  <c r="O87" i="20" s="1"/>
  <c r="AN193" i="20" a="1"/>
  <c r="AN193" i="20" s="1"/>
  <c r="AN100" i="20" s="1"/>
  <c r="AS154" i="20" a="1"/>
  <c r="AS154" i="20" s="1"/>
  <c r="AT169" i="20" a="1"/>
  <c r="AT169" i="20" s="1"/>
  <c r="AT76" i="20" s="1"/>
  <c r="AK193" i="20" a="1"/>
  <c r="AK193" i="20" s="1"/>
  <c r="AK100" i="20" s="1"/>
  <c r="O163" i="20" a="1"/>
  <c r="O163" i="20" s="1"/>
  <c r="O70" i="20" s="1"/>
  <c r="H201" i="20" a="1"/>
  <c r="H201" i="20" s="1"/>
  <c r="AU157" i="20" a="1"/>
  <c r="AU157" i="20" s="1"/>
  <c r="AU64" i="20" s="1"/>
  <c r="V173" i="20" a="1"/>
  <c r="V173" i="20" s="1"/>
  <c r="V80" i="20" s="1"/>
  <c r="AT179" i="20" a="1"/>
  <c r="AT179" i="20" s="1"/>
  <c r="AT86" i="20" s="1"/>
  <c r="AG189" i="20" a="1"/>
  <c r="AG189" i="20" s="1"/>
  <c r="AG96" i="20" s="1"/>
  <c r="AK151" i="20" a="1"/>
  <c r="AK151" i="20" s="1"/>
  <c r="AK58" i="20" s="1"/>
  <c r="AO172" i="20" a="1"/>
  <c r="AO172" i="20" s="1"/>
  <c r="AO79" i="20" s="1"/>
  <c r="AM131" i="20" a="1"/>
  <c r="AM131" i="20" s="1"/>
  <c r="AM38" i="20" s="1"/>
  <c r="V200" i="20" a="1"/>
  <c r="V200" i="20" s="1"/>
  <c r="V107" i="20" s="1"/>
  <c r="W192" i="20" a="1"/>
  <c r="W192" i="20" s="1"/>
  <c r="W99" i="20" s="1"/>
  <c r="H180" i="20" a="1"/>
  <c r="H180" i="20" s="1"/>
  <c r="H87" i="20" s="1"/>
  <c r="AF163" i="20" a="1"/>
  <c r="AF163" i="20" s="1"/>
  <c r="AF70" i="20" s="1"/>
  <c r="T203" i="20" a="1"/>
  <c r="T203" i="20" s="1"/>
  <c r="T110" i="20" s="1"/>
  <c r="AF141" i="20" a="1"/>
  <c r="AF141" i="20" s="1"/>
  <c r="AF48" i="20" s="1"/>
  <c r="Y166" i="20" a="1"/>
  <c r="Y166" i="20" s="1"/>
  <c r="Y73" i="20" s="1"/>
  <c r="N162" i="20" a="1"/>
  <c r="N162" i="20" s="1"/>
  <c r="N69" i="20" s="1"/>
  <c r="AH147" i="20" a="1"/>
  <c r="AH147" i="20" s="1"/>
  <c r="AH54" i="20" s="1"/>
  <c r="V184" i="20" a="1"/>
  <c r="V184" i="20" s="1"/>
  <c r="V91" i="20" s="1"/>
  <c r="AV190" i="20" a="1"/>
  <c r="AV190" i="20" s="1"/>
  <c r="AV97" i="20" s="1"/>
  <c r="AG161" i="20" a="1"/>
  <c r="AG161" i="20" s="1"/>
  <c r="AG68" i="20" s="1"/>
  <c r="AM148" i="20" a="1"/>
  <c r="AM148" i="20" s="1"/>
  <c r="AM55" i="20" s="1"/>
  <c r="AO200" i="20" a="1"/>
  <c r="AO200" i="20" s="1"/>
  <c r="AO107" i="20" s="1"/>
  <c r="AG172" i="20" a="1"/>
  <c r="AG172" i="20" s="1"/>
  <c r="AG79" i="20" s="1"/>
  <c r="AJ170" i="20" a="1"/>
  <c r="AJ170" i="20" s="1"/>
  <c r="AJ77" i="20" s="1"/>
  <c r="Y142" i="20" a="1"/>
  <c r="Y142" i="20" s="1"/>
  <c r="Y49" i="20" s="1"/>
  <c r="AF164" i="20" a="1"/>
  <c r="AF164" i="20" s="1"/>
  <c r="AF71" i="20" s="1"/>
  <c r="AP144" i="20" a="1"/>
  <c r="AP144" i="20" s="1"/>
  <c r="AP51" i="20" s="1"/>
  <c r="AB184" i="20" a="1"/>
  <c r="AB184" i="20" s="1"/>
  <c r="AB91" i="20" s="1"/>
  <c r="Y200" i="20" a="1"/>
  <c r="Y200" i="20" s="1"/>
  <c r="Y107" i="20" s="1"/>
  <c r="AH151" i="20" a="1"/>
  <c r="AH151" i="20" s="1"/>
  <c r="AH58" i="20" s="1"/>
  <c r="AF147" i="20" a="1"/>
  <c r="AF147" i="20" s="1"/>
  <c r="AF54" i="20" s="1"/>
  <c r="AR183" i="20" a="1"/>
  <c r="AR183" i="20" s="1"/>
  <c r="AR90" i="20" s="1"/>
  <c r="AE172" i="20" a="1"/>
  <c r="AE172" i="20" s="1"/>
  <c r="AE79" i="20" s="1"/>
  <c r="Q184" i="20" a="1"/>
  <c r="Q184" i="20" s="1"/>
  <c r="Q91" i="20" s="1"/>
  <c r="I203" i="20" a="1"/>
  <c r="I203" i="20" s="1"/>
  <c r="I110" i="20" s="1"/>
  <c r="AC154" i="20" a="1"/>
  <c r="AC154" i="20" s="1"/>
  <c r="AF151" i="20" a="1"/>
  <c r="AF151" i="20" s="1"/>
  <c r="AF58" i="20" s="1"/>
  <c r="AS135" i="20" a="1"/>
  <c r="AS135" i="20" s="1"/>
  <c r="AS42" i="20" s="1"/>
  <c r="E182" i="20" a="1"/>
  <c r="E182" i="20" s="1"/>
  <c r="E89" i="20" s="1"/>
  <c r="AJ162" i="20" a="1"/>
  <c r="AJ162" i="20" s="1"/>
  <c r="AJ69" i="20" s="1"/>
  <c r="AI156" i="20" a="1"/>
  <c r="AI156" i="20" s="1"/>
  <c r="AI63" i="20" s="1"/>
  <c r="M184" i="20" a="1"/>
  <c r="M184" i="20" s="1"/>
  <c r="M91" i="20" s="1"/>
  <c r="G164" i="20" a="1"/>
  <c r="G164" i="20" s="1"/>
  <c r="G71" i="20" s="1"/>
  <c r="Q177" i="20" a="1"/>
  <c r="Q177" i="20" s="1"/>
  <c r="Q84" i="20" s="1"/>
  <c r="P127" i="20" a="1"/>
  <c r="P127" i="20" s="1"/>
  <c r="P34" i="20" s="1"/>
  <c r="AI196" i="20" a="1"/>
  <c r="AI196" i="20" s="1"/>
  <c r="AI103" i="20" s="1"/>
  <c r="AC144" i="20" a="1"/>
  <c r="AC144" i="20" s="1"/>
  <c r="AC51" i="20" s="1"/>
  <c r="AM143" i="20" a="1"/>
  <c r="AM143" i="20" s="1"/>
  <c r="AM50" i="20" s="1"/>
  <c r="AO149" i="20" a="1"/>
  <c r="AO149" i="20" s="1"/>
  <c r="AO56" i="20" s="1"/>
  <c r="AK196" i="20" a="1"/>
  <c r="AK196" i="20" s="1"/>
  <c r="AK103" i="20" s="1"/>
  <c r="AC141" i="20" a="1"/>
  <c r="AC141" i="20" s="1"/>
  <c r="AC48" i="20" s="1"/>
  <c r="AU156" i="20" a="1"/>
  <c r="AU156" i="20" s="1"/>
  <c r="AU63" i="20" s="1"/>
  <c r="AU179" i="20" a="1"/>
  <c r="AU179" i="20" s="1"/>
  <c r="AU86" i="20" s="1"/>
  <c r="AG176" i="20" a="1"/>
  <c r="AG176" i="20" s="1"/>
  <c r="AG83" i="20" s="1"/>
  <c r="AE199" i="20" a="1"/>
  <c r="AE199" i="20" s="1"/>
  <c r="AE106" i="20" s="1"/>
  <c r="AN181" i="20" a="1"/>
  <c r="AN181" i="20" s="1"/>
  <c r="AN88" i="20" s="1"/>
  <c r="AH156" i="20" a="1"/>
  <c r="AH156" i="20" s="1"/>
  <c r="AH63" i="20" s="1"/>
  <c r="Q201" i="20" a="1"/>
  <c r="Q201" i="20" s="1"/>
  <c r="AO145" i="20" a="1"/>
  <c r="AO145" i="20" s="1"/>
  <c r="AO52" i="20" s="1"/>
  <c r="AN184" i="20" a="1"/>
  <c r="AN184" i="20" s="1"/>
  <c r="AN91" i="20" s="1"/>
  <c r="F142" i="20" a="1"/>
  <c r="F142" i="20" s="1"/>
  <c r="F49" i="20" s="1"/>
  <c r="AP145" i="20" a="1"/>
  <c r="AP145" i="20" s="1"/>
  <c r="AP52" i="20" s="1"/>
  <c r="AI163" i="20" a="1"/>
  <c r="AI163" i="20" s="1"/>
  <c r="AI70" i="20" s="1"/>
  <c r="AF196" i="20" a="1"/>
  <c r="AF196" i="20" s="1"/>
  <c r="AF103" i="20" s="1"/>
  <c r="AL140" i="20" a="1"/>
  <c r="AL140" i="20" s="1"/>
  <c r="AQ141" i="20" a="1"/>
  <c r="AQ141" i="20" s="1"/>
  <c r="AQ48" i="20" s="1"/>
  <c r="P155" i="20" a="1"/>
  <c r="P155" i="20" s="1"/>
  <c r="P62" i="20" s="1"/>
  <c r="AS183" i="20" a="1"/>
  <c r="AS183" i="20" s="1"/>
  <c r="AS90" i="20" s="1"/>
  <c r="AM153" i="20" a="1"/>
  <c r="AM153" i="20" s="1"/>
  <c r="AM60" i="20" s="1"/>
  <c r="AL148" i="20" a="1"/>
  <c r="AL148" i="20" s="1"/>
  <c r="AL55" i="20" s="1"/>
  <c r="AN134" i="20" a="1"/>
  <c r="AN134" i="20" s="1"/>
  <c r="AN41" i="20" s="1"/>
  <c r="S201" i="20" a="1"/>
  <c r="S201" i="20" s="1"/>
  <c r="J177" i="20" a="1"/>
  <c r="J177" i="20" s="1"/>
  <c r="J84" i="20" s="1"/>
  <c r="G188" i="20" a="1"/>
  <c r="G188" i="20" s="1"/>
  <c r="M162" i="20" a="1"/>
  <c r="M162" i="20" s="1"/>
  <c r="M69" i="20" s="1"/>
  <c r="U188" i="20" a="1"/>
  <c r="U188" i="20" s="1"/>
  <c r="AC198" i="20" a="1"/>
  <c r="AC198" i="20" s="1"/>
  <c r="AC105" i="20" s="1"/>
  <c r="X192" i="20" a="1"/>
  <c r="X192" i="20" s="1"/>
  <c r="X99" i="20" s="1"/>
  <c r="AC173" i="20" a="1"/>
  <c r="AC173" i="20" s="1"/>
  <c r="AC80" i="20" s="1"/>
  <c r="AO199" i="20" a="1"/>
  <c r="AO199" i="20" s="1"/>
  <c r="AO106" i="20" s="1"/>
  <c r="F201" i="20" a="1"/>
  <c r="F201" i="20" s="1"/>
  <c r="Z200" i="20" a="1"/>
  <c r="Z200" i="20" s="1"/>
  <c r="Z107" i="20" s="1"/>
  <c r="W164" i="20" a="1"/>
  <c r="W164" i="20" s="1"/>
  <c r="W71" i="20" s="1"/>
  <c r="F132" i="20" a="1"/>
  <c r="F132" i="20" s="1"/>
  <c r="F39" i="20" s="1"/>
  <c r="L203" i="20" a="1"/>
  <c r="L203" i="20" s="1"/>
  <c r="L110" i="20" s="1"/>
  <c r="K127" i="20" a="1"/>
  <c r="K127" i="20" s="1"/>
  <c r="K34" i="20" s="1"/>
  <c r="N128" i="20" a="1"/>
  <c r="N128" i="20" s="1"/>
  <c r="W181" i="20" a="1"/>
  <c r="W181" i="20" s="1"/>
  <c r="W88" i="20" s="1"/>
  <c r="AS203" i="20" a="1"/>
  <c r="AS203" i="20" s="1"/>
  <c r="AS110" i="20" s="1"/>
  <c r="AC143" i="20" a="1"/>
  <c r="AC143" i="20" s="1"/>
  <c r="AC50" i="20" s="1"/>
  <c r="AH189" i="20" a="1"/>
  <c r="AH189" i="20" s="1"/>
  <c r="AH96" i="20" s="1"/>
  <c r="N144" i="20" a="1"/>
  <c r="N144" i="20" s="1"/>
  <c r="N51" i="20" s="1"/>
  <c r="Z147" i="20" a="1"/>
  <c r="Z147" i="20" s="1"/>
  <c r="Z54" i="20" s="1"/>
  <c r="AR192" i="20" a="1"/>
  <c r="AR192" i="20" s="1"/>
  <c r="AR99" i="20" s="1"/>
  <c r="AO162" i="20" a="1"/>
  <c r="AO162" i="20" s="1"/>
  <c r="AO69" i="20" s="1"/>
  <c r="AD162" i="20" a="1"/>
  <c r="AD162" i="20" s="1"/>
  <c r="AD148" i="20" a="1"/>
  <c r="AD148" i="20" s="1"/>
  <c r="AD55" i="20" s="1"/>
  <c r="I162" i="20" a="1"/>
  <c r="I162" i="20" s="1"/>
  <c r="I69" i="20" s="1"/>
  <c r="AJ163" i="20" a="1"/>
  <c r="AJ163" i="20" s="1"/>
  <c r="AJ70" i="20" s="1"/>
  <c r="R194" i="20" a="1"/>
  <c r="R194" i="20" s="1"/>
  <c r="R101" i="20" s="1"/>
  <c r="H179" i="20" a="1"/>
  <c r="H179" i="20" s="1"/>
  <c r="H86" i="20" s="1"/>
  <c r="AG170" i="20" a="1"/>
  <c r="AG170" i="20" s="1"/>
  <c r="AG77" i="20" s="1"/>
  <c r="K128" i="20" a="1"/>
  <c r="K128" i="20" s="1"/>
  <c r="F203" i="20" a="1"/>
  <c r="F203" i="20" s="1"/>
  <c r="F110" i="20" s="1"/>
  <c r="AK147" i="20" a="1"/>
  <c r="AK147" i="20" s="1"/>
  <c r="AK54" i="20" s="1"/>
  <c r="AG202" i="20" a="1"/>
  <c r="AG202" i="20" s="1"/>
  <c r="AG109" i="20" s="1"/>
  <c r="AU135" i="20" a="1"/>
  <c r="AU135" i="20" s="1"/>
  <c r="AU42" i="20" s="1"/>
  <c r="Z181" i="20" a="1"/>
  <c r="Z181" i="20" s="1"/>
  <c r="Z88" i="20" s="1"/>
  <c r="E158" i="20" a="1"/>
  <c r="E158" i="20" s="1"/>
  <c r="AM155" i="20" a="1"/>
  <c r="AM155" i="20" s="1"/>
  <c r="AM62" i="20" s="1"/>
  <c r="Z177" i="20" a="1"/>
  <c r="Z177" i="20" s="1"/>
  <c r="Z84" i="20" s="1"/>
  <c r="AM169" i="20" a="1"/>
  <c r="AM169" i="20" s="1"/>
  <c r="AM76" i="20" s="1"/>
  <c r="AS141" i="20" a="1"/>
  <c r="AS141" i="20" s="1"/>
  <c r="AS48" i="20" s="1"/>
  <c r="AE143" i="20" a="1"/>
  <c r="AE143" i="20" s="1"/>
  <c r="AE50" i="20" s="1"/>
  <c r="AK149" i="20" a="1"/>
  <c r="AK149" i="20" s="1"/>
  <c r="AK56" i="20" s="1"/>
  <c r="J199" i="20" a="1"/>
  <c r="J199" i="20" s="1"/>
  <c r="J106" i="20" s="1"/>
  <c r="AM176" i="20" a="1"/>
  <c r="AM176" i="20" s="1"/>
  <c r="AM83" i="20" s="1"/>
  <c r="Z154" i="20" a="1"/>
  <c r="Z154" i="20" s="1"/>
  <c r="Z61" i="20" s="1"/>
  <c r="S180" i="20" a="1"/>
  <c r="S180" i="20" s="1"/>
  <c r="S87" i="20" s="1"/>
  <c r="AI130" i="20" a="1"/>
  <c r="AI130" i="20" s="1"/>
  <c r="AI37" i="20" s="1"/>
  <c r="O201" i="20" a="1"/>
  <c r="O201" i="20" s="1"/>
  <c r="J163" i="20" a="1"/>
  <c r="J163" i="20" s="1"/>
  <c r="J70" i="20" s="1"/>
  <c r="Q181" i="20" a="1"/>
  <c r="Q181" i="20" s="1"/>
  <c r="Q88" i="20" s="1"/>
  <c r="J192" i="20" a="1"/>
  <c r="J192" i="20" s="1"/>
  <c r="J99" i="20" s="1"/>
  <c r="G171" i="20" a="1"/>
  <c r="G171" i="20" s="1"/>
  <c r="G78" i="20" s="1"/>
  <c r="S197" i="20" a="1"/>
  <c r="S197" i="20" s="1"/>
  <c r="S104" i="20" s="1"/>
  <c r="AM181" i="20" a="1"/>
  <c r="AM181" i="20" s="1"/>
  <c r="AM88" i="20" s="1"/>
  <c r="AP179" i="20" a="1"/>
  <c r="AP179" i="20" s="1"/>
  <c r="AP86" i="20" s="1"/>
  <c r="AF143" i="20" a="1"/>
  <c r="AF143" i="20" s="1"/>
  <c r="AF50" i="20" s="1"/>
  <c r="AL186" i="20" a="1"/>
  <c r="AL186" i="20" s="1"/>
  <c r="AL93" i="20" s="1"/>
  <c r="AH179" i="20" a="1"/>
  <c r="AH179" i="20" s="1"/>
  <c r="AH86" i="20" s="1"/>
  <c r="E180" i="20" a="1"/>
  <c r="E180" i="20" s="1"/>
  <c r="E87" i="20" s="1"/>
  <c r="M197" i="20" a="1"/>
  <c r="M197" i="20" s="1"/>
  <c r="M104" i="20" s="1"/>
  <c r="AL181" i="20" a="1"/>
  <c r="AL181" i="20" s="1"/>
  <c r="AL88" i="20" s="1"/>
  <c r="AL171" i="20" a="1"/>
  <c r="AL171" i="20" s="1"/>
  <c r="AL78" i="20" s="1"/>
  <c r="H188" i="20" a="1"/>
  <c r="H188" i="20" s="1"/>
  <c r="AM162" i="20" a="1"/>
  <c r="AM162" i="20" s="1"/>
  <c r="AM69" i="20" s="1"/>
  <c r="P190" i="20" a="1"/>
  <c r="P190" i="20" s="1"/>
  <c r="P97" i="20" s="1"/>
  <c r="J136" i="20" a="1"/>
  <c r="J136" i="20" s="1"/>
  <c r="J43" i="20" s="1"/>
  <c r="AN188" i="20" a="1"/>
  <c r="AN188" i="20" s="1"/>
  <c r="P180" i="20" a="1"/>
  <c r="P180" i="20" s="1"/>
  <c r="P87" i="20" s="1"/>
  <c r="R164" i="20" a="1"/>
  <c r="R164" i="20" s="1"/>
  <c r="R71" i="20" s="1"/>
  <c r="AF157" i="20" a="1"/>
  <c r="AF157" i="20" s="1"/>
  <c r="AF64" i="20" s="1"/>
  <c r="I193" i="20" a="1"/>
  <c r="I193" i="20" s="1"/>
  <c r="I100" i="20" s="1"/>
  <c r="AK176" i="20" a="1"/>
  <c r="AK176" i="20" s="1"/>
  <c r="AK83" i="20" s="1"/>
  <c r="AM147" i="20" a="1"/>
  <c r="AM147" i="20" s="1"/>
  <c r="AM54" i="20" s="1"/>
  <c r="AE141" i="20" a="1"/>
  <c r="AE141" i="20" s="1"/>
  <c r="AE48" i="20" s="1"/>
  <c r="Q183" i="20" a="1"/>
  <c r="Q183" i="20" s="1"/>
  <c r="Q90" i="20" s="1"/>
  <c r="AH149" i="20" a="1"/>
  <c r="AH149" i="20" s="1"/>
  <c r="AH56" i="20" s="1"/>
  <c r="R197" i="20" a="1"/>
  <c r="R197" i="20" s="1"/>
  <c r="R104" i="20" s="1"/>
  <c r="H132" i="20" a="1"/>
  <c r="H132" i="20" s="1"/>
  <c r="H39" i="20" s="1"/>
  <c r="AJ171" i="20" a="1"/>
  <c r="AJ171" i="20" s="1"/>
  <c r="AJ78" i="20" s="1"/>
  <c r="P181" i="20" a="1"/>
  <c r="P181" i="20" s="1"/>
  <c r="P88" i="20" s="1"/>
  <c r="AA172" i="20" a="1"/>
  <c r="AA172" i="20" s="1"/>
  <c r="AA79" i="20" s="1"/>
  <c r="AC167" i="20" a="1"/>
  <c r="AC167" i="20" s="1"/>
  <c r="AC74" i="20" s="1"/>
  <c r="AV203" i="20" a="1"/>
  <c r="AV203" i="20" s="1"/>
  <c r="AV110" i="20" s="1"/>
  <c r="AD131" i="20" a="1"/>
  <c r="AD131" i="20" s="1"/>
  <c r="AD38" i="20" s="1"/>
  <c r="AE195" i="20" a="1"/>
  <c r="AE195" i="20" s="1"/>
  <c r="AE102" i="20" s="1"/>
  <c r="AU166" i="20" a="1"/>
  <c r="AU166" i="20" s="1"/>
  <c r="AU73" i="20" s="1"/>
  <c r="H177" i="20" a="1"/>
  <c r="H177" i="20" s="1"/>
  <c r="H84" i="20" s="1"/>
  <c r="AL158" i="20" a="1"/>
  <c r="AL158" i="20" s="1"/>
  <c r="AL65" i="20" s="1"/>
  <c r="E177" i="20" a="1"/>
  <c r="E177" i="20" s="1"/>
  <c r="AG131" i="20" a="1"/>
  <c r="AG131" i="20" s="1"/>
  <c r="AG38" i="20" s="1"/>
  <c r="E164" i="20" a="1"/>
  <c r="E164" i="20" s="1"/>
  <c r="AN151" i="20" a="1"/>
  <c r="AN151" i="20" s="1"/>
  <c r="AN58" i="20" s="1"/>
  <c r="H200" i="20" a="1"/>
  <c r="H200" i="20" s="1"/>
  <c r="H107" i="20" s="1"/>
  <c r="AK160" i="20" a="1"/>
  <c r="AK160" i="20" s="1"/>
  <c r="AK67" i="20" s="1"/>
  <c r="AO132" i="20" a="1"/>
  <c r="AO132" i="20" s="1"/>
  <c r="AO39" i="20" s="1"/>
  <c r="P136" i="20" a="1"/>
  <c r="P136" i="20" s="1"/>
  <c r="P43" i="20" s="1"/>
  <c r="AC153" i="20" a="1"/>
  <c r="AC153" i="20" s="1"/>
  <c r="AC60" i="20" s="1"/>
  <c r="AJ188" i="20" a="1"/>
  <c r="AJ188" i="20" s="1"/>
  <c r="AB145" i="20" a="1"/>
  <c r="AB145" i="20" s="1"/>
  <c r="AB52" i="20" s="1"/>
  <c r="W201" i="20" a="1"/>
  <c r="W201" i="20" s="1"/>
  <c r="Z162" i="20" a="1"/>
  <c r="Z162" i="20" s="1"/>
  <c r="AT159" i="20" a="1"/>
  <c r="AT159" i="20" s="1"/>
  <c r="AT66" i="20" s="1"/>
  <c r="O155" i="20" a="1"/>
  <c r="O155" i="20" s="1"/>
  <c r="O62" i="20" s="1"/>
  <c r="M193" i="20" a="1"/>
  <c r="M193" i="20" s="1"/>
  <c r="M100" i="20" s="1"/>
  <c r="W197" i="20" a="1"/>
  <c r="W197" i="20" s="1"/>
  <c r="W104" i="20" s="1"/>
  <c r="AI188" i="20" a="1"/>
  <c r="AI188" i="20" s="1"/>
  <c r="AO195" i="20" a="1"/>
  <c r="AO195" i="20" s="1"/>
  <c r="AO102" i="20" s="1"/>
  <c r="AO141" i="20" a="1"/>
  <c r="AO141" i="20" s="1"/>
  <c r="AO48" i="20" s="1"/>
  <c r="N201" i="20" a="1"/>
  <c r="N201" i="20" s="1"/>
  <c r="AD132" i="20" a="1"/>
  <c r="AD132" i="20" s="1"/>
  <c r="AD39" i="20" s="1"/>
  <c r="AN143" i="20" a="1"/>
  <c r="AN143" i="20" s="1"/>
  <c r="AN50" i="20" s="1"/>
  <c r="Z163" i="20" a="1"/>
  <c r="Z163" i="20" s="1"/>
  <c r="Z70" i="20" s="1"/>
  <c r="AB153" i="20" a="1"/>
  <c r="AB153" i="20" s="1"/>
  <c r="AB60" i="20" s="1"/>
  <c r="AF186" i="20" a="1"/>
  <c r="AF186" i="20" s="1"/>
  <c r="AF93" i="20" s="1"/>
  <c r="AA194" i="20" a="1"/>
  <c r="AA194" i="20" s="1"/>
  <c r="AA101" i="20" s="1"/>
  <c r="V192" i="20" a="1"/>
  <c r="V192" i="20" s="1"/>
  <c r="V99" i="20" s="1"/>
  <c r="AK173" i="20" a="1"/>
  <c r="AK173" i="20" s="1"/>
  <c r="AK80" i="20" s="1"/>
  <c r="AK142" i="20" a="1"/>
  <c r="AK142" i="20" s="1"/>
  <c r="AK49" i="20" s="1"/>
  <c r="AV179" i="20" a="1"/>
  <c r="AV179" i="20" s="1"/>
  <c r="AV86" i="20" s="1"/>
  <c r="Z155" i="20" a="1"/>
  <c r="Z155" i="20" s="1"/>
  <c r="Z62" i="20" s="1"/>
  <c r="AN199" i="20" a="1"/>
  <c r="AN199" i="20" s="1"/>
  <c r="AN106" i="20" s="1"/>
  <c r="AO163" i="20" a="1"/>
  <c r="AO163" i="20" s="1"/>
  <c r="AO70" i="20" s="1"/>
  <c r="K179" i="20" a="1"/>
  <c r="K179" i="20" s="1"/>
  <c r="K86" i="20" s="1"/>
  <c r="AS136" i="20" a="1"/>
  <c r="AS136" i="20" s="1"/>
  <c r="AS43" i="20" s="1"/>
  <c r="AM173" i="20" a="1"/>
  <c r="AM173" i="20" s="1"/>
  <c r="AM80" i="20" s="1"/>
  <c r="AH161" i="20" a="1"/>
  <c r="AH161" i="20" s="1"/>
  <c r="AH68" i="20" s="1"/>
  <c r="AF170" i="20" a="1"/>
  <c r="AF170" i="20" s="1"/>
  <c r="AF77" i="20" s="1"/>
  <c r="AN196" i="20" a="1"/>
  <c r="AN196" i="20" s="1"/>
  <c r="AN103" i="20" s="1"/>
  <c r="AP143" i="20" a="1"/>
  <c r="AP143" i="20" s="1"/>
  <c r="AP50" i="20" s="1"/>
  <c r="AF203" i="20" a="1"/>
  <c r="AF203" i="20" s="1"/>
  <c r="AF110" i="20" s="1"/>
  <c r="AQ153" i="20" a="1"/>
  <c r="AQ153" i="20" s="1"/>
  <c r="AB144" i="20" a="1"/>
  <c r="AB144" i="20" s="1"/>
  <c r="AB51" i="20" s="1"/>
  <c r="AF149" i="20" a="1"/>
  <c r="AF149" i="20" s="1"/>
  <c r="AF56" i="20" s="1"/>
  <c r="AC148" i="20" a="1"/>
  <c r="AC148" i="20" s="1"/>
  <c r="AC55" i="20" s="1"/>
  <c r="AB154" i="20" a="1"/>
  <c r="AB154" i="20" s="1"/>
  <c r="T179" i="20" a="1"/>
  <c r="T179" i="20" s="1"/>
  <c r="T86" i="20" s="1"/>
  <c r="AH197" i="20" a="1"/>
  <c r="AH197" i="20" s="1"/>
  <c r="AH104" i="20" s="1"/>
  <c r="AA200" i="20" a="1"/>
  <c r="AA200" i="20" s="1"/>
  <c r="AA107" i="20" s="1"/>
  <c r="AE142" i="20" a="1"/>
  <c r="AE142" i="20" s="1"/>
  <c r="AP172" i="20" a="1"/>
  <c r="AP172" i="20" s="1"/>
  <c r="AP79" i="20" s="1"/>
  <c r="AI134" i="20" a="1"/>
  <c r="AI134" i="20" s="1"/>
  <c r="AI41" i="20" s="1"/>
  <c r="G127" i="20" a="1"/>
  <c r="G127" i="20" s="1"/>
  <c r="AM201" i="20" a="1"/>
  <c r="AM201" i="20" s="1"/>
  <c r="L200" i="20" a="1"/>
  <c r="L200" i="20" s="1"/>
  <c r="L107" i="20" s="1"/>
  <c r="K199" i="20" a="1"/>
  <c r="K199" i="20" s="1"/>
  <c r="K106" i="20" s="1"/>
  <c r="AB185" i="20" a="1"/>
  <c r="AB185" i="20" s="1"/>
  <c r="AB92" i="20" s="1"/>
  <c r="AK143" i="20" a="1"/>
  <c r="AK143" i="20" s="1"/>
  <c r="AK50" i="20" s="1"/>
  <c r="AP135" i="20" a="1"/>
  <c r="AP135" i="20" s="1"/>
  <c r="AP42" i="20" s="1"/>
  <c r="U197" i="20" a="1"/>
  <c r="U197" i="20" s="1"/>
  <c r="U104" i="20" s="1"/>
  <c r="AD179" i="20" a="1"/>
  <c r="AD179" i="20" s="1"/>
  <c r="AD86" i="20" s="1"/>
  <c r="AD157" i="20" a="1"/>
  <c r="AD157" i="20" s="1"/>
  <c r="AD64" i="20" s="1"/>
  <c r="E193" i="20" a="1"/>
  <c r="E193" i="20" s="1"/>
  <c r="E100" i="20" s="1"/>
  <c r="V190" i="20" a="1"/>
  <c r="V190" i="20" s="1"/>
  <c r="V97" i="20" s="1"/>
  <c r="AJ145" i="20" a="1"/>
  <c r="AJ145" i="20" s="1"/>
  <c r="AJ52" i="20" s="1"/>
  <c r="AI186" i="20" a="1"/>
  <c r="AI186" i="20" s="1"/>
  <c r="AI93" i="20" s="1"/>
  <c r="AI142" i="20" a="1"/>
  <c r="AI142" i="20" s="1"/>
  <c r="AI49" i="20" s="1"/>
  <c r="AT181" i="20" a="1"/>
  <c r="AT181" i="20" s="1"/>
  <c r="AT88" i="20" s="1"/>
  <c r="M188" i="20" a="1"/>
  <c r="M188" i="20" s="1"/>
  <c r="AD201" i="20" a="1"/>
  <c r="AD201" i="20" s="1"/>
  <c r="G155" i="20" a="1"/>
  <c r="G155" i="20" s="1"/>
  <c r="G62" i="20" s="1"/>
  <c r="AE154" i="20" a="1"/>
  <c r="AE154" i="20" s="1"/>
  <c r="AE61" i="20" s="1"/>
  <c r="AL134" i="20" a="1"/>
  <c r="AL134" i="20" s="1"/>
  <c r="AL41" i="20" s="1"/>
  <c r="AO188" i="20" a="1"/>
  <c r="AO188" i="20" s="1"/>
  <c r="AD134" i="20" a="1"/>
  <c r="AD134" i="20" s="1"/>
  <c r="AD41" i="20" s="1"/>
  <c r="F145" i="20" a="1"/>
  <c r="F145" i="20" s="1"/>
  <c r="F52" i="20" s="1"/>
  <c r="T164" i="20" a="1"/>
  <c r="T164" i="20" s="1"/>
  <c r="T71" i="20" s="1"/>
  <c r="W203" i="20" a="1"/>
  <c r="W203" i="20" s="1"/>
  <c r="W110" i="20" s="1"/>
  <c r="AM184" i="20" a="1"/>
  <c r="AM184" i="20" s="1"/>
  <c r="AM91" i="20" s="1"/>
  <c r="Y172" i="20" a="1"/>
  <c r="Y172" i="20" s="1"/>
  <c r="Y79" i="20" s="1"/>
  <c r="AM150" i="20" a="1"/>
  <c r="AM150" i="20" s="1"/>
  <c r="AM57" i="20" s="1"/>
  <c r="AG200" i="20" a="1"/>
  <c r="AG200" i="20" s="1"/>
  <c r="AG107" i="20" s="1"/>
  <c r="AN160" i="20" a="1"/>
  <c r="AN160" i="20" s="1"/>
  <c r="AN67" i="20" s="1"/>
  <c r="H164" i="20" a="1"/>
  <c r="H164" i="20" s="1"/>
  <c r="H71" i="20" s="1"/>
  <c r="H184" i="20" a="1"/>
  <c r="H184" i="20" s="1"/>
  <c r="H91" i="20" s="1"/>
  <c r="AP182" i="20" a="1"/>
  <c r="AP182" i="20" s="1"/>
  <c r="AP89" i="20" s="1"/>
  <c r="O145" i="20" a="1"/>
  <c r="O145" i="20" s="1"/>
  <c r="O52" i="20" s="1"/>
  <c r="R154" i="20" a="1"/>
  <c r="R154" i="20" s="1"/>
  <c r="R61" i="20" s="1"/>
  <c r="J144" i="20" a="1"/>
  <c r="J144" i="20" s="1"/>
  <c r="J51" i="20" s="1"/>
  <c r="AE160" i="20" a="1"/>
  <c r="AE160" i="20" s="1"/>
  <c r="AE67" i="20" s="1"/>
  <c r="P194" i="20" a="1"/>
  <c r="P194" i="20" s="1"/>
  <c r="P101" i="20" s="1"/>
  <c r="AD188" i="20" a="1"/>
  <c r="AD188" i="20" s="1"/>
  <c r="I199" i="20" a="1"/>
  <c r="I199" i="20" s="1"/>
  <c r="I106" i="20" s="1"/>
  <c r="AQ144" i="20" a="1"/>
  <c r="AQ144" i="20" s="1"/>
  <c r="AQ51" i="20" s="1"/>
  <c r="AR172" i="20" a="1"/>
  <c r="AR172" i="20" s="1"/>
  <c r="AR79" i="20" s="1"/>
  <c r="AJ193" i="20" a="1"/>
  <c r="AJ193" i="20" s="1"/>
  <c r="AJ100" i="20" s="1"/>
  <c r="O200" i="20" a="1"/>
  <c r="O200" i="20" s="1"/>
  <c r="O107" i="20" s="1"/>
  <c r="AG180" i="20" a="1"/>
  <c r="AG180" i="20" s="1"/>
  <c r="AG87" i="20" s="1"/>
  <c r="AG201" i="20" a="1"/>
  <c r="AG201" i="20" s="1"/>
  <c r="AH194" i="20" a="1"/>
  <c r="AH194" i="20" s="1"/>
  <c r="AH101" i="20" s="1"/>
  <c r="AJ161" i="20" a="1"/>
  <c r="AJ161" i="20" s="1"/>
  <c r="AJ68" i="20" s="1"/>
  <c r="S188" i="20" a="1"/>
  <c r="S188" i="20" s="1"/>
  <c r="X194" i="20" a="1"/>
  <c r="X194" i="20" s="1"/>
  <c r="X101" i="20" s="1"/>
  <c r="AG203" i="20" a="1"/>
  <c r="AG203" i="20" s="1"/>
  <c r="AG110" i="20" s="1"/>
  <c r="N193" i="20" a="1"/>
  <c r="N193" i="20" s="1"/>
  <c r="N100" i="20" s="1"/>
  <c r="X163" i="20" a="1"/>
  <c r="X163" i="20" s="1"/>
  <c r="X70" i="20" s="1"/>
  <c r="M144" i="20" a="1"/>
  <c r="M144" i="20" s="1"/>
  <c r="M51" i="20" s="1"/>
  <c r="H197" i="20" a="1"/>
  <c r="H197" i="20" s="1"/>
  <c r="H104" i="20" s="1"/>
  <c r="K188" i="20" a="1"/>
  <c r="K188" i="20" s="1"/>
  <c r="Y190" i="20" a="1"/>
  <c r="Y190" i="20" s="1"/>
  <c r="Y97" i="20" s="1"/>
  <c r="AL179" i="20" a="1"/>
  <c r="AL179" i="20" s="1"/>
  <c r="AL86" i="20" s="1"/>
  <c r="L128" i="20" a="1"/>
  <c r="L128" i="20" s="1"/>
  <c r="L35" i="20" s="1"/>
  <c r="AO151" i="20" a="1"/>
  <c r="AO151" i="20" s="1"/>
  <c r="AO58" i="20" s="1"/>
  <c r="AA136" i="20" a="1"/>
  <c r="AA136" i="20" s="1"/>
  <c r="AA43" i="20" s="1"/>
  <c r="R199" i="20" a="1"/>
  <c r="R199" i="20" s="1"/>
  <c r="R106" i="20" s="1"/>
  <c r="AO177" i="20" a="1"/>
  <c r="AO177" i="20" s="1"/>
  <c r="AO84" i="20" s="1"/>
  <c r="AH148" i="20" a="1"/>
  <c r="AH148" i="20" s="1"/>
  <c r="AH55" i="20" s="1"/>
  <c r="AI193" i="20" a="1"/>
  <c r="AI193" i="20" s="1"/>
  <c r="AI100" i="20" s="1"/>
  <c r="AB183" i="20" a="1"/>
  <c r="AB183" i="20" s="1"/>
  <c r="AB90" i="20" s="1"/>
  <c r="Y177" i="20" a="1"/>
  <c r="Y177" i="20" s="1"/>
  <c r="Y84" i="20" s="1"/>
  <c r="Q166" i="20" a="1"/>
  <c r="Q166" i="20" s="1"/>
  <c r="Q73" i="20" s="1"/>
  <c r="AV200" i="20" a="1"/>
  <c r="AV200" i="20" s="1"/>
  <c r="AV107" i="20" s="1"/>
  <c r="AJ201" i="20" a="1"/>
  <c r="AJ201" i="20" s="1"/>
  <c r="AF148" i="20" a="1"/>
  <c r="AF148" i="20" s="1"/>
  <c r="AF55" i="20" s="1"/>
  <c r="AH184" i="20" a="1"/>
  <c r="AH184" i="20" s="1"/>
  <c r="AH91" i="20" s="1"/>
  <c r="AA188" i="20" a="1"/>
  <c r="AA188" i="20" s="1"/>
  <c r="M180" i="20" a="1"/>
  <c r="M180" i="20" s="1"/>
  <c r="M87" i="20" s="1"/>
  <c r="AC181" i="20" a="1"/>
  <c r="AC181" i="20" s="1"/>
  <c r="AC88" i="20" s="1"/>
  <c r="AM186" i="20" a="1"/>
  <c r="AM186" i="20" s="1"/>
  <c r="AM93" i="20" s="1"/>
  <c r="AH170" i="20" a="1"/>
  <c r="AH170" i="20" s="1"/>
  <c r="AH77" i="20" s="1"/>
  <c r="O194" i="20" a="1"/>
  <c r="O194" i="20" s="1"/>
  <c r="O101" i="20" s="1"/>
  <c r="P200" i="20" a="1"/>
  <c r="P200" i="20" s="1"/>
  <c r="P107" i="20" s="1"/>
  <c r="I201" i="20" a="1"/>
  <c r="I201" i="20" s="1"/>
  <c r="U181" i="20" a="1"/>
  <c r="U181" i="20" s="1"/>
  <c r="U88" i="20" s="1"/>
  <c r="S199" i="20" a="1"/>
  <c r="S199" i="20" s="1"/>
  <c r="S106" i="20" s="1"/>
  <c r="AE148" i="20" a="1"/>
  <c r="AE148" i="20" s="1"/>
  <c r="AE55" i="20" s="1"/>
  <c r="AL130" i="20" a="1"/>
  <c r="AL130" i="20" s="1"/>
  <c r="AL37" i="20" s="1"/>
  <c r="AM170" i="20" a="1"/>
  <c r="AM170" i="20" s="1"/>
  <c r="AM77" i="20" s="1"/>
  <c r="AJ149" i="20" a="1"/>
  <c r="AJ149" i="20" s="1"/>
  <c r="AJ56" i="20" s="1"/>
  <c r="AM141" i="20" a="1"/>
  <c r="AM141" i="20" s="1"/>
  <c r="AM48" i="20" s="1"/>
  <c r="AS181" i="20" a="1"/>
  <c r="AS181" i="20" s="1"/>
  <c r="AS88" i="20" s="1"/>
  <c r="AI179" i="20" a="1"/>
  <c r="AI179" i="20" s="1"/>
  <c r="AI86" i="20" s="1"/>
  <c r="AE156" i="20" a="1"/>
  <c r="AE156" i="20" s="1"/>
  <c r="AE63" i="20" s="1"/>
  <c r="E132" i="20" a="1"/>
  <c r="E132" i="20" s="1"/>
  <c r="AS187" i="20" a="1"/>
  <c r="AS187" i="20" s="1"/>
  <c r="AS94" i="20" s="1"/>
  <c r="AI171" i="20" a="1"/>
  <c r="AI171" i="20" s="1"/>
  <c r="AI78" i="20" s="1"/>
  <c r="AB203" i="20" a="1"/>
  <c r="AB203" i="20" s="1"/>
  <c r="AB110" i="20" s="1"/>
  <c r="AT203" i="20" a="1"/>
  <c r="AT203" i="20" s="1"/>
  <c r="AT110" i="20" s="1"/>
  <c r="AF199" i="20" a="1"/>
  <c r="AF199" i="20" s="1"/>
  <c r="AF106" i="20" s="1"/>
  <c r="N194" i="20" a="1"/>
  <c r="N194" i="20" s="1"/>
  <c r="N101" i="20" s="1"/>
  <c r="AL150" i="20" a="1"/>
  <c r="AL150" i="20" s="1"/>
  <c r="AL57" i="20" s="1"/>
  <c r="AO150" i="20" a="1"/>
  <c r="AO150" i="20" s="1"/>
  <c r="AO57" i="20" s="1"/>
  <c r="I190" i="20" a="1"/>
  <c r="I190" i="20" s="1"/>
  <c r="I97" i="20" s="1"/>
  <c r="H154" i="20" a="1"/>
  <c r="H154" i="20" s="1"/>
  <c r="H61" i="20" s="1"/>
  <c r="AK131" i="20" a="1"/>
  <c r="AK131" i="20" s="1"/>
  <c r="AK38" i="20" s="1"/>
  <c r="R192" i="20" a="1"/>
  <c r="R192" i="20" s="1"/>
  <c r="R99" i="20" s="1"/>
  <c r="S194" i="20" a="1"/>
  <c r="S194" i="20" s="1"/>
  <c r="S101" i="20" s="1"/>
  <c r="AN201" i="20" a="1"/>
  <c r="AN201" i="20" s="1"/>
  <c r="AE151" i="20" a="1"/>
  <c r="AE151" i="20" s="1"/>
  <c r="AE58" i="20" s="1"/>
  <c r="AC142" i="20" a="1"/>
  <c r="AC142" i="20" s="1"/>
  <c r="AC49" i="20" s="1"/>
  <c r="F192" i="20" a="1"/>
  <c r="F192" i="20" s="1"/>
  <c r="F99" i="20" s="1"/>
  <c r="AO146" i="20" a="1"/>
  <c r="AO146" i="20" s="1"/>
  <c r="AO53" i="20" s="1"/>
  <c r="AM185" i="20" a="1"/>
  <c r="AM185" i="20" s="1"/>
  <c r="AM92" i="20" s="1"/>
  <c r="X144" i="20" a="1"/>
  <c r="X144" i="20" s="1"/>
  <c r="X51" i="20" s="1"/>
  <c r="AE183" i="20" a="1"/>
  <c r="AE183" i="20" s="1"/>
  <c r="AE90" i="20" s="1"/>
  <c r="AB195" i="20" a="1"/>
  <c r="AB195" i="20" s="1"/>
  <c r="AB102" i="20" s="1"/>
  <c r="AL143" i="20" a="1"/>
  <c r="AL143" i="20" s="1"/>
  <c r="AL50" i="20" s="1"/>
  <c r="AD193" i="20" a="1"/>
  <c r="AD193" i="20" s="1"/>
  <c r="AD100" i="20" s="1"/>
  <c r="L157" i="20" a="1"/>
  <c r="L157" i="20" s="1"/>
  <c r="L64" i="20" s="1"/>
  <c r="AI162" i="20" a="1"/>
  <c r="AI162" i="20" s="1"/>
  <c r="AI69" i="20" s="1"/>
  <c r="AF195" i="20" a="1"/>
  <c r="AF195" i="20" s="1"/>
  <c r="AF102" i="20" s="1"/>
  <c r="AS166" i="20" a="1"/>
  <c r="AS166" i="20" s="1"/>
  <c r="AS73" i="20" s="1"/>
  <c r="AJ169" i="20" a="1"/>
  <c r="AJ169" i="20" s="1"/>
  <c r="AJ76" i="20" s="1"/>
  <c r="AO143" i="20" a="1"/>
  <c r="AO143" i="20" s="1"/>
  <c r="AO50" i="20" s="1"/>
  <c r="AT146" i="20" a="1"/>
  <c r="AT146" i="20" s="1"/>
  <c r="AT53" i="20" s="1"/>
  <c r="AB155" i="20" a="1"/>
  <c r="AB155" i="20" s="1"/>
  <c r="AB62" i="20" s="1"/>
  <c r="R163" i="20" a="1"/>
  <c r="R163" i="20" s="1"/>
  <c r="R70" i="20" s="1"/>
  <c r="AI153" i="20" a="1"/>
  <c r="AI153" i="20" s="1"/>
  <c r="AV146" i="20" a="1"/>
  <c r="AV146" i="20" s="1"/>
  <c r="AV53" i="20" s="1"/>
  <c r="AU144" i="20" a="1"/>
  <c r="AU144" i="20" s="1"/>
  <c r="AU51" i="20" s="1"/>
  <c r="AP192" i="20" a="1"/>
  <c r="AP192" i="20" s="1"/>
  <c r="AP99" i="20" s="1"/>
  <c r="Z144" i="20" a="1"/>
  <c r="Z144" i="20" s="1"/>
  <c r="Z51" i="20" s="1"/>
  <c r="Q145" i="20" a="1"/>
  <c r="Q145" i="20" s="1"/>
  <c r="Q52" i="20" s="1"/>
  <c r="M194" i="20" a="1"/>
  <c r="M194" i="20" s="1"/>
  <c r="M101" i="20" s="1"/>
  <c r="AO186" i="20" a="1"/>
  <c r="AO186" i="20" s="1"/>
  <c r="AO93" i="20" s="1"/>
  <c r="E142" i="20" a="1"/>
  <c r="E142" i="20" s="1"/>
  <c r="Z202" i="20" a="1"/>
  <c r="Z202" i="20" s="1"/>
  <c r="Z109" i="20" s="1"/>
  <c r="AF162" i="20" a="1"/>
  <c r="AF162" i="20" s="1"/>
  <c r="AF69" i="20" s="1"/>
  <c r="AJ142" i="20" a="1"/>
  <c r="AJ142" i="20" s="1"/>
  <c r="F199" i="20" a="1"/>
  <c r="F199" i="20" s="1"/>
  <c r="F106" i="20" s="1"/>
  <c r="K183" i="20" a="1"/>
  <c r="K183" i="20" s="1"/>
  <c r="K90" i="20" s="1"/>
  <c r="Z196" i="20" a="1"/>
  <c r="Z196" i="20" s="1"/>
  <c r="Z103" i="20" s="1"/>
  <c r="AB181" i="20" a="1"/>
  <c r="AB181" i="20" s="1"/>
  <c r="AB88" i="20" s="1"/>
  <c r="AO190" i="20" a="1"/>
  <c r="AO190" i="20" s="1"/>
  <c r="AO97" i="20" s="1"/>
  <c r="AN140" i="20" a="1"/>
  <c r="AN140" i="20" s="1"/>
  <c r="AI180" i="20" a="1"/>
  <c r="AI180" i="20" s="1"/>
  <c r="AI87" i="20" s="1"/>
  <c r="AO198" i="20" a="1"/>
  <c r="AO198" i="20" s="1"/>
  <c r="AO105" i="20" s="1"/>
  <c r="Q167" i="20" a="1"/>
  <c r="Q167" i="20" s="1"/>
  <c r="Q74" i="20" s="1"/>
  <c r="AJ180" i="20" a="1"/>
  <c r="AJ180" i="20" s="1"/>
  <c r="AJ87" i="20" s="1"/>
  <c r="AF130" i="20" a="1"/>
  <c r="AF130" i="20" s="1"/>
  <c r="AF37" i="20" s="1"/>
  <c r="V183" i="20" a="1"/>
  <c r="V183" i="20" s="1"/>
  <c r="V90" i="20" s="1"/>
  <c r="N203" i="20" a="1"/>
  <c r="N203" i="20" s="1"/>
  <c r="N110" i="20" s="1"/>
  <c r="AV202" i="20" a="1"/>
  <c r="AV202" i="20" s="1"/>
  <c r="AV109" i="20" s="1"/>
  <c r="O142" i="20" a="1"/>
  <c r="O142" i="20" s="1"/>
  <c r="H155" i="20" a="1"/>
  <c r="H155" i="20" s="1"/>
  <c r="H62" i="20" s="1"/>
  <c r="AH196" i="20" a="1"/>
  <c r="AH196" i="20" s="1"/>
  <c r="AH103" i="20" s="1"/>
  <c r="AC196" i="20" a="1"/>
  <c r="AC196" i="20" s="1"/>
  <c r="AC103" i="20" s="1"/>
  <c r="G203" i="20" a="1"/>
  <c r="G203" i="20" s="1"/>
  <c r="G110" i="20" s="1"/>
  <c r="I180" i="20" a="1"/>
  <c r="I180" i="20" s="1"/>
  <c r="I87" i="20" s="1"/>
  <c r="K201" i="20" a="1"/>
  <c r="K201" i="20" s="1"/>
  <c r="AA201" i="20" a="1"/>
  <c r="AA201" i="20" s="1"/>
  <c r="AO201" i="20" a="1"/>
  <c r="AO201" i="20" s="1"/>
  <c r="AK189" i="20" a="1"/>
  <c r="AK189" i="20" s="1"/>
  <c r="AK96" i="20" s="1"/>
  <c r="T183" i="20" a="1"/>
  <c r="T183" i="20" s="1"/>
  <c r="T90" i="20" s="1"/>
  <c r="AH185" i="20" a="1"/>
  <c r="AH185" i="20" s="1"/>
  <c r="AH92" i="20" s="1"/>
  <c r="AL147" i="20" a="1"/>
  <c r="AL147" i="20" s="1"/>
  <c r="AL54" i="20" s="1"/>
  <c r="AM144" i="20" a="1"/>
  <c r="AM144" i="20" s="1"/>
  <c r="AM51" i="20" s="1"/>
  <c r="AJ195" i="20" a="1"/>
  <c r="AJ195" i="20" s="1"/>
  <c r="AJ102" i="20" s="1"/>
  <c r="AI176" i="20" a="1"/>
  <c r="AI176" i="20" s="1"/>
  <c r="AI83" i="20" s="1"/>
  <c r="H190" i="20" a="1"/>
  <c r="H190" i="20" s="1"/>
  <c r="H97" i="20" s="1"/>
  <c r="AQ199" i="20" a="1"/>
  <c r="AQ199" i="20" s="1"/>
  <c r="AQ106" i="20" s="1"/>
  <c r="AE130" i="20" a="1"/>
  <c r="AE130" i="20" s="1"/>
  <c r="AE37" i="20" s="1"/>
  <c r="AC150" i="20" a="1"/>
  <c r="AC150" i="20" s="1"/>
  <c r="AC57" i="20" s="1"/>
  <c r="J201" i="20" a="1"/>
  <c r="J201" i="20" s="1"/>
  <c r="AN168" i="20" a="1"/>
  <c r="AN168" i="20" s="1"/>
  <c r="AN75" i="20" s="1"/>
  <c r="AO197" i="20" a="1"/>
  <c r="AO197" i="20" s="1"/>
  <c r="AO104" i="20" s="1"/>
  <c r="U154" i="20" a="1"/>
  <c r="U154" i="20" s="1"/>
  <c r="AG181" i="20" a="1"/>
  <c r="AG181" i="20" s="1"/>
  <c r="AG88" i="20" s="1"/>
  <c r="AM203" i="20" a="1"/>
  <c r="AM203" i="20" s="1"/>
  <c r="AM110" i="20" s="1"/>
  <c r="S136" i="20" a="1"/>
  <c r="S136" i="20" s="1"/>
  <c r="S43" i="20" s="1"/>
  <c r="Z188" i="20" a="1"/>
  <c r="Z188" i="20" s="1"/>
  <c r="AG163" i="20" a="1"/>
  <c r="AG163" i="20" s="1"/>
  <c r="AG70" i="20" s="1"/>
  <c r="X179" i="20" a="1"/>
  <c r="X179" i="20" s="1"/>
  <c r="X86" i="20" s="1"/>
  <c r="V150" i="20" a="1"/>
  <c r="V150" i="20" s="1"/>
  <c r="V57" i="20" s="1"/>
  <c r="AO148" i="20" a="1"/>
  <c r="AO148" i="20" s="1"/>
  <c r="AO55" i="20" s="1"/>
  <c r="AJ132" i="20" a="1"/>
  <c r="AJ132" i="20" s="1"/>
  <c r="AJ39" i="20" s="1"/>
  <c r="AH173" i="20" a="1"/>
  <c r="AH173" i="20" s="1"/>
  <c r="AH80" i="20" s="1"/>
  <c r="AT164" i="20" a="1"/>
  <c r="AT164" i="20" s="1"/>
  <c r="AT71" i="20" s="1"/>
  <c r="AH171" i="20" a="1"/>
  <c r="AH171" i="20" s="1"/>
  <c r="AH78" i="20" s="1"/>
  <c r="U201" i="20" a="1"/>
  <c r="U201" i="20" s="1"/>
  <c r="P177" i="20" a="1"/>
  <c r="P177" i="20" s="1"/>
  <c r="P84" i="20" s="1"/>
  <c r="Z150" i="20" a="1"/>
  <c r="Z150" i="20" s="1"/>
  <c r="Z57" i="20" s="1"/>
  <c r="O183" i="20" a="1"/>
  <c r="O183" i="20" s="1"/>
  <c r="O90" i="20" s="1"/>
  <c r="Z194" i="20" a="1"/>
  <c r="Z194" i="20" s="1"/>
  <c r="Z101" i="20" s="1"/>
  <c r="T163" i="20" a="1"/>
  <c r="T163" i="20" s="1"/>
  <c r="T70" i="20" s="1"/>
  <c r="AC200" i="20" a="1"/>
  <c r="AC200" i="20" s="1"/>
  <c r="AC107" i="20" s="1"/>
  <c r="Y154" i="20" a="1"/>
  <c r="Y154" i="20" s="1"/>
  <c r="AI172" i="20" a="1"/>
  <c r="AI172" i="20" s="1"/>
  <c r="AI79" i="20" s="1"/>
  <c r="AN147" i="20" a="1"/>
  <c r="AN147" i="20" s="1"/>
  <c r="AN54" i="20" s="1"/>
  <c r="L183" i="20" a="1"/>
  <c r="L183" i="20" s="1"/>
  <c r="L90" i="20" s="1"/>
  <c r="AR135" i="20" a="1"/>
  <c r="AR135" i="20" s="1"/>
  <c r="AR42" i="20" s="1"/>
  <c r="AN185" i="20" a="1"/>
  <c r="AN185" i="20" s="1"/>
  <c r="AN92" i="20" s="1"/>
  <c r="AI151" i="20" a="1"/>
  <c r="AI151" i="20" s="1"/>
  <c r="AI58" i="20" s="1"/>
  <c r="T201" i="20" a="1"/>
  <c r="T201" i="20" s="1"/>
  <c r="AT143" i="20" a="1"/>
  <c r="AT143" i="20" s="1"/>
  <c r="AT50" i="20" s="1"/>
  <c r="M203" i="20" a="1"/>
  <c r="M203" i="20" s="1"/>
  <c r="M110" i="20" s="1"/>
  <c r="AS182" i="20" a="1"/>
  <c r="AS182" i="20" s="1"/>
  <c r="AS89" i="20" s="1"/>
  <c r="Q188" i="20" a="1"/>
  <c r="Q188" i="20" s="1"/>
  <c r="Y179" i="20" a="1"/>
  <c r="Y179" i="20" s="1"/>
  <c r="Y86" i="20" s="1"/>
  <c r="E136" i="20" a="1"/>
  <c r="E136" i="20" s="1"/>
  <c r="G150" i="20" a="1"/>
  <c r="G150" i="20" s="1"/>
  <c r="G57" i="20" s="1"/>
  <c r="G190" i="20" a="1"/>
  <c r="G190" i="20" s="1"/>
  <c r="G97" i="20" s="1"/>
  <c r="W190" i="20" a="1"/>
  <c r="W190" i="20" s="1"/>
  <c r="W97" i="20" s="1"/>
  <c r="AL162" i="20" a="1"/>
  <c r="AL162" i="20" s="1"/>
  <c r="AL69" i="20" s="1"/>
  <c r="N188" i="20" a="1"/>
  <c r="N188" i="20" s="1"/>
  <c r="AU141" i="20" a="1"/>
  <c r="AU141" i="20" s="1"/>
  <c r="AU48" i="20" s="1"/>
  <c r="AK170" i="20" a="1"/>
  <c r="AK170" i="20" s="1"/>
  <c r="AK77" i="20" s="1"/>
  <c r="AA157" i="20" a="1"/>
  <c r="AA157" i="20" s="1"/>
  <c r="AA64" i="20" s="1"/>
  <c r="AF154" i="20" a="1"/>
  <c r="AF154" i="20" s="1"/>
  <c r="AF61" i="20" s="1"/>
  <c r="P176" i="20" a="1"/>
  <c r="P176" i="20" s="1"/>
  <c r="P83" i="20" s="1"/>
  <c r="L154" i="20" a="1"/>
  <c r="L154" i="20" s="1"/>
  <c r="L61" i="20" s="1"/>
  <c r="T199" i="20" a="1"/>
  <c r="T199" i="20" s="1"/>
  <c r="T106" i="20" s="1"/>
  <c r="AK202" i="20" a="1"/>
  <c r="AK202" i="20" s="1"/>
  <c r="AK109" i="20" s="1"/>
  <c r="AM175" i="20" a="1"/>
  <c r="AM175" i="20" s="1"/>
  <c r="AA159" i="20" a="1"/>
  <c r="AA159" i="20" s="1"/>
  <c r="AA66" i="20" s="1"/>
  <c r="AM202" i="20" a="1"/>
  <c r="AM202" i="20" s="1"/>
  <c r="AM109" i="20" s="1"/>
  <c r="Q155" i="20" a="1"/>
  <c r="Q155" i="20" s="1"/>
  <c r="Q62" i="20" s="1"/>
  <c r="AF171" i="20" a="1"/>
  <c r="AF171" i="20" s="1"/>
  <c r="AF78" i="20" s="1"/>
  <c r="AL151" i="20" a="1"/>
  <c r="AL151" i="20" s="1"/>
  <c r="AL58" i="20" s="1"/>
  <c r="AM171" i="20" a="1"/>
  <c r="AM171" i="20" s="1"/>
  <c r="AM78" i="20" s="1"/>
  <c r="K193" i="20" a="1"/>
  <c r="K193" i="20" s="1"/>
  <c r="K100" i="20" s="1"/>
  <c r="V171" i="20" a="1"/>
  <c r="V171" i="20" s="1"/>
  <c r="V78" i="20" s="1"/>
  <c r="AN186" i="20" a="1"/>
  <c r="AN186" i="20" s="1"/>
  <c r="AN93" i="20" s="1"/>
  <c r="P184" i="20" a="1"/>
  <c r="P184" i="20" s="1"/>
  <c r="P91" i="20" s="1"/>
  <c r="AA134" i="20" a="1"/>
  <c r="AA134" i="20" s="1"/>
  <c r="AA41" i="20" s="1"/>
  <c r="R181" i="20" a="1"/>
  <c r="R181" i="20" s="1"/>
  <c r="R88" i="20" s="1"/>
  <c r="AH163" i="20" a="1"/>
  <c r="AH163" i="20" s="1"/>
  <c r="AH70" i="20" s="1"/>
  <c r="AJ186" i="20" a="1"/>
  <c r="AJ186" i="20" s="1"/>
  <c r="AJ93" i="20" s="1"/>
  <c r="AU154" i="20" a="1"/>
  <c r="AU154" i="20" s="1"/>
  <c r="AU143" i="20" a="1"/>
  <c r="AU143" i="20" s="1"/>
  <c r="AU50" i="20" s="1"/>
  <c r="U145" i="20" a="1"/>
  <c r="U145" i="20" s="1"/>
  <c r="U52" i="20" s="1"/>
  <c r="AC201" i="20" a="1"/>
  <c r="AC201" i="20" s="1"/>
  <c r="M183" i="20" a="1"/>
  <c r="M183" i="20" s="1"/>
  <c r="M90" i="20" s="1"/>
  <c r="K190" i="20" a="1"/>
  <c r="K190" i="20" s="1"/>
  <c r="K97" i="20" s="1"/>
  <c r="G200" i="20" a="1"/>
  <c r="G200" i="20" s="1"/>
  <c r="G107" i="20" s="1"/>
  <c r="G142" i="20" a="1"/>
  <c r="G142" i="20" s="1"/>
  <c r="K145" i="20" a="1"/>
  <c r="K145" i="20" s="1"/>
  <c r="K52" i="20" s="1"/>
  <c r="AI148" i="20" a="1"/>
  <c r="AI148" i="20" s="1"/>
  <c r="AI55" i="20" s="1"/>
  <c r="AV169" i="20" a="1"/>
  <c r="AV169" i="20" s="1"/>
  <c r="AV76" i="20" s="1"/>
  <c r="AU202" i="20" a="1"/>
  <c r="AU202" i="20" s="1"/>
  <c r="AU109" i="20" s="1"/>
  <c r="V144" i="20" a="1"/>
  <c r="V144" i="20" s="1"/>
  <c r="V51" i="20" s="1"/>
  <c r="P150" i="20" a="1"/>
  <c r="P150" i="20" s="1"/>
  <c r="P57" i="20" s="1"/>
  <c r="AB142" i="20" a="1"/>
  <c r="AB142" i="20" s="1"/>
  <c r="AB49" i="20" s="1"/>
  <c r="AS143" i="20" a="1"/>
  <c r="AS143" i="20" s="1"/>
  <c r="AS50" i="20" s="1"/>
  <c r="AT141" i="20" a="1"/>
  <c r="AT141" i="20" s="1"/>
  <c r="AT48" i="20" s="1"/>
  <c r="AU136" i="20" a="1"/>
  <c r="AU136" i="20" s="1"/>
  <c r="AU43" i="20" s="1"/>
  <c r="AF156" i="20" a="1"/>
  <c r="AF156" i="20" s="1"/>
  <c r="AF63" i="20" s="1"/>
  <c r="Z136" i="20" a="1"/>
  <c r="Z136" i="20" s="1"/>
  <c r="Z43" i="20" s="1"/>
  <c r="AT200" i="20" a="1"/>
  <c r="AT200" i="20" s="1"/>
  <c r="AT107" i="20" s="1"/>
  <c r="AA153" i="20" a="1"/>
  <c r="AA153" i="20" s="1"/>
  <c r="AA60" i="20" s="1"/>
  <c r="J162" i="20" a="1"/>
  <c r="J162" i="20" s="1"/>
  <c r="J69" i="20" s="1"/>
  <c r="AK201" i="20" a="1"/>
  <c r="AK201" i="20" s="1"/>
  <c r="AH134" i="20" a="1"/>
  <c r="AH134" i="20" s="1"/>
  <c r="AH41" i="20" s="1"/>
  <c r="AJ168" i="20" a="1"/>
  <c r="AJ168" i="20" s="1"/>
  <c r="AJ75" i="20" s="1"/>
  <c r="AA150" i="20" a="1"/>
  <c r="AA150" i="20" s="1"/>
  <c r="AA57" i="20" s="1"/>
  <c r="AJ153" i="20" a="1"/>
  <c r="AJ153" i="20" s="1"/>
  <c r="AJ60" i="20" s="1"/>
  <c r="K163" i="20" a="1"/>
  <c r="K163" i="20" s="1"/>
  <c r="K70" i="20" s="1"/>
  <c r="U164" i="20" a="1"/>
  <c r="U164" i="20" s="1"/>
  <c r="U71" i="20" s="1"/>
  <c r="AL201" i="20" a="1"/>
  <c r="AL201" i="20" s="1"/>
  <c r="AD189" i="20" a="1"/>
  <c r="AD189" i="20" s="1"/>
  <c r="AD96" i="20" s="1"/>
  <c r="AD192" i="20" a="1"/>
  <c r="AD192" i="20" s="1"/>
  <c r="AD99" i="20" s="1"/>
  <c r="AO170" i="20" a="1"/>
  <c r="AO170" i="20" s="1"/>
  <c r="AO77" i="20" s="1"/>
  <c r="AK150" i="20" a="1"/>
  <c r="AK150" i="20" s="1"/>
  <c r="AK57" i="20" s="1"/>
  <c r="AM134" i="20" a="1"/>
  <c r="AM134" i="20" s="1"/>
  <c r="AM41" i="20" s="1"/>
  <c r="K192" i="20" a="1"/>
  <c r="K192" i="20" s="1"/>
  <c r="K99" i="20" s="1"/>
  <c r="AU199" i="20" a="1"/>
  <c r="AU199" i="20" s="1"/>
  <c r="AU106" i="20" s="1"/>
  <c r="M154" i="20" a="1"/>
  <c r="M154" i="20" s="1"/>
  <c r="AR182" i="20" a="1"/>
  <c r="AR182" i="20" s="1"/>
  <c r="AR89" i="20" s="1"/>
  <c r="AP203" i="20" a="1"/>
  <c r="AP203" i="20" s="1"/>
  <c r="AP110" i="20" s="1"/>
  <c r="I183" i="20" a="1"/>
  <c r="I183" i="20" s="1"/>
  <c r="I90" i="20" s="1"/>
  <c r="AG148" i="20" a="1"/>
  <c r="AG148" i="20" s="1"/>
  <c r="AG55" i="20" s="1"/>
  <c r="AK180" i="20" a="1"/>
  <c r="AK180" i="20" s="1"/>
  <c r="AK87" i="20" s="1"/>
  <c r="AG142" i="20" a="1"/>
  <c r="AG142" i="20" s="1"/>
  <c r="AO173" i="20" a="1"/>
  <c r="AO173" i="20" s="1"/>
  <c r="AO80" i="20" s="1"/>
  <c r="K203" i="20" a="1"/>
  <c r="K203" i="20" s="1"/>
  <c r="K110" i="20" s="1"/>
  <c r="M128" i="20" a="1"/>
  <c r="M128" i="20" s="1"/>
  <c r="AF184" i="20" a="1"/>
  <c r="AF184" i="20" s="1"/>
  <c r="AF91" i="20" s="1"/>
  <c r="AH144" i="20" a="1"/>
  <c r="AH144" i="20" s="1"/>
  <c r="AH51" i="20" s="1"/>
  <c r="AD180" i="20" a="1"/>
  <c r="AD180" i="20" s="1"/>
  <c r="AD87" i="20" s="1"/>
  <c r="W154" i="20" a="1"/>
  <c r="W154" i="20" s="1"/>
  <c r="W61" i="20" s="1"/>
  <c r="I181" i="20" a="1"/>
  <c r="I181" i="20" s="1"/>
  <c r="I88" i="20" s="1"/>
  <c r="V201" i="20" a="1"/>
  <c r="V201" i="20" s="1"/>
  <c r="AN171" i="20" a="1"/>
  <c r="AN171" i="20" s="1"/>
  <c r="AN78" i="20" s="1"/>
  <c r="AH162" i="20" a="1"/>
  <c r="AH162" i="20" s="1"/>
  <c r="F188" i="20" a="1"/>
  <c r="F188" i="20" s="1"/>
  <c r="AG162" i="20" a="1"/>
  <c r="AG162" i="20" s="1"/>
  <c r="AG69" i="20" s="1"/>
  <c r="AL197" i="20" a="1"/>
  <c r="AL197" i="20" s="1"/>
  <c r="AL104" i="20" s="1"/>
  <c r="G181" i="20" a="1"/>
  <c r="G181" i="20" s="1"/>
  <c r="G88" i="20" s="1"/>
  <c r="T188" i="20" a="1"/>
  <c r="T188" i="20" s="1"/>
  <c r="AL188" i="20" a="1"/>
  <c r="AL188" i="20" s="1"/>
  <c r="E183" i="20" a="1"/>
  <c r="E183" i="20" s="1"/>
  <c r="AN135" i="20" a="1"/>
  <c r="AN135" i="20" s="1"/>
  <c r="AN42" i="20" s="1"/>
  <c r="R155" i="20" a="1"/>
  <c r="R155" i="20" s="1"/>
  <c r="R62" i="20" s="1"/>
  <c r="AN162" i="20" a="1"/>
  <c r="AN162" i="20" s="1"/>
  <c r="AN69" i="20" s="1"/>
  <c r="F177" i="20" a="1"/>
  <c r="F177" i="20" s="1"/>
  <c r="F84" i="20" s="1"/>
  <c r="AQ169" i="20" a="1"/>
  <c r="AQ169" i="20" s="1"/>
  <c r="AQ76" i="20" s="1"/>
  <c r="T197" i="20" a="1"/>
  <c r="T197" i="20" s="1"/>
  <c r="T104" i="20" s="1"/>
  <c r="AO168" i="20" a="1"/>
  <c r="AO168" i="20" s="1"/>
  <c r="AO75" i="20" s="1"/>
  <c r="AI202" i="20" a="1"/>
  <c r="AI202" i="20" s="1"/>
  <c r="AI109" i="20" s="1"/>
  <c r="AR181" i="20" a="1"/>
  <c r="AR181" i="20" s="1"/>
  <c r="AR88" i="20" s="1"/>
  <c r="E176" i="20" a="1"/>
  <c r="E176" i="20" s="1"/>
  <c r="J181" i="20" a="1"/>
  <c r="J181" i="20" s="1"/>
  <c r="J88" i="20" s="1"/>
  <c r="AL175" i="20" a="1"/>
  <c r="AL175" i="20" s="1"/>
  <c r="J190" i="20" a="1"/>
  <c r="J190" i="20" s="1"/>
  <c r="J97" i="20" s="1"/>
  <c r="U203" i="20" a="1"/>
  <c r="U203" i="20" s="1"/>
  <c r="U110" i="20" s="1"/>
  <c r="U177" i="20" a="1"/>
  <c r="U177" i="20" s="1"/>
  <c r="U84" i="20" s="1"/>
  <c r="V145" i="20" a="1"/>
  <c r="V145" i="20" s="1"/>
  <c r="V52" i="20" s="1"/>
  <c r="AO179" i="20" a="1"/>
  <c r="AO179" i="20" s="1"/>
  <c r="AO86" i="20" s="1"/>
  <c r="Z190" i="20" a="1"/>
  <c r="Z190" i="20" s="1"/>
  <c r="Z97" i="20" s="1"/>
  <c r="AE144" i="20" a="1"/>
  <c r="AE144" i="20" s="1"/>
  <c r="AE51" i="20" s="1"/>
  <c r="F150" i="20" a="1"/>
  <c r="F150" i="20" s="1"/>
  <c r="F57" i="20" s="1"/>
  <c r="S132" i="20" a="1"/>
  <c r="S132" i="20" s="1"/>
  <c r="S39" i="20" s="1"/>
  <c r="AB199" i="20" a="1"/>
  <c r="AB199" i="20" s="1"/>
  <c r="AB106" i="20" s="1"/>
  <c r="AQ168" i="20" a="1"/>
  <c r="AQ168" i="20" s="1"/>
  <c r="AQ75" i="20" s="1"/>
  <c r="Y197" i="20" a="1"/>
  <c r="Y197" i="20" s="1"/>
  <c r="Y104" i="20" s="1"/>
  <c r="Y135" i="20" a="1"/>
  <c r="Y135" i="20" s="1"/>
  <c r="Y42" i="20" s="1"/>
  <c r="AM199" i="20" a="1"/>
  <c r="AM199" i="20" s="1"/>
  <c r="AM106" i="20" s="1"/>
  <c r="H153" i="20" a="1"/>
  <c r="H153" i="20" s="1"/>
  <c r="AF173" i="20" a="1"/>
  <c r="AF173" i="20" s="1"/>
  <c r="AF80" i="20" s="1"/>
  <c r="AL189" i="20" a="1"/>
  <c r="AL189" i="20" s="1"/>
  <c r="AL96" i="20" s="1"/>
  <c r="E200" i="20" a="1"/>
  <c r="E200" i="20" s="1"/>
  <c r="AI197" i="20" a="1"/>
  <c r="AI197" i="20" s="1"/>
  <c r="AI104" i="20" s="1"/>
  <c r="K164" i="20" a="1"/>
  <c r="K164" i="20" s="1"/>
  <c r="K71" i="20" s="1"/>
  <c r="AG153" i="20" a="1"/>
  <c r="AG153" i="20" s="1"/>
  <c r="AG60" i="20" s="1"/>
  <c r="S150" i="20" a="1"/>
  <c r="S150" i="20" s="1"/>
  <c r="S57" i="20" s="1"/>
  <c r="AJ143" i="20" a="1"/>
  <c r="AJ143" i="20" s="1"/>
  <c r="AJ50" i="20" s="1"/>
  <c r="AJ197" i="20" a="1"/>
  <c r="AJ197" i="20" s="1"/>
  <c r="AJ104" i="20" s="1"/>
  <c r="AA183" i="20" a="1"/>
  <c r="AA183" i="20" s="1"/>
  <c r="AA90" i="20" s="1"/>
  <c r="X201" i="20" a="1"/>
  <c r="X201" i="20" s="1"/>
  <c r="AM168" i="20" a="1"/>
  <c r="AM168" i="20" s="1"/>
  <c r="AM75" i="20" s="1"/>
  <c r="K177" i="20" a="1"/>
  <c r="K177" i="20" s="1"/>
  <c r="K84" i="20" s="1"/>
  <c r="AJ141" i="20" a="1"/>
  <c r="AJ141" i="20" s="1"/>
  <c r="AJ48" i="20" s="1"/>
  <c r="AI157" i="20" a="1"/>
  <c r="AI157" i="20" s="1"/>
  <c r="AI64" i="20" s="1"/>
  <c r="L142" i="20" a="1"/>
  <c r="L142" i="20" s="1"/>
  <c r="L49" i="20" s="1"/>
  <c r="AK148" i="20" a="1"/>
  <c r="AK148" i="20" s="1"/>
  <c r="AK55" i="20" s="1"/>
  <c r="AC171" i="20" a="1"/>
  <c r="AC171" i="20" s="1"/>
  <c r="AC78" i="20" s="1"/>
  <c r="AV198" i="20" a="1"/>
  <c r="AV198" i="20" s="1"/>
  <c r="AV105" i="20" s="1"/>
  <c r="AH201" i="20" a="1"/>
  <c r="AH201" i="20" s="1"/>
  <c r="M179" i="20" a="1"/>
  <c r="M179" i="20" s="1"/>
  <c r="M86" i="20" s="1"/>
  <c r="AC132" i="20" a="1"/>
  <c r="AC132" i="20" s="1"/>
  <c r="AC39" i="20" s="1"/>
  <c r="M142" i="20" a="1"/>
  <c r="M142" i="20" s="1"/>
  <c r="M49" i="20" s="1"/>
  <c r="AS156" i="20" a="1"/>
  <c r="AS156" i="20" s="1"/>
  <c r="AS63" i="20" s="1"/>
  <c r="AH203" i="20" a="1"/>
  <c r="AH203" i="20" s="1"/>
  <c r="AH110" i="20" s="1"/>
  <c r="P128" i="20" a="1"/>
  <c r="P128" i="20" s="1"/>
  <c r="V164" i="20" a="1"/>
  <c r="V164" i="20" s="1"/>
  <c r="V71" i="20" s="1"/>
  <c r="AJ189" i="20" a="1"/>
  <c r="AJ189" i="20" s="1"/>
  <c r="AJ96" i="20" s="1"/>
  <c r="AD172" i="20" a="1"/>
  <c r="AD172" i="20" s="1"/>
  <c r="AD79" i="20" s="1"/>
  <c r="AE161" i="20" a="1"/>
  <c r="AE161" i="20" s="1"/>
  <c r="AE68" i="20" s="1"/>
  <c r="AF155" i="20" a="1"/>
  <c r="AF155" i="20" s="1"/>
  <c r="AF62" i="20" s="1"/>
  <c r="AH168" i="20" a="1"/>
  <c r="AH168" i="20" s="1"/>
  <c r="AH75" i="20" s="1"/>
  <c r="AK141" i="20" a="1"/>
  <c r="AK141" i="20" s="1"/>
  <c r="AK48" i="20" s="1"/>
  <c r="AL144" i="20" a="1"/>
  <c r="AL144" i="20" s="1"/>
  <c r="AL51" i="20" s="1"/>
  <c r="S163" i="20" a="1"/>
  <c r="S163" i="20" s="1"/>
  <c r="S70" i="20" s="1"/>
  <c r="AI150" i="20" a="1"/>
  <c r="AI150" i="20" s="1"/>
  <c r="AI57" i="20" s="1"/>
  <c r="V151" i="20" a="1"/>
  <c r="V151" i="20" s="1"/>
  <c r="V58" i="20" s="1"/>
  <c r="L132" i="20" a="1"/>
  <c r="L132" i="20" s="1"/>
  <c r="L39" i="20" s="1"/>
  <c r="L192" i="20" a="1"/>
  <c r="L192" i="20" s="1"/>
  <c r="L99" i="20" s="1"/>
  <c r="AS172" i="20" a="1"/>
  <c r="AS172" i="20" s="1"/>
  <c r="AS79" i="20" s="1"/>
  <c r="AM179" i="20" a="1"/>
  <c r="AM179" i="20" s="1"/>
  <c r="AM86" i="20" s="1"/>
  <c r="AU200" i="20" a="1"/>
  <c r="AU200" i="20" s="1"/>
  <c r="AU107" i="20" s="1"/>
  <c r="AD151" i="20" a="1"/>
  <c r="AD151" i="20" s="1"/>
  <c r="AD58" i="20" s="1"/>
  <c r="K174" i="20" a="1"/>
  <c r="K174" i="20" s="1"/>
  <c r="K81" i="20" s="1"/>
  <c r="AO134" i="20" a="1"/>
  <c r="AO134" i="20" s="1"/>
  <c r="AO41" i="20" s="1"/>
  <c r="AO196" i="20" a="1"/>
  <c r="AO196" i="20" s="1"/>
  <c r="AO103" i="20" s="1"/>
  <c r="AF131" i="20" a="1"/>
  <c r="AF131" i="20" s="1"/>
  <c r="AF38" i="20" s="1"/>
  <c r="S162" i="20" a="1"/>
  <c r="S162" i="20" s="1"/>
  <c r="S69" i="20" s="1"/>
  <c r="S181" i="20" a="1"/>
  <c r="S181" i="20" s="1"/>
  <c r="S88" i="20" s="1"/>
  <c r="Y202" i="20" a="1"/>
  <c r="Y202" i="20" s="1"/>
  <c r="Y109" i="20" s="1"/>
  <c r="AC174" i="20" a="1"/>
  <c r="AC174" i="20" s="1"/>
  <c r="AC81" i="20" s="1"/>
  <c r="AK199" i="20" a="1"/>
  <c r="AK199" i="20" s="1"/>
  <c r="AK106" i="20" s="1"/>
  <c r="K150" i="20" a="1"/>
  <c r="K150" i="20" s="1"/>
  <c r="K57" i="20" s="1"/>
  <c r="AE200" i="20" a="1"/>
  <c r="AE200" i="20" s="1"/>
  <c r="AE107" i="20" s="1"/>
  <c r="AH132" i="20" a="1"/>
  <c r="AH132" i="20" s="1"/>
  <c r="AH39" i="20" s="1"/>
  <c r="AT154" i="20" a="1"/>
  <c r="AT154" i="20" s="1"/>
  <c r="AB162" i="20" a="1"/>
  <c r="AB162" i="20" s="1"/>
  <c r="AB69" i="20" s="1"/>
  <c r="G201" i="20" a="1"/>
  <c r="G201" i="20" s="1"/>
  <c r="P183" i="20" a="1"/>
  <c r="P183" i="20" s="1"/>
  <c r="P90" i="20" s="1"/>
  <c r="AN150" i="20" a="1"/>
  <c r="AN150" i="20" s="1"/>
  <c r="AN57" i="20" s="1"/>
  <c r="Q190" i="20" a="1"/>
  <c r="Q190" i="20" s="1"/>
  <c r="Q97" i="20" s="1"/>
  <c r="O177" i="20" a="1"/>
  <c r="O177" i="20" s="1"/>
  <c r="O84" i="20" s="1"/>
  <c r="M177" i="20" a="1"/>
  <c r="M177" i="20" s="1"/>
  <c r="M84" i="20" s="1"/>
  <c r="T184" i="20" a="1"/>
  <c r="T184" i="20" s="1"/>
  <c r="T91" i="20" s="1"/>
  <c r="AM156" i="20" a="1"/>
  <c r="AM156" i="20" s="1"/>
  <c r="AM63" i="20" s="1"/>
  <c r="AD161" i="20" a="1"/>
  <c r="AD161" i="20" s="1"/>
  <c r="AD68" i="20" s="1"/>
  <c r="F190" i="20" a="1"/>
  <c r="F190" i="20" s="1"/>
  <c r="F97" i="20" s="1"/>
  <c r="AR203" i="20" a="1"/>
  <c r="AR203" i="20" s="1"/>
  <c r="AR110" i="20" s="1"/>
  <c r="AI181" i="20" a="1"/>
  <c r="AI181" i="20" s="1"/>
  <c r="AI88" i="20" s="1"/>
  <c r="AD145" i="20" a="1"/>
  <c r="AD145" i="20" s="1"/>
  <c r="AD52" i="20" s="1"/>
  <c r="AG130" i="20" a="1"/>
  <c r="AG130" i="20" s="1"/>
  <c r="AG37" i="20" s="1"/>
  <c r="Q132" i="20" a="1"/>
  <c r="Q132" i="20" s="1"/>
  <c r="Q39" i="20" s="1"/>
  <c r="S177" i="20" a="1"/>
  <c r="S177" i="20" s="1"/>
  <c r="S84" i="20" s="1"/>
  <c r="AU164" i="20" a="1"/>
  <c r="AU164" i="20" s="1"/>
  <c r="AU71" i="20" s="1"/>
  <c r="AF168" i="20" a="1"/>
  <c r="AF168" i="20" s="1"/>
  <c r="AF75" i="20" s="1"/>
  <c r="AA162" i="20" a="1"/>
  <c r="AA162" i="20" s="1"/>
  <c r="AA69" i="20" s="1"/>
  <c r="M127" i="20" a="1"/>
  <c r="M127" i="20" s="1"/>
  <c r="M34" i="20" s="1"/>
  <c r="N151" i="20" a="1"/>
  <c r="N151" i="20" s="1"/>
  <c r="N58" i="20" s="1"/>
  <c r="AO185" i="20" a="1"/>
  <c r="AO185" i="20" s="1"/>
  <c r="AO92" i="20" s="1"/>
  <c r="AN197" i="20" a="1"/>
  <c r="AN197" i="20" s="1"/>
  <c r="AN104" i="20" s="1"/>
  <c r="AL173" i="20" a="1"/>
  <c r="AL173" i="20" s="1"/>
  <c r="AL80" i="20" s="1"/>
  <c r="AG173" i="20" a="1"/>
  <c r="AG173" i="20" s="1"/>
  <c r="AG80" i="20" s="1"/>
  <c r="AA184" i="20" a="1"/>
  <c r="AA184" i="20" s="1"/>
  <c r="AA91" i="20" s="1"/>
  <c r="AK185" i="20" a="1"/>
  <c r="AK185" i="20" s="1"/>
  <c r="AK92" i="20" s="1"/>
  <c r="Z156" i="20" a="1"/>
  <c r="Z156" i="20" s="1"/>
  <c r="Z63" i="20" s="1"/>
  <c r="AF158" i="20" a="1"/>
  <c r="AF158" i="20" s="1"/>
  <c r="AF65" i="20" s="1"/>
  <c r="U183" i="20" a="1"/>
  <c r="U183" i="20" s="1"/>
  <c r="U90" i="20" s="1"/>
  <c r="AU169" i="20" a="1"/>
  <c r="AU169" i="20" s="1"/>
  <c r="AU76" i="20" s="1"/>
  <c r="AT156" i="20" a="1"/>
  <c r="AT156" i="20" s="1"/>
  <c r="AT63" i="20" s="1"/>
  <c r="F197" i="20" a="1"/>
  <c r="F197" i="20" s="1"/>
  <c r="F104" i="20" s="1"/>
  <c r="O190" i="20" a="1"/>
  <c r="O190" i="20" s="1"/>
  <c r="O97" i="20" s="1"/>
  <c r="AE147" i="20" a="1"/>
  <c r="AE147" i="20" s="1"/>
  <c r="AE54" i="20" s="1"/>
  <c r="F183" i="20" a="1"/>
  <c r="F183" i="20" s="1"/>
  <c r="F90" i="20" s="1"/>
  <c r="V203" i="20" a="1"/>
  <c r="V203" i="20" s="1"/>
  <c r="V110" i="20" s="1"/>
  <c r="S179" i="20" a="1"/>
  <c r="S179" i="20" s="1"/>
  <c r="S86" i="20" s="1"/>
  <c r="AC195" i="20" a="1"/>
  <c r="AC195" i="20" s="1"/>
  <c r="AC102" i="20" s="1"/>
  <c r="E144" i="20" a="1"/>
  <c r="E144" i="20" s="1"/>
  <c r="AM149" i="20" a="1"/>
  <c r="AM149" i="20" s="1"/>
  <c r="AM56" i="20" s="1"/>
  <c r="AE197" i="20" a="1"/>
  <c r="AE197" i="20" s="1"/>
  <c r="AE104" i="20" s="1"/>
  <c r="AJ203" i="20" a="1"/>
  <c r="AJ203" i="20" s="1"/>
  <c r="AJ110" i="20" s="1"/>
  <c r="AK155" i="20" a="1"/>
  <c r="AK155" i="20" s="1"/>
  <c r="AK62" i="20" s="1"/>
  <c r="AE169" i="20" a="1"/>
  <c r="AE169" i="20" s="1"/>
  <c r="AE76" i="20" s="1"/>
  <c r="AR175" i="20" a="1"/>
  <c r="AR175" i="20" s="1"/>
  <c r="AV143" i="20" a="1"/>
  <c r="AV143" i="20" s="1"/>
  <c r="AV50" i="20" s="1"/>
  <c r="AD143" i="20" a="1"/>
  <c r="AD143" i="20" s="1"/>
  <c r="AD50" i="20" s="1"/>
  <c r="AF134" i="20" a="1"/>
  <c r="AF134" i="20" s="1"/>
  <c r="AF41" i="20" s="1"/>
  <c r="AA199" i="20" a="1"/>
  <c r="AA199" i="20" s="1"/>
  <c r="AA106" i="20" s="1"/>
  <c r="AO176" i="20" a="1"/>
  <c r="AO176" i="20" s="1"/>
  <c r="AO83" i="20" s="1"/>
  <c r="AR177" i="20" a="1"/>
  <c r="AR177" i="20" s="1"/>
  <c r="AR84" i="20" s="1"/>
  <c r="G180" i="20" a="1"/>
  <c r="G180" i="20" s="1"/>
  <c r="G87" i="20" s="1"/>
  <c r="AK162" i="20" a="1"/>
  <c r="AK162" i="20" s="1"/>
  <c r="AK69" i="20" s="1"/>
  <c r="O193" i="20" a="1"/>
  <c r="O193" i="20" s="1"/>
  <c r="O100" i="20" s="1"/>
  <c r="AF169" i="20" a="1"/>
  <c r="AF169" i="20" s="1"/>
  <c r="AF76" i="20" s="1"/>
  <c r="AO171" i="20" a="1"/>
  <c r="AO171" i="20" s="1"/>
  <c r="AO78" i="20" s="1"/>
  <c r="X203" i="20" a="1"/>
  <c r="X203" i="20" s="1"/>
  <c r="X110" i="20" s="1"/>
  <c r="J193" i="20" a="1"/>
  <c r="J193" i="20" s="1"/>
  <c r="J100" i="20" s="1"/>
  <c r="R183" i="20" a="1"/>
  <c r="R183" i="20" s="1"/>
  <c r="R90" i="20" s="1"/>
  <c r="AH186" i="20" a="1"/>
  <c r="AH186" i="20" s="1"/>
  <c r="AH93" i="20" s="1"/>
  <c r="AI170" i="20" a="1"/>
  <c r="AI170" i="20" s="1"/>
  <c r="AI77" i="20" s="1"/>
  <c r="AC188" i="20" a="1"/>
  <c r="AC188" i="20" s="1"/>
  <c r="Y144" i="20" a="1"/>
  <c r="Y144" i="20" s="1"/>
  <c r="Y51" i="20" s="1"/>
  <c r="L181" i="20" a="1"/>
  <c r="L181" i="20" s="1"/>
  <c r="L88" i="20" s="1"/>
  <c r="AI141" i="20" a="1"/>
  <c r="AI141" i="20" s="1"/>
  <c r="AI48" i="20" s="1"/>
  <c r="AF181" i="20" a="1"/>
  <c r="AF181" i="20" s="1"/>
  <c r="AF88" i="20" s="1"/>
  <c r="AJ134" i="20" a="1"/>
  <c r="AJ134" i="20" s="1"/>
  <c r="AJ41" i="20" s="1"/>
  <c r="AU181" i="20" a="1"/>
  <c r="AU181" i="20" s="1"/>
  <c r="AU88" i="20" s="1"/>
  <c r="J155" i="20" a="1"/>
  <c r="J155" i="20" s="1"/>
  <c r="J62" i="20" s="1"/>
  <c r="AM163" i="20" a="1"/>
  <c r="AM163" i="20" s="1"/>
  <c r="AM70" i="20" s="1"/>
  <c r="AU182" i="20" a="1"/>
  <c r="AU182" i="20" s="1"/>
  <c r="AU89" i="20" s="1"/>
  <c r="R132" i="20" a="1"/>
  <c r="R132" i="20" s="1"/>
  <c r="R39" i="20" s="1"/>
  <c r="AK134" i="20" a="1"/>
  <c r="AK134" i="20" s="1"/>
  <c r="AK41" i="20" s="1"/>
  <c r="AC156" i="20" a="1"/>
  <c r="AC156" i="20" s="1"/>
  <c r="AC63" i="20" s="1"/>
  <c r="J142" i="20" a="1"/>
  <c r="J142" i="20" s="1"/>
  <c r="AM151" i="20" a="1"/>
  <c r="AM151" i="20" s="1"/>
  <c r="AM58" i="20" s="1"/>
  <c r="E150" i="20" a="1"/>
  <c r="E150" i="20" s="1"/>
  <c r="E57" i="20" s="1"/>
  <c r="U142" i="20" a="1"/>
  <c r="U142" i="20" s="1"/>
  <c r="U49" i="20" s="1"/>
  <c r="AF161" i="20" a="1"/>
  <c r="AF161" i="20" s="1"/>
  <c r="AF68" i="20" s="1"/>
  <c r="AM193" i="20" a="1"/>
  <c r="AM193" i="20" s="1"/>
  <c r="AM100" i="20" s="1"/>
  <c r="P145" i="20" a="1"/>
  <c r="P145" i="20" s="1"/>
  <c r="P52" i="20" s="1"/>
  <c r="AE131" i="20" a="1"/>
  <c r="AE131" i="20" s="1"/>
  <c r="AE38" i="20" s="1"/>
  <c r="AG184" i="20" a="1"/>
  <c r="AG184" i="20" s="1"/>
  <c r="AG91" i="20" s="1"/>
  <c r="AT145" i="20" a="1"/>
  <c r="AT145" i="20" s="1"/>
  <c r="AT52" i="20" s="1"/>
  <c r="K154" i="20" a="1"/>
  <c r="K154" i="20" s="1"/>
  <c r="AL196" i="20" a="1"/>
  <c r="AL196" i="20" s="1"/>
  <c r="AL103" i="20" s="1"/>
  <c r="AB194" i="20" a="1"/>
  <c r="AB194" i="20" s="1"/>
  <c r="AB101" i="20" s="1"/>
  <c r="AI189" i="20" a="1"/>
  <c r="AI189" i="20" s="1"/>
  <c r="AI96" i="20" s="1"/>
  <c r="AO203" i="20" a="1"/>
  <c r="AO203" i="20" s="1"/>
  <c r="AO110" i="20" s="1"/>
  <c r="R144" i="20" a="1"/>
  <c r="R144" i="20" s="1"/>
  <c r="R51" i="20" s="1"/>
  <c r="AG169" i="20" a="1"/>
  <c r="AG169" i="20" s="1"/>
  <c r="AG76" i="20" s="1"/>
  <c r="AD185" i="20" a="1"/>
  <c r="AD185" i="20" s="1"/>
  <c r="AD92" i="20" s="1"/>
  <c r="Y159" i="20" a="1"/>
  <c r="Y159" i="20" s="1"/>
  <c r="Y66" i="20" s="1"/>
  <c r="AV175" i="20" a="1"/>
  <c r="AV175" i="20" s="1"/>
  <c r="AA185" i="20" a="1"/>
  <c r="AA185" i="20" s="1"/>
  <c r="AA92" i="20" s="1"/>
  <c r="AC185" i="20" a="1"/>
  <c r="AC185" i="20" s="1"/>
  <c r="AC92" i="20" s="1"/>
  <c r="AG151" i="20" a="1"/>
  <c r="AG151" i="20" s="1"/>
  <c r="AG58" i="20" s="1"/>
  <c r="R203" i="20" a="1"/>
  <c r="R203" i="20" s="1"/>
  <c r="R110" i="20" s="1"/>
  <c r="AN155" i="20" a="1"/>
  <c r="AN155" i="20" s="1"/>
  <c r="AN62" i="20" s="1"/>
  <c r="AF192" i="20" a="1"/>
  <c r="AF192" i="20" s="1"/>
  <c r="AF99" i="20" s="1"/>
  <c r="AG147" i="20" a="1"/>
  <c r="AG147" i="20" s="1"/>
  <c r="AG54" i="20" s="1"/>
  <c r="AC184" i="20" a="1"/>
  <c r="AC184" i="20" s="1"/>
  <c r="AC91" i="20" s="1"/>
  <c r="P197" i="20" a="1"/>
  <c r="P197" i="20" s="1"/>
  <c r="P104" i="20" s="1"/>
  <c r="AC166" i="20" a="1"/>
  <c r="AC166" i="20" s="1"/>
  <c r="AC73" i="20" s="1"/>
  <c r="AD186" i="20" a="1"/>
  <c r="AD186" i="20" s="1"/>
  <c r="AD93" i="20" s="1"/>
  <c r="Z179" i="20" a="1"/>
  <c r="Z179" i="20" s="1"/>
  <c r="Z86" i="20" s="1"/>
  <c r="J194" i="20" a="1"/>
  <c r="J194" i="20" s="1"/>
  <c r="J101" i="20" s="1"/>
  <c r="S200" i="20" a="1"/>
  <c r="S200" i="20" s="1"/>
  <c r="S107" i="20" s="1"/>
  <c r="AD142" i="20" a="1"/>
  <c r="AD142" i="20" s="1"/>
  <c r="AD49" i="20" s="1"/>
  <c r="Y201" i="20" a="1"/>
  <c r="Y201" i="20" s="1"/>
  <c r="AL160" i="20" a="1"/>
  <c r="AL160" i="20" s="1"/>
  <c r="AL67" i="20" s="1"/>
  <c r="AQ135" i="20" a="1"/>
  <c r="AQ135" i="20" s="1"/>
  <c r="AQ42" i="20" s="1"/>
  <c r="H203" i="20" a="1"/>
  <c r="H203" i="20" s="1"/>
  <c r="H110" i="20" s="1"/>
  <c r="F128" i="20" a="1"/>
  <c r="F128" i="20" s="1"/>
  <c r="F35" i="20" s="1"/>
  <c r="H145" i="20" a="1"/>
  <c r="H145" i="20" s="1"/>
  <c r="H52" i="20" s="1"/>
  <c r="AL168" i="20" a="1"/>
  <c r="AL168" i="20" s="1"/>
  <c r="AL75" i="20" s="1"/>
  <c r="AO180" i="20" a="1"/>
  <c r="AO180" i="20" s="1"/>
  <c r="AO87" i="20" s="1"/>
  <c r="AD141" i="20" a="1"/>
  <c r="AD141" i="20" s="1"/>
  <c r="AD48" i="20" s="1"/>
  <c r="W166" i="20" a="1"/>
  <c r="W166" i="20" s="1"/>
  <c r="W73" i="20" s="1"/>
  <c r="Z203" i="20" a="1"/>
  <c r="Z203" i="20" s="1"/>
  <c r="Z110" i="20" s="1"/>
  <c r="AK186" i="20" a="1"/>
  <c r="AK186" i="20" s="1"/>
  <c r="AK93" i="20" s="1"/>
  <c r="AA154" i="20" a="1"/>
  <c r="AA154" i="20" s="1"/>
  <c r="AR145" i="20" a="1"/>
  <c r="AR145" i="20" s="1"/>
  <c r="AR52" i="20" s="1"/>
  <c r="Y194" i="20" a="1"/>
  <c r="Y194" i="20" s="1"/>
  <c r="Y101" i="20" s="1"/>
  <c r="AN163" i="20" a="1"/>
  <c r="AN163" i="20" s="1"/>
  <c r="AN70" i="20" s="1"/>
  <c r="P154" i="20" a="1"/>
  <c r="P154" i="20" s="1"/>
  <c r="AR169" i="20" a="1"/>
  <c r="AR169" i="20" s="1"/>
  <c r="AR76" i="20" s="1"/>
  <c r="N176" i="20" a="1"/>
  <c r="N176" i="20" s="1"/>
  <c r="N83" i="20" s="1"/>
  <c r="Z183" i="20" a="1"/>
  <c r="Z183" i="20" s="1"/>
  <c r="Z90" i="20" s="1"/>
  <c r="P163" i="20" a="1"/>
  <c r="P163" i="20" s="1"/>
  <c r="P70" i="20" s="1"/>
  <c r="AD176" i="20" a="1"/>
  <c r="AD176" i="20" s="1"/>
  <c r="AD83" i="20" s="1"/>
  <c r="AM132" i="20" a="1"/>
  <c r="AM132" i="20" s="1"/>
  <c r="AM39" i="20" s="1"/>
  <c r="AE173" i="20" a="1"/>
  <c r="AE173" i="20" s="1"/>
  <c r="AE80" i="20" s="1"/>
  <c r="H181" i="20" a="1"/>
  <c r="H181" i="20" s="1"/>
  <c r="H88" i="20" s="1"/>
  <c r="AA181" i="20" a="1"/>
  <c r="AA181" i="20" s="1"/>
  <c r="AA88" i="20" s="1"/>
  <c r="AJ179" i="20" a="1"/>
  <c r="AJ179" i="20" s="1"/>
  <c r="AJ86" i="20" s="1"/>
  <c r="V162" i="20" a="1"/>
  <c r="V162" i="20" s="1"/>
  <c r="V69" i="20" s="1"/>
  <c r="G177" i="20" a="1"/>
  <c r="G177" i="20" s="1"/>
  <c r="G84" i="20" s="1"/>
  <c r="O154" i="20" a="1"/>
  <c r="O154" i="20" s="1"/>
  <c r="O61" i="20" s="1"/>
  <c r="AC193" i="20" a="1"/>
  <c r="AC193" i="20" s="1"/>
  <c r="AC100" i="20" s="1"/>
  <c r="K181" i="20" a="1"/>
  <c r="K181" i="20" s="1"/>
  <c r="K88" i="20" s="1"/>
  <c r="AC133" i="20" a="1"/>
  <c r="AC133" i="20" s="1"/>
  <c r="AC40" i="20" s="1"/>
  <c r="AJ131" i="20" a="1"/>
  <c r="AJ131" i="20" s="1"/>
  <c r="AJ38" i="20" s="1"/>
  <c r="K184" i="20" a="1"/>
  <c r="K184" i="20" s="1"/>
  <c r="K91" i="20" s="1"/>
  <c r="AQ175" i="20" a="1"/>
  <c r="AQ175" i="20" s="1"/>
  <c r="N190" i="20" a="1"/>
  <c r="N190" i="20" s="1"/>
  <c r="N97" i="20" s="1"/>
  <c r="N166" i="20" a="1"/>
  <c r="N166" i="20" s="1"/>
  <c r="N73" i="20" s="1"/>
  <c r="AC187" i="20" a="1"/>
  <c r="AC187" i="20" s="1"/>
  <c r="AC94" i="20" s="1"/>
  <c r="K142" i="20" a="1"/>
  <c r="K142" i="20" s="1"/>
  <c r="K49" i="20" s="1"/>
  <c r="AP181" i="20" a="1"/>
  <c r="AP181" i="20" s="1"/>
  <c r="AP88" i="20" s="1"/>
  <c r="I188" i="20" a="1"/>
  <c r="I188" i="20" s="1"/>
  <c r="AF185" i="20" a="1"/>
  <c r="AF185" i="20" s="1"/>
  <c r="AF92" i="20" s="1"/>
  <c r="O128" i="20" a="1"/>
  <c r="O128" i="20" s="1"/>
  <c r="O35" i="20" s="1"/>
  <c r="AJ185" i="20" a="1"/>
  <c r="AJ185" i="20" s="1"/>
  <c r="AJ92" i="20" s="1"/>
  <c r="AE188" i="20" a="1"/>
  <c r="AE188" i="20" s="1"/>
  <c r="G163" i="20" a="1"/>
  <c r="G163" i="20" s="1"/>
  <c r="G70" i="20" s="1"/>
  <c r="V188" i="20" a="1"/>
  <c r="V188" i="20" s="1"/>
  <c r="AJ176" i="20" a="1"/>
  <c r="AJ176" i="20" s="1"/>
  <c r="AJ83" i="20" s="1"/>
  <c r="I192" i="20" a="1"/>
  <c r="I192" i="20" s="1"/>
  <c r="I99" i="20" s="1"/>
  <c r="AU183" i="20" a="1"/>
  <c r="AU183" i="20" s="1"/>
  <c r="AU90" i="20" s="1"/>
  <c r="AF150" i="20" a="1"/>
  <c r="AF150" i="20" s="1"/>
  <c r="AF57" i="20" s="1"/>
  <c r="AN180" i="20" a="1"/>
  <c r="AN180" i="20" s="1"/>
  <c r="AN87" i="20" s="1"/>
  <c r="AK161" i="20" a="1"/>
  <c r="AK161" i="20" s="1"/>
  <c r="AK68" i="20" s="1"/>
  <c r="J200" i="20" a="1"/>
  <c r="J200" i="20" s="1"/>
  <c r="J107" i="20" s="1"/>
  <c r="O181" i="20" a="1"/>
  <c r="O181" i="20" s="1"/>
  <c r="O88" i="20" s="1"/>
  <c r="X141" i="20" a="1"/>
  <c r="X141" i="20" s="1"/>
  <c r="X48" i="20" s="1"/>
  <c r="AI169" i="20" a="1"/>
  <c r="AI169" i="20" s="1"/>
  <c r="AI76" i="20" s="1"/>
  <c r="AA156" i="20" a="1"/>
  <c r="AA156" i="20" s="1"/>
  <c r="AA63" i="20" s="1"/>
  <c r="AP153" i="20" a="1"/>
  <c r="AP153" i="20" s="1"/>
  <c r="AP60" i="20" s="1"/>
  <c r="AN158" i="20" a="1"/>
  <c r="AN158" i="20" s="1"/>
  <c r="AN65" i="20" s="1"/>
  <c r="AI185" i="20" a="1"/>
  <c r="AI185" i="20" s="1"/>
  <c r="AI92" i="20" s="1"/>
  <c r="AS202" i="20" a="1"/>
  <c r="AS202" i="20" s="1"/>
  <c r="AS109" i="20" s="1"/>
  <c r="AC151" i="20" a="1"/>
  <c r="AC151" i="20" s="1"/>
  <c r="AC58" i="20" s="1"/>
  <c r="AO136" i="20" a="1"/>
  <c r="AO136" i="20" s="1"/>
  <c r="AO43" i="20" s="1"/>
  <c r="AG171" i="20" a="1"/>
  <c r="AG171" i="20" s="1"/>
  <c r="AG78" i="20" s="1"/>
  <c r="V142" i="20" a="1"/>
  <c r="V142" i="20" s="1"/>
  <c r="V49" i="20" s="1"/>
  <c r="M201" i="20" a="1"/>
  <c r="M201" i="20" s="1"/>
  <c r="R162" i="20" a="1"/>
  <c r="R162" i="20" s="1"/>
  <c r="R69" i="20" s="1"/>
  <c r="G128" i="20" a="1"/>
  <c r="G128" i="20" s="1"/>
  <c r="G35" i="20" s="1"/>
  <c r="L190" i="20" a="1"/>
  <c r="L190" i="20" s="1"/>
  <c r="L97" i="20" s="1"/>
  <c r="H128" i="20" a="1"/>
  <c r="H128" i="20" s="1"/>
  <c r="H35" i="20" s="1"/>
  <c r="S166" i="20" a="1"/>
  <c r="S166" i="20" s="1"/>
  <c r="S73" i="20" s="1"/>
  <c r="AU203" i="20" a="1"/>
  <c r="AU203" i="20" s="1"/>
  <c r="AU110" i="20" s="1"/>
  <c r="AT198" i="20" a="1"/>
  <c r="AT198" i="20" s="1"/>
  <c r="AT105" i="20" s="1"/>
  <c r="AQ179" i="20" a="1"/>
  <c r="AQ179" i="20" s="1"/>
  <c r="AQ86" i="20" s="1"/>
  <c r="AM161" i="20" a="1"/>
  <c r="AM161" i="20" s="1"/>
  <c r="AM68" i="20" s="1"/>
  <c r="O150" i="20" a="1"/>
  <c r="O150" i="20" s="1"/>
  <c r="O57" i="20" s="1"/>
  <c r="AO184" i="20" a="1"/>
  <c r="AO184" i="20" s="1"/>
  <c r="AO91" i="20" s="1"/>
  <c r="U199" i="20" a="1"/>
  <c r="U199" i="20" s="1"/>
  <c r="U106" i="20" s="1"/>
  <c r="AF202" i="20" a="1"/>
  <c r="AF202" i="20" s="1"/>
  <c r="AF109" i="20" s="1"/>
  <c r="AO130" i="20" a="1"/>
  <c r="AO130" i="20" s="1"/>
  <c r="AO37" i="20" s="1"/>
  <c r="AO175" i="20" a="1"/>
  <c r="AO175" i="20" s="1"/>
  <c r="AM196" i="20" a="1"/>
  <c r="AM196" i="20" s="1"/>
  <c r="AM103" i="20" s="1"/>
  <c r="AB160" i="20" a="1"/>
  <c r="AB160" i="20" s="1"/>
  <c r="AB67" i="20" s="1"/>
  <c r="AO202" i="20" a="1"/>
  <c r="AO202" i="20" s="1"/>
  <c r="AO109" i="20" s="1"/>
  <c r="H127" i="20" a="1"/>
  <c r="H127" i="20" s="1"/>
  <c r="AL161" i="20" a="1"/>
  <c r="AL161" i="20" s="1"/>
  <c r="AL68" i="20" s="1"/>
  <c r="AH136" i="20" a="1"/>
  <c r="AH136" i="20" s="1"/>
  <c r="AH43" i="20" s="1"/>
  <c r="N136" i="20" a="1"/>
  <c r="N136" i="20" s="1"/>
  <c r="N43" i="20" s="1"/>
  <c r="AQ182" i="20" a="1"/>
  <c r="AQ182" i="20" s="1"/>
  <c r="AQ89" i="20" s="1"/>
  <c r="L163" i="20" a="1"/>
  <c r="L163" i="20" s="1"/>
  <c r="L70" i="20" s="1"/>
  <c r="AU153" i="20" a="1"/>
  <c r="AU153" i="20" s="1"/>
  <c r="AU60" i="20" s="1"/>
  <c r="V197" i="20" a="1"/>
  <c r="V197" i="20" s="1"/>
  <c r="V104" i="20" s="1"/>
  <c r="AT175" i="20" a="1"/>
  <c r="AT175" i="20" s="1"/>
  <c r="AP156" i="20" a="1"/>
  <c r="AP156" i="20" s="1"/>
  <c r="AP63" i="20" s="1"/>
  <c r="Z197" i="20" a="1"/>
  <c r="Z197" i="20" s="1"/>
  <c r="Z104" i="20" s="1"/>
  <c r="AH188" i="20" a="1"/>
  <c r="AH188" i="20" s="1"/>
  <c r="AT144" i="20" a="1"/>
  <c r="AT144" i="20" s="1"/>
  <c r="AT51" i="20" s="1"/>
  <c r="AV187" i="20" a="1"/>
  <c r="AV187" i="20" s="1"/>
  <c r="AV94" i="20" s="1"/>
  <c r="AG141" i="20" a="1"/>
  <c r="AG141" i="20" s="1"/>
  <c r="AG48" i="20" s="1"/>
  <c r="I177" i="20" a="1"/>
  <c r="I177" i="20" s="1"/>
  <c r="I84" i="20" s="1"/>
  <c r="AV181" i="20" a="1"/>
  <c r="AV181" i="20" s="1"/>
  <c r="AV88" i="20" s="1"/>
  <c r="T159" i="20" a="1"/>
  <c r="T159" i="20" s="1"/>
  <c r="T66" i="20" s="1"/>
  <c r="AC203" i="20" a="1"/>
  <c r="AC203" i="20" s="1"/>
  <c r="AC110" i="20" s="1"/>
  <c r="AL180" i="20" a="1"/>
  <c r="AL180" i="20" s="1"/>
  <c r="AL87" i="20" s="1"/>
  <c r="AC155" i="20" a="1"/>
  <c r="AC155" i="20" s="1"/>
  <c r="AC62" i="20" s="1"/>
  <c r="U150" i="20" a="1"/>
  <c r="U150" i="20" s="1"/>
  <c r="U57" i="20" s="1"/>
  <c r="G154" i="20" a="1"/>
  <c r="G154" i="20" s="1"/>
  <c r="E128" i="20" a="1"/>
  <c r="E128" i="20" s="1"/>
  <c r="E126" i="20" s="1"/>
  <c r="W180" i="20" a="1"/>
  <c r="W180" i="20" s="1"/>
  <c r="W87" i="20" s="1"/>
  <c r="AD170" i="20" a="1"/>
  <c r="AD170" i="20" s="1"/>
  <c r="AD77" i="20" s="1"/>
  <c r="AN194" i="20" a="1"/>
  <c r="AN194" i="20" s="1"/>
  <c r="AN101" i="20" s="1"/>
  <c r="AH158" i="20" a="1"/>
  <c r="AH158" i="20" s="1"/>
  <c r="AH65" i="20" s="1"/>
  <c r="F181" i="20" a="1"/>
  <c r="F181" i="20" s="1"/>
  <c r="F88" i="20" s="1"/>
  <c r="AV135" i="20" a="1"/>
  <c r="AV135" i="20" s="1"/>
  <c r="AV42" i="20" s="1"/>
  <c r="S203" i="20" a="1"/>
  <c r="S203" i="20" s="1"/>
  <c r="S110" i="20" s="1"/>
  <c r="E154" i="20" a="1"/>
  <c r="E154" i="20" s="1"/>
  <c r="Q148" i="20" a="1"/>
  <c r="Q148" i="20" s="1"/>
  <c r="Q55" i="20" s="1"/>
  <c r="AO169" i="20" a="1"/>
  <c r="AO169" i="20" s="1"/>
  <c r="AO76" i="20" s="1"/>
  <c r="AM189" i="20" a="1"/>
  <c r="AM189" i="20" s="1"/>
  <c r="AM96" i="20" s="1"/>
  <c r="AJ199" i="20" a="1"/>
  <c r="AJ199" i="20" s="1"/>
  <c r="AJ106" i="20" s="1"/>
  <c r="AR143" i="20" a="1"/>
  <c r="AR143" i="20" s="1"/>
  <c r="AR50" i="20" s="1"/>
  <c r="F154" i="20" a="1"/>
  <c r="F154" i="20" s="1"/>
  <c r="F61" i="20" s="1"/>
  <c r="O162" i="20" a="1"/>
  <c r="O162" i="20" s="1"/>
  <c r="O69" i="20" s="1"/>
  <c r="J203" i="20" a="1"/>
  <c r="J203" i="20" s="1"/>
  <c r="J110" i="20" s="1"/>
  <c r="T144" i="20" a="1"/>
  <c r="T144" i="20" s="1"/>
  <c r="T51" i="20" s="1"/>
  <c r="AD149" i="20" a="1"/>
  <c r="AD149" i="20" s="1"/>
  <c r="AD56" i="20" s="1"/>
  <c r="AD199" i="20" a="1"/>
  <c r="AD199" i="20" s="1"/>
  <c r="AD106" i="20" s="1"/>
  <c r="AM160" i="20" a="1"/>
  <c r="AM160" i="20" s="1"/>
  <c r="AM67" i="20" s="1"/>
  <c r="AC194" i="20" a="1"/>
  <c r="AC194" i="20" s="1"/>
  <c r="AC101" i="20" s="1"/>
  <c r="AO192" i="20" a="1"/>
  <c r="AO192" i="20" s="1"/>
  <c r="AO99" i="20" s="1"/>
  <c r="AD163" i="20" a="1"/>
  <c r="AD163" i="20" s="1"/>
  <c r="AD70" i="20" s="1"/>
  <c r="F127" i="20" a="1"/>
  <c r="F127" i="20" s="1"/>
  <c r="AD155" i="20" a="1"/>
  <c r="AD155" i="20" s="1"/>
  <c r="AD62" i="20" s="1"/>
  <c r="F176" i="20" a="1"/>
  <c r="F176" i="20" s="1"/>
  <c r="F83" i="20" s="1"/>
  <c r="P201" i="20" a="1"/>
  <c r="P201" i="20" s="1"/>
  <c r="U179" i="20" a="1"/>
  <c r="U179" i="20" s="1"/>
  <c r="U86" i="20" s="1"/>
  <c r="L201" i="20" a="1"/>
  <c r="L201" i="20" s="1"/>
  <c r="AL141" i="20" a="1"/>
  <c r="AL141" i="20" s="1"/>
  <c r="AL48" i="20" s="1"/>
  <c r="AC140" i="20" a="1"/>
  <c r="AC140" i="20" s="1"/>
  <c r="H176" i="20" a="1"/>
  <c r="H176" i="20" s="1"/>
  <c r="H83" i="20" s="1"/>
  <c r="AH141" i="20" a="1"/>
  <c r="AH141" i="20" s="1"/>
  <c r="AH48" i="20" s="1"/>
  <c r="AO129" i="20" a="1"/>
  <c r="AO129" i="20" s="1"/>
  <c r="AA192" i="20" a="1"/>
  <c r="AA192" i="20" s="1"/>
  <c r="AA99" i="20" s="1"/>
  <c r="AE189" i="20" a="1"/>
  <c r="AE189" i="20" s="1"/>
  <c r="AE96" i="20" s="1"/>
  <c r="AK181" i="20" a="1"/>
  <c r="AK181" i="20" s="1"/>
  <c r="AK88" i="20" s="1"/>
  <c r="AE150" i="20" a="1"/>
  <c r="AE150" i="20" s="1"/>
  <c r="AE57" i="20" s="1"/>
  <c r="AI161" i="20" a="1"/>
  <c r="AI161" i="20" s="1"/>
  <c r="AI68" i="20" s="1"/>
  <c r="I197" i="20" a="1"/>
  <c r="I197" i="20" s="1"/>
  <c r="I104" i="20" s="1"/>
  <c r="I163" i="20" a="1"/>
  <c r="I163" i="20" s="1"/>
  <c r="I70" i="20" s="1"/>
  <c r="AV141" i="20" a="1"/>
  <c r="AV141" i="20" s="1"/>
  <c r="AV48" i="20" s="1"/>
  <c r="I144" i="20" a="1"/>
  <c r="I144" i="20" s="1"/>
  <c r="I51" i="20" s="1"/>
  <c r="AH176" i="20" a="1"/>
  <c r="AH176" i="20" s="1"/>
  <c r="AH83" i="20" s="1"/>
  <c r="AG193" i="20" a="1"/>
  <c r="AG193" i="20" s="1"/>
  <c r="AG100" i="20" s="1"/>
  <c r="AK169" i="20" a="1"/>
  <c r="AK169" i="20" s="1"/>
  <c r="AK76" i="20" s="1"/>
  <c r="U192" i="20" a="1"/>
  <c r="U192" i="20" s="1"/>
  <c r="U99" i="20" s="1"/>
  <c r="N181" i="20" a="1"/>
  <c r="N181" i="20" s="1"/>
  <c r="N88" i="20" s="1"/>
  <c r="P203" i="20" a="1"/>
  <c r="P203" i="20" s="1"/>
  <c r="P110" i="20" s="1"/>
  <c r="G183" i="20" a="1"/>
  <c r="G183" i="20" s="1"/>
  <c r="G90" i="20" s="1"/>
  <c r="AK171" i="20" a="1"/>
  <c r="AK171" i="20" s="1"/>
  <c r="AK78" i="20" s="1"/>
  <c r="AG155" i="20" a="1"/>
  <c r="AG155" i="20" s="1"/>
  <c r="AG62" i="20" s="1"/>
  <c r="AD147" i="20" a="1"/>
  <c r="AD147" i="20" s="1"/>
  <c r="AD54" i="20" s="1"/>
  <c r="AC146" i="20" a="1"/>
  <c r="AC146" i="20" s="1"/>
  <c r="AC53" i="20" s="1"/>
  <c r="U151" i="20" a="1"/>
  <c r="U151" i="20" s="1"/>
  <c r="U58" i="20" s="1"/>
  <c r="K155" i="20" a="1"/>
  <c r="K155" i="20" s="1"/>
  <c r="K62" i="20" s="1"/>
  <c r="Y155" i="20" a="1"/>
  <c r="Y155" i="20" s="1"/>
  <c r="Y62" i="20" s="1"/>
  <c r="AA203" i="20" a="1"/>
  <c r="AA203" i="20" s="1"/>
  <c r="AA110" i="20" s="1"/>
  <c r="Y183" i="20" a="1"/>
  <c r="Y183" i="20" s="1"/>
  <c r="Y90" i="20" s="1"/>
  <c r="I200" i="20" a="1"/>
  <c r="I200" i="20" s="1"/>
  <c r="I107" i="20" s="1"/>
  <c r="AG160" i="20" a="1"/>
  <c r="AG160" i="20" s="1"/>
  <c r="AG67" i="20" s="1"/>
  <c r="L147" i="20" a="1"/>
  <c r="L147" i="20" s="1"/>
  <c r="L54" i="20" s="1"/>
  <c r="AC136" i="20" a="1"/>
  <c r="AC136" i="20" s="1"/>
  <c r="AC43" i="20" s="1"/>
  <c r="AR199" i="20" a="1"/>
  <c r="AR199" i="20" s="1"/>
  <c r="AR106" i="20" s="1"/>
  <c r="AS199" i="20" a="1"/>
  <c r="AS199" i="20" s="1"/>
  <c r="AS106" i="20" s="1"/>
  <c r="E179" i="20" a="1"/>
  <c r="E179" i="20" s="1"/>
  <c r="AK140" i="20" a="1"/>
  <c r="AK140" i="20" s="1"/>
  <c r="X162" i="20" a="1"/>
  <c r="X162" i="20" s="1"/>
  <c r="X69" i="20" s="1"/>
  <c r="G162" i="20" a="1"/>
  <c r="G162" i="20" s="1"/>
  <c r="G69" i="20" s="1"/>
  <c r="T153" i="20" a="1"/>
  <c r="T153" i="20" s="1"/>
  <c r="X190" i="20" a="1"/>
  <c r="X190" i="20" s="1"/>
  <c r="X97" i="20" s="1"/>
  <c r="AG145" i="20" a="1"/>
  <c r="AG145" i="20" s="1"/>
  <c r="AG52" i="20" s="1"/>
  <c r="AJ156" i="20" a="1"/>
  <c r="AJ156" i="20" s="1"/>
  <c r="AJ63" i="20" s="1"/>
  <c r="AK188" i="20" a="1"/>
  <c r="AK188" i="20" s="1"/>
  <c r="AT187" i="20" a="1"/>
  <c r="AT187" i="20" s="1"/>
  <c r="AT94" i="20" s="1"/>
  <c r="AO181" i="20" a="1"/>
  <c r="AO181" i="20" s="1"/>
  <c r="AO88" i="20" s="1"/>
  <c r="AL149" i="20" a="1"/>
  <c r="AL149" i="20" s="1"/>
  <c r="AL56" i="20" s="1"/>
  <c r="AC145" i="20" a="1"/>
  <c r="AC145" i="20" s="1"/>
  <c r="AC52" i="20" s="1"/>
  <c r="AG154" i="20" a="1"/>
  <c r="AG154" i="20" s="1"/>
  <c r="AJ140" i="20" a="1"/>
  <c r="AJ140" i="20" s="1"/>
  <c r="AJ47" i="20" s="1"/>
  <c r="AL203" i="20" a="1"/>
  <c r="AL203" i="20" s="1"/>
  <c r="AL110" i="20" s="1"/>
  <c r="AU198" i="20" a="1"/>
  <c r="AU198" i="20" s="1"/>
  <c r="AU105" i="20" s="1"/>
  <c r="G189" i="20" a="1"/>
  <c r="G189" i="20" s="1"/>
  <c r="G96" i="20" s="1"/>
  <c r="R145" i="20" a="1"/>
  <c r="R145" i="20" s="1"/>
  <c r="R52" i="20" s="1"/>
  <c r="H199" i="20" a="1"/>
  <c r="H199" i="20" s="1"/>
  <c r="H106" i="20" s="1"/>
  <c r="E163" i="20" a="1"/>
  <c r="E163" i="20" s="1"/>
  <c r="P144" i="20" a="1"/>
  <c r="P144" i="20" s="1"/>
  <c r="P51" i="20" s="1"/>
  <c r="E166" i="20" a="1"/>
  <c r="E166" i="20" s="1"/>
  <c r="W200" i="20" a="1"/>
  <c r="W200" i="20" s="1"/>
  <c r="W107" i="20" s="1"/>
  <c r="AM188" i="20" a="1"/>
  <c r="AM188" i="20" s="1"/>
  <c r="R171" i="20" a="1"/>
  <c r="R171" i="20" s="1"/>
  <c r="R78" i="20" s="1"/>
  <c r="AR146" i="20" a="1"/>
  <c r="AR146" i="20" s="1"/>
  <c r="AR53" i="20" s="1"/>
  <c r="AE170" i="20" a="1"/>
  <c r="AE170" i="20" s="1"/>
  <c r="AE77" i="20" s="1"/>
  <c r="AB177" i="20" a="1"/>
  <c r="AB177" i="20" s="1"/>
  <c r="AB84" i="20" s="1"/>
  <c r="AF176" i="20" a="1"/>
  <c r="AF176" i="20" s="1"/>
  <c r="AF83" i="20" s="1"/>
  <c r="AC179" i="20" a="1"/>
  <c r="AC179" i="20" s="1"/>
  <c r="AC86" i="20" s="1"/>
  <c r="AU175" i="20" a="1"/>
  <c r="AU175" i="20" s="1"/>
  <c r="T177" i="20" a="1"/>
  <c r="T177" i="20" s="1"/>
  <c r="T84" i="20" s="1"/>
  <c r="H193" i="20" a="1"/>
  <c r="H193" i="20" s="1"/>
  <c r="H100" i="20" s="1"/>
  <c r="AD181" i="20" a="1"/>
  <c r="AD181" i="20" s="1"/>
  <c r="AD88" i="20" s="1"/>
  <c r="I128" i="20" a="1"/>
  <c r="I128" i="20" s="1"/>
  <c r="Y162" i="20" a="1"/>
  <c r="Y162" i="20" s="1"/>
  <c r="Y69" i="20" s="1"/>
  <c r="V181" i="20" a="1"/>
  <c r="V181" i="20" s="1"/>
  <c r="V88" i="20" s="1"/>
  <c r="AP175" i="20" a="1"/>
  <c r="AP175" i="20" s="1"/>
  <c r="AD200" i="20" a="1"/>
  <c r="AD200" i="20" s="1"/>
  <c r="AD107" i="20" s="1"/>
  <c r="R188" i="20" a="1"/>
  <c r="R188" i="20" s="1"/>
  <c r="S145" i="20" a="1"/>
  <c r="S145" i="20" s="1"/>
  <c r="S52" i="20" s="1"/>
  <c r="AE193" i="20" a="1"/>
  <c r="AE193" i="20" s="1"/>
  <c r="AE100" i="20" s="1"/>
  <c r="S183" i="20" a="1"/>
  <c r="S183" i="20" s="1"/>
  <c r="S90" i="20" s="1"/>
  <c r="I171" i="20" a="1"/>
  <c r="I171" i="20" s="1"/>
  <c r="I78" i="20" s="1"/>
  <c r="AJ184" i="20" a="1"/>
  <c r="AJ184" i="20" s="1"/>
  <c r="AJ91" i="20" s="1"/>
  <c r="AC182" i="20" a="1"/>
  <c r="AC182" i="20" s="1"/>
  <c r="AC89" i="20" s="1"/>
  <c r="AT172" i="20" a="1"/>
  <c r="AT172" i="20" s="1"/>
  <c r="AT79" i="20" s="1"/>
  <c r="AE162" i="20" a="1"/>
  <c r="AE162" i="20" s="1"/>
  <c r="AE69" i="20" s="1"/>
  <c r="AN195" i="20" a="1"/>
  <c r="AN195" i="20" s="1"/>
  <c r="AN102" i="20" s="1"/>
  <c r="AF160" i="20" a="1"/>
  <c r="AF160" i="20" s="1"/>
  <c r="AF67" i="20" s="1"/>
  <c r="W177" i="20" a="1"/>
  <c r="W177" i="20" s="1"/>
  <c r="W84" i="20" s="1"/>
  <c r="AK163" i="20" a="1"/>
  <c r="AK163" i="20" s="1"/>
  <c r="AK70" i="20" s="1"/>
  <c r="AD196" i="20" a="1"/>
  <c r="AD196" i="20" s="1"/>
  <c r="AD103" i="20" s="1"/>
  <c r="AI140" i="20" a="1"/>
  <c r="AI140" i="20" s="1"/>
  <c r="AH193" i="20" a="1"/>
  <c r="AH193" i="20" s="1"/>
  <c r="AH100" i="20" s="1"/>
  <c r="AE134" i="20" a="1"/>
  <c r="AE134" i="20" s="1"/>
  <c r="AE41" i="20" s="1"/>
  <c r="AV164" i="20" a="1"/>
  <c r="AV164" i="20" s="1"/>
  <c r="AV71" i="20" s="1"/>
  <c r="AN148" i="20" a="1"/>
  <c r="AN148" i="20" s="1"/>
  <c r="AN55" i="20" s="1"/>
  <c r="AH195" i="20" a="1"/>
  <c r="AH195" i="20" s="1"/>
  <c r="AH102" i="20" s="1"/>
  <c r="U200" i="20" a="1"/>
  <c r="U200" i="20" s="1"/>
  <c r="U107" i="20" s="1"/>
  <c r="AH169" i="20" a="1"/>
  <c r="AH169" i="20" s="1"/>
  <c r="AH76" i="20" s="1"/>
  <c r="G144" i="20" a="1"/>
  <c r="G144" i="20" s="1"/>
  <c r="G51" i="20" s="1"/>
  <c r="AO142" i="20" a="1"/>
  <c r="AO142" i="20" s="1"/>
  <c r="AO49" i="20" s="1"/>
  <c r="AJ144" i="20" a="1"/>
  <c r="AJ144" i="20" s="1"/>
  <c r="AJ51" i="20" s="1"/>
  <c r="AB200" i="20" a="1"/>
  <c r="AB200" i="20" s="1"/>
  <c r="AB107" i="20" s="1"/>
  <c r="AU172" i="20" a="1"/>
  <c r="AU172" i="20" s="1"/>
  <c r="AU79" i="20" s="1"/>
  <c r="AM180" i="20" a="1"/>
  <c r="AM180" i="20" s="1"/>
  <c r="AM87" i="20" s="1"/>
  <c r="Z142" i="20" a="1"/>
  <c r="Z142" i="20" s="1"/>
  <c r="Z49" i="20" s="1"/>
  <c r="AQ136" i="20" a="1"/>
  <c r="AQ136" i="20" s="1"/>
  <c r="AQ43" i="20" s="1"/>
  <c r="G179" i="20" a="1"/>
  <c r="G179" i="20" s="1"/>
  <c r="G86" i="20" s="1"/>
  <c r="O192" i="20" a="1"/>
  <c r="O192" i="20" s="1"/>
  <c r="O99" i="20" s="1"/>
  <c r="U190" i="20" a="1"/>
  <c r="U190" i="20" s="1"/>
  <c r="U97" i="20" s="1"/>
  <c r="I164" i="20" a="1"/>
  <c r="I164" i="20" s="1"/>
  <c r="I71" i="20" s="1"/>
  <c r="AQ198" i="20" a="1"/>
  <c r="AQ198" i="20" s="1"/>
  <c r="AQ105" i="20" s="1"/>
  <c r="AF189" i="20" a="1"/>
  <c r="AF189" i="20" s="1"/>
  <c r="AF96" i="20" s="1"/>
  <c r="V166" i="20" a="1"/>
  <c r="V166" i="20" s="1"/>
  <c r="V73" i="20" s="1"/>
  <c r="AM135" i="20" a="1"/>
  <c r="AM135" i="20" s="1"/>
  <c r="AM42" i="20" s="1"/>
  <c r="AR179" i="20" a="1"/>
  <c r="AR179" i="20" s="1"/>
  <c r="AR86" i="20" s="1"/>
  <c r="AJ173" i="20" a="1"/>
  <c r="AJ173" i="20" s="1"/>
  <c r="AJ80" i="20" s="1"/>
  <c r="Z157" i="20" a="1"/>
  <c r="Z157" i="20" s="1"/>
  <c r="Z64" i="20" s="1"/>
  <c r="E203" i="20" a="1"/>
  <c r="E203" i="20" s="1"/>
  <c r="I82" i="20"/>
  <c r="Q152" i="20"/>
  <c r="Q61" i="20"/>
  <c r="J34" i="20"/>
  <c r="AQ108" i="20"/>
  <c r="AM61" i="20"/>
  <c r="H82" i="20"/>
  <c r="Q165" i="20"/>
  <c r="Q82" i="20"/>
  <c r="M47" i="20"/>
  <c r="X60" i="20"/>
  <c r="W82" i="20"/>
  <c r="U165" i="20"/>
  <c r="U82" i="20"/>
  <c r="E81" i="20"/>
  <c r="T82" i="20"/>
  <c r="T139" i="20"/>
  <c r="T47" i="20"/>
  <c r="F47" i="20"/>
  <c r="E55" i="20"/>
  <c r="AQ47" i="20"/>
  <c r="AF126" i="20"/>
  <c r="AF36" i="20"/>
  <c r="D129" i="20"/>
  <c r="E36" i="20"/>
  <c r="AP36" i="20"/>
  <c r="AO61" i="20"/>
  <c r="AR152" i="20"/>
  <c r="AR60" i="20"/>
  <c r="T126" i="20"/>
  <c r="T36" i="20"/>
  <c r="T33" i="20" s="1"/>
  <c r="AA165" i="20"/>
  <c r="AA82" i="20"/>
  <c r="E93" i="20"/>
  <c r="AU95" i="20"/>
  <c r="E56" i="20"/>
  <c r="AD82" i="20"/>
  <c r="AT139" i="20"/>
  <c r="AT47" i="20"/>
  <c r="E47" i="20"/>
  <c r="Y165" i="20"/>
  <c r="Y82" i="20"/>
  <c r="AB139" i="20"/>
  <c r="AB47" i="20"/>
  <c r="AS139" i="20"/>
  <c r="AS47" i="20"/>
  <c r="O165" i="20"/>
  <c r="O82" i="20"/>
  <c r="AV95" i="20"/>
  <c r="AT178" i="20"/>
  <c r="AT95" i="20"/>
  <c r="AM36" i="20"/>
  <c r="X165" i="20"/>
  <c r="X82" i="20"/>
  <c r="E37" i="20"/>
  <c r="G89" i="20"/>
  <c r="E53" i="20"/>
  <c r="Z87" i="20"/>
  <c r="V82" i="20"/>
  <c r="E38" i="20"/>
  <c r="W36" i="20"/>
  <c r="Z165" i="20"/>
  <c r="Z82" i="20"/>
  <c r="E102" i="20"/>
  <c r="AN47" i="13"/>
  <c r="AN54" i="13" s="1"/>
  <c r="AN53" i="13" s="1"/>
  <c r="AG126" i="20"/>
  <c r="AG36" i="20"/>
  <c r="AD35" i="34"/>
  <c r="AD13" i="34"/>
  <c r="AD15" i="34"/>
  <c r="E58" i="20"/>
  <c r="AF82" i="20"/>
  <c r="L34" i="20"/>
  <c r="L82" i="20"/>
  <c r="E103" i="20"/>
  <c r="AR95" i="20"/>
  <c r="E66" i="20"/>
  <c r="G82" i="20"/>
  <c r="AT126" i="20"/>
  <c r="AT36" i="20"/>
  <c r="E109" i="20"/>
  <c r="AU139" i="20"/>
  <c r="AU47" i="20"/>
  <c r="E82" i="20"/>
  <c r="O34" i="20"/>
  <c r="AQ178" i="20"/>
  <c r="AQ95" i="20"/>
  <c r="Y126" i="20"/>
  <c r="Y36" i="20"/>
  <c r="U126" i="20"/>
  <c r="U36" i="20"/>
  <c r="AQ36" i="20"/>
  <c r="E34" i="20"/>
  <c r="E67" i="20"/>
  <c r="AT191" i="20"/>
  <c r="AT108" i="20"/>
  <c r="O60" i="20"/>
  <c r="E80" i="20"/>
  <c r="E79" i="20"/>
  <c r="S126" i="20"/>
  <c r="S36" i="20"/>
  <c r="AB36" i="20"/>
  <c r="Q126" i="20"/>
  <c r="Q36" i="20"/>
  <c r="E75" i="20"/>
  <c r="AB82" i="20"/>
  <c r="Y47" i="20"/>
  <c r="AK36" i="20"/>
  <c r="L139" i="20"/>
  <c r="L47" i="20"/>
  <c r="M165" i="20"/>
  <c r="M82" i="20"/>
  <c r="Y57" i="20"/>
  <c r="AP108" i="20"/>
  <c r="AK82" i="20"/>
  <c r="V36" i="20"/>
  <c r="E105" i="20"/>
  <c r="AL61" i="20"/>
  <c r="E44" i="20"/>
  <c r="S82" i="20"/>
  <c r="E78" i="20"/>
  <c r="D167" i="20"/>
  <c r="E74" i="20"/>
  <c r="E60" i="20"/>
  <c r="AC165" i="20"/>
  <c r="AC82" i="20"/>
  <c r="P165" i="20"/>
  <c r="P82" i="20"/>
  <c r="AJ61" i="20"/>
  <c r="AP152" i="20"/>
  <c r="AP61" i="20"/>
  <c r="AR47" i="20"/>
  <c r="AI36" i="20"/>
  <c r="R165" i="20"/>
  <c r="R82" i="20"/>
  <c r="AF60" i="20"/>
  <c r="AE62" i="20"/>
  <c r="AI135" i="20" a="1"/>
  <c r="AI135" i="20" s="1"/>
  <c r="AI42" i="20" s="1"/>
  <c r="W132" i="20" a="1"/>
  <c r="W132" i="20" s="1"/>
  <c r="W39" i="20" s="1"/>
  <c r="AL54" i="13"/>
  <c r="AL53" i="13" s="1"/>
  <c r="AB29" i="34"/>
  <c r="AB30" i="34" s="1"/>
  <c r="AU126" i="20"/>
  <c r="AU36" i="20"/>
  <c r="AS191" i="20"/>
  <c r="AS108" i="20"/>
  <c r="AJ82" i="20"/>
  <c r="Z47" i="20"/>
  <c r="AD126" i="20"/>
  <c r="AD36" i="20"/>
  <c r="K82" i="20"/>
  <c r="D138" i="20"/>
  <c r="E45" i="20"/>
  <c r="D45" i="20" s="1"/>
  <c r="D44" i="8" s="1"/>
  <c r="AL36" i="20"/>
  <c r="AV126" i="20"/>
  <c r="AV36" i="20"/>
  <c r="R47" i="20"/>
  <c r="F60" i="20"/>
  <c r="AR108" i="20"/>
  <c r="AI82" i="20"/>
  <c r="W139" i="20"/>
  <c r="W47" i="20"/>
  <c r="V47" i="20"/>
  <c r="AP95" i="20"/>
  <c r="AU108" i="20"/>
  <c r="E48" i="20"/>
  <c r="R60" i="20"/>
  <c r="X126" i="20"/>
  <c r="X36" i="20"/>
  <c r="E41" i="20"/>
  <c r="Q139" i="20"/>
  <c r="Q47" i="20"/>
  <c r="E64" i="20"/>
  <c r="AA47" i="20"/>
  <c r="Y52" i="20"/>
  <c r="E77" i="20"/>
  <c r="P49" i="20"/>
  <c r="R100" i="20"/>
  <c r="AE36" i="20"/>
  <c r="AV108" i="20"/>
  <c r="E68" i="20"/>
  <c r="W152" i="20"/>
  <c r="W60" i="20"/>
  <c r="AN61" i="20"/>
  <c r="AP142" i="20" a="1"/>
  <c r="AP142" i="20" s="1"/>
  <c r="V131" i="20" a="1"/>
  <c r="V131" i="20" s="1"/>
  <c r="V38" i="20" s="1"/>
  <c r="S32" i="34"/>
  <c r="S28" i="34" s="1"/>
  <c r="AJ15" i="23"/>
  <c r="AI18" i="23"/>
  <c r="AG55" i="29"/>
  <c r="AG51" i="29" s="1"/>
  <c r="AG56" i="29" s="1"/>
  <c r="AI22" i="23"/>
  <c r="AH21" i="23"/>
  <c r="AN32" i="43" s="1"/>
  <c r="AB33" i="20" l="1"/>
  <c r="AB21" i="20" s="1"/>
  <c r="X33" i="20"/>
  <c r="X21" i="20" s="1"/>
  <c r="D161" i="20"/>
  <c r="AB165" i="20"/>
  <c r="L165" i="20"/>
  <c r="AP126" i="20"/>
  <c r="G165" i="20"/>
  <c r="F139" i="20"/>
  <c r="AV191" i="20"/>
  <c r="AA139" i="20"/>
  <c r="R152" i="20"/>
  <c r="AL126" i="20"/>
  <c r="D168" i="20"/>
  <c r="AQ126" i="20"/>
  <c r="D66" i="20"/>
  <c r="F39" i="8" s="1"/>
  <c r="AF72" i="20"/>
  <c r="AF24" i="20" s="1"/>
  <c r="AF10" i="20" s="1"/>
  <c r="AF358" i="20" s="1"/>
  <c r="AM126" i="20"/>
  <c r="AM152" i="20"/>
  <c r="D159" i="20"/>
  <c r="D146" i="20"/>
  <c r="X152" i="20"/>
  <c r="D140" i="20"/>
  <c r="D175" i="20"/>
  <c r="D127" i="20"/>
  <c r="AP55" i="13"/>
  <c r="AQ50" i="13"/>
  <c r="AN152" i="20"/>
  <c r="AK165" i="20"/>
  <c r="O152" i="20"/>
  <c r="F152" i="20"/>
  <c r="AF152" i="20"/>
  <c r="AJ152" i="20"/>
  <c r="AK126" i="20"/>
  <c r="M139" i="20"/>
  <c r="D153" i="20"/>
  <c r="P139" i="20"/>
  <c r="AP178" i="20"/>
  <c r="AP191" i="20"/>
  <c r="AB126" i="20"/>
  <c r="D196" i="20"/>
  <c r="D130" i="20"/>
  <c r="AV178" i="20"/>
  <c r="D186" i="20"/>
  <c r="AO152" i="20"/>
  <c r="AQ139" i="20"/>
  <c r="D174" i="20"/>
  <c r="AH32" i="13"/>
  <c r="AH33" i="13" s="1"/>
  <c r="AN33" i="43"/>
  <c r="AH32" i="43"/>
  <c r="Z139" i="20"/>
  <c r="AE152" i="20"/>
  <c r="D171" i="20"/>
  <c r="V165" i="20"/>
  <c r="T72" i="20"/>
  <c r="T24" i="20" s="1"/>
  <c r="T10" i="20" s="1"/>
  <c r="T358" i="20" s="1"/>
  <c r="T165" i="20"/>
  <c r="I165" i="20"/>
  <c r="E152" i="20"/>
  <c r="E139" i="20"/>
  <c r="AE126" i="20"/>
  <c r="D157" i="20"/>
  <c r="U33" i="20"/>
  <c r="U21" i="20" s="1"/>
  <c r="J126" i="20"/>
  <c r="D44" i="20"/>
  <c r="D43" i="8" s="1"/>
  <c r="D137" i="20"/>
  <c r="D134" i="20"/>
  <c r="AU191" i="20"/>
  <c r="V139" i="20"/>
  <c r="AI165" i="20"/>
  <c r="AR139" i="20"/>
  <c r="AF165" i="20"/>
  <c r="R139" i="20"/>
  <c r="K165" i="20"/>
  <c r="S165" i="20"/>
  <c r="AL152" i="20"/>
  <c r="D150" i="20"/>
  <c r="Y139" i="20"/>
  <c r="D182" i="20"/>
  <c r="AU178" i="20"/>
  <c r="D148" i="20"/>
  <c r="W165" i="20"/>
  <c r="H165" i="20"/>
  <c r="AQ191" i="20"/>
  <c r="D141" i="20"/>
  <c r="D202" i="20"/>
  <c r="D151" i="20"/>
  <c r="AD165" i="20"/>
  <c r="Z72" i="20"/>
  <c r="Z24" i="20" s="1"/>
  <c r="Z10" i="20" s="1"/>
  <c r="Z358" i="20" s="1"/>
  <c r="J72" i="20"/>
  <c r="J24" i="20" s="1"/>
  <c r="J10" i="20" s="1"/>
  <c r="J358" i="20" s="1"/>
  <c r="F72" i="20"/>
  <c r="F24" i="20" s="1"/>
  <c r="F10" i="20" s="1"/>
  <c r="F358" i="20" s="1"/>
  <c r="AN59" i="20"/>
  <c r="AN23" i="20" s="1"/>
  <c r="AN9" i="20" s="1"/>
  <c r="AN357" i="20" s="1"/>
  <c r="F59" i="20"/>
  <c r="F23" i="20" s="1"/>
  <c r="F9" i="20" s="1"/>
  <c r="F357" i="20" s="1"/>
  <c r="AF59" i="20"/>
  <c r="AF23" i="20" s="1"/>
  <c r="AF9" i="20" s="1"/>
  <c r="AF357" i="20" s="1"/>
  <c r="M72" i="20"/>
  <c r="M24" i="20" s="1"/>
  <c r="M10" i="20" s="1"/>
  <c r="M358" i="20" s="1"/>
  <c r="O59" i="20"/>
  <c r="O23" i="20" s="1"/>
  <c r="O9" i="20" s="1"/>
  <c r="O357" i="20" s="1"/>
  <c r="D109" i="20"/>
  <c r="I43" i="8" s="1"/>
  <c r="AB46" i="20"/>
  <c r="AB22" i="20" s="1"/>
  <c r="AB8" i="20" s="1"/>
  <c r="AB356" i="20" s="1"/>
  <c r="AR59" i="20"/>
  <c r="AR23" i="20" s="1"/>
  <c r="AR9" i="20" s="1"/>
  <c r="AR357" i="20" s="1"/>
  <c r="Q59" i="20"/>
  <c r="Q23" i="20" s="1"/>
  <c r="Q9" i="20" s="1"/>
  <c r="Q357" i="20" s="1"/>
  <c r="AV98" i="20"/>
  <c r="AV26" i="20" s="1"/>
  <c r="AV12" i="20" s="1"/>
  <c r="AV360" i="20" s="1"/>
  <c r="R46" i="20"/>
  <c r="R22" i="20" s="1"/>
  <c r="R8" i="20" s="1"/>
  <c r="R356" i="20" s="1"/>
  <c r="K72" i="20"/>
  <c r="K24" i="20" s="1"/>
  <c r="K10" i="20" s="1"/>
  <c r="K358" i="20" s="1"/>
  <c r="Z46" i="20"/>
  <c r="Z22" i="20" s="1"/>
  <c r="Z8" i="20" s="1"/>
  <c r="Z356" i="20" s="1"/>
  <c r="D74" i="20"/>
  <c r="G34" i="8" s="1"/>
  <c r="AL59" i="20"/>
  <c r="AL23" i="20" s="1"/>
  <c r="AL9" i="20" s="1"/>
  <c r="AL357" i="20" s="1"/>
  <c r="L46" i="20"/>
  <c r="L22" i="20" s="1"/>
  <c r="L8" i="20" s="1"/>
  <c r="L356" i="20" s="1"/>
  <c r="D75" i="20"/>
  <c r="G35" i="8" s="1"/>
  <c r="D67" i="20"/>
  <c r="F40" i="8" s="1"/>
  <c r="G72" i="20"/>
  <c r="G24" i="20" s="1"/>
  <c r="G10" i="20" s="1"/>
  <c r="G358" i="20" s="1"/>
  <c r="D81" i="20"/>
  <c r="G41" i="8" s="1"/>
  <c r="AH72" i="20"/>
  <c r="AH24" i="20" s="1"/>
  <c r="AH10" i="20" s="1"/>
  <c r="AH358" i="20" s="1"/>
  <c r="P46" i="20"/>
  <c r="P22" i="20" s="1"/>
  <c r="P8" i="20" s="1"/>
  <c r="P356" i="20" s="1"/>
  <c r="AA46" i="20"/>
  <c r="AA22" i="20" s="1"/>
  <c r="AA8" i="20" s="1"/>
  <c r="AA356" i="20" s="1"/>
  <c r="P72" i="20"/>
  <c r="P24" i="20" s="1"/>
  <c r="P10" i="20" s="1"/>
  <c r="P358" i="20" s="1"/>
  <c r="D53" i="20"/>
  <c r="E39" i="8" s="1"/>
  <c r="AO59" i="20"/>
  <c r="AO23" i="20" s="1"/>
  <c r="AO9" i="20" s="1"/>
  <c r="AO357" i="20" s="1"/>
  <c r="X59" i="20"/>
  <c r="X23" i="20" s="1"/>
  <c r="X9" i="20" s="1"/>
  <c r="X357" i="20" s="1"/>
  <c r="AU33" i="20"/>
  <c r="AU21" i="20" s="1"/>
  <c r="AT33" i="20"/>
  <c r="AT21" i="20" s="1"/>
  <c r="AG33" i="20"/>
  <c r="AG21" i="20" s="1"/>
  <c r="AV33" i="20"/>
  <c r="AV21" i="20" s="1"/>
  <c r="Q33" i="20"/>
  <c r="AA33" i="20"/>
  <c r="AA21" i="20" s="1"/>
  <c r="O33" i="20"/>
  <c r="O21" i="20" s="1"/>
  <c r="AE33" i="20"/>
  <c r="AE21" i="20" s="1"/>
  <c r="O126" i="20"/>
  <c r="AP33" i="20"/>
  <c r="AP21" i="20" s="1"/>
  <c r="L126" i="20"/>
  <c r="D170" i="20"/>
  <c r="D149" i="20"/>
  <c r="D145" i="20"/>
  <c r="D180" i="20"/>
  <c r="H72" i="20"/>
  <c r="H24" i="20" s="1"/>
  <c r="H10" i="20" s="1"/>
  <c r="H358" i="20" s="1"/>
  <c r="AJ72" i="20"/>
  <c r="AJ24" i="20" s="1"/>
  <c r="AJ10" i="20" s="1"/>
  <c r="AJ358" i="20" s="1"/>
  <c r="AI72" i="20"/>
  <c r="AI24" i="20" s="1"/>
  <c r="AI10" i="20" s="1"/>
  <c r="AI358" i="20" s="1"/>
  <c r="DQ3" i="34"/>
  <c r="DM4" i="34"/>
  <c r="DN4" i="34" s="1"/>
  <c r="DO4" i="34" s="1"/>
  <c r="DP4" i="34" s="1"/>
  <c r="D193" i="20"/>
  <c r="AR191" i="20"/>
  <c r="D160" i="20"/>
  <c r="AK59" i="34"/>
  <c r="AL52" i="34"/>
  <c r="D172" i="20"/>
  <c r="AT98" i="20"/>
  <c r="AT26" i="20" s="1"/>
  <c r="AT12" i="20" s="1"/>
  <c r="AT360" i="20" s="1"/>
  <c r="AG72" i="20"/>
  <c r="AG24" i="20" s="1"/>
  <c r="AG10" i="20" s="1"/>
  <c r="AG358" i="20" s="1"/>
  <c r="D41" i="20"/>
  <c r="D40" i="8" s="1"/>
  <c r="R59" i="20"/>
  <c r="R23" i="20" s="1"/>
  <c r="R9" i="20" s="1"/>
  <c r="R357" i="20" s="1"/>
  <c r="V46" i="20"/>
  <c r="V22" i="20" s="1"/>
  <c r="V8" i="20" s="1"/>
  <c r="V356" i="20" s="1"/>
  <c r="AK72" i="20"/>
  <c r="AK24" i="20" s="1"/>
  <c r="AK10" i="20" s="1"/>
  <c r="AK358" i="20" s="1"/>
  <c r="W59" i="20"/>
  <c r="W23" i="20" s="1"/>
  <c r="W9" i="20" s="1"/>
  <c r="W357" i="20" s="1"/>
  <c r="D77" i="20"/>
  <c r="G37" i="8" s="1"/>
  <c r="O72" i="20"/>
  <c r="O24" i="20" s="1"/>
  <c r="O10" i="20" s="1"/>
  <c r="O358" i="20" s="1"/>
  <c r="AE72" i="20"/>
  <c r="AE24" i="20" s="1"/>
  <c r="AE10" i="20" s="1"/>
  <c r="AE358" i="20" s="1"/>
  <c r="Q46" i="20"/>
  <c r="Q22" i="20" s="1"/>
  <c r="Q8" i="20" s="1"/>
  <c r="Q356" i="20" s="1"/>
  <c r="AR46" i="20"/>
  <c r="AR22" i="20" s="1"/>
  <c r="AR8" i="20" s="1"/>
  <c r="AR356" i="20" s="1"/>
  <c r="D79" i="20"/>
  <c r="G39" i="8" s="1"/>
  <c r="AQ33" i="20"/>
  <c r="AQ21" i="20" s="1"/>
  <c r="AA72" i="20"/>
  <c r="AA24" i="20" s="1"/>
  <c r="AA10" i="20" s="1"/>
  <c r="AA358" i="20" s="1"/>
  <c r="AF33" i="20"/>
  <c r="AF21" i="20" s="1"/>
  <c r="D55" i="20"/>
  <c r="E41" i="8" s="1"/>
  <c r="T46" i="20"/>
  <c r="T22" i="20" s="1"/>
  <c r="T8" i="20" s="1"/>
  <c r="T356" i="20" s="1"/>
  <c r="AR85" i="20"/>
  <c r="AR25" i="20" s="1"/>
  <c r="AR11" i="20" s="1"/>
  <c r="AR359" i="20" s="1"/>
  <c r="N72" i="20"/>
  <c r="N24" i="20" s="1"/>
  <c r="N10" i="20" s="1"/>
  <c r="N358" i="20" s="1"/>
  <c r="AD72" i="20"/>
  <c r="AD24" i="20" s="1"/>
  <c r="AD10" i="20" s="1"/>
  <c r="AD358" i="20" s="1"/>
  <c r="D68" i="20"/>
  <c r="F41" i="8" s="1"/>
  <c r="D48" i="20"/>
  <c r="E34" i="8" s="1"/>
  <c r="W46" i="20"/>
  <c r="W22" i="20" s="1"/>
  <c r="W8" i="20" s="1"/>
  <c r="W356" i="20" s="1"/>
  <c r="D78" i="20"/>
  <c r="G38" i="8" s="1"/>
  <c r="S33" i="20"/>
  <c r="S21" i="20" s="1"/>
  <c r="Y33" i="20"/>
  <c r="Y21" i="20" s="1"/>
  <c r="AU46" i="20"/>
  <c r="AU22" i="20" s="1"/>
  <c r="AU8" i="20" s="1"/>
  <c r="AU356" i="20" s="1"/>
  <c r="D37" i="20"/>
  <c r="D36" i="8" s="1"/>
  <c r="AM33" i="20"/>
  <c r="AM21" i="20" s="1"/>
  <c r="AS46" i="20"/>
  <c r="AS22" i="20" s="1"/>
  <c r="AS8" i="20" s="1"/>
  <c r="AS356" i="20" s="1"/>
  <c r="J33" i="20"/>
  <c r="J21" i="20" s="1"/>
  <c r="AS98" i="20"/>
  <c r="AS26" i="20" s="1"/>
  <c r="AS12" i="20" s="1"/>
  <c r="AS360" i="20" s="1"/>
  <c r="D64" i="20"/>
  <c r="F37" i="8" s="1"/>
  <c r="V33" i="20"/>
  <c r="V21" i="20" s="1"/>
  <c r="D103" i="20"/>
  <c r="I37" i="8" s="1"/>
  <c r="L33" i="20"/>
  <c r="L21" i="20" s="1"/>
  <c r="D58" i="20"/>
  <c r="E44" i="8" s="1"/>
  <c r="AT46" i="20"/>
  <c r="AT22" i="20" s="1"/>
  <c r="AT8" i="20" s="1"/>
  <c r="AT356" i="20" s="1"/>
  <c r="D56" i="20"/>
  <c r="D93" i="20"/>
  <c r="H40" i="8" s="1"/>
  <c r="AQ46" i="20"/>
  <c r="AQ22" i="20" s="1"/>
  <c r="AQ8" i="20" s="1"/>
  <c r="AQ356" i="20" s="1"/>
  <c r="F46" i="20"/>
  <c r="F22" i="20" s="1"/>
  <c r="F8" i="20" s="1"/>
  <c r="F356" i="20" s="1"/>
  <c r="M46" i="20"/>
  <c r="M22" i="20" s="1"/>
  <c r="M8" i="20" s="1"/>
  <c r="M356" i="20" s="1"/>
  <c r="AU98" i="20"/>
  <c r="AU26" i="20" s="1"/>
  <c r="AU12" i="20" s="1"/>
  <c r="AU360" i="20" s="1"/>
  <c r="L72" i="20"/>
  <c r="L24" i="20" s="1"/>
  <c r="L10" i="20" s="1"/>
  <c r="L358" i="20" s="1"/>
  <c r="AP139" i="20"/>
  <c r="AP49" i="20"/>
  <c r="AP46" i="20" s="1"/>
  <c r="AP22" i="20" s="1"/>
  <c r="AP8" i="20" s="1"/>
  <c r="AP356" i="20" s="1"/>
  <c r="AJ165" i="20"/>
  <c r="AI126" i="20"/>
  <c r="D198" i="20"/>
  <c r="Y46" i="20"/>
  <c r="Y22" i="20" s="1"/>
  <c r="Y8" i="20" s="1"/>
  <c r="Y356" i="20" s="1"/>
  <c r="D195" i="20"/>
  <c r="W33" i="20"/>
  <c r="D131" i="20"/>
  <c r="V72" i="20"/>
  <c r="V24" i="20" s="1"/>
  <c r="V10" i="20" s="1"/>
  <c r="V358" i="20" s="1"/>
  <c r="R178" i="20"/>
  <c r="R95" i="20"/>
  <c r="R85" i="20" s="1"/>
  <c r="R25" i="20" s="1"/>
  <c r="R11" i="20" s="1"/>
  <c r="R359" i="20" s="1"/>
  <c r="AM178" i="20"/>
  <c r="AM95" i="20"/>
  <c r="AM85" i="20" s="1"/>
  <c r="AM25" i="20" s="1"/>
  <c r="AM11" i="20" s="1"/>
  <c r="AM359" i="20" s="1"/>
  <c r="D163" i="20"/>
  <c r="E70" i="20"/>
  <c r="D70" i="20" s="1"/>
  <c r="F43" i="8" s="1"/>
  <c r="AK178" i="20"/>
  <c r="AK95" i="20"/>
  <c r="AK85" i="20" s="1"/>
  <c r="AK25" i="20" s="1"/>
  <c r="AK11" i="20" s="1"/>
  <c r="AK359" i="20" s="1"/>
  <c r="T152" i="20"/>
  <c r="T60" i="20"/>
  <c r="T59" i="20" s="1"/>
  <c r="T23" i="20" s="1"/>
  <c r="T9" i="20" s="1"/>
  <c r="T357" i="20" s="1"/>
  <c r="D179" i="20"/>
  <c r="E178" i="20"/>
  <c r="E86" i="20"/>
  <c r="AO126" i="20"/>
  <c r="AO36" i="20"/>
  <c r="AO33" i="20" s="1"/>
  <c r="AQ85" i="20"/>
  <c r="AQ25" i="20" s="1"/>
  <c r="AQ11" i="20" s="1"/>
  <c r="AQ359" i="20" s="1"/>
  <c r="M191" i="20"/>
  <c r="M108" i="20"/>
  <c r="M98" i="20" s="1"/>
  <c r="M26" i="20" s="1"/>
  <c r="M12" i="20" s="1"/>
  <c r="M360" i="20" s="1"/>
  <c r="AP59" i="20"/>
  <c r="AP23" i="20" s="1"/>
  <c r="AP9" i="20" s="1"/>
  <c r="AP357" i="20" s="1"/>
  <c r="V178" i="20"/>
  <c r="V95" i="20"/>
  <c r="V85" i="20" s="1"/>
  <c r="V25" i="20" s="1"/>
  <c r="V11" i="20" s="1"/>
  <c r="V359" i="20" s="1"/>
  <c r="AQ165" i="20"/>
  <c r="AQ82" i="20"/>
  <c r="AQ72" i="20" s="1"/>
  <c r="AQ24" i="20" s="1"/>
  <c r="AQ10" i="20" s="1"/>
  <c r="AQ358" i="20" s="1"/>
  <c r="K152" i="20"/>
  <c r="K61" i="20"/>
  <c r="K59" i="20" s="1"/>
  <c r="K23" i="20" s="1"/>
  <c r="K9" i="20" s="1"/>
  <c r="K357" i="20" s="1"/>
  <c r="D57" i="20"/>
  <c r="E43" i="8" s="1"/>
  <c r="AR165" i="20"/>
  <c r="AR82" i="20"/>
  <c r="AR72" i="20" s="1"/>
  <c r="AR24" i="20" s="1"/>
  <c r="AR10" i="20" s="1"/>
  <c r="AR358" i="20" s="1"/>
  <c r="X191" i="20"/>
  <c r="X108" i="20"/>
  <c r="X98" i="20" s="1"/>
  <c r="X26" i="20" s="1"/>
  <c r="X12" i="20" s="1"/>
  <c r="X360" i="20" s="1"/>
  <c r="D200" i="20"/>
  <c r="E107" i="20"/>
  <c r="D107" i="20" s="1"/>
  <c r="I41" i="8" s="1"/>
  <c r="D176" i="20"/>
  <c r="E83" i="20"/>
  <c r="D83" i="20" s="1"/>
  <c r="G43" i="8" s="1"/>
  <c r="T178" i="20"/>
  <c r="T95" i="20"/>
  <c r="T85" i="20" s="1"/>
  <c r="T25" i="20" s="1"/>
  <c r="T11" i="20" s="1"/>
  <c r="T359" i="20" s="1"/>
  <c r="F178" i="20"/>
  <c r="F95" i="20"/>
  <c r="F85" i="20" s="1"/>
  <c r="F25" i="20" s="1"/>
  <c r="F11" i="20" s="1"/>
  <c r="F359" i="20" s="1"/>
  <c r="AG139" i="20"/>
  <c r="AG49" i="20"/>
  <c r="AG46" i="20" s="1"/>
  <c r="AU152" i="20"/>
  <c r="AU61" i="20"/>
  <c r="AU59" i="20" s="1"/>
  <c r="N178" i="20"/>
  <c r="N95" i="20"/>
  <c r="N85" i="20" s="1"/>
  <c r="N25" i="20" s="1"/>
  <c r="N11" i="20" s="1"/>
  <c r="N359" i="20" s="1"/>
  <c r="AJ139" i="20"/>
  <c r="AJ49" i="20"/>
  <c r="AJ46" i="20" s="1"/>
  <c r="AJ22" i="20" s="1"/>
  <c r="AJ8" i="20" s="1"/>
  <c r="AJ356" i="20" s="1"/>
  <c r="AP98" i="20"/>
  <c r="AP26" i="20" s="1"/>
  <c r="AP12" i="20" s="1"/>
  <c r="AP360" i="20" s="1"/>
  <c r="I191" i="20"/>
  <c r="I108" i="20"/>
  <c r="I98" i="20" s="1"/>
  <c r="I26" i="20" s="1"/>
  <c r="I12" i="20" s="1"/>
  <c r="I360" i="20" s="1"/>
  <c r="Q72" i="20"/>
  <c r="Q24" i="20" s="1"/>
  <c r="Q10" i="20" s="1"/>
  <c r="Q358" i="20" s="1"/>
  <c r="K178" i="20"/>
  <c r="K95" i="20"/>
  <c r="K85" i="20" s="1"/>
  <c r="K25" i="20" s="1"/>
  <c r="K11" i="20" s="1"/>
  <c r="K359" i="20" s="1"/>
  <c r="AL33" i="20"/>
  <c r="M178" i="20"/>
  <c r="M95" i="20"/>
  <c r="M85" i="20" s="1"/>
  <c r="M25" i="20" s="1"/>
  <c r="M11" i="20" s="1"/>
  <c r="M359" i="20" s="1"/>
  <c r="G126" i="20"/>
  <c r="G34" i="20"/>
  <c r="G33" i="20" s="1"/>
  <c r="AI178" i="20"/>
  <c r="AI95" i="20"/>
  <c r="AJ178" i="20"/>
  <c r="AJ95" i="20"/>
  <c r="AJ85" i="20" s="1"/>
  <c r="AJ25" i="20" s="1"/>
  <c r="AJ11" i="20" s="1"/>
  <c r="AJ359" i="20" s="1"/>
  <c r="K126" i="20"/>
  <c r="K35" i="20"/>
  <c r="K33" i="20" s="1"/>
  <c r="N126" i="20"/>
  <c r="N35" i="20"/>
  <c r="N33" i="20" s="1"/>
  <c r="D89" i="20"/>
  <c r="H36" i="8" s="1"/>
  <c r="Y72" i="20"/>
  <c r="Y24" i="20" s="1"/>
  <c r="Y10" i="20" s="1"/>
  <c r="Y358" i="20" s="1"/>
  <c r="AC126" i="20"/>
  <c r="AC36" i="20"/>
  <c r="AC33" i="20" s="1"/>
  <c r="AB72" i="20"/>
  <c r="AB24" i="20" s="1"/>
  <c r="AB10" i="20" s="1"/>
  <c r="AB358" i="20" s="1"/>
  <c r="D199" i="20"/>
  <c r="E106" i="20"/>
  <c r="D106" i="20" s="1"/>
  <c r="I40" i="8" s="1"/>
  <c r="L178" i="20"/>
  <c r="L95" i="20"/>
  <c r="L85" i="20" s="1"/>
  <c r="L25" i="20" s="1"/>
  <c r="L11" i="20" s="1"/>
  <c r="L359" i="20" s="1"/>
  <c r="D162" i="20"/>
  <c r="E69" i="20"/>
  <c r="AN165" i="20"/>
  <c r="AN82" i="20"/>
  <c r="AN72" i="20" s="1"/>
  <c r="AN24" i="20" s="1"/>
  <c r="AN10" i="20" s="1"/>
  <c r="AN358" i="20" s="1"/>
  <c r="D197" i="20"/>
  <c r="E104" i="20"/>
  <c r="D104" i="20" s="1"/>
  <c r="I38" i="8" s="1"/>
  <c r="AH139" i="20"/>
  <c r="AH47" i="20"/>
  <c r="AH46" i="20" s="1"/>
  <c r="AH22" i="20" s="1"/>
  <c r="AH8" i="20" s="1"/>
  <c r="AH356" i="20" s="1"/>
  <c r="X139" i="20"/>
  <c r="X49" i="20"/>
  <c r="X46" i="20" s="1"/>
  <c r="X22" i="20" s="1"/>
  <c r="X8" i="20" s="1"/>
  <c r="X356" i="20" s="1"/>
  <c r="AE98" i="20"/>
  <c r="AE26" i="20" s="1"/>
  <c r="AE12" i="20" s="1"/>
  <c r="AE360" i="20" s="1"/>
  <c r="AM139" i="20"/>
  <c r="AM47" i="20"/>
  <c r="AM46" i="20" s="1"/>
  <c r="AM22" i="20" s="1"/>
  <c r="AM8" i="20" s="1"/>
  <c r="AM356" i="20" s="1"/>
  <c r="AB178" i="20"/>
  <c r="AB95" i="20"/>
  <c r="AB85" i="20" s="1"/>
  <c r="AB25" i="20" s="1"/>
  <c r="AB11" i="20" s="1"/>
  <c r="AB359" i="20" s="1"/>
  <c r="J152" i="20"/>
  <c r="J61" i="20"/>
  <c r="J59" i="20" s="1"/>
  <c r="J23" i="20" s="1"/>
  <c r="J9" i="20" s="1"/>
  <c r="J357" i="20" s="1"/>
  <c r="Z191" i="20"/>
  <c r="Z108" i="20"/>
  <c r="Z98" i="20" s="1"/>
  <c r="Z26" i="20" s="1"/>
  <c r="Z12" i="20" s="1"/>
  <c r="Z360" i="20" s="1"/>
  <c r="AO139" i="20"/>
  <c r="AO47" i="20"/>
  <c r="AO46" i="20" s="1"/>
  <c r="AO22" i="20" s="1"/>
  <c r="AO8" i="20" s="1"/>
  <c r="AO356" i="20" s="1"/>
  <c r="D40" i="20"/>
  <c r="D39" i="8" s="1"/>
  <c r="N165" i="20"/>
  <c r="AJ33" i="20"/>
  <c r="AK59" i="20"/>
  <c r="AK23" i="20" s="1"/>
  <c r="AK9" i="20" s="1"/>
  <c r="AK357" i="20" s="1"/>
  <c r="K139" i="20"/>
  <c r="R33" i="20"/>
  <c r="D147" i="20"/>
  <c r="D42" i="20"/>
  <c r="D41" i="8" s="1"/>
  <c r="D185" i="20"/>
  <c r="AN126" i="20"/>
  <c r="H46" i="20"/>
  <c r="H22" i="20" s="1"/>
  <c r="H8" i="20" s="1"/>
  <c r="H356" i="20" s="1"/>
  <c r="AO47" i="13"/>
  <c r="AO54" i="13" s="1"/>
  <c r="AO53" i="13" s="1"/>
  <c r="W126" i="20"/>
  <c r="I126" i="20"/>
  <c r="I35" i="20"/>
  <c r="I33" i="20" s="1"/>
  <c r="AU165" i="20"/>
  <c r="AU82" i="20"/>
  <c r="AU72" i="20" s="1"/>
  <c r="AU24" i="20" s="1"/>
  <c r="AU10" i="20" s="1"/>
  <c r="AU358" i="20" s="1"/>
  <c r="L191" i="20"/>
  <c r="L108" i="20"/>
  <c r="L98" i="20" s="1"/>
  <c r="L26" i="20" s="1"/>
  <c r="L12" i="20" s="1"/>
  <c r="L360" i="20" s="1"/>
  <c r="AT165" i="20"/>
  <c r="AT82" i="20"/>
  <c r="AT72" i="20" s="1"/>
  <c r="AT24" i="20" s="1"/>
  <c r="AT10" i="20" s="1"/>
  <c r="AT358" i="20" s="1"/>
  <c r="H126" i="20"/>
  <c r="H34" i="20"/>
  <c r="H33" i="20" s="1"/>
  <c r="AO165" i="20"/>
  <c r="AO82" i="20"/>
  <c r="AO72" i="20" s="1"/>
  <c r="AO24" i="20" s="1"/>
  <c r="AO10" i="20" s="1"/>
  <c r="AO358" i="20" s="1"/>
  <c r="AC72" i="20"/>
  <c r="AC24" i="20" s="1"/>
  <c r="AC10" i="20" s="1"/>
  <c r="AC358" i="20" s="1"/>
  <c r="G191" i="20"/>
  <c r="G108" i="20"/>
  <c r="G98" i="20" s="1"/>
  <c r="G26" i="20" s="1"/>
  <c r="G12" i="20" s="1"/>
  <c r="G360" i="20" s="1"/>
  <c r="P126" i="20"/>
  <c r="P35" i="20"/>
  <c r="P33" i="20" s="1"/>
  <c r="AH152" i="20"/>
  <c r="AH69" i="20"/>
  <c r="AH59" i="20" s="1"/>
  <c r="AH23" i="20" s="1"/>
  <c r="AH9" i="20" s="1"/>
  <c r="AH357" i="20" s="1"/>
  <c r="M126" i="20"/>
  <c r="M35" i="20"/>
  <c r="M33" i="20" s="1"/>
  <c r="AJ59" i="20"/>
  <c r="AJ23" i="20" s="1"/>
  <c r="AJ9" i="20" s="1"/>
  <c r="AJ357" i="20" s="1"/>
  <c r="AK191" i="20"/>
  <c r="AK108" i="20"/>
  <c r="AK98" i="20" s="1"/>
  <c r="AK26" i="20" s="1"/>
  <c r="AK12" i="20" s="1"/>
  <c r="AK360" i="20" s="1"/>
  <c r="G139" i="20"/>
  <c r="G49" i="20"/>
  <c r="G46" i="20" s="1"/>
  <c r="G22" i="20" s="1"/>
  <c r="G8" i="20" s="1"/>
  <c r="G356" i="20" s="1"/>
  <c r="AC191" i="20"/>
  <c r="AC108" i="20"/>
  <c r="AC98" i="20" s="1"/>
  <c r="AC26" i="20" s="1"/>
  <c r="AC12" i="20" s="1"/>
  <c r="AC360" i="20" s="1"/>
  <c r="D136" i="20"/>
  <c r="E43" i="20"/>
  <c r="D43" i="20" s="1"/>
  <c r="U191" i="20"/>
  <c r="U108" i="20"/>
  <c r="U98" i="20" s="1"/>
  <c r="U26" i="20" s="1"/>
  <c r="U12" i="20" s="1"/>
  <c r="U360" i="20" s="1"/>
  <c r="J191" i="20"/>
  <c r="J108" i="20"/>
  <c r="J98" i="20" s="1"/>
  <c r="J26" i="20" s="1"/>
  <c r="J12" i="20" s="1"/>
  <c r="J360" i="20" s="1"/>
  <c r="AO191" i="20"/>
  <c r="AO108" i="20"/>
  <c r="AO98" i="20" s="1"/>
  <c r="AO26" i="20" s="1"/>
  <c r="AO12" i="20" s="1"/>
  <c r="AO360" i="20" s="1"/>
  <c r="O139" i="20"/>
  <c r="O49" i="20"/>
  <c r="O46" i="20" s="1"/>
  <c r="O22" i="20" s="1"/>
  <c r="O8" i="20" s="1"/>
  <c r="O356" i="20" s="1"/>
  <c r="D132" i="20"/>
  <c r="E39" i="20"/>
  <c r="D39" i="20" s="1"/>
  <c r="D38" i="8" s="1"/>
  <c r="AD178" i="20"/>
  <c r="AD95" i="20"/>
  <c r="AD85" i="20" s="1"/>
  <c r="AD25" i="20" s="1"/>
  <c r="AD11" i="20" s="1"/>
  <c r="AD359" i="20" s="1"/>
  <c r="N191" i="20"/>
  <c r="N108" i="20"/>
  <c r="N98" i="20" s="1"/>
  <c r="N26" i="20" s="1"/>
  <c r="N12" i="20" s="1"/>
  <c r="N360" i="20" s="1"/>
  <c r="Z152" i="20"/>
  <c r="Z69" i="20"/>
  <c r="Z59" i="20" s="1"/>
  <c r="Z23" i="20" s="1"/>
  <c r="Z9" i="20" s="1"/>
  <c r="Z357" i="20" s="1"/>
  <c r="D177" i="20"/>
  <c r="E84" i="20"/>
  <c r="D84" i="20" s="1"/>
  <c r="G44" i="8" s="1"/>
  <c r="AR98" i="20"/>
  <c r="AR26" i="20" s="1"/>
  <c r="AR12" i="20" s="1"/>
  <c r="AR360" i="20" s="1"/>
  <c r="G178" i="20"/>
  <c r="G95" i="20"/>
  <c r="G85" i="20" s="1"/>
  <c r="G25" i="20" s="1"/>
  <c r="G11" i="20" s="1"/>
  <c r="G359" i="20" s="1"/>
  <c r="Q191" i="20"/>
  <c r="Q108" i="20"/>
  <c r="Q98" i="20" s="1"/>
  <c r="Q26" i="20" s="1"/>
  <c r="Q12" i="20" s="1"/>
  <c r="Q360" i="20" s="1"/>
  <c r="Y178" i="20"/>
  <c r="Y95" i="20"/>
  <c r="Y85" i="20" s="1"/>
  <c r="Y25" i="20" s="1"/>
  <c r="Y11" i="20" s="1"/>
  <c r="Y359" i="20" s="1"/>
  <c r="S152" i="20"/>
  <c r="S61" i="20"/>
  <c r="S59" i="20" s="1"/>
  <c r="S23" i="20" s="1"/>
  <c r="S9" i="20" s="1"/>
  <c r="S357" i="20" s="1"/>
  <c r="N152" i="20"/>
  <c r="N61" i="20"/>
  <c r="N59" i="20" s="1"/>
  <c r="N23" i="20" s="1"/>
  <c r="N9" i="20" s="1"/>
  <c r="N357" i="20" s="1"/>
  <c r="D190" i="20"/>
  <c r="E97" i="20"/>
  <c r="D97" i="20" s="1"/>
  <c r="H44" i="8" s="1"/>
  <c r="N139" i="20"/>
  <c r="N49" i="20"/>
  <c r="N46" i="20" s="1"/>
  <c r="N22" i="20" s="1"/>
  <c r="N8" i="20" s="1"/>
  <c r="N356" i="20" s="1"/>
  <c r="AE59" i="20"/>
  <c r="AE23" i="20" s="1"/>
  <c r="AE9" i="20" s="1"/>
  <c r="AE357" i="20" s="1"/>
  <c r="L152" i="20"/>
  <c r="L62" i="20"/>
  <c r="L59" i="20" s="1"/>
  <c r="I152" i="20"/>
  <c r="I61" i="20"/>
  <c r="I59" i="20" s="1"/>
  <c r="I23" i="20" s="1"/>
  <c r="I9" i="20" s="1"/>
  <c r="I357" i="20" s="1"/>
  <c r="X72" i="20"/>
  <c r="X24" i="20" s="1"/>
  <c r="X10" i="20" s="1"/>
  <c r="X358" i="20" s="1"/>
  <c r="AI191" i="20"/>
  <c r="AI108" i="20"/>
  <c r="AI98" i="20" s="1"/>
  <c r="AI26" i="20" s="1"/>
  <c r="AI12" i="20" s="1"/>
  <c r="AI360" i="20" s="1"/>
  <c r="D133" i="20"/>
  <c r="AE165" i="20"/>
  <c r="AJ126" i="20"/>
  <c r="AK152" i="20"/>
  <c r="AS33" i="20"/>
  <c r="AE191" i="20"/>
  <c r="R126" i="20"/>
  <c r="AS178" i="20"/>
  <c r="F165" i="20"/>
  <c r="D155" i="20"/>
  <c r="D135" i="20"/>
  <c r="D94" i="20"/>
  <c r="H41" i="8" s="1"/>
  <c r="D50" i="20"/>
  <c r="E36" i="8" s="1"/>
  <c r="AF6" i="34"/>
  <c r="AF14" i="34"/>
  <c r="AF24" i="34" s="1"/>
  <c r="AG7" i="34"/>
  <c r="H139" i="20"/>
  <c r="D80" i="20"/>
  <c r="G40" i="8" s="1"/>
  <c r="V126" i="20"/>
  <c r="D173" i="20"/>
  <c r="AD16" i="34"/>
  <c r="AI139" i="20"/>
  <c r="AI47" i="20"/>
  <c r="AI46" i="20" s="1"/>
  <c r="AI22" i="20" s="1"/>
  <c r="AI8" i="20" s="1"/>
  <c r="AI356" i="20" s="1"/>
  <c r="AP165" i="20"/>
  <c r="AP82" i="20"/>
  <c r="AP72" i="20" s="1"/>
  <c r="AP24" i="20" s="1"/>
  <c r="AP10" i="20" s="1"/>
  <c r="AP358" i="20" s="1"/>
  <c r="D166" i="20"/>
  <c r="E165" i="20"/>
  <c r="E73" i="20"/>
  <c r="F126" i="20"/>
  <c r="F34" i="20"/>
  <c r="F33" i="20" s="1"/>
  <c r="D154" i="20"/>
  <c r="E61" i="20"/>
  <c r="D128" i="20"/>
  <c r="E35" i="20"/>
  <c r="AH178" i="20"/>
  <c r="AH95" i="20"/>
  <c r="AH85" i="20" s="1"/>
  <c r="AH25" i="20" s="1"/>
  <c r="AH11" i="20" s="1"/>
  <c r="AH359" i="20" s="1"/>
  <c r="AE178" i="20"/>
  <c r="AE95" i="20"/>
  <c r="AE85" i="20" s="1"/>
  <c r="AE25" i="20" s="1"/>
  <c r="AE11" i="20" s="1"/>
  <c r="AE359" i="20" s="1"/>
  <c r="I178" i="20"/>
  <c r="I95" i="20"/>
  <c r="I85" i="20" s="1"/>
  <c r="I25" i="20" s="1"/>
  <c r="I11" i="20" s="1"/>
  <c r="I359" i="20" s="1"/>
  <c r="W72" i="20"/>
  <c r="W24" i="20" s="1"/>
  <c r="W10" i="20" s="1"/>
  <c r="W358" i="20" s="1"/>
  <c r="J139" i="20"/>
  <c r="J49" i="20"/>
  <c r="J46" i="20" s="1"/>
  <c r="J22" i="20" s="1"/>
  <c r="J8" i="20" s="1"/>
  <c r="J356" i="20" s="1"/>
  <c r="D144" i="20"/>
  <c r="E51" i="20"/>
  <c r="D51" i="20" s="1"/>
  <c r="E37" i="8" s="1"/>
  <c r="AL165" i="20"/>
  <c r="AL82" i="20"/>
  <c r="AL72" i="20" s="1"/>
  <c r="AL24" i="20" s="1"/>
  <c r="AL10" i="20" s="1"/>
  <c r="AL358" i="20" s="1"/>
  <c r="D183" i="20"/>
  <c r="E90" i="20"/>
  <c r="D90" i="20" s="1"/>
  <c r="H37" i="8" s="1"/>
  <c r="M152" i="20"/>
  <c r="M61" i="20"/>
  <c r="M59" i="20" s="1"/>
  <c r="M23" i="20" s="1"/>
  <c r="M9" i="20" s="1"/>
  <c r="M357" i="20" s="1"/>
  <c r="AL191" i="20"/>
  <c r="AL108" i="20"/>
  <c r="AL98" i="20" s="1"/>
  <c r="AL26" i="20" s="1"/>
  <c r="AL12" i="20" s="1"/>
  <c r="AL360" i="20" s="1"/>
  <c r="Y152" i="20"/>
  <c r="Y61" i="20"/>
  <c r="Y59" i="20" s="1"/>
  <c r="Y23" i="20" s="1"/>
  <c r="Y9" i="20" s="1"/>
  <c r="Y357" i="20" s="1"/>
  <c r="Z178" i="20"/>
  <c r="Z95" i="20"/>
  <c r="Z85" i="20" s="1"/>
  <c r="Z25" i="20" s="1"/>
  <c r="Z11" i="20" s="1"/>
  <c r="Z359" i="20" s="1"/>
  <c r="U152" i="20"/>
  <c r="U61" i="20"/>
  <c r="U59" i="20" s="1"/>
  <c r="U23" i="20" s="1"/>
  <c r="U9" i="20" s="1"/>
  <c r="U357" i="20" s="1"/>
  <c r="AA191" i="20"/>
  <c r="AA108" i="20"/>
  <c r="AA98" i="20" s="1"/>
  <c r="AA26" i="20" s="1"/>
  <c r="AA12" i="20" s="1"/>
  <c r="AA360" i="20" s="1"/>
  <c r="AN139" i="20"/>
  <c r="AN47" i="20"/>
  <c r="AN46" i="20" s="1"/>
  <c r="AN22" i="20" s="1"/>
  <c r="AN8" i="20" s="1"/>
  <c r="AN356" i="20" s="1"/>
  <c r="AK33" i="20"/>
  <c r="AJ191" i="20"/>
  <c r="AJ108" i="20"/>
  <c r="AJ98" i="20" s="1"/>
  <c r="AJ26" i="20" s="1"/>
  <c r="AJ12" i="20" s="1"/>
  <c r="AJ360" i="20" s="1"/>
  <c r="AG191" i="20"/>
  <c r="AG108" i="20"/>
  <c r="AG98" i="20" s="1"/>
  <c r="AG26" i="20" s="1"/>
  <c r="AG12" i="20" s="1"/>
  <c r="AG360" i="20" s="1"/>
  <c r="D100" i="20"/>
  <c r="I34" i="8" s="1"/>
  <c r="W191" i="20"/>
  <c r="W108" i="20"/>
  <c r="W98" i="20" s="1"/>
  <c r="W26" i="20" s="1"/>
  <c r="W12" i="20" s="1"/>
  <c r="W360" i="20" s="1"/>
  <c r="O191" i="20"/>
  <c r="O108" i="20"/>
  <c r="O98" i="20" s="1"/>
  <c r="O26" i="20" s="1"/>
  <c r="O12" i="20" s="1"/>
  <c r="O360" i="20" s="1"/>
  <c r="D158" i="20"/>
  <c r="E65" i="20"/>
  <c r="D65" i="20" s="1"/>
  <c r="F38" i="8" s="1"/>
  <c r="F191" i="20"/>
  <c r="F108" i="20"/>
  <c r="F98" i="20" s="1"/>
  <c r="F26" i="20" s="1"/>
  <c r="F12" i="20" s="1"/>
  <c r="F360" i="20" s="1"/>
  <c r="AM59" i="20"/>
  <c r="AM23" i="20" s="1"/>
  <c r="AM9" i="20" s="1"/>
  <c r="AM357" i="20" s="1"/>
  <c r="AL139" i="20"/>
  <c r="AL47" i="20"/>
  <c r="AL46" i="20" s="1"/>
  <c r="AL22" i="20" s="1"/>
  <c r="AL8" i="20" s="1"/>
  <c r="AL356" i="20" s="1"/>
  <c r="AU85" i="20"/>
  <c r="AU25" i="20" s="1"/>
  <c r="AU11" i="20" s="1"/>
  <c r="AU359" i="20" s="1"/>
  <c r="H191" i="20"/>
  <c r="H108" i="20"/>
  <c r="H98" i="20" s="1"/>
  <c r="H26" i="20" s="1"/>
  <c r="H12" i="20" s="1"/>
  <c r="H360" i="20" s="1"/>
  <c r="AS152" i="20"/>
  <c r="AS61" i="20"/>
  <c r="AS59" i="20" s="1"/>
  <c r="AS23" i="20" s="1"/>
  <c r="AS9" i="20" s="1"/>
  <c r="AS357" i="20" s="1"/>
  <c r="AG178" i="20"/>
  <c r="AG95" i="20"/>
  <c r="AG85" i="20" s="1"/>
  <c r="AG25" i="20" s="1"/>
  <c r="AG11" i="20" s="1"/>
  <c r="AG359" i="20" s="1"/>
  <c r="AB191" i="20"/>
  <c r="AB108" i="20"/>
  <c r="AB98" i="20" s="1"/>
  <c r="AB26" i="20" s="1"/>
  <c r="AB12" i="20" s="1"/>
  <c r="AB360" i="20" s="1"/>
  <c r="D201" i="20"/>
  <c r="E108" i="20"/>
  <c r="AS85" i="20"/>
  <c r="AS25" i="20" s="1"/>
  <c r="AS11" i="20" s="1"/>
  <c r="AS359" i="20" s="1"/>
  <c r="I72" i="20"/>
  <c r="I24" i="20" s="1"/>
  <c r="I10" i="20" s="1"/>
  <c r="I358" i="20" s="1"/>
  <c r="R191" i="20"/>
  <c r="R108" i="20"/>
  <c r="R98" i="20" s="1"/>
  <c r="R26" i="20" s="1"/>
  <c r="R12" i="20" s="1"/>
  <c r="R360" i="20" s="1"/>
  <c r="U72" i="20"/>
  <c r="U24" i="20" s="1"/>
  <c r="U10" i="20" s="1"/>
  <c r="U358" i="20" s="1"/>
  <c r="D184" i="20"/>
  <c r="E91" i="20"/>
  <c r="D91" i="20" s="1"/>
  <c r="H38" i="8" s="1"/>
  <c r="I139" i="20"/>
  <c r="I49" i="20"/>
  <c r="I46" i="20" s="1"/>
  <c r="I22" i="20" s="1"/>
  <c r="I8" i="20" s="1"/>
  <c r="I356" i="20" s="1"/>
  <c r="D192" i="20"/>
  <c r="E191" i="20"/>
  <c r="E99" i="20"/>
  <c r="AD33" i="20"/>
  <c r="AV46" i="20"/>
  <c r="AV22" i="20" s="1"/>
  <c r="AV8" i="20" s="1"/>
  <c r="AV356" i="20" s="1"/>
  <c r="D76" i="20"/>
  <c r="G36" i="8" s="1"/>
  <c r="D63" i="20"/>
  <c r="F36" i="8" s="1"/>
  <c r="AA126" i="20"/>
  <c r="AS126" i="20"/>
  <c r="S46" i="20"/>
  <c r="S22" i="20" s="1"/>
  <c r="S8" i="20" s="1"/>
  <c r="S356" i="20" s="1"/>
  <c r="Z33" i="20"/>
  <c r="AR33" i="20"/>
  <c r="U46" i="20"/>
  <c r="U22" i="20" s="1"/>
  <c r="U8" i="20" s="1"/>
  <c r="U356" i="20" s="1"/>
  <c r="AH165" i="20"/>
  <c r="D187" i="20"/>
  <c r="D143" i="20"/>
  <c r="AC29" i="34"/>
  <c r="AC30" i="34" s="1"/>
  <c r="AI33" i="20"/>
  <c r="D105" i="20"/>
  <c r="I39" i="8" s="1"/>
  <c r="AR178" i="20"/>
  <c r="D102" i="20"/>
  <c r="I36" i="8" s="1"/>
  <c r="T21" i="20"/>
  <c r="D203" i="20"/>
  <c r="E110" i="20"/>
  <c r="D110" i="20" s="1"/>
  <c r="I44" i="8" s="1"/>
  <c r="AG152" i="20"/>
  <c r="AG61" i="20"/>
  <c r="AG59" i="20" s="1"/>
  <c r="AG23" i="20" s="1"/>
  <c r="AG9" i="20" s="1"/>
  <c r="AG357" i="20" s="1"/>
  <c r="AK139" i="20"/>
  <c r="AK47" i="20"/>
  <c r="AK46" i="20" s="1"/>
  <c r="AK22" i="20" s="1"/>
  <c r="AK8" i="20" s="1"/>
  <c r="AK356" i="20" s="1"/>
  <c r="AC139" i="20"/>
  <c r="AC47" i="20"/>
  <c r="AC46" i="20" s="1"/>
  <c r="AC22" i="20" s="1"/>
  <c r="AC8" i="20" s="1"/>
  <c r="AC356" i="20" s="1"/>
  <c r="P191" i="20"/>
  <c r="P108" i="20"/>
  <c r="P98" i="20" s="1"/>
  <c r="P26" i="20" s="1"/>
  <c r="P12" i="20" s="1"/>
  <c r="P360" i="20" s="1"/>
  <c r="G152" i="20"/>
  <c r="G61" i="20"/>
  <c r="G59" i="20" s="1"/>
  <c r="G23" i="20" s="1"/>
  <c r="G9" i="20" s="1"/>
  <c r="G357" i="20" s="1"/>
  <c r="S72" i="20"/>
  <c r="S24" i="20" s="1"/>
  <c r="S10" i="20" s="1"/>
  <c r="S358" i="20" s="1"/>
  <c r="P152" i="20"/>
  <c r="P61" i="20"/>
  <c r="P59" i="20" s="1"/>
  <c r="P23" i="20" s="1"/>
  <c r="P9" i="20" s="1"/>
  <c r="P357" i="20" s="1"/>
  <c r="AA152" i="20"/>
  <c r="AA61" i="20"/>
  <c r="AA59" i="20" s="1"/>
  <c r="Y191" i="20"/>
  <c r="Y108" i="20"/>
  <c r="Y98" i="20" s="1"/>
  <c r="Y26" i="20" s="1"/>
  <c r="Y12" i="20" s="1"/>
  <c r="Y360" i="20" s="1"/>
  <c r="AV165" i="20"/>
  <c r="AV82" i="20"/>
  <c r="AV72" i="20" s="1"/>
  <c r="AV24" i="20" s="1"/>
  <c r="AV10" i="20" s="1"/>
  <c r="AV358" i="20" s="1"/>
  <c r="AC178" i="20"/>
  <c r="AC95" i="20"/>
  <c r="AC85" i="20" s="1"/>
  <c r="AC25" i="20" s="1"/>
  <c r="AC11" i="20" s="1"/>
  <c r="AC359" i="20" s="1"/>
  <c r="AT152" i="20"/>
  <c r="AT61" i="20"/>
  <c r="AT59" i="20" s="1"/>
  <c r="AT23" i="20" s="1"/>
  <c r="AT9" i="20" s="1"/>
  <c r="AT357" i="20" s="1"/>
  <c r="AH191" i="20"/>
  <c r="AH108" i="20"/>
  <c r="AH98" i="20" s="1"/>
  <c r="AH26" i="20" s="1"/>
  <c r="AH12" i="20" s="1"/>
  <c r="AH360" i="20" s="1"/>
  <c r="H152" i="20"/>
  <c r="H60" i="20"/>
  <c r="H59" i="20" s="1"/>
  <c r="H23" i="20" s="1"/>
  <c r="H9" i="20" s="1"/>
  <c r="H357" i="20" s="1"/>
  <c r="AL178" i="20"/>
  <c r="AL95" i="20"/>
  <c r="AL85" i="20" s="1"/>
  <c r="AL25" i="20" s="1"/>
  <c r="AL11" i="20" s="1"/>
  <c r="AL359" i="20" s="1"/>
  <c r="V191" i="20"/>
  <c r="V108" i="20"/>
  <c r="V98" i="20" s="1"/>
  <c r="V26" i="20" s="1"/>
  <c r="V12" i="20" s="1"/>
  <c r="V360" i="20" s="1"/>
  <c r="AM165" i="20"/>
  <c r="AM82" i="20"/>
  <c r="AM72" i="20" s="1"/>
  <c r="AM24" i="20" s="1"/>
  <c r="AM10" i="20" s="1"/>
  <c r="AM358" i="20" s="1"/>
  <c r="Q178" i="20"/>
  <c r="Q125" i="20" s="1"/>
  <c r="Q246" i="22" s="1"/>
  <c r="Q95" i="20"/>
  <c r="Q85" i="20" s="1"/>
  <c r="Q25" i="20" s="1"/>
  <c r="Q11" i="20" s="1"/>
  <c r="Q359" i="20" s="1"/>
  <c r="T191" i="20"/>
  <c r="T108" i="20"/>
  <c r="T98" i="20" s="1"/>
  <c r="K191" i="20"/>
  <c r="K108" i="20"/>
  <c r="K98" i="20" s="1"/>
  <c r="K26" i="20" s="1"/>
  <c r="K12" i="20" s="1"/>
  <c r="K360" i="20" s="1"/>
  <c r="D142" i="20"/>
  <c r="E49" i="20"/>
  <c r="AI152" i="20"/>
  <c r="AI60" i="20"/>
  <c r="AI59" i="20" s="1"/>
  <c r="AI23" i="20" s="1"/>
  <c r="AI9" i="20" s="1"/>
  <c r="AI357" i="20" s="1"/>
  <c r="AN191" i="20"/>
  <c r="AN108" i="20"/>
  <c r="AN98" i="20" s="1"/>
  <c r="AN26" i="20" s="1"/>
  <c r="AN12" i="20" s="1"/>
  <c r="AN360" i="20" s="1"/>
  <c r="AI85" i="20"/>
  <c r="AI25" i="20" s="1"/>
  <c r="AI11" i="20" s="1"/>
  <c r="AI359" i="20" s="1"/>
  <c r="AA178" i="20"/>
  <c r="AA95" i="20"/>
  <c r="AA85" i="20" s="1"/>
  <c r="AA25" i="20" s="1"/>
  <c r="AA11" i="20" s="1"/>
  <c r="AA359" i="20" s="1"/>
  <c r="S178" i="20"/>
  <c r="S95" i="20"/>
  <c r="S85" i="20" s="1"/>
  <c r="AO178" i="20"/>
  <c r="AO95" i="20"/>
  <c r="AO85" i="20" s="1"/>
  <c r="AO25" i="20" s="1"/>
  <c r="AO11" i="20" s="1"/>
  <c r="AO359" i="20" s="1"/>
  <c r="AD191" i="20"/>
  <c r="AD108" i="20"/>
  <c r="AD98" i="20" s="1"/>
  <c r="AD26" i="20" s="1"/>
  <c r="AD12" i="20" s="1"/>
  <c r="AD360" i="20" s="1"/>
  <c r="AM191" i="20"/>
  <c r="AM108" i="20"/>
  <c r="AM98" i="20" s="1"/>
  <c r="AM26" i="20" s="1"/>
  <c r="AM12" i="20" s="1"/>
  <c r="AM360" i="20" s="1"/>
  <c r="AE139" i="20"/>
  <c r="AE49" i="20"/>
  <c r="AE46" i="20" s="1"/>
  <c r="AB152" i="20"/>
  <c r="AB61" i="20"/>
  <c r="AB59" i="20" s="1"/>
  <c r="AB23" i="20" s="1"/>
  <c r="AB9" i="20" s="1"/>
  <c r="AB357" i="20" s="1"/>
  <c r="AQ152" i="20"/>
  <c r="AQ60" i="20"/>
  <c r="AQ59" i="20" s="1"/>
  <c r="AQ23" i="20" s="1"/>
  <c r="AQ9" i="20" s="1"/>
  <c r="AQ357" i="20" s="1"/>
  <c r="AV85" i="20"/>
  <c r="AV25" i="20" s="1"/>
  <c r="AV11" i="20" s="1"/>
  <c r="AV359" i="20" s="1"/>
  <c r="D164" i="20"/>
  <c r="E71" i="20"/>
  <c r="D71" i="20" s="1"/>
  <c r="F44" i="8" s="1"/>
  <c r="AN178" i="20"/>
  <c r="AN95" i="20"/>
  <c r="AN85" i="20" s="1"/>
  <c r="AN25" i="20" s="1"/>
  <c r="AN11" i="20" s="1"/>
  <c r="AN359" i="20" s="1"/>
  <c r="H178" i="20"/>
  <c r="H95" i="20"/>
  <c r="H85" i="20" s="1"/>
  <c r="H25" i="20" s="1"/>
  <c r="H11" i="20" s="1"/>
  <c r="H359" i="20" s="1"/>
  <c r="D87" i="20"/>
  <c r="H34" i="8" s="1"/>
  <c r="AP85" i="20"/>
  <c r="AP25" i="20" s="1"/>
  <c r="AP11" i="20" s="1"/>
  <c r="AP359" i="20" s="1"/>
  <c r="AD152" i="20"/>
  <c r="AD69" i="20"/>
  <c r="AD59" i="20" s="1"/>
  <c r="AD23" i="20" s="1"/>
  <c r="AD9" i="20" s="1"/>
  <c r="AD357" i="20" s="1"/>
  <c r="U178" i="20"/>
  <c r="U95" i="20"/>
  <c r="U85" i="20" s="1"/>
  <c r="U25" i="20" s="1"/>
  <c r="U11" i="20" s="1"/>
  <c r="U359" i="20" s="1"/>
  <c r="S191" i="20"/>
  <c r="S108" i="20"/>
  <c r="S98" i="20" s="1"/>
  <c r="S26" i="20" s="1"/>
  <c r="S12" i="20" s="1"/>
  <c r="S360" i="20" s="1"/>
  <c r="AC152" i="20"/>
  <c r="AC61" i="20"/>
  <c r="AC59" i="20" s="1"/>
  <c r="AC23" i="20" s="1"/>
  <c r="AC9" i="20" s="1"/>
  <c r="AC357" i="20" s="1"/>
  <c r="AT85" i="20"/>
  <c r="AT25" i="20" s="1"/>
  <c r="AT11" i="20" s="1"/>
  <c r="AT359" i="20" s="1"/>
  <c r="AF191" i="20"/>
  <c r="AF108" i="20"/>
  <c r="AF98" i="20" s="1"/>
  <c r="AF26" i="20" s="1"/>
  <c r="AF12" i="20" s="1"/>
  <c r="AF360" i="20" s="1"/>
  <c r="O178" i="20"/>
  <c r="O95" i="20"/>
  <c r="O85" i="20" s="1"/>
  <c r="D188" i="20"/>
  <c r="E95" i="20"/>
  <c r="AS165" i="20"/>
  <c r="AS82" i="20"/>
  <c r="AS72" i="20" s="1"/>
  <c r="AS24" i="20" s="1"/>
  <c r="AS10" i="20" s="1"/>
  <c r="AS358" i="20" s="1"/>
  <c r="D181" i="20"/>
  <c r="E88" i="20"/>
  <c r="D88" i="20" s="1"/>
  <c r="H35" i="8" s="1"/>
  <c r="AV152" i="20"/>
  <c r="AV61" i="20"/>
  <c r="AV59" i="20" s="1"/>
  <c r="AV23" i="20" s="1"/>
  <c r="AV9" i="20" s="1"/>
  <c r="AV357" i="20" s="1"/>
  <c r="AF139" i="20"/>
  <c r="AF47" i="20"/>
  <c r="AF46" i="20" s="1"/>
  <c r="AF22" i="20" s="1"/>
  <c r="AF8" i="20" s="1"/>
  <c r="AF356" i="20" s="1"/>
  <c r="P178" i="20"/>
  <c r="P95" i="20"/>
  <c r="P85" i="20" s="1"/>
  <c r="P25" i="20" s="1"/>
  <c r="P11" i="20" s="1"/>
  <c r="P359" i="20" s="1"/>
  <c r="AD139" i="20"/>
  <c r="AD47" i="20"/>
  <c r="AD46" i="20" s="1"/>
  <c r="AD22" i="20" s="1"/>
  <c r="AD8" i="20" s="1"/>
  <c r="AD356" i="20" s="1"/>
  <c r="AQ98" i="20"/>
  <c r="AQ26" i="20" s="1"/>
  <c r="AQ12" i="20" s="1"/>
  <c r="AQ360" i="20" s="1"/>
  <c r="D52" i="20"/>
  <c r="E38" i="8" s="1"/>
  <c r="R72" i="20"/>
  <c r="R24" i="20" s="1"/>
  <c r="R10" i="20" s="1"/>
  <c r="R358" i="20" s="1"/>
  <c r="V152" i="20"/>
  <c r="V61" i="20"/>
  <c r="V59" i="20" s="1"/>
  <c r="V23" i="20" s="1"/>
  <c r="V9" i="20" s="1"/>
  <c r="V357" i="20" s="1"/>
  <c r="W178" i="20"/>
  <c r="W95" i="20"/>
  <c r="W85" i="20" s="1"/>
  <c r="W25" i="20" s="1"/>
  <c r="W11" i="20" s="1"/>
  <c r="W359" i="20" s="1"/>
  <c r="AF178" i="20"/>
  <c r="AF95" i="20"/>
  <c r="AF85" i="20" s="1"/>
  <c r="AF25" i="20" s="1"/>
  <c r="AF11" i="20" s="1"/>
  <c r="AF359" i="20" s="1"/>
  <c r="AH126" i="20"/>
  <c r="AH38" i="20"/>
  <c r="AH33" i="20" s="1"/>
  <c r="X178" i="20"/>
  <c r="X125" i="20" s="1"/>
  <c r="X246" i="22" s="1"/>
  <c r="X95" i="20"/>
  <c r="X85" i="20" s="1"/>
  <c r="D189" i="20"/>
  <c r="E96" i="20"/>
  <c r="D96" i="20" s="1"/>
  <c r="H43" i="8" s="1"/>
  <c r="D194" i="20"/>
  <c r="E101" i="20"/>
  <c r="D101" i="20" s="1"/>
  <c r="I35" i="8" s="1"/>
  <c r="J178" i="20"/>
  <c r="J95" i="20"/>
  <c r="J85" i="20" s="1"/>
  <c r="J25" i="20" s="1"/>
  <c r="J11" i="20" s="1"/>
  <c r="J359" i="20" s="1"/>
  <c r="AV139" i="20"/>
  <c r="J165" i="20"/>
  <c r="D169" i="20"/>
  <c r="D156" i="20"/>
  <c r="K46" i="20"/>
  <c r="K22" i="20" s="1"/>
  <c r="K8" i="20" s="1"/>
  <c r="K356" i="20" s="1"/>
  <c r="S139" i="20"/>
  <c r="Z126" i="20"/>
  <c r="AR126" i="20"/>
  <c r="AG165" i="20"/>
  <c r="D54" i="20"/>
  <c r="E40" i="8" s="1"/>
  <c r="U139" i="20"/>
  <c r="D92" i="20"/>
  <c r="H39" i="8" s="1"/>
  <c r="AN33" i="20"/>
  <c r="AH55" i="34"/>
  <c r="AG60" i="34"/>
  <c r="AG58" i="34" s="1"/>
  <c r="AG20" i="34" s="1"/>
  <c r="AE35" i="34"/>
  <c r="AE15" i="34"/>
  <c r="AE13" i="34"/>
  <c r="S33" i="34"/>
  <c r="T31" i="34" s="1"/>
  <c r="S34" i="34"/>
  <c r="S37" i="34" s="1"/>
  <c r="AK15" i="23"/>
  <c r="AJ22" i="23"/>
  <c r="AJ18" i="23"/>
  <c r="AJ23" i="23" s="1"/>
  <c r="AN32" i="13"/>
  <c r="AI23" i="23"/>
  <c r="AI21" i="23" s="1"/>
  <c r="AO32" i="43" s="1"/>
  <c r="AO33" i="43" s="1"/>
  <c r="AQ125" i="20" l="1"/>
  <c r="AQ246" i="22" s="1"/>
  <c r="AQ55" i="13"/>
  <c r="AS50" i="13"/>
  <c r="AT50" i="13" s="1"/>
  <c r="AU50" i="13" s="1"/>
  <c r="AU55" i="13" s="1"/>
  <c r="AH33" i="43"/>
  <c r="AT125" i="20"/>
  <c r="AT246" i="22" s="1"/>
  <c r="D165" i="20"/>
  <c r="AP125" i="20"/>
  <c r="AP246" i="22" s="1"/>
  <c r="W125" i="20"/>
  <c r="W246" i="22" s="1"/>
  <c r="E33" i="20"/>
  <c r="E21" i="20" s="1"/>
  <c r="AV125" i="20"/>
  <c r="AV246" i="22" s="1"/>
  <c r="P125" i="20"/>
  <c r="P246" i="22" s="1"/>
  <c r="E46" i="20"/>
  <c r="E22" i="20" s="1"/>
  <c r="E8" i="20" s="1"/>
  <c r="T125" i="20"/>
  <c r="T246" i="22" s="1"/>
  <c r="D139" i="20"/>
  <c r="AM52" i="34"/>
  <c r="AL59" i="34"/>
  <c r="DQ4" i="34"/>
  <c r="DR4" i="34" s="1"/>
  <c r="DS4" i="34" s="1"/>
  <c r="DT4" i="34" s="1"/>
  <c r="DU3" i="34"/>
  <c r="AA125" i="20"/>
  <c r="AA246" i="22" s="1"/>
  <c r="AU125" i="20"/>
  <c r="AU246" i="22" s="1"/>
  <c r="I125" i="20"/>
  <c r="I246" i="22" s="1"/>
  <c r="D126" i="20"/>
  <c r="C44" i="8"/>
  <c r="D38" i="20"/>
  <c r="D37" i="8" s="1"/>
  <c r="C37" i="8" s="1"/>
  <c r="AP32" i="20"/>
  <c r="D34" i="20"/>
  <c r="D33" i="8" s="1"/>
  <c r="C43" i="8"/>
  <c r="C36" i="8"/>
  <c r="C40" i="8"/>
  <c r="L23" i="20"/>
  <c r="L9" i="20" s="1"/>
  <c r="L357" i="20" s="1"/>
  <c r="L32" i="20"/>
  <c r="X25" i="20"/>
  <c r="X11" i="20" s="1"/>
  <c r="X359" i="20" s="1"/>
  <c r="X32" i="20"/>
  <c r="AG22" i="20"/>
  <c r="AG8" i="20" s="1"/>
  <c r="AG356" i="20" s="1"/>
  <c r="AG32" i="20"/>
  <c r="AE22" i="20"/>
  <c r="AE8" i="20" s="1"/>
  <c r="AE356" i="20" s="1"/>
  <c r="AE32" i="20"/>
  <c r="S25" i="20"/>
  <c r="S11" i="20" s="1"/>
  <c r="S359" i="20" s="1"/>
  <c r="S32" i="20"/>
  <c r="AA23" i="20"/>
  <c r="AA9" i="20" s="1"/>
  <c r="AA357" i="20" s="1"/>
  <c r="AA32" i="20"/>
  <c r="N21" i="20"/>
  <c r="N32" i="20"/>
  <c r="O25" i="20"/>
  <c r="O11" i="20" s="1"/>
  <c r="O359" i="20" s="1"/>
  <c r="O32" i="20"/>
  <c r="T26" i="20"/>
  <c r="T12" i="20" s="1"/>
  <c r="T360" i="20" s="1"/>
  <c r="T32" i="20"/>
  <c r="M21" i="20"/>
  <c r="M32" i="20"/>
  <c r="AU23" i="20"/>
  <c r="AU9" i="20" s="1"/>
  <c r="AU357" i="20" s="1"/>
  <c r="AU32" i="20"/>
  <c r="AU7" i="20"/>
  <c r="D61" i="20"/>
  <c r="F34" i="8" s="1"/>
  <c r="D82" i="20"/>
  <c r="Y125" i="20"/>
  <c r="Y246" i="22" s="1"/>
  <c r="AV20" i="20"/>
  <c r="AV7" i="20"/>
  <c r="D69" i="20"/>
  <c r="O125" i="20"/>
  <c r="O246" i="22" s="1"/>
  <c r="H125" i="20"/>
  <c r="H246" i="22" s="1"/>
  <c r="S125" i="20"/>
  <c r="S246" i="22" s="1"/>
  <c r="D49" i="20"/>
  <c r="E35" i="8" s="1"/>
  <c r="P32" i="20"/>
  <c r="AH125" i="20"/>
  <c r="AH246" i="22" s="1"/>
  <c r="D47" i="20"/>
  <c r="D60" i="20"/>
  <c r="AS21" i="20"/>
  <c r="AS32" i="20"/>
  <c r="AQ20" i="20"/>
  <c r="AQ7" i="20"/>
  <c r="AV32" i="20"/>
  <c r="C39" i="8"/>
  <c r="AB125" i="20"/>
  <c r="AB246" i="22" s="1"/>
  <c r="AI125" i="20"/>
  <c r="AI246" i="22" s="1"/>
  <c r="X7" i="20"/>
  <c r="AE7" i="20"/>
  <c r="J125" i="20"/>
  <c r="J246" i="22" s="1"/>
  <c r="AH21" i="20"/>
  <c r="AH32" i="20"/>
  <c r="AF125" i="20"/>
  <c r="AF246" i="22" s="1"/>
  <c r="D95" i="20"/>
  <c r="U125" i="20"/>
  <c r="U246" i="22" s="1"/>
  <c r="AF32" i="20"/>
  <c r="AM32" i="20"/>
  <c r="O7" i="20"/>
  <c r="AI21" i="20"/>
  <c r="AI32" i="20"/>
  <c r="AR21" i="20"/>
  <c r="AR32" i="20"/>
  <c r="E98" i="20"/>
  <c r="E26" i="20" s="1"/>
  <c r="D99" i="20"/>
  <c r="D191" i="20"/>
  <c r="AG125" i="20"/>
  <c r="AG246" i="22" s="1"/>
  <c r="AE125" i="20"/>
  <c r="AE246" i="22" s="1"/>
  <c r="D35" i="20"/>
  <c r="D34" i="8" s="1"/>
  <c r="F21" i="20"/>
  <c r="F32" i="20"/>
  <c r="E72" i="20"/>
  <c r="E24" i="20" s="1"/>
  <c r="D73" i="20"/>
  <c r="AP20" i="20"/>
  <c r="AP7" i="20"/>
  <c r="AT7" i="20"/>
  <c r="AT20" i="20"/>
  <c r="Y32" i="20"/>
  <c r="AA7" i="20"/>
  <c r="AG6" i="34"/>
  <c r="AG14" i="34"/>
  <c r="AG24" i="34" s="1"/>
  <c r="AH7" i="34"/>
  <c r="AS125" i="20"/>
  <c r="AS246" i="22" s="1"/>
  <c r="AD125" i="20"/>
  <c r="AD246" i="22" s="1"/>
  <c r="V7" i="20"/>
  <c r="V20" i="20"/>
  <c r="G21" i="20"/>
  <c r="G32" i="20"/>
  <c r="M125" i="20"/>
  <c r="M246" i="22" s="1"/>
  <c r="V125" i="20"/>
  <c r="V246" i="22" s="1"/>
  <c r="D86" i="20"/>
  <c r="E85" i="20"/>
  <c r="E25" i="20" s="1"/>
  <c r="R125" i="20"/>
  <c r="R246" i="22" s="1"/>
  <c r="W21" i="20"/>
  <c r="W32" i="20"/>
  <c r="U7" i="20"/>
  <c r="U20" i="20"/>
  <c r="AN21" i="20"/>
  <c r="AN32" i="20"/>
  <c r="J20" i="20"/>
  <c r="J7" i="20"/>
  <c r="E59" i="20"/>
  <c r="E23" i="20" s="1"/>
  <c r="AB20" i="20"/>
  <c r="AB7" i="20"/>
  <c r="AF13" i="34"/>
  <c r="AF35" i="34"/>
  <c r="AF15" i="34"/>
  <c r="AQ32" i="20"/>
  <c r="R21" i="20"/>
  <c r="R32" i="20"/>
  <c r="AC32" i="20"/>
  <c r="AC21" i="20"/>
  <c r="AO32" i="20"/>
  <c r="AO21" i="20"/>
  <c r="AK125" i="20"/>
  <c r="AK246" i="22" s="1"/>
  <c r="AM125" i="20"/>
  <c r="AM246" i="22" s="1"/>
  <c r="D36" i="20"/>
  <c r="D35" i="8" s="1"/>
  <c r="AG7" i="20"/>
  <c r="AF7" i="20"/>
  <c r="AF20" i="20"/>
  <c r="S7" i="20"/>
  <c r="D108" i="20"/>
  <c r="D152" i="20"/>
  <c r="AD36" i="34"/>
  <c r="AD19" i="34"/>
  <c r="AD18" i="34"/>
  <c r="AD49" i="34"/>
  <c r="AD47" i="34"/>
  <c r="AD17" i="34"/>
  <c r="G125" i="20"/>
  <c r="G246" i="22" s="1"/>
  <c r="C41" i="8"/>
  <c r="K125" i="20"/>
  <c r="K246" i="22" s="1"/>
  <c r="AE16" i="34"/>
  <c r="AI55" i="34"/>
  <c r="AH60" i="34"/>
  <c r="AH58" i="34" s="1"/>
  <c r="AH20" i="34" s="1"/>
  <c r="D178" i="20"/>
  <c r="AN125" i="20"/>
  <c r="AN246" i="22" s="1"/>
  <c r="AO125" i="20"/>
  <c r="AO246" i="22" s="1"/>
  <c r="AL125" i="20"/>
  <c r="AL246" i="22" s="1"/>
  <c r="AC125" i="20"/>
  <c r="AC246" i="22" s="1"/>
  <c r="T7" i="20"/>
  <c r="AM20" i="20"/>
  <c r="AM7" i="20"/>
  <c r="AR125" i="20"/>
  <c r="AR246" i="22" s="1"/>
  <c r="Q32" i="20"/>
  <c r="Z21" i="20"/>
  <c r="Z32" i="20"/>
  <c r="AD21" i="20"/>
  <c r="AD32" i="20"/>
  <c r="AK21" i="20"/>
  <c r="AK32" i="20"/>
  <c r="Z125" i="20"/>
  <c r="Z246" i="22" s="1"/>
  <c r="J32" i="20"/>
  <c r="AT32" i="20"/>
  <c r="Y20" i="20"/>
  <c r="Y7" i="20"/>
  <c r="AB32" i="20"/>
  <c r="K21" i="20"/>
  <c r="K32" i="20"/>
  <c r="C38" i="8"/>
  <c r="H32" i="20"/>
  <c r="H21" i="20"/>
  <c r="I21" i="20"/>
  <c r="I32" i="20"/>
  <c r="AP47" i="13"/>
  <c r="AP54" i="13" s="1"/>
  <c r="AP53" i="13" s="1"/>
  <c r="V32" i="20"/>
  <c r="D62" i="20"/>
  <c r="F35" i="8" s="1"/>
  <c r="AJ21" i="20"/>
  <c r="AJ32" i="20"/>
  <c r="L125" i="20"/>
  <c r="L246" i="22" s="1"/>
  <c r="AJ125" i="20"/>
  <c r="AJ246" i="22" s="1"/>
  <c r="AL21" i="20"/>
  <c r="AL32" i="20"/>
  <c r="N125" i="20"/>
  <c r="N246" i="22" s="1"/>
  <c r="F125" i="20"/>
  <c r="F246" i="22" s="1"/>
  <c r="E125" i="20"/>
  <c r="E246" i="22" s="1"/>
  <c r="U32" i="20"/>
  <c r="L7" i="20"/>
  <c r="T32" i="34"/>
  <c r="T28" i="34" s="1"/>
  <c r="AJ21" i="23"/>
  <c r="AO32" i="13"/>
  <c r="AO33" i="13" s="1"/>
  <c r="AK18" i="23"/>
  <c r="AK23" i="23" s="1"/>
  <c r="AL15" i="23"/>
  <c r="AN33" i="13"/>
  <c r="AK22" i="23"/>
  <c r="AS55" i="13" l="1"/>
  <c r="AT55" i="13"/>
  <c r="AZ22" i="13"/>
  <c r="AZ21" i="13" s="1"/>
  <c r="AZ22" i="43"/>
  <c r="AZ21" i="43" s="1"/>
  <c r="BD22" i="13"/>
  <c r="BD21" i="13" s="1"/>
  <c r="BD22" i="43"/>
  <c r="BD21" i="43" s="1"/>
  <c r="S20" i="20"/>
  <c r="AY22" i="13"/>
  <c r="AY21" i="13" s="1"/>
  <c r="AY22" i="43"/>
  <c r="AY21" i="43" s="1"/>
  <c r="Y22" i="13"/>
  <c r="Y21" i="13" s="1"/>
  <c r="Y22" i="43"/>
  <c r="K22" i="13"/>
  <c r="K21" i="13" s="1"/>
  <c r="K22" i="43"/>
  <c r="K21" i="43" s="1"/>
  <c r="AU22" i="13"/>
  <c r="AU21" i="13" s="1"/>
  <c r="AU22" i="43"/>
  <c r="AU21" i="43" s="1"/>
  <c r="AG22" i="13"/>
  <c r="AG21" i="13" s="1"/>
  <c r="AG22" i="43"/>
  <c r="AG21" i="43" s="1"/>
  <c r="AL22" i="13"/>
  <c r="AL21" i="13" s="1"/>
  <c r="AL22" i="43"/>
  <c r="AL21" i="43" s="1"/>
  <c r="L20" i="20"/>
  <c r="AD22" i="13"/>
  <c r="AD22" i="43"/>
  <c r="Z22" i="13"/>
  <c r="Z21" i="13" s="1"/>
  <c r="Z22" i="43"/>
  <c r="Z21" i="43" s="1"/>
  <c r="BF22" i="13"/>
  <c r="BF21" i="13" s="1"/>
  <c r="BF22" i="43"/>
  <c r="BF21" i="43" s="1"/>
  <c r="AP32" i="13"/>
  <c r="AP33" i="13" s="1"/>
  <c r="AP32" i="43"/>
  <c r="AF16" i="34"/>
  <c r="AD29" i="34"/>
  <c r="AD30" i="34" s="1"/>
  <c r="AG20" i="20"/>
  <c r="C34" i="8"/>
  <c r="AA20" i="20"/>
  <c r="X20" i="20"/>
  <c r="O20" i="20"/>
  <c r="AE20" i="20"/>
  <c r="AM59" i="34"/>
  <c r="AN52" i="34"/>
  <c r="D246" i="22"/>
  <c r="DU4" i="34"/>
  <c r="DV4" i="34" s="1"/>
  <c r="DW4" i="34" s="1"/>
  <c r="DX4" i="34" s="1"/>
  <c r="DY3" i="34"/>
  <c r="T20" i="20"/>
  <c r="D22" i="20"/>
  <c r="AD11" i="10" s="1"/>
  <c r="AD10" i="10" s="1"/>
  <c r="AU20" i="20"/>
  <c r="P21" i="20"/>
  <c r="P7" i="20" s="1"/>
  <c r="L6" i="20"/>
  <c r="L355" i="20"/>
  <c r="L354" i="20" s="1"/>
  <c r="H20" i="20"/>
  <c r="H7" i="20"/>
  <c r="K7" i="20"/>
  <c r="K20" i="20"/>
  <c r="Y6" i="20"/>
  <c r="Y355" i="20"/>
  <c r="Y354" i="20" s="1"/>
  <c r="AJ55" i="34"/>
  <c r="AI60" i="34"/>
  <c r="AI58" i="34" s="1"/>
  <c r="AI20" i="34" s="1"/>
  <c r="AF355" i="20"/>
  <c r="AF354" i="20" s="1"/>
  <c r="AF6" i="20"/>
  <c r="AC20" i="20"/>
  <c r="AC7" i="20"/>
  <c r="D33" i="20"/>
  <c r="J6" i="20"/>
  <c r="J355" i="20"/>
  <c r="J354" i="20" s="1"/>
  <c r="V6" i="20"/>
  <c r="V355" i="20"/>
  <c r="V354" i="20" s="1"/>
  <c r="AA355" i="20"/>
  <c r="AA354" i="20" s="1"/>
  <c r="AA6" i="20"/>
  <c r="AT6" i="20"/>
  <c r="AT355" i="20"/>
  <c r="AT354" i="20" s="1"/>
  <c r="D24" i="20"/>
  <c r="E10" i="20"/>
  <c r="D26" i="20"/>
  <c r="E12" i="20"/>
  <c r="AI20" i="20"/>
  <c r="AI7" i="20"/>
  <c r="AE6" i="20"/>
  <c r="AE355" i="20"/>
  <c r="AE354" i="20" s="1"/>
  <c r="AQ6" i="20"/>
  <c r="AQ355" i="20"/>
  <c r="AQ354" i="20" s="1"/>
  <c r="D59" i="20"/>
  <c r="F33" i="8"/>
  <c r="AV355" i="20"/>
  <c r="AV354" i="20" s="1"/>
  <c r="AV6" i="20"/>
  <c r="AU6" i="20"/>
  <c r="AU355" i="20"/>
  <c r="AU354" i="20" s="1"/>
  <c r="AL7" i="20"/>
  <c r="AL20" i="20"/>
  <c r="AJ20" i="20"/>
  <c r="AJ7" i="20"/>
  <c r="AD21" i="13"/>
  <c r="AD20" i="20"/>
  <c r="AD7" i="20"/>
  <c r="T6" i="20"/>
  <c r="T355" i="20"/>
  <c r="T354" i="20" s="1"/>
  <c r="AE47" i="34"/>
  <c r="AE17" i="34"/>
  <c r="AE19" i="34"/>
  <c r="AE36" i="34"/>
  <c r="AE18" i="34"/>
  <c r="AE49" i="34"/>
  <c r="S6" i="20"/>
  <c r="S355" i="20"/>
  <c r="S354" i="20" s="1"/>
  <c r="AG6" i="20"/>
  <c r="AG355" i="20"/>
  <c r="AG354" i="20" s="1"/>
  <c r="AF49" i="34"/>
  <c r="AF36" i="34"/>
  <c r="AF17" i="34"/>
  <c r="AF19" i="34"/>
  <c r="AF47" i="34"/>
  <c r="AF18" i="34"/>
  <c r="AB6" i="20"/>
  <c r="AB355" i="20"/>
  <c r="AB354" i="20" s="1"/>
  <c r="U6" i="20"/>
  <c r="U355" i="20"/>
  <c r="U354" i="20" s="1"/>
  <c r="D25" i="20"/>
  <c r="E11" i="20"/>
  <c r="AI7" i="34"/>
  <c r="AH14" i="34"/>
  <c r="AH24" i="34" s="1"/>
  <c r="AH6" i="34"/>
  <c r="AP355" i="20"/>
  <c r="AP354" i="20" s="1"/>
  <c r="AP6" i="20"/>
  <c r="Q21" i="20"/>
  <c r="E32" i="20"/>
  <c r="M20" i="20"/>
  <c r="M7" i="20"/>
  <c r="AM355" i="20"/>
  <c r="AM354" i="20" s="1"/>
  <c r="AM6" i="20"/>
  <c r="D125" i="20"/>
  <c r="AO20" i="20"/>
  <c r="AO7" i="20"/>
  <c r="AV50" i="13"/>
  <c r="D85" i="20"/>
  <c r="H33" i="8"/>
  <c r="G20" i="20"/>
  <c r="G7" i="20"/>
  <c r="F20" i="20"/>
  <c r="F7" i="20"/>
  <c r="AR20" i="20"/>
  <c r="AR7" i="20"/>
  <c r="O6" i="20"/>
  <c r="O355" i="20"/>
  <c r="O354" i="20" s="1"/>
  <c r="AH20" i="20"/>
  <c r="AH7" i="20"/>
  <c r="X355" i="20"/>
  <c r="X354" i="20" s="1"/>
  <c r="X6" i="20"/>
  <c r="E20" i="20"/>
  <c r="E7" i="20"/>
  <c r="D8" i="20"/>
  <c r="AW8" i="20" s="1"/>
  <c r="E356" i="20"/>
  <c r="D356" i="20" s="1"/>
  <c r="AQ47" i="13"/>
  <c r="AQ54" i="13" s="1"/>
  <c r="AQ53" i="13" s="1"/>
  <c r="I7" i="20"/>
  <c r="I20" i="20"/>
  <c r="AK20" i="20"/>
  <c r="AK7" i="20"/>
  <c r="Z20" i="20"/>
  <c r="Z7" i="20"/>
  <c r="C35" i="8"/>
  <c r="D126" i="8"/>
  <c r="R20" i="20"/>
  <c r="R7" i="20"/>
  <c r="E9" i="20"/>
  <c r="D23" i="20"/>
  <c r="AN20" i="20"/>
  <c r="AN7" i="20"/>
  <c r="W20" i="20"/>
  <c r="W7" i="20"/>
  <c r="AG13" i="34"/>
  <c r="AG15" i="34"/>
  <c r="AG35" i="34"/>
  <c r="D72" i="20"/>
  <c r="G33" i="8"/>
  <c r="D98" i="20"/>
  <c r="I33" i="8"/>
  <c r="AS20" i="20"/>
  <c r="AS7" i="20"/>
  <c r="D46" i="20"/>
  <c r="E33" i="8"/>
  <c r="N7" i="20"/>
  <c r="N20" i="20"/>
  <c r="T34" i="34"/>
  <c r="T37" i="34" s="1"/>
  <c r="T33" i="34"/>
  <c r="U31" i="34" s="1"/>
  <c r="AK21" i="23"/>
  <c r="AM15" i="23"/>
  <c r="AM22" i="23" s="1"/>
  <c r="AL22" i="23"/>
  <c r="AL18" i="23"/>
  <c r="W22" i="13" l="1"/>
  <c r="W21" i="13" s="1"/>
  <c r="W22" i="43"/>
  <c r="W21" i="43" s="1"/>
  <c r="AS22" i="13"/>
  <c r="AS21" i="13" s="1"/>
  <c r="AS22" i="43"/>
  <c r="AS21" i="43" s="1"/>
  <c r="AX22" i="13"/>
  <c r="AX21" i="13" s="1"/>
  <c r="AX22" i="43"/>
  <c r="AF22" i="13"/>
  <c r="AF21" i="13" s="1"/>
  <c r="AF22" i="43"/>
  <c r="AF21" i="43" s="1"/>
  <c r="AQ22" i="13"/>
  <c r="AQ21" i="13" s="1"/>
  <c r="AQ22" i="43"/>
  <c r="AQ21" i="43" s="1"/>
  <c r="H22" i="13"/>
  <c r="H21" i="13" s="1"/>
  <c r="H22" i="43"/>
  <c r="H21" i="43" s="1"/>
  <c r="BA22" i="13"/>
  <c r="BA21" i="13" s="1"/>
  <c r="BA22" i="43"/>
  <c r="BA21" i="43" s="1"/>
  <c r="AI22" i="13"/>
  <c r="AI21" i="13" s="1"/>
  <c r="AI22" i="43"/>
  <c r="AT22" i="13"/>
  <c r="AT21" i="13" s="1"/>
  <c r="AT22" i="43"/>
  <c r="AN22" i="13"/>
  <c r="AN21" i="13" s="1"/>
  <c r="AN22" i="43"/>
  <c r="AN21" i="43" s="1"/>
  <c r="V22" i="13"/>
  <c r="V21" i="13" s="1"/>
  <c r="V22" i="43"/>
  <c r="V21" i="43" s="1"/>
  <c r="AP22" i="13"/>
  <c r="AP21" i="13" s="1"/>
  <c r="AP22" i="43"/>
  <c r="F22" i="13"/>
  <c r="F21" i="13" s="1"/>
  <c r="F22" i="43"/>
  <c r="F21" i="43" s="1"/>
  <c r="BC22" i="13"/>
  <c r="BC21" i="13" s="1"/>
  <c r="BC22" i="43"/>
  <c r="AO22" i="13"/>
  <c r="AO21" i="13" s="1"/>
  <c r="AO22" i="43"/>
  <c r="AO21" i="43" s="1"/>
  <c r="AD21" i="43"/>
  <c r="E22" i="13"/>
  <c r="E21" i="13" s="1"/>
  <c r="E22" i="43"/>
  <c r="AA22" i="13"/>
  <c r="AA21" i="13" s="1"/>
  <c r="AA22" i="43"/>
  <c r="AA21" i="43" s="1"/>
  <c r="U22" i="13"/>
  <c r="U21" i="13" s="1"/>
  <c r="U22" i="43"/>
  <c r="U21" i="43" s="1"/>
  <c r="O22" i="13"/>
  <c r="O22" i="43"/>
  <c r="BE22" i="13"/>
  <c r="BE21" i="13" s="1"/>
  <c r="BE22" i="43"/>
  <c r="BE21" i="43" s="1"/>
  <c r="AK22" i="13"/>
  <c r="AK21" i="13" s="1"/>
  <c r="AK22" i="43"/>
  <c r="AK21" i="43" s="1"/>
  <c r="M22" i="13"/>
  <c r="M21" i="13" s="1"/>
  <c r="M22" i="43"/>
  <c r="M21" i="43" s="1"/>
  <c r="AB22" i="13"/>
  <c r="AB21" i="13" s="1"/>
  <c r="AB22" i="43"/>
  <c r="AB21" i="43" s="1"/>
  <c r="J22" i="13"/>
  <c r="J21" i="13" s="1"/>
  <c r="J22" i="43"/>
  <c r="G22" i="13"/>
  <c r="G21" i="13" s="1"/>
  <c r="G22" i="43"/>
  <c r="G21" i="43" s="1"/>
  <c r="P22" i="13"/>
  <c r="P21" i="13" s="1"/>
  <c r="P22" i="43"/>
  <c r="P21" i="43" s="1"/>
  <c r="AV22" i="13"/>
  <c r="AV21" i="13" s="1"/>
  <c r="AV22" i="43"/>
  <c r="AV21" i="43" s="1"/>
  <c r="AE22" i="13"/>
  <c r="AE21" i="13" s="1"/>
  <c r="AE22" i="43"/>
  <c r="AE21" i="43" s="1"/>
  <c r="AJ22" i="13"/>
  <c r="AJ21" i="13" s="1"/>
  <c r="AJ22" i="43"/>
  <c r="AJ21" i="43" s="1"/>
  <c r="L22" i="13"/>
  <c r="L21" i="13" s="1"/>
  <c r="L22" i="43"/>
  <c r="L21" i="43" s="1"/>
  <c r="Q22" i="13"/>
  <c r="Q21" i="13" s="1"/>
  <c r="Q22" i="43"/>
  <c r="Q21" i="43" s="1"/>
  <c r="Y21" i="43"/>
  <c r="AQ32" i="13"/>
  <c r="AQ33" i="13" s="1"/>
  <c r="AQ32" i="43"/>
  <c r="AQ33" i="43" s="1"/>
  <c r="AP33" i="43"/>
  <c r="AF11" i="10"/>
  <c r="AF10" i="10" s="1"/>
  <c r="AH11" i="10"/>
  <c r="AH10" i="10" s="1"/>
  <c r="AN11" i="10"/>
  <c r="AN10" i="10" s="1"/>
  <c r="AM11" i="10"/>
  <c r="AM10" i="10" s="1"/>
  <c r="AG11" i="10"/>
  <c r="AG10" i="10" s="1"/>
  <c r="AJ11" i="10"/>
  <c r="AJ10" i="10" s="1"/>
  <c r="AB23" i="10"/>
  <c r="H22" i="31" s="1"/>
  <c r="AK11" i="10"/>
  <c r="AK10" i="10" s="1"/>
  <c r="AI11" i="10"/>
  <c r="AI10" i="10" s="1"/>
  <c r="EC3" i="34"/>
  <c r="DY4" i="34"/>
  <c r="DZ4" i="34" s="1"/>
  <c r="EA4" i="34" s="1"/>
  <c r="EB4" i="34" s="1"/>
  <c r="AF29" i="34"/>
  <c r="AF30" i="34" s="1"/>
  <c r="P20" i="20"/>
  <c r="AN59" i="34"/>
  <c r="AO52" i="34"/>
  <c r="AE11" i="10"/>
  <c r="AC11" i="10"/>
  <c r="AJ35" i="29" s="1"/>
  <c r="C33" i="8"/>
  <c r="D21" i="20"/>
  <c r="Q7" i="20"/>
  <c r="Q20" i="20"/>
  <c r="AL6" i="20"/>
  <c r="AL355" i="20"/>
  <c r="AL354" i="20" s="1"/>
  <c r="BE11" i="10"/>
  <c r="BE10" i="10" s="1"/>
  <c r="BN11" i="10"/>
  <c r="BN10" i="10" s="1"/>
  <c r="BI11" i="10"/>
  <c r="BI10" i="10" s="1"/>
  <c r="BD11" i="10"/>
  <c r="BD10" i="10" s="1"/>
  <c r="BJ11" i="10"/>
  <c r="BJ10" i="10" s="1"/>
  <c r="BH11" i="10"/>
  <c r="BH10" i="10" s="1"/>
  <c r="BM11" i="10"/>
  <c r="BM10" i="10" s="1"/>
  <c r="BK11" i="10"/>
  <c r="BK10" i="10" s="1"/>
  <c r="BC11" i="10"/>
  <c r="BG11" i="10"/>
  <c r="BG10" i="10" s="1"/>
  <c r="BF11" i="10"/>
  <c r="BB23" i="10"/>
  <c r="AC6" i="20"/>
  <c r="AC355" i="20"/>
  <c r="AC354" i="20" s="1"/>
  <c r="AX50" i="13"/>
  <c r="AX55" i="13" s="1"/>
  <c r="N355" i="20"/>
  <c r="N354" i="20" s="1"/>
  <c r="N6" i="20"/>
  <c r="W6" i="20"/>
  <c r="W355" i="20"/>
  <c r="W354" i="20" s="1"/>
  <c r="BA11" i="10"/>
  <c r="AQ11" i="10"/>
  <c r="AQ10" i="10" s="1"/>
  <c r="AU11" i="10"/>
  <c r="AU10" i="10" s="1"/>
  <c r="AP11" i="10"/>
  <c r="AV11" i="10"/>
  <c r="AV10" i="10" s="1"/>
  <c r="AR11" i="10"/>
  <c r="AR10" i="10" s="1"/>
  <c r="AZ11" i="10"/>
  <c r="AZ10" i="10" s="1"/>
  <c r="AT11" i="10"/>
  <c r="AT10" i="10" s="1"/>
  <c r="AW11" i="10"/>
  <c r="AW10" i="10" s="1"/>
  <c r="AO23" i="10"/>
  <c r="AX11" i="10"/>
  <c r="AX10" i="10" s="1"/>
  <c r="AS11" i="10"/>
  <c r="AK6" i="20"/>
  <c r="AK355" i="20"/>
  <c r="AK354" i="20" s="1"/>
  <c r="AS47" i="13"/>
  <c r="AS54" i="13" s="1"/>
  <c r="AS53" i="13" s="1"/>
  <c r="E355" i="20"/>
  <c r="E6" i="20"/>
  <c r="AH355" i="20"/>
  <c r="AH354" i="20" s="1"/>
  <c r="AH6" i="20"/>
  <c r="AR355" i="20"/>
  <c r="AR354" i="20" s="1"/>
  <c r="AR6" i="20"/>
  <c r="AO355" i="20"/>
  <c r="AO354" i="20" s="1"/>
  <c r="AO6" i="20"/>
  <c r="M6" i="20"/>
  <c r="M355" i="20"/>
  <c r="M354" i="20" s="1"/>
  <c r="AE10" i="10"/>
  <c r="AJ7" i="34"/>
  <c r="AI6" i="34"/>
  <c r="AI14" i="34"/>
  <c r="AI24" i="34" s="1"/>
  <c r="AJ6" i="20"/>
  <c r="AJ355" i="20"/>
  <c r="AJ354" i="20" s="1"/>
  <c r="D12" i="20"/>
  <c r="AW12" i="20" s="1"/>
  <c r="E360" i="20"/>
  <c r="D360" i="20" s="1"/>
  <c r="AK55" i="34"/>
  <c r="AJ60" i="34"/>
  <c r="AJ58" i="34" s="1"/>
  <c r="AJ20" i="34" s="1"/>
  <c r="K355" i="20"/>
  <c r="K354" i="20" s="1"/>
  <c r="K6" i="20"/>
  <c r="AS355" i="20"/>
  <c r="AS354" i="20" s="1"/>
  <c r="AS6" i="20"/>
  <c r="I355" i="20"/>
  <c r="I354" i="20" s="1"/>
  <c r="I6" i="20"/>
  <c r="D9" i="20"/>
  <c r="AW9" i="20" s="1"/>
  <c r="E357" i="20"/>
  <c r="D357" i="20" s="1"/>
  <c r="D11" i="20"/>
  <c r="AW11" i="20" s="1"/>
  <c r="E359" i="20"/>
  <c r="D359" i="20" s="1"/>
  <c r="AE29" i="34"/>
  <c r="AE30" i="34" s="1"/>
  <c r="CE11" i="10"/>
  <c r="CB23" i="10"/>
  <c r="CJ11" i="10"/>
  <c r="CJ10" i="10" s="1"/>
  <c r="CF11" i="10"/>
  <c r="CC11" i="10"/>
  <c r="CH11" i="10"/>
  <c r="CH10" i="10" s="1"/>
  <c r="CM11" i="10"/>
  <c r="CM10" i="10" s="1"/>
  <c r="CG11" i="10"/>
  <c r="CG10" i="10" s="1"/>
  <c r="CD11" i="10"/>
  <c r="CD10" i="10" s="1"/>
  <c r="CK11" i="10"/>
  <c r="CK10" i="10" s="1"/>
  <c r="CI11" i="10"/>
  <c r="CI10" i="10" s="1"/>
  <c r="CN11" i="10"/>
  <c r="CN10" i="10" s="1"/>
  <c r="H6" i="20"/>
  <c r="H355" i="20"/>
  <c r="H354" i="20" s="1"/>
  <c r="AG16" i="34"/>
  <c r="AN355" i="20"/>
  <c r="AN354" i="20" s="1"/>
  <c r="AN6" i="20"/>
  <c r="R355" i="20"/>
  <c r="R354" i="20" s="1"/>
  <c r="R6" i="20"/>
  <c r="Z6" i="20"/>
  <c r="Z355" i="20"/>
  <c r="Z354" i="20" s="1"/>
  <c r="AD13" i="6"/>
  <c r="AF13" i="6"/>
  <c r="AH13" i="10"/>
  <c r="AJ13" i="6"/>
  <c r="AM13" i="6"/>
  <c r="AD13" i="10"/>
  <c r="AL35" i="29" s="1"/>
  <c r="AK35" i="29" s="1"/>
  <c r="AI13" i="10"/>
  <c r="AK13" i="10"/>
  <c r="AH13" i="6"/>
  <c r="AI13" i="6"/>
  <c r="AN13" i="10"/>
  <c r="AG13" i="6"/>
  <c r="E32" i="22"/>
  <c r="AK13" i="6"/>
  <c r="AC13" i="10"/>
  <c r="AG13" i="10"/>
  <c r="AJ13" i="10"/>
  <c r="AM13" i="10"/>
  <c r="E32" i="8"/>
  <c r="AN13" i="6"/>
  <c r="AE13" i="10"/>
  <c r="AF13" i="10"/>
  <c r="AC13" i="6"/>
  <c r="AE13" i="6"/>
  <c r="F355" i="20"/>
  <c r="F354" i="20" s="1"/>
  <c r="F6" i="20"/>
  <c r="G6" i="20"/>
  <c r="G355" i="20"/>
  <c r="G354" i="20" s="1"/>
  <c r="AV55" i="13"/>
  <c r="AH13" i="34"/>
  <c r="AH16" i="34" s="1"/>
  <c r="AH15" i="34"/>
  <c r="AH35" i="34"/>
  <c r="BT11" i="10"/>
  <c r="BT10" i="10" s="1"/>
  <c r="BU11" i="10"/>
  <c r="BU10" i="10" s="1"/>
  <c r="BW11" i="10"/>
  <c r="BW10" i="10" s="1"/>
  <c r="BZ11" i="10"/>
  <c r="BZ10" i="10" s="1"/>
  <c r="CA11" i="10"/>
  <c r="CA10" i="10" s="1"/>
  <c r="BV11" i="10"/>
  <c r="BV10" i="10" s="1"/>
  <c r="BP11" i="10"/>
  <c r="BR11" i="10"/>
  <c r="BR10" i="10" s="1"/>
  <c r="BQ11" i="10"/>
  <c r="BQ10" i="10" s="1"/>
  <c r="BS11" i="10"/>
  <c r="BX11" i="10"/>
  <c r="BX10" i="10" s="1"/>
  <c r="BO23" i="10"/>
  <c r="AD6" i="20"/>
  <c r="AD355" i="20"/>
  <c r="AD354" i="20" s="1"/>
  <c r="AI355" i="20"/>
  <c r="AI354" i="20" s="1"/>
  <c r="AI6" i="20"/>
  <c r="D10" i="20"/>
  <c r="AW10" i="20" s="1"/>
  <c r="E358" i="20"/>
  <c r="D358" i="20" s="1"/>
  <c r="D32" i="20"/>
  <c r="P6" i="20"/>
  <c r="P355" i="20"/>
  <c r="P354" i="20" s="1"/>
  <c r="U32" i="34"/>
  <c r="U28" i="34" s="1"/>
  <c r="AM18" i="23"/>
  <c r="AM23" i="23" s="1"/>
  <c r="AM21" i="23" s="1"/>
  <c r="AL23" i="23"/>
  <c r="AL21" i="23" s="1"/>
  <c r="AS32" i="43" s="1"/>
  <c r="AN15" i="23"/>
  <c r="AN22" i="23" s="1"/>
  <c r="AI29" i="10" l="1"/>
  <c r="X22" i="13"/>
  <c r="X21" i="13" s="1"/>
  <c r="BF35" i="29"/>
  <c r="BE35" i="29" s="1"/>
  <c r="AW22" i="13"/>
  <c r="AW21" i="13" s="1"/>
  <c r="I22" i="13"/>
  <c r="I21" i="13" s="1"/>
  <c r="AR22" i="13"/>
  <c r="AR21" i="13" s="1"/>
  <c r="AH22" i="13"/>
  <c r="AH21" i="13" s="1"/>
  <c r="AH29" i="10"/>
  <c r="D22" i="13"/>
  <c r="D21" i="13" s="1"/>
  <c r="BB22" i="13"/>
  <c r="BB21" i="13" s="1"/>
  <c r="AM22" i="13"/>
  <c r="AM21" i="13" s="1"/>
  <c r="AC22" i="13"/>
  <c r="AC21" i="13" s="1"/>
  <c r="AM22" i="43"/>
  <c r="AM21" i="43" s="1"/>
  <c r="AP21" i="43"/>
  <c r="AH22" i="43"/>
  <c r="AH21" i="43" s="1"/>
  <c r="AI21" i="43"/>
  <c r="AC22" i="43"/>
  <c r="AC21" i="43" s="1"/>
  <c r="AX21" i="43"/>
  <c r="AW22" i="43"/>
  <c r="AW21" i="43" s="1"/>
  <c r="BC21" i="43"/>
  <c r="BB22" i="43"/>
  <c r="BB21" i="43" s="1"/>
  <c r="T22" i="13"/>
  <c r="S22" i="13" s="1"/>
  <c r="S21" i="13" s="1"/>
  <c r="T22" i="43"/>
  <c r="R22" i="13"/>
  <c r="R21" i="13" s="1"/>
  <c r="R22" i="43"/>
  <c r="R21" i="43" s="1"/>
  <c r="X22" i="43"/>
  <c r="X21" i="43" s="1"/>
  <c r="J21" i="43"/>
  <c r="I22" i="43"/>
  <c r="I21" i="43" s="1"/>
  <c r="E21" i="43"/>
  <c r="D22" i="43"/>
  <c r="AR22" i="43"/>
  <c r="AR21" i="43" s="1"/>
  <c r="AT21" i="43"/>
  <c r="AM32" i="43"/>
  <c r="AM33" i="43" s="1"/>
  <c r="AM32" i="13"/>
  <c r="AM33" i="13" s="1"/>
  <c r="AS33" i="43"/>
  <c r="AT32" i="13"/>
  <c r="AT33" i="13" s="1"/>
  <c r="AT32" i="43"/>
  <c r="AT33" i="43" s="1"/>
  <c r="BD35" i="29"/>
  <c r="BC35" i="29" s="1"/>
  <c r="AG41" i="29"/>
  <c r="AK29" i="10"/>
  <c r="AN35" i="29"/>
  <c r="AM35" i="29" s="1"/>
  <c r="AG29" i="10"/>
  <c r="AB11" i="10"/>
  <c r="AB10" i="10" s="1"/>
  <c r="AN29" i="10"/>
  <c r="AP35" i="29"/>
  <c r="AO35" i="29" s="1"/>
  <c r="AJ29" i="10"/>
  <c r="AO59" i="34"/>
  <c r="AP52" i="34"/>
  <c r="AC10" i="10"/>
  <c r="AC29" i="10" s="1"/>
  <c r="EG3" i="34"/>
  <c r="EC4" i="34"/>
  <c r="ED4" i="34" s="1"/>
  <c r="EE4" i="34" s="1"/>
  <c r="EF4" i="34" s="1"/>
  <c r="AR35" i="29"/>
  <c r="AQ35" i="29" s="1"/>
  <c r="AB13" i="6"/>
  <c r="AV35" i="29"/>
  <c r="AU35" i="29" s="1"/>
  <c r="AL55" i="34"/>
  <c r="AK60" i="34"/>
  <c r="AK58" i="34" s="1"/>
  <c r="AK20" i="34" s="1"/>
  <c r="AI35" i="34"/>
  <c r="AI13" i="34"/>
  <c r="AI16" i="34" s="1"/>
  <c r="AI15" i="34"/>
  <c r="J22" i="31"/>
  <c r="BG41" i="29"/>
  <c r="BC10" i="10"/>
  <c r="BB11" i="10"/>
  <c r="BB10" i="10" s="1"/>
  <c r="BG13" i="6"/>
  <c r="BH13" i="10"/>
  <c r="BH29" i="10" s="1"/>
  <c r="BN13" i="6"/>
  <c r="BF13" i="10"/>
  <c r="BD13" i="10"/>
  <c r="CL35" i="29" s="1"/>
  <c r="CK35" i="29" s="1"/>
  <c r="BG13" i="10"/>
  <c r="BG29" i="10" s="1"/>
  <c r="BJ13" i="6"/>
  <c r="BC13" i="6"/>
  <c r="BN13" i="10"/>
  <c r="DF35" i="29" s="1"/>
  <c r="DE35" i="29" s="1"/>
  <c r="BK13" i="10"/>
  <c r="BK29" i="10" s="1"/>
  <c r="BM13" i="10"/>
  <c r="DD35" i="29" s="1"/>
  <c r="DC35" i="29" s="1"/>
  <c r="BI13" i="6"/>
  <c r="BJ13" i="10"/>
  <c r="BJ29" i="10" s="1"/>
  <c r="BH13" i="6"/>
  <c r="BE13" i="10"/>
  <c r="CN35" i="29" s="1"/>
  <c r="CM35" i="29" s="1"/>
  <c r="BC13" i="10"/>
  <c r="G32" i="22"/>
  <c r="BI13" i="10"/>
  <c r="BI29" i="10" s="1"/>
  <c r="G32" i="8"/>
  <c r="BK13" i="6"/>
  <c r="BF13" i="6"/>
  <c r="BM13" i="6"/>
  <c r="BD13" i="6"/>
  <c r="BE13" i="6"/>
  <c r="DG41" i="29"/>
  <c r="N22" i="31"/>
  <c r="E38" i="22"/>
  <c r="E34" i="22"/>
  <c r="G18" i="2"/>
  <c r="E35" i="22"/>
  <c r="E43" i="22"/>
  <c r="E36" i="22"/>
  <c r="E40" i="22"/>
  <c r="E41" i="22"/>
  <c r="E39" i="22"/>
  <c r="E33" i="22"/>
  <c r="E44" i="22"/>
  <c r="E37" i="22"/>
  <c r="CF10" i="10"/>
  <c r="BO11" i="10"/>
  <c r="BO10" i="10" s="1"/>
  <c r="BP10" i="10"/>
  <c r="AG18" i="34"/>
  <c r="AG36" i="34"/>
  <c r="AG49" i="34"/>
  <c r="AG47" i="34"/>
  <c r="AG19" i="34"/>
  <c r="AG17" i="34"/>
  <c r="AG29" i="34" s="1"/>
  <c r="AG30" i="34" s="1"/>
  <c r="AZ35" i="29"/>
  <c r="AY35" i="29" s="1"/>
  <c r="AF29" i="10"/>
  <c r="AK7" i="34"/>
  <c r="AJ6" i="34"/>
  <c r="AJ14" i="34"/>
  <c r="AJ24" i="34" s="1"/>
  <c r="AI35" i="29"/>
  <c r="E354" i="20"/>
  <c r="BA10" i="10"/>
  <c r="AY50" i="13"/>
  <c r="AY55" i="13" s="1"/>
  <c r="L22" i="31"/>
  <c r="CG41" i="29"/>
  <c r="D7" i="20"/>
  <c r="Q6" i="20"/>
  <c r="Q355" i="20"/>
  <c r="Q354" i="20" s="1"/>
  <c r="AB13" i="10"/>
  <c r="EG41" i="29"/>
  <c r="P22" i="31"/>
  <c r="H32" i="8"/>
  <c r="BX13" i="10"/>
  <c r="BX29" i="10" s="1"/>
  <c r="BQ13" i="6"/>
  <c r="BT13" i="6"/>
  <c r="BR13" i="10"/>
  <c r="DN35" i="29" s="1"/>
  <c r="DM35" i="29" s="1"/>
  <c r="BZ13" i="6"/>
  <c r="BV13" i="10"/>
  <c r="BV29" i="10" s="1"/>
  <c r="BU13" i="6"/>
  <c r="BR13" i="6"/>
  <c r="BS13" i="6"/>
  <c r="BQ13" i="10"/>
  <c r="DL35" i="29" s="1"/>
  <c r="DK35" i="29" s="1"/>
  <c r="CA13" i="6"/>
  <c r="BZ13" i="10"/>
  <c r="ED35" i="29" s="1"/>
  <c r="EC35" i="29" s="1"/>
  <c r="H32" i="22"/>
  <c r="BV13" i="6"/>
  <c r="CA13" i="10"/>
  <c r="EF35" i="29" s="1"/>
  <c r="EE35" i="29" s="1"/>
  <c r="BS13" i="10"/>
  <c r="BP13" i="6"/>
  <c r="BP13" i="10"/>
  <c r="BU13" i="10"/>
  <c r="BU29" i="10" s="1"/>
  <c r="BW13" i="10"/>
  <c r="BW29" i="10" s="1"/>
  <c r="BW13" i="6"/>
  <c r="BX13" i="6"/>
  <c r="BT13" i="10"/>
  <c r="BT29" i="10" s="1"/>
  <c r="AT35" i="29"/>
  <c r="AS35" i="29" s="1"/>
  <c r="AD29" i="10"/>
  <c r="AS10" i="10"/>
  <c r="AP10" i="10"/>
  <c r="AO11" i="10"/>
  <c r="AO10" i="10" s="1"/>
  <c r="BF10" i="10"/>
  <c r="U11" i="10"/>
  <c r="D20" i="20"/>
  <c r="Z11" i="10"/>
  <c r="AA11" i="10"/>
  <c r="Q11" i="10"/>
  <c r="R11" i="10"/>
  <c r="S11" i="10"/>
  <c r="X11" i="10"/>
  <c r="V11" i="10"/>
  <c r="O23" i="10"/>
  <c r="T11" i="10"/>
  <c r="P11" i="10"/>
  <c r="W11" i="10"/>
  <c r="BS10" i="10"/>
  <c r="AH36" i="34"/>
  <c r="AH47" i="34"/>
  <c r="AH17" i="34"/>
  <c r="AH19" i="34"/>
  <c r="AH49" i="34"/>
  <c r="AH18" i="34"/>
  <c r="U33" i="34"/>
  <c r="V31" i="34" s="1"/>
  <c r="V32" i="34" s="1"/>
  <c r="V28" i="34" s="1"/>
  <c r="CC10" i="10"/>
  <c r="CB11" i="10"/>
  <c r="CB10" i="10" s="1"/>
  <c r="CE10" i="10"/>
  <c r="AX35" i="29"/>
  <c r="AW35" i="29" s="1"/>
  <c r="AQ13" i="10"/>
  <c r="BL35" i="29" s="1"/>
  <c r="BK35" i="29" s="1"/>
  <c r="F32" i="22"/>
  <c r="AW13" i="10"/>
  <c r="AW29" i="10" s="1"/>
  <c r="F32" i="8"/>
  <c r="AV13" i="6"/>
  <c r="AT13" i="6"/>
  <c r="AZ13" i="10"/>
  <c r="CD35" i="29" s="1"/>
  <c r="CC35" i="29" s="1"/>
  <c r="AR13" i="10"/>
  <c r="BN35" i="29" s="1"/>
  <c r="BM35" i="29" s="1"/>
  <c r="BA13" i="6"/>
  <c r="AX13" i="6"/>
  <c r="AS13" i="10"/>
  <c r="AQ13" i="6"/>
  <c r="AW13" i="6"/>
  <c r="AS13" i="6"/>
  <c r="BA13" i="10"/>
  <c r="CF35" i="29" s="1"/>
  <c r="CE35" i="29" s="1"/>
  <c r="AP13" i="10"/>
  <c r="AZ13" i="6"/>
  <c r="AX13" i="10"/>
  <c r="AX29" i="10" s="1"/>
  <c r="AT13" i="10"/>
  <c r="AT29" i="10" s="1"/>
  <c r="AU13" i="6"/>
  <c r="AV13" i="10"/>
  <c r="AV29" i="10" s="1"/>
  <c r="AU13" i="10"/>
  <c r="AU29" i="10" s="1"/>
  <c r="AR13" i="6"/>
  <c r="AP13" i="6"/>
  <c r="CG13" i="6"/>
  <c r="CF13" i="10"/>
  <c r="CF13" i="6"/>
  <c r="CC13" i="6"/>
  <c r="CE13" i="10"/>
  <c r="EN35" i="29" s="1"/>
  <c r="EM35" i="29" s="1"/>
  <c r="CI13" i="6"/>
  <c r="CC13" i="10"/>
  <c r="EJ35" i="29" s="1"/>
  <c r="CJ13" i="6"/>
  <c r="CK13" i="6"/>
  <c r="CD13" i="6"/>
  <c r="CN13" i="10"/>
  <c r="FF35" i="29" s="1"/>
  <c r="FE35" i="29" s="1"/>
  <c r="CE13" i="6"/>
  <c r="CJ13" i="10"/>
  <c r="CJ29" i="10" s="1"/>
  <c r="CM13" i="10"/>
  <c r="FD35" i="29" s="1"/>
  <c r="FC35" i="29" s="1"/>
  <c r="I32" i="8"/>
  <c r="CI13" i="10"/>
  <c r="CI29" i="10" s="1"/>
  <c r="CK13" i="10"/>
  <c r="CK29" i="10" s="1"/>
  <c r="CG13" i="10"/>
  <c r="CG29" i="10" s="1"/>
  <c r="I32" i="22"/>
  <c r="CM13" i="6"/>
  <c r="CN13" i="6"/>
  <c r="CH13" i="6"/>
  <c r="CD13" i="10"/>
  <c r="EL35" i="29" s="1"/>
  <c r="EK35" i="29" s="1"/>
  <c r="CH13" i="10"/>
  <c r="CH29" i="10" s="1"/>
  <c r="AE29" i="10"/>
  <c r="AT47" i="13"/>
  <c r="AT54" i="13" s="1"/>
  <c r="AT53" i="13" s="1"/>
  <c r="AM29" i="10"/>
  <c r="U34" i="34"/>
  <c r="U37" i="34" s="1"/>
  <c r="AS32" i="13"/>
  <c r="AO15" i="23"/>
  <c r="AN18" i="23"/>
  <c r="AN23" i="23" s="1"/>
  <c r="AN21" i="23" s="1"/>
  <c r="AU32" i="43" s="1"/>
  <c r="AU33" i="43" s="1"/>
  <c r="T21" i="13" l="1"/>
  <c r="N22" i="13"/>
  <c r="C22" i="13" s="1"/>
  <c r="S22" i="43"/>
  <c r="S21" i="43" s="1"/>
  <c r="T21" i="43"/>
  <c r="D21" i="43"/>
  <c r="N22" i="43"/>
  <c r="BN29" i="10"/>
  <c r="AB29" i="10"/>
  <c r="BM29" i="10"/>
  <c r="EG4" i="34"/>
  <c r="EH4" i="34" s="1"/>
  <c r="EI4" i="34" s="1"/>
  <c r="EJ4" i="34" s="1"/>
  <c r="EK3" i="34"/>
  <c r="AP59" i="34"/>
  <c r="AQ52" i="34"/>
  <c r="BD29" i="10"/>
  <c r="CR35" i="29"/>
  <c r="CQ35" i="29" s="1"/>
  <c r="CA29" i="10"/>
  <c r="BQ29" i="10"/>
  <c r="DP35" i="29"/>
  <c r="DO35" i="29" s="1"/>
  <c r="DV35" i="29"/>
  <c r="DU35" i="29" s="1"/>
  <c r="CX35" i="29"/>
  <c r="CW35" i="29" s="1"/>
  <c r="EP35" i="29"/>
  <c r="EO35" i="29" s="1"/>
  <c r="CC29" i="10"/>
  <c r="DX35" i="29"/>
  <c r="DW35" i="29" s="1"/>
  <c r="BS29" i="10"/>
  <c r="CT35" i="29"/>
  <c r="CS35" i="29" s="1"/>
  <c r="CV35" i="29"/>
  <c r="CU35" i="29" s="1"/>
  <c r="AZ29" i="10"/>
  <c r="CD29" i="10"/>
  <c r="DT35" i="29"/>
  <c r="DS35" i="29" s="1"/>
  <c r="CP35" i="29"/>
  <c r="CO35" i="29" s="1"/>
  <c r="BF29" i="10"/>
  <c r="BR35" i="29"/>
  <c r="BQ35" i="29" s="1"/>
  <c r="DR35" i="29"/>
  <c r="DQ35" i="29" s="1"/>
  <c r="DZ35" i="29"/>
  <c r="DY35" i="29" s="1"/>
  <c r="CZ35" i="29"/>
  <c r="CY35" i="29" s="1"/>
  <c r="AI47" i="34"/>
  <c r="AI19" i="34"/>
  <c r="AI36" i="34"/>
  <c r="AI18" i="34"/>
  <c r="AI17" i="34"/>
  <c r="AI49" i="34"/>
  <c r="T10" i="10"/>
  <c r="G11" i="10"/>
  <c r="F11" i="10"/>
  <c r="S10" i="10"/>
  <c r="M11" i="10"/>
  <c r="Z10" i="10"/>
  <c r="CB13" i="6"/>
  <c r="AO13" i="6"/>
  <c r="AO13" i="10"/>
  <c r="AO29" i="10" s="1"/>
  <c r="B23" i="10"/>
  <c r="D41" i="29" s="1"/>
  <c r="C41" i="29" s="1"/>
  <c r="F22" i="31"/>
  <c r="C22" i="31" s="1"/>
  <c r="G41" i="29"/>
  <c r="R10" i="10"/>
  <c r="E11" i="10"/>
  <c r="AU47" i="13"/>
  <c r="I34" i="22"/>
  <c r="I41" i="22"/>
  <c r="I38" i="22"/>
  <c r="I44" i="22"/>
  <c r="K18" i="2"/>
  <c r="I37" i="22"/>
  <c r="I36" i="22"/>
  <c r="I39" i="22"/>
  <c r="I33" i="22"/>
  <c r="I40" i="22"/>
  <c r="I43" i="22"/>
  <c r="I35" i="22"/>
  <c r="CB13" i="10"/>
  <c r="CB29" i="10" s="1"/>
  <c r="W10" i="10"/>
  <c r="J11" i="10"/>
  <c r="V10" i="10"/>
  <c r="I11" i="10"/>
  <c r="Q10" i="10"/>
  <c r="D11" i="10"/>
  <c r="U10" i="10"/>
  <c r="H11" i="10"/>
  <c r="BZ35" i="29"/>
  <c r="BY35" i="29" s="1"/>
  <c r="BO13" i="6"/>
  <c r="H39" i="22"/>
  <c r="H35" i="22"/>
  <c r="J18" i="2"/>
  <c r="H41" i="22"/>
  <c r="H36" i="22"/>
  <c r="H40" i="22"/>
  <c r="H43" i="22"/>
  <c r="H44" i="22"/>
  <c r="H33" i="22"/>
  <c r="H38" i="22"/>
  <c r="H37" i="22"/>
  <c r="H34" i="22"/>
  <c r="AZ50" i="13"/>
  <c r="AJ13" i="34"/>
  <c r="AJ15" i="34"/>
  <c r="AJ35" i="34"/>
  <c r="EZ35" i="29"/>
  <c r="EY35" i="29" s="1"/>
  <c r="CJ35" i="29"/>
  <c r="BB13" i="10"/>
  <c r="BB29" i="10" s="1"/>
  <c r="BB13" i="6"/>
  <c r="BC3" i="10"/>
  <c r="BC29" i="10"/>
  <c r="O11" i="10"/>
  <c r="C11" i="10"/>
  <c r="P10" i="10"/>
  <c r="K11" i="10"/>
  <c r="X10" i="10"/>
  <c r="AA10" i="10"/>
  <c r="N11" i="10"/>
  <c r="BP35" i="29"/>
  <c r="BO35" i="29" s="1"/>
  <c r="BV35" i="29"/>
  <c r="BU35" i="29" s="1"/>
  <c r="BA29" i="10"/>
  <c r="AH35" i="29"/>
  <c r="AG35" i="29" s="1"/>
  <c r="AL7" i="34"/>
  <c r="AK14" i="34"/>
  <c r="AK24" i="34" s="1"/>
  <c r="AK6" i="34"/>
  <c r="BP29" i="10"/>
  <c r="ER35" i="29"/>
  <c r="EQ35" i="29" s="1"/>
  <c r="EV35" i="29"/>
  <c r="EU35" i="29" s="1"/>
  <c r="CN29" i="10"/>
  <c r="AQ29" i="10"/>
  <c r="F36" i="22"/>
  <c r="F38" i="22"/>
  <c r="H18" i="2"/>
  <c r="F34" i="22"/>
  <c r="F37" i="22"/>
  <c r="F33" i="22"/>
  <c r="F43" i="22"/>
  <c r="F39" i="22"/>
  <c r="F35" i="22"/>
  <c r="F41" i="22"/>
  <c r="F40" i="22"/>
  <c r="F44" i="22"/>
  <c r="CE29" i="10"/>
  <c r="AH29" i="34"/>
  <c r="AH30" i="34" s="1"/>
  <c r="BJ35" i="29"/>
  <c r="BX35" i="29"/>
  <c r="BW35" i="29" s="1"/>
  <c r="BT35" i="29"/>
  <c r="BS35" i="29" s="1"/>
  <c r="CM29" i="10"/>
  <c r="ET35" i="29"/>
  <c r="ES35" i="29" s="1"/>
  <c r="EX35" i="29"/>
  <c r="EW35" i="29" s="1"/>
  <c r="BZ29" i="10"/>
  <c r="BE29" i="10"/>
  <c r="AR29" i="10"/>
  <c r="AL60" i="34"/>
  <c r="AL58" i="34" s="1"/>
  <c r="AL20" i="34" s="1"/>
  <c r="AM55" i="34"/>
  <c r="EI35" i="29"/>
  <c r="AP29" i="10"/>
  <c r="AS29" i="10"/>
  <c r="DJ35" i="29"/>
  <c r="BO13" i="10"/>
  <c r="BO29" i="10" s="1"/>
  <c r="AW7" i="20"/>
  <c r="D6" i="20"/>
  <c r="D27" i="20" s="1"/>
  <c r="D355" i="20"/>
  <c r="CF29" i="10"/>
  <c r="BR29" i="10"/>
  <c r="G39" i="22"/>
  <c r="G34" i="22"/>
  <c r="G38" i="22"/>
  <c r="G41" i="22"/>
  <c r="G37" i="22"/>
  <c r="G40" i="22"/>
  <c r="G36" i="22"/>
  <c r="G35" i="22"/>
  <c r="G33" i="22"/>
  <c r="G43" i="22"/>
  <c r="G44" i="22"/>
  <c r="I18" i="2"/>
  <c r="V33" i="34"/>
  <c r="W31" i="34" s="1"/>
  <c r="V34" i="34"/>
  <c r="V37" i="34" s="1"/>
  <c r="AU32" i="13"/>
  <c r="AU33" i="13" s="1"/>
  <c r="AP15" i="23"/>
  <c r="AP22" i="23" s="1"/>
  <c r="AO18" i="23"/>
  <c r="AS33" i="13"/>
  <c r="AO22" i="23"/>
  <c r="C22" i="43" l="1"/>
  <c r="AJ16" i="34"/>
  <c r="AQ59" i="34"/>
  <c r="AR52" i="34"/>
  <c r="EK4" i="34"/>
  <c r="EL4" i="34" s="1"/>
  <c r="EM4" i="34" s="1"/>
  <c r="EN4" i="34" s="1"/>
  <c r="EO3" i="34"/>
  <c r="B11" i="10"/>
  <c r="DI35" i="29"/>
  <c r="DH35" i="29"/>
  <c r="DG35" i="29" s="1"/>
  <c r="K10" i="10"/>
  <c r="AJ17" i="34"/>
  <c r="AJ18" i="34"/>
  <c r="AJ47" i="34"/>
  <c r="AJ19" i="34"/>
  <c r="AJ36" i="34"/>
  <c r="AJ49" i="34"/>
  <c r="BA50" i="13"/>
  <c r="D10" i="10"/>
  <c r="C7" i="41" s="1"/>
  <c r="J10" i="10"/>
  <c r="E17" i="26"/>
  <c r="E17" i="3"/>
  <c r="AN55" i="34"/>
  <c r="AM60" i="34"/>
  <c r="AM58" i="34" s="1"/>
  <c r="AM20" i="34" s="1"/>
  <c r="AL14" i="34"/>
  <c r="AL24" i="34" s="1"/>
  <c r="AL6" i="34"/>
  <c r="AM7" i="34"/>
  <c r="AZ55" i="13"/>
  <c r="H10" i="10"/>
  <c r="G10" i="10"/>
  <c r="U13" i="10"/>
  <c r="H13" i="10" s="1"/>
  <c r="W13" i="6"/>
  <c r="Q13" i="10"/>
  <c r="Q29" i="10" s="1"/>
  <c r="X13" i="6"/>
  <c r="W13" i="10"/>
  <c r="J13" i="10" s="1"/>
  <c r="X13" i="10"/>
  <c r="K13" i="10" s="1"/>
  <c r="D32" i="22"/>
  <c r="AA13" i="10"/>
  <c r="AA29" i="10" s="1"/>
  <c r="S13" i="6"/>
  <c r="D32" i="8"/>
  <c r="C32" i="8" s="1"/>
  <c r="T13" i="6"/>
  <c r="Z13" i="10"/>
  <c r="Z29" i="10" s="1"/>
  <c r="V13" i="6"/>
  <c r="R13" i="10"/>
  <c r="R37" i="10" s="1"/>
  <c r="R38" i="10" s="1"/>
  <c r="R39" i="10" s="1"/>
  <c r="S13" i="10"/>
  <c r="G123" i="9" s="1"/>
  <c r="P13" i="6"/>
  <c r="AA13" i="6"/>
  <c r="R13" i="6"/>
  <c r="Z13" i="6"/>
  <c r="M13" i="6" s="1"/>
  <c r="V13" i="10"/>
  <c r="I13" i="10" s="1"/>
  <c r="U13" i="6"/>
  <c r="Q13" i="6"/>
  <c r="D13" i="6" s="1"/>
  <c r="P13" i="10"/>
  <c r="P29" i="10" s="1"/>
  <c r="D354" i="20"/>
  <c r="T13" i="10"/>
  <c r="G13" i="10" s="1"/>
  <c r="EH35" i="29"/>
  <c r="EG35" i="29" s="1"/>
  <c r="BI35" i="29"/>
  <c r="BH35" i="29"/>
  <c r="BG35" i="29" s="1"/>
  <c r="AK15" i="34"/>
  <c r="AK35" i="34"/>
  <c r="AK13" i="34"/>
  <c r="CI35" i="29"/>
  <c r="CH35" i="29"/>
  <c r="CG35" i="29" s="1"/>
  <c r="I10" i="10"/>
  <c r="AV47" i="13"/>
  <c r="E10" i="10"/>
  <c r="D7" i="41" s="1"/>
  <c r="M10" i="10"/>
  <c r="E7" i="41" s="1"/>
  <c r="F10" i="10"/>
  <c r="N10" i="10"/>
  <c r="C10" i="10"/>
  <c r="B7" i="41" s="1"/>
  <c r="O10" i="10"/>
  <c r="AU54" i="13"/>
  <c r="AU53" i="13" s="1"/>
  <c r="AI29" i="34"/>
  <c r="AI30" i="34" s="1"/>
  <c r="W32" i="34"/>
  <c r="W28" i="34" s="1"/>
  <c r="AP18" i="23"/>
  <c r="AO23" i="23"/>
  <c r="AO21" i="23" s="1"/>
  <c r="AQ15" i="23"/>
  <c r="AQ22" i="23" s="1"/>
  <c r="F7" i="41" l="1"/>
  <c r="AV32" i="13"/>
  <c r="AV33" i="13" s="1"/>
  <c r="AV32" i="43"/>
  <c r="R29" i="10"/>
  <c r="G126" i="9"/>
  <c r="W33" i="34"/>
  <c r="X31" i="34" s="1"/>
  <c r="ES3" i="34"/>
  <c r="EO4" i="34"/>
  <c r="EP4" i="34" s="1"/>
  <c r="EQ4" i="34" s="1"/>
  <c r="ER4" i="34" s="1"/>
  <c r="K29" i="10"/>
  <c r="AR59" i="34"/>
  <c r="AS52" i="34"/>
  <c r="AJ29" i="34"/>
  <c r="AJ30" i="34" s="1"/>
  <c r="G128" i="9"/>
  <c r="V29" i="10"/>
  <c r="G131" i="9"/>
  <c r="G29" i="10"/>
  <c r="J29" i="10"/>
  <c r="S29" i="10"/>
  <c r="G122" i="9"/>
  <c r="G70" i="9" s="1"/>
  <c r="H29" i="10"/>
  <c r="B10" i="10"/>
  <c r="V26" i="6"/>
  <c r="V27" i="6" s="1"/>
  <c r="V28" i="6" s="1"/>
  <c r="I13" i="6"/>
  <c r="BC50" i="13"/>
  <c r="I29" i="10"/>
  <c r="O13" i="6"/>
  <c r="C13" i="6"/>
  <c r="M13" i="10"/>
  <c r="AD35" i="29"/>
  <c r="AC35" i="29" s="1"/>
  <c r="N13" i="10"/>
  <c r="N29" i="10" s="1"/>
  <c r="AF35" i="29"/>
  <c r="AE35" i="29" s="1"/>
  <c r="X26" i="6"/>
  <c r="X27" i="6" s="1"/>
  <c r="X28" i="6" s="1"/>
  <c r="K13" i="6"/>
  <c r="G124" i="9"/>
  <c r="G125" i="9"/>
  <c r="AM6" i="34"/>
  <c r="AM14" i="34"/>
  <c r="AM24" i="34" s="1"/>
  <c r="AN7" i="34"/>
  <c r="AX47" i="13"/>
  <c r="AX54" i="13" s="1"/>
  <c r="AX53" i="13" s="1"/>
  <c r="H13" i="6"/>
  <c r="U26" i="6"/>
  <c r="U27" i="6" s="1"/>
  <c r="U28" i="6" s="1"/>
  <c r="S26" i="6"/>
  <c r="S27" i="6" s="1"/>
  <c r="S28" i="6" s="1"/>
  <c r="F13" i="6"/>
  <c r="AK16" i="34"/>
  <c r="C13" i="10"/>
  <c r="B10" i="41" s="1"/>
  <c r="O13" i="10"/>
  <c r="O29" i="10" s="1"/>
  <c r="J35" i="29"/>
  <c r="F13" i="10"/>
  <c r="F29" i="10" s="1"/>
  <c r="V35" i="29"/>
  <c r="U35" i="29" s="1"/>
  <c r="X35" i="29"/>
  <c r="W35" i="29" s="1"/>
  <c r="Z35" i="29"/>
  <c r="Y35" i="29" s="1"/>
  <c r="P35" i="29"/>
  <c r="T35" i="29"/>
  <c r="S35" i="29" s="1"/>
  <c r="R35" i="29"/>
  <c r="Q35" i="29" s="1"/>
  <c r="T26" i="6"/>
  <c r="T27" i="6" s="1"/>
  <c r="T28" i="6" s="1"/>
  <c r="G13" i="6"/>
  <c r="D39" i="22"/>
  <c r="C39" i="22" s="1"/>
  <c r="D33" i="22"/>
  <c r="C33" i="22" s="1"/>
  <c r="D34" i="22"/>
  <c r="C34" i="22" s="1"/>
  <c r="D43" i="22"/>
  <c r="C43" i="22" s="1"/>
  <c r="D44" i="22"/>
  <c r="C44" i="22" s="1"/>
  <c r="D37" i="22"/>
  <c r="C37" i="22" s="1"/>
  <c r="D38" i="22"/>
  <c r="C38" i="22" s="1"/>
  <c r="D35" i="22"/>
  <c r="D36" i="22"/>
  <c r="C36" i="22" s="1"/>
  <c r="F18" i="2"/>
  <c r="D41" i="22"/>
  <c r="C41" i="22" s="1"/>
  <c r="D40" i="22"/>
  <c r="C40" i="22" s="1"/>
  <c r="C32" i="22"/>
  <c r="D13" i="10"/>
  <c r="L35" i="29"/>
  <c r="K35" i="29" s="1"/>
  <c r="T29" i="10"/>
  <c r="AL13" i="34"/>
  <c r="AL15" i="34"/>
  <c r="AL16" i="34" s="1"/>
  <c r="AL35" i="34"/>
  <c r="G127" i="9"/>
  <c r="AA26" i="6"/>
  <c r="AA27" i="6" s="1"/>
  <c r="AA28" i="6" s="1"/>
  <c r="N13" i="6"/>
  <c r="U29" i="10"/>
  <c r="AV54" i="13"/>
  <c r="AV53" i="13" s="1"/>
  <c r="R26" i="6"/>
  <c r="R27" i="6" s="1"/>
  <c r="R28" i="6" s="1"/>
  <c r="E13" i="6"/>
  <c r="E13" i="10"/>
  <c r="N35" i="29"/>
  <c r="M35" i="29" s="1"/>
  <c r="C214" i="8"/>
  <c r="J32" i="8"/>
  <c r="W26" i="6"/>
  <c r="W27" i="6" s="1"/>
  <c r="W28" i="6" s="1"/>
  <c r="J13" i="6"/>
  <c r="AN60" i="34"/>
  <c r="AN58" i="34" s="1"/>
  <c r="AN20" i="34" s="1"/>
  <c r="AO55" i="34"/>
  <c r="W29" i="10"/>
  <c r="BA55" i="13"/>
  <c r="X29" i="10"/>
  <c r="W34" i="34"/>
  <c r="W37" i="34" s="1"/>
  <c r="X32" i="34"/>
  <c r="X28" i="34" s="1"/>
  <c r="AQ18" i="23"/>
  <c r="AQ23" i="23" s="1"/>
  <c r="AQ21" i="23" s="1"/>
  <c r="AP23" i="23"/>
  <c r="AP21" i="23" s="1"/>
  <c r="AR15" i="23"/>
  <c r="AR22" i="23" s="1"/>
  <c r="E29" i="10" l="1"/>
  <c r="D10" i="41"/>
  <c r="M29" i="10"/>
  <c r="E10" i="41"/>
  <c r="D29" i="10"/>
  <c r="C10" i="41"/>
  <c r="H7" i="41"/>
  <c r="G7" i="41"/>
  <c r="AR32" i="13"/>
  <c r="AR33" i="13" s="1"/>
  <c r="AX32" i="13"/>
  <c r="AX33" i="13" s="1"/>
  <c r="AX32" i="43"/>
  <c r="AV33" i="43"/>
  <c r="AR32" i="43"/>
  <c r="AY32" i="13"/>
  <c r="AY33" i="13" s="1"/>
  <c r="AY32" i="43"/>
  <c r="AY33" i="43" s="1"/>
  <c r="AT52" i="34"/>
  <c r="AS59" i="34"/>
  <c r="ES4" i="34"/>
  <c r="ET4" i="34" s="1"/>
  <c r="EU4" i="34" s="1"/>
  <c r="EV4" i="34" s="1"/>
  <c r="EW3" i="34"/>
  <c r="AL49" i="34"/>
  <c r="AL18" i="34"/>
  <c r="AL17" i="34"/>
  <c r="AL19" i="34"/>
  <c r="AL47" i="34"/>
  <c r="AL36" i="34"/>
  <c r="X33" i="34"/>
  <c r="Y31" i="34" s="1"/>
  <c r="E18" i="2"/>
  <c r="T10" i="7"/>
  <c r="C214" i="22"/>
  <c r="C215" i="22"/>
  <c r="B13" i="10"/>
  <c r="AM15" i="34"/>
  <c r="AM13" i="34"/>
  <c r="AM35" i="34"/>
  <c r="AM16" i="34"/>
  <c r="BD50" i="13"/>
  <c r="AO60" i="34"/>
  <c r="AO58" i="34" s="1"/>
  <c r="AO20" i="34" s="1"/>
  <c r="AP55" i="34"/>
  <c r="C35" i="22"/>
  <c r="D126" i="22"/>
  <c r="O35" i="29"/>
  <c r="P34" i="29"/>
  <c r="O34" i="29" s="1"/>
  <c r="AK18" i="34"/>
  <c r="AK17" i="34"/>
  <c r="AK47" i="34"/>
  <c r="AK36" i="34"/>
  <c r="AK19" i="34"/>
  <c r="AK49" i="34"/>
  <c r="B13" i="6"/>
  <c r="BC55" i="13"/>
  <c r="I35" i="29"/>
  <c r="H35" i="29"/>
  <c r="AO7" i="34"/>
  <c r="AN6" i="34"/>
  <c r="AN14" i="34"/>
  <c r="AN24" i="34" s="1"/>
  <c r="C29" i="10"/>
  <c r="AY47" i="13"/>
  <c r="AY54" i="13" s="1"/>
  <c r="AY53" i="13" s="1"/>
  <c r="X34" i="34"/>
  <c r="X37" i="34" s="1"/>
  <c r="AS15" i="23"/>
  <c r="AS22" i="23" s="1"/>
  <c r="AR18" i="23"/>
  <c r="AR23" i="23" s="1"/>
  <c r="AR21" i="23" s="1"/>
  <c r="F10" i="41" l="1"/>
  <c r="H10" i="41" s="1"/>
  <c r="AR33" i="43"/>
  <c r="AZ32" i="13"/>
  <c r="AZ33" i="13" s="1"/>
  <c r="AZ32" i="43"/>
  <c r="AZ33" i="43" s="1"/>
  <c r="AX33" i="43"/>
  <c r="AL29" i="34"/>
  <c r="AL30" i="34" s="1"/>
  <c r="EW4" i="34"/>
  <c r="EX4" i="34" s="1"/>
  <c r="EY4" i="34" s="1"/>
  <c r="EZ4" i="34" s="1"/>
  <c r="FA3" i="34"/>
  <c r="AK29" i="34"/>
  <c r="AK30" i="34" s="1"/>
  <c r="AT59" i="34"/>
  <c r="AU52" i="34"/>
  <c r="B29" i="10"/>
  <c r="G35" i="29"/>
  <c r="D35" i="29"/>
  <c r="BE50" i="13"/>
  <c r="AM19" i="34"/>
  <c r="AM49" i="34"/>
  <c r="AM36" i="34"/>
  <c r="AM17" i="34"/>
  <c r="AM18" i="34"/>
  <c r="AM47" i="34"/>
  <c r="Y32" i="34"/>
  <c r="Y28" i="34" s="1"/>
  <c r="Y34" i="34" s="1"/>
  <c r="Y37" i="34" s="1"/>
  <c r="AZ47" i="13"/>
  <c r="AZ54" i="13" s="1"/>
  <c r="AZ53" i="13" s="1"/>
  <c r="AN13" i="34"/>
  <c r="AN35" i="34"/>
  <c r="AN15" i="34"/>
  <c r="AO14" i="34"/>
  <c r="AO24" i="34" s="1"/>
  <c r="AO6" i="34"/>
  <c r="AP7" i="34"/>
  <c r="AQ55" i="34"/>
  <c r="AP60" i="34"/>
  <c r="AP58" i="34" s="1"/>
  <c r="AP20" i="34" s="1"/>
  <c r="BD55" i="13"/>
  <c r="AT15" i="23"/>
  <c r="AT22" i="23" s="1"/>
  <c r="AS18" i="23"/>
  <c r="AS23" i="23" s="1"/>
  <c r="AS21" i="23" s="1"/>
  <c r="G10" i="41" l="1"/>
  <c r="BA32" i="13"/>
  <c r="BA33" i="13" s="1"/>
  <c r="BA32" i="43"/>
  <c r="BA33" i="43" s="1"/>
  <c r="AN16" i="34"/>
  <c r="AN18" i="34" s="1"/>
  <c r="AM29" i="34"/>
  <c r="AM30" i="34" s="1"/>
  <c r="AV52" i="34"/>
  <c r="AU59" i="34"/>
  <c r="FE3" i="34"/>
  <c r="FA4" i="34"/>
  <c r="FB4" i="34" s="1"/>
  <c r="FC4" i="34" s="1"/>
  <c r="FD4" i="34" s="1"/>
  <c r="BF50" i="13"/>
  <c r="C50" i="13" s="1"/>
  <c r="AQ60" i="34"/>
  <c r="AQ58" i="34" s="1"/>
  <c r="AQ20" i="34" s="1"/>
  <c r="AR55" i="34"/>
  <c r="C35" i="29"/>
  <c r="B35" i="29"/>
  <c r="AN49" i="34"/>
  <c r="AN17" i="34"/>
  <c r="AN36" i="34"/>
  <c r="AN47" i="34"/>
  <c r="AQ7" i="34"/>
  <c r="AP14" i="34"/>
  <c r="AP24" i="34" s="1"/>
  <c r="AP6" i="34"/>
  <c r="BA47" i="13"/>
  <c r="BA54" i="13" s="1"/>
  <c r="BA53" i="13" s="1"/>
  <c r="AO13" i="34"/>
  <c r="AO15" i="34"/>
  <c r="AO35" i="34"/>
  <c r="BE55" i="13"/>
  <c r="Y33" i="34"/>
  <c r="Z31" i="34" s="1"/>
  <c r="Z32" i="34" s="1"/>
  <c r="Z28" i="34" s="1"/>
  <c r="Z34" i="34" s="1"/>
  <c r="Z37" i="34" s="1"/>
  <c r="AT18" i="23"/>
  <c r="AT23" i="23" s="1"/>
  <c r="AT21" i="23" s="1"/>
  <c r="AU15" i="23"/>
  <c r="AN19" i="34" l="1"/>
  <c r="AW32" i="13"/>
  <c r="AW33" i="13" s="1"/>
  <c r="AW32" i="43"/>
  <c r="AW33" i="43" s="1"/>
  <c r="BC32" i="13"/>
  <c r="BC33" i="13" s="1"/>
  <c r="BC32" i="43"/>
  <c r="BF55" i="13"/>
  <c r="C55" i="13" s="1"/>
  <c r="C29" i="31" s="1"/>
  <c r="FI3" i="34"/>
  <c r="FI4" i="34" s="1"/>
  <c r="FJ4" i="34" s="1"/>
  <c r="FK4" i="34" s="1"/>
  <c r="FL4" i="34" s="1"/>
  <c r="FE4" i="34"/>
  <c r="FF4" i="34" s="1"/>
  <c r="FG4" i="34" s="1"/>
  <c r="FH4" i="34" s="1"/>
  <c r="AN29" i="34"/>
  <c r="AN30" i="34" s="1"/>
  <c r="AW52" i="34"/>
  <c r="AV59" i="34"/>
  <c r="Z33" i="34"/>
  <c r="AA31" i="34" s="1"/>
  <c r="AA32" i="34" s="1"/>
  <c r="AA28" i="34" s="1"/>
  <c r="AO16" i="34"/>
  <c r="BC47" i="13"/>
  <c r="AR60" i="34"/>
  <c r="AR58" i="34" s="1"/>
  <c r="AR20" i="34" s="1"/>
  <c r="AS55" i="34"/>
  <c r="AQ14" i="34"/>
  <c r="AQ24" i="34" s="1"/>
  <c r="AR7" i="34"/>
  <c r="AQ6" i="34"/>
  <c r="AP13" i="34"/>
  <c r="AP15" i="34"/>
  <c r="AP16" i="34"/>
  <c r="AP35" i="34"/>
  <c r="AV15" i="23"/>
  <c r="AU22" i="23"/>
  <c r="AU18" i="23"/>
  <c r="BC33" i="43" l="1"/>
  <c r="AX52" i="34"/>
  <c r="AW59" i="34"/>
  <c r="AQ35" i="34"/>
  <c r="AQ13" i="34"/>
  <c r="AQ15" i="34"/>
  <c r="AS60" i="34"/>
  <c r="AS58" i="34" s="1"/>
  <c r="AS20" i="34" s="1"/>
  <c r="AT55" i="34"/>
  <c r="AO19" i="34"/>
  <c r="AO17" i="34"/>
  <c r="AO18" i="34"/>
  <c r="AO49" i="34"/>
  <c r="AO47" i="34"/>
  <c r="AO36" i="34"/>
  <c r="AS7" i="34"/>
  <c r="AR6" i="34"/>
  <c r="AR14" i="34"/>
  <c r="AR24" i="34" s="1"/>
  <c r="BD47" i="13"/>
  <c r="BD54" i="13" s="1"/>
  <c r="BD53" i="13" s="1"/>
  <c r="AP36" i="34"/>
  <c r="AP18" i="34"/>
  <c r="AP19" i="34"/>
  <c r="AP17" i="34"/>
  <c r="AP49" i="34"/>
  <c r="AP47" i="34"/>
  <c r="BC54" i="13"/>
  <c r="BC53" i="13" s="1"/>
  <c r="AA33" i="34"/>
  <c r="AB31" i="34" s="1"/>
  <c r="AA34" i="34"/>
  <c r="AA37" i="34" s="1"/>
  <c r="AV18" i="23"/>
  <c r="AW15" i="23"/>
  <c r="C15" i="23" s="1"/>
  <c r="AU23" i="23"/>
  <c r="AU21" i="23" s="1"/>
  <c r="AV22" i="23"/>
  <c r="BD32" i="13" l="1"/>
  <c r="BD33" i="13" s="1"/>
  <c r="BD32" i="43"/>
  <c r="AP29" i="34"/>
  <c r="AP30" i="34" s="1"/>
  <c r="AO29" i="34"/>
  <c r="AO30" i="34" s="1"/>
  <c r="AY52" i="34"/>
  <c r="AX59" i="34"/>
  <c r="AR13" i="34"/>
  <c r="AR15" i="34"/>
  <c r="AR35" i="34"/>
  <c r="AT7" i="34"/>
  <c r="AS6" i="34"/>
  <c r="AS14" i="34"/>
  <c r="AS24" i="34" s="1"/>
  <c r="AQ16" i="34"/>
  <c r="BE47" i="13"/>
  <c r="BE54" i="13" s="1"/>
  <c r="BE53" i="13" s="1"/>
  <c r="AU55" i="34"/>
  <c r="AT60" i="34"/>
  <c r="AT58" i="34" s="1"/>
  <c r="AT20" i="34" s="1"/>
  <c r="AB32" i="34"/>
  <c r="AB28" i="34" s="1"/>
  <c r="AW22" i="23"/>
  <c r="C22" i="23" s="1"/>
  <c r="AW18" i="23"/>
  <c r="C18" i="23" s="1"/>
  <c r="AV23" i="23"/>
  <c r="AV21" i="23" s="1"/>
  <c r="BD33" i="43" l="1"/>
  <c r="BE32" i="13"/>
  <c r="BE33" i="13" s="1"/>
  <c r="BE32" i="43"/>
  <c r="BE33" i="43" s="1"/>
  <c r="AR16" i="34"/>
  <c r="AR47" i="34" s="1"/>
  <c r="AY59" i="34"/>
  <c r="AZ52" i="34"/>
  <c r="AS15" i="34"/>
  <c r="AS13" i="34"/>
  <c r="AS35" i="34"/>
  <c r="BF47" i="13"/>
  <c r="C47" i="13" s="1"/>
  <c r="AU7" i="34"/>
  <c r="AT6" i="34"/>
  <c r="AT14" i="34"/>
  <c r="AT24" i="34" s="1"/>
  <c r="AU60" i="34"/>
  <c r="AU58" i="34" s="1"/>
  <c r="AU20" i="34" s="1"/>
  <c r="AV55" i="34"/>
  <c r="AQ19" i="34"/>
  <c r="AQ18" i="34"/>
  <c r="AQ47" i="34"/>
  <c r="AQ17" i="34"/>
  <c r="AQ49" i="34"/>
  <c r="AQ36" i="34"/>
  <c r="AR19" i="34"/>
  <c r="AR17" i="34"/>
  <c r="AR18" i="34"/>
  <c r="AB33" i="34"/>
  <c r="AC31" i="34" s="1"/>
  <c r="AB34" i="34"/>
  <c r="AB37" i="34" s="1"/>
  <c r="AW23" i="23"/>
  <c r="C23" i="23" s="1"/>
  <c r="C25" i="23" s="1"/>
  <c r="C55" i="23" s="1"/>
  <c r="AR29" i="34" l="1"/>
  <c r="AR30" i="34" s="1"/>
  <c r="AR36" i="34"/>
  <c r="AQ29" i="34"/>
  <c r="AQ30" i="34" s="1"/>
  <c r="AR49" i="34"/>
  <c r="AS16" i="34"/>
  <c r="AS19" i="34" s="1"/>
  <c r="BF54" i="13"/>
  <c r="C54" i="13" s="1"/>
  <c r="C30" i="31" s="1"/>
  <c r="F31" i="31" s="1"/>
  <c r="BA52" i="34"/>
  <c r="AZ59" i="34"/>
  <c r="AS49" i="34"/>
  <c r="AT35" i="34"/>
  <c r="AT13" i="34"/>
  <c r="AT15" i="34"/>
  <c r="AV60" i="34"/>
  <c r="AV58" i="34" s="1"/>
  <c r="AV20" i="34" s="1"/>
  <c r="AW55" i="34"/>
  <c r="AV7" i="34"/>
  <c r="AU6" i="34"/>
  <c r="AU14" i="34"/>
  <c r="AU24" i="34" s="1"/>
  <c r="BF53" i="13"/>
  <c r="C53" i="13" s="1"/>
  <c r="AC32" i="34"/>
  <c r="AC28" i="34" s="1"/>
  <c r="C56" i="23"/>
  <c r="O101" i="21" s="1"/>
  <c r="O104" i="21" s="1"/>
  <c r="AW21" i="23"/>
  <c r="C51" i="23"/>
  <c r="C52" i="23"/>
  <c r="J29" i="21" s="1"/>
  <c r="J32" i="21" s="1"/>
  <c r="C53" i="23"/>
  <c r="K47" i="21" s="1"/>
  <c r="K50" i="21" s="1"/>
  <c r="C54" i="23"/>
  <c r="H65" i="21" s="1"/>
  <c r="H68" i="21" s="1"/>
  <c r="H83" i="21"/>
  <c r="H86" i="21" s="1"/>
  <c r="P83" i="21"/>
  <c r="P86" i="21" s="1"/>
  <c r="J83" i="21"/>
  <c r="J86" i="21" s="1"/>
  <c r="K83" i="21"/>
  <c r="K86" i="21" s="1"/>
  <c r="Q83" i="21"/>
  <c r="Q86" i="21" s="1"/>
  <c r="E83" i="21"/>
  <c r="E86" i="21" s="1"/>
  <c r="K55" i="23"/>
  <c r="K83" i="7" s="1"/>
  <c r="K86" i="7" s="1"/>
  <c r="O55" i="23"/>
  <c r="O83" i="7" s="1"/>
  <c r="O86" i="7" s="1"/>
  <c r="F55" i="23"/>
  <c r="F83" i="7" s="1"/>
  <c r="F86" i="7" s="1"/>
  <c r="M55" i="23"/>
  <c r="G83" i="21"/>
  <c r="G86" i="21" s="1"/>
  <c r="E55" i="23"/>
  <c r="E83" i="7" s="1"/>
  <c r="L55" i="23"/>
  <c r="L83" i="7" s="1"/>
  <c r="L86" i="7" s="1"/>
  <c r="H55" i="23"/>
  <c r="H83" i="7" s="1"/>
  <c r="H86" i="7" s="1"/>
  <c r="D83" i="21"/>
  <c r="O83" i="21"/>
  <c r="O86" i="21" s="1"/>
  <c r="J55" i="23"/>
  <c r="J83" i="7" s="1"/>
  <c r="J86" i="7" s="1"/>
  <c r="N55" i="23"/>
  <c r="N83" i="7" s="1"/>
  <c r="N86" i="7" s="1"/>
  <c r="L83" i="21"/>
  <c r="L86" i="21" s="1"/>
  <c r="F83" i="21"/>
  <c r="F86" i="21" s="1"/>
  <c r="I55" i="23"/>
  <c r="I83" i="7" s="1"/>
  <c r="I86" i="7" s="1"/>
  <c r="G55" i="23"/>
  <c r="G83" i="7" s="1"/>
  <c r="G86" i="7" s="1"/>
  <c r="D55" i="23"/>
  <c r="D83" i="7" s="1"/>
  <c r="N83" i="21"/>
  <c r="N86" i="21" s="1"/>
  <c r="I83" i="21"/>
  <c r="I86" i="21" s="1"/>
  <c r="F30" i="31" l="1"/>
  <c r="AS36" i="34"/>
  <c r="AS47" i="34"/>
  <c r="AS17" i="34"/>
  <c r="AS18" i="34"/>
  <c r="C21" i="23"/>
  <c r="C26" i="23" s="1"/>
  <c r="BF32" i="43"/>
  <c r="AS29" i="34"/>
  <c r="AS30" i="34" s="1"/>
  <c r="BB52" i="34"/>
  <c r="BA59" i="34"/>
  <c r="M52" i="23"/>
  <c r="AU15" i="34"/>
  <c r="AU13" i="34"/>
  <c r="AU35" i="34"/>
  <c r="AU16" i="34"/>
  <c r="AW7" i="34"/>
  <c r="AV6" i="34"/>
  <c r="AV14" i="34"/>
  <c r="AV24" i="34" s="1"/>
  <c r="AT16" i="34"/>
  <c r="AC33" i="34"/>
  <c r="AD31" i="34" s="1"/>
  <c r="AD32" i="34" s="1"/>
  <c r="AD28" i="34" s="1"/>
  <c r="AX55" i="34"/>
  <c r="AW60" i="34"/>
  <c r="AW58" i="34" s="1"/>
  <c r="AW20" i="34" s="1"/>
  <c r="AC34" i="34"/>
  <c r="AC37" i="34" s="1"/>
  <c r="D52" i="23"/>
  <c r="D29" i="7" s="1"/>
  <c r="D32" i="7" s="1"/>
  <c r="K29" i="21"/>
  <c r="K32" i="21" s="1"/>
  <c r="K33" i="21" s="1"/>
  <c r="F47" i="21"/>
  <c r="F50" i="21" s="1"/>
  <c r="F52" i="21" s="1"/>
  <c r="I54" i="23"/>
  <c r="I65" i="7" s="1"/>
  <c r="I68" i="7" s="1"/>
  <c r="I70" i="7" s="1"/>
  <c r="O47" i="21"/>
  <c r="O50" i="21" s="1"/>
  <c r="O51" i="21" s="1"/>
  <c r="E53" i="23"/>
  <c r="E47" i="7" s="1"/>
  <c r="E50" i="7" s="1"/>
  <c r="N54" i="23"/>
  <c r="N65" i="7" s="1"/>
  <c r="N68" i="7" s="1"/>
  <c r="N70" i="7" s="1"/>
  <c r="N71" i="7" s="1"/>
  <c r="N72" i="7" s="1"/>
  <c r="N47" i="21"/>
  <c r="N50" i="21" s="1"/>
  <c r="N51" i="21" s="1"/>
  <c r="G47" i="21"/>
  <c r="G50" i="21" s="1"/>
  <c r="G52" i="21" s="1"/>
  <c r="J47" i="21"/>
  <c r="J50" i="21" s="1"/>
  <c r="J52" i="21" s="1"/>
  <c r="D47" i="21"/>
  <c r="D50" i="21" s="1"/>
  <c r="I53" i="23"/>
  <c r="I47" i="7" s="1"/>
  <c r="I50" i="7" s="1"/>
  <c r="I51" i="7" s="1"/>
  <c r="I55" i="7" s="1"/>
  <c r="H53" i="23"/>
  <c r="H47" i="7" s="1"/>
  <c r="H50" i="7" s="1"/>
  <c r="H51" i="7" s="1"/>
  <c r="H55" i="7" s="1"/>
  <c r="N53" i="23"/>
  <c r="N47" i="7" s="1"/>
  <c r="N50" i="7" s="1"/>
  <c r="N52" i="7" s="1"/>
  <c r="N53" i="7" s="1"/>
  <c r="N54" i="7" s="1"/>
  <c r="F53" i="23"/>
  <c r="F47" i="7" s="1"/>
  <c r="F50" i="7" s="1"/>
  <c r="F51" i="7" s="1"/>
  <c r="F55" i="7" s="1"/>
  <c r="M53" i="23"/>
  <c r="L47" i="21"/>
  <c r="L50" i="21" s="1"/>
  <c r="L52" i="21" s="1"/>
  <c r="AH55" i="29"/>
  <c r="AH51" i="29" s="1"/>
  <c r="AH56" i="29" s="1"/>
  <c r="G53" i="23"/>
  <c r="G47" i="7" s="1"/>
  <c r="G50" i="7" s="1"/>
  <c r="G52" i="7" s="1"/>
  <c r="D53" i="23"/>
  <c r="D47" i="7" s="1"/>
  <c r="P47" i="7" s="1"/>
  <c r="P50" i="7" s="1"/>
  <c r="E47" i="21"/>
  <c r="E50" i="21" s="1"/>
  <c r="E51" i="21" s="1"/>
  <c r="J53" i="23"/>
  <c r="J47" i="7" s="1"/>
  <c r="J50" i="7" s="1"/>
  <c r="J51" i="7" s="1"/>
  <c r="J55" i="7" s="1"/>
  <c r="L51" i="23"/>
  <c r="L11" i="7" s="1"/>
  <c r="L14" i="7" s="1"/>
  <c r="H52" i="23"/>
  <c r="H29" i="7" s="1"/>
  <c r="H32" i="7" s="1"/>
  <c r="H34" i="7" s="1"/>
  <c r="D29" i="21"/>
  <c r="D32" i="21" s="1"/>
  <c r="J52" i="23"/>
  <c r="J29" i="7" s="1"/>
  <c r="J32" i="7" s="1"/>
  <c r="J34" i="7" s="1"/>
  <c r="J54" i="23"/>
  <c r="J65" i="7" s="1"/>
  <c r="J68" i="7" s="1"/>
  <c r="J69" i="7" s="1"/>
  <c r="J73" i="7" s="1"/>
  <c r="G54" i="23"/>
  <c r="G65" i="7" s="1"/>
  <c r="G68" i="7" s="1"/>
  <c r="G69" i="7" s="1"/>
  <c r="G73" i="7" s="1"/>
  <c r="F65" i="21"/>
  <c r="F68" i="21" s="1"/>
  <c r="F70" i="21" s="1"/>
  <c r="F54" i="23"/>
  <c r="F65" i="7" s="1"/>
  <c r="F68" i="7" s="1"/>
  <c r="F70" i="7" s="1"/>
  <c r="I65" i="21"/>
  <c r="I68" i="21" s="1"/>
  <c r="I69" i="21" s="1"/>
  <c r="D51" i="23"/>
  <c r="D11" i="7" s="1"/>
  <c r="I51" i="23"/>
  <c r="I11" i="7" s="1"/>
  <c r="I14" i="7" s="1"/>
  <c r="J51" i="23"/>
  <c r="J11" i="7" s="1"/>
  <c r="J14" i="7" s="1"/>
  <c r="K51" i="23"/>
  <c r="K11" i="7" s="1"/>
  <c r="K14" i="7" s="1"/>
  <c r="M51" i="23"/>
  <c r="N51" i="23"/>
  <c r="N11" i="7" s="1"/>
  <c r="N14" i="7" s="1"/>
  <c r="C57" i="23"/>
  <c r="D65" i="21"/>
  <c r="D68" i="21" s="1"/>
  <c r="E65" i="21"/>
  <c r="E68" i="21" s="1"/>
  <c r="E69" i="21" s="1"/>
  <c r="O65" i="21"/>
  <c r="O68" i="21" s="1"/>
  <c r="O69" i="21" s="1"/>
  <c r="G51" i="23"/>
  <c r="G11" i="7" s="1"/>
  <c r="G14" i="7" s="1"/>
  <c r="E51" i="23"/>
  <c r="E11" i="7" s="1"/>
  <c r="E14" i="7" s="1"/>
  <c r="O51" i="23"/>
  <c r="O11" i="7" s="1"/>
  <c r="O14" i="7" s="1"/>
  <c r="J65" i="21"/>
  <c r="J68" i="21" s="1"/>
  <c r="J70" i="21" s="1"/>
  <c r="M54" i="23"/>
  <c r="O54" i="23"/>
  <c r="O65" i="7" s="1"/>
  <c r="O68" i="7" s="1"/>
  <c r="O69" i="7" s="1"/>
  <c r="F51" i="23"/>
  <c r="F11" i="7" s="1"/>
  <c r="F14" i="7" s="1"/>
  <c r="N11" i="21"/>
  <c r="N14" i="21" s="1"/>
  <c r="N15" i="21" s="1"/>
  <c r="N16" i="21" s="1"/>
  <c r="N17" i="21" s="1"/>
  <c r="N18" i="21" s="1"/>
  <c r="H51" i="23"/>
  <c r="H11" i="7" s="1"/>
  <c r="H14" i="7" s="1"/>
  <c r="L101" i="21"/>
  <c r="L104" i="21" s="1"/>
  <c r="L105" i="21" s="1"/>
  <c r="E101" i="21"/>
  <c r="E104" i="21" s="1"/>
  <c r="E106" i="21" s="1"/>
  <c r="I56" i="23"/>
  <c r="I101" i="7" s="1"/>
  <c r="I104" i="7" s="1"/>
  <c r="I105" i="7" s="1"/>
  <c r="I109" i="7" s="1"/>
  <c r="K56" i="23"/>
  <c r="K101" i="7" s="1"/>
  <c r="K104" i="7" s="1"/>
  <c r="K105" i="7" s="1"/>
  <c r="K53" i="23"/>
  <c r="K47" i="7" s="1"/>
  <c r="K50" i="7" s="1"/>
  <c r="K52" i="7" s="1"/>
  <c r="K53" i="7" s="1"/>
  <c r="K54" i="7" s="1"/>
  <c r="I47" i="21"/>
  <c r="I50" i="21" s="1"/>
  <c r="I51" i="21" s="1"/>
  <c r="H47" i="21"/>
  <c r="H50" i="21" s="1"/>
  <c r="H51" i="21" s="1"/>
  <c r="L53" i="23"/>
  <c r="L47" i="7" s="1"/>
  <c r="L50" i="7" s="1"/>
  <c r="L51" i="7" s="1"/>
  <c r="O53" i="23"/>
  <c r="O47" i="7" s="1"/>
  <c r="O50" i="7" s="1"/>
  <c r="O51" i="7" s="1"/>
  <c r="I101" i="21"/>
  <c r="I104" i="21" s="1"/>
  <c r="I106" i="21" s="1"/>
  <c r="G56" i="23"/>
  <c r="G101" i="7" s="1"/>
  <c r="G104" i="7" s="1"/>
  <c r="G106" i="7" s="1"/>
  <c r="N101" i="21"/>
  <c r="N104" i="21" s="1"/>
  <c r="N106" i="21" s="1"/>
  <c r="D56" i="23"/>
  <c r="D101" i="7" s="1"/>
  <c r="F101" i="21"/>
  <c r="F104" i="21" s="1"/>
  <c r="F105" i="21" s="1"/>
  <c r="F56" i="23"/>
  <c r="F101" i="7" s="1"/>
  <c r="F104" i="7" s="1"/>
  <c r="F105" i="7" s="1"/>
  <c r="F109" i="7" s="1"/>
  <c r="J56" i="23"/>
  <c r="J101" i="7" s="1"/>
  <c r="J104" i="7" s="1"/>
  <c r="J105" i="7" s="1"/>
  <c r="J109" i="7" s="1"/>
  <c r="J101" i="21"/>
  <c r="J104" i="21" s="1"/>
  <c r="J106" i="21" s="1"/>
  <c r="K101" i="21"/>
  <c r="K104" i="21" s="1"/>
  <c r="K106" i="21" s="1"/>
  <c r="N56" i="23"/>
  <c r="N101" i="7" s="1"/>
  <c r="N104" i="7" s="1"/>
  <c r="N106" i="7" s="1"/>
  <c r="N107" i="7" s="1"/>
  <c r="N108" i="7" s="1"/>
  <c r="E56" i="23"/>
  <c r="E101" i="7" s="1"/>
  <c r="E104" i="7" s="1"/>
  <c r="L56" i="23"/>
  <c r="L101" i="7" s="1"/>
  <c r="L104" i="7" s="1"/>
  <c r="L105" i="7" s="1"/>
  <c r="H56" i="23"/>
  <c r="H101" i="7" s="1"/>
  <c r="H104" i="7" s="1"/>
  <c r="H105" i="7" s="1"/>
  <c r="H109" i="7" s="1"/>
  <c r="O56" i="23"/>
  <c r="O101" i="7" s="1"/>
  <c r="O104" i="7" s="1"/>
  <c r="O105" i="7" s="1"/>
  <c r="G101" i="21"/>
  <c r="G104" i="21" s="1"/>
  <c r="G106" i="21" s="1"/>
  <c r="H101" i="21"/>
  <c r="H104" i="21" s="1"/>
  <c r="H105" i="21" s="1"/>
  <c r="M56" i="23"/>
  <c r="D101" i="21"/>
  <c r="BF32" i="13"/>
  <c r="BB32" i="13" s="1"/>
  <c r="G65" i="21"/>
  <c r="G68" i="21" s="1"/>
  <c r="G70" i="21" s="1"/>
  <c r="L65" i="21"/>
  <c r="L68" i="21" s="1"/>
  <c r="L70" i="21" s="1"/>
  <c r="K65" i="21"/>
  <c r="K68" i="21" s="1"/>
  <c r="K70" i="21" s="1"/>
  <c r="D54" i="23"/>
  <c r="D65" i="7" s="1"/>
  <c r="P65" i="7" s="1"/>
  <c r="P68" i="7" s="1"/>
  <c r="N29" i="21"/>
  <c r="N32" i="21" s="1"/>
  <c r="N33" i="21" s="1"/>
  <c r="H29" i="21"/>
  <c r="H32" i="21" s="1"/>
  <c r="H33" i="21" s="1"/>
  <c r="I52" i="23"/>
  <c r="I29" i="7" s="1"/>
  <c r="I32" i="7" s="1"/>
  <c r="I33" i="7" s="1"/>
  <c r="I37" i="7" s="1"/>
  <c r="E29" i="21"/>
  <c r="E32" i="21" s="1"/>
  <c r="E33" i="21" s="1"/>
  <c r="G52" i="23"/>
  <c r="G29" i="7" s="1"/>
  <c r="G32" i="7" s="1"/>
  <c r="G33" i="7" s="1"/>
  <c r="G37" i="7" s="1"/>
  <c r="I29" i="21"/>
  <c r="I32" i="21" s="1"/>
  <c r="I33" i="21" s="1"/>
  <c r="K52" i="23"/>
  <c r="K29" i="7" s="1"/>
  <c r="K32" i="7" s="1"/>
  <c r="K34" i="7" s="1"/>
  <c r="K35" i="7" s="1"/>
  <c r="K36" i="7" s="1"/>
  <c r="F52" i="23"/>
  <c r="F29" i="7" s="1"/>
  <c r="F32" i="7" s="1"/>
  <c r="F33" i="7" s="1"/>
  <c r="F37" i="7" s="1"/>
  <c r="N52" i="23"/>
  <c r="N29" i="7" s="1"/>
  <c r="N32" i="7" s="1"/>
  <c r="N34" i="7" s="1"/>
  <c r="N35" i="7" s="1"/>
  <c r="N36" i="7" s="1"/>
  <c r="G29" i="21"/>
  <c r="G32" i="21" s="1"/>
  <c r="G34" i="21" s="1"/>
  <c r="E52" i="23"/>
  <c r="E29" i="7" s="1"/>
  <c r="E32" i="7" s="1"/>
  <c r="F29" i="21"/>
  <c r="F32" i="21" s="1"/>
  <c r="F33" i="21" s="1"/>
  <c r="O29" i="21"/>
  <c r="O32" i="21" s="1"/>
  <c r="O34" i="21" s="1"/>
  <c r="O52" i="23"/>
  <c r="O29" i="7" s="1"/>
  <c r="O32" i="7" s="1"/>
  <c r="O33" i="7" s="1"/>
  <c r="L29" i="21"/>
  <c r="L32" i="21" s="1"/>
  <c r="L33" i="21" s="1"/>
  <c r="L52" i="23"/>
  <c r="L29" i="7" s="1"/>
  <c r="L32" i="7" s="1"/>
  <c r="L34" i="7" s="1"/>
  <c r="L35" i="7" s="1"/>
  <c r="L36" i="7" s="1"/>
  <c r="E54" i="23"/>
  <c r="E65" i="7" s="1"/>
  <c r="N65" i="21"/>
  <c r="N68" i="21" s="1"/>
  <c r="N69" i="21" s="1"/>
  <c r="L54" i="23"/>
  <c r="L65" i="7" s="1"/>
  <c r="L68" i="7" s="1"/>
  <c r="L69" i="7" s="1"/>
  <c r="K54" i="23"/>
  <c r="K65" i="7" s="1"/>
  <c r="K68" i="7" s="1"/>
  <c r="K69" i="7" s="1"/>
  <c r="H54" i="23"/>
  <c r="H65" i="7" s="1"/>
  <c r="H68" i="7" s="1"/>
  <c r="H70" i="7" s="1"/>
  <c r="C83" i="7"/>
  <c r="D86" i="7"/>
  <c r="P83" i="7"/>
  <c r="P86" i="7" s="1"/>
  <c r="L87" i="21"/>
  <c r="L88" i="21"/>
  <c r="C83" i="21"/>
  <c r="R83" i="21" s="1"/>
  <c r="R86" i="21" s="1"/>
  <c r="D86" i="21"/>
  <c r="G87" i="21"/>
  <c r="G88" i="21"/>
  <c r="O87" i="7"/>
  <c r="O88" i="7"/>
  <c r="O89" i="7" s="1"/>
  <c r="O90" i="7" s="1"/>
  <c r="K88" i="21"/>
  <c r="K87" i="21"/>
  <c r="H69" i="21"/>
  <c r="H70" i="21"/>
  <c r="N87" i="21"/>
  <c r="N88" i="21"/>
  <c r="F87" i="21"/>
  <c r="F88" i="21"/>
  <c r="O88" i="21"/>
  <c r="O87" i="21"/>
  <c r="E86" i="7"/>
  <c r="Q83" i="7"/>
  <c r="Q86" i="7" s="1"/>
  <c r="F88" i="7"/>
  <c r="F87" i="7"/>
  <c r="F91" i="7" s="1"/>
  <c r="Q88" i="21"/>
  <c r="Q89" i="21" s="1"/>
  <c r="Q90" i="21" s="1"/>
  <c r="Q87" i="21"/>
  <c r="H88" i="21"/>
  <c r="H87" i="21"/>
  <c r="O105" i="21"/>
  <c r="O106" i="21"/>
  <c r="I87" i="21"/>
  <c r="I88" i="21"/>
  <c r="I88" i="7"/>
  <c r="I87" i="7"/>
  <c r="I91" i="7" s="1"/>
  <c r="J87" i="7"/>
  <c r="J91" i="7" s="1"/>
  <c r="J88" i="7"/>
  <c r="L87" i="7"/>
  <c r="L88" i="7"/>
  <c r="L89" i="7" s="1"/>
  <c r="L90" i="7" s="1"/>
  <c r="E88" i="21"/>
  <c r="E87" i="21"/>
  <c r="P88" i="21"/>
  <c r="P89" i="21" s="1"/>
  <c r="P90" i="21" s="1"/>
  <c r="P87" i="21"/>
  <c r="K51" i="21"/>
  <c r="K52" i="21"/>
  <c r="G88" i="7"/>
  <c r="G87" i="7"/>
  <c r="G91" i="7" s="1"/>
  <c r="N88" i="7"/>
  <c r="N89" i="7" s="1"/>
  <c r="N90" i="7" s="1"/>
  <c r="N87" i="7"/>
  <c r="H88" i="7"/>
  <c r="H87" i="7"/>
  <c r="H91" i="7" s="1"/>
  <c r="K87" i="7"/>
  <c r="K88" i="7"/>
  <c r="K89" i="7" s="1"/>
  <c r="K90" i="7" s="1"/>
  <c r="J87" i="21"/>
  <c r="J88" i="21"/>
  <c r="J34" i="21"/>
  <c r="J33" i="21"/>
  <c r="P55" i="23"/>
  <c r="F106" i="7" l="1"/>
  <c r="I105" i="21"/>
  <c r="C33" i="23"/>
  <c r="C43" i="23" s="1"/>
  <c r="J106" i="9" s="1"/>
  <c r="C31" i="23"/>
  <c r="D31" i="23" s="1"/>
  <c r="B277" i="11" s="1"/>
  <c r="C30" i="23"/>
  <c r="L30" i="23" s="1"/>
  <c r="L40" i="23" s="1"/>
  <c r="C35" i="23"/>
  <c r="N35" i="23" s="1"/>
  <c r="B339" i="11" s="1"/>
  <c r="C34" i="23"/>
  <c r="H97" i="8" s="1"/>
  <c r="H214" i="8" s="1"/>
  <c r="C32" i="23"/>
  <c r="N32" i="23" s="1"/>
  <c r="N42" i="23" s="1"/>
  <c r="I117" i="9" s="1"/>
  <c r="BF33" i="43"/>
  <c r="BB32" i="43"/>
  <c r="D11" i="21"/>
  <c r="P11" i="21" s="1"/>
  <c r="P14" i="21" s="1"/>
  <c r="P15" i="21" s="1"/>
  <c r="G11" i="21"/>
  <c r="G14" i="21" s="1"/>
  <c r="G15" i="21" s="1"/>
  <c r="J11" i="21"/>
  <c r="J14" i="21" s="1"/>
  <c r="J15" i="21" s="1"/>
  <c r="I52" i="7"/>
  <c r="K11" i="21"/>
  <c r="K14" i="21" s="1"/>
  <c r="K16" i="21" s="1"/>
  <c r="L11" i="21"/>
  <c r="L14" i="21" s="1"/>
  <c r="L16" i="21" s="1"/>
  <c r="E11" i="21"/>
  <c r="E14" i="21" s="1"/>
  <c r="E15" i="21" s="1"/>
  <c r="E16" i="21" s="1"/>
  <c r="E17" i="21" s="1"/>
  <c r="E18" i="21" s="1"/>
  <c r="H11" i="21"/>
  <c r="H14" i="21" s="1"/>
  <c r="H15" i="21" s="1"/>
  <c r="I11" i="21"/>
  <c r="I14" i="21" s="1"/>
  <c r="I15" i="21" s="1"/>
  <c r="O11" i="21"/>
  <c r="O14" i="21" s="1"/>
  <c r="O15" i="21" s="1"/>
  <c r="F11" i="21"/>
  <c r="F14" i="21" s="1"/>
  <c r="BC52" i="34"/>
  <c r="BB59" i="34"/>
  <c r="G51" i="21"/>
  <c r="AT17" i="34"/>
  <c r="AT19" i="34"/>
  <c r="AT49" i="34"/>
  <c r="AT36" i="34"/>
  <c r="AT18" i="34"/>
  <c r="AT47" i="34"/>
  <c r="AY55" i="34"/>
  <c r="AX60" i="34"/>
  <c r="AX58" i="34" s="1"/>
  <c r="AX20" i="34" s="1"/>
  <c r="AV35" i="34"/>
  <c r="AV15" i="34"/>
  <c r="AV13" i="34"/>
  <c r="AU19" i="34"/>
  <c r="AU36" i="34"/>
  <c r="AU18" i="34"/>
  <c r="AU49" i="34"/>
  <c r="AU17" i="34"/>
  <c r="AU47" i="34"/>
  <c r="AW6" i="34"/>
  <c r="AW14" i="34"/>
  <c r="AW24" i="34" s="1"/>
  <c r="AX7" i="34"/>
  <c r="G70" i="7"/>
  <c r="G51" i="7"/>
  <c r="G55" i="7" s="1"/>
  <c r="J33" i="7"/>
  <c r="J37" i="7" s="1"/>
  <c r="AD34" i="34"/>
  <c r="AD37" i="34" s="1"/>
  <c r="AD33" i="34"/>
  <c r="AE31" i="34" s="1"/>
  <c r="P29" i="7"/>
  <c r="P32" i="7" s="1"/>
  <c r="P33" i="7" s="1"/>
  <c r="K34" i="21"/>
  <c r="I106" i="7"/>
  <c r="N51" i="7"/>
  <c r="N55" i="7" s="1"/>
  <c r="I69" i="7"/>
  <c r="I73" i="7" s="1"/>
  <c r="N69" i="7"/>
  <c r="N73" i="7" s="1"/>
  <c r="Q65" i="7"/>
  <c r="Q68" i="7" s="1"/>
  <c r="Q70" i="7" s="1"/>
  <c r="Q71" i="7" s="1"/>
  <c r="Q72" i="7" s="1"/>
  <c r="L51" i="21"/>
  <c r="J51" i="21"/>
  <c r="F69" i="7"/>
  <c r="F73" i="7" s="1"/>
  <c r="O34" i="7"/>
  <c r="O35" i="7" s="1"/>
  <c r="O36" i="7" s="1"/>
  <c r="F106" i="21"/>
  <c r="D50" i="7"/>
  <c r="D52" i="7" s="1"/>
  <c r="L34" i="21"/>
  <c r="F51" i="21"/>
  <c r="E57" i="23"/>
  <c r="H52" i="7"/>
  <c r="C47" i="21"/>
  <c r="R47" i="21" s="1"/>
  <c r="R50" i="21" s="1"/>
  <c r="R52" i="21" s="1"/>
  <c r="R53" i="21" s="1"/>
  <c r="R54" i="21" s="1"/>
  <c r="N52" i="21"/>
  <c r="N105" i="21"/>
  <c r="F69" i="21"/>
  <c r="J52" i="7"/>
  <c r="F52" i="7"/>
  <c r="H106" i="21"/>
  <c r="H52" i="21"/>
  <c r="O52" i="21"/>
  <c r="O70" i="21"/>
  <c r="D68" i="7"/>
  <c r="D70" i="7" s="1"/>
  <c r="L33" i="7"/>
  <c r="L37" i="7" s="1"/>
  <c r="O70" i="7"/>
  <c r="O71" i="7" s="1"/>
  <c r="O72" i="7" s="1"/>
  <c r="F34" i="7"/>
  <c r="E34" i="21"/>
  <c r="P51" i="23"/>
  <c r="E52" i="21"/>
  <c r="G105" i="7"/>
  <c r="G109" i="7" s="1"/>
  <c r="J70" i="7"/>
  <c r="Q47" i="7"/>
  <c r="Q50" i="7" s="1"/>
  <c r="Q51" i="7" s="1"/>
  <c r="O52" i="7"/>
  <c r="O53" i="7" s="1"/>
  <c r="O54" i="7" s="1"/>
  <c r="E70" i="21"/>
  <c r="I34" i="7"/>
  <c r="H33" i="7"/>
  <c r="H37" i="7" s="1"/>
  <c r="N70" i="21"/>
  <c r="K33" i="7"/>
  <c r="K37" i="7" s="1"/>
  <c r="J69" i="21"/>
  <c r="I70" i="21"/>
  <c r="J57" i="23"/>
  <c r="N105" i="7"/>
  <c r="N109" i="7" s="1"/>
  <c r="G105" i="21"/>
  <c r="F34" i="21"/>
  <c r="I52" i="21"/>
  <c r="BF33" i="13"/>
  <c r="J106" i="7"/>
  <c r="E105" i="21"/>
  <c r="M57" i="23"/>
  <c r="K69" i="21"/>
  <c r="P53" i="23"/>
  <c r="L70" i="7"/>
  <c r="L71" i="7" s="1"/>
  <c r="L72" i="7" s="1"/>
  <c r="O106" i="7"/>
  <c r="O107" i="7" s="1"/>
  <c r="O108" i="7" s="1"/>
  <c r="L106" i="21"/>
  <c r="E68" i="7"/>
  <c r="K51" i="7"/>
  <c r="K55" i="7" s="1"/>
  <c r="C101" i="7"/>
  <c r="F57" i="23"/>
  <c r="Q101" i="7"/>
  <c r="Q104" i="7" s="1"/>
  <c r="Q106" i="7" s="1"/>
  <c r="Q107" i="7" s="1"/>
  <c r="Q108" i="7" s="1"/>
  <c r="P101" i="7"/>
  <c r="P104" i="7" s="1"/>
  <c r="P106" i="7" s="1"/>
  <c r="P107" i="7" s="1"/>
  <c r="P108" i="7" s="1"/>
  <c r="G69" i="21"/>
  <c r="J105" i="21"/>
  <c r="K105" i="21"/>
  <c r="K106" i="7"/>
  <c r="K107" i="7" s="1"/>
  <c r="K108" i="7" s="1"/>
  <c r="D104" i="7"/>
  <c r="D105" i="7" s="1"/>
  <c r="N33" i="7"/>
  <c r="N37" i="7" s="1"/>
  <c r="L106" i="7"/>
  <c r="L107" i="7" s="1"/>
  <c r="L108" i="7" s="1"/>
  <c r="C47" i="7"/>
  <c r="L52" i="7"/>
  <c r="L53" i="7" s="1"/>
  <c r="L54" i="7" s="1"/>
  <c r="I57" i="23"/>
  <c r="N34" i="21"/>
  <c r="P56" i="23"/>
  <c r="I34" i="21"/>
  <c r="D57" i="23"/>
  <c r="O33" i="21"/>
  <c r="C29" i="7"/>
  <c r="C101" i="21"/>
  <c r="R101" i="21" s="1"/>
  <c r="R104" i="21" s="1"/>
  <c r="R105" i="21" s="1"/>
  <c r="G33" i="21"/>
  <c r="H34" i="21"/>
  <c r="K70" i="7"/>
  <c r="K71" i="7" s="1"/>
  <c r="K72" i="7" s="1"/>
  <c r="H106" i="7"/>
  <c r="L69" i="21"/>
  <c r="C29" i="21"/>
  <c r="R29" i="21" s="1"/>
  <c r="R32" i="21" s="1"/>
  <c r="R34" i="21" s="1"/>
  <c r="R35" i="21" s="1"/>
  <c r="R36" i="21" s="1"/>
  <c r="O57" i="23"/>
  <c r="Q29" i="7"/>
  <c r="Q32" i="7" s="1"/>
  <c r="Q34" i="7" s="1"/>
  <c r="Q35" i="7" s="1"/>
  <c r="Q36" i="7" s="1"/>
  <c r="H69" i="7"/>
  <c r="H73" i="7" s="1"/>
  <c r="D104" i="21"/>
  <c r="D105" i="21" s="1"/>
  <c r="G34" i="7"/>
  <c r="N57" i="23"/>
  <c r="P52" i="23"/>
  <c r="G57" i="23"/>
  <c r="C65" i="21"/>
  <c r="R65" i="21" s="1"/>
  <c r="R68" i="21" s="1"/>
  <c r="R70" i="21" s="1"/>
  <c r="R71" i="21" s="1"/>
  <c r="R72" i="21" s="1"/>
  <c r="C65" i="7"/>
  <c r="P54" i="23"/>
  <c r="BB33" i="13"/>
  <c r="C32" i="13"/>
  <c r="C33" i="13" s="1"/>
  <c r="N91" i="7"/>
  <c r="K57" i="23"/>
  <c r="H57" i="23"/>
  <c r="L57" i="23"/>
  <c r="L91" i="7"/>
  <c r="J15" i="7"/>
  <c r="J19" i="7" s="1"/>
  <c r="J16" i="7"/>
  <c r="E52" i="7"/>
  <c r="E51" i="7"/>
  <c r="E55" i="7" s="1"/>
  <c r="E88" i="7"/>
  <c r="E87" i="7"/>
  <c r="E91" i="7" s="1"/>
  <c r="C68" i="21"/>
  <c r="C70" i="21" s="1"/>
  <c r="D69" i="21"/>
  <c r="D70" i="21"/>
  <c r="F15" i="7"/>
  <c r="F19" i="7" s="1"/>
  <c r="F16" i="7"/>
  <c r="Q87" i="7"/>
  <c r="Q88" i="7"/>
  <c r="Q89" i="7" s="1"/>
  <c r="Q90" i="7" s="1"/>
  <c r="D14" i="7"/>
  <c r="C11" i="7"/>
  <c r="P11" i="7"/>
  <c r="D34" i="21"/>
  <c r="D33" i="21"/>
  <c r="C32" i="21"/>
  <c r="C34" i="21" s="1"/>
  <c r="P69" i="7"/>
  <c r="P70" i="7"/>
  <c r="P71" i="7" s="1"/>
  <c r="P72" i="7" s="1"/>
  <c r="K91" i="7"/>
  <c r="P93" i="21"/>
  <c r="P91" i="21" s="1"/>
  <c r="Q93" i="21"/>
  <c r="Q91" i="21" s="1"/>
  <c r="R83" i="7"/>
  <c r="R86" i="7" s="1"/>
  <c r="O15" i="7"/>
  <c r="O16" i="7"/>
  <c r="O17" i="7" s="1"/>
  <c r="O18" i="7" s="1"/>
  <c r="G16" i="7"/>
  <c r="G15" i="7"/>
  <c r="G19" i="7" s="1"/>
  <c r="K16" i="7"/>
  <c r="K17" i="7" s="1"/>
  <c r="K18" i="7" s="1"/>
  <c r="K15" i="7"/>
  <c r="I15" i="7"/>
  <c r="I19" i="7" s="1"/>
  <c r="I16" i="7"/>
  <c r="C50" i="21"/>
  <c r="C52" i="21" s="1"/>
  <c r="D52" i="21"/>
  <c r="D51" i="21"/>
  <c r="D33" i="7"/>
  <c r="D34" i="7"/>
  <c r="C32" i="7"/>
  <c r="C34" i="7" s="1"/>
  <c r="R87" i="21"/>
  <c r="R88" i="21"/>
  <c r="R89" i="21" s="1"/>
  <c r="R90" i="21" s="1"/>
  <c r="D87" i="7"/>
  <c r="C86" i="7"/>
  <c r="C88" i="7" s="1"/>
  <c r="D88" i="7"/>
  <c r="E106" i="7"/>
  <c r="E105" i="7"/>
  <c r="E109" i="7" s="1"/>
  <c r="O91" i="7"/>
  <c r="E15" i="7"/>
  <c r="E19" i="7" s="1"/>
  <c r="E34" i="7"/>
  <c r="E33" i="7"/>
  <c r="E37" i="7" s="1"/>
  <c r="N15" i="7"/>
  <c r="P52" i="7"/>
  <c r="P53" i="7" s="1"/>
  <c r="P54" i="7" s="1"/>
  <c r="P51" i="7"/>
  <c r="H16" i="7"/>
  <c r="H15" i="7"/>
  <c r="H19" i="7" s="1"/>
  <c r="L15" i="7"/>
  <c r="L16" i="7"/>
  <c r="L17" i="7" s="1"/>
  <c r="L18" i="7" s="1"/>
  <c r="C86" i="21"/>
  <c r="C88" i="21" s="1"/>
  <c r="D87" i="21"/>
  <c r="C87" i="21" s="1"/>
  <c r="D88" i="21"/>
  <c r="P87" i="7"/>
  <c r="P88" i="7"/>
  <c r="P89" i="7" s="1"/>
  <c r="P90" i="7" s="1"/>
  <c r="H33" i="23" l="1"/>
  <c r="B307" i="11" s="1"/>
  <c r="AH307" i="11" s="1"/>
  <c r="N31" i="23"/>
  <c r="AM18" i="10" s="1"/>
  <c r="E162" i="22"/>
  <c r="E136" i="22" s="1"/>
  <c r="H31" i="23"/>
  <c r="E102" i="8" s="1"/>
  <c r="O31" i="23"/>
  <c r="AN18" i="10" s="1"/>
  <c r="E97" i="8"/>
  <c r="E214" i="8" s="1"/>
  <c r="E98" i="8"/>
  <c r="O30" i="23"/>
  <c r="D109" i="8" s="1"/>
  <c r="D135" i="8" s="1"/>
  <c r="K30" i="23"/>
  <c r="D105" i="8" s="1"/>
  <c r="D131" i="8" s="1"/>
  <c r="G30" i="23"/>
  <c r="D101" i="8" s="1"/>
  <c r="D127" i="8" s="1"/>
  <c r="D35" i="23"/>
  <c r="B329" i="11" s="1"/>
  <c r="K329" i="11" s="1"/>
  <c r="M30" i="23"/>
  <c r="AB26" i="29" s="1"/>
  <c r="AA26" i="29" s="1"/>
  <c r="D162" i="8"/>
  <c r="C40" i="23"/>
  <c r="G106" i="9" s="1"/>
  <c r="D106" i="8"/>
  <c r="D132" i="8" s="1"/>
  <c r="AC18" i="6"/>
  <c r="E35" i="23"/>
  <c r="I99" i="8" s="1"/>
  <c r="N30" i="23"/>
  <c r="D108" i="8" s="1"/>
  <c r="X18" i="6"/>
  <c r="J30" i="23"/>
  <c r="V18" i="6" s="1"/>
  <c r="E30" i="23"/>
  <c r="D99" i="22" s="1"/>
  <c r="J16" i="21"/>
  <c r="B272" i="11"/>
  <c r="P272" i="11" s="1"/>
  <c r="I30" i="23"/>
  <c r="B269" i="11" s="1"/>
  <c r="G269" i="11" s="1"/>
  <c r="H30" i="23"/>
  <c r="D102" i="22" s="1"/>
  <c r="D128" i="22" s="1"/>
  <c r="X18" i="10"/>
  <c r="X37" i="10" s="1"/>
  <c r="X38" i="10" s="1"/>
  <c r="X39" i="10" s="1"/>
  <c r="D106" i="22"/>
  <c r="D132" i="22" s="1"/>
  <c r="D30" i="23"/>
  <c r="B264" i="11" s="1"/>
  <c r="Q264" i="11" s="1"/>
  <c r="D162" i="22"/>
  <c r="D136" i="22" s="1"/>
  <c r="D97" i="8"/>
  <c r="D214" i="8" s="1"/>
  <c r="N45" i="23"/>
  <c r="L117" i="9" s="1"/>
  <c r="AZ18" i="10"/>
  <c r="H32" i="23"/>
  <c r="H42" i="23" s="1"/>
  <c r="I111" i="9" s="1"/>
  <c r="F162" i="8"/>
  <c r="F108" i="22"/>
  <c r="O32" i="23"/>
  <c r="B301" i="11" s="1"/>
  <c r="W301" i="11" s="1"/>
  <c r="O35" i="23"/>
  <c r="I109" i="22" s="1"/>
  <c r="I108" i="22"/>
  <c r="K35" i="23"/>
  <c r="K45" i="23" s="1"/>
  <c r="L114" i="9" s="1"/>
  <c r="I35" i="23"/>
  <c r="CH18" i="10" s="1"/>
  <c r="M33" i="23"/>
  <c r="BL18" i="10" s="1"/>
  <c r="BL37" i="10" s="1"/>
  <c r="BL38" i="10" s="1"/>
  <c r="BL39" i="10" s="1"/>
  <c r="FD26" i="29"/>
  <c r="FC26" i="29" s="1"/>
  <c r="I97" i="8"/>
  <c r="I214" i="8" s="1"/>
  <c r="C45" i="23"/>
  <c r="L106" i="9" s="1"/>
  <c r="I33" i="23"/>
  <c r="I43" i="23" s="1"/>
  <c r="J112" i="9" s="1"/>
  <c r="G97" i="8"/>
  <c r="G214" i="8" s="1"/>
  <c r="I108" i="8"/>
  <c r="CM18" i="6"/>
  <c r="M35" i="23"/>
  <c r="FB26" i="29" s="1"/>
  <c r="FA26" i="29" s="1"/>
  <c r="L35" i="23"/>
  <c r="I106" i="22" s="1"/>
  <c r="C36" i="23"/>
  <c r="D33" i="23"/>
  <c r="D43" i="23" s="1"/>
  <c r="J107" i="9" s="1"/>
  <c r="CM18" i="10"/>
  <c r="I162" i="8"/>
  <c r="G35" i="23"/>
  <c r="G45" i="23" s="1"/>
  <c r="L110" i="9" s="1"/>
  <c r="J35" i="23"/>
  <c r="J45" i="23" s="1"/>
  <c r="L113" i="9" s="1"/>
  <c r="C44" i="23"/>
  <c r="K106" i="9" s="1"/>
  <c r="E33" i="23"/>
  <c r="B304" i="11" s="1"/>
  <c r="G304" i="11" s="1"/>
  <c r="G162" i="22"/>
  <c r="G136" i="22" s="1"/>
  <c r="K33" i="23"/>
  <c r="G34" i="23"/>
  <c r="B319" i="11" s="1"/>
  <c r="C319" i="11" s="1"/>
  <c r="M34" i="23"/>
  <c r="EB26" i="29" s="1"/>
  <c r="EA26" i="29" s="1"/>
  <c r="H16" i="21"/>
  <c r="I162" i="22"/>
  <c r="I136" i="22" s="1"/>
  <c r="L34" i="23"/>
  <c r="L44" i="23" s="1"/>
  <c r="K115" i="9" s="1"/>
  <c r="G33" i="23"/>
  <c r="BF18" i="6" s="1"/>
  <c r="G162" i="8"/>
  <c r="K34" i="23"/>
  <c r="K44" i="23" s="1"/>
  <c r="K114" i="9" s="1"/>
  <c r="H162" i="22"/>
  <c r="H136" i="22" s="1"/>
  <c r="O34" i="23"/>
  <c r="H109" i="8" s="1"/>
  <c r="N34" i="23"/>
  <c r="ED26" i="29" s="1"/>
  <c r="EC26" i="29" s="1"/>
  <c r="O33" i="23"/>
  <c r="G109" i="8" s="1"/>
  <c r="J33" i="23"/>
  <c r="G104" i="22" s="1"/>
  <c r="N33" i="23"/>
  <c r="N43" i="23" s="1"/>
  <c r="J117" i="9" s="1"/>
  <c r="L33" i="23"/>
  <c r="L43" i="23" s="1"/>
  <c r="J115" i="9" s="1"/>
  <c r="H35" i="23"/>
  <c r="CG18" i="6" s="1"/>
  <c r="H162" i="8"/>
  <c r="H165" i="8" s="1"/>
  <c r="H139" i="8" s="1"/>
  <c r="AJ26" i="29"/>
  <c r="AI26" i="29" s="1"/>
  <c r="AC18" i="10"/>
  <c r="F108" i="8"/>
  <c r="D32" i="23"/>
  <c r="D42" i="23" s="1"/>
  <c r="I107" i="9" s="1"/>
  <c r="M31" i="23"/>
  <c r="AL18" i="10" s="1"/>
  <c r="AL37" i="10" s="1"/>
  <c r="AL38" i="10" s="1"/>
  <c r="AL39" i="10" s="1"/>
  <c r="E98" i="22"/>
  <c r="CD26" i="29"/>
  <c r="CC26" i="29" s="1"/>
  <c r="B300" i="11"/>
  <c r="AM300" i="11" s="1"/>
  <c r="H34" i="23"/>
  <c r="B320" i="11" s="1"/>
  <c r="AT320" i="11" s="1"/>
  <c r="E32" i="23"/>
  <c r="AQ18" i="6" s="1"/>
  <c r="M32" i="23"/>
  <c r="CB26" i="29" s="1"/>
  <c r="CA26" i="29" s="1"/>
  <c r="C41" i="23"/>
  <c r="H106" i="9" s="1"/>
  <c r="E31" i="23"/>
  <c r="E41" i="23" s="1"/>
  <c r="H108" i="9" s="1"/>
  <c r="I31" i="23"/>
  <c r="E103" i="8" s="1"/>
  <c r="F162" i="22"/>
  <c r="G32" i="23"/>
  <c r="B293" i="11" s="1"/>
  <c r="M293" i="11" s="1"/>
  <c r="L32" i="23"/>
  <c r="AX18" i="6" s="1"/>
  <c r="I32" i="23"/>
  <c r="AU18" i="6" s="1"/>
  <c r="L31" i="23"/>
  <c r="J31" i="23"/>
  <c r="AI18" i="6" s="1"/>
  <c r="E162" i="8"/>
  <c r="D41" i="23"/>
  <c r="H107" i="9" s="1"/>
  <c r="AZ18" i="6"/>
  <c r="J34" i="23"/>
  <c r="H104" i="8" s="1"/>
  <c r="H169" i="8" s="1"/>
  <c r="H143" i="8" s="1"/>
  <c r="I34" i="23"/>
  <c r="B321" i="11" s="1"/>
  <c r="AT321" i="11" s="1"/>
  <c r="E34" i="23"/>
  <c r="E44" i="23" s="1"/>
  <c r="K108" i="9" s="1"/>
  <c r="D34" i="23"/>
  <c r="G31" i="23"/>
  <c r="E101" i="8" s="1"/>
  <c r="J32" i="23"/>
  <c r="F104" i="22" s="1"/>
  <c r="C42" i="23"/>
  <c r="I106" i="9" s="1"/>
  <c r="K31" i="23"/>
  <c r="F97" i="8"/>
  <c r="F214" i="8" s="1"/>
  <c r="K32" i="23"/>
  <c r="AW18" i="6" s="1"/>
  <c r="BB33" i="43"/>
  <c r="C32" i="43"/>
  <c r="C33" i="43" s="1"/>
  <c r="AU29" i="34"/>
  <c r="AU30" i="34" s="1"/>
  <c r="E108" i="8"/>
  <c r="D14" i="21"/>
  <c r="C14" i="21" s="1"/>
  <c r="G16" i="21"/>
  <c r="R65" i="7"/>
  <c r="R68" i="7" s="1"/>
  <c r="R70" i="7" s="1"/>
  <c r="R71" i="7" s="1"/>
  <c r="R72" i="7" s="1"/>
  <c r="O73" i="7"/>
  <c r="I16" i="21"/>
  <c r="O16" i="21"/>
  <c r="L15" i="21"/>
  <c r="F15" i="21"/>
  <c r="F16" i="21"/>
  <c r="C11" i="21"/>
  <c r="Q11" i="21" s="1"/>
  <c r="Q14" i="21" s="1"/>
  <c r="Q15" i="21" s="1"/>
  <c r="Q16" i="21" s="1"/>
  <c r="Q17" i="21" s="1"/>
  <c r="Q18" i="21" s="1"/>
  <c r="K15" i="21"/>
  <c r="P16" i="21"/>
  <c r="P17" i="21" s="1"/>
  <c r="P18" i="21" s="1"/>
  <c r="AV16" i="34"/>
  <c r="AV47" i="34" s="1"/>
  <c r="BD52" i="34"/>
  <c r="BC59" i="34"/>
  <c r="AV17" i="34"/>
  <c r="AV36" i="34"/>
  <c r="AW15" i="34"/>
  <c r="AW13" i="34"/>
  <c r="AW35" i="34"/>
  <c r="AY60" i="34"/>
  <c r="AY58" i="34" s="1"/>
  <c r="AY20" i="34" s="1"/>
  <c r="AZ55" i="34"/>
  <c r="AT29" i="34"/>
  <c r="AT30" i="34" s="1"/>
  <c r="AY7" i="34"/>
  <c r="AX6" i="34"/>
  <c r="AX14" i="34"/>
  <c r="AX24" i="34" s="1"/>
  <c r="D51" i="7"/>
  <c r="D55" i="7" s="1"/>
  <c r="P34" i="7"/>
  <c r="P35" i="7" s="1"/>
  <c r="P36" i="7" s="1"/>
  <c r="Q69" i="7"/>
  <c r="Q73" i="7" s="1"/>
  <c r="Q75" i="7" s="1"/>
  <c r="R51" i="21"/>
  <c r="R57" i="21" s="1"/>
  <c r="G57" i="21" s="1"/>
  <c r="D69" i="7"/>
  <c r="D73" i="7" s="1"/>
  <c r="AE32" i="34"/>
  <c r="AE28" i="34" s="1"/>
  <c r="Q52" i="7"/>
  <c r="Q53" i="7" s="1"/>
  <c r="Q54" i="7" s="1"/>
  <c r="C51" i="21"/>
  <c r="BG18" i="6"/>
  <c r="C50" i="7"/>
  <c r="C52" i="7" s="1"/>
  <c r="O55" i="7"/>
  <c r="O37" i="7"/>
  <c r="Q105" i="7"/>
  <c r="Q109" i="7" s="1"/>
  <c r="Q111" i="7" s="1"/>
  <c r="R33" i="21"/>
  <c r="R39" i="21" s="1"/>
  <c r="P105" i="7"/>
  <c r="P109" i="7" s="1"/>
  <c r="P111" i="7" s="1"/>
  <c r="R106" i="21"/>
  <c r="R107" i="21" s="1"/>
  <c r="R108" i="21" s="1"/>
  <c r="C68" i="7"/>
  <c r="C70" i="7" s="1"/>
  <c r="Q33" i="7"/>
  <c r="Q37" i="7" s="1"/>
  <c r="Q39" i="7" s="1"/>
  <c r="R47" i="7"/>
  <c r="R50" i="7" s="1"/>
  <c r="R51" i="7" s="1"/>
  <c r="E69" i="7"/>
  <c r="E73" i="7" s="1"/>
  <c r="E70" i="7"/>
  <c r="D106" i="7"/>
  <c r="K109" i="7"/>
  <c r="D106" i="21"/>
  <c r="C104" i="21"/>
  <c r="C106" i="21" s="1"/>
  <c r="L73" i="7"/>
  <c r="O109" i="7"/>
  <c r="R29" i="7"/>
  <c r="R32" i="7" s="1"/>
  <c r="R33" i="7" s="1"/>
  <c r="L109" i="7"/>
  <c r="C33" i="21"/>
  <c r="C105" i="21"/>
  <c r="C104" i="7"/>
  <c r="C106" i="7" s="1"/>
  <c r="R101" i="7"/>
  <c r="R104" i="7" s="1"/>
  <c r="C69" i="21"/>
  <c r="L55" i="7"/>
  <c r="R69" i="21"/>
  <c r="R75" i="21" s="1"/>
  <c r="I75" i="21" s="1"/>
  <c r="K73" i="7"/>
  <c r="P91" i="7"/>
  <c r="P93" i="7" s="1"/>
  <c r="O19" i="7"/>
  <c r="K19" i="7"/>
  <c r="P73" i="7"/>
  <c r="P75" i="7" s="1"/>
  <c r="Q91" i="7"/>
  <c r="Q93" i="7" s="1"/>
  <c r="L19" i="7"/>
  <c r="R93" i="21"/>
  <c r="M93" i="21" s="1"/>
  <c r="Q11" i="7"/>
  <c r="Q14" i="7" s="1"/>
  <c r="Q15" i="7" s="1"/>
  <c r="P55" i="7"/>
  <c r="P57" i="7" s="1"/>
  <c r="R88" i="7"/>
  <c r="R89" i="7" s="1"/>
  <c r="R90" i="7" s="1"/>
  <c r="R87" i="7"/>
  <c r="D15" i="7"/>
  <c r="D16" i="7" s="1"/>
  <c r="C14" i="7"/>
  <c r="D109" i="7"/>
  <c r="C105" i="7"/>
  <c r="D37" i="7"/>
  <c r="C33" i="7"/>
  <c r="AN277" i="11"/>
  <c r="S277" i="11"/>
  <c r="AS277" i="11"/>
  <c r="T277" i="11"/>
  <c r="AT277" i="11"/>
  <c r="Y277" i="11"/>
  <c r="AP277" i="11"/>
  <c r="AQ277" i="11"/>
  <c r="E277" i="11"/>
  <c r="AB277" i="11"/>
  <c r="AG277" i="11"/>
  <c r="X277" i="11"/>
  <c r="C277" i="11"/>
  <c r="AC277" i="11"/>
  <c r="AD277" i="11"/>
  <c r="I277" i="11"/>
  <c r="J277" i="11"/>
  <c r="K277" i="11"/>
  <c r="L277" i="11"/>
  <c r="AM277" i="11"/>
  <c r="AR277" i="11"/>
  <c r="D277" i="11"/>
  <c r="M277" i="11"/>
  <c r="N277" i="11"/>
  <c r="U277" i="11"/>
  <c r="AL277" i="11"/>
  <c r="W277" i="11"/>
  <c r="H277" i="11"/>
  <c r="R277" i="11"/>
  <c r="O277" i="11"/>
  <c r="AA277" i="11"/>
  <c r="AK277" i="11"/>
  <c r="V277" i="11"/>
  <c r="AE277" i="11"/>
  <c r="Z277" i="11"/>
  <c r="AJ277" i="11"/>
  <c r="AF277" i="11"/>
  <c r="Q277" i="11"/>
  <c r="AH277" i="11"/>
  <c r="P277" i="11"/>
  <c r="G277" i="11"/>
  <c r="F277" i="11"/>
  <c r="AO277" i="11"/>
  <c r="AI277" i="11"/>
  <c r="P14" i="7"/>
  <c r="G115" i="9"/>
  <c r="G76" i="9" s="1"/>
  <c r="D91" i="7"/>
  <c r="C91" i="7" s="1"/>
  <c r="C87" i="7"/>
  <c r="H339" i="11"/>
  <c r="AD339" i="11"/>
  <c r="I339" i="11"/>
  <c r="AP339" i="11"/>
  <c r="E339" i="11"/>
  <c r="AK339" i="11"/>
  <c r="F339" i="11"/>
  <c r="M339" i="11"/>
  <c r="AG339" i="11"/>
  <c r="C339" i="11"/>
  <c r="AH339" i="11"/>
  <c r="AE339" i="11"/>
  <c r="N339" i="11"/>
  <c r="AJ339" i="11"/>
  <c r="Z339" i="11"/>
  <c r="P339" i="11"/>
  <c r="AF339" i="11"/>
  <c r="Q339" i="11"/>
  <c r="AM339" i="11"/>
  <c r="AR339" i="11"/>
  <c r="R339" i="11"/>
  <c r="X339" i="11"/>
  <c r="AT339" i="11"/>
  <c r="AA339" i="11"/>
  <c r="K339" i="11"/>
  <c r="S339" i="11"/>
  <c r="AI339" i="11"/>
  <c r="AS339" i="11"/>
  <c r="O339" i="11"/>
  <c r="T339" i="11"/>
  <c r="AQ339" i="11"/>
  <c r="AB339" i="11"/>
  <c r="L339" i="11"/>
  <c r="AC339" i="11"/>
  <c r="Y339" i="11"/>
  <c r="AL339" i="11"/>
  <c r="D339" i="11"/>
  <c r="AO339" i="11"/>
  <c r="W339" i="11"/>
  <c r="AN339" i="11"/>
  <c r="U339" i="11"/>
  <c r="V339" i="11"/>
  <c r="G339" i="11"/>
  <c r="J339" i="11"/>
  <c r="N16" i="7"/>
  <c r="N17" i="7" s="1"/>
  <c r="N18" i="7" s="1"/>
  <c r="E16" i="7"/>
  <c r="Y307" i="11" l="1"/>
  <c r="AP307" i="11"/>
  <c r="N307" i="11"/>
  <c r="AT307" i="11"/>
  <c r="G307" i="11"/>
  <c r="V307" i="11"/>
  <c r="L307" i="11"/>
  <c r="BG18" i="10"/>
  <c r="AB307" i="11"/>
  <c r="C307" i="11"/>
  <c r="AJ307" i="11"/>
  <c r="F307" i="11"/>
  <c r="AE307" i="11"/>
  <c r="I307" i="11"/>
  <c r="X307" i="11"/>
  <c r="AF307" i="11"/>
  <c r="T307" i="11"/>
  <c r="Q307" i="11"/>
  <c r="M307" i="11"/>
  <c r="AO307" i="11"/>
  <c r="J307" i="11"/>
  <c r="U307" i="11"/>
  <c r="AR307" i="11"/>
  <c r="P307" i="11"/>
  <c r="AC307" i="11"/>
  <c r="AM307" i="11"/>
  <c r="AN307" i="11"/>
  <c r="E307" i="11"/>
  <c r="AL307" i="11"/>
  <c r="K307" i="11"/>
  <c r="R307" i="11"/>
  <c r="W307" i="11"/>
  <c r="AQ307" i="11"/>
  <c r="AI307" i="11"/>
  <c r="H43" i="23"/>
  <c r="J111" i="9" s="1"/>
  <c r="AA307" i="11"/>
  <c r="S307" i="11"/>
  <c r="AK307" i="11"/>
  <c r="D307" i="11"/>
  <c r="Z307" i="11"/>
  <c r="AG307" i="11"/>
  <c r="AD307" i="11"/>
  <c r="AS307" i="11"/>
  <c r="H307" i="11"/>
  <c r="O307" i="11"/>
  <c r="G102" i="8"/>
  <c r="G167" i="8" s="1"/>
  <c r="G141" i="8" s="1"/>
  <c r="G102" i="22"/>
  <c r="B281" i="11"/>
  <c r="AF281" i="11" s="1"/>
  <c r="AG18" i="6"/>
  <c r="AG18" i="10"/>
  <c r="E102" i="22"/>
  <c r="E108" i="22"/>
  <c r="B287" i="11"/>
  <c r="H287" i="11" s="1"/>
  <c r="BD26" i="29"/>
  <c r="BC26" i="29" s="1"/>
  <c r="N41" i="23"/>
  <c r="H117" i="9" s="1"/>
  <c r="H41" i="23"/>
  <c r="H111" i="9" s="1"/>
  <c r="BF26" i="29"/>
  <c r="BE26" i="29" s="1"/>
  <c r="AM18" i="6"/>
  <c r="Z269" i="11"/>
  <c r="D165" i="8"/>
  <c r="D139" i="8" s="1"/>
  <c r="D191" i="8" s="1"/>
  <c r="F272" i="11"/>
  <c r="K269" i="11"/>
  <c r="AN18" i="6"/>
  <c r="E109" i="22"/>
  <c r="B288" i="11"/>
  <c r="O288" i="11" s="1"/>
  <c r="O41" i="23"/>
  <c r="E109" i="8"/>
  <c r="E174" i="8" s="1"/>
  <c r="E148" i="8" s="1"/>
  <c r="B275" i="11"/>
  <c r="C275" i="11" s="1"/>
  <c r="N269" i="11"/>
  <c r="AF272" i="11"/>
  <c r="H40" i="23"/>
  <c r="G111" i="9" s="1"/>
  <c r="G72" i="9" s="1"/>
  <c r="AF269" i="11"/>
  <c r="D109" i="22"/>
  <c r="D135" i="22" s="1"/>
  <c r="O40" i="23"/>
  <c r="G118" i="9" s="1"/>
  <c r="G79" i="9" s="1"/>
  <c r="D329" i="11"/>
  <c r="B271" i="11"/>
  <c r="AP271" i="11" s="1"/>
  <c r="W18" i="10"/>
  <c r="W37" i="10" s="1"/>
  <c r="W38" i="10" s="1"/>
  <c r="W39" i="10" s="1"/>
  <c r="AJ329" i="11"/>
  <c r="AG329" i="11"/>
  <c r="E45" i="23"/>
  <c r="L108" i="9" s="1"/>
  <c r="O329" i="11"/>
  <c r="AN329" i="11"/>
  <c r="Q329" i="11"/>
  <c r="N40" i="23"/>
  <c r="G117" i="9" s="1"/>
  <c r="B313" i="11"/>
  <c r="R313" i="11" s="1"/>
  <c r="B268" i="11"/>
  <c r="J268" i="11" s="1"/>
  <c r="I99" i="22"/>
  <c r="T18" i="10"/>
  <c r="T37" i="10" s="1"/>
  <c r="T38" i="10" s="1"/>
  <c r="T39" i="10" s="1"/>
  <c r="CC18" i="6"/>
  <c r="I304" i="11"/>
  <c r="U329" i="11"/>
  <c r="I329" i="11"/>
  <c r="V329" i="11"/>
  <c r="S18" i="6"/>
  <c r="B267" i="11"/>
  <c r="R267" i="11" s="1"/>
  <c r="B306" i="11"/>
  <c r="AR306" i="11" s="1"/>
  <c r="D108" i="22"/>
  <c r="S301" i="11"/>
  <c r="AH301" i="11"/>
  <c r="S329" i="11"/>
  <c r="X329" i="11"/>
  <c r="Z329" i="11"/>
  <c r="J329" i="11"/>
  <c r="G40" i="23"/>
  <c r="G110" i="9" s="1"/>
  <c r="G71" i="9" s="1"/>
  <c r="AD304" i="11"/>
  <c r="AQ329" i="11"/>
  <c r="E329" i="11"/>
  <c r="AD329" i="11"/>
  <c r="AA304" i="11"/>
  <c r="C329" i="11"/>
  <c r="G329" i="11"/>
  <c r="AF329" i="11"/>
  <c r="CD18" i="10"/>
  <c r="B330" i="11"/>
  <c r="M330" i="11" s="1"/>
  <c r="W18" i="6"/>
  <c r="D105" i="22"/>
  <c r="D131" i="22" s="1"/>
  <c r="P329" i="11"/>
  <c r="AA329" i="11"/>
  <c r="AE329" i="11"/>
  <c r="EJ26" i="29"/>
  <c r="EI26" i="29" s="1"/>
  <c r="D101" i="22"/>
  <c r="D127" i="22" s="1"/>
  <c r="K40" i="23"/>
  <c r="G114" i="9" s="1"/>
  <c r="G75" i="9" s="1"/>
  <c r="M40" i="23"/>
  <c r="G116" i="9" s="1"/>
  <c r="G77" i="9" s="1"/>
  <c r="AP329" i="11"/>
  <c r="AO329" i="11"/>
  <c r="AH329" i="11"/>
  <c r="EL26" i="29"/>
  <c r="EK26" i="29" s="1"/>
  <c r="CD18" i="6"/>
  <c r="I106" i="8"/>
  <c r="I171" i="8" s="1"/>
  <c r="I145" i="8" s="1"/>
  <c r="S18" i="10"/>
  <c r="S37" i="10" s="1"/>
  <c r="S38" i="10" s="1"/>
  <c r="S39" i="10" s="1"/>
  <c r="AD26" i="29"/>
  <c r="AC26" i="29" s="1"/>
  <c r="T18" i="6"/>
  <c r="D170" i="8"/>
  <c r="D144" i="8" s="1"/>
  <c r="D196" i="8" s="1"/>
  <c r="AF264" i="11"/>
  <c r="K264" i="11"/>
  <c r="Y329" i="11"/>
  <c r="AR329" i="11"/>
  <c r="R329" i="11"/>
  <c r="AI329" i="11"/>
  <c r="I98" i="22"/>
  <c r="CC18" i="10"/>
  <c r="C264" i="11"/>
  <c r="AB301" i="11"/>
  <c r="R269" i="11"/>
  <c r="AL301" i="11"/>
  <c r="F329" i="11"/>
  <c r="M329" i="11"/>
  <c r="AM329" i="11"/>
  <c r="L329" i="11"/>
  <c r="V269" i="11"/>
  <c r="AC269" i="11"/>
  <c r="T329" i="11"/>
  <c r="AT329" i="11"/>
  <c r="AS329" i="11"/>
  <c r="N329" i="11"/>
  <c r="AB329" i="11"/>
  <c r="I98" i="8"/>
  <c r="I163" i="8" s="1"/>
  <c r="I137" i="8" s="1"/>
  <c r="AA18" i="10"/>
  <c r="AA37" i="10" s="1"/>
  <c r="AA38" i="10" s="1"/>
  <c r="AA39" i="10" s="1"/>
  <c r="AF26" i="29"/>
  <c r="AE26" i="29" s="1"/>
  <c r="H269" i="11"/>
  <c r="M269" i="11"/>
  <c r="AD269" i="11"/>
  <c r="AC329" i="11"/>
  <c r="AK329" i="11"/>
  <c r="AL329" i="11"/>
  <c r="W329" i="11"/>
  <c r="H329" i="11"/>
  <c r="D45" i="23"/>
  <c r="L107" i="9" s="1"/>
  <c r="L269" i="11"/>
  <c r="O269" i="11"/>
  <c r="AA18" i="6"/>
  <c r="AC264" i="11"/>
  <c r="O42" i="23"/>
  <c r="AN272" i="11"/>
  <c r="N264" i="11"/>
  <c r="AI272" i="11"/>
  <c r="J272" i="11"/>
  <c r="D173" i="8"/>
  <c r="D147" i="8" s="1"/>
  <c r="C272" i="11"/>
  <c r="B327" i="11"/>
  <c r="W327" i="11" s="1"/>
  <c r="Q18" i="6"/>
  <c r="AE264" i="11"/>
  <c r="Y272" i="11"/>
  <c r="L272" i="11"/>
  <c r="AA272" i="11"/>
  <c r="CF26" i="29"/>
  <c r="CE26" i="29" s="1"/>
  <c r="AT18" i="6"/>
  <c r="AQ272" i="11"/>
  <c r="AO272" i="11"/>
  <c r="AT18" i="10"/>
  <c r="B294" i="11"/>
  <c r="AL294" i="11" s="1"/>
  <c r="O272" i="11"/>
  <c r="AE272" i="11"/>
  <c r="AP272" i="11"/>
  <c r="AD272" i="11"/>
  <c r="H272" i="11"/>
  <c r="B336" i="11"/>
  <c r="AH336" i="11" s="1"/>
  <c r="F102" i="8"/>
  <c r="F167" i="8" s="1"/>
  <c r="F141" i="8" s="1"/>
  <c r="F102" i="22"/>
  <c r="Q18" i="10"/>
  <c r="Q33" i="10" s="1"/>
  <c r="AH264" i="11"/>
  <c r="AF301" i="11"/>
  <c r="I272" i="11"/>
  <c r="AH272" i="11"/>
  <c r="CJ18" i="10"/>
  <c r="Y18" i="6"/>
  <c r="Y18" i="10"/>
  <c r="Y40" i="10" s="1"/>
  <c r="AJ269" i="11"/>
  <c r="AH269" i="11"/>
  <c r="AS269" i="11"/>
  <c r="I103" i="8"/>
  <c r="I168" i="8" s="1"/>
  <c r="I142" i="8" s="1"/>
  <c r="D103" i="8"/>
  <c r="D129" i="8" s="1"/>
  <c r="H108" i="22"/>
  <c r="I45" i="23"/>
  <c r="L112" i="9" s="1"/>
  <c r="I105" i="22"/>
  <c r="B314" i="11"/>
  <c r="AR314" i="11" s="1"/>
  <c r="U18" i="10"/>
  <c r="U37" i="10" s="1"/>
  <c r="U38" i="10" s="1"/>
  <c r="U39" i="10" s="1"/>
  <c r="D174" i="8"/>
  <c r="D148" i="8" s="1"/>
  <c r="AT269" i="11"/>
  <c r="AB269" i="11"/>
  <c r="W269" i="11"/>
  <c r="F269" i="11"/>
  <c r="S269" i="11"/>
  <c r="AL264" i="11"/>
  <c r="R301" i="11"/>
  <c r="T301" i="11"/>
  <c r="AR272" i="11"/>
  <c r="AS272" i="11"/>
  <c r="Z272" i="11"/>
  <c r="AM272" i="11"/>
  <c r="S272" i="11"/>
  <c r="CH18" i="6"/>
  <c r="B334" i="11"/>
  <c r="L334" i="11" s="1"/>
  <c r="CA18" i="10"/>
  <c r="D104" i="22"/>
  <c r="D130" i="22" s="1"/>
  <c r="D166" i="8"/>
  <c r="D140" i="8" s="1"/>
  <c r="D192" i="8" s="1"/>
  <c r="D102" i="8"/>
  <c r="D167" i="8" s="1"/>
  <c r="D141" i="8" s="1"/>
  <c r="AR269" i="11"/>
  <c r="X269" i="11"/>
  <c r="I40" i="23"/>
  <c r="G112" i="9" s="1"/>
  <c r="G73" i="9" s="1"/>
  <c r="AQ269" i="11"/>
  <c r="AA269" i="11"/>
  <c r="D171" i="8"/>
  <c r="D145" i="8" s="1"/>
  <c r="AE269" i="11"/>
  <c r="Q269" i="11"/>
  <c r="C269" i="11"/>
  <c r="E272" i="11"/>
  <c r="AC272" i="11"/>
  <c r="AL272" i="11"/>
  <c r="AG272" i="11"/>
  <c r="D272" i="11"/>
  <c r="P269" i="11"/>
  <c r="E269" i="11"/>
  <c r="U269" i="11"/>
  <c r="AM269" i="11"/>
  <c r="AI269" i="11"/>
  <c r="AB272" i="11"/>
  <c r="Q272" i="11"/>
  <c r="AT272" i="11"/>
  <c r="AK272" i="11"/>
  <c r="W272" i="11"/>
  <c r="I105" i="8"/>
  <c r="I170" i="8" s="1"/>
  <c r="I144" i="8" s="1"/>
  <c r="Z26" i="29"/>
  <c r="Y26" i="29" s="1"/>
  <c r="U18" i="6"/>
  <c r="AL269" i="11"/>
  <c r="I269" i="11"/>
  <c r="T269" i="11"/>
  <c r="AP269" i="11"/>
  <c r="AK269" i="11"/>
  <c r="AG269" i="11"/>
  <c r="AM264" i="11"/>
  <c r="H301" i="11"/>
  <c r="G272" i="11"/>
  <c r="U272" i="11"/>
  <c r="N272" i="11"/>
  <c r="K272" i="11"/>
  <c r="V272" i="11"/>
  <c r="I103" i="22"/>
  <c r="AN269" i="11"/>
  <c r="D269" i="11"/>
  <c r="Y269" i="11"/>
  <c r="AO269" i="11"/>
  <c r="J269" i="11"/>
  <c r="D264" i="11"/>
  <c r="G301" i="11"/>
  <c r="M272" i="11"/>
  <c r="X272" i="11"/>
  <c r="T272" i="11"/>
  <c r="R272" i="11"/>
  <c r="AJ272" i="11"/>
  <c r="CJ18" i="6"/>
  <c r="D103" i="22"/>
  <c r="D129" i="22" s="1"/>
  <c r="E40" i="23"/>
  <c r="G108" i="9" s="1"/>
  <c r="B265" i="11"/>
  <c r="AQ265" i="11" s="1"/>
  <c r="R264" i="11"/>
  <c r="W264" i="11"/>
  <c r="AG264" i="11"/>
  <c r="D301" i="11"/>
  <c r="AI301" i="11"/>
  <c r="AN301" i="11"/>
  <c r="Q301" i="11"/>
  <c r="D40" i="23"/>
  <c r="G107" i="9" s="1"/>
  <c r="V18" i="10"/>
  <c r="V37" i="10" s="1"/>
  <c r="V38" i="10" s="1"/>
  <c r="V39" i="10" s="1"/>
  <c r="AS264" i="11"/>
  <c r="J264" i="11"/>
  <c r="AA301" i="11"/>
  <c r="L301" i="11"/>
  <c r="I301" i="11"/>
  <c r="X26" i="29"/>
  <c r="W26" i="29" s="1"/>
  <c r="T26" i="29"/>
  <c r="T29" i="29" s="1"/>
  <c r="T30" i="29" s="1"/>
  <c r="B274" i="11"/>
  <c r="F274" i="11" s="1"/>
  <c r="Z18" i="10"/>
  <c r="Z33" i="10" s="1"/>
  <c r="D104" i="8"/>
  <c r="D169" i="8" s="1"/>
  <c r="D143" i="8" s="1"/>
  <c r="Y264" i="11"/>
  <c r="H264" i="11"/>
  <c r="O301" i="11"/>
  <c r="BA18" i="6"/>
  <c r="AI264" i="11"/>
  <c r="AO264" i="11"/>
  <c r="AR301" i="11"/>
  <c r="AC301" i="11"/>
  <c r="AB264" i="11"/>
  <c r="B270" i="11"/>
  <c r="F270" i="11" s="1"/>
  <c r="F264" i="11"/>
  <c r="AR264" i="11"/>
  <c r="L264" i="11"/>
  <c r="AE301" i="11"/>
  <c r="AK301" i="11"/>
  <c r="Y301" i="11"/>
  <c r="V26" i="29"/>
  <c r="U26" i="29" s="1"/>
  <c r="D98" i="22"/>
  <c r="CN18" i="6"/>
  <c r="P18" i="6"/>
  <c r="R26" i="29"/>
  <c r="R29" i="29" s="1"/>
  <c r="R30" i="29" s="1"/>
  <c r="L26" i="29"/>
  <c r="K26" i="29" s="1"/>
  <c r="K29" i="29" s="1"/>
  <c r="K30" i="29" s="1"/>
  <c r="M264" i="11"/>
  <c r="F301" i="11"/>
  <c r="G264" i="11"/>
  <c r="AK264" i="11"/>
  <c r="X301" i="11"/>
  <c r="C301" i="11"/>
  <c r="CK18" i="6"/>
  <c r="E264" i="11"/>
  <c r="AP264" i="11"/>
  <c r="AA264" i="11"/>
  <c r="P301" i="11"/>
  <c r="AJ301" i="11"/>
  <c r="E301" i="11"/>
  <c r="AT264" i="11"/>
  <c r="I264" i="11"/>
  <c r="AN264" i="11"/>
  <c r="O264" i="11"/>
  <c r="Z264" i="11"/>
  <c r="AT301" i="11"/>
  <c r="AD301" i="11"/>
  <c r="V301" i="11"/>
  <c r="Z301" i="11"/>
  <c r="U301" i="11"/>
  <c r="P18" i="10"/>
  <c r="P33" i="10" s="1"/>
  <c r="P26" i="29"/>
  <c r="O26" i="29" s="1"/>
  <c r="O29" i="29" s="1"/>
  <c r="O30" i="29" s="1"/>
  <c r="P30" i="23"/>
  <c r="B311" i="11"/>
  <c r="T311" i="11" s="1"/>
  <c r="D99" i="8"/>
  <c r="D164" i="8" s="1"/>
  <c r="D138" i="8" s="1"/>
  <c r="U264" i="11"/>
  <c r="V264" i="11"/>
  <c r="X264" i="11"/>
  <c r="AJ264" i="11"/>
  <c r="P264" i="11"/>
  <c r="K301" i="11"/>
  <c r="J301" i="11"/>
  <c r="AS301" i="11"/>
  <c r="AM301" i="11"/>
  <c r="AP301" i="11"/>
  <c r="F109" i="8"/>
  <c r="F174" i="8" s="1"/>
  <c r="F148" i="8" s="1"/>
  <c r="J40" i="23"/>
  <c r="G113" i="9" s="1"/>
  <c r="G74" i="9" s="1"/>
  <c r="D98" i="8"/>
  <c r="D163" i="8" s="1"/>
  <c r="D137" i="8" s="1"/>
  <c r="H99" i="8"/>
  <c r="H164" i="8" s="1"/>
  <c r="H138" i="8" s="1"/>
  <c r="Z18" i="6"/>
  <c r="J26" i="29"/>
  <c r="J29" i="29" s="1"/>
  <c r="J30" i="29" s="1"/>
  <c r="S264" i="11"/>
  <c r="T264" i="11"/>
  <c r="AD264" i="11"/>
  <c r="AQ264" i="11"/>
  <c r="M301" i="11"/>
  <c r="AO301" i="11"/>
  <c r="N301" i="11"/>
  <c r="AG301" i="11"/>
  <c r="AQ301" i="11"/>
  <c r="U320" i="11"/>
  <c r="F109" i="22"/>
  <c r="BA18" i="10"/>
  <c r="AG320" i="11"/>
  <c r="L42" i="23"/>
  <c r="I115" i="9" s="1"/>
  <c r="CA18" i="6"/>
  <c r="J321" i="11"/>
  <c r="W321" i="11"/>
  <c r="Y320" i="11"/>
  <c r="E293" i="11"/>
  <c r="AT319" i="11"/>
  <c r="BZ18" i="10"/>
  <c r="D300" i="11"/>
  <c r="AB321" i="11"/>
  <c r="D304" i="11"/>
  <c r="AF304" i="11"/>
  <c r="BD18" i="10"/>
  <c r="BM18" i="10"/>
  <c r="AP304" i="11"/>
  <c r="AE304" i="11"/>
  <c r="BF18" i="10"/>
  <c r="AT304" i="11"/>
  <c r="BM18" i="6"/>
  <c r="G108" i="22"/>
  <c r="AL304" i="11"/>
  <c r="Y304" i="11"/>
  <c r="K304" i="11"/>
  <c r="AV49" i="34"/>
  <c r="AV18" i="34"/>
  <c r="AV19" i="34"/>
  <c r="I173" i="8"/>
  <c r="I147" i="8" s="1"/>
  <c r="W300" i="11"/>
  <c r="AK319" i="11"/>
  <c r="U319" i="11"/>
  <c r="T293" i="11"/>
  <c r="CL18" i="10"/>
  <c r="CL37" i="10" s="1"/>
  <c r="O45" i="23"/>
  <c r="J44" i="23"/>
  <c r="K113" i="9" s="1"/>
  <c r="H105" i="8"/>
  <c r="H170" i="8" s="1"/>
  <c r="H144" i="8" s="1"/>
  <c r="AY18" i="10"/>
  <c r="AY37" i="10" s="1"/>
  <c r="AY38" i="10" s="1"/>
  <c r="AY39" i="10" s="1"/>
  <c r="I300" i="11"/>
  <c r="AF319" i="11"/>
  <c r="AN293" i="11"/>
  <c r="CN18" i="10"/>
  <c r="B340" i="11"/>
  <c r="R340" i="11" s="1"/>
  <c r="FF26" i="29"/>
  <c r="FE26" i="29" s="1"/>
  <c r="L300" i="11"/>
  <c r="W319" i="11"/>
  <c r="AO319" i="11"/>
  <c r="L293" i="11"/>
  <c r="I109" i="8"/>
  <c r="T321" i="11"/>
  <c r="Z304" i="11"/>
  <c r="E304" i="11"/>
  <c r="J304" i="11"/>
  <c r="C304" i="11"/>
  <c r="R304" i="11"/>
  <c r="AR320" i="11"/>
  <c r="H103" i="8"/>
  <c r="H168" i="8" s="1"/>
  <c r="H142" i="8" s="1"/>
  <c r="L45" i="23"/>
  <c r="L115" i="9" s="1"/>
  <c r="E43" i="23"/>
  <c r="J108" i="9" s="1"/>
  <c r="G99" i="8"/>
  <c r="G164" i="8" s="1"/>
  <c r="G138" i="8" s="1"/>
  <c r="CL26" i="29"/>
  <c r="G43" i="23"/>
  <c r="J110" i="9" s="1"/>
  <c r="M44" i="23"/>
  <c r="K116" i="9" s="1"/>
  <c r="K77" i="9" s="1"/>
  <c r="G165" i="8"/>
  <c r="G139" i="8" s="1"/>
  <c r="E99" i="8"/>
  <c r="G174" i="8"/>
  <c r="G148" i="8" s="1"/>
  <c r="DD26" i="29"/>
  <c r="DC26" i="29" s="1"/>
  <c r="F105" i="22"/>
  <c r="AD321" i="11"/>
  <c r="M304" i="11"/>
  <c r="N304" i="11"/>
  <c r="AB304" i="11"/>
  <c r="AC304" i="11"/>
  <c r="X304" i="11"/>
  <c r="AG304" i="11"/>
  <c r="T320" i="11"/>
  <c r="Y319" i="11"/>
  <c r="O293" i="11"/>
  <c r="AK293" i="11"/>
  <c r="I164" i="8"/>
  <c r="I138" i="8" s="1"/>
  <c r="I165" i="8"/>
  <c r="I139" i="8" s="1"/>
  <c r="O44" i="23"/>
  <c r="G99" i="22"/>
  <c r="DB26" i="29"/>
  <c r="DA26" i="29" s="1"/>
  <c r="BD18" i="6"/>
  <c r="BY18" i="6"/>
  <c r="H101" i="22"/>
  <c r="B324" i="11"/>
  <c r="C324" i="11" s="1"/>
  <c r="F165" i="8"/>
  <c r="F139" i="8" s="1"/>
  <c r="E168" i="8"/>
  <c r="E142" i="8" s="1"/>
  <c r="O36" i="23"/>
  <c r="AN321" i="11"/>
  <c r="X321" i="11"/>
  <c r="AN304" i="11"/>
  <c r="AR304" i="11"/>
  <c r="AH304" i="11"/>
  <c r="P304" i="11"/>
  <c r="L304" i="11"/>
  <c r="H304" i="11"/>
  <c r="S320" i="11"/>
  <c r="AK320" i="11"/>
  <c r="CK18" i="10"/>
  <c r="G108" i="8"/>
  <c r="G173" i="8" s="1"/>
  <c r="G147" i="8" s="1"/>
  <c r="L321" i="11"/>
  <c r="V304" i="11"/>
  <c r="U304" i="11"/>
  <c r="AM304" i="11"/>
  <c r="AO304" i="11"/>
  <c r="AK304" i="11"/>
  <c r="AL300" i="11"/>
  <c r="AO300" i="11"/>
  <c r="E320" i="11"/>
  <c r="M320" i="11"/>
  <c r="AL319" i="11"/>
  <c r="C321" i="11"/>
  <c r="U321" i="11"/>
  <c r="Y321" i="11"/>
  <c r="AS304" i="11"/>
  <c r="F304" i="11"/>
  <c r="T304" i="11"/>
  <c r="O304" i="11"/>
  <c r="AJ304" i="11"/>
  <c r="W304" i="11"/>
  <c r="AI304" i="11"/>
  <c r="Q304" i="11"/>
  <c r="S304" i="11"/>
  <c r="AQ304" i="11"/>
  <c r="Q300" i="11"/>
  <c r="AG300" i="11"/>
  <c r="V300" i="11"/>
  <c r="N320" i="11"/>
  <c r="AN320" i="11"/>
  <c r="AQ319" i="11"/>
  <c r="S319" i="11"/>
  <c r="H319" i="11"/>
  <c r="AA293" i="11"/>
  <c r="AE293" i="11"/>
  <c r="B337" i="11"/>
  <c r="K337" i="11" s="1"/>
  <c r="H102" i="22"/>
  <c r="H109" i="22"/>
  <c r="EF26" i="29"/>
  <c r="EE26" i="29" s="1"/>
  <c r="B322" i="11"/>
  <c r="O322" i="11" s="1"/>
  <c r="F98" i="8"/>
  <c r="F163" i="8" s="1"/>
  <c r="F137" i="8" s="1"/>
  <c r="J43" i="23"/>
  <c r="J113" i="9" s="1"/>
  <c r="H103" i="22"/>
  <c r="G101" i="8"/>
  <c r="G166" i="8" s="1"/>
  <c r="G140" i="8" s="1"/>
  <c r="G101" i="22"/>
  <c r="BY18" i="10"/>
  <c r="BY37" i="10" s="1"/>
  <c r="BY38" i="10" s="1"/>
  <c r="BY39" i="10" s="1"/>
  <c r="H101" i="8"/>
  <c r="H166" i="8" s="1"/>
  <c r="H140" i="8" s="1"/>
  <c r="BH18" i="10"/>
  <c r="M41" i="23"/>
  <c r="H116" i="9" s="1"/>
  <c r="H77" i="9" s="1"/>
  <c r="J42" i="23"/>
  <c r="I113" i="9" s="1"/>
  <c r="AD300" i="11"/>
  <c r="AQ300" i="11"/>
  <c r="BS18" i="10"/>
  <c r="B280" i="11"/>
  <c r="AK280" i="11" s="1"/>
  <c r="G103" i="22"/>
  <c r="BX18" i="6"/>
  <c r="BX18" i="10"/>
  <c r="BH18" i="6"/>
  <c r="F101" i="22"/>
  <c r="AK300" i="11"/>
  <c r="H300" i="11"/>
  <c r="K300" i="11"/>
  <c r="AT300" i="11"/>
  <c r="AJ300" i="11"/>
  <c r="AH300" i="11"/>
  <c r="U300" i="11"/>
  <c r="C300" i="11"/>
  <c r="AS319" i="11"/>
  <c r="J319" i="11"/>
  <c r="AI319" i="11"/>
  <c r="T319" i="11"/>
  <c r="AP319" i="11"/>
  <c r="V319" i="11"/>
  <c r="Z319" i="11"/>
  <c r="M319" i="11"/>
  <c r="G319" i="11"/>
  <c r="K319" i="11"/>
  <c r="AC319" i="11"/>
  <c r="AO293" i="11"/>
  <c r="AP293" i="11"/>
  <c r="F293" i="11"/>
  <c r="C293" i="11"/>
  <c r="G293" i="11"/>
  <c r="I293" i="11"/>
  <c r="AI293" i="11"/>
  <c r="N293" i="11"/>
  <c r="H293" i="11"/>
  <c r="CL18" i="6"/>
  <c r="M45" i="23"/>
  <c r="L116" i="9" s="1"/>
  <c r="L77" i="9" s="1"/>
  <c r="AP18" i="6"/>
  <c r="CT26" i="29"/>
  <c r="CS26" i="29" s="1"/>
  <c r="G104" i="8"/>
  <c r="G169" i="8" s="1"/>
  <c r="G143" i="8" s="1"/>
  <c r="DP26" i="29"/>
  <c r="DO26" i="29" s="1"/>
  <c r="AF18" i="6"/>
  <c r="AD18" i="10"/>
  <c r="B290" i="11"/>
  <c r="R290" i="11" s="1"/>
  <c r="G41" i="23"/>
  <c r="H110" i="9" s="1"/>
  <c r="G103" i="8"/>
  <c r="G168" i="8" s="1"/>
  <c r="G142" i="8" s="1"/>
  <c r="G44" i="23"/>
  <c r="K110" i="9" s="1"/>
  <c r="B308" i="11"/>
  <c r="AL308" i="11" s="1"/>
  <c r="H106" i="22"/>
  <c r="I102" i="8"/>
  <c r="I167" i="8" s="1"/>
  <c r="I141" i="8" s="1"/>
  <c r="G42" i="23"/>
  <c r="I110" i="9" s="1"/>
  <c r="AS18" i="6"/>
  <c r="H174" i="8"/>
  <c r="H148" i="8" s="1"/>
  <c r="N300" i="11"/>
  <c r="J300" i="11"/>
  <c r="AP300" i="11"/>
  <c r="X300" i="11"/>
  <c r="P300" i="11"/>
  <c r="AS300" i="11"/>
  <c r="AM319" i="11"/>
  <c r="AN319" i="11"/>
  <c r="AJ319" i="11"/>
  <c r="E319" i="11"/>
  <c r="AB319" i="11"/>
  <c r="R319" i="11"/>
  <c r="AA319" i="11"/>
  <c r="AE319" i="11"/>
  <c r="L319" i="11"/>
  <c r="P319" i="11"/>
  <c r="D319" i="11"/>
  <c r="S293" i="11"/>
  <c r="X293" i="11"/>
  <c r="D293" i="11"/>
  <c r="AD293" i="11"/>
  <c r="U293" i="11"/>
  <c r="R293" i="11"/>
  <c r="Q293" i="11"/>
  <c r="AH293" i="11"/>
  <c r="BV18" i="10"/>
  <c r="BI18" i="6"/>
  <c r="BI18" i="10"/>
  <c r="M43" i="23"/>
  <c r="J116" i="9" s="1"/>
  <c r="J77" i="9" s="1"/>
  <c r="T300" i="11"/>
  <c r="AA300" i="11"/>
  <c r="S300" i="11"/>
  <c r="R300" i="11"/>
  <c r="AE300" i="11"/>
  <c r="AB300" i="11"/>
  <c r="E300" i="11"/>
  <c r="AR300" i="11"/>
  <c r="AG319" i="11"/>
  <c r="AD319" i="11"/>
  <c r="AR319" i="11"/>
  <c r="X319" i="11"/>
  <c r="I319" i="11"/>
  <c r="Q319" i="11"/>
  <c r="N319" i="11"/>
  <c r="AH319" i="11"/>
  <c r="F319" i="11"/>
  <c r="O319" i="11"/>
  <c r="P293" i="11"/>
  <c r="AC293" i="11"/>
  <c r="AM293" i="11"/>
  <c r="K293" i="11"/>
  <c r="AG293" i="11"/>
  <c r="AJ293" i="11"/>
  <c r="V293" i="11"/>
  <c r="Y293" i="11"/>
  <c r="BV18" i="6"/>
  <c r="AP18" i="10"/>
  <c r="B309" i="11"/>
  <c r="M309" i="11" s="1"/>
  <c r="B283" i="11"/>
  <c r="R283" i="11" s="1"/>
  <c r="AI18" i="10"/>
  <c r="BS18" i="6"/>
  <c r="H106" i="8"/>
  <c r="H171" i="8" s="1"/>
  <c r="H145" i="8" s="1"/>
  <c r="B333" i="11"/>
  <c r="AM333" i="11" s="1"/>
  <c r="E166" i="8"/>
  <c r="E140" i="8" s="1"/>
  <c r="BP18" i="6"/>
  <c r="D44" i="23"/>
  <c r="K107" i="9" s="1"/>
  <c r="B316" i="11"/>
  <c r="L316" i="11" s="1"/>
  <c r="E106" i="22"/>
  <c r="E106" i="8"/>
  <c r="E171" i="8" s="1"/>
  <c r="AK18" i="10"/>
  <c r="L41" i="23"/>
  <c r="H115" i="9" s="1"/>
  <c r="F136" i="22"/>
  <c r="C136" i="22" s="1"/>
  <c r="C162" i="22"/>
  <c r="O43" i="23"/>
  <c r="G109" i="22"/>
  <c r="BN18" i="10"/>
  <c r="BJ18" i="6"/>
  <c r="K43" i="23"/>
  <c r="J114" i="9" s="1"/>
  <c r="CV26" i="29"/>
  <c r="CU26" i="29" s="1"/>
  <c r="CR26" i="29"/>
  <c r="CQ26" i="29" s="1"/>
  <c r="G105" i="8"/>
  <c r="G170" i="8" s="1"/>
  <c r="G144" i="8" s="1"/>
  <c r="CZ26" i="29"/>
  <c r="CY26" i="29" s="1"/>
  <c r="CP26" i="29"/>
  <c r="CO26" i="29" s="1"/>
  <c r="BJ18" i="10"/>
  <c r="BC18" i="6"/>
  <c r="G98" i="22"/>
  <c r="P33" i="23"/>
  <c r="B303" i="11"/>
  <c r="AN303" i="11" s="1"/>
  <c r="CJ26" i="29"/>
  <c r="CI26" i="29" s="1"/>
  <c r="CX26" i="29"/>
  <c r="CW26" i="29" s="1"/>
  <c r="B317" i="11"/>
  <c r="BQ18" i="6"/>
  <c r="H99" i="22"/>
  <c r="AH18" i="10"/>
  <c r="I41" i="23"/>
  <c r="H112" i="9" s="1"/>
  <c r="I36" i="23"/>
  <c r="AH18" i="6"/>
  <c r="AR26" i="29"/>
  <c r="AQ26" i="29" s="1"/>
  <c r="G106" i="22"/>
  <c r="G106" i="8"/>
  <c r="G171" i="8" s="1"/>
  <c r="G145" i="8" s="1"/>
  <c r="BK18" i="6"/>
  <c r="BK18" i="10"/>
  <c r="CF18" i="10"/>
  <c r="I101" i="8"/>
  <c r="I166" i="8" s="1"/>
  <c r="I140" i="8" s="1"/>
  <c r="I101" i="22"/>
  <c r="EP26" i="29"/>
  <c r="EO26" i="29" s="1"/>
  <c r="P35" i="23"/>
  <c r="CF18" i="6"/>
  <c r="ET26" i="29"/>
  <c r="ES26" i="29" s="1"/>
  <c r="ER26" i="29"/>
  <c r="EQ26" i="29" s="1"/>
  <c r="B332" i="11"/>
  <c r="EZ26" i="29"/>
  <c r="EY26" i="29" s="1"/>
  <c r="EX26" i="29"/>
  <c r="EW26" i="29" s="1"/>
  <c r="N44" i="23"/>
  <c r="K117" i="9" s="1"/>
  <c r="M42" i="23"/>
  <c r="G105" i="22"/>
  <c r="BP18" i="10"/>
  <c r="AP26" i="29"/>
  <c r="AO26" i="29" s="1"/>
  <c r="DJ26" i="29"/>
  <c r="DI26" i="29" s="1"/>
  <c r="G98" i="8"/>
  <c r="B310" i="11"/>
  <c r="I310" i="11" s="1"/>
  <c r="B284" i="11"/>
  <c r="AJ18" i="6"/>
  <c r="E105" i="8"/>
  <c r="E170" i="8" s="1"/>
  <c r="E144" i="8" s="1"/>
  <c r="E105" i="22"/>
  <c r="AJ18" i="10"/>
  <c r="H45" i="23"/>
  <c r="L111" i="9" s="1"/>
  <c r="I102" i="22"/>
  <c r="CG18" i="10"/>
  <c r="H105" i="22"/>
  <c r="BW18" i="6"/>
  <c r="B323" i="11"/>
  <c r="AM323" i="11" s="1"/>
  <c r="B335" i="11"/>
  <c r="CI18" i="6"/>
  <c r="J36" i="23"/>
  <c r="I104" i="8"/>
  <c r="I169" i="8" s="1"/>
  <c r="I143" i="8" s="1"/>
  <c r="I104" i="22"/>
  <c r="CI18" i="10"/>
  <c r="EV26" i="29"/>
  <c r="EU26" i="29" s="1"/>
  <c r="BQ18" i="10"/>
  <c r="BW18" i="10"/>
  <c r="BC18" i="10"/>
  <c r="B295" i="11"/>
  <c r="AU18" i="10"/>
  <c r="F103" i="22"/>
  <c r="F103" i="8"/>
  <c r="AQ18" i="10"/>
  <c r="E42" i="23"/>
  <c r="I108" i="9" s="1"/>
  <c r="F99" i="22"/>
  <c r="BL26" i="29"/>
  <c r="BK26" i="29" s="1"/>
  <c r="H108" i="8"/>
  <c r="H173" i="8" s="1"/>
  <c r="H147" i="8" s="1"/>
  <c r="B326" i="11"/>
  <c r="AA326" i="11" s="1"/>
  <c r="BZ18" i="6"/>
  <c r="N36" i="23"/>
  <c r="DT26" i="29"/>
  <c r="DS26" i="29" s="1"/>
  <c r="K36" i="23"/>
  <c r="BZ26" i="29"/>
  <c r="BY26" i="29" s="1"/>
  <c r="BN18" i="6"/>
  <c r="B291" i="11"/>
  <c r="E291" i="11" s="1"/>
  <c r="B285" i="11"/>
  <c r="AL285" i="11" s="1"/>
  <c r="H98" i="8"/>
  <c r="H163" i="8" s="1"/>
  <c r="H137" i="8" s="1"/>
  <c r="I42" i="23"/>
  <c r="I112" i="9" s="1"/>
  <c r="AK18" i="6"/>
  <c r="F99" i="8"/>
  <c r="F164" i="8" s="1"/>
  <c r="F138" i="8" s="1"/>
  <c r="DF26" i="29"/>
  <c r="DE26" i="29" s="1"/>
  <c r="DL26" i="29"/>
  <c r="DK26" i="29" s="1"/>
  <c r="K41" i="23"/>
  <c r="H98" i="22"/>
  <c r="E103" i="22"/>
  <c r="B282" i="11"/>
  <c r="H282" i="11" s="1"/>
  <c r="B298" i="11"/>
  <c r="Y298" i="11" s="1"/>
  <c r="H102" i="8"/>
  <c r="H167" i="8" s="1"/>
  <c r="H141" i="8" s="1"/>
  <c r="P32" i="23"/>
  <c r="E167" i="8"/>
  <c r="E141" i="8" s="1"/>
  <c r="F104" i="8"/>
  <c r="F169" i="8" s="1"/>
  <c r="F143" i="8" s="1"/>
  <c r="N321" i="11"/>
  <c r="AG321" i="11"/>
  <c r="R321" i="11"/>
  <c r="Q321" i="11"/>
  <c r="AK321" i="11"/>
  <c r="O321" i="11"/>
  <c r="K321" i="11"/>
  <c r="AH321" i="11"/>
  <c r="AC321" i="11"/>
  <c r="AP321" i="11"/>
  <c r="I321" i="11"/>
  <c r="Z300" i="11"/>
  <c r="AC300" i="11"/>
  <c r="G300" i="11"/>
  <c r="AI300" i="11"/>
  <c r="O300" i="11"/>
  <c r="AF300" i="11"/>
  <c r="AN300" i="11"/>
  <c r="F300" i="11"/>
  <c r="Y300" i="11"/>
  <c r="M300" i="11"/>
  <c r="F320" i="11"/>
  <c r="Z320" i="11"/>
  <c r="Q320" i="11"/>
  <c r="C320" i="11"/>
  <c r="AO320" i="11"/>
  <c r="AL320" i="11"/>
  <c r="X320" i="11"/>
  <c r="AI320" i="11"/>
  <c r="W320" i="11"/>
  <c r="I320" i="11"/>
  <c r="L320" i="11"/>
  <c r="Z293" i="11"/>
  <c r="AL293" i="11"/>
  <c r="AF293" i="11"/>
  <c r="W293" i="11"/>
  <c r="AR293" i="11"/>
  <c r="AS293" i="11"/>
  <c r="AQ293" i="11"/>
  <c r="AT293" i="11"/>
  <c r="AB293" i="11"/>
  <c r="J293" i="11"/>
  <c r="L36" i="23"/>
  <c r="H36" i="23"/>
  <c r="BT18" i="6"/>
  <c r="C46" i="23"/>
  <c r="F106" i="9" s="1"/>
  <c r="C106" i="9" s="1"/>
  <c r="M36" i="23"/>
  <c r="C7" i="35" s="1"/>
  <c r="AC40" i="34" s="1"/>
  <c r="C97" i="8"/>
  <c r="F98" i="22"/>
  <c r="BV26" i="29"/>
  <c r="BU26" i="29" s="1"/>
  <c r="BJ26" i="29"/>
  <c r="BI26" i="29" s="1"/>
  <c r="BP26" i="29"/>
  <c r="BO26" i="29" s="1"/>
  <c r="AX26" i="29"/>
  <c r="AW26" i="29" s="1"/>
  <c r="E104" i="8"/>
  <c r="E169" i="8" s="1"/>
  <c r="E143" i="8" s="1"/>
  <c r="AT26" i="29"/>
  <c r="AS26" i="29" s="1"/>
  <c r="E101" i="22"/>
  <c r="F173" i="8"/>
  <c r="F147" i="8" s="1"/>
  <c r="E165" i="8"/>
  <c r="E139" i="8" s="1"/>
  <c r="B296" i="11"/>
  <c r="AQ296" i="11" s="1"/>
  <c r="AV18" i="6"/>
  <c r="AV18" i="10"/>
  <c r="AL18" i="6"/>
  <c r="F101" i="8"/>
  <c r="F166" i="8" s="1"/>
  <c r="F140" i="8" s="1"/>
  <c r="F106" i="22"/>
  <c r="F106" i="8"/>
  <c r="F171" i="8" s="1"/>
  <c r="F145" i="8" s="1"/>
  <c r="F105" i="8"/>
  <c r="F170" i="8" s="1"/>
  <c r="F144" i="8" s="1"/>
  <c r="B297" i="11"/>
  <c r="AT297" i="11" s="1"/>
  <c r="S321" i="11"/>
  <c r="M321" i="11"/>
  <c r="Z321" i="11"/>
  <c r="AE321" i="11"/>
  <c r="AA321" i="11"/>
  <c r="AQ321" i="11"/>
  <c r="F321" i="11"/>
  <c r="D321" i="11"/>
  <c r="AI321" i="11"/>
  <c r="G321" i="11"/>
  <c r="AS321" i="11"/>
  <c r="P320" i="11"/>
  <c r="V320" i="11"/>
  <c r="D320" i="11"/>
  <c r="AE320" i="11"/>
  <c r="K320" i="11"/>
  <c r="AM320" i="11"/>
  <c r="AQ320" i="11"/>
  <c r="R320" i="11"/>
  <c r="AF320" i="11"/>
  <c r="AJ320" i="11"/>
  <c r="AH320" i="11"/>
  <c r="DX26" i="29"/>
  <c r="DW26" i="29" s="1"/>
  <c r="DV26" i="29"/>
  <c r="DU26" i="29" s="1"/>
  <c r="P34" i="23"/>
  <c r="BU18" i="6"/>
  <c r="BR26" i="29"/>
  <c r="BQ26" i="29" s="1"/>
  <c r="E163" i="8"/>
  <c r="E137" i="8" s="1"/>
  <c r="P31" i="23"/>
  <c r="AM321" i="11"/>
  <c r="AL321" i="11"/>
  <c r="E321" i="11"/>
  <c r="AO321" i="11"/>
  <c r="AJ321" i="11"/>
  <c r="H321" i="11"/>
  <c r="V321" i="11"/>
  <c r="AF321" i="11"/>
  <c r="P321" i="11"/>
  <c r="AR321" i="11"/>
  <c r="AB320" i="11"/>
  <c r="O320" i="11"/>
  <c r="AC320" i="11"/>
  <c r="AA320" i="11"/>
  <c r="G320" i="11"/>
  <c r="AS320" i="11"/>
  <c r="J320" i="11"/>
  <c r="AD320" i="11"/>
  <c r="H320" i="11"/>
  <c r="AP320" i="11"/>
  <c r="E36" i="23"/>
  <c r="H104" i="22"/>
  <c r="H44" i="23"/>
  <c r="K111" i="9" s="1"/>
  <c r="G36" i="23"/>
  <c r="DZ26" i="29"/>
  <c r="DY26" i="29" s="1"/>
  <c r="I44" i="23"/>
  <c r="K112" i="9" s="1"/>
  <c r="BU18" i="10"/>
  <c r="DR26" i="29"/>
  <c r="DQ26" i="29" s="1"/>
  <c r="D36" i="23"/>
  <c r="BT26" i="29"/>
  <c r="BS26" i="29" s="1"/>
  <c r="AZ26" i="29"/>
  <c r="AY26" i="29" s="1"/>
  <c r="BT18" i="10"/>
  <c r="AV26" i="29"/>
  <c r="AU26" i="29" s="1"/>
  <c r="E104" i="22"/>
  <c r="AL26" i="29"/>
  <c r="AK26" i="29" s="1"/>
  <c r="C162" i="8"/>
  <c r="AF18" i="10"/>
  <c r="B278" i="11"/>
  <c r="F278" i="11" s="1"/>
  <c r="BX26" i="29"/>
  <c r="BW26" i="29" s="1"/>
  <c r="AD18" i="6"/>
  <c r="BB26" i="29"/>
  <c r="BA26" i="29" s="1"/>
  <c r="E99" i="22"/>
  <c r="J41" i="23"/>
  <c r="AW18" i="10"/>
  <c r="AS18" i="10"/>
  <c r="K42" i="23"/>
  <c r="I114" i="9" s="1"/>
  <c r="AX18" i="10"/>
  <c r="E173" i="8"/>
  <c r="E147" i="8" s="1"/>
  <c r="AW16" i="34"/>
  <c r="AW47" i="34" s="1"/>
  <c r="R268" i="11"/>
  <c r="D15" i="21"/>
  <c r="C15" i="21" s="1"/>
  <c r="C16" i="21" s="1"/>
  <c r="R69" i="7"/>
  <c r="R73" i="7" s="1"/>
  <c r="R75" i="7" s="1"/>
  <c r="P21" i="21"/>
  <c r="P19" i="21" s="1"/>
  <c r="P37" i="7"/>
  <c r="P39" i="7" s="1"/>
  <c r="BD59" i="34"/>
  <c r="BE52" i="34"/>
  <c r="AV29" i="34"/>
  <c r="AV30" i="34" s="1"/>
  <c r="C51" i="7"/>
  <c r="BA55" i="34"/>
  <c r="AZ60" i="34"/>
  <c r="AZ58" i="34" s="1"/>
  <c r="AZ20" i="34" s="1"/>
  <c r="AX15" i="34"/>
  <c r="AX13" i="34"/>
  <c r="AX35" i="34"/>
  <c r="AY6" i="34"/>
  <c r="AZ7" i="34"/>
  <c r="AY14" i="34"/>
  <c r="AY24" i="34" s="1"/>
  <c r="AW18" i="34"/>
  <c r="Q55" i="7"/>
  <c r="Q57" i="7" s="1"/>
  <c r="AE33" i="34"/>
  <c r="AF31" i="34" s="1"/>
  <c r="AE34" i="34"/>
  <c r="AE37" i="34" s="1"/>
  <c r="J57" i="21"/>
  <c r="B215" i="11" s="1"/>
  <c r="R52" i="7"/>
  <c r="R53" i="7" s="1"/>
  <c r="R54" i="7" s="1"/>
  <c r="C37" i="7"/>
  <c r="L57" i="21"/>
  <c r="L55" i="21" s="1"/>
  <c r="R111" i="21"/>
  <c r="R109" i="21" s="1"/>
  <c r="R55" i="21"/>
  <c r="F57" i="21"/>
  <c r="AR15" i="10" s="1"/>
  <c r="K57" i="21"/>
  <c r="K55" i="21" s="1"/>
  <c r="I57" i="21"/>
  <c r="B214" i="11" s="1"/>
  <c r="H57" i="21"/>
  <c r="AT15" i="10" s="1"/>
  <c r="C69" i="7"/>
  <c r="O57" i="21"/>
  <c r="BA15" i="10" s="1"/>
  <c r="N57" i="21"/>
  <c r="N55" i="21" s="1"/>
  <c r="E57" i="21"/>
  <c r="AQ15" i="10" s="1"/>
  <c r="R34" i="7"/>
  <c r="R35" i="7" s="1"/>
  <c r="R36" i="7" s="1"/>
  <c r="L93" i="21"/>
  <c r="B243" i="11" s="1"/>
  <c r="D57" i="21"/>
  <c r="B209" i="11" s="1"/>
  <c r="M57" i="21"/>
  <c r="B218" i="11" s="1"/>
  <c r="R91" i="21"/>
  <c r="C109" i="7"/>
  <c r="I93" i="21"/>
  <c r="H64" i="22" s="1"/>
  <c r="R106" i="7"/>
  <c r="R107" i="7" s="1"/>
  <c r="R108" i="7" s="1"/>
  <c r="R105" i="7"/>
  <c r="C55" i="7"/>
  <c r="C73" i="7"/>
  <c r="H93" i="21"/>
  <c r="B239" i="11" s="1"/>
  <c r="F93" i="21"/>
  <c r="F91" i="21" s="1"/>
  <c r="G93" i="21"/>
  <c r="G91" i="21" s="1"/>
  <c r="N93" i="21"/>
  <c r="BZ15" i="10" s="1"/>
  <c r="K93" i="21"/>
  <c r="B242" i="11" s="1"/>
  <c r="E93" i="21"/>
  <c r="B236" i="11" s="1"/>
  <c r="D93" i="21"/>
  <c r="BP15" i="10" s="1"/>
  <c r="O93" i="21"/>
  <c r="H70" i="22" s="1"/>
  <c r="J93" i="21"/>
  <c r="H65" i="22" s="1"/>
  <c r="M75" i="21"/>
  <c r="B231" i="11" s="1"/>
  <c r="O75" i="21"/>
  <c r="BN15" i="10" s="1"/>
  <c r="D75" i="21"/>
  <c r="B222" i="11" s="1"/>
  <c r="L75" i="21"/>
  <c r="G67" i="22" s="1"/>
  <c r="J75" i="21"/>
  <c r="J73" i="21" s="1"/>
  <c r="E75" i="21"/>
  <c r="B223" i="11" s="1"/>
  <c r="F75" i="21"/>
  <c r="BE15" i="10" s="1"/>
  <c r="H75" i="21"/>
  <c r="G63" i="22" s="1"/>
  <c r="K75" i="21"/>
  <c r="BJ15" i="10" s="1"/>
  <c r="N75" i="21"/>
  <c r="BM15" i="10" s="1"/>
  <c r="G75" i="21"/>
  <c r="BF15" i="10" s="1"/>
  <c r="R73" i="21"/>
  <c r="Q16" i="7"/>
  <c r="Q17" i="7" s="1"/>
  <c r="Q18" i="7" s="1"/>
  <c r="R91" i="7"/>
  <c r="R93" i="7" s="1"/>
  <c r="I93" i="7" s="1"/>
  <c r="AU339" i="11"/>
  <c r="S11" i="7"/>
  <c r="M91" i="21"/>
  <c r="B244" i="11"/>
  <c r="B212" i="11"/>
  <c r="AS15" i="10"/>
  <c r="G55" i="21"/>
  <c r="F62" i="22"/>
  <c r="P15" i="7"/>
  <c r="P16" i="7" s="1"/>
  <c r="P17" i="7" s="1"/>
  <c r="P18" i="7" s="1"/>
  <c r="S14" i="7"/>
  <c r="C15" i="7"/>
  <c r="C16" i="7" s="1"/>
  <c r="D19" i="7"/>
  <c r="BH15" i="10"/>
  <c r="G64" i="22"/>
  <c r="I73" i="21"/>
  <c r="B227" i="11"/>
  <c r="Q21" i="21"/>
  <c r="D39" i="21"/>
  <c r="J39" i="21"/>
  <c r="M39" i="21"/>
  <c r="R37" i="21"/>
  <c r="F39" i="21"/>
  <c r="E39" i="21"/>
  <c r="G39" i="21"/>
  <c r="L39" i="21"/>
  <c r="I39" i="21"/>
  <c r="O39" i="21"/>
  <c r="N39" i="21"/>
  <c r="H39" i="21"/>
  <c r="K39" i="21"/>
  <c r="AU277" i="11"/>
  <c r="N19" i="7"/>
  <c r="AW19" i="34" l="1"/>
  <c r="AN287" i="11"/>
  <c r="AW17" i="34"/>
  <c r="D281" i="11"/>
  <c r="Q281" i="11"/>
  <c r="Z281" i="11"/>
  <c r="J281" i="11"/>
  <c r="AS281" i="11"/>
  <c r="AI281" i="11"/>
  <c r="F314" i="11"/>
  <c r="P281" i="11"/>
  <c r="E281" i="11"/>
  <c r="W281" i="11"/>
  <c r="M281" i="11"/>
  <c r="AL281" i="11"/>
  <c r="AJ314" i="11"/>
  <c r="F281" i="11"/>
  <c r="R281" i="11"/>
  <c r="AT281" i="11"/>
  <c r="L281" i="11"/>
  <c r="H281" i="11"/>
  <c r="AK281" i="11"/>
  <c r="AM281" i="11"/>
  <c r="AG281" i="11"/>
  <c r="N281" i="11"/>
  <c r="U281" i="11"/>
  <c r="Y281" i="11"/>
  <c r="AC281" i="11"/>
  <c r="AJ281" i="11"/>
  <c r="AH281" i="11"/>
  <c r="AB281" i="11"/>
  <c r="AB306" i="11"/>
  <c r="AD281" i="11"/>
  <c r="AE281" i="11"/>
  <c r="AA281" i="11"/>
  <c r="AQ281" i="11"/>
  <c r="AP281" i="11"/>
  <c r="I281" i="11"/>
  <c r="G281" i="11"/>
  <c r="C281" i="11"/>
  <c r="X281" i="11"/>
  <c r="K281" i="11"/>
  <c r="X306" i="11"/>
  <c r="O281" i="11"/>
  <c r="AR281" i="11"/>
  <c r="S281" i="11"/>
  <c r="T281" i="11"/>
  <c r="V281" i="11"/>
  <c r="AN281" i="11"/>
  <c r="AO281" i="11"/>
  <c r="T314" i="11"/>
  <c r="AM314" i="11"/>
  <c r="AU307" i="11"/>
  <c r="G128" i="22"/>
  <c r="AF287" i="11"/>
  <c r="AC287" i="11"/>
  <c r="L287" i="11"/>
  <c r="Y287" i="11"/>
  <c r="AP287" i="11"/>
  <c r="X287" i="11"/>
  <c r="F287" i="11"/>
  <c r="AS287" i="11"/>
  <c r="AK287" i="11"/>
  <c r="AI306" i="11"/>
  <c r="AH306" i="11"/>
  <c r="D306" i="11"/>
  <c r="AE306" i="11"/>
  <c r="AH287" i="11"/>
  <c r="AI287" i="11"/>
  <c r="AL287" i="11"/>
  <c r="AQ287" i="11"/>
  <c r="AJ287" i="11"/>
  <c r="V287" i="11"/>
  <c r="R287" i="11"/>
  <c r="C287" i="11"/>
  <c r="E287" i="11"/>
  <c r="W287" i="11"/>
  <c r="AE287" i="11"/>
  <c r="AG287" i="11"/>
  <c r="AD287" i="11"/>
  <c r="AM287" i="11"/>
  <c r="AA287" i="11"/>
  <c r="K287" i="11"/>
  <c r="M287" i="11"/>
  <c r="I287" i="11"/>
  <c r="Z287" i="11"/>
  <c r="P287" i="11"/>
  <c r="Q287" i="11"/>
  <c r="AT287" i="11"/>
  <c r="AO287" i="11"/>
  <c r="S287" i="11"/>
  <c r="G287" i="11"/>
  <c r="AB287" i="11"/>
  <c r="AR287" i="11"/>
  <c r="N287" i="11"/>
  <c r="U287" i="11"/>
  <c r="J287" i="11"/>
  <c r="D287" i="11"/>
  <c r="O287" i="11"/>
  <c r="T287" i="11"/>
  <c r="AO306" i="11"/>
  <c r="L314" i="11"/>
  <c r="E306" i="11"/>
  <c r="AK306" i="11"/>
  <c r="P306" i="11"/>
  <c r="AG306" i="11"/>
  <c r="X314" i="11"/>
  <c r="H314" i="11"/>
  <c r="AK314" i="11"/>
  <c r="AQ306" i="11"/>
  <c r="P314" i="11"/>
  <c r="AT314" i="11"/>
  <c r="G314" i="11"/>
  <c r="AO314" i="11"/>
  <c r="G306" i="11"/>
  <c r="AB314" i="11"/>
  <c r="AD306" i="11"/>
  <c r="AH314" i="11"/>
  <c r="H306" i="11"/>
  <c r="M314" i="11"/>
  <c r="AF314" i="11"/>
  <c r="E314" i="11"/>
  <c r="Q306" i="11"/>
  <c r="AE288" i="11"/>
  <c r="W288" i="11"/>
  <c r="P288" i="11"/>
  <c r="AG288" i="11"/>
  <c r="AP288" i="11"/>
  <c r="I288" i="11"/>
  <c r="AC288" i="11"/>
  <c r="L288" i="11"/>
  <c r="K288" i="11"/>
  <c r="AS288" i="11"/>
  <c r="U288" i="11"/>
  <c r="AH288" i="11"/>
  <c r="AR288" i="11"/>
  <c r="S288" i="11"/>
  <c r="X288" i="11"/>
  <c r="AK288" i="11"/>
  <c r="K118" i="9"/>
  <c r="S275" i="11"/>
  <c r="AE275" i="11"/>
  <c r="AO275" i="11"/>
  <c r="L275" i="11"/>
  <c r="AP275" i="11"/>
  <c r="AS275" i="11"/>
  <c r="J275" i="11"/>
  <c r="AR275" i="11"/>
  <c r="AT275" i="11"/>
  <c r="Z275" i="11"/>
  <c r="M275" i="11"/>
  <c r="AM275" i="11"/>
  <c r="AD275" i="11"/>
  <c r="AJ275" i="11"/>
  <c r="AL275" i="11"/>
  <c r="AK275" i="11"/>
  <c r="AA275" i="11"/>
  <c r="I275" i="11"/>
  <c r="N275" i="11"/>
  <c r="AJ288" i="11"/>
  <c r="AN288" i="11"/>
  <c r="AA288" i="11"/>
  <c r="H288" i="11"/>
  <c r="T288" i="11"/>
  <c r="E288" i="11"/>
  <c r="Z288" i="11"/>
  <c r="G288" i="11"/>
  <c r="M288" i="11"/>
  <c r="Y275" i="11"/>
  <c r="AF275" i="11"/>
  <c r="P275" i="11"/>
  <c r="D275" i="11"/>
  <c r="R288" i="11"/>
  <c r="Y288" i="11"/>
  <c r="AF288" i="11"/>
  <c r="AL288" i="11"/>
  <c r="D288" i="11"/>
  <c r="J118" i="9"/>
  <c r="AI288" i="11"/>
  <c r="AD288" i="11"/>
  <c r="AC337" i="11"/>
  <c r="AI275" i="11"/>
  <c r="H275" i="11"/>
  <c r="AG275" i="11"/>
  <c r="F288" i="11"/>
  <c r="V288" i="11"/>
  <c r="C288" i="11"/>
  <c r="AB288" i="11"/>
  <c r="N288" i="11"/>
  <c r="AQ288" i="11"/>
  <c r="W275" i="11"/>
  <c r="Q275" i="11"/>
  <c r="Q288" i="11"/>
  <c r="AT288" i="11"/>
  <c r="J288" i="11"/>
  <c r="AO288" i="11"/>
  <c r="AM288" i="11"/>
  <c r="AH275" i="11"/>
  <c r="T275" i="11"/>
  <c r="K275" i="11"/>
  <c r="AA271" i="11"/>
  <c r="F275" i="11"/>
  <c r="R275" i="11"/>
  <c r="X275" i="11"/>
  <c r="AB275" i="11"/>
  <c r="E275" i="11"/>
  <c r="AC275" i="11"/>
  <c r="AQ275" i="11"/>
  <c r="G275" i="11"/>
  <c r="AN275" i="11"/>
  <c r="V275" i="11"/>
  <c r="O275" i="11"/>
  <c r="U275" i="11"/>
  <c r="AT268" i="11"/>
  <c r="P268" i="11"/>
  <c r="R334" i="11"/>
  <c r="AD334" i="11"/>
  <c r="AJ334" i="11"/>
  <c r="H118" i="9"/>
  <c r="L118" i="9"/>
  <c r="I118" i="9"/>
  <c r="AB271" i="11"/>
  <c r="W271" i="11"/>
  <c r="AQ271" i="11"/>
  <c r="Q271" i="11"/>
  <c r="AL271" i="11"/>
  <c r="AD271" i="11"/>
  <c r="AR271" i="11"/>
  <c r="X271" i="11"/>
  <c r="Z271" i="11"/>
  <c r="O271" i="11"/>
  <c r="N271" i="11"/>
  <c r="U271" i="11"/>
  <c r="T271" i="11"/>
  <c r="J271" i="11"/>
  <c r="AG313" i="11"/>
  <c r="AK271" i="11"/>
  <c r="AJ271" i="11"/>
  <c r="Y271" i="11"/>
  <c r="V271" i="11"/>
  <c r="AF271" i="11"/>
  <c r="AM271" i="11"/>
  <c r="G271" i="11"/>
  <c r="T268" i="11"/>
  <c r="AE268" i="11"/>
  <c r="AD268" i="11"/>
  <c r="AC268" i="11"/>
  <c r="L268" i="11"/>
  <c r="AS268" i="11"/>
  <c r="Z265" i="11"/>
  <c r="K268" i="11"/>
  <c r="G268" i="11"/>
  <c r="D271" i="11"/>
  <c r="AG271" i="11"/>
  <c r="AN271" i="11"/>
  <c r="AI271" i="11"/>
  <c r="L271" i="11"/>
  <c r="P271" i="11"/>
  <c r="AI268" i="11"/>
  <c r="AJ268" i="11"/>
  <c r="S271" i="11"/>
  <c r="H271" i="11"/>
  <c r="AO271" i="11"/>
  <c r="C271" i="11"/>
  <c r="F271" i="11"/>
  <c r="AT271" i="11"/>
  <c r="K271" i="11"/>
  <c r="M271" i="11"/>
  <c r="AS271" i="11"/>
  <c r="AC271" i="11"/>
  <c r="I271" i="11"/>
  <c r="AD265" i="11"/>
  <c r="N268" i="11"/>
  <c r="W268" i="11"/>
  <c r="AH271" i="11"/>
  <c r="E271" i="11"/>
  <c r="AE271" i="11"/>
  <c r="R271" i="11"/>
  <c r="AK274" i="11"/>
  <c r="G274" i="11"/>
  <c r="AD294" i="11"/>
  <c r="AG294" i="11"/>
  <c r="Y294" i="11"/>
  <c r="AB274" i="11"/>
  <c r="AE267" i="11"/>
  <c r="U274" i="11"/>
  <c r="S294" i="11"/>
  <c r="X268" i="11"/>
  <c r="AG267" i="11"/>
  <c r="AF274" i="11"/>
  <c r="Y274" i="11"/>
  <c r="L267" i="11"/>
  <c r="AE274" i="11"/>
  <c r="AI294" i="11"/>
  <c r="Z294" i="11"/>
  <c r="L294" i="11"/>
  <c r="O267" i="11"/>
  <c r="G267" i="11"/>
  <c r="J267" i="11"/>
  <c r="O274" i="11"/>
  <c r="AP267" i="11"/>
  <c r="Y267" i="11"/>
  <c r="K294" i="11"/>
  <c r="AA294" i="11"/>
  <c r="G265" i="11"/>
  <c r="AO268" i="11"/>
  <c r="D268" i="11"/>
  <c r="D267" i="11"/>
  <c r="AT267" i="11"/>
  <c r="X267" i="11"/>
  <c r="Q274" i="11"/>
  <c r="AR274" i="11"/>
  <c r="AK294" i="11"/>
  <c r="O294" i="11"/>
  <c r="AR294" i="11"/>
  <c r="F268" i="11"/>
  <c r="AM268" i="11"/>
  <c r="U268" i="11"/>
  <c r="E268" i="11"/>
  <c r="AB268" i="11"/>
  <c r="P267" i="11"/>
  <c r="AJ267" i="11"/>
  <c r="V267" i="11"/>
  <c r="M294" i="11"/>
  <c r="AR268" i="11"/>
  <c r="AL268" i="11"/>
  <c r="Y268" i="11"/>
  <c r="Z268" i="11"/>
  <c r="AK268" i="11"/>
  <c r="Q268" i="11"/>
  <c r="AF294" i="11"/>
  <c r="I268" i="11"/>
  <c r="AG268" i="11"/>
  <c r="Q267" i="11"/>
  <c r="D294" i="11"/>
  <c r="AL274" i="11"/>
  <c r="AP294" i="11"/>
  <c r="L313" i="11"/>
  <c r="R274" i="11"/>
  <c r="Q310" i="11"/>
  <c r="AK267" i="11"/>
  <c r="S267" i="11"/>
  <c r="AS267" i="11"/>
  <c r="AT274" i="11"/>
  <c r="Y37" i="10"/>
  <c r="Y38" i="10" s="1"/>
  <c r="Y39" i="10" s="1"/>
  <c r="K267" i="11"/>
  <c r="T267" i="11"/>
  <c r="X294" i="11"/>
  <c r="AJ294" i="11"/>
  <c r="AO294" i="11"/>
  <c r="N294" i="11"/>
  <c r="L29" i="29"/>
  <c r="L30" i="29" s="1"/>
  <c r="C268" i="11"/>
  <c r="S268" i="11"/>
  <c r="AQ268" i="11"/>
  <c r="AP268" i="11"/>
  <c r="O268" i="11"/>
  <c r="AN268" i="11"/>
  <c r="I267" i="11"/>
  <c r="R294" i="11"/>
  <c r="K274" i="11"/>
  <c r="AA267" i="11"/>
  <c r="AH267" i="11"/>
  <c r="AI267" i="11"/>
  <c r="AN294" i="11"/>
  <c r="V294" i="11"/>
  <c r="J294" i="11"/>
  <c r="AC313" i="11"/>
  <c r="H267" i="11"/>
  <c r="AO267" i="11"/>
  <c r="M267" i="11"/>
  <c r="W267" i="11"/>
  <c r="AH274" i="11"/>
  <c r="AB294" i="11"/>
  <c r="AE294" i="11"/>
  <c r="P294" i="11"/>
  <c r="AT294" i="11"/>
  <c r="AK265" i="11"/>
  <c r="V268" i="11"/>
  <c r="AH268" i="11"/>
  <c r="AA268" i="11"/>
  <c r="H268" i="11"/>
  <c r="AF268" i="11"/>
  <c r="M268" i="11"/>
  <c r="Z334" i="11"/>
  <c r="AT334" i="11"/>
  <c r="AC334" i="11"/>
  <c r="AI334" i="11"/>
  <c r="Q334" i="11"/>
  <c r="G334" i="11"/>
  <c r="AG334" i="11"/>
  <c r="V334" i="11"/>
  <c r="H334" i="11"/>
  <c r="AA334" i="11"/>
  <c r="W330" i="11"/>
  <c r="X330" i="11"/>
  <c r="N313" i="11"/>
  <c r="C313" i="11"/>
  <c r="AR313" i="11"/>
  <c r="Y285" i="11"/>
  <c r="AI313" i="11"/>
  <c r="X313" i="11"/>
  <c r="AM313" i="11"/>
  <c r="AO313" i="11"/>
  <c r="J313" i="11"/>
  <c r="F313" i="11"/>
  <c r="AB313" i="11"/>
  <c r="S313" i="11"/>
  <c r="Q313" i="11"/>
  <c r="AT313" i="11"/>
  <c r="T313" i="11"/>
  <c r="Y313" i="11"/>
  <c r="AE313" i="11"/>
  <c r="AF313" i="11"/>
  <c r="D313" i="11"/>
  <c r="AH313" i="11"/>
  <c r="AN313" i="11"/>
  <c r="H313" i="11"/>
  <c r="O313" i="11"/>
  <c r="AS313" i="11"/>
  <c r="AP313" i="11"/>
  <c r="V313" i="11"/>
  <c r="K313" i="11"/>
  <c r="U313" i="11"/>
  <c r="AL313" i="11"/>
  <c r="M313" i="11"/>
  <c r="I313" i="11"/>
  <c r="G291" i="11"/>
  <c r="AD313" i="11"/>
  <c r="AQ313" i="11"/>
  <c r="E313" i="11"/>
  <c r="W313" i="11"/>
  <c r="AK313" i="11"/>
  <c r="I330" i="11"/>
  <c r="AJ313" i="11"/>
  <c r="Z313" i="11"/>
  <c r="P313" i="11"/>
  <c r="AA313" i="11"/>
  <c r="G313" i="11"/>
  <c r="AF270" i="11"/>
  <c r="M274" i="11"/>
  <c r="S274" i="11"/>
  <c r="P274" i="11"/>
  <c r="G330" i="11"/>
  <c r="Y337" i="11"/>
  <c r="P330" i="11"/>
  <c r="E330" i="11"/>
  <c r="AS330" i="11"/>
  <c r="AL330" i="11"/>
  <c r="F330" i="11"/>
  <c r="F334" i="11"/>
  <c r="P334" i="11"/>
  <c r="AE334" i="11"/>
  <c r="Q330" i="11"/>
  <c r="O306" i="11"/>
  <c r="K306" i="11"/>
  <c r="O314" i="11"/>
  <c r="J274" i="11"/>
  <c r="AF330" i="11"/>
  <c r="C330" i="11"/>
  <c r="AM330" i="11"/>
  <c r="T330" i="11"/>
  <c r="N330" i="11"/>
  <c r="R330" i="11"/>
  <c r="AQ330" i="11"/>
  <c r="AH340" i="11"/>
  <c r="R314" i="11"/>
  <c r="AP306" i="11"/>
  <c r="V314" i="11"/>
  <c r="J314" i="11"/>
  <c r="I314" i="11"/>
  <c r="Q314" i="11"/>
  <c r="N314" i="11"/>
  <c r="L274" i="11"/>
  <c r="AC274" i="11"/>
  <c r="V274" i="11"/>
  <c r="D274" i="11"/>
  <c r="AD274" i="11"/>
  <c r="T306" i="11"/>
  <c r="Z274" i="11"/>
  <c r="L330" i="11"/>
  <c r="S330" i="11"/>
  <c r="K330" i="11"/>
  <c r="AT330" i="11"/>
  <c r="P336" i="11"/>
  <c r="AQ334" i="11"/>
  <c r="M334" i="11"/>
  <c r="Z336" i="11"/>
  <c r="J330" i="11"/>
  <c r="AO285" i="11"/>
  <c r="AB285" i="11"/>
  <c r="S334" i="11"/>
  <c r="AI314" i="11"/>
  <c r="R306" i="11"/>
  <c r="P29" i="29"/>
  <c r="P30" i="29" s="1"/>
  <c r="AQ314" i="11"/>
  <c r="C306" i="11"/>
  <c r="AJ306" i="11"/>
  <c r="AN314" i="11"/>
  <c r="V306" i="11"/>
  <c r="AN306" i="11"/>
  <c r="W314" i="11"/>
  <c r="U267" i="11"/>
  <c r="AM267" i="11"/>
  <c r="AN267" i="11"/>
  <c r="N267" i="11"/>
  <c r="AL267" i="11"/>
  <c r="T274" i="11"/>
  <c r="AQ267" i="11"/>
  <c r="E267" i="11"/>
  <c r="AI274" i="11"/>
  <c r="Z267" i="11"/>
  <c r="AJ274" i="11"/>
  <c r="U294" i="11"/>
  <c r="H294" i="11"/>
  <c r="W294" i="11"/>
  <c r="AC294" i="11"/>
  <c r="C294" i="11"/>
  <c r="T294" i="11"/>
  <c r="AL314" i="11"/>
  <c r="F310" i="11"/>
  <c r="N306" i="11"/>
  <c r="AP274" i="11"/>
  <c r="AN330" i="11"/>
  <c r="AK330" i="11"/>
  <c r="AE330" i="11"/>
  <c r="AN334" i="11"/>
  <c r="U334" i="11"/>
  <c r="J309" i="11"/>
  <c r="M306" i="11"/>
  <c r="Z314" i="11"/>
  <c r="F306" i="11"/>
  <c r="E274" i="11"/>
  <c r="AA274" i="11"/>
  <c r="AM274" i="11"/>
  <c r="I274" i="11"/>
  <c r="C108" i="22"/>
  <c r="O39" i="29"/>
  <c r="O40" i="29" s="1"/>
  <c r="H129" i="22"/>
  <c r="AG330" i="11"/>
  <c r="AM336" i="11"/>
  <c r="AA330" i="11"/>
  <c r="AD330" i="11"/>
  <c r="AC330" i="11"/>
  <c r="X334" i="11"/>
  <c r="AH334" i="11"/>
  <c r="N334" i="11"/>
  <c r="AI330" i="11"/>
  <c r="X285" i="11"/>
  <c r="AP314" i="11"/>
  <c r="AC314" i="11"/>
  <c r="AC306" i="11"/>
  <c r="AA314" i="11"/>
  <c r="AS306" i="11"/>
  <c r="AL306" i="11"/>
  <c r="W306" i="11"/>
  <c r="U314" i="11"/>
  <c r="AA306" i="11"/>
  <c r="S306" i="11"/>
  <c r="AR267" i="11"/>
  <c r="AD267" i="11"/>
  <c r="AB267" i="11"/>
  <c r="C267" i="11"/>
  <c r="AQ274" i="11"/>
  <c r="X274" i="11"/>
  <c r="C274" i="11"/>
  <c r="N274" i="11"/>
  <c r="I294" i="11"/>
  <c r="G294" i="11"/>
  <c r="AQ294" i="11"/>
  <c r="AS294" i="11"/>
  <c r="AO274" i="11"/>
  <c r="AP330" i="11"/>
  <c r="O330" i="11"/>
  <c r="D330" i="11"/>
  <c r="P285" i="11"/>
  <c r="Y314" i="11"/>
  <c r="D314" i="11"/>
  <c r="AF306" i="11"/>
  <c r="K314" i="11"/>
  <c r="Z306" i="11"/>
  <c r="Y306" i="11"/>
  <c r="J306" i="11"/>
  <c r="AG314" i="11"/>
  <c r="O310" i="11"/>
  <c r="AO330" i="11"/>
  <c r="AB330" i="11"/>
  <c r="U330" i="11"/>
  <c r="V330" i="11"/>
  <c r="AF336" i="11"/>
  <c r="AO334" i="11"/>
  <c r="D334" i="11"/>
  <c r="AR334" i="11"/>
  <c r="AR330" i="11"/>
  <c r="AH330" i="11"/>
  <c r="AJ330" i="11"/>
  <c r="C314" i="11"/>
  <c r="H330" i="11"/>
  <c r="U306" i="11"/>
  <c r="AD314" i="11"/>
  <c r="L306" i="11"/>
  <c r="I306" i="11"/>
  <c r="AS314" i="11"/>
  <c r="S314" i="11"/>
  <c r="AT306" i="11"/>
  <c r="AE314" i="11"/>
  <c r="AC267" i="11"/>
  <c r="AF267" i="11"/>
  <c r="AN274" i="11"/>
  <c r="AG274" i="11"/>
  <c r="W274" i="11"/>
  <c r="H274" i="11"/>
  <c r="F267" i="11"/>
  <c r="AM306" i="11"/>
  <c r="E294" i="11"/>
  <c r="Q294" i="11"/>
  <c r="AH294" i="11"/>
  <c r="F294" i="11"/>
  <c r="AM294" i="11"/>
  <c r="AS274" i="11"/>
  <c r="H265" i="11"/>
  <c r="Z330" i="11"/>
  <c r="Y330" i="11"/>
  <c r="AU329" i="11"/>
  <c r="P340" i="11"/>
  <c r="T327" i="11"/>
  <c r="AR270" i="11"/>
  <c r="V327" i="11"/>
  <c r="S327" i="11"/>
  <c r="P270" i="11"/>
  <c r="U270" i="11"/>
  <c r="Z270" i="11"/>
  <c r="AP327" i="11"/>
  <c r="G327" i="11"/>
  <c r="O334" i="11"/>
  <c r="J334" i="11"/>
  <c r="K334" i="11"/>
  <c r="AK334" i="11"/>
  <c r="Y334" i="11"/>
  <c r="AB270" i="11"/>
  <c r="AG327" i="11"/>
  <c r="AC327" i="11"/>
  <c r="AB334" i="11"/>
  <c r="C334" i="11"/>
  <c r="E334" i="11"/>
  <c r="AM334" i="11"/>
  <c r="AF334" i="11"/>
  <c r="AK327" i="11"/>
  <c r="O18" i="10"/>
  <c r="O33" i="10" s="1"/>
  <c r="AJ326" i="11"/>
  <c r="M18" i="10"/>
  <c r="M33" i="10" s="1"/>
  <c r="O327" i="11"/>
  <c r="AE270" i="11"/>
  <c r="AE327" i="11"/>
  <c r="L327" i="11"/>
  <c r="X327" i="11"/>
  <c r="Q270" i="11"/>
  <c r="AD337" i="11"/>
  <c r="W334" i="11"/>
  <c r="AS334" i="11"/>
  <c r="T334" i="11"/>
  <c r="I334" i="11"/>
  <c r="AF327" i="11"/>
  <c r="AL334" i="11"/>
  <c r="AM270" i="11"/>
  <c r="J270" i="11"/>
  <c r="AP334" i="11"/>
  <c r="N336" i="11"/>
  <c r="AA327" i="11"/>
  <c r="AI327" i="11"/>
  <c r="M336" i="11"/>
  <c r="Z327" i="11"/>
  <c r="AR327" i="11"/>
  <c r="R270" i="11"/>
  <c r="W336" i="11"/>
  <c r="AO270" i="11"/>
  <c r="X270" i="11"/>
  <c r="E336" i="11"/>
  <c r="AQ270" i="11"/>
  <c r="AL270" i="11"/>
  <c r="W270" i="11"/>
  <c r="U327" i="11"/>
  <c r="AS336" i="11"/>
  <c r="AP336" i="11"/>
  <c r="I327" i="11"/>
  <c r="AD336" i="11"/>
  <c r="P327" i="11"/>
  <c r="AB336" i="11"/>
  <c r="H336" i="11"/>
  <c r="D327" i="11"/>
  <c r="AN327" i="11"/>
  <c r="S270" i="11"/>
  <c r="C270" i="11"/>
  <c r="H270" i="11"/>
  <c r="AN270" i="11"/>
  <c r="Q327" i="11"/>
  <c r="M327" i="11"/>
  <c r="AD327" i="11"/>
  <c r="AT336" i="11"/>
  <c r="J327" i="11"/>
  <c r="U336" i="11"/>
  <c r="AO327" i="11"/>
  <c r="AT270" i="11"/>
  <c r="V270" i="11"/>
  <c r="T270" i="11"/>
  <c r="O270" i="11"/>
  <c r="G336" i="11"/>
  <c r="H327" i="11"/>
  <c r="Y327" i="11"/>
  <c r="AA336" i="11"/>
  <c r="O336" i="11"/>
  <c r="C327" i="11"/>
  <c r="D270" i="11"/>
  <c r="AJ270" i="11"/>
  <c r="K270" i="11"/>
  <c r="AB327" i="11"/>
  <c r="M270" i="11"/>
  <c r="AQ336" i="11"/>
  <c r="L270" i="11"/>
  <c r="D336" i="11"/>
  <c r="AS327" i="11"/>
  <c r="K327" i="11"/>
  <c r="F336" i="11"/>
  <c r="V336" i="11"/>
  <c r="AK270" i="11"/>
  <c r="AA270" i="11"/>
  <c r="AH270" i="11"/>
  <c r="I270" i="11"/>
  <c r="AG336" i="11"/>
  <c r="AQ327" i="11"/>
  <c r="D168" i="8"/>
  <c r="D142" i="8" s="1"/>
  <c r="D194" i="8" s="1"/>
  <c r="I26" i="29"/>
  <c r="I29" i="29" s="1"/>
  <c r="I30" i="29" s="1"/>
  <c r="I336" i="11"/>
  <c r="L336" i="11"/>
  <c r="AC336" i="11"/>
  <c r="N327" i="11"/>
  <c r="AM327" i="11"/>
  <c r="AC270" i="11"/>
  <c r="AI270" i="11"/>
  <c r="Y270" i="11"/>
  <c r="AD270" i="11"/>
  <c r="E270" i="11"/>
  <c r="G129" i="22"/>
  <c r="AJ327" i="11"/>
  <c r="AO336" i="11"/>
  <c r="AH327" i="11"/>
  <c r="AL327" i="11"/>
  <c r="AK336" i="11"/>
  <c r="AT327" i="11"/>
  <c r="R327" i="11"/>
  <c r="AL336" i="11"/>
  <c r="X336" i="11"/>
  <c r="E327" i="11"/>
  <c r="F327" i="11"/>
  <c r="AG270" i="11"/>
  <c r="K336" i="11"/>
  <c r="AP270" i="11"/>
  <c r="AS270" i="11"/>
  <c r="G270" i="11"/>
  <c r="N270" i="11"/>
  <c r="X311" i="11"/>
  <c r="S311" i="11"/>
  <c r="AF311" i="11"/>
  <c r="AQ311" i="11"/>
  <c r="Y311" i="11"/>
  <c r="C311" i="11"/>
  <c r="G18" i="6"/>
  <c r="T323" i="11"/>
  <c r="H278" i="11"/>
  <c r="AI323" i="11"/>
  <c r="AJ340" i="11"/>
  <c r="W291" i="11"/>
  <c r="AB303" i="11"/>
  <c r="AI336" i="11"/>
  <c r="Y336" i="11"/>
  <c r="Q336" i="11"/>
  <c r="AJ336" i="11"/>
  <c r="AI326" i="11"/>
  <c r="AN336" i="11"/>
  <c r="AE336" i="11"/>
  <c r="D97" i="22"/>
  <c r="D166" i="22" s="1"/>
  <c r="D140" i="22" s="1"/>
  <c r="D192" i="22" s="1"/>
  <c r="AR336" i="11"/>
  <c r="AP280" i="11"/>
  <c r="S323" i="11"/>
  <c r="AU272" i="11"/>
  <c r="AU269" i="11"/>
  <c r="O323" i="11"/>
  <c r="AK323" i="11"/>
  <c r="F323" i="11"/>
  <c r="V337" i="11"/>
  <c r="AE326" i="11"/>
  <c r="T336" i="11"/>
  <c r="R336" i="11"/>
  <c r="J336" i="11"/>
  <c r="O340" i="11"/>
  <c r="S336" i="11"/>
  <c r="C336" i="11"/>
  <c r="G323" i="11"/>
  <c r="Q26" i="29"/>
  <c r="Q29" i="29" s="1"/>
  <c r="Q30" i="29" s="1"/>
  <c r="D265" i="11"/>
  <c r="AN265" i="11"/>
  <c r="L265" i="11"/>
  <c r="E265" i="11"/>
  <c r="W265" i="11"/>
  <c r="AE265" i="11"/>
  <c r="W296" i="11"/>
  <c r="J265" i="11"/>
  <c r="AF265" i="11"/>
  <c r="AR265" i="11"/>
  <c r="C265" i="11"/>
  <c r="S265" i="11"/>
  <c r="B263" i="11"/>
  <c r="R265" i="11"/>
  <c r="AT265" i="11"/>
  <c r="AB265" i="11"/>
  <c r="AM265" i="11"/>
  <c r="P265" i="11"/>
  <c r="O18" i="6"/>
  <c r="AU264" i="11"/>
  <c r="S26" i="29"/>
  <c r="S29" i="29" s="1"/>
  <c r="S30" i="29" s="1"/>
  <c r="AA322" i="11"/>
  <c r="F265" i="11"/>
  <c r="X265" i="11"/>
  <c r="AO265" i="11"/>
  <c r="AP265" i="11"/>
  <c r="AG265" i="11"/>
  <c r="Y265" i="11"/>
  <c r="AS265" i="11"/>
  <c r="U265" i="11"/>
  <c r="V265" i="11"/>
  <c r="AI265" i="11"/>
  <c r="N265" i="11"/>
  <c r="Q265" i="11"/>
  <c r="O265" i="11"/>
  <c r="I265" i="11"/>
  <c r="T265" i="11"/>
  <c r="AJ265" i="11"/>
  <c r="M265" i="11"/>
  <c r="AR296" i="11"/>
  <c r="AL265" i="11"/>
  <c r="AH265" i="11"/>
  <c r="AA265" i="11"/>
  <c r="K265" i="11"/>
  <c r="AC265" i="11"/>
  <c r="D128" i="8"/>
  <c r="D193" i="8" s="1"/>
  <c r="AS340" i="11"/>
  <c r="AE309" i="11"/>
  <c r="AE340" i="11"/>
  <c r="Y340" i="11"/>
  <c r="D340" i="11"/>
  <c r="AG340" i="11"/>
  <c r="AT309" i="11"/>
  <c r="D46" i="23"/>
  <c r="F107" i="9" s="1"/>
  <c r="C107" i="9" s="1"/>
  <c r="AF309" i="11"/>
  <c r="G309" i="11"/>
  <c r="H26" i="29"/>
  <c r="G26" i="29" s="1"/>
  <c r="G29" i="29" s="1"/>
  <c r="G30" i="29" s="1"/>
  <c r="L340" i="11"/>
  <c r="AC311" i="11"/>
  <c r="N311" i="11"/>
  <c r="AM311" i="11"/>
  <c r="AN311" i="11"/>
  <c r="U311" i="11"/>
  <c r="AA340" i="11"/>
  <c r="G311" i="11"/>
  <c r="Q311" i="11"/>
  <c r="F340" i="11"/>
  <c r="AB340" i="11"/>
  <c r="M340" i="11"/>
  <c r="AN340" i="11"/>
  <c r="D309" i="11"/>
  <c r="F309" i="11"/>
  <c r="N46" i="23"/>
  <c r="F117" i="9" s="1"/>
  <c r="C117" i="9" s="1"/>
  <c r="K340" i="11"/>
  <c r="V285" i="11"/>
  <c r="Z311" i="11"/>
  <c r="M311" i="11"/>
  <c r="AL311" i="11"/>
  <c r="R324" i="11"/>
  <c r="D311" i="11"/>
  <c r="AU301" i="11"/>
  <c r="AO340" i="11"/>
  <c r="AP340" i="11"/>
  <c r="AL340" i="11"/>
  <c r="T340" i="11"/>
  <c r="X340" i="11"/>
  <c r="N340" i="11"/>
  <c r="W311" i="11"/>
  <c r="I311" i="11"/>
  <c r="H311" i="11"/>
  <c r="AI311" i="11"/>
  <c r="P311" i="11"/>
  <c r="G340" i="11"/>
  <c r="Z340" i="11"/>
  <c r="AC285" i="11"/>
  <c r="H340" i="11"/>
  <c r="J340" i="11"/>
  <c r="AT311" i="11"/>
  <c r="J311" i="11"/>
  <c r="O311" i="11"/>
  <c r="AK311" i="11"/>
  <c r="AB311" i="11"/>
  <c r="AO311" i="11"/>
  <c r="AH311" i="11"/>
  <c r="AP311" i="11"/>
  <c r="AR340" i="11"/>
  <c r="W340" i="11"/>
  <c r="AK340" i="11"/>
  <c r="AF340" i="11"/>
  <c r="O309" i="11"/>
  <c r="AS309" i="11"/>
  <c r="S340" i="11"/>
  <c r="V340" i="11"/>
  <c r="AQ340" i="11"/>
  <c r="AC340" i="11"/>
  <c r="AI340" i="11"/>
  <c r="AQ309" i="11"/>
  <c r="AM309" i="11"/>
  <c r="AJ309" i="11"/>
  <c r="AM285" i="11"/>
  <c r="C340" i="11"/>
  <c r="AM340" i="11"/>
  <c r="F324" i="11"/>
  <c r="K311" i="11"/>
  <c r="F311" i="11"/>
  <c r="AD311" i="11"/>
  <c r="L311" i="11"/>
  <c r="V311" i="11"/>
  <c r="N18" i="6"/>
  <c r="Q340" i="11"/>
  <c r="AP309" i="11"/>
  <c r="AA309" i="11"/>
  <c r="H309" i="11"/>
  <c r="I340" i="11"/>
  <c r="R311" i="11"/>
  <c r="AG311" i="11"/>
  <c r="AE311" i="11"/>
  <c r="E311" i="11"/>
  <c r="U340" i="11"/>
  <c r="AT340" i="11"/>
  <c r="T309" i="11"/>
  <c r="AN309" i="11"/>
  <c r="L309" i="11"/>
  <c r="I309" i="11"/>
  <c r="AD340" i="11"/>
  <c r="AS311" i="11"/>
  <c r="AJ311" i="11"/>
  <c r="AR311" i="11"/>
  <c r="E340" i="11"/>
  <c r="AA311" i="11"/>
  <c r="AB310" i="11"/>
  <c r="D130" i="8"/>
  <c r="D195" i="8" s="1"/>
  <c r="F337" i="11"/>
  <c r="AT337" i="11"/>
  <c r="AD308" i="11"/>
  <c r="M18" i="6"/>
  <c r="E337" i="11"/>
  <c r="S337" i="11"/>
  <c r="W337" i="11"/>
  <c r="Q337" i="11"/>
  <c r="O278" i="11"/>
  <c r="AA337" i="11"/>
  <c r="N337" i="11"/>
  <c r="AJ337" i="11"/>
  <c r="K309" i="11"/>
  <c r="X309" i="11"/>
  <c r="AC309" i="11"/>
  <c r="X278" i="11"/>
  <c r="U337" i="11"/>
  <c r="I337" i="11"/>
  <c r="AF337" i="11"/>
  <c r="AL337" i="11"/>
  <c r="C283" i="11"/>
  <c r="E316" i="11"/>
  <c r="F308" i="11"/>
  <c r="D337" i="11"/>
  <c r="AP337" i="11"/>
  <c r="G337" i="11"/>
  <c r="Z337" i="11"/>
  <c r="AB337" i="11"/>
  <c r="H337" i="11"/>
  <c r="Q309" i="11"/>
  <c r="AI309" i="11"/>
  <c r="AG337" i="11"/>
  <c r="AM337" i="11"/>
  <c r="AI337" i="11"/>
  <c r="AR337" i="11"/>
  <c r="J337" i="11"/>
  <c r="AQ337" i="11"/>
  <c r="C337" i="11"/>
  <c r="AH337" i="11"/>
  <c r="AN337" i="11"/>
  <c r="U333" i="11"/>
  <c r="AP322" i="11"/>
  <c r="Z322" i="11"/>
  <c r="AN280" i="11"/>
  <c r="AD297" i="11"/>
  <c r="AL326" i="11"/>
  <c r="AC291" i="11"/>
  <c r="AL280" i="11"/>
  <c r="R291" i="11"/>
  <c r="V297" i="11"/>
  <c r="AI280" i="11"/>
  <c r="AJ297" i="11"/>
  <c r="O280" i="11"/>
  <c r="P291" i="11"/>
  <c r="T322" i="11"/>
  <c r="AQ285" i="11"/>
  <c r="AN278" i="11"/>
  <c r="C285" i="11"/>
  <c r="D278" i="11"/>
  <c r="O285" i="11"/>
  <c r="N310" i="11"/>
  <c r="AO310" i="11"/>
  <c r="W310" i="11"/>
  <c r="AD310" i="11"/>
  <c r="C18" i="10"/>
  <c r="C33" i="10" s="1"/>
  <c r="L18" i="6"/>
  <c r="D285" i="11"/>
  <c r="AA285" i="11"/>
  <c r="AE310" i="11"/>
  <c r="AK285" i="11"/>
  <c r="H285" i="11"/>
  <c r="AS285" i="11"/>
  <c r="AL322" i="11"/>
  <c r="I285" i="11"/>
  <c r="AK310" i="11"/>
  <c r="AP297" i="11"/>
  <c r="L285" i="11"/>
  <c r="X310" i="11"/>
  <c r="L310" i="11"/>
  <c r="V310" i="11"/>
  <c r="G310" i="11"/>
  <c r="Z285" i="11"/>
  <c r="K310" i="11"/>
  <c r="AB322" i="11"/>
  <c r="AE285" i="11"/>
  <c r="K278" i="11"/>
  <c r="S285" i="11"/>
  <c r="AS278" i="11"/>
  <c r="AQ310" i="11"/>
  <c r="AH297" i="11"/>
  <c r="G18" i="10"/>
  <c r="N18" i="10"/>
  <c r="U322" i="11"/>
  <c r="AP285" i="11"/>
  <c r="K285" i="11"/>
  <c r="AA324" i="11"/>
  <c r="Z324" i="11"/>
  <c r="AS310" i="11"/>
  <c r="AT310" i="11"/>
  <c r="C98" i="22"/>
  <c r="AR310" i="11"/>
  <c r="R310" i="11"/>
  <c r="C103" i="22"/>
  <c r="O46" i="23"/>
  <c r="P322" i="11"/>
  <c r="L322" i="11"/>
  <c r="AC322" i="11"/>
  <c r="G322" i="11"/>
  <c r="X322" i="11"/>
  <c r="AH322" i="11"/>
  <c r="AB278" i="11"/>
  <c r="AT278" i="11"/>
  <c r="C290" i="11"/>
  <c r="V322" i="11"/>
  <c r="AS322" i="11"/>
  <c r="Q322" i="11"/>
  <c r="C322" i="11"/>
  <c r="AR322" i="11"/>
  <c r="R278" i="11"/>
  <c r="AO322" i="11"/>
  <c r="AW49" i="34"/>
  <c r="D322" i="11"/>
  <c r="AD322" i="11"/>
  <c r="AK322" i="11"/>
  <c r="K322" i="11"/>
  <c r="M322" i="11"/>
  <c r="AR278" i="11"/>
  <c r="H322" i="11"/>
  <c r="AO278" i="11"/>
  <c r="AQ322" i="11"/>
  <c r="AW36" i="34"/>
  <c r="D297" i="11"/>
  <c r="AO297" i="11"/>
  <c r="AI322" i="11"/>
  <c r="AE322" i="11"/>
  <c r="F18" i="10"/>
  <c r="AM322" i="11"/>
  <c r="AN322" i="11"/>
  <c r="W322" i="11"/>
  <c r="I322" i="11"/>
  <c r="AE278" i="11"/>
  <c r="AG322" i="11"/>
  <c r="C109" i="8"/>
  <c r="I174" i="8"/>
  <c r="I148" i="8" s="1"/>
  <c r="I136" i="8" s="1"/>
  <c r="P316" i="11"/>
  <c r="T278" i="11"/>
  <c r="AP278" i="11"/>
  <c r="E278" i="11"/>
  <c r="L278" i="11"/>
  <c r="J278" i="11"/>
  <c r="N278" i="11"/>
  <c r="AA278" i="11"/>
  <c r="AQ278" i="11"/>
  <c r="AC278" i="11"/>
  <c r="W278" i="11"/>
  <c r="AJ278" i="11"/>
  <c r="C278" i="11"/>
  <c r="AH278" i="11"/>
  <c r="AD278" i="11"/>
  <c r="AG278" i="11"/>
  <c r="P278" i="11"/>
  <c r="M278" i="11"/>
  <c r="S278" i="11"/>
  <c r="Y278" i="11"/>
  <c r="AF278" i="11"/>
  <c r="Z278" i="11"/>
  <c r="AE298" i="11"/>
  <c r="W298" i="11"/>
  <c r="U298" i="11"/>
  <c r="V298" i="11"/>
  <c r="CB18" i="10"/>
  <c r="P18" i="31" s="1"/>
  <c r="C282" i="11"/>
  <c r="AI282" i="11"/>
  <c r="AP282" i="11"/>
  <c r="AF332" i="11"/>
  <c r="I332" i="11"/>
  <c r="AB332" i="11"/>
  <c r="AM332" i="11"/>
  <c r="U332" i="11"/>
  <c r="M283" i="11"/>
  <c r="G283" i="11"/>
  <c r="Z308" i="11"/>
  <c r="T308" i="11"/>
  <c r="AG308" i="11"/>
  <c r="Y308" i="11"/>
  <c r="M308" i="11"/>
  <c r="T290" i="11"/>
  <c r="AG290" i="11"/>
  <c r="N290" i="11"/>
  <c r="G290" i="11"/>
  <c r="AJ290" i="11"/>
  <c r="AT290" i="11"/>
  <c r="Z332" i="11"/>
  <c r="N283" i="11"/>
  <c r="U290" i="11"/>
  <c r="J290" i="11"/>
  <c r="U308" i="11"/>
  <c r="AS282" i="11"/>
  <c r="AS297" i="11"/>
  <c r="E297" i="11"/>
  <c r="Y297" i="11"/>
  <c r="R297" i="11"/>
  <c r="K297" i="11"/>
  <c r="U297" i="11"/>
  <c r="AM297" i="11"/>
  <c r="AG297" i="11"/>
  <c r="C297" i="11"/>
  <c r="P297" i="11"/>
  <c r="J297" i="11"/>
  <c r="L297" i="11"/>
  <c r="W297" i="11"/>
  <c r="I297" i="11"/>
  <c r="AK297" i="11"/>
  <c r="AL297" i="11"/>
  <c r="T297" i="11"/>
  <c r="X297" i="11"/>
  <c r="Q297" i="11"/>
  <c r="AF297" i="11"/>
  <c r="AR297" i="11"/>
  <c r="AB297" i="11"/>
  <c r="AA297" i="11"/>
  <c r="AN297" i="11"/>
  <c r="AQ297" i="11"/>
  <c r="Z297" i="11"/>
  <c r="O297" i="11"/>
  <c r="AC297" i="11"/>
  <c r="M297" i="11"/>
  <c r="AI297" i="11"/>
  <c r="H297" i="11"/>
  <c r="S297" i="11"/>
  <c r="AE297" i="11"/>
  <c r="F297" i="11"/>
  <c r="Y296" i="11"/>
  <c r="E296" i="11"/>
  <c r="AL296" i="11"/>
  <c r="AS296" i="11"/>
  <c r="AB296" i="11"/>
  <c r="N296" i="11"/>
  <c r="AC296" i="11"/>
  <c r="P332" i="11"/>
  <c r="V278" i="11"/>
  <c r="G278" i="11"/>
  <c r="U278" i="11"/>
  <c r="AK278" i="11"/>
  <c r="AM278" i="11"/>
  <c r="I278" i="11"/>
  <c r="S316" i="11"/>
  <c r="AI278" i="11"/>
  <c r="AL278" i="11"/>
  <c r="Q278" i="11"/>
  <c r="AT308" i="11"/>
  <c r="I308" i="11"/>
  <c r="K296" i="11"/>
  <c r="AI296" i="11"/>
  <c r="N297" i="11"/>
  <c r="G297" i="11"/>
  <c r="F127" i="22"/>
  <c r="AS337" i="11"/>
  <c r="M337" i="11"/>
  <c r="R337" i="11"/>
  <c r="L337" i="11"/>
  <c r="X337" i="11"/>
  <c r="P337" i="11"/>
  <c r="O337" i="11"/>
  <c r="AE337" i="11"/>
  <c r="AO337" i="11"/>
  <c r="M326" i="11"/>
  <c r="AK337" i="11"/>
  <c r="E40" i="34"/>
  <c r="T337" i="11"/>
  <c r="Y322" i="11"/>
  <c r="AF322" i="11"/>
  <c r="W40" i="34"/>
  <c r="AT322" i="11"/>
  <c r="AJ322" i="11"/>
  <c r="R322" i="11"/>
  <c r="J322" i="11"/>
  <c r="F322" i="11"/>
  <c r="W309" i="11"/>
  <c r="E309" i="11"/>
  <c r="S309" i="11"/>
  <c r="R309" i="11"/>
  <c r="V309" i="11"/>
  <c r="C309" i="11"/>
  <c r="AK309" i="11"/>
  <c r="AG309" i="11"/>
  <c r="N322" i="11"/>
  <c r="E322" i="11"/>
  <c r="S322" i="11"/>
  <c r="AH40" i="34"/>
  <c r="AU304" i="11"/>
  <c r="E164" i="8"/>
  <c r="C99" i="8"/>
  <c r="O324" i="11"/>
  <c r="AP324" i="11"/>
  <c r="C109" i="22"/>
  <c r="K333" i="11"/>
  <c r="AS333" i="11"/>
  <c r="AG333" i="11"/>
  <c r="Z333" i="11"/>
  <c r="X333" i="11"/>
  <c r="AH333" i="11"/>
  <c r="T333" i="11"/>
  <c r="O333" i="11"/>
  <c r="R333" i="11"/>
  <c r="H135" i="22"/>
  <c r="L46" i="23"/>
  <c r="F115" i="9" s="1"/>
  <c r="C115" i="9" s="1"/>
  <c r="AI290" i="11"/>
  <c r="M290" i="11"/>
  <c r="K290" i="11"/>
  <c r="AB290" i="11"/>
  <c r="W290" i="11"/>
  <c r="AC324" i="11"/>
  <c r="AS324" i="11"/>
  <c r="AE324" i="11"/>
  <c r="AI324" i="11"/>
  <c r="AB324" i="11"/>
  <c r="I324" i="11"/>
  <c r="Q308" i="11"/>
  <c r="AM308" i="11"/>
  <c r="AR333" i="11"/>
  <c r="K18" i="10"/>
  <c r="H113" i="9"/>
  <c r="J46" i="23"/>
  <c r="F113" i="9" s="1"/>
  <c r="C113" i="9" s="1"/>
  <c r="AL309" i="11"/>
  <c r="AO309" i="11"/>
  <c r="AH309" i="11"/>
  <c r="Z309" i="11"/>
  <c r="Y309" i="11"/>
  <c r="P309" i="11"/>
  <c r="AB309" i="11"/>
  <c r="AR309" i="11"/>
  <c r="U309" i="11"/>
  <c r="AD309" i="11"/>
  <c r="N309" i="11"/>
  <c r="V324" i="11"/>
  <c r="AF324" i="11"/>
  <c r="J324" i="11"/>
  <c r="AQ324" i="11"/>
  <c r="L324" i="11"/>
  <c r="AM324" i="11"/>
  <c r="Y324" i="11"/>
  <c r="X324" i="11"/>
  <c r="K324" i="11"/>
  <c r="N324" i="11"/>
  <c r="AJ324" i="11"/>
  <c r="S324" i="11"/>
  <c r="G324" i="11"/>
  <c r="T324" i="11"/>
  <c r="AK324" i="11"/>
  <c r="Q324" i="11"/>
  <c r="W324" i="11"/>
  <c r="AN324" i="11"/>
  <c r="E324" i="11"/>
  <c r="D324" i="11"/>
  <c r="CK26" i="29"/>
  <c r="CH26" i="29"/>
  <c r="CH29" i="29" s="1"/>
  <c r="CH30" i="29" s="1"/>
  <c r="AD324" i="11"/>
  <c r="AT324" i="11"/>
  <c r="Q316" i="11"/>
  <c r="AB316" i="11"/>
  <c r="AJ316" i="11"/>
  <c r="Z316" i="11"/>
  <c r="AG316" i="11"/>
  <c r="AP316" i="11"/>
  <c r="AG283" i="11"/>
  <c r="AA283" i="11"/>
  <c r="S283" i="11"/>
  <c r="AP283" i="11"/>
  <c r="P308" i="11"/>
  <c r="AO308" i="11"/>
  <c r="AE308" i="11"/>
  <c r="X308" i="11"/>
  <c r="H308" i="11"/>
  <c r="AN308" i="11"/>
  <c r="N308" i="11"/>
  <c r="AR308" i="11"/>
  <c r="AF308" i="11"/>
  <c r="AP308" i="11"/>
  <c r="AH308" i="11"/>
  <c r="G308" i="11"/>
  <c r="AB308" i="11"/>
  <c r="V308" i="11"/>
  <c r="K308" i="11"/>
  <c r="L308" i="11"/>
  <c r="J308" i="11"/>
  <c r="O308" i="11"/>
  <c r="AQ308" i="11"/>
  <c r="R308" i="11"/>
  <c r="W308" i="11"/>
  <c r="AC308" i="11"/>
  <c r="AK308" i="11"/>
  <c r="E308" i="11"/>
  <c r="D308" i="11"/>
  <c r="AA308" i="11"/>
  <c r="AR290" i="11"/>
  <c r="O290" i="11"/>
  <c r="AL290" i="11"/>
  <c r="V290" i="11"/>
  <c r="F290" i="11"/>
  <c r="AO290" i="11"/>
  <c r="AF290" i="11"/>
  <c r="H290" i="11"/>
  <c r="AN290" i="11"/>
  <c r="AA290" i="11"/>
  <c r="AE290" i="11"/>
  <c r="AP290" i="11"/>
  <c r="AC290" i="11"/>
  <c r="AD290" i="11"/>
  <c r="AK290" i="11"/>
  <c r="AM290" i="11"/>
  <c r="Q290" i="11"/>
  <c r="P290" i="11"/>
  <c r="AH290" i="11"/>
  <c r="X290" i="11"/>
  <c r="I290" i="11"/>
  <c r="D290" i="11"/>
  <c r="Y290" i="11"/>
  <c r="AS290" i="11"/>
  <c r="X332" i="11"/>
  <c r="AT332" i="11"/>
  <c r="AG332" i="11"/>
  <c r="AL332" i="11"/>
  <c r="L18" i="10"/>
  <c r="C6" i="35" s="1"/>
  <c r="AC332" i="11"/>
  <c r="E97" i="22"/>
  <c r="E173" i="22" s="1"/>
  <c r="E147" i="22" s="1"/>
  <c r="L290" i="11"/>
  <c r="S290" i="11"/>
  <c r="Z290" i="11"/>
  <c r="J316" i="11"/>
  <c r="AA316" i="11"/>
  <c r="E290" i="11"/>
  <c r="AQ290" i="11"/>
  <c r="AG324" i="11"/>
  <c r="M324" i="11"/>
  <c r="AL324" i="11"/>
  <c r="AR324" i="11"/>
  <c r="AH324" i="11"/>
  <c r="AO324" i="11"/>
  <c r="U324" i="11"/>
  <c r="P324" i="11"/>
  <c r="H324" i="11"/>
  <c r="C308" i="11"/>
  <c r="AI308" i="11"/>
  <c r="S308" i="11"/>
  <c r="AS308" i="11"/>
  <c r="AJ308" i="11"/>
  <c r="F97" i="22"/>
  <c r="F174" i="22" s="1"/>
  <c r="F148" i="22" s="1"/>
  <c r="AT285" i="11"/>
  <c r="AN285" i="11"/>
  <c r="J285" i="11"/>
  <c r="E285" i="11"/>
  <c r="T285" i="11"/>
  <c r="AD285" i="11"/>
  <c r="Q285" i="11"/>
  <c r="U285" i="11"/>
  <c r="AG285" i="11"/>
  <c r="AH285" i="11"/>
  <c r="N285" i="11"/>
  <c r="G285" i="11"/>
  <c r="W285" i="11"/>
  <c r="F285" i="11"/>
  <c r="AR285" i="11"/>
  <c r="AJ285" i="11"/>
  <c r="AF285" i="11"/>
  <c r="AI285" i="11"/>
  <c r="R285" i="11"/>
  <c r="M285" i="11"/>
  <c r="T310" i="11"/>
  <c r="H310" i="11"/>
  <c r="E310" i="11"/>
  <c r="AF310" i="11"/>
  <c r="AH310" i="11"/>
  <c r="M310" i="11"/>
  <c r="AG310" i="11"/>
  <c r="Y310" i="11"/>
  <c r="D310" i="11"/>
  <c r="Z310" i="11"/>
  <c r="AM310" i="11"/>
  <c r="S310" i="11"/>
  <c r="AC310" i="11"/>
  <c r="AJ310" i="11"/>
  <c r="U310" i="11"/>
  <c r="P310" i="11"/>
  <c r="AP310" i="11"/>
  <c r="AN310" i="11"/>
  <c r="AA310" i="11"/>
  <c r="AL310" i="11"/>
  <c r="J310" i="11"/>
  <c r="AI310" i="11"/>
  <c r="C310" i="11"/>
  <c r="K18" i="6"/>
  <c r="C102" i="22"/>
  <c r="AB18" i="10"/>
  <c r="H18" i="31" s="1"/>
  <c r="C104" i="22"/>
  <c r="C139" i="8"/>
  <c r="C105" i="22"/>
  <c r="CB18" i="6"/>
  <c r="C140" i="8"/>
  <c r="D18" i="6"/>
  <c r="BB18" i="10"/>
  <c r="L18" i="31" s="1"/>
  <c r="C106" i="22"/>
  <c r="I18" i="10"/>
  <c r="AU319" i="11"/>
  <c r="AO18" i="6"/>
  <c r="H303" i="11"/>
  <c r="E303" i="11"/>
  <c r="P303" i="11"/>
  <c r="AA303" i="11"/>
  <c r="AK303" i="11"/>
  <c r="AT303" i="11"/>
  <c r="O303" i="11"/>
  <c r="AG303" i="11"/>
  <c r="AJ303" i="11"/>
  <c r="B302" i="11"/>
  <c r="D280" i="11"/>
  <c r="L280" i="11"/>
  <c r="Z280" i="11"/>
  <c r="N280" i="11"/>
  <c r="AP303" i="11"/>
  <c r="G280" i="11"/>
  <c r="F168" i="8"/>
  <c r="F142" i="8" s="1"/>
  <c r="F136" i="8" s="1"/>
  <c r="C103" i="8"/>
  <c r="F332" i="11"/>
  <c r="AD332" i="11"/>
  <c r="G332" i="11"/>
  <c r="Y283" i="11"/>
  <c r="AD283" i="11"/>
  <c r="W283" i="11"/>
  <c r="AB280" i="11"/>
  <c r="R316" i="11"/>
  <c r="AS283" i="11"/>
  <c r="U280" i="11"/>
  <c r="AR280" i="11"/>
  <c r="X280" i="11"/>
  <c r="AF280" i="11"/>
  <c r="I316" i="11"/>
  <c r="AH280" i="11"/>
  <c r="AQ280" i="11"/>
  <c r="C303" i="11"/>
  <c r="W303" i="11"/>
  <c r="G316" i="11"/>
  <c r="L333" i="11"/>
  <c r="J333" i="11"/>
  <c r="AE303" i="11"/>
  <c r="V333" i="11"/>
  <c r="Z303" i="11"/>
  <c r="AT40" i="34"/>
  <c r="N40" i="34"/>
  <c r="BA40" i="34"/>
  <c r="AN40" i="34"/>
  <c r="H40" i="34"/>
  <c r="T282" i="11"/>
  <c r="AO282" i="11"/>
  <c r="K282" i="11"/>
  <c r="AT282" i="11"/>
  <c r="Z282" i="11"/>
  <c r="AR282" i="11"/>
  <c r="M282" i="11"/>
  <c r="X282" i="11"/>
  <c r="AC282" i="11"/>
  <c r="AE282" i="11"/>
  <c r="I282" i="11"/>
  <c r="AF282" i="11"/>
  <c r="AK282" i="11"/>
  <c r="F18" i="6"/>
  <c r="AE280" i="11"/>
  <c r="AA280" i="11"/>
  <c r="AT280" i="11"/>
  <c r="AC280" i="11"/>
  <c r="Y280" i="11"/>
  <c r="P280" i="11"/>
  <c r="AJ280" i="11"/>
  <c r="J280" i="11"/>
  <c r="V280" i="11"/>
  <c r="AM280" i="11"/>
  <c r="Q280" i="11"/>
  <c r="S280" i="11"/>
  <c r="T280" i="11"/>
  <c r="C280" i="11"/>
  <c r="I280" i="11"/>
  <c r="M280" i="11"/>
  <c r="AS280" i="11"/>
  <c r="AG280" i="11"/>
  <c r="AO280" i="11"/>
  <c r="AQ40" i="34"/>
  <c r="R40" i="34"/>
  <c r="B276" i="11"/>
  <c r="I116" i="9"/>
  <c r="I77" i="9" s="1"/>
  <c r="M46" i="23"/>
  <c r="F116" i="9" s="1"/>
  <c r="F77" i="9" s="1"/>
  <c r="C77" i="9" s="1"/>
  <c r="O332" i="11"/>
  <c r="C332" i="11"/>
  <c r="AE332" i="11"/>
  <c r="H332" i="11"/>
  <c r="AN332" i="11"/>
  <c r="V332" i="11"/>
  <c r="S332" i="11"/>
  <c r="J332" i="11"/>
  <c r="AO332" i="11"/>
  <c r="AH332" i="11"/>
  <c r="AK332" i="11"/>
  <c r="AJ332" i="11"/>
  <c r="L332" i="11"/>
  <c r="E332" i="11"/>
  <c r="Q332" i="11"/>
  <c r="Y332" i="11"/>
  <c r="AA332" i="11"/>
  <c r="K332" i="11"/>
  <c r="M332" i="11"/>
  <c r="AR332" i="11"/>
  <c r="D332" i="11"/>
  <c r="W332" i="11"/>
  <c r="AI332" i="11"/>
  <c r="AF316" i="11"/>
  <c r="K316" i="11"/>
  <c r="O316" i="11"/>
  <c r="AH316" i="11"/>
  <c r="AT316" i="11"/>
  <c r="AM316" i="11"/>
  <c r="AL316" i="11"/>
  <c r="AO316" i="11"/>
  <c r="F316" i="11"/>
  <c r="M316" i="11"/>
  <c r="AK316" i="11"/>
  <c r="AS316" i="11"/>
  <c r="C316" i="11"/>
  <c r="AQ316" i="11"/>
  <c r="W316" i="11"/>
  <c r="N316" i="11"/>
  <c r="T316" i="11"/>
  <c r="D316" i="11"/>
  <c r="AI316" i="11"/>
  <c r="AE316" i="11"/>
  <c r="AN316" i="11"/>
  <c r="V316" i="11"/>
  <c r="H316" i="11"/>
  <c r="U316" i="11"/>
  <c r="AD316" i="11"/>
  <c r="X316" i="11"/>
  <c r="AQ333" i="11"/>
  <c r="AO333" i="11"/>
  <c r="E333" i="11"/>
  <c r="AT333" i="11"/>
  <c r="AF333" i="11"/>
  <c r="AI333" i="11"/>
  <c r="AA333" i="11"/>
  <c r="M333" i="11"/>
  <c r="AE333" i="11"/>
  <c r="AC333" i="11"/>
  <c r="AP333" i="11"/>
  <c r="AL333" i="11"/>
  <c r="AJ333" i="11"/>
  <c r="W333" i="11"/>
  <c r="I333" i="11"/>
  <c r="G333" i="11"/>
  <c r="P333" i="11"/>
  <c r="H333" i="11"/>
  <c r="S333" i="11"/>
  <c r="AN333" i="11"/>
  <c r="AB333" i="11"/>
  <c r="Q333" i="11"/>
  <c r="X283" i="11"/>
  <c r="AT283" i="11"/>
  <c r="AM283" i="11"/>
  <c r="AL283" i="11"/>
  <c r="F283" i="11"/>
  <c r="AH283" i="11"/>
  <c r="I283" i="11"/>
  <c r="Q283" i="11"/>
  <c r="K283" i="11"/>
  <c r="P283" i="11"/>
  <c r="T283" i="11"/>
  <c r="D283" i="11"/>
  <c r="AI283" i="11"/>
  <c r="U283" i="11"/>
  <c r="AO283" i="11"/>
  <c r="AQ283" i="11"/>
  <c r="L283" i="11"/>
  <c r="AE283" i="11"/>
  <c r="AK283" i="11"/>
  <c r="AR283" i="11"/>
  <c r="V283" i="11"/>
  <c r="E283" i="11"/>
  <c r="AF283" i="11"/>
  <c r="Z283" i="11"/>
  <c r="H283" i="11"/>
  <c r="I18" i="6"/>
  <c r="G132" i="22"/>
  <c r="AQ332" i="11"/>
  <c r="N332" i="11"/>
  <c r="B328" i="11"/>
  <c r="AP332" i="11"/>
  <c r="AS332" i="11"/>
  <c r="T332" i="11"/>
  <c r="G46" i="23"/>
  <c r="F110" i="9" s="1"/>
  <c r="C110" i="9" s="1"/>
  <c r="R332" i="11"/>
  <c r="AJ283" i="11"/>
  <c r="C102" i="8"/>
  <c r="O283" i="11"/>
  <c r="AB283" i="11"/>
  <c r="K280" i="11"/>
  <c r="W280" i="11"/>
  <c r="AR316" i="11"/>
  <c r="AC283" i="11"/>
  <c r="J283" i="11"/>
  <c r="AD280" i="11"/>
  <c r="F280" i="11"/>
  <c r="Y316" i="11"/>
  <c r="E280" i="11"/>
  <c r="AC316" i="11"/>
  <c r="R280" i="11"/>
  <c r="H280" i="11"/>
  <c r="AN283" i="11"/>
  <c r="AI303" i="11"/>
  <c r="AL303" i="11"/>
  <c r="T303" i="11"/>
  <c r="C333" i="11"/>
  <c r="N333" i="11"/>
  <c r="F333" i="11"/>
  <c r="AD333" i="11"/>
  <c r="Y333" i="11"/>
  <c r="D333" i="11"/>
  <c r="AK333" i="11"/>
  <c r="Y282" i="11"/>
  <c r="S282" i="11"/>
  <c r="G282" i="11"/>
  <c r="AG282" i="11"/>
  <c r="H18" i="10"/>
  <c r="BO18" i="10"/>
  <c r="N18" i="31" s="1"/>
  <c r="C144" i="8"/>
  <c r="C147" i="8"/>
  <c r="C99" i="22"/>
  <c r="C18" i="6"/>
  <c r="BO18" i="6"/>
  <c r="E145" i="8"/>
  <c r="C171" i="8"/>
  <c r="AM298" i="11"/>
  <c r="J298" i="11"/>
  <c r="AL298" i="11"/>
  <c r="I298" i="11"/>
  <c r="R298" i="11"/>
  <c r="P298" i="11"/>
  <c r="AJ298" i="11"/>
  <c r="E298" i="11"/>
  <c r="C298" i="11"/>
  <c r="X298" i="11"/>
  <c r="Q298" i="11"/>
  <c r="AB298" i="11"/>
  <c r="K298" i="11"/>
  <c r="AI298" i="11"/>
  <c r="AQ298" i="11"/>
  <c r="D298" i="11"/>
  <c r="AG298" i="11"/>
  <c r="F298" i="11"/>
  <c r="S298" i="11"/>
  <c r="AS298" i="11"/>
  <c r="AH298" i="11"/>
  <c r="AF298" i="11"/>
  <c r="Z298" i="11"/>
  <c r="AN298" i="11"/>
  <c r="AR298" i="11"/>
  <c r="H114" i="9"/>
  <c r="K46" i="23"/>
  <c r="F114" i="9" s="1"/>
  <c r="C114" i="9" s="1"/>
  <c r="AQ291" i="11"/>
  <c r="AL291" i="11"/>
  <c r="S291" i="11"/>
  <c r="O291" i="11"/>
  <c r="T291" i="11"/>
  <c r="Q291" i="11"/>
  <c r="V291" i="11"/>
  <c r="AH291" i="11"/>
  <c r="AE291" i="11"/>
  <c r="D291" i="11"/>
  <c r="AD291" i="11"/>
  <c r="AF291" i="11"/>
  <c r="AB291" i="11"/>
  <c r="B289" i="11"/>
  <c r="AT291" i="11"/>
  <c r="AR291" i="11"/>
  <c r="Z291" i="11"/>
  <c r="H291" i="11"/>
  <c r="AS291" i="11"/>
  <c r="J291" i="11"/>
  <c r="AJ291" i="11"/>
  <c r="L291" i="11"/>
  <c r="I291" i="11"/>
  <c r="M291" i="11"/>
  <c r="AM291" i="11"/>
  <c r="E46" i="23"/>
  <c r="F108" i="9" s="1"/>
  <c r="C108" i="9" s="1"/>
  <c r="V326" i="11"/>
  <c r="Y291" i="11"/>
  <c r="F291" i="11"/>
  <c r="AI291" i="11"/>
  <c r="K291" i="11"/>
  <c r="N291" i="11"/>
  <c r="AG291" i="11"/>
  <c r="M323" i="11"/>
  <c r="AS323" i="11"/>
  <c r="AR323" i="11"/>
  <c r="W323" i="11"/>
  <c r="E323" i="11"/>
  <c r="AP323" i="11"/>
  <c r="AO298" i="11"/>
  <c r="AT298" i="11"/>
  <c r="AK298" i="11"/>
  <c r="G298" i="11"/>
  <c r="O298" i="11"/>
  <c r="AB18" i="6"/>
  <c r="C141" i="8"/>
  <c r="D18" i="10"/>
  <c r="E8" i="40" s="1"/>
  <c r="J18" i="6"/>
  <c r="C169" i="8"/>
  <c r="C170" i="8"/>
  <c r="K326" i="11"/>
  <c r="AD326" i="11"/>
  <c r="Q40" i="34"/>
  <c r="K40" i="34"/>
  <c r="L326" i="11"/>
  <c r="O326" i="11"/>
  <c r="Y326" i="11"/>
  <c r="U291" i="11"/>
  <c r="C291" i="11"/>
  <c r="R323" i="11"/>
  <c r="P323" i="11"/>
  <c r="Q323" i="11"/>
  <c r="AN323" i="11"/>
  <c r="AD323" i="11"/>
  <c r="Y323" i="11"/>
  <c r="AA298" i="11"/>
  <c r="AD298" i="11"/>
  <c r="T298" i="11"/>
  <c r="AP298" i="11"/>
  <c r="W326" i="11"/>
  <c r="Z326" i="11"/>
  <c r="AT326" i="11"/>
  <c r="F326" i="11"/>
  <c r="T326" i="11"/>
  <c r="X326" i="11"/>
  <c r="I326" i="11"/>
  <c r="P326" i="11"/>
  <c r="D326" i="11"/>
  <c r="AS326" i="11"/>
  <c r="E326" i="11"/>
  <c r="G326" i="11"/>
  <c r="AQ326" i="11"/>
  <c r="R326" i="11"/>
  <c r="J326" i="11"/>
  <c r="AP326" i="11"/>
  <c r="H326" i="11"/>
  <c r="AB326" i="11"/>
  <c r="S326" i="11"/>
  <c r="AN326" i="11"/>
  <c r="Q326" i="11"/>
  <c r="AO326" i="11"/>
  <c r="N326" i="11"/>
  <c r="AK326" i="11"/>
  <c r="AC326" i="11"/>
  <c r="H323" i="11"/>
  <c r="AT323" i="11"/>
  <c r="AH323" i="11"/>
  <c r="AL323" i="11"/>
  <c r="V323" i="11"/>
  <c r="AB323" i="11"/>
  <c r="AC323" i="11"/>
  <c r="AF323" i="11"/>
  <c r="AA323" i="11"/>
  <c r="D323" i="11"/>
  <c r="Z323" i="11"/>
  <c r="K323" i="11"/>
  <c r="AQ323" i="11"/>
  <c r="X323" i="11"/>
  <c r="L323" i="11"/>
  <c r="AO323" i="11"/>
  <c r="AE323" i="11"/>
  <c r="J323" i="11"/>
  <c r="N323" i="11"/>
  <c r="B315" i="11"/>
  <c r="G163" i="8"/>
  <c r="G137" i="8" s="1"/>
  <c r="G136" i="8" s="1"/>
  <c r="C98" i="8"/>
  <c r="C101" i="22"/>
  <c r="I97" i="22"/>
  <c r="I170" i="22" s="1"/>
  <c r="I144" i="22" s="1"/>
  <c r="BB18" i="6"/>
  <c r="AF326" i="11"/>
  <c r="H18" i="6"/>
  <c r="AU320" i="11"/>
  <c r="C143" i="8"/>
  <c r="AF40" i="34"/>
  <c r="O40" i="34"/>
  <c r="AM40" i="34"/>
  <c r="AX40" i="34"/>
  <c r="I40" i="34"/>
  <c r="P40" i="34"/>
  <c r="AO40" i="34"/>
  <c r="J40" i="34"/>
  <c r="BD40" i="34"/>
  <c r="AI40" i="34"/>
  <c r="AA40" i="34"/>
  <c r="AU40" i="34"/>
  <c r="Y40" i="34"/>
  <c r="EH26" i="29"/>
  <c r="EH29" i="29" s="1"/>
  <c r="EH30" i="29" s="1"/>
  <c r="AG326" i="11"/>
  <c r="C326" i="11"/>
  <c r="AR326" i="11"/>
  <c r="AK40" i="34"/>
  <c r="BC40" i="34"/>
  <c r="U326" i="11"/>
  <c r="C167" i="8"/>
  <c r="AH326" i="11"/>
  <c r="AA291" i="11"/>
  <c r="AP291" i="11"/>
  <c r="AN291" i="11"/>
  <c r="AO291" i="11"/>
  <c r="AK291" i="11"/>
  <c r="X291" i="11"/>
  <c r="C323" i="11"/>
  <c r="AG323" i="11"/>
  <c r="I323" i="11"/>
  <c r="U323" i="11"/>
  <c r="AJ323" i="11"/>
  <c r="AM326" i="11"/>
  <c r="M298" i="11"/>
  <c r="H298" i="11"/>
  <c r="L298" i="11"/>
  <c r="N298" i="11"/>
  <c r="AC298" i="11"/>
  <c r="AS295" i="11"/>
  <c r="AA295" i="11"/>
  <c r="AM295" i="11"/>
  <c r="D295" i="11"/>
  <c r="J295" i="11"/>
  <c r="C295" i="11"/>
  <c r="AJ295" i="11"/>
  <c r="N295" i="11"/>
  <c r="AH295" i="11"/>
  <c r="AE295" i="11"/>
  <c r="AQ295" i="11"/>
  <c r="X295" i="11"/>
  <c r="K295" i="11"/>
  <c r="AI295" i="11"/>
  <c r="AD295" i="11"/>
  <c r="W295" i="11"/>
  <c r="R295" i="11"/>
  <c r="F295" i="11"/>
  <c r="Z295" i="11"/>
  <c r="O295" i="11"/>
  <c r="AK295" i="11"/>
  <c r="AF295" i="11"/>
  <c r="Y295" i="11"/>
  <c r="AC295" i="11"/>
  <c r="G295" i="11"/>
  <c r="M295" i="11"/>
  <c r="L295" i="11"/>
  <c r="T295" i="11"/>
  <c r="P295" i="11"/>
  <c r="AL295" i="11"/>
  <c r="AT295" i="11"/>
  <c r="AB295" i="11"/>
  <c r="S295" i="11"/>
  <c r="Q295" i="11"/>
  <c r="E295" i="11"/>
  <c r="U295" i="11"/>
  <c r="I295" i="11"/>
  <c r="AN295" i="11"/>
  <c r="AG295" i="11"/>
  <c r="AR295" i="11"/>
  <c r="AP295" i="11"/>
  <c r="AO295" i="11"/>
  <c r="V295" i="11"/>
  <c r="H295" i="11"/>
  <c r="C166" i="8"/>
  <c r="J303" i="11"/>
  <c r="G303" i="11"/>
  <c r="I303" i="11"/>
  <c r="S303" i="11"/>
  <c r="AR303" i="11"/>
  <c r="X303" i="11"/>
  <c r="AH303" i="11"/>
  <c r="N303" i="11"/>
  <c r="AD303" i="11"/>
  <c r="M303" i="11"/>
  <c r="V303" i="11"/>
  <c r="L303" i="11"/>
  <c r="AS303" i="11"/>
  <c r="J282" i="11"/>
  <c r="W282" i="11"/>
  <c r="L282" i="11"/>
  <c r="AM282" i="11"/>
  <c r="V282" i="11"/>
  <c r="O282" i="11"/>
  <c r="Q282" i="11"/>
  <c r="AH282" i="11"/>
  <c r="E282" i="11"/>
  <c r="AA282" i="11"/>
  <c r="T284" i="11"/>
  <c r="AS284" i="11"/>
  <c r="W284" i="11"/>
  <c r="AG284" i="11"/>
  <c r="AL284" i="11"/>
  <c r="AD284" i="11"/>
  <c r="Z284" i="11"/>
  <c r="V284" i="11"/>
  <c r="AP284" i="11"/>
  <c r="E284" i="11"/>
  <c r="AH284" i="11"/>
  <c r="J284" i="11"/>
  <c r="K284" i="11"/>
  <c r="AT284" i="11"/>
  <c r="C284" i="11"/>
  <c r="AQ284" i="11"/>
  <c r="AE284" i="11"/>
  <c r="Q284" i="11"/>
  <c r="R284" i="11"/>
  <c r="H284" i="11"/>
  <c r="X284" i="11"/>
  <c r="AM284" i="11"/>
  <c r="AA284" i="11"/>
  <c r="F284" i="11"/>
  <c r="AJ284" i="11"/>
  <c r="N284" i="11"/>
  <c r="O284" i="11"/>
  <c r="AN284" i="11"/>
  <c r="G284" i="11"/>
  <c r="AF284" i="11"/>
  <c r="AB284" i="11"/>
  <c r="L284" i="11"/>
  <c r="AI284" i="11"/>
  <c r="I284" i="11"/>
  <c r="S284" i="11"/>
  <c r="AO284" i="11"/>
  <c r="D284" i="11"/>
  <c r="U284" i="11"/>
  <c r="AC284" i="11"/>
  <c r="P284" i="11"/>
  <c r="M284" i="11"/>
  <c r="Y284" i="11"/>
  <c r="AR284" i="11"/>
  <c r="AK284" i="11"/>
  <c r="J317" i="11"/>
  <c r="AH317" i="11"/>
  <c r="AN317" i="11"/>
  <c r="U317" i="11"/>
  <c r="D317" i="11"/>
  <c r="Y317" i="11"/>
  <c r="R317" i="11"/>
  <c r="G317" i="11"/>
  <c r="Q317" i="11"/>
  <c r="AO317" i="11"/>
  <c r="AE317" i="11"/>
  <c r="I317" i="11"/>
  <c r="AG317" i="11"/>
  <c r="H317" i="11"/>
  <c r="AF317" i="11"/>
  <c r="AC317" i="11"/>
  <c r="AT317" i="11"/>
  <c r="X317" i="11"/>
  <c r="O317" i="11"/>
  <c r="AQ317" i="11"/>
  <c r="AB317" i="11"/>
  <c r="AJ317" i="11"/>
  <c r="Z317" i="11"/>
  <c r="T317" i="11"/>
  <c r="P317" i="11"/>
  <c r="AI317" i="11"/>
  <c r="AK317" i="11"/>
  <c r="W317" i="11"/>
  <c r="M317" i="11"/>
  <c r="AD317" i="11"/>
  <c r="AL317" i="11"/>
  <c r="AA317" i="11"/>
  <c r="AR317" i="11"/>
  <c r="C317" i="11"/>
  <c r="AM317" i="11"/>
  <c r="AS317" i="11"/>
  <c r="K317" i="11"/>
  <c r="V317" i="11"/>
  <c r="E317" i="11"/>
  <c r="AP317" i="11"/>
  <c r="F317" i="11"/>
  <c r="N317" i="11"/>
  <c r="S317" i="11"/>
  <c r="L317" i="11"/>
  <c r="H46" i="23"/>
  <c r="F111" i="9" s="1"/>
  <c r="C111" i="9" s="1"/>
  <c r="C101" i="8"/>
  <c r="G97" i="22"/>
  <c r="G164" i="22" s="1"/>
  <c r="G138" i="22" s="1"/>
  <c r="C108" i="8"/>
  <c r="AM303" i="11"/>
  <c r="Y303" i="11"/>
  <c r="U303" i="11"/>
  <c r="AQ303" i="11"/>
  <c r="F303" i="11"/>
  <c r="AO303" i="11"/>
  <c r="R303" i="11"/>
  <c r="Q303" i="11"/>
  <c r="K303" i="11"/>
  <c r="AC303" i="11"/>
  <c r="AF303" i="11"/>
  <c r="D303" i="11"/>
  <c r="F282" i="11"/>
  <c r="P282" i="11"/>
  <c r="AQ282" i="11"/>
  <c r="AJ282" i="11"/>
  <c r="D282" i="11"/>
  <c r="AN282" i="11"/>
  <c r="U282" i="11"/>
  <c r="R282" i="11"/>
  <c r="AB282" i="11"/>
  <c r="AL282" i="11"/>
  <c r="AD282" i="11"/>
  <c r="N282" i="11"/>
  <c r="J18" i="10"/>
  <c r="AU321" i="11"/>
  <c r="AU293" i="11"/>
  <c r="AU300" i="11"/>
  <c r="H136" i="8"/>
  <c r="R335" i="11"/>
  <c r="K335" i="11"/>
  <c r="AR335" i="11"/>
  <c r="X335" i="11"/>
  <c r="Z335" i="11"/>
  <c r="G335" i="11"/>
  <c r="P335" i="11"/>
  <c r="M335" i="11"/>
  <c r="AD335" i="11"/>
  <c r="Y335" i="11"/>
  <c r="S335" i="11"/>
  <c r="AN335" i="11"/>
  <c r="AT335" i="11"/>
  <c r="I335" i="11"/>
  <c r="AL335" i="11"/>
  <c r="AB335" i="11"/>
  <c r="L335" i="11"/>
  <c r="F335" i="11"/>
  <c r="AK335" i="11"/>
  <c r="N335" i="11"/>
  <c r="T335" i="11"/>
  <c r="AI335" i="11"/>
  <c r="C335" i="11"/>
  <c r="AG335" i="11"/>
  <c r="D335" i="11"/>
  <c r="W335" i="11"/>
  <c r="AF335" i="11"/>
  <c r="O335" i="11"/>
  <c r="AP335" i="11"/>
  <c r="AO335" i="11"/>
  <c r="AQ335" i="11"/>
  <c r="AJ335" i="11"/>
  <c r="H335" i="11"/>
  <c r="AC335" i="11"/>
  <c r="J335" i="11"/>
  <c r="AH335" i="11"/>
  <c r="Q335" i="11"/>
  <c r="AS335" i="11"/>
  <c r="AM335" i="11"/>
  <c r="V335" i="11"/>
  <c r="AE335" i="11"/>
  <c r="U335" i="11"/>
  <c r="E335" i="11"/>
  <c r="AA335" i="11"/>
  <c r="AE296" i="11"/>
  <c r="S296" i="11"/>
  <c r="AM296" i="11"/>
  <c r="F296" i="11"/>
  <c r="H296" i="11"/>
  <c r="AT296" i="11"/>
  <c r="U296" i="11"/>
  <c r="J296" i="11"/>
  <c r="AO296" i="11"/>
  <c r="AD296" i="11"/>
  <c r="AN296" i="11"/>
  <c r="AJ296" i="11"/>
  <c r="S40" i="34"/>
  <c r="AZ40" i="34"/>
  <c r="AW40" i="34"/>
  <c r="AB40" i="34"/>
  <c r="H97" i="22"/>
  <c r="H164" i="22" s="1"/>
  <c r="H138" i="22" s="1"/>
  <c r="X40" i="34"/>
  <c r="C106" i="8"/>
  <c r="AA296" i="11"/>
  <c r="T296" i="11"/>
  <c r="I296" i="11"/>
  <c r="AK296" i="11"/>
  <c r="C296" i="11"/>
  <c r="AP296" i="11"/>
  <c r="R296" i="11"/>
  <c r="AH296" i="11"/>
  <c r="AG296" i="11"/>
  <c r="Z296" i="11"/>
  <c r="AO18" i="10"/>
  <c r="J18" i="31" s="1"/>
  <c r="AD40" i="34"/>
  <c r="U40" i="34"/>
  <c r="T40" i="34"/>
  <c r="G40" i="34"/>
  <c r="AL40" i="34"/>
  <c r="F40" i="34"/>
  <c r="BB40" i="34"/>
  <c r="H130" i="22"/>
  <c r="C104" i="8"/>
  <c r="DH26" i="29"/>
  <c r="DG26" i="29" s="1"/>
  <c r="DG29" i="29" s="1"/>
  <c r="DG30" i="29" s="1"/>
  <c r="AY40" i="34"/>
  <c r="AE40" i="34"/>
  <c r="Z40" i="34"/>
  <c r="M40" i="34"/>
  <c r="AV40" i="34"/>
  <c r="AJ40" i="34"/>
  <c r="C173" i="8"/>
  <c r="AR40" i="34"/>
  <c r="AP40" i="34"/>
  <c r="AG40" i="34"/>
  <c r="V40" i="34"/>
  <c r="AS40" i="34"/>
  <c r="L40" i="34"/>
  <c r="I46" i="23"/>
  <c r="F112" i="9" s="1"/>
  <c r="C112" i="9" s="1"/>
  <c r="BH26" i="29"/>
  <c r="BG26" i="29" s="1"/>
  <c r="BG29" i="29" s="1"/>
  <c r="BG30" i="29" s="1"/>
  <c r="C165" i="8"/>
  <c r="C105" i="8"/>
  <c r="AH26" i="29"/>
  <c r="AG26" i="29" s="1"/>
  <c r="AG29" i="29" s="1"/>
  <c r="AG30" i="29" s="1"/>
  <c r="L296" i="11"/>
  <c r="O296" i="11"/>
  <c r="Q296" i="11"/>
  <c r="V296" i="11"/>
  <c r="AF296" i="11"/>
  <c r="X296" i="11"/>
  <c r="D296" i="11"/>
  <c r="M296" i="11"/>
  <c r="G296" i="11"/>
  <c r="P296" i="11"/>
  <c r="D16" i="21"/>
  <c r="D17" i="21" s="1"/>
  <c r="D18" i="21" s="1"/>
  <c r="D21" i="21"/>
  <c r="P15" i="10" s="1"/>
  <c r="AX16" i="34"/>
  <c r="AX19" i="34" s="1"/>
  <c r="BE59" i="34"/>
  <c r="BE40" i="34" s="1"/>
  <c r="BF52" i="34"/>
  <c r="AW29" i="34"/>
  <c r="AW30" i="34" s="1"/>
  <c r="AY35" i="34"/>
  <c r="AY15" i="34"/>
  <c r="AY13" i="34"/>
  <c r="AX49" i="34"/>
  <c r="AZ6" i="34"/>
  <c r="BA7" i="34"/>
  <c r="AZ14" i="34"/>
  <c r="AZ24" i="34" s="1"/>
  <c r="BA60" i="34"/>
  <c r="BA58" i="34" s="1"/>
  <c r="BA20" i="34" s="1"/>
  <c r="BB55" i="34"/>
  <c r="B220" i="11"/>
  <c r="I220" i="11" s="1"/>
  <c r="AZ15" i="10"/>
  <c r="I130" i="9" s="1"/>
  <c r="I78" i="9" s="1"/>
  <c r="AW15" i="10"/>
  <c r="AW30" i="10" s="1"/>
  <c r="AV15" i="10"/>
  <c r="AV37" i="10" s="1"/>
  <c r="AV38" i="10" s="1"/>
  <c r="AV39" i="10" s="1"/>
  <c r="AF32" i="34"/>
  <c r="AF28" i="34" s="1"/>
  <c r="R55" i="7"/>
  <c r="R57" i="7" s="1"/>
  <c r="F57" i="7" s="1"/>
  <c r="AR15" i="6" s="1"/>
  <c r="O55" i="21"/>
  <c r="D55" i="21"/>
  <c r="AX15" i="10"/>
  <c r="AX37" i="10" s="1"/>
  <c r="AX38" i="10" s="1"/>
  <c r="AX39" i="10" s="1"/>
  <c r="B230" i="11"/>
  <c r="Z230" i="11" s="1"/>
  <c r="F55" i="21"/>
  <c r="M111" i="21"/>
  <c r="B257" i="11" s="1"/>
  <c r="Q257" i="11" s="1"/>
  <c r="F61" i="22"/>
  <c r="F126" i="22" s="1"/>
  <c r="B217" i="11"/>
  <c r="AS217" i="11" s="1"/>
  <c r="F66" i="22"/>
  <c r="F131" i="22" s="1"/>
  <c r="J55" i="21"/>
  <c r="F69" i="22"/>
  <c r="F134" i="22" s="1"/>
  <c r="I111" i="21"/>
  <c r="B253" i="11" s="1"/>
  <c r="AS253" i="11" s="1"/>
  <c r="H111" i="21"/>
  <c r="I63" i="22" s="1"/>
  <c r="I128" i="22" s="1"/>
  <c r="F111" i="21"/>
  <c r="CE15" i="10" s="1"/>
  <c r="CE37" i="10" s="1"/>
  <c r="B211" i="11"/>
  <c r="E211" i="11" s="1"/>
  <c r="F67" i="22"/>
  <c r="F132" i="22" s="1"/>
  <c r="B216" i="11"/>
  <c r="Q216" i="11" s="1"/>
  <c r="F65" i="22"/>
  <c r="F130" i="22" s="1"/>
  <c r="B219" i="11"/>
  <c r="AN219" i="11" s="1"/>
  <c r="O111" i="21"/>
  <c r="B259" i="11" s="1"/>
  <c r="AT259" i="11" s="1"/>
  <c r="G111" i="21"/>
  <c r="I62" i="22" s="1"/>
  <c r="I127" i="22" s="1"/>
  <c r="L111" i="21"/>
  <c r="B256" i="11" s="1"/>
  <c r="AG256" i="11" s="1"/>
  <c r="D111" i="21"/>
  <c r="CC15" i="10" s="1"/>
  <c r="CC37" i="10" s="1"/>
  <c r="K111" i="21"/>
  <c r="I66" i="22" s="1"/>
  <c r="I131" i="22" s="1"/>
  <c r="N111" i="21"/>
  <c r="I69" i="22" s="1"/>
  <c r="I134" i="22" s="1"/>
  <c r="J111" i="21"/>
  <c r="E111" i="21"/>
  <c r="I60" i="22" s="1"/>
  <c r="I125" i="22" s="1"/>
  <c r="F64" i="22"/>
  <c r="F129" i="22" s="1"/>
  <c r="E55" i="21"/>
  <c r="F70" i="22"/>
  <c r="F135" i="22" s="1"/>
  <c r="B213" i="11"/>
  <c r="R213" i="11" s="1"/>
  <c r="F63" i="22"/>
  <c r="F128" i="22" s="1"/>
  <c r="B224" i="11"/>
  <c r="Y224" i="11" s="1"/>
  <c r="H63" i="22"/>
  <c r="H128" i="22" s="1"/>
  <c r="G62" i="22"/>
  <c r="G127" i="22" s="1"/>
  <c r="H67" i="22"/>
  <c r="H132" i="22" s="1"/>
  <c r="AU15" i="10"/>
  <c r="I125" i="9" s="1"/>
  <c r="I73" i="9" s="1"/>
  <c r="F60" i="22"/>
  <c r="F125" i="22" s="1"/>
  <c r="I55" i="21"/>
  <c r="H55" i="21"/>
  <c r="B210" i="11"/>
  <c r="M210" i="11" s="1"/>
  <c r="BS15" i="10"/>
  <c r="BS30" i="10" s="1"/>
  <c r="R37" i="7"/>
  <c r="R39" i="7" s="1"/>
  <c r="O39" i="7" s="1"/>
  <c r="BD15" i="10"/>
  <c r="BD30" i="10" s="1"/>
  <c r="BW15" i="10"/>
  <c r="BW37" i="10" s="1"/>
  <c r="BW38" i="10" s="1"/>
  <c r="BW39" i="10" s="1"/>
  <c r="BV15" i="10"/>
  <c r="K126" i="9" s="1"/>
  <c r="K74" i="9" s="1"/>
  <c r="B233" i="11"/>
  <c r="AD233" i="11" s="1"/>
  <c r="H62" i="22"/>
  <c r="H127" i="22" s="1"/>
  <c r="C57" i="21"/>
  <c r="AO22" i="10" s="1"/>
  <c r="K91" i="21"/>
  <c r="O73" i="21"/>
  <c r="H69" i="22"/>
  <c r="H134" i="22" s="1"/>
  <c r="BU15" i="10"/>
  <c r="BU30" i="10" s="1"/>
  <c r="L91" i="21"/>
  <c r="M55" i="21"/>
  <c r="F59" i="22"/>
  <c r="F124" i="22" s="1"/>
  <c r="N73" i="21"/>
  <c r="BX15" i="10"/>
  <c r="K128" i="9" s="1"/>
  <c r="K76" i="9" s="1"/>
  <c r="AP15" i="10"/>
  <c r="AP30" i="10" s="1"/>
  <c r="B241" i="11"/>
  <c r="AF241" i="11" s="1"/>
  <c r="I91" i="21"/>
  <c r="BG15" i="10"/>
  <c r="BG30" i="10" s="1"/>
  <c r="B226" i="11"/>
  <c r="G226" i="11" s="1"/>
  <c r="H73" i="21"/>
  <c r="J91" i="21"/>
  <c r="G70" i="22"/>
  <c r="G135" i="22" s="1"/>
  <c r="B238" i="11"/>
  <c r="AI238" i="11" s="1"/>
  <c r="CA15" i="10"/>
  <c r="CA30" i="10" s="1"/>
  <c r="B240" i="11"/>
  <c r="C240" i="11" s="1"/>
  <c r="H66" i="22"/>
  <c r="H131" i="22" s="1"/>
  <c r="B237" i="11"/>
  <c r="AR237" i="11" s="1"/>
  <c r="R109" i="7"/>
  <c r="R111" i="7" s="1"/>
  <c r="BQ15" i="10"/>
  <c r="BQ37" i="10" s="1"/>
  <c r="BQ38" i="10" s="1"/>
  <c r="BQ39" i="10" s="1"/>
  <c r="BI15" i="10"/>
  <c r="J126" i="9" s="1"/>
  <c r="J74" i="9" s="1"/>
  <c r="D91" i="21"/>
  <c r="O93" i="7"/>
  <c r="H70" i="8" s="1"/>
  <c r="H135" i="8" s="1"/>
  <c r="H200" i="8" s="1"/>
  <c r="M73" i="21"/>
  <c r="N91" i="21"/>
  <c r="B245" i="11"/>
  <c r="AE245" i="11" s="1"/>
  <c r="BC15" i="10"/>
  <c r="BC30" i="10" s="1"/>
  <c r="G66" i="22"/>
  <c r="G131" i="22" s="1"/>
  <c r="G61" i="22"/>
  <c r="G126" i="22" s="1"/>
  <c r="H59" i="22"/>
  <c r="H124" i="22" s="1"/>
  <c r="H93" i="7"/>
  <c r="BT15" i="6" s="1"/>
  <c r="BR15" i="10"/>
  <c r="DN36" i="29" s="1"/>
  <c r="B246" i="11"/>
  <c r="AM246" i="11" s="1"/>
  <c r="B225" i="11"/>
  <c r="AE225" i="11" s="1"/>
  <c r="G65" i="22"/>
  <c r="G130" i="22" s="1"/>
  <c r="F93" i="7"/>
  <c r="BR15" i="6" s="1"/>
  <c r="H61" i="22"/>
  <c r="H126" i="22" s="1"/>
  <c r="O91" i="21"/>
  <c r="G73" i="21"/>
  <c r="B228" i="11"/>
  <c r="N228" i="11" s="1"/>
  <c r="F73" i="21"/>
  <c r="B235" i="11"/>
  <c r="H235" i="11" s="1"/>
  <c r="G60" i="22"/>
  <c r="G125" i="22" s="1"/>
  <c r="E91" i="21"/>
  <c r="L73" i="21"/>
  <c r="H91" i="21"/>
  <c r="B232" i="11"/>
  <c r="G232" i="11" s="1"/>
  <c r="E73" i="21"/>
  <c r="H60" i="22"/>
  <c r="H125" i="22" s="1"/>
  <c r="BK15" i="10"/>
  <c r="BK30" i="10" s="1"/>
  <c r="BT15" i="10"/>
  <c r="BT37" i="10" s="1"/>
  <c r="BT38" i="10" s="1"/>
  <c r="BT39" i="10" s="1"/>
  <c r="G69" i="22"/>
  <c r="G134" i="22" s="1"/>
  <c r="C93" i="21"/>
  <c r="H58" i="22" s="1"/>
  <c r="D73" i="21"/>
  <c r="K73" i="21"/>
  <c r="C75" i="21"/>
  <c r="C132" i="21" s="1"/>
  <c r="G59" i="22"/>
  <c r="G124" i="22" s="1"/>
  <c r="B229" i="11"/>
  <c r="AF229" i="11" s="1"/>
  <c r="D197" i="8"/>
  <c r="Q19" i="7"/>
  <c r="Q21" i="7" s="1"/>
  <c r="N21" i="7" s="1"/>
  <c r="L93" i="7"/>
  <c r="H67" i="8" s="1"/>
  <c r="H132" i="8" s="1"/>
  <c r="H197" i="8" s="1"/>
  <c r="N93" i="7"/>
  <c r="H69" i="8" s="1"/>
  <c r="H134" i="8" s="1"/>
  <c r="H199" i="8" s="1"/>
  <c r="D93" i="7"/>
  <c r="H59" i="8" s="1"/>
  <c r="H124" i="8" s="1"/>
  <c r="H189" i="8" s="1"/>
  <c r="M93" i="7"/>
  <c r="J93" i="7"/>
  <c r="BV15" i="6" s="1"/>
  <c r="E93" i="7"/>
  <c r="BQ15" i="6" s="1"/>
  <c r="G93" i="7"/>
  <c r="H62" i="8" s="1"/>
  <c r="H127" i="8" s="1"/>
  <c r="H192" i="8" s="1"/>
  <c r="K93" i="7"/>
  <c r="BW15" i="6" s="1"/>
  <c r="AQ242" i="11"/>
  <c r="O242" i="11"/>
  <c r="G242" i="11"/>
  <c r="Z242" i="11"/>
  <c r="AB242" i="11"/>
  <c r="AP242" i="11"/>
  <c r="C242" i="11"/>
  <c r="AO242" i="11"/>
  <c r="D242" i="11"/>
  <c r="M242" i="11"/>
  <c r="AG242" i="11"/>
  <c r="AK242" i="11"/>
  <c r="AS242" i="11"/>
  <c r="H242" i="11"/>
  <c r="N242" i="11"/>
  <c r="Y242" i="11"/>
  <c r="AI242" i="11"/>
  <c r="AM242" i="11"/>
  <c r="AC242" i="11"/>
  <c r="E242" i="11"/>
  <c r="I242" i="11"/>
  <c r="AN242" i="11"/>
  <c r="AD242" i="11"/>
  <c r="AT242" i="11"/>
  <c r="AR242" i="11"/>
  <c r="AL242" i="11"/>
  <c r="T242" i="11"/>
  <c r="S242" i="11"/>
  <c r="R242" i="11"/>
  <c r="X242" i="11"/>
  <c r="U242" i="11"/>
  <c r="K242" i="11"/>
  <c r="F242" i="11"/>
  <c r="L242" i="11"/>
  <c r="V242" i="11"/>
  <c r="AA242" i="11"/>
  <c r="P242" i="11"/>
  <c r="Q242" i="11"/>
  <c r="J242" i="11"/>
  <c r="AF242" i="11"/>
  <c r="AH242" i="11"/>
  <c r="AE242" i="11"/>
  <c r="W242" i="11"/>
  <c r="AJ242" i="11"/>
  <c r="L75" i="7"/>
  <c r="K75" i="7"/>
  <c r="E75" i="7"/>
  <c r="F75" i="7"/>
  <c r="O75" i="7"/>
  <c r="G75" i="7"/>
  <c r="I75" i="7"/>
  <c r="D75" i="7"/>
  <c r="N75" i="7"/>
  <c r="H75" i="7"/>
  <c r="M75" i="7"/>
  <c r="J75" i="7"/>
  <c r="J131" i="9"/>
  <c r="BN37" i="10"/>
  <c r="BN38" i="10" s="1"/>
  <c r="BN39" i="10" s="1"/>
  <c r="BN30" i="10"/>
  <c r="DF36" i="29"/>
  <c r="K37" i="21"/>
  <c r="E66" i="22"/>
  <c r="AJ15" i="10"/>
  <c r="B203" i="11"/>
  <c r="B196" i="11"/>
  <c r="AC15" i="10"/>
  <c r="D37" i="21"/>
  <c r="E59" i="22"/>
  <c r="E124" i="22" s="1"/>
  <c r="C39" i="21"/>
  <c r="C227" i="11"/>
  <c r="AG227" i="11"/>
  <c r="Y227" i="11"/>
  <c r="X227" i="11"/>
  <c r="U227" i="11"/>
  <c r="AS227" i="11"/>
  <c r="AD227" i="11"/>
  <c r="F227" i="11"/>
  <c r="H227" i="11"/>
  <c r="AF227" i="11"/>
  <c r="AB227" i="11"/>
  <c r="O227" i="11"/>
  <c r="W227" i="11"/>
  <c r="AL227" i="11"/>
  <c r="N227" i="11"/>
  <c r="AT227" i="11"/>
  <c r="L227" i="11"/>
  <c r="AP227" i="11"/>
  <c r="AH227" i="11"/>
  <c r="T227" i="11"/>
  <c r="AE227" i="11"/>
  <c r="AC227" i="11"/>
  <c r="R227" i="11"/>
  <c r="E227" i="11"/>
  <c r="AN227" i="11"/>
  <c r="P227" i="11"/>
  <c r="Q227" i="11"/>
  <c r="AA227" i="11"/>
  <c r="V227" i="11"/>
  <c r="J227" i="11"/>
  <c r="G227" i="11"/>
  <c r="M227" i="11"/>
  <c r="AO227" i="11"/>
  <c r="D227" i="11"/>
  <c r="AJ227" i="11"/>
  <c r="I227" i="11"/>
  <c r="AQ227" i="11"/>
  <c r="Z227" i="11"/>
  <c r="AR227" i="11"/>
  <c r="K227" i="11"/>
  <c r="AM227" i="11"/>
  <c r="AK227" i="11"/>
  <c r="AI227" i="11"/>
  <c r="S227" i="11"/>
  <c r="H218" i="11"/>
  <c r="AD218" i="11"/>
  <c r="AC218" i="11"/>
  <c r="L218" i="11"/>
  <c r="O218" i="11"/>
  <c r="AG218" i="11"/>
  <c r="C218" i="11"/>
  <c r="AT218" i="11"/>
  <c r="Q218" i="11"/>
  <c r="AQ218" i="11"/>
  <c r="AE218" i="11"/>
  <c r="I218" i="11"/>
  <c r="Z218" i="11"/>
  <c r="AI218" i="11"/>
  <c r="AN218" i="11"/>
  <c r="K218" i="11"/>
  <c r="AA218" i="11"/>
  <c r="E218" i="11"/>
  <c r="Y218" i="11"/>
  <c r="AM218" i="11"/>
  <c r="F218" i="11"/>
  <c r="N218" i="11"/>
  <c r="AB218" i="11"/>
  <c r="D218" i="11"/>
  <c r="U218" i="11"/>
  <c r="AH218" i="11"/>
  <c r="AL218" i="11"/>
  <c r="X218" i="11"/>
  <c r="G218" i="11"/>
  <c r="T218" i="11"/>
  <c r="V218" i="11"/>
  <c r="W218" i="11"/>
  <c r="AK218" i="11"/>
  <c r="S218" i="11"/>
  <c r="R218" i="11"/>
  <c r="J218" i="11"/>
  <c r="AP218" i="11"/>
  <c r="M218" i="11"/>
  <c r="P218" i="11"/>
  <c r="AF218" i="11"/>
  <c r="AS218" i="11"/>
  <c r="AO218" i="11"/>
  <c r="AJ218" i="11"/>
  <c r="AR218" i="11"/>
  <c r="AQ209" i="11"/>
  <c r="H209" i="11"/>
  <c r="AB209" i="11"/>
  <c r="Y209" i="11"/>
  <c r="S209" i="11"/>
  <c r="AP209" i="11"/>
  <c r="AJ209" i="11"/>
  <c r="D209" i="11"/>
  <c r="K209" i="11"/>
  <c r="L209" i="11"/>
  <c r="AL209" i="11"/>
  <c r="E209" i="11"/>
  <c r="N209" i="11"/>
  <c r="AC209" i="11"/>
  <c r="R209" i="11"/>
  <c r="T209" i="11"/>
  <c r="W209" i="11"/>
  <c r="AE209" i="11"/>
  <c r="AI209" i="11"/>
  <c r="AK209" i="11"/>
  <c r="AN209" i="11"/>
  <c r="C209" i="11"/>
  <c r="O209" i="11"/>
  <c r="AT209" i="11"/>
  <c r="Q209" i="11"/>
  <c r="F209" i="11"/>
  <c r="V209" i="11"/>
  <c r="AA209" i="11"/>
  <c r="J209" i="11"/>
  <c r="AO209" i="11"/>
  <c r="AG209" i="11"/>
  <c r="AF209" i="11"/>
  <c r="AD209" i="11"/>
  <c r="G209" i="11"/>
  <c r="AS209" i="11"/>
  <c r="Z209" i="11"/>
  <c r="AR209" i="11"/>
  <c r="AH209" i="11"/>
  <c r="M209" i="11"/>
  <c r="AM209" i="11"/>
  <c r="I209" i="11"/>
  <c r="U209" i="11"/>
  <c r="X209" i="11"/>
  <c r="P209" i="11"/>
  <c r="CN36" i="29"/>
  <c r="J122" i="9"/>
  <c r="J70" i="9" s="1"/>
  <c r="BE30" i="10"/>
  <c r="BE37" i="10"/>
  <c r="BE38" i="10" s="1"/>
  <c r="BE39" i="10" s="1"/>
  <c r="BZ30" i="10"/>
  <c r="BZ37" i="10"/>
  <c r="BZ38" i="10" s="1"/>
  <c r="BZ39" i="10" s="1"/>
  <c r="ED36" i="29"/>
  <c r="K130" i="9"/>
  <c r="K78" i="9" s="1"/>
  <c r="AN15" i="10"/>
  <c r="O37" i="21"/>
  <c r="B207" i="11"/>
  <c r="E70" i="22"/>
  <c r="B197" i="11"/>
  <c r="E37" i="21"/>
  <c r="E60" i="22"/>
  <c r="E125" i="22" s="1"/>
  <c r="AD15" i="10"/>
  <c r="B202" i="11"/>
  <c r="E65" i="22"/>
  <c r="J37" i="21"/>
  <c r="AI15" i="10"/>
  <c r="Q19" i="21"/>
  <c r="E21" i="21"/>
  <c r="N21" i="21"/>
  <c r="AT37" i="10"/>
  <c r="AT38" i="10" s="1"/>
  <c r="AT39" i="10" s="1"/>
  <c r="I124" i="9"/>
  <c r="I72" i="9" s="1"/>
  <c r="AT30" i="10"/>
  <c r="BH37" i="10"/>
  <c r="BH38" i="10" s="1"/>
  <c r="BH39" i="10" s="1"/>
  <c r="J125" i="9"/>
  <c r="J73" i="9" s="1"/>
  <c r="BH30" i="10"/>
  <c r="R212" i="11"/>
  <c r="AN212" i="11"/>
  <c r="O212" i="11"/>
  <c r="Y212" i="11"/>
  <c r="W212" i="11"/>
  <c r="AM212" i="11"/>
  <c r="Q212" i="11"/>
  <c r="K212" i="11"/>
  <c r="L212" i="11"/>
  <c r="S212" i="11"/>
  <c r="V212" i="11"/>
  <c r="AC212" i="11"/>
  <c r="AE212" i="11"/>
  <c r="E212" i="11"/>
  <c r="AO212" i="11"/>
  <c r="AK212" i="11"/>
  <c r="AD212" i="11"/>
  <c r="AP212" i="11"/>
  <c r="G212" i="11"/>
  <c r="AS212" i="11"/>
  <c r="D212" i="11"/>
  <c r="F212" i="11"/>
  <c r="C212" i="11"/>
  <c r="N212" i="11"/>
  <c r="AI212" i="11"/>
  <c r="AA212" i="11"/>
  <c r="I212" i="11"/>
  <c r="M212" i="11"/>
  <c r="AB212" i="11"/>
  <c r="AJ212" i="11"/>
  <c r="U212" i="11"/>
  <c r="AH212" i="11"/>
  <c r="Z212" i="11"/>
  <c r="AL212" i="11"/>
  <c r="AF212" i="11"/>
  <c r="H212" i="11"/>
  <c r="AT212" i="11"/>
  <c r="T212" i="11"/>
  <c r="AG212" i="11"/>
  <c r="AR212" i="11"/>
  <c r="J212" i="11"/>
  <c r="P212" i="11"/>
  <c r="AQ212" i="11"/>
  <c r="X212" i="11"/>
  <c r="BM30" i="10"/>
  <c r="J130" i="9"/>
  <c r="J78" i="9" s="1"/>
  <c r="DD36" i="29"/>
  <c r="BM37" i="10"/>
  <c r="BM38" i="10" s="1"/>
  <c r="BM39" i="10" s="1"/>
  <c r="H244" i="11"/>
  <c r="AG244" i="11"/>
  <c r="L244" i="11"/>
  <c r="AP244" i="11"/>
  <c r="AN244" i="11"/>
  <c r="AK244" i="11"/>
  <c r="J244" i="11"/>
  <c r="D244" i="11"/>
  <c r="Z244" i="11"/>
  <c r="AQ244" i="11"/>
  <c r="AE244" i="11"/>
  <c r="V244" i="11"/>
  <c r="AB244" i="11"/>
  <c r="R244" i="11"/>
  <c r="AM244" i="11"/>
  <c r="AD244" i="11"/>
  <c r="AA244" i="11"/>
  <c r="Y244" i="11"/>
  <c r="M244" i="11"/>
  <c r="AL244" i="11"/>
  <c r="AR244" i="11"/>
  <c r="C244" i="11"/>
  <c r="T244" i="11"/>
  <c r="K244" i="11"/>
  <c r="AF244" i="11"/>
  <c r="AS244" i="11"/>
  <c r="AH244" i="11"/>
  <c r="P244" i="11"/>
  <c r="F244" i="11"/>
  <c r="AO244" i="11"/>
  <c r="AC244" i="11"/>
  <c r="X244" i="11"/>
  <c r="S244" i="11"/>
  <c r="AJ244" i="11"/>
  <c r="AT244" i="11"/>
  <c r="N244" i="11"/>
  <c r="AI244" i="11"/>
  <c r="O244" i="11"/>
  <c r="G244" i="11"/>
  <c r="E244" i="11"/>
  <c r="W244" i="11"/>
  <c r="I244" i="11"/>
  <c r="U244" i="11"/>
  <c r="Q244" i="11"/>
  <c r="C19" i="7"/>
  <c r="D200" i="8"/>
  <c r="AE15" i="10"/>
  <c r="F37" i="21"/>
  <c r="E61" i="22"/>
  <c r="B198" i="11"/>
  <c r="AQ30" i="10"/>
  <c r="AQ37" i="10"/>
  <c r="AQ38" i="10" s="1"/>
  <c r="AQ39" i="10" s="1"/>
  <c r="BL36" i="29"/>
  <c r="I121" i="9"/>
  <c r="I69" i="9" s="1"/>
  <c r="AR30" i="10"/>
  <c r="BN36" i="29"/>
  <c r="AR37" i="10"/>
  <c r="AR38" i="10" s="1"/>
  <c r="AR39" i="10" s="1"/>
  <c r="I122" i="9"/>
  <c r="I70" i="9" s="1"/>
  <c r="DJ36" i="29"/>
  <c r="BP37" i="10"/>
  <c r="BP38" i="10" s="1"/>
  <c r="BP39" i="10" s="1"/>
  <c r="K120" i="9"/>
  <c r="K68" i="9" s="1"/>
  <c r="BP30" i="10"/>
  <c r="CF36" i="29"/>
  <c r="BA37" i="10"/>
  <c r="BA38" i="10" s="1"/>
  <c r="BA39" i="10" s="1"/>
  <c r="BA30" i="10"/>
  <c r="I131" i="9"/>
  <c r="B206" i="11"/>
  <c r="N37" i="21"/>
  <c r="AM15" i="10"/>
  <c r="E69" i="22"/>
  <c r="E134" i="22" s="1"/>
  <c r="B199" i="11"/>
  <c r="E62" i="22"/>
  <c r="G37" i="21"/>
  <c r="AF15" i="10"/>
  <c r="B205" i="11"/>
  <c r="M37" i="21"/>
  <c r="J123" i="9"/>
  <c r="J71" i="9" s="1"/>
  <c r="BF37" i="10"/>
  <c r="BF38" i="10" s="1"/>
  <c r="BF39" i="10" s="1"/>
  <c r="BF30" i="10"/>
  <c r="P19" i="7"/>
  <c r="P21" i="7" s="1"/>
  <c r="D21" i="7" s="1"/>
  <c r="S15" i="7"/>
  <c r="AR243" i="11"/>
  <c r="S243" i="11"/>
  <c r="E243" i="11"/>
  <c r="AP243" i="11"/>
  <c r="P243" i="11"/>
  <c r="N243" i="11"/>
  <c r="AA243" i="11"/>
  <c r="X243" i="11"/>
  <c r="F243" i="11"/>
  <c r="G243" i="11"/>
  <c r="O243" i="11"/>
  <c r="Q243" i="11"/>
  <c r="AI243" i="11"/>
  <c r="R243" i="11"/>
  <c r="AM243" i="11"/>
  <c r="AJ243" i="11"/>
  <c r="AL243" i="11"/>
  <c r="D243" i="11"/>
  <c r="Y243" i="11"/>
  <c r="Z243" i="11"/>
  <c r="I243" i="11"/>
  <c r="AN243" i="11"/>
  <c r="L243" i="11"/>
  <c r="U243" i="11"/>
  <c r="K243" i="11"/>
  <c r="J243" i="11"/>
  <c r="V243" i="11"/>
  <c r="AB243" i="11"/>
  <c r="AT243" i="11"/>
  <c r="AE243" i="11"/>
  <c r="AD243" i="11"/>
  <c r="T243" i="11"/>
  <c r="AH243" i="11"/>
  <c r="AF243" i="11"/>
  <c r="AO243" i="11"/>
  <c r="C243" i="11"/>
  <c r="AC243" i="11"/>
  <c r="AS243" i="11"/>
  <c r="AG243" i="11"/>
  <c r="M243" i="11"/>
  <c r="W243" i="11"/>
  <c r="AQ243" i="11"/>
  <c r="AK243" i="11"/>
  <c r="H243" i="11"/>
  <c r="AS37" i="10"/>
  <c r="AS38" i="10" s="1"/>
  <c r="AS39" i="10" s="1"/>
  <c r="AS30" i="10"/>
  <c r="I123" i="9"/>
  <c r="I71" i="9" s="1"/>
  <c r="H64" i="8"/>
  <c r="H129" i="8" s="1"/>
  <c r="H194" i="8" s="1"/>
  <c r="BU15" i="6"/>
  <c r="AH15" i="10"/>
  <c r="E64" i="22"/>
  <c r="I37" i="21"/>
  <c r="B201" i="11"/>
  <c r="H223" i="11"/>
  <c r="AH223" i="11"/>
  <c r="M223" i="11"/>
  <c r="AE223" i="11"/>
  <c r="AK223" i="11"/>
  <c r="G223" i="11"/>
  <c r="W223" i="11"/>
  <c r="Y223" i="11"/>
  <c r="AP223" i="11"/>
  <c r="T223" i="11"/>
  <c r="U223" i="11"/>
  <c r="R223" i="11"/>
  <c r="X223" i="11"/>
  <c r="N223" i="11"/>
  <c r="AG223" i="11"/>
  <c r="Z223" i="11"/>
  <c r="AM223" i="11"/>
  <c r="AD223" i="11"/>
  <c r="J223" i="11"/>
  <c r="C223" i="11"/>
  <c r="AN223" i="11"/>
  <c r="AL223" i="11"/>
  <c r="P223" i="11"/>
  <c r="AT223" i="11"/>
  <c r="AB223" i="11"/>
  <c r="AR223" i="11"/>
  <c r="AA223" i="11"/>
  <c r="AS223" i="11"/>
  <c r="Q223" i="11"/>
  <c r="F223" i="11"/>
  <c r="I223" i="11"/>
  <c r="S223" i="11"/>
  <c r="K223" i="11"/>
  <c r="AQ223" i="11"/>
  <c r="AO223" i="11"/>
  <c r="AI223" i="11"/>
  <c r="D223" i="11"/>
  <c r="L223" i="11"/>
  <c r="V223" i="11"/>
  <c r="AF223" i="11"/>
  <c r="AJ223" i="11"/>
  <c r="AC223" i="11"/>
  <c r="O223" i="11"/>
  <c r="E223" i="11"/>
  <c r="Y236" i="11"/>
  <c r="J236" i="11"/>
  <c r="AQ236" i="11"/>
  <c r="AH236" i="11"/>
  <c r="X236" i="11"/>
  <c r="AR236" i="11"/>
  <c r="S236" i="11"/>
  <c r="I236" i="11"/>
  <c r="P236" i="11"/>
  <c r="G236" i="11"/>
  <c r="L236" i="11"/>
  <c r="T236" i="11"/>
  <c r="AJ236" i="11"/>
  <c r="Z236" i="11"/>
  <c r="AN236" i="11"/>
  <c r="M236" i="11"/>
  <c r="AP236" i="11"/>
  <c r="AS236" i="11"/>
  <c r="V236" i="11"/>
  <c r="AF236" i="11"/>
  <c r="R236" i="11"/>
  <c r="AI236" i="11"/>
  <c r="AA236" i="11"/>
  <c r="D236" i="11"/>
  <c r="AD236" i="11"/>
  <c r="AK236" i="11"/>
  <c r="C236" i="11"/>
  <c r="E236" i="11"/>
  <c r="AB236" i="11"/>
  <c r="U236" i="11"/>
  <c r="AG236" i="11"/>
  <c r="H236" i="11"/>
  <c r="AC236" i="11"/>
  <c r="Q236" i="11"/>
  <c r="W236" i="11"/>
  <c r="AL236" i="11"/>
  <c r="AM236" i="11"/>
  <c r="AE236" i="11"/>
  <c r="AO236" i="11"/>
  <c r="AT236" i="11"/>
  <c r="O236" i="11"/>
  <c r="K236" i="11"/>
  <c r="F236" i="11"/>
  <c r="N236" i="11"/>
  <c r="H215" i="11"/>
  <c r="AC215" i="11"/>
  <c r="F215" i="11"/>
  <c r="X215" i="11"/>
  <c r="AP215" i="11"/>
  <c r="AG215" i="11"/>
  <c r="AM215" i="11"/>
  <c r="AO215" i="11"/>
  <c r="L215" i="11"/>
  <c r="AL215" i="11"/>
  <c r="Q215" i="11"/>
  <c r="AN215" i="11"/>
  <c r="AF215" i="11"/>
  <c r="K215" i="11"/>
  <c r="M215" i="11"/>
  <c r="R215" i="11"/>
  <c r="E215" i="11"/>
  <c r="AB215" i="11"/>
  <c r="T215" i="11"/>
  <c r="AE215" i="11"/>
  <c r="V215" i="11"/>
  <c r="N215" i="11"/>
  <c r="Y215" i="11"/>
  <c r="C215" i="11"/>
  <c r="AJ215" i="11"/>
  <c r="G215" i="11"/>
  <c r="J215" i="11"/>
  <c r="AT215" i="11"/>
  <c r="AI215" i="11"/>
  <c r="P215" i="11"/>
  <c r="AQ215" i="11"/>
  <c r="W215" i="11"/>
  <c r="I215" i="11"/>
  <c r="S215" i="11"/>
  <c r="AH215" i="11"/>
  <c r="AD215" i="11"/>
  <c r="U215" i="11"/>
  <c r="O215" i="11"/>
  <c r="D215" i="11"/>
  <c r="AK215" i="11"/>
  <c r="AS215" i="11"/>
  <c r="Z215" i="11"/>
  <c r="AR215" i="11"/>
  <c r="AA215" i="11"/>
  <c r="AM214" i="11"/>
  <c r="V214" i="11"/>
  <c r="AR214" i="11"/>
  <c r="AT214" i="11"/>
  <c r="E214" i="11"/>
  <c r="L214" i="11"/>
  <c r="N214" i="11"/>
  <c r="AA214" i="11"/>
  <c r="I214" i="11"/>
  <c r="U214" i="11"/>
  <c r="AO214" i="11"/>
  <c r="AF214" i="11"/>
  <c r="AL214" i="11"/>
  <c r="X214" i="11"/>
  <c r="AS214" i="11"/>
  <c r="AJ214" i="11"/>
  <c r="AK214" i="11"/>
  <c r="AD214" i="11"/>
  <c r="R214" i="11"/>
  <c r="H214" i="11"/>
  <c r="G214" i="11"/>
  <c r="Q214" i="11"/>
  <c r="Z214" i="11"/>
  <c r="AP214" i="11"/>
  <c r="AH214" i="11"/>
  <c r="C214" i="11"/>
  <c r="AI214" i="11"/>
  <c r="O214" i="11"/>
  <c r="F214" i="11"/>
  <c r="Y214" i="11"/>
  <c r="M214" i="11"/>
  <c r="D214" i="11"/>
  <c r="W214" i="11"/>
  <c r="S214" i="11"/>
  <c r="K214" i="11"/>
  <c r="AN214" i="11"/>
  <c r="P214" i="11"/>
  <c r="AQ214" i="11"/>
  <c r="AE214" i="11"/>
  <c r="AC214" i="11"/>
  <c r="J214" i="11"/>
  <c r="AB214" i="11"/>
  <c r="T214" i="11"/>
  <c r="AG214" i="11"/>
  <c r="V222" i="11"/>
  <c r="I222" i="11"/>
  <c r="Y222" i="11"/>
  <c r="AE222" i="11"/>
  <c r="AL222" i="11"/>
  <c r="W222" i="11"/>
  <c r="T222" i="11"/>
  <c r="M222" i="11"/>
  <c r="AD222" i="11"/>
  <c r="R222" i="11"/>
  <c r="AF222" i="11"/>
  <c r="E222" i="11"/>
  <c r="H222" i="11"/>
  <c r="G222" i="11"/>
  <c r="P222" i="11"/>
  <c r="AG222" i="11"/>
  <c r="J222" i="11"/>
  <c r="AP222" i="11"/>
  <c r="Q222" i="11"/>
  <c r="AI222" i="11"/>
  <c r="S222" i="11"/>
  <c r="AR222" i="11"/>
  <c r="AO222" i="11"/>
  <c r="AC222" i="11"/>
  <c r="N222" i="11"/>
  <c r="AA222" i="11"/>
  <c r="L222" i="11"/>
  <c r="AH222" i="11"/>
  <c r="AT222" i="11"/>
  <c r="AS222" i="11"/>
  <c r="C222" i="11"/>
  <c r="Z222" i="11"/>
  <c r="F222" i="11"/>
  <c r="AK222" i="11"/>
  <c r="AQ222" i="11"/>
  <c r="AN222" i="11"/>
  <c r="AB222" i="11"/>
  <c r="AJ222" i="11"/>
  <c r="AM222" i="11"/>
  <c r="U222" i="11"/>
  <c r="D222" i="11"/>
  <c r="X222" i="11"/>
  <c r="K222" i="11"/>
  <c r="O222" i="11"/>
  <c r="F239" i="11"/>
  <c r="AE239" i="11"/>
  <c r="AJ239" i="11"/>
  <c r="AR239" i="11"/>
  <c r="D239" i="11"/>
  <c r="C239" i="11"/>
  <c r="G239" i="11"/>
  <c r="AS239" i="11"/>
  <c r="W239" i="11"/>
  <c r="AA239" i="11"/>
  <c r="T239" i="11"/>
  <c r="N239" i="11"/>
  <c r="AL239" i="11"/>
  <c r="AP239" i="11"/>
  <c r="AD239" i="11"/>
  <c r="Q239" i="11"/>
  <c r="U239" i="11"/>
  <c r="X239" i="11"/>
  <c r="AK239" i="11"/>
  <c r="AO239" i="11"/>
  <c r="AN239" i="11"/>
  <c r="J239" i="11"/>
  <c r="M239" i="11"/>
  <c r="AH239" i="11"/>
  <c r="I239" i="11"/>
  <c r="Y239" i="11"/>
  <c r="P239" i="11"/>
  <c r="V239" i="11"/>
  <c r="AB239" i="11"/>
  <c r="S239" i="11"/>
  <c r="AI239" i="11"/>
  <c r="O239" i="11"/>
  <c r="R239" i="11"/>
  <c r="Z239" i="11"/>
  <c r="AC239" i="11"/>
  <c r="E239" i="11"/>
  <c r="AG239" i="11"/>
  <c r="L239" i="11"/>
  <c r="AF239" i="11"/>
  <c r="K239" i="11"/>
  <c r="AM239" i="11"/>
  <c r="H239" i="11"/>
  <c r="AQ239" i="11"/>
  <c r="AT239" i="11"/>
  <c r="AG15" i="10"/>
  <c r="H37" i="21"/>
  <c r="E63" i="22"/>
  <c r="B200" i="11"/>
  <c r="AK15" i="10"/>
  <c r="L37" i="21"/>
  <c r="B204" i="11"/>
  <c r="E67" i="22"/>
  <c r="C231" i="11"/>
  <c r="AP231" i="11"/>
  <c r="AJ231" i="11"/>
  <c r="AH231" i="11"/>
  <c r="J231" i="11"/>
  <c r="AO231" i="11"/>
  <c r="AL231" i="11"/>
  <c r="AD231" i="11"/>
  <c r="AN231" i="11"/>
  <c r="W231" i="11"/>
  <c r="V231" i="11"/>
  <c r="AS231" i="11"/>
  <c r="AM231" i="11"/>
  <c r="Y231" i="11"/>
  <c r="S231" i="11"/>
  <c r="G231" i="11"/>
  <c r="AF231" i="11"/>
  <c r="O231" i="11"/>
  <c r="E231" i="11"/>
  <c r="T231" i="11"/>
  <c r="M231" i="11"/>
  <c r="AQ231" i="11"/>
  <c r="R231" i="11"/>
  <c r="P231" i="11"/>
  <c r="D231" i="11"/>
  <c r="K231" i="11"/>
  <c r="X231" i="11"/>
  <c r="AT231" i="11"/>
  <c r="U231" i="11"/>
  <c r="AA231" i="11"/>
  <c r="Q231" i="11"/>
  <c r="I231" i="11"/>
  <c r="AR231" i="11"/>
  <c r="AE231" i="11"/>
  <c r="N231" i="11"/>
  <c r="AG231" i="11"/>
  <c r="Z231" i="11"/>
  <c r="L231" i="11"/>
  <c r="F231" i="11"/>
  <c r="AC231" i="11"/>
  <c r="H231" i="11"/>
  <c r="AI231" i="11"/>
  <c r="AB231" i="11"/>
  <c r="AK231" i="11"/>
  <c r="J127" i="9"/>
  <c r="J75" i="9" s="1"/>
  <c r="BJ37" i="10"/>
  <c r="BJ38" i="10" s="1"/>
  <c r="BJ39" i="10" s="1"/>
  <c r="BJ30" i="10"/>
  <c r="AX36" i="34" l="1"/>
  <c r="AU281" i="11"/>
  <c r="AU287" i="11"/>
  <c r="J79" i="9"/>
  <c r="AU288" i="11"/>
  <c r="AU275" i="11"/>
  <c r="I79" i="9"/>
  <c r="AE263" i="11"/>
  <c r="D136" i="8"/>
  <c r="D169" i="22"/>
  <c r="D143" i="22" s="1"/>
  <c r="D195" i="22" s="1"/>
  <c r="AK263" i="11"/>
  <c r="AU271" i="11"/>
  <c r="K263" i="11"/>
  <c r="H8" i="40"/>
  <c r="G263" i="11"/>
  <c r="Q263" i="11"/>
  <c r="AF263" i="11"/>
  <c r="AU268" i="11"/>
  <c r="O263" i="11"/>
  <c r="H263" i="11"/>
  <c r="M263" i="11"/>
  <c r="F263" i="11"/>
  <c r="AU313" i="11"/>
  <c r="X263" i="11"/>
  <c r="AQ263" i="11"/>
  <c r="AP263" i="11"/>
  <c r="I166" i="22"/>
  <c r="I140" i="22" s="1"/>
  <c r="I192" i="22" s="1"/>
  <c r="I263" i="11"/>
  <c r="AU314" i="11"/>
  <c r="AR263" i="11"/>
  <c r="AT263" i="11"/>
  <c r="P39" i="29"/>
  <c r="P40" i="29" s="1"/>
  <c r="E263" i="11"/>
  <c r="AU267" i="11"/>
  <c r="AU294" i="11"/>
  <c r="AU330" i="11"/>
  <c r="P263" i="11"/>
  <c r="AU306" i="11"/>
  <c r="AM263" i="11"/>
  <c r="AU334" i="11"/>
  <c r="AU274" i="11"/>
  <c r="Z263" i="11"/>
  <c r="AG263" i="11"/>
  <c r="N263" i="11"/>
  <c r="E214" i="22"/>
  <c r="F236" i="22" s="1"/>
  <c r="AB263" i="11"/>
  <c r="J263" i="11"/>
  <c r="AH263" i="11"/>
  <c r="L263" i="11"/>
  <c r="AN263" i="11"/>
  <c r="E166" i="22"/>
  <c r="E140" i="22" s="1"/>
  <c r="V263" i="11"/>
  <c r="AL263" i="11"/>
  <c r="AD263" i="11"/>
  <c r="U263" i="11"/>
  <c r="D163" i="22"/>
  <c r="D137" i="22" s="1"/>
  <c r="AS263" i="11"/>
  <c r="M302" i="11"/>
  <c r="Y263" i="11"/>
  <c r="S263" i="11"/>
  <c r="AI263" i="11"/>
  <c r="AU270" i="11"/>
  <c r="AA263" i="11"/>
  <c r="C263" i="11"/>
  <c r="AU327" i="11"/>
  <c r="D173" i="22"/>
  <c r="D147" i="22" s="1"/>
  <c r="F18" i="31"/>
  <c r="AO263" i="11"/>
  <c r="G167" i="22"/>
  <c r="G141" i="22" s="1"/>
  <c r="G193" i="22" s="1"/>
  <c r="AC328" i="11"/>
  <c r="D263" i="11"/>
  <c r="G166" i="22"/>
  <c r="G140" i="22" s="1"/>
  <c r="G192" i="22" s="1"/>
  <c r="G174" i="22"/>
  <c r="G148" i="22" s="1"/>
  <c r="G200" i="22" s="1"/>
  <c r="AJ263" i="11"/>
  <c r="AC263" i="11"/>
  <c r="T263" i="11"/>
  <c r="W263" i="11"/>
  <c r="I168" i="22"/>
  <c r="I142" i="22" s="1"/>
  <c r="I196" i="22"/>
  <c r="I169" i="22"/>
  <c r="I143" i="22" s="1"/>
  <c r="I164" i="22"/>
  <c r="I138" i="22" s="1"/>
  <c r="I190" i="22" s="1"/>
  <c r="L302" i="11"/>
  <c r="AU336" i="11"/>
  <c r="I163" i="22"/>
  <c r="I137" i="22" s="1"/>
  <c r="I174" i="22"/>
  <c r="I148" i="22" s="1"/>
  <c r="H29" i="29"/>
  <c r="H30" i="29" s="1"/>
  <c r="I165" i="22"/>
  <c r="I139" i="22" s="1"/>
  <c r="I173" i="22"/>
  <c r="I147" i="22" s="1"/>
  <c r="I199" i="22" s="1"/>
  <c r="D8" i="40"/>
  <c r="I214" i="22"/>
  <c r="AM240" i="22" s="1"/>
  <c r="I167" i="22"/>
  <c r="I141" i="22" s="1"/>
  <c r="I193" i="22" s="1"/>
  <c r="I171" i="22"/>
  <c r="I145" i="22" s="1"/>
  <c r="AU265" i="11"/>
  <c r="D168" i="22"/>
  <c r="D142" i="22" s="1"/>
  <c r="D194" i="22" s="1"/>
  <c r="D171" i="22"/>
  <c r="D145" i="22" s="1"/>
  <c r="D197" i="22" s="1"/>
  <c r="D214" i="22"/>
  <c r="J235" i="22" s="1"/>
  <c r="C276" i="11"/>
  <c r="AU340" i="11"/>
  <c r="R263" i="11"/>
  <c r="D164" i="22"/>
  <c r="D138" i="22" s="1"/>
  <c r="G302" i="11"/>
  <c r="D167" i="22"/>
  <c r="D141" i="22" s="1"/>
  <c r="D193" i="22" s="1"/>
  <c r="D170" i="22"/>
  <c r="D144" i="22" s="1"/>
  <c r="D196" i="22" s="1"/>
  <c r="D174" i="22"/>
  <c r="D148" i="22" s="1"/>
  <c r="D200" i="22" s="1"/>
  <c r="D165" i="22"/>
  <c r="D139" i="22" s="1"/>
  <c r="D191" i="22" s="1"/>
  <c r="R302" i="11"/>
  <c r="X302" i="11"/>
  <c r="AU311" i="11"/>
  <c r="CG26" i="29"/>
  <c r="CG29" i="29" s="1"/>
  <c r="CG30" i="29" s="1"/>
  <c r="D302" i="11"/>
  <c r="G190" i="22"/>
  <c r="G173" i="22"/>
  <c r="G147" i="22" s="1"/>
  <c r="G199" i="22" s="1"/>
  <c r="G169" i="22"/>
  <c r="G143" i="22" s="1"/>
  <c r="G195" i="22" s="1"/>
  <c r="G171" i="22"/>
  <c r="G145" i="22" s="1"/>
  <c r="G197" i="22" s="1"/>
  <c r="G163" i="22"/>
  <c r="G137" i="22" s="1"/>
  <c r="G189" i="22" s="1"/>
  <c r="G214" i="22"/>
  <c r="Y238" i="22" s="1"/>
  <c r="AP276" i="11"/>
  <c r="AL289" i="11"/>
  <c r="C137" i="8"/>
  <c r="H302" i="11"/>
  <c r="E168" i="22"/>
  <c r="E142" i="22" s="1"/>
  <c r="G165" i="22"/>
  <c r="G139" i="22" s="1"/>
  <c r="G191" i="22" s="1"/>
  <c r="G170" i="22"/>
  <c r="G144" i="22" s="1"/>
  <c r="G196" i="22" s="1"/>
  <c r="G168" i="22"/>
  <c r="G142" i="22" s="1"/>
  <c r="G194" i="22" s="1"/>
  <c r="Q328" i="11"/>
  <c r="I328" i="11"/>
  <c r="AR315" i="11"/>
  <c r="AN302" i="11"/>
  <c r="AG328" i="11"/>
  <c r="F302" i="11"/>
  <c r="F168" i="22"/>
  <c r="F142" i="22" s="1"/>
  <c r="F194" i="22" s="1"/>
  <c r="F171" i="22"/>
  <c r="F145" i="22" s="1"/>
  <c r="F197" i="22" s="1"/>
  <c r="AD302" i="11"/>
  <c r="U328" i="11"/>
  <c r="AU278" i="11"/>
  <c r="K328" i="11"/>
  <c r="AO328" i="11"/>
  <c r="E174" i="22"/>
  <c r="E148" i="22" s="1"/>
  <c r="E170" i="22"/>
  <c r="E144" i="22" s="1"/>
  <c r="AL315" i="11"/>
  <c r="W328" i="11"/>
  <c r="Y302" i="11"/>
  <c r="V328" i="11"/>
  <c r="I302" i="11"/>
  <c r="AB328" i="11"/>
  <c r="AI289" i="11"/>
  <c r="AI302" i="11"/>
  <c r="D289" i="11"/>
  <c r="AF276" i="11"/>
  <c r="AM289" i="11"/>
  <c r="W315" i="11"/>
  <c r="AD328" i="11"/>
  <c r="AE328" i="11"/>
  <c r="AP302" i="11"/>
  <c r="W289" i="11"/>
  <c r="AT289" i="11"/>
  <c r="AA276" i="11"/>
  <c r="J289" i="11"/>
  <c r="AN328" i="11"/>
  <c r="X328" i="11"/>
  <c r="D276" i="11"/>
  <c r="J315" i="11"/>
  <c r="Q289" i="11"/>
  <c r="AE289" i="11"/>
  <c r="R315" i="11"/>
  <c r="F328" i="11"/>
  <c r="R276" i="11"/>
  <c r="D315" i="11"/>
  <c r="N276" i="11"/>
  <c r="AT302" i="11"/>
  <c r="AA315" i="11"/>
  <c r="T302" i="11"/>
  <c r="CJ21" i="34"/>
  <c r="BL21" i="34"/>
  <c r="C148" i="8"/>
  <c r="F173" i="22"/>
  <c r="F147" i="22" s="1"/>
  <c r="F199" i="22" s="1"/>
  <c r="F169" i="22"/>
  <c r="F143" i="22" s="1"/>
  <c r="F195" i="22" s="1"/>
  <c r="AH328" i="11"/>
  <c r="O328" i="11"/>
  <c r="K302" i="11"/>
  <c r="AM302" i="11"/>
  <c r="Q315" i="11"/>
  <c r="S302" i="11"/>
  <c r="AG276" i="11"/>
  <c r="AU297" i="11"/>
  <c r="F163" i="22"/>
  <c r="F137" i="22" s="1"/>
  <c r="F189" i="22" s="1"/>
  <c r="F214" i="22"/>
  <c r="F237" i="22" s="1"/>
  <c r="AY16" i="34"/>
  <c r="AP315" i="11"/>
  <c r="Y328" i="11"/>
  <c r="Z276" i="11"/>
  <c r="AH315" i="11"/>
  <c r="K289" i="11"/>
  <c r="AU322" i="11"/>
  <c r="F170" i="22"/>
  <c r="F144" i="22" s="1"/>
  <c r="F196" i="22" s="1"/>
  <c r="G8" i="40"/>
  <c r="G5" i="40" s="1"/>
  <c r="F164" i="22"/>
  <c r="F138" i="22" s="1"/>
  <c r="F190" i="22" s="1"/>
  <c r="E18" i="31"/>
  <c r="AX47" i="34"/>
  <c r="R328" i="11"/>
  <c r="F166" i="22"/>
  <c r="F140" i="22" s="1"/>
  <c r="F192" i="22" s="1"/>
  <c r="AX17" i="34"/>
  <c r="AA289" i="11"/>
  <c r="M328" i="11"/>
  <c r="K315" i="11"/>
  <c r="M315" i="11"/>
  <c r="AB315" i="11"/>
  <c r="AJ276" i="11"/>
  <c r="T276" i="11"/>
  <c r="N302" i="11"/>
  <c r="S315" i="11"/>
  <c r="E315" i="11"/>
  <c r="O315" i="11"/>
  <c r="N289" i="11"/>
  <c r="AR289" i="11"/>
  <c r="AH289" i="11"/>
  <c r="S289" i="11"/>
  <c r="AL302" i="11"/>
  <c r="O276" i="11"/>
  <c r="E276" i="11"/>
  <c r="AQ315" i="11"/>
  <c r="AM315" i="11"/>
  <c r="AU332" i="11"/>
  <c r="L328" i="11"/>
  <c r="Y276" i="11"/>
  <c r="Z302" i="11"/>
  <c r="E302" i="11"/>
  <c r="AU310" i="11"/>
  <c r="U302" i="11"/>
  <c r="AU308" i="11"/>
  <c r="O302" i="11"/>
  <c r="AO302" i="11"/>
  <c r="AB302" i="11"/>
  <c r="AU337" i="11"/>
  <c r="U289" i="11"/>
  <c r="S276" i="11"/>
  <c r="F200" i="22"/>
  <c r="H165" i="22"/>
  <c r="H139" i="22" s="1"/>
  <c r="H191" i="22" s="1"/>
  <c r="H214" i="22"/>
  <c r="X239" i="22" s="1"/>
  <c r="F165" i="22"/>
  <c r="F139" i="22" s="1"/>
  <c r="F191" i="22" s="1"/>
  <c r="AX18" i="34"/>
  <c r="AP328" i="11"/>
  <c r="H328" i="11"/>
  <c r="AC276" i="11"/>
  <c r="AF302" i="11"/>
  <c r="P302" i="11"/>
  <c r="AM328" i="11"/>
  <c r="C174" i="8"/>
  <c r="F167" i="22"/>
  <c r="F141" i="22" s="1"/>
  <c r="F193" i="22" s="1"/>
  <c r="B262" i="11"/>
  <c r="P328" i="11"/>
  <c r="Q302" i="11"/>
  <c r="V302" i="11"/>
  <c r="G289" i="11"/>
  <c r="AD276" i="11"/>
  <c r="T328" i="11"/>
  <c r="AU285" i="11"/>
  <c r="W302" i="11"/>
  <c r="AL328" i="11"/>
  <c r="AA302" i="11"/>
  <c r="AU324" i="11"/>
  <c r="AF328" i="11"/>
  <c r="C302" i="11"/>
  <c r="Y315" i="11"/>
  <c r="J302" i="11"/>
  <c r="E289" i="11"/>
  <c r="AC289" i="11"/>
  <c r="F289" i="11"/>
  <c r="AE302" i="11"/>
  <c r="AU309" i="11"/>
  <c r="Z328" i="11"/>
  <c r="E138" i="8"/>
  <c r="C138" i="8" s="1"/>
  <c r="C164" i="8"/>
  <c r="AQ302" i="11"/>
  <c r="AH302" i="11"/>
  <c r="AU333" i="11"/>
  <c r="V276" i="11"/>
  <c r="S328" i="11"/>
  <c r="AA328" i="11"/>
  <c r="AD315" i="11"/>
  <c r="AR276" i="11"/>
  <c r="AK302" i="11"/>
  <c r="E199" i="22"/>
  <c r="E164" i="22"/>
  <c r="E138" i="22" s="1"/>
  <c r="E163" i="22"/>
  <c r="E137" i="22" s="1"/>
  <c r="E189" i="22" s="1"/>
  <c r="E171" i="22"/>
  <c r="E145" i="22" s="1"/>
  <c r="E167" i="22"/>
  <c r="E141" i="22" s="1"/>
  <c r="C168" i="8"/>
  <c r="AS328" i="11"/>
  <c r="U315" i="11"/>
  <c r="AS315" i="11"/>
  <c r="AI328" i="11"/>
  <c r="AO276" i="11"/>
  <c r="I276" i="11"/>
  <c r="U276" i="11"/>
  <c r="G276" i="11"/>
  <c r="AG302" i="11"/>
  <c r="AU290" i="11"/>
  <c r="H276" i="11"/>
  <c r="AN315" i="11"/>
  <c r="AU316" i="11"/>
  <c r="AJ328" i="11"/>
  <c r="J328" i="11"/>
  <c r="AU280" i="11"/>
  <c r="AH276" i="11"/>
  <c r="G328" i="11"/>
  <c r="AJ302" i="11"/>
  <c r="AU283" i="11"/>
  <c r="E169" i="22"/>
  <c r="E143" i="22" s="1"/>
  <c r="E165" i="22"/>
  <c r="E139" i="22" s="1"/>
  <c r="AT328" i="11"/>
  <c r="AN276" i="11"/>
  <c r="AC302" i="11"/>
  <c r="AI315" i="11"/>
  <c r="H315" i="11"/>
  <c r="AT276" i="11"/>
  <c r="AS276" i="11"/>
  <c r="AM276" i="11"/>
  <c r="AS302" i="11"/>
  <c r="AR302" i="11"/>
  <c r="AD289" i="11"/>
  <c r="AK315" i="11"/>
  <c r="AB289" i="11"/>
  <c r="AU298" i="11"/>
  <c r="I289" i="11"/>
  <c r="EG26" i="29"/>
  <c r="EG29" i="29" s="1"/>
  <c r="EG30" i="29" s="1"/>
  <c r="D328" i="11"/>
  <c r="AU296" i="11"/>
  <c r="AJ289" i="11"/>
  <c r="P315" i="11"/>
  <c r="AT315" i="11"/>
  <c r="M276" i="11"/>
  <c r="AE276" i="11"/>
  <c r="AL276" i="11"/>
  <c r="Q276" i="11"/>
  <c r="AJ315" i="11"/>
  <c r="AN289" i="11"/>
  <c r="J97" i="8"/>
  <c r="M289" i="11"/>
  <c r="AF289" i="11"/>
  <c r="C116" i="9"/>
  <c r="L289" i="11"/>
  <c r="E328" i="11"/>
  <c r="AQ328" i="11"/>
  <c r="AK328" i="11"/>
  <c r="AR328" i="11"/>
  <c r="L315" i="11"/>
  <c r="T315" i="11"/>
  <c r="AC315" i="11"/>
  <c r="I315" i="11"/>
  <c r="G315" i="11"/>
  <c r="AK276" i="11"/>
  <c r="P276" i="11"/>
  <c r="AQ276" i="11"/>
  <c r="J276" i="11"/>
  <c r="W276" i="11"/>
  <c r="AK289" i="11"/>
  <c r="R289" i="11"/>
  <c r="H289" i="11"/>
  <c r="AU326" i="11"/>
  <c r="AE315" i="11"/>
  <c r="V315" i="11"/>
  <c r="AO315" i="11"/>
  <c r="Z315" i="11"/>
  <c r="C289" i="11"/>
  <c r="B18" i="10"/>
  <c r="B33" i="10" s="1"/>
  <c r="AS289" i="11"/>
  <c r="V289" i="11"/>
  <c r="C142" i="8"/>
  <c r="C97" i="22"/>
  <c r="AG289" i="11"/>
  <c r="N328" i="11"/>
  <c r="AB276" i="11"/>
  <c r="F276" i="11"/>
  <c r="F315" i="11"/>
  <c r="AG315" i="11"/>
  <c r="AI276" i="11"/>
  <c r="X276" i="11"/>
  <c r="K276" i="11"/>
  <c r="L276" i="11"/>
  <c r="AU323" i="11"/>
  <c r="AF315" i="11"/>
  <c r="X315" i="11"/>
  <c r="N315" i="11"/>
  <c r="B18" i="6"/>
  <c r="Y289" i="11"/>
  <c r="Z289" i="11"/>
  <c r="AQ289" i="11"/>
  <c r="H166" i="22"/>
  <c r="H140" i="22" s="1"/>
  <c r="H192" i="22" s="1"/>
  <c r="AU282" i="11"/>
  <c r="AU295" i="11"/>
  <c r="C315" i="11"/>
  <c r="AU335" i="11"/>
  <c r="AP21" i="34"/>
  <c r="AP25" i="34" s="1"/>
  <c r="AP26" i="34" s="1"/>
  <c r="AP27" i="34" s="1"/>
  <c r="C328" i="11"/>
  <c r="C163" i="8"/>
  <c r="AU291" i="11"/>
  <c r="AU303" i="11"/>
  <c r="D33" i="10"/>
  <c r="C145" i="8"/>
  <c r="AU284" i="11"/>
  <c r="CG21" i="34"/>
  <c r="AH21" i="34"/>
  <c r="AH25" i="34" s="1"/>
  <c r="AH26" i="34" s="1"/>
  <c r="AH27" i="34" s="1"/>
  <c r="AH29" i="29"/>
  <c r="AH30" i="29" s="1"/>
  <c r="P289" i="11"/>
  <c r="X289" i="11"/>
  <c r="O289" i="11"/>
  <c r="AP289" i="11"/>
  <c r="T289" i="11"/>
  <c r="AO289" i="11"/>
  <c r="AU317" i="11"/>
  <c r="H167" i="22"/>
  <c r="H141" i="22" s="1"/>
  <c r="H163" i="22"/>
  <c r="H137" i="22" s="1"/>
  <c r="H189" i="22" s="1"/>
  <c r="BN21" i="34"/>
  <c r="AS21" i="34"/>
  <c r="AS25" i="34" s="1"/>
  <c r="AS26" i="34" s="1"/>
  <c r="AS27" i="34" s="1"/>
  <c r="H123" i="22"/>
  <c r="H188" i="22" s="1"/>
  <c r="H213" i="22" s="1"/>
  <c r="CA19" i="10" s="1"/>
  <c r="H190" i="22"/>
  <c r="H173" i="22"/>
  <c r="H147" i="22" s="1"/>
  <c r="H171" i="22"/>
  <c r="H145" i="22" s="1"/>
  <c r="H197" i="22" s="1"/>
  <c r="BH29" i="29"/>
  <c r="BH30" i="29" s="1"/>
  <c r="DH29" i="29"/>
  <c r="DH30" i="29" s="1"/>
  <c r="H174" i="22"/>
  <c r="H148" i="22" s="1"/>
  <c r="H200" i="22" s="1"/>
  <c r="H170" i="22"/>
  <c r="H144" i="22" s="1"/>
  <c r="H196" i="22" s="1"/>
  <c r="CU21" i="34"/>
  <c r="AU21" i="34"/>
  <c r="AU25" i="34" s="1"/>
  <c r="AU26" i="34" s="1"/>
  <c r="AU27" i="34" s="1"/>
  <c r="D26" i="29"/>
  <c r="C26" i="29" s="1"/>
  <c r="H169" i="22"/>
  <c r="H143" i="22" s="1"/>
  <c r="H195" i="22" s="1"/>
  <c r="H168" i="22"/>
  <c r="H142" i="22" s="1"/>
  <c r="H194" i="22" s="1"/>
  <c r="O21" i="34"/>
  <c r="O25" i="34" s="1"/>
  <c r="O26" i="34" s="1"/>
  <c r="O27" i="34" s="1"/>
  <c r="DI21" i="34"/>
  <c r="BJ21" i="34"/>
  <c r="AD21" i="34"/>
  <c r="AD25" i="34" s="1"/>
  <c r="AD26" i="34" s="1"/>
  <c r="AD39" i="34" s="1"/>
  <c r="AN21" i="34"/>
  <c r="AN25" i="34" s="1"/>
  <c r="AN26" i="34" s="1"/>
  <c r="AN27" i="34" s="1"/>
  <c r="N21" i="34"/>
  <c r="N25" i="34" s="1"/>
  <c r="N26" i="34" s="1"/>
  <c r="N39" i="34" s="1"/>
  <c r="DK21" i="34"/>
  <c r="CQ21" i="34"/>
  <c r="BM21" i="34"/>
  <c r="CI21" i="34"/>
  <c r="CP21" i="34"/>
  <c r="AV21" i="34"/>
  <c r="AV25" i="34" s="1"/>
  <c r="AV26" i="34" s="1"/>
  <c r="AV27" i="34" s="1"/>
  <c r="CA21" i="34"/>
  <c r="DG21" i="34"/>
  <c r="AW21" i="34"/>
  <c r="AW25" i="34" s="1"/>
  <c r="AW26" i="34" s="1"/>
  <c r="AW27" i="34" s="1"/>
  <c r="R21" i="34"/>
  <c r="R25" i="34" s="1"/>
  <c r="R26" i="34" s="1"/>
  <c r="R39" i="34" s="1"/>
  <c r="F21" i="34"/>
  <c r="F25" i="34" s="1"/>
  <c r="F26" i="34" s="1"/>
  <c r="F27" i="34" s="1"/>
  <c r="CZ21" i="34"/>
  <c r="Z21" i="34"/>
  <c r="Z25" i="34" s="1"/>
  <c r="Z26" i="34" s="1"/>
  <c r="Z27" i="34" s="1"/>
  <c r="DD21" i="34"/>
  <c r="DQ21" i="34"/>
  <c r="DS21" i="34"/>
  <c r="AC21" i="34"/>
  <c r="AC25" i="34" s="1"/>
  <c r="AC26" i="34" s="1"/>
  <c r="AC39" i="34" s="1"/>
  <c r="AT21" i="34"/>
  <c r="AT25" i="34" s="1"/>
  <c r="AT26" i="34" s="1"/>
  <c r="AT27" i="34" s="1"/>
  <c r="AY21" i="34"/>
  <c r="BP21" i="34"/>
  <c r="BA21" i="34"/>
  <c r="CR21" i="34"/>
  <c r="H21" i="34"/>
  <c r="H25" i="34" s="1"/>
  <c r="H26" i="34" s="1"/>
  <c r="H27" i="34" s="1"/>
  <c r="CK21" i="34"/>
  <c r="Y21" i="34"/>
  <c r="Y25" i="34" s="1"/>
  <c r="Y26" i="34" s="1"/>
  <c r="Y39" i="34" s="1"/>
  <c r="AJ21" i="34"/>
  <c r="AJ25" i="34" s="1"/>
  <c r="AJ26" i="34" s="1"/>
  <c r="AJ27" i="34" s="1"/>
  <c r="E21" i="34"/>
  <c r="E25" i="34" s="1"/>
  <c r="J21" i="34"/>
  <c r="J25" i="34" s="1"/>
  <c r="J26" i="34" s="1"/>
  <c r="J27" i="34" s="1"/>
  <c r="DF21" i="34"/>
  <c r="BT21" i="34"/>
  <c r="DA21" i="34"/>
  <c r="DN21" i="34"/>
  <c r="T21" i="34"/>
  <c r="T25" i="34" s="1"/>
  <c r="T26" i="34" s="1"/>
  <c r="T27" i="34" s="1"/>
  <c r="BZ21" i="34"/>
  <c r="DB21" i="34"/>
  <c r="CT21" i="34"/>
  <c r="CS21" i="34"/>
  <c r="DP21" i="34"/>
  <c r="CY21" i="34"/>
  <c r="BF21" i="34"/>
  <c r="BX21" i="34"/>
  <c r="AO21" i="34"/>
  <c r="AO25" i="34" s="1"/>
  <c r="AO26" i="34" s="1"/>
  <c r="AO27" i="34" s="1"/>
  <c r="DC21" i="34"/>
  <c r="DT21" i="34"/>
  <c r="M21" i="34"/>
  <c r="M25" i="34" s="1"/>
  <c r="M26" i="34" s="1"/>
  <c r="M27" i="34" s="1"/>
  <c r="V21" i="34"/>
  <c r="V25" i="34" s="1"/>
  <c r="V26" i="34" s="1"/>
  <c r="V27" i="34" s="1"/>
  <c r="BC21" i="34"/>
  <c r="DM21" i="34"/>
  <c r="CM21" i="34"/>
  <c r="CB21" i="34"/>
  <c r="K21" i="34"/>
  <c r="K25" i="34" s="1"/>
  <c r="K26" i="34" s="1"/>
  <c r="K27" i="34" s="1"/>
  <c r="CE21" i="34"/>
  <c r="DL21" i="34"/>
  <c r="AG21" i="34"/>
  <c r="AG25" i="34" s="1"/>
  <c r="AG26" i="34" s="1"/>
  <c r="AG27" i="34" s="1"/>
  <c r="CO21" i="34"/>
  <c r="CD21" i="34"/>
  <c r="Q21" i="34"/>
  <c r="Q25" i="34" s="1"/>
  <c r="Q26" i="34" s="1"/>
  <c r="Q39" i="34" s="1"/>
  <c r="CH21" i="34"/>
  <c r="DR21" i="34"/>
  <c r="CV21" i="34"/>
  <c r="BD21" i="34"/>
  <c r="AA21" i="34"/>
  <c r="AA25" i="34" s="1"/>
  <c r="AA26" i="34" s="1"/>
  <c r="AA39" i="34" s="1"/>
  <c r="DH21" i="34"/>
  <c r="S21" i="34"/>
  <c r="S25" i="34" s="1"/>
  <c r="S26" i="34" s="1"/>
  <c r="S27" i="34" s="1"/>
  <c r="I21" i="34"/>
  <c r="I25" i="34" s="1"/>
  <c r="I26" i="34" s="1"/>
  <c r="I39" i="34" s="1"/>
  <c r="E48" i="34"/>
  <c r="D48" i="34" s="1"/>
  <c r="BR21" i="34"/>
  <c r="CW21" i="34"/>
  <c r="CN21" i="34"/>
  <c r="AZ21" i="34"/>
  <c r="CC21" i="34"/>
  <c r="W21" i="34"/>
  <c r="W25" i="34" s="1"/>
  <c r="W26" i="34" s="1"/>
  <c r="W39" i="34" s="1"/>
  <c r="BQ21" i="34"/>
  <c r="P21" i="34"/>
  <c r="P25" i="34" s="1"/>
  <c r="P26" i="34" s="1"/>
  <c r="P27" i="34" s="1"/>
  <c r="BV21" i="34"/>
  <c r="DE21" i="34"/>
  <c r="DO21" i="34"/>
  <c r="CL21" i="34"/>
  <c r="AR21" i="34"/>
  <c r="AR25" i="34" s="1"/>
  <c r="AR26" i="34" s="1"/>
  <c r="AR27" i="34" s="1"/>
  <c r="G21" i="34"/>
  <c r="G25" i="34" s="1"/>
  <c r="G26" i="34" s="1"/>
  <c r="G39" i="34" s="1"/>
  <c r="AF21" i="34"/>
  <c r="AF25" i="34" s="1"/>
  <c r="AF26" i="34" s="1"/>
  <c r="BK21" i="34"/>
  <c r="BI21" i="34"/>
  <c r="CX21" i="34"/>
  <c r="AE21" i="34"/>
  <c r="AE25" i="34" s="1"/>
  <c r="AE26" i="34" s="1"/>
  <c r="AE27" i="34" s="1"/>
  <c r="AB21" i="34"/>
  <c r="AB25" i="34" s="1"/>
  <c r="AB26" i="34" s="1"/>
  <c r="AB27" i="34" s="1"/>
  <c r="AX21" i="34"/>
  <c r="AM21" i="34"/>
  <c r="AM25" i="34" s="1"/>
  <c r="AM26" i="34" s="1"/>
  <c r="AM27" i="34" s="1"/>
  <c r="L21" i="34"/>
  <c r="L25" i="34" s="1"/>
  <c r="L26" i="34" s="1"/>
  <c r="L27" i="34" s="1"/>
  <c r="CF21" i="34"/>
  <c r="AL21" i="34"/>
  <c r="AL25" i="34" s="1"/>
  <c r="AL26" i="34" s="1"/>
  <c r="AL27" i="34" s="1"/>
  <c r="BW21" i="34"/>
  <c r="BU21" i="34"/>
  <c r="BO21" i="34"/>
  <c r="BY21" i="34"/>
  <c r="BG21" i="34"/>
  <c r="BS21" i="34"/>
  <c r="AI21" i="34"/>
  <c r="AI25" i="34" s="1"/>
  <c r="AI26" i="34" s="1"/>
  <c r="AI27" i="34" s="1"/>
  <c r="U21" i="34"/>
  <c r="U25" i="34" s="1"/>
  <c r="U26" i="34" s="1"/>
  <c r="U39" i="34" s="1"/>
  <c r="BE21" i="34"/>
  <c r="DJ21" i="34"/>
  <c r="X21" i="34"/>
  <c r="X25" i="34" s="1"/>
  <c r="X26" i="34" s="1"/>
  <c r="X39" i="34" s="1"/>
  <c r="AK21" i="34"/>
  <c r="AK25" i="34" s="1"/>
  <c r="AK26" i="34" s="1"/>
  <c r="AK27" i="34" s="1"/>
  <c r="BH21" i="34"/>
  <c r="AQ21" i="34"/>
  <c r="AQ25" i="34" s="1"/>
  <c r="AQ26" i="34" s="1"/>
  <c r="AQ27" i="34" s="1"/>
  <c r="BB21" i="34"/>
  <c r="B183" i="11"/>
  <c r="L183" i="11" s="1"/>
  <c r="D59" i="22"/>
  <c r="D124" i="22" s="1"/>
  <c r="D19" i="21"/>
  <c r="AP220" i="11"/>
  <c r="R220" i="11"/>
  <c r="CD36" i="29"/>
  <c r="CC36" i="29" s="1"/>
  <c r="L220" i="11"/>
  <c r="G220" i="11"/>
  <c r="AN220" i="11"/>
  <c r="AC220" i="11"/>
  <c r="Q220" i="11"/>
  <c r="AL220" i="11"/>
  <c r="M220" i="11"/>
  <c r="U220" i="11"/>
  <c r="S220" i="11"/>
  <c r="AT220" i="11"/>
  <c r="AR220" i="11"/>
  <c r="AJ220" i="11"/>
  <c r="Y220" i="11"/>
  <c r="AK220" i="11"/>
  <c r="J220" i="11"/>
  <c r="J238" i="11"/>
  <c r="AM220" i="11"/>
  <c r="V220" i="11"/>
  <c r="Z220" i="11"/>
  <c r="F220" i="11"/>
  <c r="AG220" i="11"/>
  <c r="AW37" i="10"/>
  <c r="AW38" i="10" s="1"/>
  <c r="AW39" i="10" s="1"/>
  <c r="Z224" i="11"/>
  <c r="BG52" i="34"/>
  <c r="BF59" i="34"/>
  <c r="BF40" i="34" s="1"/>
  <c r="AL226" i="11"/>
  <c r="AT228" i="11"/>
  <c r="W220" i="11"/>
  <c r="AF220" i="11"/>
  <c r="AH220" i="11"/>
  <c r="O220" i="11"/>
  <c r="P220" i="11"/>
  <c r="AS220" i="11"/>
  <c r="AA220" i="11"/>
  <c r="K220" i="11"/>
  <c r="AB220" i="11"/>
  <c r="AD220" i="11"/>
  <c r="N220" i="11"/>
  <c r="I127" i="9"/>
  <c r="I75" i="9" s="1"/>
  <c r="E220" i="11"/>
  <c r="C220" i="11"/>
  <c r="AQ220" i="11"/>
  <c r="AO220" i="11"/>
  <c r="X220" i="11"/>
  <c r="AI220" i="11"/>
  <c r="T220" i="11"/>
  <c r="AE220" i="11"/>
  <c r="D220" i="11"/>
  <c r="H220" i="11"/>
  <c r="I126" i="9"/>
  <c r="I74" i="9" s="1"/>
  <c r="AY18" i="34"/>
  <c r="AY17" i="34"/>
  <c r="AY47" i="34"/>
  <c r="AY49" i="34"/>
  <c r="AY19" i="34"/>
  <c r="AY36" i="34"/>
  <c r="BB60" i="34"/>
  <c r="BB58" i="34" s="1"/>
  <c r="BB20" i="34" s="1"/>
  <c r="BC55" i="34"/>
  <c r="AZ35" i="34"/>
  <c r="AZ13" i="34"/>
  <c r="AZ15" i="34"/>
  <c r="BB7" i="34"/>
  <c r="BA14" i="34"/>
  <c r="BA24" i="34" s="1"/>
  <c r="BA6" i="34"/>
  <c r="AZ30" i="10"/>
  <c r="AV30" i="10"/>
  <c r="K257" i="11"/>
  <c r="Y228" i="11"/>
  <c r="AI239" i="22"/>
  <c r="AZ37" i="10"/>
  <c r="AZ38" i="10" s="1"/>
  <c r="AZ39" i="10" s="1"/>
  <c r="U256" i="11"/>
  <c r="L256" i="11"/>
  <c r="AR237" i="22"/>
  <c r="D256" i="11"/>
  <c r="AQ256" i="11"/>
  <c r="O256" i="11"/>
  <c r="H256" i="11"/>
  <c r="B258" i="11"/>
  <c r="X258" i="11" s="1"/>
  <c r="P225" i="11"/>
  <c r="AF34" i="34"/>
  <c r="AF37" i="34" s="1"/>
  <c r="EN36" i="29"/>
  <c r="EM36" i="29" s="1"/>
  <c r="K57" i="7"/>
  <c r="AW15" i="6" s="1"/>
  <c r="AW26" i="6" s="1"/>
  <c r="AW27" i="6" s="1"/>
  <c r="AW28" i="6" s="1"/>
  <c r="H57" i="7"/>
  <c r="AT15" i="6" s="1"/>
  <c r="AT26" i="6" s="1"/>
  <c r="AT27" i="6" s="1"/>
  <c r="AT28" i="6" s="1"/>
  <c r="AF33" i="34"/>
  <c r="AG31" i="34" s="1"/>
  <c r="AH211" i="11"/>
  <c r="Q210" i="11"/>
  <c r="G57" i="7"/>
  <c r="AS15" i="6" s="1"/>
  <c r="AS26" i="6" s="1"/>
  <c r="AS27" i="6" s="1"/>
  <c r="AS28" i="6" s="1"/>
  <c r="M259" i="11"/>
  <c r="AQ253" i="11"/>
  <c r="C228" i="11"/>
  <c r="AP228" i="11"/>
  <c r="O257" i="11"/>
  <c r="AC228" i="11"/>
  <c r="E228" i="11"/>
  <c r="M213" i="11"/>
  <c r="AR257" i="11"/>
  <c r="D228" i="11"/>
  <c r="AF228" i="11"/>
  <c r="AD246" i="11"/>
  <c r="K211" i="11"/>
  <c r="M219" i="11"/>
  <c r="O210" i="11"/>
  <c r="M57" i="7"/>
  <c r="AR219" i="11"/>
  <c r="AI210" i="11"/>
  <c r="E57" i="7"/>
  <c r="F60" i="8" s="1"/>
  <c r="F125" i="8" s="1"/>
  <c r="F190" i="8" s="1"/>
  <c r="I57" i="7"/>
  <c r="F64" i="8" s="1"/>
  <c r="F129" i="8" s="1"/>
  <c r="F194" i="8" s="1"/>
  <c r="Q238" i="11"/>
  <c r="BG37" i="10"/>
  <c r="BG38" i="10" s="1"/>
  <c r="BG39" i="10" s="1"/>
  <c r="D39" i="7"/>
  <c r="AC15" i="6" s="1"/>
  <c r="J256" i="11"/>
  <c r="AO256" i="11"/>
  <c r="AR256" i="11"/>
  <c r="AI256" i="11"/>
  <c r="AB256" i="11"/>
  <c r="AF256" i="11"/>
  <c r="N109" i="21"/>
  <c r="AJ256" i="11"/>
  <c r="N256" i="11"/>
  <c r="C256" i="11"/>
  <c r="W256" i="11"/>
  <c r="AS256" i="11"/>
  <c r="P238" i="11"/>
  <c r="BO22" i="10"/>
  <c r="N23" i="31" s="1"/>
  <c r="AQ241" i="11"/>
  <c r="AH238" i="11"/>
  <c r="C133" i="21"/>
  <c r="AL256" i="11"/>
  <c r="AC256" i="11"/>
  <c r="V256" i="11"/>
  <c r="Z256" i="11"/>
  <c r="M256" i="11"/>
  <c r="I67" i="22"/>
  <c r="I132" i="22" s="1"/>
  <c r="AJ224" i="11"/>
  <c r="H230" i="11"/>
  <c r="AC224" i="11"/>
  <c r="AI230" i="11"/>
  <c r="U217" i="11"/>
  <c r="C224" i="11"/>
  <c r="N230" i="11"/>
  <c r="AT216" i="11"/>
  <c r="AF238" i="11"/>
  <c r="O238" i="11"/>
  <c r="F61" i="8"/>
  <c r="F126" i="8" s="1"/>
  <c r="F191" i="8" s="1"/>
  <c r="N235" i="11"/>
  <c r="AL211" i="11"/>
  <c r="AQ219" i="11"/>
  <c r="AT219" i="11"/>
  <c r="J57" i="7"/>
  <c r="F65" i="8" s="1"/>
  <c r="F130" i="8" s="1"/>
  <c r="F195" i="8" s="1"/>
  <c r="V238" i="11"/>
  <c r="K238" i="11"/>
  <c r="E238" i="11"/>
  <c r="AE238" i="11"/>
  <c r="D238" i="11"/>
  <c r="BV37" i="10"/>
  <c r="BV38" i="10" s="1"/>
  <c r="BV39" i="10" s="1"/>
  <c r="I128" i="9"/>
  <c r="I76" i="9" s="1"/>
  <c r="F58" i="22"/>
  <c r="F123" i="22" s="1"/>
  <c r="F188" i="22" s="1"/>
  <c r="F208" i="22" s="1"/>
  <c r="AV19" i="10" s="1"/>
  <c r="AK213" i="11"/>
  <c r="S211" i="11"/>
  <c r="AS211" i="11"/>
  <c r="AO211" i="11"/>
  <c r="J219" i="11"/>
  <c r="AB219" i="11"/>
  <c r="G219" i="11"/>
  <c r="Q256" i="11"/>
  <c r="S256" i="11"/>
  <c r="P256" i="11"/>
  <c r="AP256" i="11"/>
  <c r="AT256" i="11"/>
  <c r="I256" i="11"/>
  <c r="AE256" i="11"/>
  <c r="F256" i="11"/>
  <c r="AD256" i="11"/>
  <c r="R256" i="11"/>
  <c r="G256" i="11"/>
  <c r="AR210" i="11"/>
  <c r="U210" i="11"/>
  <c r="CM15" i="10"/>
  <c r="CM30" i="10" s="1"/>
  <c r="D57" i="7"/>
  <c r="F59" i="8" s="1"/>
  <c r="F124" i="8" s="1"/>
  <c r="F189" i="8" s="1"/>
  <c r="L109" i="21"/>
  <c r="CK15" i="10"/>
  <c r="L128" i="9" s="1"/>
  <c r="L76" i="9" s="1"/>
  <c r="AO238" i="11"/>
  <c r="AJ238" i="11"/>
  <c r="P213" i="11"/>
  <c r="AS213" i="11"/>
  <c r="D211" i="11"/>
  <c r="AP211" i="11"/>
  <c r="AA219" i="11"/>
  <c r="O57" i="7"/>
  <c r="BA15" i="6" s="1"/>
  <c r="BA26" i="6" s="1"/>
  <c r="BA27" i="6" s="1"/>
  <c r="BA28" i="6" s="1"/>
  <c r="AG232" i="11"/>
  <c r="AA238" i="11"/>
  <c r="AK238" i="11"/>
  <c r="X238" i="11"/>
  <c r="AC238" i="11"/>
  <c r="AX30" i="10"/>
  <c r="C131" i="21"/>
  <c r="AN213" i="11"/>
  <c r="R211" i="11"/>
  <c r="AC211" i="11"/>
  <c r="AB211" i="11"/>
  <c r="AO219" i="11"/>
  <c r="AE219" i="11"/>
  <c r="AJ219" i="11"/>
  <c r="AH256" i="11"/>
  <c r="T256" i="11"/>
  <c r="Y256" i="11"/>
  <c r="AA256" i="11"/>
  <c r="E256" i="11"/>
  <c r="AM256" i="11"/>
  <c r="AK256" i="11"/>
  <c r="X256" i="11"/>
  <c r="AN256" i="11"/>
  <c r="K256" i="11"/>
  <c r="J210" i="11"/>
  <c r="N57" i="7"/>
  <c r="F69" i="8" s="1"/>
  <c r="F134" i="8" s="1"/>
  <c r="F199" i="8" s="1"/>
  <c r="L57" i="7"/>
  <c r="AX15" i="6" s="1"/>
  <c r="AX26" i="6" s="1"/>
  <c r="AX27" i="6" s="1"/>
  <c r="AX28" i="6" s="1"/>
  <c r="V224" i="11"/>
  <c r="N224" i="11"/>
  <c r="K224" i="11"/>
  <c r="AL224" i="11"/>
  <c r="J124" i="9"/>
  <c r="J72" i="9" s="1"/>
  <c r="BT36" i="29"/>
  <c r="BS36" i="29" s="1"/>
  <c r="BZ36" i="29"/>
  <c r="BY36" i="29" s="1"/>
  <c r="AB245" i="11"/>
  <c r="AO257" i="11"/>
  <c r="Z257" i="11"/>
  <c r="U257" i="11"/>
  <c r="Q224" i="11"/>
  <c r="P224" i="11"/>
  <c r="AK224" i="11"/>
  <c r="AN224" i="11"/>
  <c r="X224" i="11"/>
  <c r="BP36" i="29"/>
  <c r="BO36" i="29" s="1"/>
  <c r="AE257" i="11"/>
  <c r="AD257" i="11"/>
  <c r="EJ36" i="29"/>
  <c r="EI36" i="29" s="1"/>
  <c r="G224" i="11"/>
  <c r="M224" i="11"/>
  <c r="AO224" i="11"/>
  <c r="AA224" i="11"/>
  <c r="W257" i="11"/>
  <c r="F257" i="11"/>
  <c r="AS257" i="11"/>
  <c r="B248" i="11"/>
  <c r="M248" i="11" s="1"/>
  <c r="Z238" i="11"/>
  <c r="AG238" i="11"/>
  <c r="AP238" i="11"/>
  <c r="G238" i="11"/>
  <c r="W238" i="11"/>
  <c r="Z213" i="11"/>
  <c r="O213" i="11"/>
  <c r="L213" i="11"/>
  <c r="E241" i="11"/>
  <c r="AH241" i="11"/>
  <c r="O245" i="11"/>
  <c r="AQ211" i="11"/>
  <c r="F211" i="11"/>
  <c r="I211" i="11"/>
  <c r="W211" i="11"/>
  <c r="AF211" i="11"/>
  <c r="G211" i="11"/>
  <c r="AR211" i="11"/>
  <c r="AG211" i="11"/>
  <c r="Z211" i="11"/>
  <c r="AT211" i="11"/>
  <c r="M211" i="11"/>
  <c r="L219" i="11"/>
  <c r="C219" i="11"/>
  <c r="AS219" i="11"/>
  <c r="E219" i="11"/>
  <c r="X219" i="11"/>
  <c r="H219" i="11"/>
  <c r="R219" i="11"/>
  <c r="Y219" i="11"/>
  <c r="F219" i="11"/>
  <c r="AC219" i="11"/>
  <c r="S219" i="11"/>
  <c r="CE30" i="10"/>
  <c r="P226" i="11"/>
  <c r="B255" i="11"/>
  <c r="W255" i="11" s="1"/>
  <c r="I61" i="22"/>
  <c r="I126" i="22" s="1"/>
  <c r="F109" i="21"/>
  <c r="B250" i="11"/>
  <c r="G250" i="11" s="1"/>
  <c r="AA213" i="11"/>
  <c r="D213" i="11"/>
  <c r="F213" i="11"/>
  <c r="D241" i="11"/>
  <c r="X241" i="11"/>
  <c r="AD211" i="11"/>
  <c r="AN211" i="11"/>
  <c r="J211" i="11"/>
  <c r="X211" i="11"/>
  <c r="AA211" i="11"/>
  <c r="Q211" i="11"/>
  <c r="T211" i="11"/>
  <c r="C211" i="11"/>
  <c r="Y211" i="11"/>
  <c r="O211" i="11"/>
  <c r="L211" i="11"/>
  <c r="T219" i="11"/>
  <c r="U219" i="11"/>
  <c r="AF219" i="11"/>
  <c r="I219" i="11"/>
  <c r="Z219" i="11"/>
  <c r="O219" i="11"/>
  <c r="AD219" i="11"/>
  <c r="AG219" i="11"/>
  <c r="AI219" i="11"/>
  <c r="N219" i="11"/>
  <c r="P219" i="11"/>
  <c r="L122" i="9"/>
  <c r="L70" i="9" s="1"/>
  <c r="AO226" i="11"/>
  <c r="K109" i="21"/>
  <c r="AS241" i="11"/>
  <c r="H211" i="11"/>
  <c r="AK211" i="11"/>
  <c r="V211" i="11"/>
  <c r="N211" i="11"/>
  <c r="AE211" i="11"/>
  <c r="AM211" i="11"/>
  <c r="AJ211" i="11"/>
  <c r="U211" i="11"/>
  <c r="P211" i="11"/>
  <c r="AI211" i="11"/>
  <c r="AK219" i="11"/>
  <c r="Q219" i="11"/>
  <c r="AH219" i="11"/>
  <c r="AP219" i="11"/>
  <c r="V219" i="11"/>
  <c r="AL219" i="11"/>
  <c r="AM219" i="11"/>
  <c r="D219" i="11"/>
  <c r="W219" i="11"/>
  <c r="K219" i="11"/>
  <c r="AP226" i="11"/>
  <c r="CJ15" i="10"/>
  <c r="CJ37" i="10" s="1"/>
  <c r="P240" i="11"/>
  <c r="AA259" i="11"/>
  <c r="AJ230" i="11"/>
  <c r="I230" i="11"/>
  <c r="AG217" i="11"/>
  <c r="I39" i="7"/>
  <c r="AH15" i="6" s="1"/>
  <c r="P216" i="11"/>
  <c r="T253" i="11"/>
  <c r="AD230" i="11"/>
  <c r="AB230" i="11"/>
  <c r="L39" i="7"/>
  <c r="E67" i="8" s="1"/>
  <c r="AB253" i="11"/>
  <c r="AH259" i="11"/>
  <c r="Y230" i="11"/>
  <c r="C230" i="11"/>
  <c r="P230" i="11"/>
  <c r="AF230" i="11"/>
  <c r="AP217" i="11"/>
  <c r="N216" i="11"/>
  <c r="AJ228" i="11"/>
  <c r="AH228" i="11"/>
  <c r="T228" i="11"/>
  <c r="AR228" i="11"/>
  <c r="AS238" i="11"/>
  <c r="I238" i="11"/>
  <c r="L238" i="11"/>
  <c r="AB238" i="11"/>
  <c r="U238" i="11"/>
  <c r="M238" i="11"/>
  <c r="AL238" i="11"/>
  <c r="Y238" i="11"/>
  <c r="C238" i="11"/>
  <c r="AN238" i="11"/>
  <c r="AM238" i="11"/>
  <c r="AQ224" i="11"/>
  <c r="AI224" i="11"/>
  <c r="H224" i="11"/>
  <c r="I224" i="11"/>
  <c r="AM224" i="11"/>
  <c r="O224" i="11"/>
  <c r="U224" i="11"/>
  <c r="AT224" i="11"/>
  <c r="BV36" i="29"/>
  <c r="BU36" i="29" s="1"/>
  <c r="BR36" i="29"/>
  <c r="BQ36" i="29" s="1"/>
  <c r="AI241" i="11"/>
  <c r="AJ241" i="11"/>
  <c r="Y241" i="11"/>
  <c r="AN241" i="11"/>
  <c r="O241" i="11"/>
  <c r="Q241" i="11"/>
  <c r="AM245" i="11"/>
  <c r="G257" i="11"/>
  <c r="H257" i="11"/>
  <c r="T257" i="11"/>
  <c r="AK257" i="11"/>
  <c r="AM257" i="11"/>
  <c r="AJ257" i="11"/>
  <c r="S257" i="11"/>
  <c r="P257" i="11"/>
  <c r="AP257" i="11"/>
  <c r="L257" i="11"/>
  <c r="X257" i="11"/>
  <c r="CC30" i="10"/>
  <c r="L226" i="11"/>
  <c r="V226" i="11"/>
  <c r="AD226" i="11"/>
  <c r="AK226" i="11"/>
  <c r="M109" i="21"/>
  <c r="G109" i="21"/>
  <c r="H109" i="21"/>
  <c r="BX36" i="29"/>
  <c r="BW36" i="29" s="1"/>
  <c r="F241" i="11"/>
  <c r="N241" i="11"/>
  <c r="S241" i="11"/>
  <c r="AC241" i="11"/>
  <c r="R241" i="11"/>
  <c r="V245" i="11"/>
  <c r="D257" i="11"/>
  <c r="AH257" i="11"/>
  <c r="V257" i="11"/>
  <c r="AL257" i="11"/>
  <c r="AG257" i="11"/>
  <c r="R257" i="11"/>
  <c r="AA257" i="11"/>
  <c r="I257" i="11"/>
  <c r="AF257" i="11"/>
  <c r="E257" i="11"/>
  <c r="AT257" i="11"/>
  <c r="AK246" i="11"/>
  <c r="L120" i="9"/>
  <c r="L68" i="9" s="1"/>
  <c r="T226" i="11"/>
  <c r="AR226" i="11"/>
  <c r="O226" i="11"/>
  <c r="Y226" i="11"/>
  <c r="I59" i="22"/>
  <c r="I124" i="22" s="1"/>
  <c r="B252" i="11"/>
  <c r="M252" i="11" s="1"/>
  <c r="AL228" i="11"/>
  <c r="U228" i="11"/>
  <c r="AN228" i="11"/>
  <c r="W228" i="11"/>
  <c r="S238" i="11"/>
  <c r="H238" i="11"/>
  <c r="AD238" i="11"/>
  <c r="R238" i="11"/>
  <c r="AQ238" i="11"/>
  <c r="N238" i="11"/>
  <c r="T238" i="11"/>
  <c r="AT238" i="11"/>
  <c r="AR238" i="11"/>
  <c r="F238" i="11"/>
  <c r="AF224" i="11"/>
  <c r="AR224" i="11"/>
  <c r="T224" i="11"/>
  <c r="AP224" i="11"/>
  <c r="W224" i="11"/>
  <c r="J224" i="11"/>
  <c r="F224" i="11"/>
  <c r="AG224" i="11"/>
  <c r="AT241" i="11"/>
  <c r="AL241" i="11"/>
  <c r="I241" i="11"/>
  <c r="AR241" i="11"/>
  <c r="M241" i="11"/>
  <c r="AH245" i="11"/>
  <c r="AQ257" i="11"/>
  <c r="N257" i="11"/>
  <c r="AI257" i="11"/>
  <c r="J257" i="11"/>
  <c r="AC257" i="11"/>
  <c r="Y257" i="11"/>
  <c r="M257" i="11"/>
  <c r="AB257" i="11"/>
  <c r="AN257" i="11"/>
  <c r="C257" i="11"/>
  <c r="N246" i="11"/>
  <c r="M226" i="11"/>
  <c r="R226" i="11"/>
  <c r="AF226" i="11"/>
  <c r="K226" i="11"/>
  <c r="D109" i="21"/>
  <c r="CF15" i="10"/>
  <c r="CF30" i="10" s="1"/>
  <c r="B251" i="11"/>
  <c r="AB251" i="11" s="1"/>
  <c r="CG15" i="10"/>
  <c r="G15" i="10" s="1"/>
  <c r="T240" i="11"/>
  <c r="Y225" i="11"/>
  <c r="K259" i="11"/>
  <c r="Z259" i="11"/>
  <c r="AR259" i="11"/>
  <c r="AQ230" i="11"/>
  <c r="F230" i="11"/>
  <c r="AC230" i="11"/>
  <c r="W230" i="11"/>
  <c r="M230" i="11"/>
  <c r="AA230" i="11"/>
  <c r="AE230" i="11"/>
  <c r="K230" i="11"/>
  <c r="V230" i="11"/>
  <c r="AR230" i="11"/>
  <c r="AO230" i="11"/>
  <c r="AH217" i="11"/>
  <c r="Q217" i="11"/>
  <c r="AT217" i="11"/>
  <c r="Y216" i="11"/>
  <c r="AF216" i="11"/>
  <c r="F216" i="11"/>
  <c r="AG253" i="11"/>
  <c r="O253" i="11"/>
  <c r="E210" i="11"/>
  <c r="I210" i="11"/>
  <c r="D210" i="11"/>
  <c r="AH210" i="11"/>
  <c r="AF210" i="11"/>
  <c r="C259" i="11"/>
  <c r="AG259" i="11"/>
  <c r="AC259" i="11"/>
  <c r="J230" i="11"/>
  <c r="AK230" i="11"/>
  <c r="AN230" i="11"/>
  <c r="AH230" i="11"/>
  <c r="AS230" i="11"/>
  <c r="E230" i="11"/>
  <c r="U230" i="11"/>
  <c r="D230" i="11"/>
  <c r="S230" i="11"/>
  <c r="Q230" i="11"/>
  <c r="T230" i="11"/>
  <c r="AM217" i="11"/>
  <c r="I217" i="11"/>
  <c r="AA216" i="11"/>
  <c r="AM216" i="11"/>
  <c r="D253" i="11"/>
  <c r="Q253" i="11"/>
  <c r="X253" i="11"/>
  <c r="AE210" i="11"/>
  <c r="AG210" i="11"/>
  <c r="AO210" i="11"/>
  <c r="K210" i="11"/>
  <c r="C210" i="11"/>
  <c r="C111" i="21"/>
  <c r="C134" i="21" s="1"/>
  <c r="I70" i="22"/>
  <c r="I135" i="22" s="1"/>
  <c r="K240" i="11"/>
  <c r="AP259" i="11"/>
  <c r="AK259" i="11"/>
  <c r="AG230" i="11"/>
  <c r="G230" i="11"/>
  <c r="AP230" i="11"/>
  <c r="AM230" i="11"/>
  <c r="L230" i="11"/>
  <c r="AL230" i="11"/>
  <c r="X230" i="11"/>
  <c r="R230" i="11"/>
  <c r="AT230" i="11"/>
  <c r="O230" i="11"/>
  <c r="T217" i="11"/>
  <c r="P217" i="11"/>
  <c r="X217" i="11"/>
  <c r="C216" i="11"/>
  <c r="AG216" i="11"/>
  <c r="R216" i="11"/>
  <c r="AC253" i="11"/>
  <c r="AH253" i="11"/>
  <c r="AR253" i="11"/>
  <c r="H210" i="11"/>
  <c r="AT210" i="11"/>
  <c r="W210" i="11"/>
  <c r="AK210" i="11"/>
  <c r="AB210" i="11"/>
  <c r="AS210" i="11"/>
  <c r="U259" i="11"/>
  <c r="G259" i="11"/>
  <c r="W259" i="11"/>
  <c r="E259" i="11"/>
  <c r="AD259" i="11"/>
  <c r="P259" i="11"/>
  <c r="F259" i="11"/>
  <c r="AM259" i="11"/>
  <c r="R259" i="11"/>
  <c r="T259" i="11"/>
  <c r="J259" i="11"/>
  <c r="AK217" i="11"/>
  <c r="Z217" i="11"/>
  <c r="E217" i="11"/>
  <c r="N217" i="11"/>
  <c r="Y217" i="11"/>
  <c r="W217" i="11"/>
  <c r="H217" i="11"/>
  <c r="AB217" i="11"/>
  <c r="AI217" i="11"/>
  <c r="AR217" i="11"/>
  <c r="AD217" i="11"/>
  <c r="AP216" i="11"/>
  <c r="O216" i="11"/>
  <c r="L216" i="11"/>
  <c r="T216" i="11"/>
  <c r="AR216" i="11"/>
  <c r="G216" i="11"/>
  <c r="AQ216" i="11"/>
  <c r="D216" i="11"/>
  <c r="AS216" i="11"/>
  <c r="U216" i="11"/>
  <c r="J216" i="11"/>
  <c r="R253" i="11"/>
  <c r="Z253" i="11"/>
  <c r="S253" i="11"/>
  <c r="G253" i="11"/>
  <c r="F253" i="11"/>
  <c r="M253" i="11"/>
  <c r="K253" i="11"/>
  <c r="Y253" i="11"/>
  <c r="U253" i="11"/>
  <c r="AJ253" i="11"/>
  <c r="AT253" i="11"/>
  <c r="O109" i="21"/>
  <c r="I64" i="22"/>
  <c r="I129" i="22" s="1"/>
  <c r="AL240" i="11"/>
  <c r="U240" i="11"/>
  <c r="X240" i="11"/>
  <c r="L240" i="11"/>
  <c r="AI240" i="11"/>
  <c r="AQ240" i="11"/>
  <c r="S259" i="11"/>
  <c r="AJ259" i="11"/>
  <c r="D259" i="11"/>
  <c r="V259" i="11"/>
  <c r="AI259" i="11"/>
  <c r="AS259" i="11"/>
  <c r="AN259" i="11"/>
  <c r="Y259" i="11"/>
  <c r="O259" i="11"/>
  <c r="N259" i="11"/>
  <c r="AF259" i="11"/>
  <c r="J217" i="11"/>
  <c r="M217" i="11"/>
  <c r="AN217" i="11"/>
  <c r="C217" i="11"/>
  <c r="V217" i="11"/>
  <c r="R217" i="11"/>
  <c r="AO217" i="11"/>
  <c r="AC217" i="11"/>
  <c r="AL217" i="11"/>
  <c r="AF217" i="11"/>
  <c r="S217" i="11"/>
  <c r="AD216" i="11"/>
  <c r="K216" i="11"/>
  <c r="W216" i="11"/>
  <c r="E216" i="11"/>
  <c r="AO216" i="11"/>
  <c r="Z216" i="11"/>
  <c r="V216" i="11"/>
  <c r="AB216" i="11"/>
  <c r="AL216" i="11"/>
  <c r="AE216" i="11"/>
  <c r="AC216" i="11"/>
  <c r="AM253" i="11"/>
  <c r="AA253" i="11"/>
  <c r="V253" i="11"/>
  <c r="AF253" i="11"/>
  <c r="AK253" i="11"/>
  <c r="AE253" i="11"/>
  <c r="I253" i="11"/>
  <c r="W253" i="11"/>
  <c r="H253" i="11"/>
  <c r="AL253" i="11"/>
  <c r="E253" i="11"/>
  <c r="CN15" i="10"/>
  <c r="CN37" i="10" s="1"/>
  <c r="CH15" i="10"/>
  <c r="H15" i="10" s="1"/>
  <c r="CI15" i="10"/>
  <c r="J109" i="21"/>
  <c r="B254" i="11"/>
  <c r="B249" i="11"/>
  <c r="CD15" i="10"/>
  <c r="E109" i="21"/>
  <c r="G240" i="11"/>
  <c r="O240" i="11"/>
  <c r="Z240" i="11"/>
  <c r="AB259" i="11"/>
  <c r="X259" i="11"/>
  <c r="I259" i="11"/>
  <c r="AL259" i="11"/>
  <c r="AO259" i="11"/>
  <c r="Q259" i="11"/>
  <c r="H259" i="11"/>
  <c r="AE259" i="11"/>
  <c r="AQ259" i="11"/>
  <c r="L259" i="11"/>
  <c r="O217" i="11"/>
  <c r="L217" i="11"/>
  <c r="AQ217" i="11"/>
  <c r="G217" i="11"/>
  <c r="AE217" i="11"/>
  <c r="D217" i="11"/>
  <c r="K217" i="11"/>
  <c r="AA217" i="11"/>
  <c r="AJ217" i="11"/>
  <c r="F217" i="11"/>
  <c r="AA235" i="11"/>
  <c r="AH216" i="11"/>
  <c r="AJ216" i="11"/>
  <c r="AK216" i="11"/>
  <c r="AN216" i="11"/>
  <c r="H216" i="11"/>
  <c r="M216" i="11"/>
  <c r="X216" i="11"/>
  <c r="S216" i="11"/>
  <c r="I216" i="11"/>
  <c r="AI216" i="11"/>
  <c r="P253" i="11"/>
  <c r="AD253" i="11"/>
  <c r="AP253" i="11"/>
  <c r="AI253" i="11"/>
  <c r="N253" i="11"/>
  <c r="J253" i="11"/>
  <c r="AO253" i="11"/>
  <c r="AN253" i="11"/>
  <c r="L253" i="11"/>
  <c r="C253" i="11"/>
  <c r="I109" i="21"/>
  <c r="I65" i="22"/>
  <c r="I130" i="22" s="1"/>
  <c r="AE224" i="11"/>
  <c r="E224" i="11"/>
  <c r="AD224" i="11"/>
  <c r="AH224" i="11"/>
  <c r="R224" i="11"/>
  <c r="D224" i="11"/>
  <c r="AS224" i="11"/>
  <c r="L224" i="11"/>
  <c r="AB224" i="11"/>
  <c r="S224" i="11"/>
  <c r="M39" i="7"/>
  <c r="H39" i="7"/>
  <c r="AG15" i="6" s="1"/>
  <c r="G39" i="7"/>
  <c r="E62" i="8" s="1"/>
  <c r="AU37" i="10"/>
  <c r="AU38" i="10" s="1"/>
  <c r="AU39" i="10" s="1"/>
  <c r="J39" i="7"/>
  <c r="E65" i="8" s="1"/>
  <c r="K39" i="7"/>
  <c r="AJ15" i="6" s="1"/>
  <c r="E39" i="7"/>
  <c r="E60" i="8" s="1"/>
  <c r="E125" i="8" s="1"/>
  <c r="AU30" i="10"/>
  <c r="F39" i="7"/>
  <c r="AE15" i="6" s="1"/>
  <c r="N39" i="7"/>
  <c r="AM15" i="6" s="1"/>
  <c r="Y213" i="11"/>
  <c r="AR213" i="11"/>
  <c r="AC213" i="11"/>
  <c r="AM213" i="11"/>
  <c r="C55" i="21"/>
  <c r="N240" i="11"/>
  <c r="M240" i="11"/>
  <c r="E240" i="11"/>
  <c r="AE240" i="11"/>
  <c r="AR240" i="11"/>
  <c r="C213" i="11"/>
  <c r="AQ213" i="11"/>
  <c r="AJ213" i="11"/>
  <c r="AF213" i="11"/>
  <c r="I213" i="11"/>
  <c r="X213" i="11"/>
  <c r="AP213" i="11"/>
  <c r="AI213" i="11"/>
  <c r="AO213" i="11"/>
  <c r="AB213" i="11"/>
  <c r="S213" i="11"/>
  <c r="BR30" i="10"/>
  <c r="W233" i="11"/>
  <c r="U235" i="11"/>
  <c r="H66" i="8"/>
  <c r="H131" i="8" s="1"/>
  <c r="H196" i="8" s="1"/>
  <c r="W213" i="11"/>
  <c r="AT213" i="11"/>
  <c r="Q213" i="11"/>
  <c r="N213" i="11"/>
  <c r="V213" i="11"/>
  <c r="H213" i="11"/>
  <c r="AE213" i="11"/>
  <c r="B208" i="11"/>
  <c r="AG240" i="11"/>
  <c r="S240" i="11"/>
  <c r="V240" i="11"/>
  <c r="R240" i="11"/>
  <c r="H240" i="11"/>
  <c r="K213" i="11"/>
  <c r="E213" i="11"/>
  <c r="AL213" i="11"/>
  <c r="J213" i="11"/>
  <c r="U213" i="11"/>
  <c r="AG213" i="11"/>
  <c r="AH213" i="11"/>
  <c r="G213" i="11"/>
  <c r="T213" i="11"/>
  <c r="AD213" i="11"/>
  <c r="CA15" i="6"/>
  <c r="CA26" i="6" s="1"/>
  <c r="CA27" i="6" s="1"/>
  <c r="CA28" i="6" s="1"/>
  <c r="S235" i="11"/>
  <c r="K127" i="9"/>
  <c r="K75" i="9" s="1"/>
  <c r="Y240" i="11"/>
  <c r="AF240" i="11"/>
  <c r="AT240" i="11"/>
  <c r="Q240" i="11"/>
  <c r="AP240" i="11"/>
  <c r="I240" i="11"/>
  <c r="AK240" i="11"/>
  <c r="F240" i="11"/>
  <c r="D240" i="11"/>
  <c r="AN240" i="11"/>
  <c r="AD240" i="11"/>
  <c r="BV30" i="10"/>
  <c r="AP37" i="10"/>
  <c r="AP38" i="10" s="1"/>
  <c r="AP39" i="10" s="1"/>
  <c r="T241" i="11"/>
  <c r="G241" i="11"/>
  <c r="AG241" i="11"/>
  <c r="V241" i="11"/>
  <c r="AD241" i="11"/>
  <c r="AA241" i="11"/>
  <c r="AE241" i="11"/>
  <c r="C241" i="11"/>
  <c r="AM241" i="11"/>
  <c r="L241" i="11"/>
  <c r="H241" i="11"/>
  <c r="E237" i="11"/>
  <c r="AF235" i="11"/>
  <c r="AP235" i="11"/>
  <c r="Z226" i="11"/>
  <c r="AB226" i="11"/>
  <c r="F226" i="11"/>
  <c r="Q226" i="11"/>
  <c r="U226" i="11"/>
  <c r="AQ226" i="11"/>
  <c r="AJ226" i="11"/>
  <c r="X226" i="11"/>
  <c r="S226" i="11"/>
  <c r="AL210" i="11"/>
  <c r="X210" i="11"/>
  <c r="AN210" i="11"/>
  <c r="P210" i="11"/>
  <c r="AA210" i="11"/>
  <c r="Z210" i="11"/>
  <c r="R210" i="11"/>
  <c r="V210" i="11"/>
  <c r="L210" i="11"/>
  <c r="S210" i="11"/>
  <c r="AD210" i="11"/>
  <c r="U232" i="11"/>
  <c r="AA240" i="11"/>
  <c r="AB240" i="11"/>
  <c r="AH240" i="11"/>
  <c r="J240" i="11"/>
  <c r="AS240" i="11"/>
  <c r="W240" i="11"/>
  <c r="AO240" i="11"/>
  <c r="AJ240" i="11"/>
  <c r="AM240" i="11"/>
  <c r="AC240" i="11"/>
  <c r="H60" i="8"/>
  <c r="H125" i="8" s="1"/>
  <c r="H190" i="8" s="1"/>
  <c r="BJ36" i="29"/>
  <c r="P241" i="11"/>
  <c r="W241" i="11"/>
  <c r="U241" i="11"/>
  <c r="AK241" i="11"/>
  <c r="J241" i="11"/>
  <c r="AO241" i="11"/>
  <c r="Z241" i="11"/>
  <c r="K241" i="11"/>
  <c r="AB241" i="11"/>
  <c r="AP241" i="11"/>
  <c r="BB22" i="10"/>
  <c r="CG42" i="29" s="1"/>
  <c r="AD235" i="11"/>
  <c r="F235" i="11"/>
  <c r="W226" i="11"/>
  <c r="AA226" i="11"/>
  <c r="J226" i="11"/>
  <c r="D226" i="11"/>
  <c r="AC226" i="11"/>
  <c r="AE226" i="11"/>
  <c r="AH226" i="11"/>
  <c r="AG226" i="11"/>
  <c r="Y210" i="11"/>
  <c r="AP210" i="11"/>
  <c r="AC210" i="11"/>
  <c r="AQ210" i="11"/>
  <c r="AJ210" i="11"/>
  <c r="N210" i="11"/>
  <c r="G210" i="11"/>
  <c r="AM210" i="11"/>
  <c r="F210" i="11"/>
  <c r="T210" i="11"/>
  <c r="BD37" i="10"/>
  <c r="BD38" i="10" s="1"/>
  <c r="BD39" i="10" s="1"/>
  <c r="AT225" i="11"/>
  <c r="Z225" i="11"/>
  <c r="CL36" i="29"/>
  <c r="CK36" i="29" s="1"/>
  <c r="BS37" i="10"/>
  <c r="BS38" i="10" s="1"/>
  <c r="BS39" i="10" s="1"/>
  <c r="AR233" i="11"/>
  <c r="AA233" i="11"/>
  <c r="E225" i="11"/>
  <c r="AG225" i="11"/>
  <c r="AC232" i="11"/>
  <c r="Q225" i="11"/>
  <c r="U225" i="11"/>
  <c r="J121" i="9"/>
  <c r="J69" i="9" s="1"/>
  <c r="AA232" i="11"/>
  <c r="BW30" i="10"/>
  <c r="AO15" i="10"/>
  <c r="AO37" i="10" s="1"/>
  <c r="AO38" i="10" s="1"/>
  <c r="K123" i="9"/>
  <c r="K71" i="9" s="1"/>
  <c r="AT237" i="11"/>
  <c r="R232" i="11"/>
  <c r="I120" i="9"/>
  <c r="I68" i="9" s="1"/>
  <c r="U237" i="11"/>
  <c r="AO225" i="11"/>
  <c r="S225" i="11"/>
  <c r="AS225" i="11"/>
  <c r="C233" i="11"/>
  <c r="T233" i="11"/>
  <c r="J233" i="11"/>
  <c r="BX30" i="10"/>
  <c r="BU37" i="10"/>
  <c r="BU38" i="10" s="1"/>
  <c r="BU39" i="10" s="1"/>
  <c r="DT36" i="29"/>
  <c r="DS36" i="29" s="1"/>
  <c r="I233" i="11"/>
  <c r="AN233" i="11"/>
  <c r="AS233" i="11"/>
  <c r="AJ233" i="11"/>
  <c r="S233" i="11"/>
  <c r="AO232" i="11"/>
  <c r="AM237" i="11"/>
  <c r="C237" i="11"/>
  <c r="AP237" i="11"/>
  <c r="BC37" i="10"/>
  <c r="BC38" i="10" s="1"/>
  <c r="BC39" i="10" s="1"/>
  <c r="S237" i="11"/>
  <c r="K237" i="11"/>
  <c r="DL36" i="29"/>
  <c r="DK36" i="29" s="1"/>
  <c r="CJ36" i="29"/>
  <c r="CI36" i="29" s="1"/>
  <c r="Y237" i="11"/>
  <c r="AG237" i="11"/>
  <c r="D237" i="11"/>
  <c r="D225" i="11"/>
  <c r="F225" i="11"/>
  <c r="AM225" i="11"/>
  <c r="AJ225" i="11"/>
  <c r="N225" i="11"/>
  <c r="EF36" i="29"/>
  <c r="EE36" i="29" s="1"/>
  <c r="K125" i="9"/>
  <c r="K73" i="9" s="1"/>
  <c r="AM233" i="11"/>
  <c r="F233" i="11"/>
  <c r="M233" i="11"/>
  <c r="AO233" i="11"/>
  <c r="AG233" i="11"/>
  <c r="K233" i="11"/>
  <c r="AI233" i="11"/>
  <c r="X233" i="11"/>
  <c r="Z233" i="11"/>
  <c r="AP233" i="11"/>
  <c r="AC233" i="11"/>
  <c r="BX37" i="10"/>
  <c r="BX38" i="10" s="1"/>
  <c r="BX39" i="10" s="1"/>
  <c r="H233" i="11"/>
  <c r="R233" i="11"/>
  <c r="N233" i="11"/>
  <c r="Q233" i="11"/>
  <c r="E233" i="11"/>
  <c r="AK233" i="11"/>
  <c r="AF233" i="11"/>
  <c r="AT233" i="11"/>
  <c r="Y233" i="11"/>
  <c r="AL233" i="11"/>
  <c r="D233" i="11"/>
  <c r="AL225" i="11"/>
  <c r="AC225" i="11"/>
  <c r="V225" i="11"/>
  <c r="I225" i="11"/>
  <c r="AH225" i="11"/>
  <c r="X225" i="11"/>
  <c r="I229" i="11"/>
  <c r="AQ233" i="11"/>
  <c r="O233" i="11"/>
  <c r="V233" i="11"/>
  <c r="G233" i="11"/>
  <c r="AB233" i="11"/>
  <c r="AE233" i="11"/>
  <c r="AH233" i="11"/>
  <c r="U233" i="11"/>
  <c r="P233" i="11"/>
  <c r="L233" i="11"/>
  <c r="DP36" i="29"/>
  <c r="DO36" i="29" s="1"/>
  <c r="K131" i="9"/>
  <c r="K79" i="9" s="1"/>
  <c r="AB229" i="11"/>
  <c r="AP225" i="11"/>
  <c r="CA37" i="10"/>
  <c r="CA38" i="10" s="1"/>
  <c r="CA39" i="10" s="1"/>
  <c r="AR225" i="11"/>
  <c r="M225" i="11"/>
  <c r="J225" i="11"/>
  <c r="O225" i="11"/>
  <c r="AN225" i="11"/>
  <c r="W225" i="11"/>
  <c r="AA225" i="11"/>
  <c r="G225" i="11"/>
  <c r="AB225" i="11"/>
  <c r="R225" i="11"/>
  <c r="AD225" i="11"/>
  <c r="C225" i="11"/>
  <c r="AI225" i="11"/>
  <c r="AK225" i="11"/>
  <c r="L225" i="11"/>
  <c r="T225" i="11"/>
  <c r="AQ225" i="11"/>
  <c r="H225" i="11"/>
  <c r="K225" i="11"/>
  <c r="AF225" i="11"/>
  <c r="O232" i="11"/>
  <c r="M232" i="11"/>
  <c r="AQ232" i="11"/>
  <c r="J120" i="9"/>
  <c r="J68" i="9" s="1"/>
  <c r="AJ237" i="11"/>
  <c r="N237" i="11"/>
  <c r="F237" i="11"/>
  <c r="M237" i="11"/>
  <c r="J237" i="11"/>
  <c r="AH237" i="11"/>
  <c r="AQ237" i="11"/>
  <c r="V237" i="11"/>
  <c r="H237" i="11"/>
  <c r="AE237" i="11"/>
  <c r="AL237" i="11"/>
  <c r="BK37" i="10"/>
  <c r="BK38" i="10" s="1"/>
  <c r="BK39" i="10" s="1"/>
  <c r="BQ30" i="10"/>
  <c r="R237" i="11"/>
  <c r="W237" i="11"/>
  <c r="AD237" i="11"/>
  <c r="T237" i="11"/>
  <c r="I237" i="11"/>
  <c r="P237" i="11"/>
  <c r="AS237" i="11"/>
  <c r="G237" i="11"/>
  <c r="AK237" i="11"/>
  <c r="AN237" i="11"/>
  <c r="AB237" i="11"/>
  <c r="H63" i="8"/>
  <c r="H128" i="8" s="1"/>
  <c r="H193" i="8" s="1"/>
  <c r="K121" i="9"/>
  <c r="K69" i="9" s="1"/>
  <c r="CZ36" i="29"/>
  <c r="CY36" i="29" s="1"/>
  <c r="J232" i="11"/>
  <c r="AB232" i="11"/>
  <c r="CR36" i="29"/>
  <c r="CQ36" i="29" s="1"/>
  <c r="AK245" i="11"/>
  <c r="AR246" i="11"/>
  <c r="T246" i="11"/>
  <c r="AA237" i="11"/>
  <c r="X237" i="11"/>
  <c r="Z237" i="11"/>
  <c r="AI237" i="11"/>
  <c r="AO237" i="11"/>
  <c r="AC237" i="11"/>
  <c r="O237" i="11"/>
  <c r="Q237" i="11"/>
  <c r="L237" i="11"/>
  <c r="AF237" i="11"/>
  <c r="Y235" i="11"/>
  <c r="AC235" i="11"/>
  <c r="AQ235" i="11"/>
  <c r="AM226" i="11"/>
  <c r="AI226" i="11"/>
  <c r="N226" i="11"/>
  <c r="I226" i="11"/>
  <c r="AT226" i="11"/>
  <c r="H226" i="11"/>
  <c r="AS226" i="11"/>
  <c r="C226" i="11"/>
  <c r="AN226" i="11"/>
  <c r="E226" i="11"/>
  <c r="C91" i="21"/>
  <c r="O111" i="7"/>
  <c r="D111" i="7"/>
  <c r="M111" i="7"/>
  <c r="L111" i="7"/>
  <c r="E111" i="7"/>
  <c r="H111" i="7"/>
  <c r="I111" i="7"/>
  <c r="N111" i="7"/>
  <c r="F111" i="7"/>
  <c r="K111" i="7"/>
  <c r="J111" i="7"/>
  <c r="G111" i="7"/>
  <c r="H232" i="11"/>
  <c r="Q232" i="11"/>
  <c r="AM232" i="11"/>
  <c r="CP36" i="29"/>
  <c r="CO36" i="29" s="1"/>
  <c r="BR37" i="10"/>
  <c r="BR38" i="10" s="1"/>
  <c r="BR39" i="10" s="1"/>
  <c r="AK235" i="11"/>
  <c r="E235" i="11"/>
  <c r="V235" i="11"/>
  <c r="D235" i="11"/>
  <c r="C235" i="11"/>
  <c r="J128" i="9"/>
  <c r="J76" i="9" s="1"/>
  <c r="AB228" i="11"/>
  <c r="AM228" i="11"/>
  <c r="O228" i="11"/>
  <c r="R228" i="11"/>
  <c r="I228" i="11"/>
  <c r="AG228" i="11"/>
  <c r="X228" i="11"/>
  <c r="P228" i="11"/>
  <c r="H228" i="11"/>
  <c r="I232" i="11"/>
  <c r="AH232" i="11"/>
  <c r="N232" i="11"/>
  <c r="D232" i="11"/>
  <c r="Z232" i="11"/>
  <c r="V232" i="11"/>
  <c r="Y232" i="11"/>
  <c r="F232" i="11"/>
  <c r="AN232" i="11"/>
  <c r="AK232" i="11"/>
  <c r="AF232" i="11"/>
  <c r="BI37" i="10"/>
  <c r="BI38" i="10" s="1"/>
  <c r="BI39" i="10" s="1"/>
  <c r="CV36" i="29"/>
  <c r="CU36" i="29" s="1"/>
  <c r="CX36" i="29"/>
  <c r="CW36" i="29" s="1"/>
  <c r="BB15" i="10"/>
  <c r="BB30" i="10" s="1"/>
  <c r="K122" i="9"/>
  <c r="K70" i="9" s="1"/>
  <c r="X245" i="11"/>
  <c r="L245" i="11"/>
  <c r="AQ245" i="11"/>
  <c r="X246" i="11"/>
  <c r="E246" i="11"/>
  <c r="D246" i="11"/>
  <c r="H61" i="8"/>
  <c r="H126" i="8" s="1"/>
  <c r="H191" i="8" s="1"/>
  <c r="AI235" i="11"/>
  <c r="T235" i="11"/>
  <c r="Q235" i="11"/>
  <c r="AN235" i="11"/>
  <c r="K235" i="11"/>
  <c r="G235" i="11"/>
  <c r="AE235" i="11"/>
  <c r="W235" i="11"/>
  <c r="J235" i="11"/>
  <c r="Z235" i="11"/>
  <c r="AR235" i="11"/>
  <c r="AS235" i="11"/>
  <c r="AJ232" i="11"/>
  <c r="W232" i="11"/>
  <c r="AL232" i="11"/>
  <c r="AR232" i="11"/>
  <c r="P232" i="11"/>
  <c r="X232" i="11"/>
  <c r="AS232" i="11"/>
  <c r="AE232" i="11"/>
  <c r="CT36" i="29"/>
  <c r="CS36" i="29" s="1"/>
  <c r="X235" i="11"/>
  <c r="R235" i="11"/>
  <c r="B234" i="11"/>
  <c r="AG235" i="11"/>
  <c r="O235" i="11"/>
  <c r="AH235" i="11"/>
  <c r="E21" i="7"/>
  <c r="C21" i="7" s="1"/>
  <c r="F228" i="11"/>
  <c r="S228" i="11"/>
  <c r="AO228" i="11"/>
  <c r="AK228" i="11"/>
  <c r="Z228" i="11"/>
  <c r="AD228" i="11"/>
  <c r="J228" i="11"/>
  <c r="AE228" i="11"/>
  <c r="C232" i="11"/>
  <c r="S232" i="11"/>
  <c r="AT232" i="11"/>
  <c r="E232" i="11"/>
  <c r="T232" i="11"/>
  <c r="L232" i="11"/>
  <c r="AI232" i="11"/>
  <c r="K232" i="11"/>
  <c r="AP232" i="11"/>
  <c r="AD232" i="11"/>
  <c r="BI30" i="10"/>
  <c r="U245" i="11"/>
  <c r="J245" i="11"/>
  <c r="AQ246" i="11"/>
  <c r="AS246" i="11"/>
  <c r="W246" i="11"/>
  <c r="AB235" i="11"/>
  <c r="P235" i="11"/>
  <c r="AM235" i="11"/>
  <c r="M235" i="11"/>
  <c r="AT235" i="11"/>
  <c r="AJ235" i="11"/>
  <c r="AO235" i="11"/>
  <c r="L235" i="11"/>
  <c r="I235" i="11"/>
  <c r="AL235" i="11"/>
  <c r="AI228" i="11"/>
  <c r="AA228" i="11"/>
  <c r="G228" i="11"/>
  <c r="M228" i="11"/>
  <c r="K228" i="11"/>
  <c r="V228" i="11"/>
  <c r="Q228" i="11"/>
  <c r="AS228" i="11"/>
  <c r="AQ228" i="11"/>
  <c r="L228" i="11"/>
  <c r="Q245" i="11"/>
  <c r="F245" i="11"/>
  <c r="R245" i="11"/>
  <c r="AT245" i="11"/>
  <c r="AJ245" i="11"/>
  <c r="Z245" i="11"/>
  <c r="C245" i="11"/>
  <c r="N245" i="11"/>
  <c r="M245" i="11"/>
  <c r="H245" i="11"/>
  <c r="T245" i="11"/>
  <c r="L246" i="11"/>
  <c r="AF246" i="11"/>
  <c r="K246" i="11"/>
  <c r="Y246" i="11"/>
  <c r="V246" i="11"/>
  <c r="C246" i="11"/>
  <c r="F246" i="11"/>
  <c r="G246" i="11"/>
  <c r="Q246" i="11"/>
  <c r="Z246" i="11"/>
  <c r="S246" i="11"/>
  <c r="G58" i="22"/>
  <c r="G123" i="22" s="1"/>
  <c r="G188" i="22" s="1"/>
  <c r="G206" i="22" s="1"/>
  <c r="BG19" i="10" s="1"/>
  <c r="D245" i="11"/>
  <c r="G245" i="11"/>
  <c r="E245" i="11"/>
  <c r="P245" i="11"/>
  <c r="AO245" i="11"/>
  <c r="S245" i="11"/>
  <c r="I245" i="11"/>
  <c r="W245" i="11"/>
  <c r="Y245" i="11"/>
  <c r="AR245" i="11"/>
  <c r="AG245" i="11"/>
  <c r="AC246" i="11"/>
  <c r="AN246" i="11"/>
  <c r="P246" i="11"/>
  <c r="O246" i="11"/>
  <c r="AE246" i="11"/>
  <c r="J246" i="11"/>
  <c r="AB246" i="11"/>
  <c r="AO246" i="11"/>
  <c r="AG246" i="11"/>
  <c r="AL246" i="11"/>
  <c r="AJ246" i="11"/>
  <c r="BZ15" i="6"/>
  <c r="BZ26" i="6" s="1"/>
  <c r="BZ27" i="6" s="1"/>
  <c r="BZ28" i="6" s="1"/>
  <c r="AP245" i="11"/>
  <c r="AI245" i="11"/>
  <c r="K245" i="11"/>
  <c r="AF245" i="11"/>
  <c r="AC245" i="11"/>
  <c r="AS245" i="11"/>
  <c r="AN245" i="11"/>
  <c r="AL245" i="11"/>
  <c r="AD245" i="11"/>
  <c r="AA245" i="11"/>
  <c r="H246" i="11"/>
  <c r="AI246" i="11"/>
  <c r="R246" i="11"/>
  <c r="U246" i="11"/>
  <c r="M246" i="11"/>
  <c r="AT246" i="11"/>
  <c r="AP246" i="11"/>
  <c r="I246" i="11"/>
  <c r="AA246" i="11"/>
  <c r="AH246" i="11"/>
  <c r="AO229" i="11"/>
  <c r="Z229" i="11"/>
  <c r="AD229" i="11"/>
  <c r="AA229" i="11"/>
  <c r="AE229" i="11"/>
  <c r="Q229" i="11"/>
  <c r="C73" i="21"/>
  <c r="C229" i="11"/>
  <c r="L229" i="11"/>
  <c r="AL229" i="11"/>
  <c r="BT30" i="10"/>
  <c r="BP15" i="6"/>
  <c r="BP26" i="6" s="1"/>
  <c r="BP27" i="6" s="1"/>
  <c r="BP28" i="6" s="1"/>
  <c r="DX36" i="29"/>
  <c r="DW36" i="29" s="1"/>
  <c r="DZ36" i="29"/>
  <c r="DY36" i="29" s="1"/>
  <c r="DV36" i="29"/>
  <c r="DU36" i="29" s="1"/>
  <c r="DR36" i="29"/>
  <c r="DQ36" i="29" s="1"/>
  <c r="K124" i="9"/>
  <c r="K72" i="9" s="1"/>
  <c r="BO15" i="10"/>
  <c r="BO30" i="10" s="1"/>
  <c r="AR229" i="11"/>
  <c r="R229" i="11"/>
  <c r="AS229" i="11"/>
  <c r="T229" i="11"/>
  <c r="E229" i="11"/>
  <c r="P229" i="11"/>
  <c r="S229" i="11"/>
  <c r="X229" i="11"/>
  <c r="U229" i="11"/>
  <c r="AQ229" i="11"/>
  <c r="AT229" i="11"/>
  <c r="B221" i="11"/>
  <c r="K229" i="11"/>
  <c r="AN229" i="11"/>
  <c r="W229" i="11"/>
  <c r="J229" i="11"/>
  <c r="H229" i="11"/>
  <c r="AC229" i="11"/>
  <c r="AG229" i="11"/>
  <c r="AH229" i="11"/>
  <c r="O229" i="11"/>
  <c r="AM229" i="11"/>
  <c r="AP229" i="11"/>
  <c r="M229" i="11"/>
  <c r="AI229" i="11"/>
  <c r="AJ229" i="11"/>
  <c r="V229" i="11"/>
  <c r="F229" i="11"/>
  <c r="D229" i="11"/>
  <c r="AK229" i="11"/>
  <c r="G229" i="11"/>
  <c r="N229" i="11"/>
  <c r="Y229" i="11"/>
  <c r="AU215" i="11"/>
  <c r="BX15" i="6"/>
  <c r="BX26" i="6" s="1"/>
  <c r="BX27" i="6" s="1"/>
  <c r="BX28" i="6" s="1"/>
  <c r="H65" i="8"/>
  <c r="H130" i="8" s="1"/>
  <c r="H195" i="8" s="1"/>
  <c r="AU214" i="11"/>
  <c r="AU223" i="11"/>
  <c r="C93" i="7"/>
  <c r="S93" i="7" s="1"/>
  <c r="BS15" i="6"/>
  <c r="BS26" i="6" s="1"/>
  <c r="BS27" i="6" s="1"/>
  <c r="BS28" i="6" s="1"/>
  <c r="AU209" i="11"/>
  <c r="AU244" i="11"/>
  <c r="AU212" i="11"/>
  <c r="AU242" i="11"/>
  <c r="AU243" i="11"/>
  <c r="AU218" i="11"/>
  <c r="AU236" i="11"/>
  <c r="AU231" i="11"/>
  <c r="AU239" i="11"/>
  <c r="AU227" i="11"/>
  <c r="AK30" i="10"/>
  <c r="H128" i="9"/>
  <c r="H76" i="9" s="1"/>
  <c r="AK37" i="10"/>
  <c r="AK38" i="10" s="1"/>
  <c r="AK39" i="10" s="1"/>
  <c r="AG37" i="10"/>
  <c r="AG38" i="10" s="1"/>
  <c r="AG39" i="10" s="1"/>
  <c r="H124" i="9"/>
  <c r="H72" i="9" s="1"/>
  <c r="AG30" i="10"/>
  <c r="BQ26" i="6"/>
  <c r="BQ27" i="6" s="1"/>
  <c r="BQ28" i="6" s="1"/>
  <c r="E129" i="22"/>
  <c r="AR26" i="6"/>
  <c r="AR27" i="6" s="1"/>
  <c r="AR28" i="6" s="1"/>
  <c r="J23" i="31"/>
  <c r="BG42" i="29"/>
  <c r="H130" i="9"/>
  <c r="H78" i="9" s="1"/>
  <c r="AM37" i="10"/>
  <c r="AM38" i="10" s="1"/>
  <c r="AM39" i="10" s="1"/>
  <c r="BD36" i="29"/>
  <c r="AM30" i="10"/>
  <c r="AS198" i="11"/>
  <c r="X198" i="11"/>
  <c r="AL198" i="11"/>
  <c r="AJ198" i="11"/>
  <c r="AT198" i="11"/>
  <c r="E198" i="11"/>
  <c r="C198" i="11"/>
  <c r="I198" i="11"/>
  <c r="G198" i="11"/>
  <c r="U198" i="11"/>
  <c r="S198" i="11"/>
  <c r="R198" i="11"/>
  <c r="AN198" i="11"/>
  <c r="O198" i="11"/>
  <c r="Q198" i="11"/>
  <c r="K198" i="11"/>
  <c r="Y198" i="11"/>
  <c r="W198" i="11"/>
  <c r="AG198" i="11"/>
  <c r="AA198" i="11"/>
  <c r="AO198" i="11"/>
  <c r="AM198" i="11"/>
  <c r="AC198" i="11"/>
  <c r="N198" i="11"/>
  <c r="Z198" i="11"/>
  <c r="AD198" i="11"/>
  <c r="AP198" i="11"/>
  <c r="AH198" i="11"/>
  <c r="AE198" i="11"/>
  <c r="AI198" i="11"/>
  <c r="AQ198" i="11"/>
  <c r="L198" i="11"/>
  <c r="T198" i="11"/>
  <c r="H198" i="11"/>
  <c r="D198" i="11"/>
  <c r="P198" i="11"/>
  <c r="AB198" i="11"/>
  <c r="AF198" i="11"/>
  <c r="AR198" i="11"/>
  <c r="AK198" i="11"/>
  <c r="F198" i="11"/>
  <c r="M198" i="11"/>
  <c r="V198" i="11"/>
  <c r="J198" i="11"/>
  <c r="DM36" i="29"/>
  <c r="R202" i="11"/>
  <c r="AN202" i="11"/>
  <c r="O202" i="11"/>
  <c r="Q202" i="11"/>
  <c r="K202" i="11"/>
  <c r="I202" i="11"/>
  <c r="G202" i="11"/>
  <c r="Y202" i="11"/>
  <c r="W202" i="11"/>
  <c r="U202" i="11"/>
  <c r="V202" i="11"/>
  <c r="AH202" i="11"/>
  <c r="M202" i="11"/>
  <c r="AE202" i="11"/>
  <c r="AK202" i="11"/>
  <c r="AI202" i="11"/>
  <c r="AG202" i="11"/>
  <c r="AA202" i="11"/>
  <c r="F202" i="11"/>
  <c r="AQ202" i="11"/>
  <c r="AO202" i="11"/>
  <c r="S202" i="11"/>
  <c r="X202" i="11"/>
  <c r="AJ202" i="11"/>
  <c r="AF202" i="11"/>
  <c r="E202" i="11"/>
  <c r="T202" i="11"/>
  <c r="AC202" i="11"/>
  <c r="N202" i="11"/>
  <c r="J202" i="11"/>
  <c r="Z202" i="11"/>
  <c r="AP202" i="11"/>
  <c r="AS202" i="11"/>
  <c r="AL202" i="11"/>
  <c r="AD202" i="11"/>
  <c r="AT202" i="11"/>
  <c r="C202" i="11"/>
  <c r="AR202" i="11"/>
  <c r="H202" i="11"/>
  <c r="AB202" i="11"/>
  <c r="AM202" i="11"/>
  <c r="L202" i="11"/>
  <c r="D202" i="11"/>
  <c r="P202" i="11"/>
  <c r="I197" i="11"/>
  <c r="AA197" i="11"/>
  <c r="J197" i="11"/>
  <c r="L197" i="11"/>
  <c r="N197" i="11"/>
  <c r="D197" i="11"/>
  <c r="F197" i="11"/>
  <c r="X197" i="11"/>
  <c r="V197" i="11"/>
  <c r="AI197" i="11"/>
  <c r="O197" i="11"/>
  <c r="Y197" i="11"/>
  <c r="AQ197" i="11"/>
  <c r="Z197" i="11"/>
  <c r="AF197" i="11"/>
  <c r="AH197" i="11"/>
  <c r="AB197" i="11"/>
  <c r="AD197" i="11"/>
  <c r="AR197" i="11"/>
  <c r="AT197" i="11"/>
  <c r="P197" i="11"/>
  <c r="Q197" i="11"/>
  <c r="H197" i="11"/>
  <c r="K197" i="11"/>
  <c r="AE197" i="11"/>
  <c r="W197" i="11"/>
  <c r="AM197" i="11"/>
  <c r="AL197" i="11"/>
  <c r="T197" i="11"/>
  <c r="M197" i="11"/>
  <c r="E197" i="11"/>
  <c r="U197" i="11"/>
  <c r="AN197" i="11"/>
  <c r="AJ197" i="11"/>
  <c r="AG197" i="11"/>
  <c r="AC197" i="11"/>
  <c r="AS197" i="11"/>
  <c r="AK197" i="11"/>
  <c r="AO197" i="11"/>
  <c r="S197" i="11"/>
  <c r="R197" i="11"/>
  <c r="C197" i="11"/>
  <c r="AP197" i="11"/>
  <c r="G197" i="11"/>
  <c r="H131" i="9"/>
  <c r="H79" i="9" s="1"/>
  <c r="AN30" i="10"/>
  <c r="AN37" i="10"/>
  <c r="AN38" i="10" s="1"/>
  <c r="AN39" i="10" s="1"/>
  <c r="BF36" i="29"/>
  <c r="D69" i="8"/>
  <c r="Z15" i="6"/>
  <c r="AJ30" i="10"/>
  <c r="AJ37" i="10"/>
  <c r="AJ38" i="10" s="1"/>
  <c r="AJ39" i="10" s="1"/>
  <c r="H127" i="9"/>
  <c r="H75" i="9" s="1"/>
  <c r="BI15" i="6"/>
  <c r="G65" i="8"/>
  <c r="G130" i="8" s="1"/>
  <c r="G195" i="8" s="1"/>
  <c r="G59" i="8"/>
  <c r="G124" i="8" s="1"/>
  <c r="G189" i="8" s="1"/>
  <c r="C75" i="7"/>
  <c r="BC15" i="6"/>
  <c r="G61" i="8"/>
  <c r="G126" i="8" s="1"/>
  <c r="G191" i="8" s="1"/>
  <c r="BE15" i="6"/>
  <c r="C37" i="21"/>
  <c r="AF30" i="10"/>
  <c r="AR36" i="29"/>
  <c r="AP36" i="29"/>
  <c r="H123" i="9"/>
  <c r="H71" i="9" s="1"/>
  <c r="AV36" i="29"/>
  <c r="AT36" i="29"/>
  <c r="AZ36" i="29"/>
  <c r="AF37" i="10"/>
  <c r="AF38" i="10" s="1"/>
  <c r="AF39" i="10" s="1"/>
  <c r="AX36" i="29"/>
  <c r="BK36" i="29"/>
  <c r="AN36" i="29"/>
  <c r="AE37" i="10"/>
  <c r="AE38" i="10" s="1"/>
  <c r="AE39" i="10" s="1"/>
  <c r="H122" i="9"/>
  <c r="H70" i="9" s="1"/>
  <c r="AE30" i="10"/>
  <c r="E15" i="10"/>
  <c r="AI203" i="11"/>
  <c r="R203" i="11"/>
  <c r="AN203" i="11"/>
  <c r="K203" i="11"/>
  <c r="Q203" i="11"/>
  <c r="W203" i="11"/>
  <c r="Y203" i="11"/>
  <c r="G203" i="11"/>
  <c r="I203" i="11"/>
  <c r="O203" i="11"/>
  <c r="U203" i="11"/>
  <c r="H203" i="11"/>
  <c r="AH203" i="11"/>
  <c r="M203" i="11"/>
  <c r="AE203" i="11"/>
  <c r="AK203" i="11"/>
  <c r="AQ203" i="11"/>
  <c r="F203" i="11"/>
  <c r="AA203" i="11"/>
  <c r="AG203" i="11"/>
  <c r="AM203" i="11"/>
  <c r="AO203" i="11"/>
  <c r="S203" i="11"/>
  <c r="X203" i="11"/>
  <c r="AJ203" i="11"/>
  <c r="E203" i="11"/>
  <c r="AF203" i="11"/>
  <c r="AR203" i="11"/>
  <c r="AC203" i="11"/>
  <c r="N203" i="11"/>
  <c r="Z203" i="11"/>
  <c r="J203" i="11"/>
  <c r="V203" i="11"/>
  <c r="AS203" i="11"/>
  <c r="AL203" i="11"/>
  <c r="AT203" i="11"/>
  <c r="AD203" i="11"/>
  <c r="AP203" i="11"/>
  <c r="D203" i="11"/>
  <c r="T203" i="11"/>
  <c r="C203" i="11"/>
  <c r="L203" i="11"/>
  <c r="P203" i="11"/>
  <c r="AB203" i="11"/>
  <c r="CE36" i="29"/>
  <c r="AN15" i="6"/>
  <c r="E70" i="8"/>
  <c r="E19" i="21"/>
  <c r="Q15" i="10"/>
  <c r="B184" i="11"/>
  <c r="D60" i="22"/>
  <c r="AI207" i="11"/>
  <c r="R207" i="11"/>
  <c r="AN207" i="11"/>
  <c r="K207" i="11"/>
  <c r="Q207" i="11"/>
  <c r="G207" i="11"/>
  <c r="I207" i="11"/>
  <c r="W207" i="11"/>
  <c r="Y207" i="11"/>
  <c r="AP207" i="11"/>
  <c r="O207" i="11"/>
  <c r="H207" i="11"/>
  <c r="AH207" i="11"/>
  <c r="M207" i="11"/>
  <c r="AE207" i="11"/>
  <c r="AK207" i="11"/>
  <c r="AA207" i="11"/>
  <c r="AG207" i="11"/>
  <c r="AQ207" i="11"/>
  <c r="F207" i="11"/>
  <c r="AM207" i="11"/>
  <c r="AR207" i="11"/>
  <c r="C207" i="11"/>
  <c r="AC207" i="11"/>
  <c r="D207" i="11"/>
  <c r="N207" i="11"/>
  <c r="P207" i="11"/>
  <c r="J207" i="11"/>
  <c r="L207" i="11"/>
  <c r="Z207" i="11"/>
  <c r="AB207" i="11"/>
  <c r="U207" i="11"/>
  <c r="T207" i="11"/>
  <c r="X207" i="11"/>
  <c r="AF207" i="11"/>
  <c r="AO207" i="11"/>
  <c r="AL207" i="11"/>
  <c r="AS207" i="11"/>
  <c r="AD207" i="11"/>
  <c r="V207" i="11"/>
  <c r="AT207" i="11"/>
  <c r="S207" i="11"/>
  <c r="AJ207" i="11"/>
  <c r="E207" i="11"/>
  <c r="EC36" i="29"/>
  <c r="BT26" i="6"/>
  <c r="BT27" i="6" s="1"/>
  <c r="BT28" i="6" s="1"/>
  <c r="BR26" i="6"/>
  <c r="BR27" i="6" s="1"/>
  <c r="BR28" i="6" s="1"/>
  <c r="C130" i="21"/>
  <c r="AB22" i="10"/>
  <c r="E58" i="22"/>
  <c r="E123" i="22" s="1"/>
  <c r="E188" i="22" s="1"/>
  <c r="L196" i="11"/>
  <c r="AL196" i="11"/>
  <c r="Q196" i="11"/>
  <c r="S196" i="11"/>
  <c r="Y196" i="11"/>
  <c r="R196" i="11"/>
  <c r="AE196" i="11"/>
  <c r="AK196" i="11"/>
  <c r="C196" i="11"/>
  <c r="I196" i="11"/>
  <c r="AP196" i="11"/>
  <c r="AB196" i="11"/>
  <c r="G196" i="11"/>
  <c r="AG196" i="11"/>
  <c r="AQ196" i="11"/>
  <c r="AS196" i="11"/>
  <c r="O196" i="11"/>
  <c r="D196" i="11"/>
  <c r="N196" i="11"/>
  <c r="B195" i="11"/>
  <c r="AC196" i="11"/>
  <c r="P196" i="11"/>
  <c r="AM196" i="11"/>
  <c r="AN196" i="11"/>
  <c r="E196" i="11"/>
  <c r="K196" i="11"/>
  <c r="AD196" i="11"/>
  <c r="AO196" i="11"/>
  <c r="AR196" i="11"/>
  <c r="F196" i="11"/>
  <c r="Z196" i="11"/>
  <c r="AF196" i="11"/>
  <c r="X196" i="11"/>
  <c r="AA196" i="11"/>
  <c r="H196" i="11"/>
  <c r="V196" i="11"/>
  <c r="AT196" i="11"/>
  <c r="U196" i="11"/>
  <c r="M196" i="11"/>
  <c r="AI196" i="11"/>
  <c r="T196" i="11"/>
  <c r="AJ196" i="11"/>
  <c r="W196" i="11"/>
  <c r="J196" i="11"/>
  <c r="AH196" i="11"/>
  <c r="DE36" i="29"/>
  <c r="G63" i="8"/>
  <c r="G128" i="8" s="1"/>
  <c r="G193" i="8" s="1"/>
  <c r="BG15" i="6"/>
  <c r="BF15" i="6"/>
  <c r="G62" i="8"/>
  <c r="G127" i="8" s="1"/>
  <c r="G192" i="8" s="1"/>
  <c r="G66" i="8"/>
  <c r="G131" i="8" s="1"/>
  <c r="G196" i="8" s="1"/>
  <c r="BJ15" i="6"/>
  <c r="DI36" i="29"/>
  <c r="BM36" i="29"/>
  <c r="DC36" i="29"/>
  <c r="E130" i="22"/>
  <c r="P30" i="10"/>
  <c r="G120" i="9"/>
  <c r="G68" i="9" s="1"/>
  <c r="C15" i="10"/>
  <c r="P37" i="10"/>
  <c r="J36" i="29"/>
  <c r="I2" i="9"/>
  <c r="BW26" i="6"/>
  <c r="BW27" i="6" s="1"/>
  <c r="BW28" i="6" s="1"/>
  <c r="BM15" i="6"/>
  <c r="G69" i="8"/>
  <c r="G134" i="8" s="1"/>
  <c r="G199" i="8" s="1"/>
  <c r="G70" i="8"/>
  <c r="G135" i="8" s="1"/>
  <c r="G200" i="8" s="1"/>
  <c r="BN15" i="6"/>
  <c r="BK15" i="6"/>
  <c r="G67" i="8"/>
  <c r="G132" i="8" s="1"/>
  <c r="G197" i="8" s="1"/>
  <c r="H204" i="11"/>
  <c r="AE204" i="11"/>
  <c r="N204" i="11"/>
  <c r="AF204" i="11"/>
  <c r="AH204" i="11"/>
  <c r="AR204" i="11"/>
  <c r="O204" i="11"/>
  <c r="Y204" i="11"/>
  <c r="G204" i="11"/>
  <c r="T204" i="11"/>
  <c r="V204" i="11"/>
  <c r="AQ204" i="11"/>
  <c r="F204" i="11"/>
  <c r="P204" i="11"/>
  <c r="R204" i="11"/>
  <c r="D204" i="11"/>
  <c r="AO204" i="11"/>
  <c r="AA204" i="11"/>
  <c r="M204" i="11"/>
  <c r="AP204" i="11"/>
  <c r="AB204" i="11"/>
  <c r="Z204" i="11"/>
  <c r="AJ204" i="11"/>
  <c r="AL204" i="11"/>
  <c r="X204" i="11"/>
  <c r="AD204" i="11"/>
  <c r="L204" i="11"/>
  <c r="AG204" i="11"/>
  <c r="S204" i="11"/>
  <c r="U204" i="11"/>
  <c r="C204" i="11"/>
  <c r="E204" i="11"/>
  <c r="K204" i="11"/>
  <c r="Q204" i="11"/>
  <c r="J204" i="11"/>
  <c r="AC204" i="11"/>
  <c r="AM204" i="11"/>
  <c r="AI204" i="11"/>
  <c r="I204" i="11"/>
  <c r="W204" i="11"/>
  <c r="AN204" i="11"/>
  <c r="AT204" i="11"/>
  <c r="AS204" i="11"/>
  <c r="AK204" i="11"/>
  <c r="E128" i="22"/>
  <c r="C63" i="22"/>
  <c r="AG201" i="11"/>
  <c r="L201" i="11"/>
  <c r="AH201" i="11"/>
  <c r="E201" i="11"/>
  <c r="AT201" i="11"/>
  <c r="AN201" i="11"/>
  <c r="M201" i="11"/>
  <c r="K201" i="11"/>
  <c r="T201" i="11"/>
  <c r="I201" i="11"/>
  <c r="G201" i="11"/>
  <c r="H201" i="11"/>
  <c r="AB201" i="11"/>
  <c r="C201" i="11"/>
  <c r="Y201" i="11"/>
  <c r="W201" i="11"/>
  <c r="AO201" i="11"/>
  <c r="AK201" i="11"/>
  <c r="AE201" i="11"/>
  <c r="U201" i="11"/>
  <c r="AC201" i="11"/>
  <c r="AA201" i="11"/>
  <c r="AR201" i="11"/>
  <c r="S201" i="11"/>
  <c r="AS201" i="11"/>
  <c r="AQ201" i="11"/>
  <c r="F201" i="11"/>
  <c r="V201" i="11"/>
  <c r="P201" i="11"/>
  <c r="N201" i="11"/>
  <c r="AP201" i="11"/>
  <c r="D201" i="11"/>
  <c r="J201" i="11"/>
  <c r="AI201" i="11"/>
  <c r="AM201" i="11"/>
  <c r="AF201" i="11"/>
  <c r="AJ201" i="11"/>
  <c r="Q201" i="11"/>
  <c r="Z201" i="11"/>
  <c r="O201" i="11"/>
  <c r="R201" i="11"/>
  <c r="AD201" i="11"/>
  <c r="X201" i="11"/>
  <c r="AL201" i="11"/>
  <c r="BU26" i="6"/>
  <c r="BU27" i="6" s="1"/>
  <c r="BU28" i="6" s="1"/>
  <c r="M205" i="11"/>
  <c r="AE205" i="11"/>
  <c r="N205" i="11"/>
  <c r="T205" i="11"/>
  <c r="V205" i="11"/>
  <c r="AG205" i="11"/>
  <c r="AA205" i="11"/>
  <c r="E205" i="11"/>
  <c r="F205" i="11"/>
  <c r="AQ205" i="11"/>
  <c r="R205" i="11"/>
  <c r="H205" i="11"/>
  <c r="X205" i="11"/>
  <c r="AD205" i="11"/>
  <c r="AM205" i="11"/>
  <c r="AI205" i="11"/>
  <c r="L205" i="11"/>
  <c r="AB205" i="11"/>
  <c r="AL205" i="11"/>
  <c r="P205" i="11"/>
  <c r="AN205" i="11"/>
  <c r="AT205" i="11"/>
  <c r="AR205" i="11"/>
  <c r="Q205" i="11"/>
  <c r="AF205" i="11"/>
  <c r="J205" i="11"/>
  <c r="AJ205" i="11"/>
  <c r="AK205" i="11"/>
  <c r="AC205" i="11"/>
  <c r="O205" i="11"/>
  <c r="U205" i="11"/>
  <c r="AP205" i="11"/>
  <c r="I205" i="11"/>
  <c r="AH205" i="11"/>
  <c r="C205" i="11"/>
  <c r="Z205" i="11"/>
  <c r="D205" i="11"/>
  <c r="G205" i="11"/>
  <c r="AO205" i="11"/>
  <c r="AS205" i="11"/>
  <c r="K205" i="11"/>
  <c r="S205" i="11"/>
  <c r="Y205" i="11"/>
  <c r="W205" i="11"/>
  <c r="G199" i="11"/>
  <c r="AG199" i="11"/>
  <c r="L199" i="11"/>
  <c r="J199" i="11"/>
  <c r="D199" i="11"/>
  <c r="AP199" i="11"/>
  <c r="AN199" i="11"/>
  <c r="Z199" i="11"/>
  <c r="X199" i="11"/>
  <c r="N199" i="11"/>
  <c r="P199" i="11"/>
  <c r="W199" i="11"/>
  <c r="F199" i="11"/>
  <c r="AB199" i="11"/>
  <c r="AD199" i="11"/>
  <c r="AF199" i="11"/>
  <c r="O199" i="11"/>
  <c r="U199" i="11"/>
  <c r="AT199" i="11"/>
  <c r="E199" i="11"/>
  <c r="AH199" i="11"/>
  <c r="AJ199" i="11"/>
  <c r="AL199" i="11"/>
  <c r="AA199" i="11"/>
  <c r="S199" i="11"/>
  <c r="T199" i="11"/>
  <c r="AE199" i="11"/>
  <c r="AM199" i="11"/>
  <c r="AR199" i="11"/>
  <c r="I199" i="11"/>
  <c r="AO199" i="11"/>
  <c r="Y199" i="11"/>
  <c r="M199" i="11"/>
  <c r="H199" i="11"/>
  <c r="Q199" i="11"/>
  <c r="AC199" i="11"/>
  <c r="R199" i="11"/>
  <c r="AS199" i="11"/>
  <c r="AK199" i="11"/>
  <c r="AI199" i="11"/>
  <c r="C199" i="11"/>
  <c r="AQ199" i="11"/>
  <c r="V199" i="11"/>
  <c r="K199" i="11"/>
  <c r="AL206" i="11"/>
  <c r="Q206" i="11"/>
  <c r="AI206" i="11"/>
  <c r="M206" i="11"/>
  <c r="AT206" i="11"/>
  <c r="E206" i="11"/>
  <c r="R206" i="11"/>
  <c r="AM206" i="11"/>
  <c r="P206" i="11"/>
  <c r="AP206" i="11"/>
  <c r="AD206" i="11"/>
  <c r="H206" i="11"/>
  <c r="AG206" i="11"/>
  <c r="L206" i="11"/>
  <c r="AH206" i="11"/>
  <c r="D206" i="11"/>
  <c r="Y206" i="11"/>
  <c r="W206" i="11"/>
  <c r="T206" i="11"/>
  <c r="AJ206" i="11"/>
  <c r="AA206" i="11"/>
  <c r="K206" i="11"/>
  <c r="AR206" i="11"/>
  <c r="AE206" i="11"/>
  <c r="X206" i="11"/>
  <c r="N206" i="11"/>
  <c r="U206" i="11"/>
  <c r="F206" i="11"/>
  <c r="C206" i="11"/>
  <c r="AS206" i="11"/>
  <c r="AN206" i="11"/>
  <c r="AF206" i="11"/>
  <c r="G206" i="11"/>
  <c r="V206" i="11"/>
  <c r="S206" i="11"/>
  <c r="Z206" i="11"/>
  <c r="AO206" i="11"/>
  <c r="J206" i="11"/>
  <c r="I206" i="11"/>
  <c r="AQ206" i="11"/>
  <c r="AK206" i="11"/>
  <c r="AC206" i="11"/>
  <c r="AB206" i="11"/>
  <c r="O206" i="11"/>
  <c r="E132" i="22"/>
  <c r="AR200" i="11"/>
  <c r="S200" i="11"/>
  <c r="AS200" i="11"/>
  <c r="AQ200" i="11"/>
  <c r="F200" i="11"/>
  <c r="P200" i="11"/>
  <c r="N200" i="11"/>
  <c r="T200" i="11"/>
  <c r="V200" i="11"/>
  <c r="D200" i="11"/>
  <c r="J200" i="11"/>
  <c r="H200" i="11"/>
  <c r="AI200" i="11"/>
  <c r="R200" i="11"/>
  <c r="X200" i="11"/>
  <c r="Z200" i="11"/>
  <c r="AJ200" i="11"/>
  <c r="AL200" i="11"/>
  <c r="AN200" i="11"/>
  <c r="AP200" i="11"/>
  <c r="AF200" i="11"/>
  <c r="AD200" i="11"/>
  <c r="AB200" i="11"/>
  <c r="AC200" i="11"/>
  <c r="Y200" i="11"/>
  <c r="AK200" i="11"/>
  <c r="AO200" i="11"/>
  <c r="AG200" i="11"/>
  <c r="AH200" i="11"/>
  <c r="AT200" i="11"/>
  <c r="K200" i="11"/>
  <c r="O200" i="11"/>
  <c r="G200" i="11"/>
  <c r="C200" i="11"/>
  <c r="W200" i="11"/>
  <c r="AE200" i="11"/>
  <c r="AM200" i="11"/>
  <c r="AA200" i="11"/>
  <c r="L200" i="11"/>
  <c r="U200" i="11"/>
  <c r="I200" i="11"/>
  <c r="Q200" i="11"/>
  <c r="M200" i="11"/>
  <c r="E200" i="11"/>
  <c r="BV26" i="6"/>
  <c r="BV27" i="6" s="1"/>
  <c r="BV28" i="6" s="1"/>
  <c r="H125" i="9"/>
  <c r="H73" i="9" s="1"/>
  <c r="AH30" i="10"/>
  <c r="AH37" i="10"/>
  <c r="AH38" i="10" s="1"/>
  <c r="AH39" i="10" s="1"/>
  <c r="P15" i="6"/>
  <c r="D59" i="8"/>
  <c r="E127" i="22"/>
  <c r="C62" i="22"/>
  <c r="E126" i="22"/>
  <c r="D69" i="22"/>
  <c r="Z15" i="10"/>
  <c r="N19" i="21"/>
  <c r="B193" i="11"/>
  <c r="AI37" i="10"/>
  <c r="AI38" i="10" s="1"/>
  <c r="AI39" i="10" s="1"/>
  <c r="H126" i="9"/>
  <c r="H74" i="9" s="1"/>
  <c r="AI30" i="10"/>
  <c r="AD30" i="10"/>
  <c r="AD37" i="10"/>
  <c r="AD38" i="10" s="1"/>
  <c r="AD39" i="10" s="1"/>
  <c r="H121" i="9"/>
  <c r="H69" i="9" s="1"/>
  <c r="AL36" i="29"/>
  <c r="E135" i="22"/>
  <c r="CM36" i="29"/>
  <c r="AB15" i="10"/>
  <c r="H120" i="9"/>
  <c r="H68" i="9" s="1"/>
  <c r="AJ36" i="29"/>
  <c r="AC37" i="10"/>
  <c r="AC38" i="10" s="1"/>
  <c r="AC39" i="10" s="1"/>
  <c r="AC30" i="10"/>
  <c r="E131" i="22"/>
  <c r="C66" i="22"/>
  <c r="BH15" i="6"/>
  <c r="G64" i="8"/>
  <c r="G129" i="8" s="1"/>
  <c r="G194" i="8" s="1"/>
  <c r="BD15" i="6"/>
  <c r="G60" i="8"/>
  <c r="G125" i="8" s="1"/>
  <c r="G190" i="8" s="1"/>
  <c r="AU222" i="11"/>
  <c r="C21" i="21"/>
  <c r="AX29" i="34" l="1"/>
  <c r="AX30" i="34" s="1"/>
  <c r="G236" i="22"/>
  <c r="W236" i="22"/>
  <c r="AU236" i="22"/>
  <c r="AD236" i="22"/>
  <c r="AO236" i="22"/>
  <c r="AB236" i="22"/>
  <c r="AQ236" i="22"/>
  <c r="T236" i="22"/>
  <c r="H236" i="22"/>
  <c r="AO235" i="22"/>
  <c r="AQ235" i="22"/>
  <c r="I235" i="22"/>
  <c r="P235" i="22"/>
  <c r="AE235" i="22"/>
  <c r="AI236" i="22"/>
  <c r="AJ236" i="22"/>
  <c r="AS239" i="22"/>
  <c r="AK239" i="22"/>
  <c r="I191" i="22"/>
  <c r="AD239" i="22"/>
  <c r="J237" i="22"/>
  <c r="AM237" i="22"/>
  <c r="V237" i="22"/>
  <c r="F239" i="22"/>
  <c r="AA240" i="22"/>
  <c r="AT240" i="22"/>
  <c r="AS240" i="22"/>
  <c r="R240" i="22"/>
  <c r="N237" i="22"/>
  <c r="C18" i="31"/>
  <c r="AG237" i="22"/>
  <c r="S237" i="22"/>
  <c r="H237" i="22"/>
  <c r="AJ237" i="22"/>
  <c r="AV237" i="22"/>
  <c r="M237" i="22"/>
  <c r="AQ237" i="22"/>
  <c r="AI240" i="22"/>
  <c r="F240" i="22"/>
  <c r="Z240" i="22"/>
  <c r="AG240" i="22"/>
  <c r="AQ240" i="22"/>
  <c r="AB240" i="22"/>
  <c r="AH240" i="22"/>
  <c r="AU240" i="22"/>
  <c r="T240" i="22"/>
  <c r="V240" i="22"/>
  <c r="AE240" i="22"/>
  <c r="Q240" i="22"/>
  <c r="AN240" i="22"/>
  <c r="I240" i="22"/>
  <c r="G240" i="22"/>
  <c r="K240" i="22"/>
  <c r="AR240" i="22"/>
  <c r="L240" i="22"/>
  <c r="S240" i="22"/>
  <c r="AD240" i="22"/>
  <c r="W240" i="22"/>
  <c r="J240" i="22"/>
  <c r="AJ240" i="22"/>
  <c r="AO240" i="22"/>
  <c r="N240" i="22"/>
  <c r="O240" i="22"/>
  <c r="H240" i="22"/>
  <c r="H210" i="22"/>
  <c r="BX19" i="10" s="1"/>
  <c r="BX31" i="10" s="1"/>
  <c r="X240" i="22"/>
  <c r="AL240" i="22"/>
  <c r="AV240" i="22"/>
  <c r="E240" i="22"/>
  <c r="Y240" i="22"/>
  <c r="AF240" i="22"/>
  <c r="AC240" i="22"/>
  <c r="M240" i="22"/>
  <c r="H201" i="22"/>
  <c r="BO19" i="10" s="1"/>
  <c r="P240" i="22"/>
  <c r="U240" i="22"/>
  <c r="AP240" i="22"/>
  <c r="AK240" i="22"/>
  <c r="AR236" i="22"/>
  <c r="AA236" i="22"/>
  <c r="Q236" i="22"/>
  <c r="S236" i="22"/>
  <c r="AS236" i="22"/>
  <c r="AV236" i="22"/>
  <c r="AN236" i="22"/>
  <c r="AT236" i="22"/>
  <c r="X236" i="22"/>
  <c r="Y236" i="22"/>
  <c r="AM236" i="22"/>
  <c r="P236" i="22"/>
  <c r="AL236" i="22"/>
  <c r="P238" i="22"/>
  <c r="AC236" i="22"/>
  <c r="AP236" i="22"/>
  <c r="N236" i="22"/>
  <c r="AK236" i="22"/>
  <c r="I236" i="22"/>
  <c r="M236" i="22"/>
  <c r="AH236" i="22"/>
  <c r="U236" i="22"/>
  <c r="AE236" i="22"/>
  <c r="V236" i="22"/>
  <c r="R236" i="22"/>
  <c r="AG236" i="22"/>
  <c r="I194" i="22"/>
  <c r="J236" i="22"/>
  <c r="K236" i="22"/>
  <c r="AF236" i="22"/>
  <c r="L236" i="22"/>
  <c r="E236" i="22"/>
  <c r="Z236" i="22"/>
  <c r="O236" i="22"/>
  <c r="Y235" i="22"/>
  <c r="AT235" i="22"/>
  <c r="S235" i="22"/>
  <c r="AD235" i="22"/>
  <c r="AM235" i="22"/>
  <c r="I195" i="22"/>
  <c r="AL235" i="22"/>
  <c r="AN235" i="22"/>
  <c r="F235" i="22"/>
  <c r="V235" i="22"/>
  <c r="N235" i="22"/>
  <c r="K235" i="22"/>
  <c r="AS235" i="22"/>
  <c r="W235" i="22"/>
  <c r="R235" i="22"/>
  <c r="AG235" i="22"/>
  <c r="AP235" i="22"/>
  <c r="AC235" i="22"/>
  <c r="AB235" i="22"/>
  <c r="L235" i="22"/>
  <c r="X235" i="22"/>
  <c r="Z235" i="22"/>
  <c r="AH235" i="22"/>
  <c r="AU235" i="22"/>
  <c r="T235" i="22"/>
  <c r="H235" i="22"/>
  <c r="Q235" i="22"/>
  <c r="E235" i="22"/>
  <c r="G235" i="22"/>
  <c r="AV235" i="22"/>
  <c r="AI235" i="22"/>
  <c r="M235" i="22"/>
  <c r="O235" i="22"/>
  <c r="AF235" i="22"/>
  <c r="AR235" i="22"/>
  <c r="AA235" i="22"/>
  <c r="AK235" i="22"/>
  <c r="U235" i="22"/>
  <c r="AJ235" i="22"/>
  <c r="V238" i="22"/>
  <c r="I189" i="22"/>
  <c r="AR238" i="22"/>
  <c r="I197" i="22"/>
  <c r="O238" i="22"/>
  <c r="J238" i="22"/>
  <c r="S238" i="22"/>
  <c r="I200" i="22"/>
  <c r="T238" i="22"/>
  <c r="M238" i="22"/>
  <c r="X238" i="22"/>
  <c r="AO238" i="22"/>
  <c r="U238" i="22"/>
  <c r="AN238" i="22"/>
  <c r="AJ238" i="22"/>
  <c r="AV238" i="22"/>
  <c r="AH238" i="22"/>
  <c r="E238" i="22"/>
  <c r="F238" i="22"/>
  <c r="Z238" i="22"/>
  <c r="H238" i="22"/>
  <c r="AB238" i="22"/>
  <c r="AG238" i="22"/>
  <c r="Q238" i="22"/>
  <c r="R238" i="22"/>
  <c r="AF238" i="22"/>
  <c r="AD238" i="22"/>
  <c r="AS238" i="22"/>
  <c r="K238" i="22"/>
  <c r="AI238" i="22"/>
  <c r="AP238" i="22"/>
  <c r="AA238" i="22"/>
  <c r="AL238" i="22"/>
  <c r="AT238" i="22"/>
  <c r="L238" i="22"/>
  <c r="N238" i="22"/>
  <c r="AM238" i="22"/>
  <c r="W238" i="22"/>
  <c r="AC238" i="22"/>
  <c r="I238" i="22"/>
  <c r="AE238" i="22"/>
  <c r="AK238" i="22"/>
  <c r="AU238" i="22"/>
  <c r="G238" i="22"/>
  <c r="AQ238" i="22"/>
  <c r="AO262" i="11"/>
  <c r="C138" i="22"/>
  <c r="I27" i="34"/>
  <c r="V239" i="22"/>
  <c r="Y239" i="22"/>
  <c r="AQ239" i="22"/>
  <c r="AT239" i="22"/>
  <c r="AO239" i="22"/>
  <c r="AN239" i="22"/>
  <c r="T239" i="22"/>
  <c r="AP239" i="22"/>
  <c r="P239" i="22"/>
  <c r="AC239" i="22"/>
  <c r="AU239" i="22"/>
  <c r="O239" i="22"/>
  <c r="H239" i="22"/>
  <c r="AH239" i="22"/>
  <c r="AR239" i="22"/>
  <c r="M239" i="22"/>
  <c r="C147" i="22"/>
  <c r="AM239" i="22"/>
  <c r="L239" i="22"/>
  <c r="J239" i="22"/>
  <c r="N239" i="22"/>
  <c r="I239" i="22"/>
  <c r="G239" i="22"/>
  <c r="E239" i="22"/>
  <c r="Q239" i="22"/>
  <c r="F39" i="34"/>
  <c r="F41" i="34" s="1"/>
  <c r="S239" i="22"/>
  <c r="AL239" i="22"/>
  <c r="AF239" i="22"/>
  <c r="K239" i="22"/>
  <c r="AE239" i="22"/>
  <c r="D262" i="11"/>
  <c r="AJ239" i="22"/>
  <c r="U239" i="22"/>
  <c r="W239" i="22"/>
  <c r="AA239" i="22"/>
  <c r="Z239" i="22"/>
  <c r="AB239" i="22"/>
  <c r="AG239" i="22"/>
  <c r="AV239" i="22"/>
  <c r="R239" i="22"/>
  <c r="C139" i="22"/>
  <c r="M262" i="11"/>
  <c r="O262" i="11"/>
  <c r="AT262" i="11"/>
  <c r="R262" i="11"/>
  <c r="W262" i="11"/>
  <c r="C8" i="40"/>
  <c r="E262" i="11"/>
  <c r="Q262" i="11"/>
  <c r="AG262" i="11"/>
  <c r="K262" i="11"/>
  <c r="AM262" i="11"/>
  <c r="AC262" i="11"/>
  <c r="U262" i="11"/>
  <c r="AA262" i="11"/>
  <c r="AX25" i="34"/>
  <c r="AX26" i="34" s="1"/>
  <c r="AX27" i="34" s="1"/>
  <c r="X262" i="11"/>
  <c r="AL262" i="11"/>
  <c r="C144" i="22"/>
  <c r="AS237" i="22"/>
  <c r="O237" i="22"/>
  <c r="AC237" i="22"/>
  <c r="Y237" i="22"/>
  <c r="E237" i="22"/>
  <c r="AE237" i="22"/>
  <c r="AN237" i="22"/>
  <c r="AU237" i="22"/>
  <c r="AB262" i="11"/>
  <c r="AS262" i="11"/>
  <c r="F262" i="11"/>
  <c r="X237" i="22"/>
  <c r="AT237" i="22"/>
  <c r="AI237" i="22"/>
  <c r="AL237" i="22"/>
  <c r="G237" i="22"/>
  <c r="AH237" i="22"/>
  <c r="AF39" i="34"/>
  <c r="AF41" i="34" s="1"/>
  <c r="Z262" i="11"/>
  <c r="S262" i="11"/>
  <c r="W237" i="22"/>
  <c r="AO237" i="22"/>
  <c r="Q237" i="22"/>
  <c r="T237" i="22"/>
  <c r="AP237" i="22"/>
  <c r="AK237" i="22"/>
  <c r="AB237" i="22"/>
  <c r="AA237" i="22"/>
  <c r="P237" i="22"/>
  <c r="K237" i="22"/>
  <c r="Y262" i="11"/>
  <c r="AR262" i="11"/>
  <c r="L237" i="22"/>
  <c r="I237" i="22"/>
  <c r="Z237" i="22"/>
  <c r="T262" i="11"/>
  <c r="AJ262" i="11"/>
  <c r="AD262" i="11"/>
  <c r="H262" i="11"/>
  <c r="AH262" i="11"/>
  <c r="U27" i="34"/>
  <c r="AD237" i="22"/>
  <c r="AF237" i="22"/>
  <c r="R237" i="22"/>
  <c r="U237" i="22"/>
  <c r="AP262" i="11"/>
  <c r="N262" i="11"/>
  <c r="B29" i="6"/>
  <c r="AI262" i="11"/>
  <c r="AN262" i="11"/>
  <c r="AE262" i="11"/>
  <c r="J262" i="11"/>
  <c r="E136" i="8"/>
  <c r="C136" i="8" s="1"/>
  <c r="J136" i="8" s="1"/>
  <c r="S39" i="34"/>
  <c r="S41" i="34" s="1"/>
  <c r="C165" i="22"/>
  <c r="C164" i="22"/>
  <c r="E190" i="22"/>
  <c r="J162" i="8"/>
  <c r="AQ262" i="11"/>
  <c r="AK262" i="11"/>
  <c r="G262" i="11"/>
  <c r="E190" i="8"/>
  <c r="C141" i="22"/>
  <c r="C142" i="22"/>
  <c r="H208" i="22"/>
  <c r="BV19" i="10" s="1"/>
  <c r="BV20" i="10" s="1"/>
  <c r="K31" i="9" s="1"/>
  <c r="K44" i="9" s="1"/>
  <c r="H39" i="34"/>
  <c r="H41" i="34" s="1"/>
  <c r="C145" i="22"/>
  <c r="X27" i="34"/>
  <c r="O39" i="34"/>
  <c r="O41" i="34" s="1"/>
  <c r="K39" i="34"/>
  <c r="K41" i="34" s="1"/>
  <c r="AF262" i="11"/>
  <c r="V262" i="11"/>
  <c r="I262" i="11"/>
  <c r="L262" i="11"/>
  <c r="P262" i="11"/>
  <c r="C174" i="22"/>
  <c r="W27" i="34"/>
  <c r="C163" i="22"/>
  <c r="D29" i="29"/>
  <c r="D30" i="29" s="1"/>
  <c r="C137" i="22"/>
  <c r="C140" i="22"/>
  <c r="C148" i="22"/>
  <c r="J39" i="34"/>
  <c r="J41" i="34" s="1"/>
  <c r="N27" i="34"/>
  <c r="C166" i="22"/>
  <c r="C262" i="11"/>
  <c r="H183" i="11"/>
  <c r="H199" i="22"/>
  <c r="C169" i="22"/>
  <c r="C170" i="22"/>
  <c r="C173" i="22"/>
  <c r="H207" i="22"/>
  <c r="BU19" i="10" s="1"/>
  <c r="BU31" i="10" s="1"/>
  <c r="H206" i="22"/>
  <c r="BT19" i="10" s="1"/>
  <c r="BT20" i="10" s="1"/>
  <c r="K29" i="9" s="1"/>
  <c r="K42" i="9" s="1"/>
  <c r="C143" i="22"/>
  <c r="C167" i="22"/>
  <c r="H193" i="22"/>
  <c r="H212" i="22"/>
  <c r="BZ19" i="10" s="1"/>
  <c r="BZ31" i="10" s="1"/>
  <c r="H204" i="22"/>
  <c r="BR19" i="10" s="1"/>
  <c r="DN37" i="29" s="1"/>
  <c r="H209" i="22"/>
  <c r="BW19" i="10" s="1"/>
  <c r="BW31" i="10" s="1"/>
  <c r="H202" i="22"/>
  <c r="BP19" i="10" s="1"/>
  <c r="BP31" i="10" s="1"/>
  <c r="AD27" i="34"/>
  <c r="Q27" i="34"/>
  <c r="H203" i="22"/>
  <c r="BQ19" i="10" s="1"/>
  <c r="DL37" i="29" s="1"/>
  <c r="H205" i="22"/>
  <c r="BS19" i="10" s="1"/>
  <c r="R27" i="34"/>
  <c r="C168" i="22"/>
  <c r="C171" i="22"/>
  <c r="P39" i="34"/>
  <c r="P41" i="34" s="1"/>
  <c r="AE39" i="34"/>
  <c r="AE41" i="34" s="1"/>
  <c r="V39" i="34"/>
  <c r="V41" i="34" s="1"/>
  <c r="T39" i="34"/>
  <c r="T41" i="34" s="1"/>
  <c r="AF27" i="34"/>
  <c r="Z39" i="34"/>
  <c r="Z41" i="34" s="1"/>
  <c r="M39" i="34"/>
  <c r="M41" i="34" s="1"/>
  <c r="AC27" i="34"/>
  <c r="G27" i="34"/>
  <c r="Y27" i="34"/>
  <c r="D21" i="34"/>
  <c r="AA27" i="34"/>
  <c r="AB39" i="34"/>
  <c r="AB41" i="34" s="1"/>
  <c r="L39" i="34"/>
  <c r="L41" i="34" s="1"/>
  <c r="B8" i="41"/>
  <c r="D8" i="41"/>
  <c r="AO183" i="11"/>
  <c r="Z183" i="11"/>
  <c r="J183" i="11"/>
  <c r="K183" i="11"/>
  <c r="E183" i="11"/>
  <c r="AM183" i="11"/>
  <c r="T183" i="11"/>
  <c r="U183" i="11"/>
  <c r="AS183" i="11"/>
  <c r="AI183" i="11"/>
  <c r="W183" i="11"/>
  <c r="AN183" i="11"/>
  <c r="M183" i="11"/>
  <c r="AH183" i="11"/>
  <c r="R183" i="11"/>
  <c r="AG183" i="11"/>
  <c r="C183" i="11"/>
  <c r="S183" i="11"/>
  <c r="AA183" i="11"/>
  <c r="AQ183" i="11"/>
  <c r="AC183" i="11"/>
  <c r="AE183" i="11"/>
  <c r="AJ183" i="11"/>
  <c r="Y183" i="11"/>
  <c r="N183" i="11"/>
  <c r="AT183" i="11"/>
  <c r="AP183" i="11"/>
  <c r="AD183" i="11"/>
  <c r="O183" i="11"/>
  <c r="AK183" i="11"/>
  <c r="X183" i="11"/>
  <c r="V183" i="11"/>
  <c r="Q183" i="11"/>
  <c r="AB183" i="11"/>
  <c r="AR183" i="11"/>
  <c r="F183" i="11"/>
  <c r="I183" i="11"/>
  <c r="D183" i="11"/>
  <c r="AL183" i="11"/>
  <c r="G183" i="11"/>
  <c r="P183" i="11"/>
  <c r="AF183" i="11"/>
  <c r="AY25" i="34"/>
  <c r="AY26" i="34" s="1"/>
  <c r="AY27" i="34" s="1"/>
  <c r="F67" i="8"/>
  <c r="F132" i="8" s="1"/>
  <c r="F197" i="8" s="1"/>
  <c r="O248" i="11"/>
  <c r="U248" i="11"/>
  <c r="E64" i="8"/>
  <c r="E129" i="8" s="1"/>
  <c r="S248" i="11"/>
  <c r="F70" i="8"/>
  <c r="F135" i="8" s="1"/>
  <c r="F200" i="8" s="1"/>
  <c r="J248" i="11"/>
  <c r="AF248" i="11"/>
  <c r="AP15" i="6"/>
  <c r="AP26" i="6" s="1"/>
  <c r="AP27" i="6" s="1"/>
  <c r="AP28" i="6" s="1"/>
  <c r="G248" i="11"/>
  <c r="AB248" i="11"/>
  <c r="AT248" i="11"/>
  <c r="H248" i="11"/>
  <c r="I248" i="11"/>
  <c r="Z248" i="11"/>
  <c r="AY29" i="34"/>
  <c r="AY30" i="34" s="1"/>
  <c r="BH52" i="34"/>
  <c r="BG59" i="34"/>
  <c r="BG40" i="34" s="1"/>
  <c r="AU220" i="11"/>
  <c r="AD258" i="11"/>
  <c r="P255" i="11"/>
  <c r="AF258" i="11"/>
  <c r="Y258" i="11"/>
  <c r="F202" i="22"/>
  <c r="AP19" i="10" s="1"/>
  <c r="BJ37" i="29" s="1"/>
  <c r="AK258" i="11"/>
  <c r="AL258" i="11"/>
  <c r="C67" i="22"/>
  <c r="I258" i="11"/>
  <c r="AA258" i="11"/>
  <c r="F63" i="8"/>
  <c r="F128" i="8" s="1"/>
  <c r="F193" i="8" s="1"/>
  <c r="AR258" i="11"/>
  <c r="E59" i="8"/>
  <c r="E124" i="8" s="1"/>
  <c r="E189" i="8" s="1"/>
  <c r="AR248" i="11"/>
  <c r="R248" i="11"/>
  <c r="X248" i="11"/>
  <c r="K248" i="11"/>
  <c r="AJ248" i="11"/>
  <c r="AC250" i="11"/>
  <c r="S250" i="11"/>
  <c r="F210" i="22"/>
  <c r="AX19" i="10" s="1"/>
  <c r="AX20" i="10" s="1"/>
  <c r="I33" i="9" s="1"/>
  <c r="I46" i="9" s="1"/>
  <c r="AU15" i="6"/>
  <c r="AU26" i="6" s="1"/>
  <c r="AU27" i="6" s="1"/>
  <c r="AU28" i="6" s="1"/>
  <c r="L248" i="11"/>
  <c r="D248" i="11"/>
  <c r="V248" i="11"/>
  <c r="P248" i="11"/>
  <c r="BD55" i="34"/>
  <c r="BC60" i="34"/>
  <c r="BC58" i="34" s="1"/>
  <c r="BC20" i="34" s="1"/>
  <c r="BB6" i="34"/>
  <c r="BC7" i="34"/>
  <c r="BB14" i="34"/>
  <c r="BB24" i="34" s="1"/>
  <c r="AZ16" i="34"/>
  <c r="BA35" i="34"/>
  <c r="BA13" i="34"/>
  <c r="BA16" i="34" s="1"/>
  <c r="BA15" i="34"/>
  <c r="C65" i="22"/>
  <c r="F66" i="8"/>
  <c r="F131" i="8" s="1"/>
  <c r="F196" i="8" s="1"/>
  <c r="AK15" i="6"/>
  <c r="AK26" i="6" s="1"/>
  <c r="AK27" i="6" s="1"/>
  <c r="AK28" i="6" s="1"/>
  <c r="AQ258" i="11"/>
  <c r="AC258" i="11"/>
  <c r="AS258" i="11"/>
  <c r="E258" i="11"/>
  <c r="F62" i="8"/>
  <c r="F127" i="8" s="1"/>
  <c r="F192" i="8" s="1"/>
  <c r="D258" i="11"/>
  <c r="F15" i="10"/>
  <c r="F30" i="10" s="1"/>
  <c r="K15" i="10"/>
  <c r="F128" i="9" s="1"/>
  <c r="E66" i="8"/>
  <c r="E131" i="8" s="1"/>
  <c r="Q255" i="11"/>
  <c r="J258" i="11"/>
  <c r="AG258" i="11"/>
  <c r="AB258" i="11"/>
  <c r="Q258" i="11"/>
  <c r="AI258" i="11"/>
  <c r="U258" i="11"/>
  <c r="O258" i="11"/>
  <c r="AO258" i="11"/>
  <c r="AN258" i="11"/>
  <c r="M258" i="11"/>
  <c r="AL248" i="11"/>
  <c r="S258" i="11"/>
  <c r="W258" i="11"/>
  <c r="V258" i="11"/>
  <c r="AH258" i="11"/>
  <c r="F258" i="11"/>
  <c r="T258" i="11"/>
  <c r="AE258" i="11"/>
  <c r="AJ258" i="11"/>
  <c r="AT258" i="11"/>
  <c r="Z258" i="11"/>
  <c r="N258" i="11"/>
  <c r="K258" i="11"/>
  <c r="L258" i="11"/>
  <c r="C258" i="11"/>
  <c r="G258" i="11"/>
  <c r="R258" i="11"/>
  <c r="AM258" i="11"/>
  <c r="AP258" i="11"/>
  <c r="H258" i="11"/>
  <c r="P258" i="11"/>
  <c r="AD15" i="6"/>
  <c r="AD26" i="6" s="1"/>
  <c r="AD27" i="6" s="1"/>
  <c r="AD28" i="6" s="1"/>
  <c r="AQ15" i="6"/>
  <c r="AQ26" i="6" s="1"/>
  <c r="AQ27" i="6" s="1"/>
  <c r="AQ28" i="6" s="1"/>
  <c r="AG32" i="34"/>
  <c r="AG28" i="34" s="1"/>
  <c r="F209" i="22"/>
  <c r="AW19" i="10" s="1"/>
  <c r="AW31" i="10" s="1"/>
  <c r="DG42" i="29"/>
  <c r="F201" i="22"/>
  <c r="AO19" i="10" s="1"/>
  <c r="J19" i="31" s="1"/>
  <c r="F206" i="22"/>
  <c r="AT19" i="10" s="1"/>
  <c r="AT31" i="10" s="1"/>
  <c r="F204" i="22"/>
  <c r="AR19" i="10" s="1"/>
  <c r="BN37" i="29" s="1"/>
  <c r="F205" i="22"/>
  <c r="AS19" i="10" s="1"/>
  <c r="AS20" i="10" s="1"/>
  <c r="I28" i="9" s="1"/>
  <c r="I41" i="9" s="1"/>
  <c r="AF250" i="11"/>
  <c r="AR250" i="11"/>
  <c r="D250" i="11"/>
  <c r="F212" i="22"/>
  <c r="AZ19" i="10" s="1"/>
  <c r="CD37" i="29" s="1"/>
  <c r="F203" i="22"/>
  <c r="AQ19" i="10" s="1"/>
  <c r="AQ31" i="10" s="1"/>
  <c r="AD250" i="11"/>
  <c r="AH250" i="11"/>
  <c r="AI15" i="6"/>
  <c r="AI26" i="6" s="1"/>
  <c r="AI27" i="6" s="1"/>
  <c r="AI28" i="6" s="1"/>
  <c r="C57" i="7"/>
  <c r="C131" i="7" s="1"/>
  <c r="F131" i="7" s="1"/>
  <c r="N250" i="11"/>
  <c r="H250" i="11"/>
  <c r="AL251" i="11"/>
  <c r="AI250" i="11"/>
  <c r="AN255" i="11"/>
  <c r="AA255" i="11"/>
  <c r="M255" i="11"/>
  <c r="AJ255" i="11"/>
  <c r="E255" i="11"/>
  <c r="X255" i="11"/>
  <c r="Z255" i="11"/>
  <c r="AO255" i="11"/>
  <c r="R255" i="11"/>
  <c r="H255" i="11"/>
  <c r="AB255" i="11"/>
  <c r="AG208" i="11"/>
  <c r="AS208" i="11"/>
  <c r="L130" i="9"/>
  <c r="L78" i="9" s="1"/>
  <c r="Z251" i="11"/>
  <c r="C59" i="22"/>
  <c r="F207" i="22"/>
  <c r="AU19" i="10" s="1"/>
  <c r="AU20" i="10" s="1"/>
  <c r="I30" i="9" s="1"/>
  <c r="I43" i="9" s="1"/>
  <c r="F213" i="22"/>
  <c r="BA19" i="10" s="1"/>
  <c r="CF37" i="29" s="1"/>
  <c r="K250" i="11"/>
  <c r="I250" i="11"/>
  <c r="AN250" i="11"/>
  <c r="AA250" i="11"/>
  <c r="AQ250" i="11"/>
  <c r="X250" i="11"/>
  <c r="AU256" i="11"/>
  <c r="J119" i="9"/>
  <c r="J67" i="9" s="1"/>
  <c r="CJ30" i="10"/>
  <c r="W250" i="11"/>
  <c r="Q250" i="11"/>
  <c r="P250" i="11"/>
  <c r="V251" i="11"/>
  <c r="AP250" i="11"/>
  <c r="E250" i="11"/>
  <c r="AP251" i="11"/>
  <c r="D208" i="11"/>
  <c r="P208" i="11"/>
  <c r="FD36" i="29"/>
  <c r="FC36" i="29" s="1"/>
  <c r="L251" i="11"/>
  <c r="J15" i="10"/>
  <c r="F127" i="9" s="1"/>
  <c r="AF15" i="6"/>
  <c r="AF26" i="6" s="1"/>
  <c r="AF27" i="6" s="1"/>
  <c r="AF28" i="6" s="1"/>
  <c r="AQ248" i="11"/>
  <c r="E248" i="11"/>
  <c r="AC248" i="11"/>
  <c r="AS248" i="11"/>
  <c r="C248" i="11"/>
  <c r="T248" i="11"/>
  <c r="AM248" i="11"/>
  <c r="F248" i="11"/>
  <c r="CM37" i="10"/>
  <c r="CB22" i="10"/>
  <c r="P23" i="31" s="1"/>
  <c r="Q248" i="11"/>
  <c r="AA248" i="11"/>
  <c r="AV15" i="6"/>
  <c r="AV26" i="6" s="1"/>
  <c r="AV27" i="6" s="1"/>
  <c r="AV28" i="6" s="1"/>
  <c r="R251" i="11"/>
  <c r="E251" i="11"/>
  <c r="AH251" i="11"/>
  <c r="C251" i="11"/>
  <c r="L127" i="9"/>
  <c r="L75" i="9" s="1"/>
  <c r="CK37" i="10"/>
  <c r="CK30" i="10"/>
  <c r="AN251" i="11"/>
  <c r="AQ251" i="11"/>
  <c r="C61" i="22"/>
  <c r="E61" i="8"/>
  <c r="E126" i="8" s="1"/>
  <c r="AP248" i="11"/>
  <c r="AG248" i="11"/>
  <c r="AE248" i="11"/>
  <c r="AK248" i="11"/>
  <c r="AO248" i="11"/>
  <c r="W248" i="11"/>
  <c r="AI248" i="11"/>
  <c r="AN248" i="11"/>
  <c r="AD248" i="11"/>
  <c r="AH248" i="11"/>
  <c r="N248" i="11"/>
  <c r="Y248" i="11"/>
  <c r="AZ15" i="6"/>
  <c r="AZ26" i="6" s="1"/>
  <c r="AZ27" i="6" s="1"/>
  <c r="AZ28" i="6" s="1"/>
  <c r="FF36" i="29"/>
  <c r="FE36" i="29" s="1"/>
  <c r="BH36" i="29"/>
  <c r="BG36" i="29" s="1"/>
  <c r="U208" i="11"/>
  <c r="Q208" i="11"/>
  <c r="M251" i="11"/>
  <c r="N251" i="11"/>
  <c r="AB250" i="11"/>
  <c r="AK250" i="11"/>
  <c r="T251" i="11"/>
  <c r="F250" i="11"/>
  <c r="AJ250" i="11"/>
  <c r="AT251" i="11"/>
  <c r="AR251" i="11"/>
  <c r="AF208" i="11"/>
  <c r="E208" i="11"/>
  <c r="AU257" i="11"/>
  <c r="AU211" i="11"/>
  <c r="AU219" i="11"/>
  <c r="G255" i="11"/>
  <c r="AE255" i="11"/>
  <c r="AH255" i="11"/>
  <c r="AD255" i="11"/>
  <c r="AT255" i="11"/>
  <c r="AG255" i="11"/>
  <c r="C250" i="11"/>
  <c r="AO250" i="11"/>
  <c r="AS250" i="11"/>
  <c r="T250" i="11"/>
  <c r="M250" i="11"/>
  <c r="O250" i="11"/>
  <c r="D255" i="11"/>
  <c r="V255" i="11"/>
  <c r="AP255" i="11"/>
  <c r="O255" i="11"/>
  <c r="AC255" i="11"/>
  <c r="I255" i="11"/>
  <c r="W252" i="11"/>
  <c r="T255" i="11"/>
  <c r="N208" i="11"/>
  <c r="K255" i="11"/>
  <c r="L255" i="11"/>
  <c r="S255" i="11"/>
  <c r="AM255" i="11"/>
  <c r="AS255" i="11"/>
  <c r="N255" i="11"/>
  <c r="AK255" i="11"/>
  <c r="J255" i="11"/>
  <c r="AR252" i="11"/>
  <c r="Y255" i="11"/>
  <c r="U255" i="11"/>
  <c r="AQ255" i="11"/>
  <c r="AI255" i="11"/>
  <c r="N252" i="11"/>
  <c r="T252" i="11"/>
  <c r="F255" i="11"/>
  <c r="AF255" i="11"/>
  <c r="AL255" i="11"/>
  <c r="G252" i="11"/>
  <c r="AA208" i="11"/>
  <c r="AG252" i="11"/>
  <c r="D252" i="11"/>
  <c r="AG250" i="11"/>
  <c r="U250" i="11"/>
  <c r="AE250" i="11"/>
  <c r="Z250" i="11"/>
  <c r="Y250" i="11"/>
  <c r="V250" i="11"/>
  <c r="J250" i="11"/>
  <c r="AL250" i="11"/>
  <c r="AM250" i="11"/>
  <c r="L250" i="11"/>
  <c r="AT250" i="11"/>
  <c r="R250" i="11"/>
  <c r="AR255" i="11"/>
  <c r="C255" i="11"/>
  <c r="X208" i="11"/>
  <c r="V252" i="11"/>
  <c r="Y252" i="11"/>
  <c r="I208" i="11"/>
  <c r="AA252" i="11"/>
  <c r="AU230" i="11"/>
  <c r="C70" i="22"/>
  <c r="E69" i="8"/>
  <c r="E134" i="8" s="1"/>
  <c r="E199" i="8" s="1"/>
  <c r="N15" i="10"/>
  <c r="N30" i="10" s="1"/>
  <c r="L131" i="9"/>
  <c r="L79" i="9" s="1"/>
  <c r="CN30" i="10"/>
  <c r="AI252" i="11"/>
  <c r="S252" i="11"/>
  <c r="J252" i="11"/>
  <c r="L252" i="11"/>
  <c r="AN252" i="11"/>
  <c r="AT252" i="11"/>
  <c r="O208" i="11"/>
  <c r="G212" i="22"/>
  <c r="BM19" i="10" s="1"/>
  <c r="BM31" i="10" s="1"/>
  <c r="BI36" i="29"/>
  <c r="E63" i="8"/>
  <c r="E128" i="8" s="1"/>
  <c r="C252" i="11"/>
  <c r="AD252" i="11"/>
  <c r="AL252" i="11"/>
  <c r="AF252" i="11"/>
  <c r="AS252" i="11"/>
  <c r="AB252" i="11"/>
  <c r="AP252" i="11"/>
  <c r="F252" i="11"/>
  <c r="X252" i="11"/>
  <c r="AC251" i="11"/>
  <c r="AD251" i="11"/>
  <c r="AS251" i="11"/>
  <c r="W251" i="11"/>
  <c r="AA251" i="11"/>
  <c r="U251" i="11"/>
  <c r="AO251" i="11"/>
  <c r="AJ251" i="11"/>
  <c r="I252" i="11"/>
  <c r="AC252" i="11"/>
  <c r="AJ252" i="11"/>
  <c r="Z252" i="11"/>
  <c r="U252" i="11"/>
  <c r="AH252" i="11"/>
  <c r="R252" i="11"/>
  <c r="AM252" i="11"/>
  <c r="F208" i="11"/>
  <c r="P252" i="11"/>
  <c r="AE252" i="11"/>
  <c r="V208" i="11"/>
  <c r="E252" i="11"/>
  <c r="AK252" i="11"/>
  <c r="AO252" i="11"/>
  <c r="J208" i="11"/>
  <c r="Q252" i="11"/>
  <c r="D251" i="11"/>
  <c r="I251" i="11"/>
  <c r="Y251" i="11"/>
  <c r="F251" i="11"/>
  <c r="H251" i="11"/>
  <c r="AG251" i="11"/>
  <c r="J251" i="11"/>
  <c r="O252" i="11"/>
  <c r="AK208" i="11"/>
  <c r="B247" i="11"/>
  <c r="K252" i="11"/>
  <c r="AU238" i="11"/>
  <c r="H252" i="11"/>
  <c r="AQ252" i="11"/>
  <c r="AI251" i="11"/>
  <c r="AK251" i="11"/>
  <c r="G251" i="11"/>
  <c r="Q251" i="11"/>
  <c r="P251" i="11"/>
  <c r="X251" i="11"/>
  <c r="O251" i="11"/>
  <c r="AE251" i="11"/>
  <c r="AM251" i="11"/>
  <c r="S251" i="11"/>
  <c r="K251" i="11"/>
  <c r="AF251" i="11"/>
  <c r="L123" i="9"/>
  <c r="L71" i="9" s="1"/>
  <c r="I58" i="22"/>
  <c r="I123" i="22" s="1"/>
  <c r="I188" i="22" s="1"/>
  <c r="I205" i="22" s="1"/>
  <c r="CF19" i="10" s="1"/>
  <c r="L124" i="9"/>
  <c r="L72" i="9" s="1"/>
  <c r="CG37" i="10"/>
  <c r="CG30" i="10"/>
  <c r="CF37" i="10"/>
  <c r="K208" i="11"/>
  <c r="AO208" i="11"/>
  <c r="C208" i="11"/>
  <c r="C109" i="21"/>
  <c r="EZ36" i="29"/>
  <c r="EY36" i="29" s="1"/>
  <c r="AB208" i="11"/>
  <c r="I119" i="9"/>
  <c r="I67" i="9" s="1"/>
  <c r="C64" i="22"/>
  <c r="ER36" i="29"/>
  <c r="EQ36" i="29" s="1"/>
  <c r="ET36" i="29"/>
  <c r="ES36" i="29" s="1"/>
  <c r="AN208" i="11"/>
  <c r="H208" i="11"/>
  <c r="AT208" i="11"/>
  <c r="AI208" i="11"/>
  <c r="AU216" i="11"/>
  <c r="AE208" i="11"/>
  <c r="AU259" i="11"/>
  <c r="AU253" i="11"/>
  <c r="M208" i="11"/>
  <c r="L208" i="11"/>
  <c r="AR208" i="11"/>
  <c r="L121" i="9"/>
  <c r="L69" i="9" s="1"/>
  <c r="EL36" i="29"/>
  <c r="EK36" i="29" s="1"/>
  <c r="CD37" i="10"/>
  <c r="CD30" i="10"/>
  <c r="L126" i="9"/>
  <c r="L74" i="9" s="1"/>
  <c r="CI37" i="10"/>
  <c r="CI30" i="10"/>
  <c r="CH30" i="10"/>
  <c r="CH37" i="10"/>
  <c r="L125" i="9"/>
  <c r="L73" i="9" s="1"/>
  <c r="AU217" i="11"/>
  <c r="EX36" i="29"/>
  <c r="EW36" i="29" s="1"/>
  <c r="EP36" i="29"/>
  <c r="EO36" i="29" s="1"/>
  <c r="AO39" i="10"/>
  <c r="AU224" i="11"/>
  <c r="AH254" i="11"/>
  <c r="AQ254" i="11"/>
  <c r="AG254" i="11"/>
  <c r="AC254" i="11"/>
  <c r="AP254" i="11"/>
  <c r="L254" i="11"/>
  <c r="AT254" i="11"/>
  <c r="Q254" i="11"/>
  <c r="T254" i="11"/>
  <c r="I254" i="11"/>
  <c r="W254" i="11"/>
  <c r="F254" i="11"/>
  <c r="P254" i="11"/>
  <c r="H254" i="11"/>
  <c r="AB254" i="11"/>
  <c r="AD254" i="11"/>
  <c r="X254" i="11"/>
  <c r="AM254" i="11"/>
  <c r="J254" i="11"/>
  <c r="R254" i="11"/>
  <c r="U254" i="11"/>
  <c r="S254" i="11"/>
  <c r="M254" i="11"/>
  <c r="AO254" i="11"/>
  <c r="AA254" i="11"/>
  <c r="D254" i="11"/>
  <c r="AL254" i="11"/>
  <c r="G254" i="11"/>
  <c r="E254" i="11"/>
  <c r="K254" i="11"/>
  <c r="Y254" i="11"/>
  <c r="O254" i="11"/>
  <c r="AN254" i="11"/>
  <c r="AE254" i="11"/>
  <c r="N254" i="11"/>
  <c r="V254" i="11"/>
  <c r="Z254" i="11"/>
  <c r="AJ254" i="11"/>
  <c r="AS254" i="11"/>
  <c r="C254" i="11"/>
  <c r="AF254" i="11"/>
  <c r="AI254" i="11"/>
  <c r="AK254" i="11"/>
  <c r="AR254" i="11"/>
  <c r="I15" i="10"/>
  <c r="I30" i="10" s="1"/>
  <c r="CB15" i="10"/>
  <c r="CB30" i="10" s="1"/>
  <c r="Z208" i="11"/>
  <c r="Q249" i="11"/>
  <c r="V249" i="11"/>
  <c r="AT249" i="11"/>
  <c r="L249" i="11"/>
  <c r="G249" i="11"/>
  <c r="AB249" i="11"/>
  <c r="D249" i="11"/>
  <c r="AR249" i="11"/>
  <c r="AF249" i="11"/>
  <c r="AG249" i="11"/>
  <c r="AS249" i="11"/>
  <c r="AC249" i="11"/>
  <c r="AQ249" i="11"/>
  <c r="E249" i="11"/>
  <c r="J249" i="11"/>
  <c r="S249" i="11"/>
  <c r="T249" i="11"/>
  <c r="Y249" i="11"/>
  <c r="H249" i="11"/>
  <c r="N249" i="11"/>
  <c r="K249" i="11"/>
  <c r="AE249" i="11"/>
  <c r="Z249" i="11"/>
  <c r="M249" i="11"/>
  <c r="X249" i="11"/>
  <c r="AP249" i="11"/>
  <c r="W249" i="11"/>
  <c r="AI249" i="11"/>
  <c r="AO249" i="11"/>
  <c r="AH249" i="11"/>
  <c r="C249" i="11"/>
  <c r="I249" i="11"/>
  <c r="R249" i="11"/>
  <c r="AA249" i="11"/>
  <c r="AJ249" i="11"/>
  <c r="O249" i="11"/>
  <c r="P249" i="11"/>
  <c r="AM249" i="11"/>
  <c r="AK249" i="11"/>
  <c r="AN249" i="11"/>
  <c r="F249" i="11"/>
  <c r="AD249" i="11"/>
  <c r="U249" i="11"/>
  <c r="AL249" i="11"/>
  <c r="O221" i="11"/>
  <c r="EV36" i="29"/>
  <c r="EU36" i="29" s="1"/>
  <c r="R208" i="11"/>
  <c r="AH208" i="11"/>
  <c r="W208" i="11"/>
  <c r="C39" i="7"/>
  <c r="S39" i="7" s="1"/>
  <c r="AO30" i="10"/>
  <c r="T208" i="11"/>
  <c r="AU210" i="11"/>
  <c r="AC208" i="11"/>
  <c r="AD208" i="11"/>
  <c r="AL208" i="11"/>
  <c r="AU213" i="11"/>
  <c r="AP208" i="11"/>
  <c r="AJ208" i="11"/>
  <c r="AM208" i="11"/>
  <c r="AM234" i="11"/>
  <c r="AQ208" i="11"/>
  <c r="Y208" i="11"/>
  <c r="G208" i="11"/>
  <c r="AF221" i="11"/>
  <c r="AU240" i="11"/>
  <c r="N234" i="11"/>
  <c r="P221" i="11"/>
  <c r="S208" i="11"/>
  <c r="AU241" i="11"/>
  <c r="L23" i="31"/>
  <c r="AQ234" i="11"/>
  <c r="AJ234" i="11"/>
  <c r="BO39" i="10"/>
  <c r="Q15" i="6"/>
  <c r="O15" i="6" s="1"/>
  <c r="G202" i="22"/>
  <c r="BC19" i="10" s="1"/>
  <c r="BC31" i="10" s="1"/>
  <c r="T221" i="11"/>
  <c r="C221" i="11"/>
  <c r="L234" i="11"/>
  <c r="U221" i="11"/>
  <c r="AR221" i="11"/>
  <c r="BB39" i="10"/>
  <c r="AJ221" i="11"/>
  <c r="R234" i="11"/>
  <c r="S234" i="11"/>
  <c r="AL234" i="11"/>
  <c r="AO221" i="11"/>
  <c r="J234" i="11"/>
  <c r="AF234" i="11"/>
  <c r="I221" i="11"/>
  <c r="N221" i="11"/>
  <c r="AU237" i="11"/>
  <c r="AU233" i="11"/>
  <c r="X221" i="11"/>
  <c r="AP234" i="11"/>
  <c r="P234" i="11"/>
  <c r="AU245" i="11"/>
  <c r="D60" i="8"/>
  <c r="D125" i="8" s="1"/>
  <c r="H58" i="8"/>
  <c r="H123" i="8" s="1"/>
  <c r="H188" i="8" s="1"/>
  <c r="F221" i="11"/>
  <c r="AH221" i="11"/>
  <c r="J221" i="11"/>
  <c r="H234" i="11"/>
  <c r="K234" i="11"/>
  <c r="AT234" i="11"/>
  <c r="AH234" i="11"/>
  <c r="AC234" i="11"/>
  <c r="AB234" i="11"/>
  <c r="AD234" i="11"/>
  <c r="M221" i="11"/>
  <c r="CH36" i="29"/>
  <c r="CG36" i="29" s="1"/>
  <c r="AC221" i="11"/>
  <c r="AG221" i="11"/>
  <c r="AT221" i="11"/>
  <c r="AK221" i="11"/>
  <c r="K119" i="9"/>
  <c r="K67" i="9" s="1"/>
  <c r="V221" i="11"/>
  <c r="AP221" i="11"/>
  <c r="W221" i="11"/>
  <c r="AS221" i="11"/>
  <c r="AA221" i="11"/>
  <c r="U234" i="11"/>
  <c r="AA234" i="11"/>
  <c r="AG234" i="11"/>
  <c r="E234" i="11"/>
  <c r="AK234" i="11"/>
  <c r="AU225" i="11"/>
  <c r="M234" i="11"/>
  <c r="W234" i="11"/>
  <c r="AN234" i="11"/>
  <c r="V234" i="11"/>
  <c r="AU226" i="11"/>
  <c r="F234" i="11"/>
  <c r="AN221" i="11"/>
  <c r="G221" i="11"/>
  <c r="S221" i="11"/>
  <c r="AD221" i="11"/>
  <c r="AS234" i="11"/>
  <c r="AI234" i="11"/>
  <c r="Y234" i="11"/>
  <c r="C234" i="11"/>
  <c r="AI221" i="11"/>
  <c r="AO234" i="11"/>
  <c r="AU232" i="11"/>
  <c r="AE221" i="11"/>
  <c r="O234" i="11"/>
  <c r="X234" i="11"/>
  <c r="Z234" i="11"/>
  <c r="G234" i="11"/>
  <c r="T234" i="11"/>
  <c r="Y221" i="11"/>
  <c r="AU235" i="11"/>
  <c r="Q221" i="11"/>
  <c r="L221" i="11"/>
  <c r="Z221" i="11"/>
  <c r="AL221" i="11"/>
  <c r="AR234" i="11"/>
  <c r="AE234" i="11"/>
  <c r="Q234" i="11"/>
  <c r="D234" i="11"/>
  <c r="AB221" i="11"/>
  <c r="C111" i="7"/>
  <c r="CC15" i="6"/>
  <c r="I59" i="8"/>
  <c r="I124" i="8" s="1"/>
  <c r="I189" i="8" s="1"/>
  <c r="I61" i="8"/>
  <c r="I126" i="8" s="1"/>
  <c r="I191" i="8" s="1"/>
  <c r="CE15" i="6"/>
  <c r="E15" i="6" s="1"/>
  <c r="I60" i="8"/>
  <c r="I125" i="8" s="1"/>
  <c r="I190" i="8" s="1"/>
  <c r="CD15" i="6"/>
  <c r="I70" i="8"/>
  <c r="I135" i="8" s="1"/>
  <c r="I200" i="8" s="1"/>
  <c r="CN15" i="6"/>
  <c r="N15" i="6" s="1"/>
  <c r="G203" i="22"/>
  <c r="BD19" i="10" s="1"/>
  <c r="CL37" i="29" s="1"/>
  <c r="G204" i="22"/>
  <c r="BE19" i="10" s="1"/>
  <c r="BE20" i="10" s="1"/>
  <c r="J27" i="9" s="1"/>
  <c r="J40" i="9" s="1"/>
  <c r="G205" i="22"/>
  <c r="BF19" i="10" s="1"/>
  <c r="BF20" i="10" s="1"/>
  <c r="J28" i="9" s="1"/>
  <c r="J41" i="9" s="1"/>
  <c r="BB37" i="10"/>
  <c r="BB38" i="10" s="1"/>
  <c r="E221" i="11"/>
  <c r="G201" i="22"/>
  <c r="BB19" i="10" s="1"/>
  <c r="G210" i="22"/>
  <c r="BK19" i="10" s="1"/>
  <c r="BK31" i="10" s="1"/>
  <c r="BO37" i="10"/>
  <c r="BO38" i="10" s="1"/>
  <c r="AM221" i="11"/>
  <c r="R221" i="11"/>
  <c r="CJ15" i="6"/>
  <c r="J15" i="6" s="1"/>
  <c r="I66" i="8"/>
  <c r="I131" i="8" s="1"/>
  <c r="I196" i="8" s="1"/>
  <c r="CG15" i="6"/>
  <c r="G15" i="6" s="1"/>
  <c r="I63" i="8"/>
  <c r="I128" i="8" s="1"/>
  <c r="I193" i="8" s="1"/>
  <c r="I65" i="8"/>
  <c r="I130" i="8" s="1"/>
  <c r="I195" i="8" s="1"/>
  <c r="CI15" i="6"/>
  <c r="CH15" i="6"/>
  <c r="I64" i="8"/>
  <c r="I129" i="8" s="1"/>
  <c r="I194" i="8" s="1"/>
  <c r="I62" i="8"/>
  <c r="I127" i="8" s="1"/>
  <c r="I192" i="8" s="1"/>
  <c r="CF15" i="6"/>
  <c r="I69" i="8"/>
  <c r="I134" i="8" s="1"/>
  <c r="I199" i="8" s="1"/>
  <c r="CM15" i="6"/>
  <c r="CK15" i="6"/>
  <c r="I67" i="8"/>
  <c r="I132" i="8" s="1"/>
  <c r="I197" i="8" s="1"/>
  <c r="I234" i="11"/>
  <c r="AU246" i="11"/>
  <c r="AU228" i="11"/>
  <c r="G213" i="22"/>
  <c r="BN19" i="10" s="1"/>
  <c r="BN31" i="10" s="1"/>
  <c r="G208" i="22"/>
  <c r="BI19" i="10" s="1"/>
  <c r="BI20" i="10" s="1"/>
  <c r="J31" i="9" s="1"/>
  <c r="J44" i="9" s="1"/>
  <c r="K221" i="11"/>
  <c r="D221" i="11"/>
  <c r="H221" i="11"/>
  <c r="G209" i="22"/>
  <c r="BJ19" i="10" s="1"/>
  <c r="BJ20" i="10" s="1"/>
  <c r="J32" i="9" s="1"/>
  <c r="J45" i="9" s="1"/>
  <c r="G207" i="22"/>
  <c r="BH19" i="10" s="1"/>
  <c r="AQ221" i="11"/>
  <c r="DH36" i="29"/>
  <c r="DG36" i="29" s="1"/>
  <c r="AU229" i="11"/>
  <c r="C133" i="7"/>
  <c r="F133" i="7" s="1"/>
  <c r="C19" i="21"/>
  <c r="AU197" i="11"/>
  <c r="O15" i="10"/>
  <c r="BO15" i="6"/>
  <c r="BO26" i="6" s="1"/>
  <c r="BO27" i="6" s="1"/>
  <c r="B182" i="11"/>
  <c r="AU198" i="11"/>
  <c r="AM195" i="11"/>
  <c r="AU200" i="11"/>
  <c r="AU199" i="11"/>
  <c r="AU205" i="11"/>
  <c r="AU204" i="11"/>
  <c r="AU206" i="11"/>
  <c r="AU203" i="11"/>
  <c r="AU201" i="11"/>
  <c r="AU207" i="11"/>
  <c r="AU202" i="11"/>
  <c r="AI36" i="29"/>
  <c r="AH36" i="29"/>
  <c r="BK26" i="6"/>
  <c r="BK27" i="6" s="1"/>
  <c r="BK28" i="6" s="1"/>
  <c r="AJ26" i="6"/>
  <c r="AJ27" i="6" s="1"/>
  <c r="AJ28" i="6" s="1"/>
  <c r="N41" i="34"/>
  <c r="BH26" i="6"/>
  <c r="BH27" i="6" s="1"/>
  <c r="BH28" i="6" s="1"/>
  <c r="I41" i="34"/>
  <c r="E200" i="22"/>
  <c r="C135" i="22"/>
  <c r="E191" i="22"/>
  <c r="C126" i="22"/>
  <c r="P26" i="6"/>
  <c r="R41" i="34"/>
  <c r="E213" i="22"/>
  <c r="AN19" i="10" s="1"/>
  <c r="E208" i="22"/>
  <c r="AI19" i="10" s="1"/>
  <c r="E204" i="22"/>
  <c r="AE19" i="10" s="1"/>
  <c r="E205" i="22"/>
  <c r="AF19" i="10" s="1"/>
  <c r="E209" i="22"/>
  <c r="AJ19" i="10" s="1"/>
  <c r="E203" i="22"/>
  <c r="AD19" i="10" s="1"/>
  <c r="E201" i="22"/>
  <c r="E207" i="22"/>
  <c r="AH19" i="10" s="1"/>
  <c r="E210" i="22"/>
  <c r="AK19" i="10" s="1"/>
  <c r="E202" i="22"/>
  <c r="AC19" i="10" s="1"/>
  <c r="E212" i="22"/>
  <c r="AM19" i="10" s="1"/>
  <c r="E206" i="22"/>
  <c r="AG19" i="10" s="1"/>
  <c r="X41" i="34"/>
  <c r="G41" i="34"/>
  <c r="D189" i="22"/>
  <c r="C124" i="22"/>
  <c r="D125" i="22"/>
  <c r="C60" i="22"/>
  <c r="AM26" i="6"/>
  <c r="AM27" i="6" s="1"/>
  <c r="AM28" i="6" s="1"/>
  <c r="AU36" i="29"/>
  <c r="AV31" i="10"/>
  <c r="AV20" i="10"/>
  <c r="I31" i="9" s="1"/>
  <c r="I44" i="9" s="1"/>
  <c r="D134" i="8"/>
  <c r="BE36" i="29"/>
  <c r="AG26" i="6"/>
  <c r="AG27" i="6" s="1"/>
  <c r="AG28" i="6" s="1"/>
  <c r="BC36" i="29"/>
  <c r="AJ195" i="11"/>
  <c r="Q195" i="11"/>
  <c r="W195" i="11"/>
  <c r="M195" i="11"/>
  <c r="H195" i="11"/>
  <c r="AF195" i="11"/>
  <c r="AO195" i="11"/>
  <c r="AN195" i="11"/>
  <c r="AS195" i="11"/>
  <c r="AB195" i="11"/>
  <c r="AK195" i="11"/>
  <c r="S195" i="11"/>
  <c r="E196" i="22"/>
  <c r="C196" i="22" s="1"/>
  <c r="C131" i="22"/>
  <c r="W41" i="34"/>
  <c r="E132" i="8"/>
  <c r="BM26" i="6"/>
  <c r="BM27" i="6" s="1"/>
  <c r="BM28" i="6" s="1"/>
  <c r="F120" i="9"/>
  <c r="C30" i="10"/>
  <c r="BF26" i="6"/>
  <c r="BF27" i="6" s="1"/>
  <c r="BF28" i="6" s="1"/>
  <c r="BI26" i="6"/>
  <c r="BI27" i="6" s="1"/>
  <c r="BI28" i="6" s="1"/>
  <c r="H119" i="9"/>
  <c r="H67" i="9" s="1"/>
  <c r="AB30" i="10"/>
  <c r="AB37" i="10"/>
  <c r="AB38" i="10" s="1"/>
  <c r="Q41" i="34"/>
  <c r="E192" i="22"/>
  <c r="C192" i="22" s="1"/>
  <c r="C127" i="22"/>
  <c r="AW36" i="29"/>
  <c r="AS36" i="29"/>
  <c r="AQ36" i="29"/>
  <c r="BE26" i="6"/>
  <c r="BE27" i="6" s="1"/>
  <c r="BE28" i="6" s="1"/>
  <c r="Z26" i="6"/>
  <c r="E194" i="22"/>
  <c r="C129" i="22"/>
  <c r="F124" i="9"/>
  <c r="G30" i="10"/>
  <c r="BO28" i="6"/>
  <c r="AU196" i="11"/>
  <c r="N195" i="11"/>
  <c r="AE195" i="11"/>
  <c r="AK36" i="29"/>
  <c r="M15" i="10"/>
  <c r="AD36" i="29"/>
  <c r="Z30" i="10"/>
  <c r="G130" i="9"/>
  <c r="G78" i="9" s="1"/>
  <c r="Z37" i="10"/>
  <c r="AH26" i="6"/>
  <c r="AH27" i="6" s="1"/>
  <c r="AH28" i="6" s="1"/>
  <c r="H23" i="31"/>
  <c r="AG42" i="29"/>
  <c r="K184" i="11"/>
  <c r="AC184" i="11"/>
  <c r="L184" i="11"/>
  <c r="AA184" i="11"/>
  <c r="AT184" i="11"/>
  <c r="F184" i="11"/>
  <c r="T184" i="11"/>
  <c r="AS184" i="11"/>
  <c r="I184" i="11"/>
  <c r="M184" i="11"/>
  <c r="AM184" i="11"/>
  <c r="H184" i="11"/>
  <c r="W184" i="11"/>
  <c r="O184" i="11"/>
  <c r="Z184" i="11"/>
  <c r="E184" i="11"/>
  <c r="AL184" i="11"/>
  <c r="AO184" i="11"/>
  <c r="AH184" i="11"/>
  <c r="AD184" i="11"/>
  <c r="AJ184" i="11"/>
  <c r="AE184" i="11"/>
  <c r="Q184" i="11"/>
  <c r="R184" i="11"/>
  <c r="Y184" i="11"/>
  <c r="AG184" i="11"/>
  <c r="J184" i="11"/>
  <c r="AN184" i="11"/>
  <c r="AF184" i="11"/>
  <c r="V184" i="11"/>
  <c r="P184" i="11"/>
  <c r="AQ184" i="11"/>
  <c r="AK184" i="11"/>
  <c r="AP184" i="11"/>
  <c r="U184" i="11"/>
  <c r="G184" i="11"/>
  <c r="C184" i="11"/>
  <c r="S184" i="11"/>
  <c r="AB184" i="11"/>
  <c r="AR184" i="11"/>
  <c r="N184" i="11"/>
  <c r="D184" i="11"/>
  <c r="X184" i="11"/>
  <c r="AI184" i="11"/>
  <c r="BC26" i="6"/>
  <c r="BC27" i="6" s="1"/>
  <c r="BC28" i="6" s="1"/>
  <c r="BB15" i="6"/>
  <c r="BB26" i="6" s="1"/>
  <c r="BB27" i="6" s="1"/>
  <c r="AD41" i="34"/>
  <c r="AG193" i="11"/>
  <c r="AQ193" i="11"/>
  <c r="AS193" i="11"/>
  <c r="AP193" i="11"/>
  <c r="P193" i="11"/>
  <c r="Y193" i="11"/>
  <c r="AC193" i="11"/>
  <c r="AJ193" i="11"/>
  <c r="M193" i="11"/>
  <c r="T193" i="11"/>
  <c r="D193" i="11"/>
  <c r="G193" i="11"/>
  <c r="I193" i="11"/>
  <c r="S193" i="11"/>
  <c r="N193" i="11"/>
  <c r="AO193" i="11"/>
  <c r="O193" i="11"/>
  <c r="AI193" i="11"/>
  <c r="AT193" i="11"/>
  <c r="C193" i="11"/>
  <c r="AB193" i="11"/>
  <c r="F193" i="11"/>
  <c r="L193" i="11"/>
  <c r="X193" i="11"/>
  <c r="W193" i="11"/>
  <c r="AL193" i="11"/>
  <c r="AE193" i="11"/>
  <c r="R193" i="11"/>
  <c r="H193" i="11"/>
  <c r="E193" i="11"/>
  <c r="AM193" i="11"/>
  <c r="AK193" i="11"/>
  <c r="U193" i="11"/>
  <c r="AN193" i="11"/>
  <c r="Z193" i="11"/>
  <c r="AH193" i="11"/>
  <c r="AA193" i="11"/>
  <c r="K193" i="11"/>
  <c r="AF193" i="11"/>
  <c r="AR193" i="11"/>
  <c r="AD193" i="11"/>
  <c r="Q193" i="11"/>
  <c r="J193" i="11"/>
  <c r="V193" i="11"/>
  <c r="D58" i="8"/>
  <c r="C129" i="7"/>
  <c r="O129" i="7" s="1"/>
  <c r="S21" i="7"/>
  <c r="I36" i="29"/>
  <c r="E130" i="8"/>
  <c r="AN26" i="6"/>
  <c r="AN27" i="6" s="1"/>
  <c r="AN28" i="6" s="1"/>
  <c r="AE26" i="6"/>
  <c r="AE27" i="6" s="1"/>
  <c r="AE28" i="6" s="1"/>
  <c r="E26" i="34"/>
  <c r="Y41" i="34"/>
  <c r="AM36" i="29"/>
  <c r="D58" i="22"/>
  <c r="O22" i="10"/>
  <c r="C129" i="21"/>
  <c r="L129" i="21" s="1"/>
  <c r="BD26" i="6"/>
  <c r="BD27" i="6" s="1"/>
  <c r="BD28" i="6" s="1"/>
  <c r="AA41" i="34"/>
  <c r="BG31" i="10"/>
  <c r="BG20" i="10"/>
  <c r="J29" i="9" s="1"/>
  <c r="J42" i="9" s="1"/>
  <c r="C69" i="22"/>
  <c r="D134" i="22"/>
  <c r="AC26" i="6"/>
  <c r="AC27" i="6" s="1"/>
  <c r="AC28" i="6" s="1"/>
  <c r="D124" i="8"/>
  <c r="F125" i="9"/>
  <c r="H30" i="10"/>
  <c r="E197" i="22"/>
  <c r="C132" i="22"/>
  <c r="EF37" i="29"/>
  <c r="CA31" i="10"/>
  <c r="CA20" i="10"/>
  <c r="K36" i="9" s="1"/>
  <c r="E193" i="22"/>
  <c r="C128" i="22"/>
  <c r="BN26" i="6"/>
  <c r="BN27" i="6" s="1"/>
  <c r="BN28" i="6" s="1"/>
  <c r="E195" i="22"/>
  <c r="C130" i="22"/>
  <c r="BJ26" i="6"/>
  <c r="BJ27" i="6" s="1"/>
  <c r="BJ28" i="6" s="1"/>
  <c r="BG26" i="6"/>
  <c r="BG27" i="6" s="1"/>
  <c r="BG28" i="6" s="1"/>
  <c r="U41" i="34"/>
  <c r="Q37" i="10"/>
  <c r="Q30" i="10"/>
  <c r="L36" i="29"/>
  <c r="D15" i="10"/>
  <c r="G121" i="9"/>
  <c r="G69" i="9" s="1"/>
  <c r="E135" i="8"/>
  <c r="AC41" i="34"/>
  <c r="E30" i="10"/>
  <c r="F122" i="9"/>
  <c r="AY36" i="29"/>
  <c r="AO36" i="29"/>
  <c r="G58" i="8"/>
  <c r="G123" i="8" s="1"/>
  <c r="G188" i="8" s="1"/>
  <c r="C132" i="7"/>
  <c r="F132" i="7" s="1"/>
  <c r="S75" i="7"/>
  <c r="E127" i="8"/>
  <c r="U195" i="11"/>
  <c r="Z195" i="11"/>
  <c r="AD195" i="11"/>
  <c r="AQ195" i="11"/>
  <c r="AP195" i="11"/>
  <c r="AB39" i="10"/>
  <c r="J195" i="11"/>
  <c r="AI195" i="11"/>
  <c r="V195" i="11"/>
  <c r="X195" i="11"/>
  <c r="AR195" i="11"/>
  <c r="E195" i="11"/>
  <c r="AC195" i="11"/>
  <c r="O195" i="11"/>
  <c r="G195" i="11"/>
  <c r="C195" i="11"/>
  <c r="Y195" i="11"/>
  <c r="L195" i="11"/>
  <c r="AH195" i="11"/>
  <c r="T195" i="11"/>
  <c r="AT195" i="11"/>
  <c r="AA195" i="11"/>
  <c r="F195" i="11"/>
  <c r="K195" i="11"/>
  <c r="P195" i="11"/>
  <c r="D195" i="11"/>
  <c r="AG195" i="11"/>
  <c r="I195" i="11"/>
  <c r="R195" i="11"/>
  <c r="AL195" i="11"/>
  <c r="C191" i="22" l="1"/>
  <c r="BX20" i="10"/>
  <c r="K33" i="9" s="1"/>
  <c r="K46" i="9" s="1"/>
  <c r="C189" i="22"/>
  <c r="C194" i="22"/>
  <c r="C197" i="22"/>
  <c r="AK247" i="22"/>
  <c r="N244" i="22"/>
  <c r="D240" i="22"/>
  <c r="BO19" i="6"/>
  <c r="AR244" i="22"/>
  <c r="AD247" i="22"/>
  <c r="O244" i="22"/>
  <c r="F244" i="22"/>
  <c r="D236" i="22"/>
  <c r="F247" i="22"/>
  <c r="AS247" i="22"/>
  <c r="H247" i="22"/>
  <c r="S244" i="22"/>
  <c r="C195" i="22"/>
  <c r="P247" i="22"/>
  <c r="AT244" i="22"/>
  <c r="V247" i="22"/>
  <c r="V244" i="22"/>
  <c r="D235" i="22"/>
  <c r="X247" i="22"/>
  <c r="M247" i="22"/>
  <c r="J244" i="22"/>
  <c r="C200" i="22"/>
  <c r="AM244" i="22"/>
  <c r="BT31" i="10"/>
  <c r="AT247" i="22"/>
  <c r="G247" i="22"/>
  <c r="T244" i="22"/>
  <c r="J247" i="22"/>
  <c r="AH244" i="22"/>
  <c r="S57" i="7"/>
  <c r="AG247" i="22"/>
  <c r="AI247" i="22"/>
  <c r="AK244" i="22"/>
  <c r="AG244" i="22"/>
  <c r="G244" i="22"/>
  <c r="T247" i="22"/>
  <c r="AQ247" i="22"/>
  <c r="AE247" i="22"/>
  <c r="AM247" i="22"/>
  <c r="AM248" i="22" s="1"/>
  <c r="AM249" i="22" s="1"/>
  <c r="AR247" i="22"/>
  <c r="AJ247" i="22"/>
  <c r="D238" i="22"/>
  <c r="AV247" i="22"/>
  <c r="I244" i="22"/>
  <c r="I247" i="22"/>
  <c r="W244" i="22"/>
  <c r="AQ244" i="22"/>
  <c r="L244" i="22"/>
  <c r="AU247" i="22"/>
  <c r="U247" i="22"/>
  <c r="W247" i="22"/>
  <c r="S247" i="22"/>
  <c r="Y244" i="22"/>
  <c r="BV31" i="10"/>
  <c r="AJ244" i="22"/>
  <c r="H244" i="22"/>
  <c r="U244" i="22"/>
  <c r="AS244" i="22"/>
  <c r="AS248" i="22" s="1"/>
  <c r="AS249" i="22" s="1"/>
  <c r="BZ20" i="10"/>
  <c r="K35" i="9" s="1"/>
  <c r="K48" i="9" s="1"/>
  <c r="ED37" i="29"/>
  <c r="EC37" i="29" s="1"/>
  <c r="AU244" i="22"/>
  <c r="P244" i="22"/>
  <c r="R247" i="22"/>
  <c r="AA247" i="22"/>
  <c r="E247" i="22"/>
  <c r="AP244" i="22"/>
  <c r="O247" i="22"/>
  <c r="AB244" i="22"/>
  <c r="AV244" i="22"/>
  <c r="AC244" i="22"/>
  <c r="AH247" i="22"/>
  <c r="Z247" i="22"/>
  <c r="D239" i="22"/>
  <c r="Q247" i="22"/>
  <c r="AL247" i="22"/>
  <c r="AF244" i="22"/>
  <c r="Z244" i="22"/>
  <c r="AB247" i="22"/>
  <c r="Y247" i="22"/>
  <c r="AP247" i="22"/>
  <c r="N247" i="22"/>
  <c r="AD244" i="22"/>
  <c r="L247" i="22"/>
  <c r="AN244" i="22"/>
  <c r="R244" i="22"/>
  <c r="K244" i="22"/>
  <c r="AO247" i="22"/>
  <c r="E244" i="22"/>
  <c r="AR20" i="10"/>
  <c r="I27" i="9" s="1"/>
  <c r="I40" i="9" s="1"/>
  <c r="AO244" i="22"/>
  <c r="AE244" i="22"/>
  <c r="AI244" i="22"/>
  <c r="AN247" i="22"/>
  <c r="AL244" i="22"/>
  <c r="K247" i="22"/>
  <c r="Q244" i="22"/>
  <c r="AF247" i="22"/>
  <c r="AC247" i="22"/>
  <c r="D237" i="22"/>
  <c r="AA244" i="22"/>
  <c r="X244" i="22"/>
  <c r="BR31" i="10"/>
  <c r="DX37" i="29"/>
  <c r="DW37" i="29" s="1"/>
  <c r="BS20" i="10"/>
  <c r="K28" i="9" s="1"/>
  <c r="K41" i="9" s="1"/>
  <c r="DJ37" i="29"/>
  <c r="DJ34" i="29" s="1"/>
  <c r="BW20" i="10"/>
  <c r="K32" i="9" s="1"/>
  <c r="K45" i="9" s="1"/>
  <c r="C193" i="22"/>
  <c r="BU20" i="10"/>
  <c r="K30" i="9" s="1"/>
  <c r="K43" i="9" s="1"/>
  <c r="BQ20" i="10"/>
  <c r="K26" i="9" s="1"/>
  <c r="K39" i="9" s="1"/>
  <c r="BQ31" i="10"/>
  <c r="BR20" i="10"/>
  <c r="K27" i="9" s="1"/>
  <c r="K40" i="9" s="1"/>
  <c r="DT37" i="29"/>
  <c r="DS37" i="29" s="1"/>
  <c r="DV37" i="29"/>
  <c r="DU37" i="29" s="1"/>
  <c r="BS31" i="10"/>
  <c r="DP37" i="29"/>
  <c r="DO37" i="29" s="1"/>
  <c r="BP20" i="10"/>
  <c r="DR37" i="29"/>
  <c r="DQ37" i="29" s="1"/>
  <c r="DZ37" i="29"/>
  <c r="DY37" i="29" s="1"/>
  <c r="C8" i="41"/>
  <c r="E8" i="41"/>
  <c r="O23" i="13"/>
  <c r="N23" i="13" s="1"/>
  <c r="O23" i="43"/>
  <c r="O37" i="10"/>
  <c r="O38" i="10" s="1"/>
  <c r="AU183" i="11"/>
  <c r="AX31" i="10"/>
  <c r="AP20" i="10"/>
  <c r="I25" i="9" s="1"/>
  <c r="AP31" i="10"/>
  <c r="F123" i="9"/>
  <c r="F71" i="9" s="1"/>
  <c r="C71" i="9" s="1"/>
  <c r="H15" i="6"/>
  <c r="AO31" i="10"/>
  <c r="BI52" i="34"/>
  <c r="BH59" i="34"/>
  <c r="BH40" i="34" s="1"/>
  <c r="AT20" i="10"/>
  <c r="I29" i="9" s="1"/>
  <c r="I42" i="9" s="1"/>
  <c r="AW20" i="10"/>
  <c r="I32" i="9" s="1"/>
  <c r="I45" i="9" s="1"/>
  <c r="K15" i="6"/>
  <c r="K30" i="10"/>
  <c r="AZ20" i="10"/>
  <c r="I35" i="9" s="1"/>
  <c r="I48" i="9" s="1"/>
  <c r="BD60" i="34"/>
  <c r="BD58" i="34" s="1"/>
  <c r="BD20" i="34" s="1"/>
  <c r="BE55" i="34"/>
  <c r="AZ49" i="34"/>
  <c r="AZ47" i="34"/>
  <c r="AZ19" i="34"/>
  <c r="AZ18" i="34"/>
  <c r="AZ17" i="34"/>
  <c r="AZ36" i="34"/>
  <c r="BC14" i="34"/>
  <c r="BC24" i="34" s="1"/>
  <c r="BD7" i="34"/>
  <c r="BC6" i="34"/>
  <c r="BA18" i="34"/>
  <c r="BA19" i="34"/>
  <c r="BA47" i="34"/>
  <c r="BA49" i="34"/>
  <c r="BA17" i="34"/>
  <c r="BA36" i="34"/>
  <c r="BB35" i="34"/>
  <c r="BB15" i="34"/>
  <c r="BB13" i="34"/>
  <c r="BB16" i="34" s="1"/>
  <c r="BL37" i="29"/>
  <c r="BL34" i="29" s="1"/>
  <c r="AU258" i="11"/>
  <c r="F131" i="9"/>
  <c r="C131" i="9" s="1"/>
  <c r="AZ31" i="10"/>
  <c r="F58" i="8"/>
  <c r="F123" i="8" s="1"/>
  <c r="F188" i="8" s="1"/>
  <c r="AQ20" i="10"/>
  <c r="I26" i="9" s="1"/>
  <c r="I39" i="9" s="1"/>
  <c r="B345" i="11"/>
  <c r="F345" i="11" s="1"/>
  <c r="AG33" i="34"/>
  <c r="AH31" i="34" s="1"/>
  <c r="AG34" i="34"/>
  <c r="AG39" i="34" s="1"/>
  <c r="AG41" i="34" s="1"/>
  <c r="AG42" i="34" s="1"/>
  <c r="BP37" i="29"/>
  <c r="BP34" i="29" s="1"/>
  <c r="AS31" i="10"/>
  <c r="BA20" i="10"/>
  <c r="I36" i="9" s="1"/>
  <c r="DD37" i="29"/>
  <c r="DD34" i="29" s="1"/>
  <c r="BX37" i="29"/>
  <c r="BX34" i="29" s="1"/>
  <c r="AR31" i="10"/>
  <c r="BA31" i="10"/>
  <c r="BM20" i="10"/>
  <c r="J35" i="9" s="1"/>
  <c r="J48" i="9" s="1"/>
  <c r="M15" i="6"/>
  <c r="EG42" i="29"/>
  <c r="AU248" i="11"/>
  <c r="C62" i="8"/>
  <c r="J30" i="10"/>
  <c r="BT37" i="29"/>
  <c r="BS37" i="29" s="1"/>
  <c r="BV37" i="29"/>
  <c r="BV34" i="29" s="1"/>
  <c r="AU31" i="10"/>
  <c r="F126" i="9"/>
  <c r="C126" i="9" s="1"/>
  <c r="BZ37" i="29"/>
  <c r="BY37" i="29" s="1"/>
  <c r="BR37" i="29"/>
  <c r="BR34" i="29" s="1"/>
  <c r="AA247" i="11"/>
  <c r="AU250" i="11"/>
  <c r="AB15" i="6"/>
  <c r="AB26" i="6" s="1"/>
  <c r="AB27" i="6" s="1"/>
  <c r="AO28" i="6"/>
  <c r="F15" i="6"/>
  <c r="I15" i="6"/>
  <c r="AO15" i="6"/>
  <c r="AO26" i="6" s="1"/>
  <c r="AO27" i="6" s="1"/>
  <c r="F247" i="11"/>
  <c r="P247" i="11"/>
  <c r="T247" i="11"/>
  <c r="I209" i="22"/>
  <c r="CJ19" i="10" s="1"/>
  <c r="V247" i="11"/>
  <c r="I206" i="22"/>
  <c r="CG19" i="10" s="1"/>
  <c r="CG31" i="10" s="1"/>
  <c r="Z247" i="11"/>
  <c r="AU255" i="11"/>
  <c r="AB247" i="11"/>
  <c r="I247" i="11"/>
  <c r="AI247" i="11"/>
  <c r="AU251" i="11"/>
  <c r="AU252" i="11"/>
  <c r="U247" i="11"/>
  <c r="C130" i="7"/>
  <c r="F130" i="7" s="1"/>
  <c r="B181" i="11"/>
  <c r="R247" i="11"/>
  <c r="X247" i="11"/>
  <c r="Q247" i="11"/>
  <c r="I203" i="22"/>
  <c r="CD19" i="10" s="1"/>
  <c r="CD31" i="10" s="1"/>
  <c r="I210" i="22"/>
  <c r="CK19" i="10" s="1"/>
  <c r="CK20" i="10" s="1"/>
  <c r="L33" i="9" s="1"/>
  <c r="L46" i="9" s="1"/>
  <c r="AK247" i="11"/>
  <c r="W247" i="11"/>
  <c r="J247" i="11"/>
  <c r="AS247" i="11"/>
  <c r="AT247" i="11"/>
  <c r="AF247" i="11"/>
  <c r="I207" i="22"/>
  <c r="CH19" i="10" s="1"/>
  <c r="E58" i="8"/>
  <c r="E123" i="8" s="1"/>
  <c r="E188" i="8" s="1"/>
  <c r="I212" i="22"/>
  <c r="CM19" i="10" s="1"/>
  <c r="AL247" i="11"/>
  <c r="AN247" i="11"/>
  <c r="O247" i="11"/>
  <c r="M247" i="11"/>
  <c r="N247" i="11"/>
  <c r="S247" i="11"/>
  <c r="AC247" i="11"/>
  <c r="AR247" i="11"/>
  <c r="L247" i="11"/>
  <c r="I213" i="22"/>
  <c r="CN19" i="10" s="1"/>
  <c r="CN20" i="10" s="1"/>
  <c r="L36" i="9" s="1"/>
  <c r="AE247" i="11"/>
  <c r="K247" i="11"/>
  <c r="D247" i="11"/>
  <c r="AM247" i="11"/>
  <c r="H247" i="11"/>
  <c r="AD247" i="11"/>
  <c r="Y247" i="11"/>
  <c r="AG247" i="11"/>
  <c r="AO247" i="11"/>
  <c r="G247" i="11"/>
  <c r="C247" i="11"/>
  <c r="E247" i="11"/>
  <c r="AP247" i="11"/>
  <c r="AH247" i="11"/>
  <c r="I202" i="22"/>
  <c r="CC19" i="10" s="1"/>
  <c r="I204" i="22"/>
  <c r="CE19" i="10" s="1"/>
  <c r="I201" i="22"/>
  <c r="I208" i="22"/>
  <c r="CI19" i="10" s="1"/>
  <c r="CB37" i="10"/>
  <c r="L119" i="9"/>
  <c r="L67" i="9" s="1"/>
  <c r="AJ247" i="11"/>
  <c r="EH36" i="29"/>
  <c r="EG36" i="29" s="1"/>
  <c r="AQ247" i="11"/>
  <c r="AU254" i="11"/>
  <c r="AU249" i="11"/>
  <c r="G182" i="11"/>
  <c r="CF20" i="10"/>
  <c r="L28" i="9" s="1"/>
  <c r="L41" i="9" s="1"/>
  <c r="CF31" i="10"/>
  <c r="BF31" i="10"/>
  <c r="BK20" i="10"/>
  <c r="J33" i="9" s="1"/>
  <c r="J46" i="9" s="1"/>
  <c r="C61" i="8"/>
  <c r="CJ37" i="29"/>
  <c r="CJ34" i="29" s="1"/>
  <c r="C59" i="8"/>
  <c r="BC20" i="10"/>
  <c r="J25" i="9" s="1"/>
  <c r="BI31" i="10"/>
  <c r="C64" i="8"/>
  <c r="BB19" i="6"/>
  <c r="BE31" i="10"/>
  <c r="C60" i="8"/>
  <c r="D15" i="6"/>
  <c r="Q26" i="6"/>
  <c r="CN37" i="29"/>
  <c r="CM37" i="29" s="1"/>
  <c r="C63" i="8"/>
  <c r="S182" i="11"/>
  <c r="C65" i="8"/>
  <c r="C70" i="8"/>
  <c r="CT37" i="29"/>
  <c r="CS37" i="29" s="1"/>
  <c r="CR37" i="29"/>
  <c r="CR34" i="29" s="1"/>
  <c r="BD20" i="10"/>
  <c r="J26" i="9" s="1"/>
  <c r="J39" i="9" s="1"/>
  <c r="BH31" i="10"/>
  <c r="BN20" i="10"/>
  <c r="J36" i="9" s="1"/>
  <c r="BH20" i="10"/>
  <c r="J30" i="9" s="1"/>
  <c r="J43" i="9" s="1"/>
  <c r="CP37" i="29"/>
  <c r="CO37" i="29" s="1"/>
  <c r="CX37" i="29"/>
  <c r="CX34" i="29" s="1"/>
  <c r="CB15" i="6"/>
  <c r="BJ31" i="10"/>
  <c r="DF37" i="29"/>
  <c r="DE37" i="29" s="1"/>
  <c r="C69" i="8"/>
  <c r="C15" i="6"/>
  <c r="CZ37" i="29"/>
  <c r="CY37" i="29" s="1"/>
  <c r="CV37" i="29"/>
  <c r="CV34" i="29" s="1"/>
  <c r="BD31" i="10"/>
  <c r="S111" i="7"/>
  <c r="C134" i="7"/>
  <c r="F134" i="7" s="1"/>
  <c r="I58" i="8"/>
  <c r="I123" i="8" s="1"/>
  <c r="I188" i="8" s="1"/>
  <c r="C66" i="8"/>
  <c r="I182" i="11"/>
  <c r="C67" i="8"/>
  <c r="AO182" i="11"/>
  <c r="AT182" i="11"/>
  <c r="O30" i="10"/>
  <c r="D182" i="11"/>
  <c r="AD182" i="11"/>
  <c r="H182" i="11"/>
  <c r="AA182" i="11"/>
  <c r="AK182" i="11"/>
  <c r="AB182" i="11"/>
  <c r="R182" i="11"/>
  <c r="W182" i="11"/>
  <c r="K182" i="11"/>
  <c r="AL182" i="11"/>
  <c r="AI182" i="11"/>
  <c r="Y182" i="11"/>
  <c r="AQ182" i="11"/>
  <c r="AP182" i="11"/>
  <c r="V182" i="11"/>
  <c r="AE182" i="11"/>
  <c r="G119" i="9"/>
  <c r="G67" i="9" s="1"/>
  <c r="AF182" i="11"/>
  <c r="X182" i="11"/>
  <c r="U182" i="11"/>
  <c r="P182" i="11"/>
  <c r="J182" i="11"/>
  <c r="AH182" i="11"/>
  <c r="Z182" i="11"/>
  <c r="L182" i="11"/>
  <c r="H36" i="29"/>
  <c r="G36" i="29" s="1"/>
  <c r="AM182" i="11"/>
  <c r="AN182" i="11"/>
  <c r="E182" i="11"/>
  <c r="AS182" i="11"/>
  <c r="AR182" i="11"/>
  <c r="AU193" i="11"/>
  <c r="N182" i="11"/>
  <c r="AU184" i="11"/>
  <c r="AJ182" i="11"/>
  <c r="Q182" i="11"/>
  <c r="T182" i="11"/>
  <c r="AG182" i="11"/>
  <c r="O182" i="11"/>
  <c r="M182" i="11"/>
  <c r="F182" i="11"/>
  <c r="AC182" i="11"/>
  <c r="AC42" i="34"/>
  <c r="E200" i="8"/>
  <c r="C200" i="8" s="1"/>
  <c r="C135" i="8"/>
  <c r="D30" i="10"/>
  <c r="F121" i="9"/>
  <c r="C134" i="22"/>
  <c r="D199" i="22"/>
  <c r="C199" i="22" s="1"/>
  <c r="AA42" i="34"/>
  <c r="Q42" i="34"/>
  <c r="C120" i="9"/>
  <c r="F68" i="9"/>
  <c r="C68" i="9" s="1"/>
  <c r="J42" i="34"/>
  <c r="E197" i="8"/>
  <c r="C197" i="8" s="1"/>
  <c r="C132" i="8"/>
  <c r="S42" i="34"/>
  <c r="G42" i="34"/>
  <c r="AG31" i="10"/>
  <c r="AG20" i="10"/>
  <c r="H29" i="9" s="1"/>
  <c r="H42" i="9" s="1"/>
  <c r="AH31" i="10"/>
  <c r="AH20" i="10"/>
  <c r="H30" i="9" s="1"/>
  <c r="H43" i="9" s="1"/>
  <c r="AP37" i="29"/>
  <c r="AF31" i="10"/>
  <c r="AV37" i="29"/>
  <c r="AX37" i="29"/>
  <c r="AR37" i="29"/>
  <c r="AZ37" i="29"/>
  <c r="AT37" i="29"/>
  <c r="AF20" i="10"/>
  <c r="H28" i="9" s="1"/>
  <c r="H41" i="9" s="1"/>
  <c r="R42" i="34"/>
  <c r="DM37" i="29"/>
  <c r="DN34" i="29"/>
  <c r="F42" i="34"/>
  <c r="AG36" i="29"/>
  <c r="E192" i="8"/>
  <c r="C192" i="8" s="1"/>
  <c r="C127" i="8"/>
  <c r="CC37" i="29"/>
  <c r="CD34" i="29"/>
  <c r="C122" i="9"/>
  <c r="F70" i="9"/>
  <c r="C70" i="9" s="1"/>
  <c r="L42" i="34"/>
  <c r="E196" i="8"/>
  <c r="C196" i="8" s="1"/>
  <c r="C131" i="8"/>
  <c r="C124" i="8"/>
  <c r="D189" i="8"/>
  <c r="Y42" i="34"/>
  <c r="AB42" i="34"/>
  <c r="E195" i="8"/>
  <c r="C195" i="8" s="1"/>
  <c r="C130" i="8"/>
  <c r="C124" i="9"/>
  <c r="F72" i="9"/>
  <c r="C72" i="9" s="1"/>
  <c r="E193" i="8"/>
  <c r="C193" i="8" s="1"/>
  <c r="C128" i="8"/>
  <c r="K42" i="34"/>
  <c r="O42" i="34"/>
  <c r="CE37" i="29"/>
  <c r="CF34" i="29"/>
  <c r="Z42" i="34"/>
  <c r="D190" i="22"/>
  <c r="C190" i="22" s="1"/>
  <c r="C125" i="22"/>
  <c r="X42" i="34"/>
  <c r="AK31" i="10"/>
  <c r="AK20" i="10"/>
  <c r="H33" i="9" s="1"/>
  <c r="H46" i="9" s="1"/>
  <c r="AJ31" i="10"/>
  <c r="AJ20" i="10"/>
  <c r="H32" i="9" s="1"/>
  <c r="H45" i="9" s="1"/>
  <c r="AN31" i="10"/>
  <c r="BF37" i="29"/>
  <c r="AN20" i="10"/>
  <c r="H36" i="9" s="1"/>
  <c r="E194" i="8"/>
  <c r="C194" i="8" s="1"/>
  <c r="C129" i="8"/>
  <c r="I42" i="34"/>
  <c r="N42" i="34"/>
  <c r="C182" i="11"/>
  <c r="AB28" i="6"/>
  <c r="B15" i="10"/>
  <c r="T42" i="34"/>
  <c r="C127" i="9"/>
  <c r="F75" i="9"/>
  <c r="C75" i="9" s="1"/>
  <c r="E191" i="8"/>
  <c r="C191" i="8" s="1"/>
  <c r="C126" i="8"/>
  <c r="AF42" i="34"/>
  <c r="U42" i="34"/>
  <c r="H42" i="34"/>
  <c r="EE37" i="29"/>
  <c r="EF34" i="29"/>
  <c r="C58" i="22"/>
  <c r="D123" i="22"/>
  <c r="BO31" i="10"/>
  <c r="B347" i="11"/>
  <c r="N19" i="31"/>
  <c r="AD42" i="34"/>
  <c r="F130" i="9"/>
  <c r="M30" i="10"/>
  <c r="V42" i="34"/>
  <c r="BM37" i="29"/>
  <c r="BN34" i="29"/>
  <c r="W42" i="34"/>
  <c r="C128" i="9"/>
  <c r="F76" i="9"/>
  <c r="C76" i="9" s="1"/>
  <c r="C134" i="8"/>
  <c r="D199" i="8"/>
  <c r="C199" i="8" s="1"/>
  <c r="AC31" i="10"/>
  <c r="AJ37" i="29"/>
  <c r="AC20" i="10"/>
  <c r="AD31" i="10"/>
  <c r="AL37" i="29"/>
  <c r="AD20" i="10"/>
  <c r="H26" i="9" s="1"/>
  <c r="H39" i="9" s="1"/>
  <c r="AI31" i="10"/>
  <c r="AI20" i="10"/>
  <c r="H31" i="9" s="1"/>
  <c r="H44" i="9" s="1"/>
  <c r="O29" i="6"/>
  <c r="O26" i="6"/>
  <c r="BB31" i="10"/>
  <c r="B346" i="11"/>
  <c r="L19" i="31"/>
  <c r="D190" i="8"/>
  <c r="C190" i="8" s="1"/>
  <c r="C125" i="8"/>
  <c r="CK37" i="29"/>
  <c r="CL34" i="29"/>
  <c r="BB28" i="6"/>
  <c r="M42" i="34"/>
  <c r="K36" i="29"/>
  <c r="AE42" i="34"/>
  <c r="DK37" i="29"/>
  <c r="DL34" i="29"/>
  <c r="C125" i="9"/>
  <c r="F73" i="9"/>
  <c r="C73" i="9" s="1"/>
  <c r="B22" i="10"/>
  <c r="D42" i="29" s="1"/>
  <c r="C42" i="29" s="1"/>
  <c r="F23" i="31"/>
  <c r="C23" i="31" s="1"/>
  <c r="G42" i="29"/>
  <c r="E27" i="34"/>
  <c r="E39" i="34"/>
  <c r="D123" i="8"/>
  <c r="AC36" i="29"/>
  <c r="AM31" i="10"/>
  <c r="BD37" i="29"/>
  <c r="AM20" i="10"/>
  <c r="H35" i="9" s="1"/>
  <c r="H48" i="9" s="1"/>
  <c r="AB19" i="6"/>
  <c r="AB19" i="10"/>
  <c r="AN37" i="29"/>
  <c r="AE31" i="10"/>
  <c r="AE20" i="10"/>
  <c r="H27" i="9" s="1"/>
  <c r="H40" i="9" s="1"/>
  <c r="BI37" i="29"/>
  <c r="BJ34" i="29"/>
  <c r="P42" i="34"/>
  <c r="P248" i="22" l="1"/>
  <c r="P249" i="22" s="1"/>
  <c r="AK248" i="22"/>
  <c r="AK249" i="22" s="1"/>
  <c r="AA248" i="22"/>
  <c r="AA249" i="22" s="1"/>
  <c r="N248" i="22"/>
  <c r="N249" i="22" s="1"/>
  <c r="S248" i="22"/>
  <c r="S249" i="22" s="1"/>
  <c r="J248" i="22"/>
  <c r="J249" i="22" s="1"/>
  <c r="ED34" i="29"/>
  <c r="EC34" i="29" s="1"/>
  <c r="EC39" i="29" s="1"/>
  <c r="EC40" i="29" s="1"/>
  <c r="O248" i="22"/>
  <c r="O249" i="22" s="1"/>
  <c r="AD248" i="22"/>
  <c r="AD249" i="22" s="1"/>
  <c r="AR248" i="22"/>
  <c r="AR249" i="22" s="1"/>
  <c r="F248" i="22"/>
  <c r="F249" i="22" s="1"/>
  <c r="K248" i="22"/>
  <c r="K249" i="22" s="1"/>
  <c r="H248" i="22"/>
  <c r="H249" i="22" s="1"/>
  <c r="X248" i="22"/>
  <c r="X249" i="22" s="1"/>
  <c r="AN248" i="22"/>
  <c r="AN249" i="22" s="1"/>
  <c r="AB248" i="22"/>
  <c r="AB249" i="22" s="1"/>
  <c r="G248" i="22"/>
  <c r="G249" i="22" s="1"/>
  <c r="Z248" i="22"/>
  <c r="Z249" i="22" s="1"/>
  <c r="V248" i="22"/>
  <c r="V249" i="22" s="1"/>
  <c r="AH248" i="22"/>
  <c r="AH249" i="22" s="1"/>
  <c r="R248" i="22"/>
  <c r="R249" i="22" s="1"/>
  <c r="AQ248" i="22"/>
  <c r="AQ249" i="22" s="1"/>
  <c r="AG248" i="22"/>
  <c r="AG249" i="22" s="1"/>
  <c r="AT248" i="22"/>
  <c r="AT249" i="22" s="1"/>
  <c r="AC248" i="22"/>
  <c r="AC249" i="22" s="1"/>
  <c r="AE248" i="22"/>
  <c r="AE249" i="22" s="1"/>
  <c r="W248" i="22"/>
  <c r="W249" i="22" s="1"/>
  <c r="T248" i="22"/>
  <c r="T249" i="22" s="1"/>
  <c r="AI248" i="22"/>
  <c r="AI249" i="22" s="1"/>
  <c r="I248" i="22"/>
  <c r="I249" i="22" s="1"/>
  <c r="DX34" i="29"/>
  <c r="DW34" i="29" s="1"/>
  <c r="DW39" i="29" s="1"/>
  <c r="DW40" i="29" s="1"/>
  <c r="AO248" i="22"/>
  <c r="AO249" i="22" s="1"/>
  <c r="AJ248" i="22"/>
  <c r="AJ249" i="22" s="1"/>
  <c r="AV248" i="22"/>
  <c r="AV249" i="22" s="1"/>
  <c r="E248" i="22"/>
  <c r="E249" i="22" s="1"/>
  <c r="E250" i="22" s="1"/>
  <c r="E251" i="22" s="1"/>
  <c r="E253" i="22" s="1"/>
  <c r="E254" i="22" s="1"/>
  <c r="E18" i="43" s="1"/>
  <c r="E15" i="43" s="1"/>
  <c r="E14" i="43" s="1"/>
  <c r="E28" i="43" s="1"/>
  <c r="AU248" i="22"/>
  <c r="AU249" i="22" s="1"/>
  <c r="AP248" i="22"/>
  <c r="AP249" i="22" s="1"/>
  <c r="U248" i="22"/>
  <c r="U249" i="22" s="1"/>
  <c r="Y248" i="22"/>
  <c r="Y249" i="22" s="1"/>
  <c r="AF248" i="22"/>
  <c r="AF249" i="22" s="1"/>
  <c r="L248" i="22"/>
  <c r="L249" i="22" s="1"/>
  <c r="DI37" i="29"/>
  <c r="D247" i="22"/>
  <c r="Q248" i="22"/>
  <c r="Q249" i="22" s="1"/>
  <c r="AL248" i="22"/>
  <c r="AL249" i="22" s="1"/>
  <c r="DP34" i="29"/>
  <c r="DP39" i="29" s="1"/>
  <c r="DP40" i="29" s="1"/>
  <c r="DZ34" i="29"/>
  <c r="DY34" i="29" s="1"/>
  <c r="DY39" i="29" s="1"/>
  <c r="DY40" i="29" s="1"/>
  <c r="F8" i="41"/>
  <c r="H8" i="41" s="1"/>
  <c r="BO20" i="10"/>
  <c r="K10" i="9" s="1"/>
  <c r="K25" i="9"/>
  <c r="K38" i="9" s="1"/>
  <c r="DT34" i="29"/>
  <c r="DT39" i="29" s="1"/>
  <c r="DT40" i="29" s="1"/>
  <c r="M229" i="22"/>
  <c r="D229" i="22" s="1"/>
  <c r="DR34" i="29"/>
  <c r="DQ34" i="29" s="1"/>
  <c r="DQ39" i="29" s="1"/>
  <c r="DQ40" i="29" s="1"/>
  <c r="DV34" i="29"/>
  <c r="DU34" i="29" s="1"/>
  <c r="DU39" i="29" s="1"/>
  <c r="DU40" i="29" s="1"/>
  <c r="DH37" i="29"/>
  <c r="DH34" i="29" s="1"/>
  <c r="M243" i="22"/>
  <c r="D243" i="22" s="1"/>
  <c r="O21" i="13"/>
  <c r="O21" i="43"/>
  <c r="N23" i="43"/>
  <c r="AO345" i="11"/>
  <c r="Z38" i="10"/>
  <c r="P38" i="10"/>
  <c r="Q38" i="10"/>
  <c r="Q39" i="10" s="1"/>
  <c r="C123" i="9"/>
  <c r="BK37" i="29"/>
  <c r="AA181" i="11"/>
  <c r="AA341" i="11" s="1"/>
  <c r="H181" i="11"/>
  <c r="H341" i="11" s="1"/>
  <c r="AD181" i="11"/>
  <c r="AD341" i="11" s="1"/>
  <c r="BI59" i="34"/>
  <c r="BI40" i="34" s="1"/>
  <c r="BJ52" i="34"/>
  <c r="AR181" i="11"/>
  <c r="AR341" i="11" s="1"/>
  <c r="AH181" i="11"/>
  <c r="AH341" i="11" s="1"/>
  <c r="W345" i="11"/>
  <c r="AD345" i="11"/>
  <c r="S345" i="11"/>
  <c r="F74" i="9"/>
  <c r="C74" i="9" s="1"/>
  <c r="AE345" i="11"/>
  <c r="K345" i="11"/>
  <c r="AG345" i="11"/>
  <c r="V345" i="11"/>
  <c r="Y345" i="11"/>
  <c r="H345" i="11"/>
  <c r="AP345" i="11"/>
  <c r="AR345" i="11"/>
  <c r="G345" i="11"/>
  <c r="Z345" i="11"/>
  <c r="I345" i="11"/>
  <c r="U345" i="11"/>
  <c r="AB345" i="11"/>
  <c r="M345" i="11"/>
  <c r="AA345" i="11"/>
  <c r="C345" i="11"/>
  <c r="AC345" i="11"/>
  <c r="AJ345" i="11"/>
  <c r="AI345" i="11"/>
  <c r="L345" i="11"/>
  <c r="AN345" i="11"/>
  <c r="AS345" i="11"/>
  <c r="AT345" i="11"/>
  <c r="AL345" i="11"/>
  <c r="P345" i="11"/>
  <c r="O345" i="11"/>
  <c r="T345" i="11"/>
  <c r="AM345" i="11"/>
  <c r="AQ345" i="11"/>
  <c r="Q345" i="11"/>
  <c r="E345" i="11"/>
  <c r="N345" i="11"/>
  <c r="X345" i="11"/>
  <c r="AH345" i="11"/>
  <c r="AF345" i="11"/>
  <c r="R345" i="11"/>
  <c r="J345" i="11"/>
  <c r="D345" i="11"/>
  <c r="AK345" i="11"/>
  <c r="BB47" i="34"/>
  <c r="BB36" i="34"/>
  <c r="BB19" i="34"/>
  <c r="BB17" i="34"/>
  <c r="BB18" i="34"/>
  <c r="BB49" i="34"/>
  <c r="BC35" i="34"/>
  <c r="BC15" i="34"/>
  <c r="BC13" i="34"/>
  <c r="AZ29" i="34"/>
  <c r="AZ30" i="34" s="1"/>
  <c r="AZ25" i="34"/>
  <c r="AZ26" i="34" s="1"/>
  <c r="AZ27" i="34" s="1"/>
  <c r="BA29" i="34"/>
  <c r="BA30" i="34" s="1"/>
  <c r="BA25" i="34"/>
  <c r="BA26" i="34" s="1"/>
  <c r="BA27" i="34" s="1"/>
  <c r="BE7" i="34"/>
  <c r="BD6" i="34"/>
  <c r="BD14" i="34"/>
  <c r="BD24" i="34" s="1"/>
  <c r="BE60" i="34"/>
  <c r="BE58" i="34" s="1"/>
  <c r="BE20" i="34" s="1"/>
  <c r="BF55" i="34"/>
  <c r="BT34" i="29"/>
  <c r="BS34" i="29" s="1"/>
  <c r="BS39" i="29" s="1"/>
  <c r="BS40" i="29" s="1"/>
  <c r="BZ34" i="29"/>
  <c r="BY34" i="29" s="1"/>
  <c r="BY39" i="29" s="1"/>
  <c r="BY40" i="29" s="1"/>
  <c r="F79" i="9"/>
  <c r="C79" i="9" s="1"/>
  <c r="AO20" i="10"/>
  <c r="I10" i="9" s="1"/>
  <c r="DC37" i="29"/>
  <c r="BW37" i="29"/>
  <c r="O181" i="11"/>
  <c r="O341" i="11" s="1"/>
  <c r="AE181" i="11"/>
  <c r="AE341" i="11" s="1"/>
  <c r="AH32" i="34"/>
  <c r="AH28" i="34" s="1"/>
  <c r="Q181" i="11"/>
  <c r="Q341" i="11" s="1"/>
  <c r="AI181" i="11"/>
  <c r="AI341" i="11" s="1"/>
  <c r="AG37" i="34"/>
  <c r="BU37" i="29"/>
  <c r="BO37" i="29"/>
  <c r="BQ37" i="29"/>
  <c r="BH37" i="29"/>
  <c r="BH34" i="29" s="1"/>
  <c r="U181" i="11"/>
  <c r="U341" i="11" s="1"/>
  <c r="G181" i="11"/>
  <c r="G341" i="11" s="1"/>
  <c r="M181" i="11"/>
  <c r="M341" i="11" s="1"/>
  <c r="K181" i="11"/>
  <c r="K341" i="11" s="1"/>
  <c r="P181" i="11"/>
  <c r="P341" i="11" s="1"/>
  <c r="I181" i="11"/>
  <c r="I341" i="11" s="1"/>
  <c r="AK181" i="11"/>
  <c r="AK341" i="11" s="1"/>
  <c r="T181" i="11"/>
  <c r="T341" i="11" s="1"/>
  <c r="CK31" i="10"/>
  <c r="CW37" i="29"/>
  <c r="F181" i="11"/>
  <c r="F341" i="11" s="1"/>
  <c r="AS181" i="11"/>
  <c r="AS341" i="11" s="1"/>
  <c r="J181" i="11"/>
  <c r="J341" i="11" s="1"/>
  <c r="AP181" i="11"/>
  <c r="AP341" i="11" s="1"/>
  <c r="R181" i="11"/>
  <c r="R341" i="11" s="1"/>
  <c r="AC181" i="11"/>
  <c r="AC341" i="11" s="1"/>
  <c r="X181" i="11"/>
  <c r="X341" i="11" s="1"/>
  <c r="V181" i="11"/>
  <c r="V341" i="11" s="1"/>
  <c r="AO181" i="11"/>
  <c r="AO341" i="11" s="1"/>
  <c r="CG20" i="10"/>
  <c r="L29" i="9" s="1"/>
  <c r="L42" i="9" s="1"/>
  <c r="CJ31" i="10"/>
  <c r="CJ20" i="10"/>
  <c r="L32" i="9" s="1"/>
  <c r="L45" i="9" s="1"/>
  <c r="W181" i="11"/>
  <c r="W341" i="11" s="1"/>
  <c r="S181" i="11"/>
  <c r="S341" i="11" s="1"/>
  <c r="C181" i="11"/>
  <c r="C341" i="11" s="1"/>
  <c r="Z181" i="11"/>
  <c r="Z341" i="11" s="1"/>
  <c r="Y181" i="11"/>
  <c r="Y341" i="11" s="1"/>
  <c r="AT181" i="11"/>
  <c r="AT341" i="11" s="1"/>
  <c r="N181" i="11"/>
  <c r="N341" i="11" s="1"/>
  <c r="L181" i="11"/>
  <c r="L341" i="11" s="1"/>
  <c r="B15" i="6"/>
  <c r="AG181" i="11"/>
  <c r="AG341" i="11" s="1"/>
  <c r="AM181" i="11"/>
  <c r="AM341" i="11" s="1"/>
  <c r="AB181" i="11"/>
  <c r="AB341" i="11" s="1"/>
  <c r="EL37" i="29"/>
  <c r="EL34" i="29" s="1"/>
  <c r="EL39" i="29" s="1"/>
  <c r="EL40" i="29" s="1"/>
  <c r="AN181" i="11"/>
  <c r="AN341" i="11" s="1"/>
  <c r="CD20" i="10"/>
  <c r="L26" i="9" s="1"/>
  <c r="L39" i="9" s="1"/>
  <c r="CN31" i="10"/>
  <c r="ET37" i="29"/>
  <c r="ET34" i="29" s="1"/>
  <c r="FF37" i="29"/>
  <c r="CH20" i="10"/>
  <c r="L30" i="9" s="1"/>
  <c r="L43" i="9" s="1"/>
  <c r="CH31" i="10"/>
  <c r="AF181" i="11"/>
  <c r="AF341" i="11" s="1"/>
  <c r="AL181" i="11"/>
  <c r="AL341" i="11" s="1"/>
  <c r="D181" i="11"/>
  <c r="D341" i="11" s="1"/>
  <c r="EX37" i="29"/>
  <c r="EW37" i="29" s="1"/>
  <c r="EV37" i="29"/>
  <c r="EV34" i="29" s="1"/>
  <c r="EV39" i="29" s="1"/>
  <c r="EV40" i="29" s="1"/>
  <c r="CM31" i="10"/>
  <c r="CM20" i="10"/>
  <c r="L35" i="9" s="1"/>
  <c r="L48" i="9" s="1"/>
  <c r="FD37" i="29"/>
  <c r="ER37" i="29"/>
  <c r="EQ37" i="29" s="1"/>
  <c r="CI20" i="10"/>
  <c r="L31" i="9" s="1"/>
  <c r="L44" i="9" s="1"/>
  <c r="CI31" i="10"/>
  <c r="EZ37" i="29"/>
  <c r="EJ37" i="29"/>
  <c r="CC20" i="10"/>
  <c r="CC31" i="10"/>
  <c r="E181" i="11"/>
  <c r="E341" i="11" s="1"/>
  <c r="AQ181" i="11"/>
  <c r="AQ341" i="11" s="1"/>
  <c r="EP37" i="29"/>
  <c r="CE20" i="10"/>
  <c r="L27" i="9" s="1"/>
  <c r="L40" i="9" s="1"/>
  <c r="CE31" i="10"/>
  <c r="EN37" i="29"/>
  <c r="CB19" i="10"/>
  <c r="CB19" i="6"/>
  <c r="CI37" i="29"/>
  <c r="AJ181" i="11"/>
  <c r="AJ341" i="11" s="1"/>
  <c r="CQ37" i="29"/>
  <c r="CN34" i="29"/>
  <c r="CM34" i="29" s="1"/>
  <c r="CM39" i="29" s="1"/>
  <c r="CM40" i="29" s="1"/>
  <c r="CT34" i="29"/>
  <c r="CS34" i="29" s="1"/>
  <c r="CS39" i="29" s="1"/>
  <c r="CS40" i="29" s="1"/>
  <c r="Q27" i="6"/>
  <c r="CZ34" i="29"/>
  <c r="CZ39" i="29" s="1"/>
  <c r="CZ40" i="29" s="1"/>
  <c r="D36" i="29"/>
  <c r="C36" i="29" s="1"/>
  <c r="BB20" i="10"/>
  <c r="J10" i="9" s="1"/>
  <c r="Z27" i="6"/>
  <c r="C58" i="8"/>
  <c r="J58" i="8" s="1"/>
  <c r="DF34" i="29"/>
  <c r="DF39" i="29" s="1"/>
  <c r="DF40" i="29" s="1"/>
  <c r="CP34" i="29"/>
  <c r="CO34" i="29" s="1"/>
  <c r="CO39" i="29" s="1"/>
  <c r="CO40" i="29" s="1"/>
  <c r="CU37" i="29"/>
  <c r="CH37" i="29"/>
  <c r="CG37" i="29" s="1"/>
  <c r="C123" i="8"/>
  <c r="J123" i="8" s="1"/>
  <c r="P38" i="34"/>
  <c r="H25" i="9"/>
  <c r="AB20" i="10"/>
  <c r="BM34" i="29"/>
  <c r="BM39" i="29" s="1"/>
  <c r="BM40" i="29" s="1"/>
  <c r="BN39" i="29"/>
  <c r="BN40" i="29" s="1"/>
  <c r="I38" i="9"/>
  <c r="I24" i="9"/>
  <c r="X38" i="34"/>
  <c r="C189" i="8"/>
  <c r="D188" i="8"/>
  <c r="C188" i="8" s="1"/>
  <c r="AS37" i="29"/>
  <c r="AT34" i="29"/>
  <c r="AB31" i="10"/>
  <c r="B344" i="11"/>
  <c r="H19" i="31"/>
  <c r="AE38" i="34"/>
  <c r="V38" i="34"/>
  <c r="AD38" i="34"/>
  <c r="U38" i="34"/>
  <c r="AF38" i="34"/>
  <c r="T38" i="34"/>
  <c r="CU34" i="29"/>
  <c r="CU39" i="29" s="1"/>
  <c r="CU40" i="29" s="1"/>
  <c r="CV39" i="29"/>
  <c r="CV40" i="29" s="1"/>
  <c r="BL39" i="29"/>
  <c r="BL40" i="29" s="1"/>
  <c r="BK34" i="29"/>
  <c r="BK39" i="29" s="1"/>
  <c r="BK40" i="29" s="1"/>
  <c r="AB38" i="34"/>
  <c r="L38" i="34"/>
  <c r="CQ34" i="29"/>
  <c r="CQ39" i="29" s="1"/>
  <c r="CQ40" i="29" s="1"/>
  <c r="CR39" i="29"/>
  <c r="CR40" i="29" s="1"/>
  <c r="BC37" i="29"/>
  <c r="BD34" i="29"/>
  <c r="AK37" i="29"/>
  <c r="AL34" i="29"/>
  <c r="C130" i="9"/>
  <c r="F78" i="9"/>
  <c r="C78" i="9" s="1"/>
  <c r="EF39" i="29"/>
  <c r="EF40" i="29" s="1"/>
  <c r="EE34" i="29"/>
  <c r="EE39" i="29" s="1"/>
  <c r="EE40" i="29" s="1"/>
  <c r="N38" i="34"/>
  <c r="BE37" i="29"/>
  <c r="BF34" i="29"/>
  <c r="CF39" i="29"/>
  <c r="CF40" i="29" s="1"/>
  <c r="CE34" i="29"/>
  <c r="CE39" i="29" s="1"/>
  <c r="CE40" i="29" s="1"/>
  <c r="K38" i="34"/>
  <c r="CC34" i="29"/>
  <c r="CC39" i="29" s="1"/>
  <c r="CC40" i="29" s="1"/>
  <c r="CD39" i="29"/>
  <c r="CD40" i="29" s="1"/>
  <c r="F38" i="34"/>
  <c r="AQ37" i="29"/>
  <c r="AR34" i="29"/>
  <c r="AO37" i="29"/>
  <c r="AP34" i="29"/>
  <c r="G38" i="34"/>
  <c r="DJ39" i="29"/>
  <c r="DJ40" i="29" s="1"/>
  <c r="DI34" i="29"/>
  <c r="DI39" i="29" s="1"/>
  <c r="DI40" i="29" s="1"/>
  <c r="J38" i="34"/>
  <c r="Q38" i="34"/>
  <c r="BO34" i="29"/>
  <c r="BO39" i="29" s="1"/>
  <c r="BO40" i="29" s="1"/>
  <c r="BP39" i="29"/>
  <c r="BP40" i="29" s="1"/>
  <c r="M38" i="34"/>
  <c r="H347" i="11"/>
  <c r="AK347" i="11"/>
  <c r="W347" i="11"/>
  <c r="AF347" i="11"/>
  <c r="AO347" i="11"/>
  <c r="AD347" i="11"/>
  <c r="AG347" i="11"/>
  <c r="D347" i="11"/>
  <c r="AS347" i="11"/>
  <c r="C347" i="11"/>
  <c r="N347" i="11"/>
  <c r="L347" i="11"/>
  <c r="R347" i="11"/>
  <c r="S347" i="11"/>
  <c r="T347" i="11"/>
  <c r="AE347" i="11"/>
  <c r="P347" i="11"/>
  <c r="V347" i="11"/>
  <c r="K347" i="11"/>
  <c r="AT347" i="11"/>
  <c r="AC347" i="11"/>
  <c r="AQ347" i="11"/>
  <c r="AB347" i="11"/>
  <c r="E347" i="11"/>
  <c r="F347" i="11"/>
  <c r="AN347" i="11"/>
  <c r="AH347" i="11"/>
  <c r="AJ347" i="11"/>
  <c r="O347" i="11"/>
  <c r="G347" i="11"/>
  <c r="AM347" i="11"/>
  <c r="AA347" i="11"/>
  <c r="AP347" i="11"/>
  <c r="AL347" i="11"/>
  <c r="Z347" i="11"/>
  <c r="X347" i="11"/>
  <c r="J347" i="11"/>
  <c r="U347" i="11"/>
  <c r="AI347" i="11"/>
  <c r="M347" i="11"/>
  <c r="AR347" i="11"/>
  <c r="Q347" i="11"/>
  <c r="Y347" i="11"/>
  <c r="I347" i="11"/>
  <c r="I38" i="34"/>
  <c r="AW37" i="29"/>
  <c r="AX34" i="29"/>
  <c r="S38" i="34"/>
  <c r="AM37" i="29"/>
  <c r="AN34" i="29"/>
  <c r="BQ34" i="29"/>
  <c r="BQ39" i="29" s="1"/>
  <c r="BQ40" i="29" s="1"/>
  <c r="BR39" i="29"/>
  <c r="BR40" i="29" s="1"/>
  <c r="DK34" i="29"/>
  <c r="DK39" i="29" s="1"/>
  <c r="DK40" i="29" s="1"/>
  <c r="DL39" i="29"/>
  <c r="DL40" i="29" s="1"/>
  <c r="CK34" i="29"/>
  <c r="CK39" i="29" s="1"/>
  <c r="CK40" i="29" s="1"/>
  <c r="CL39" i="29"/>
  <c r="CL40" i="29" s="1"/>
  <c r="C123" i="22"/>
  <c r="D188" i="22"/>
  <c r="BI34" i="29"/>
  <c r="BI39" i="29" s="1"/>
  <c r="BI40" i="29" s="1"/>
  <c r="BJ39" i="29"/>
  <c r="BJ40" i="29" s="1"/>
  <c r="E41" i="34"/>
  <c r="H346" i="11"/>
  <c r="AQ346" i="11"/>
  <c r="AJ346" i="11"/>
  <c r="N346" i="11"/>
  <c r="AM346" i="11"/>
  <c r="R346" i="11"/>
  <c r="AE346" i="11"/>
  <c r="AF346" i="11"/>
  <c r="F346" i="11"/>
  <c r="AG346" i="11"/>
  <c r="Z346" i="11"/>
  <c r="AB346" i="11"/>
  <c r="E346" i="11"/>
  <c r="T346" i="11"/>
  <c r="X346" i="11"/>
  <c r="AR346" i="11"/>
  <c r="AH346" i="11"/>
  <c r="AI346" i="11"/>
  <c r="AL346" i="11"/>
  <c r="W346" i="11"/>
  <c r="AS346" i="11"/>
  <c r="AN346" i="11"/>
  <c r="AT346" i="11"/>
  <c r="Q346" i="11"/>
  <c r="D346" i="11"/>
  <c r="G346" i="11"/>
  <c r="M346" i="11"/>
  <c r="J346" i="11"/>
  <c r="P346" i="11"/>
  <c r="AA346" i="11"/>
  <c r="V346" i="11"/>
  <c r="S346" i="11"/>
  <c r="Y346" i="11"/>
  <c r="AK346" i="11"/>
  <c r="L346" i="11"/>
  <c r="I346" i="11"/>
  <c r="AC346" i="11"/>
  <c r="AD346" i="11"/>
  <c r="K346" i="11"/>
  <c r="C346" i="11"/>
  <c r="AP346" i="11"/>
  <c r="AO346" i="11"/>
  <c r="O346" i="11"/>
  <c r="U346" i="11"/>
  <c r="O27" i="6"/>
  <c r="AH37" i="29"/>
  <c r="AI37" i="29"/>
  <c r="AJ34" i="29"/>
  <c r="W38" i="34"/>
  <c r="BU34" i="29"/>
  <c r="BU39" i="29" s="1"/>
  <c r="BU40" i="29" s="1"/>
  <c r="BV39" i="29"/>
  <c r="BV40" i="29" s="1"/>
  <c r="J24" i="9"/>
  <c r="J38" i="9"/>
  <c r="H38" i="34"/>
  <c r="C7" i="23"/>
  <c r="B30" i="10"/>
  <c r="J2" i="9"/>
  <c r="F119" i="9"/>
  <c r="DD39" i="29"/>
  <c r="DD40" i="29" s="1"/>
  <c r="DC34" i="29"/>
  <c r="DC39" i="29" s="1"/>
  <c r="DC40" i="29" s="1"/>
  <c r="Z38" i="34"/>
  <c r="O38" i="34"/>
  <c r="CI34" i="29"/>
  <c r="CI39" i="29" s="1"/>
  <c r="CI40" i="29" s="1"/>
  <c r="CJ39" i="29"/>
  <c r="CJ40" i="29" s="1"/>
  <c r="Y38" i="34"/>
  <c r="AG38" i="34"/>
  <c r="CW34" i="29"/>
  <c r="CW39" i="29" s="1"/>
  <c r="CW40" i="29" s="1"/>
  <c r="CX39" i="29"/>
  <c r="CX40" i="29" s="1"/>
  <c r="DM34" i="29"/>
  <c r="DM39" i="29" s="1"/>
  <c r="DM40" i="29" s="1"/>
  <c r="DN39" i="29"/>
  <c r="DN40" i="29" s="1"/>
  <c r="R38" i="34"/>
  <c r="AY37" i="29"/>
  <c r="AZ34" i="29"/>
  <c r="N21" i="13"/>
  <c r="C23" i="13"/>
  <c r="AA38" i="34"/>
  <c r="AC38" i="34"/>
  <c r="P27" i="6"/>
  <c r="AU37" i="29"/>
  <c r="AV34" i="29"/>
  <c r="BW34" i="29"/>
  <c r="BW39" i="29" s="1"/>
  <c r="BW40" i="29" s="1"/>
  <c r="BX39" i="29"/>
  <c r="BX40" i="29" s="1"/>
  <c r="C121" i="9"/>
  <c r="F69" i="9"/>
  <c r="C69" i="9" s="1"/>
  <c r="ED39" i="29" l="1"/>
  <c r="ED40" i="29" s="1"/>
  <c r="E252" i="22"/>
  <c r="F250" i="22" s="1"/>
  <c r="F251" i="22" s="1"/>
  <c r="F253" i="22" s="1"/>
  <c r="F254" i="22" s="1"/>
  <c r="F18" i="43" s="1"/>
  <c r="DX39" i="29"/>
  <c r="DX40" i="29" s="1"/>
  <c r="E18" i="13"/>
  <c r="E15" i="13" s="1"/>
  <c r="E14" i="13" s="1"/>
  <c r="E28" i="13" s="1"/>
  <c r="DO34" i="29"/>
  <c r="DO39" i="29" s="1"/>
  <c r="DO40" i="29" s="1"/>
  <c r="M244" i="22"/>
  <c r="M248" i="22" s="1"/>
  <c r="DR39" i="29"/>
  <c r="DR40" i="29" s="1"/>
  <c r="M230" i="22"/>
  <c r="D230" i="22" s="1"/>
  <c r="DV39" i="29"/>
  <c r="DV40" i="29" s="1"/>
  <c r="DG37" i="29"/>
  <c r="DZ39" i="29"/>
  <c r="DZ40" i="29" s="1"/>
  <c r="K24" i="9"/>
  <c r="K37" i="9" s="1"/>
  <c r="J19" i="2" s="1"/>
  <c r="J15" i="2" s="1"/>
  <c r="G8" i="41"/>
  <c r="DS34" i="29"/>
  <c r="DS39" i="29" s="1"/>
  <c r="DS40" i="29" s="1"/>
  <c r="C23" i="43"/>
  <c r="C21" i="43" s="1"/>
  <c r="N21" i="43"/>
  <c r="E61" i="43"/>
  <c r="E38" i="43"/>
  <c r="E29" i="43"/>
  <c r="Z39" i="10"/>
  <c r="P39" i="10"/>
  <c r="BC16" i="34"/>
  <c r="BC17" i="34" s="1"/>
  <c r="BK52" i="34"/>
  <c r="BJ59" i="34"/>
  <c r="BJ40" i="34" s="1"/>
  <c r="BT39" i="29"/>
  <c r="BT40" i="29" s="1"/>
  <c r="BG37" i="29"/>
  <c r="AU345" i="11"/>
  <c r="BZ39" i="29"/>
  <c r="BZ40" i="29" s="1"/>
  <c r="BC19" i="34"/>
  <c r="BC47" i="34"/>
  <c r="BB29" i="34"/>
  <c r="BB30" i="34" s="1"/>
  <c r="BB25" i="34"/>
  <c r="BB26" i="34" s="1"/>
  <c r="BB27" i="34" s="1"/>
  <c r="BD35" i="34"/>
  <c r="BD15" i="34"/>
  <c r="BD13" i="34"/>
  <c r="BF60" i="34"/>
  <c r="BF58" i="34" s="1"/>
  <c r="BF20" i="34" s="1"/>
  <c r="BG55" i="34"/>
  <c r="BF7" i="34"/>
  <c r="BE14" i="34"/>
  <c r="BE24" i="34" s="1"/>
  <c r="BE6" i="34"/>
  <c r="AH33" i="34"/>
  <c r="AI31" i="34" s="1"/>
  <c r="AH34" i="34"/>
  <c r="AH39" i="34" s="1"/>
  <c r="EU34" i="29"/>
  <c r="EU39" i="29" s="1"/>
  <c r="EU40" i="29" s="1"/>
  <c r="EK34" i="29"/>
  <c r="EK39" i="29" s="1"/>
  <c r="EK40" i="29" s="1"/>
  <c r="B341" i="11"/>
  <c r="CY34" i="29"/>
  <c r="CY39" i="29" s="1"/>
  <c r="CY40" i="29" s="1"/>
  <c r="EU37" i="29"/>
  <c r="ET39" i="29"/>
  <c r="ET40" i="29" s="1"/>
  <c r="ES34" i="29"/>
  <c r="ES39" i="29" s="1"/>
  <c r="ES40" i="29" s="1"/>
  <c r="FF34" i="29"/>
  <c r="FE37" i="29"/>
  <c r="EX34" i="29"/>
  <c r="EK37" i="29"/>
  <c r="ES37" i="29"/>
  <c r="CT39" i="29"/>
  <c r="CT40" i="29" s="1"/>
  <c r="ER34" i="29"/>
  <c r="CP39" i="29"/>
  <c r="CP40" i="29" s="1"/>
  <c r="FD34" i="29"/>
  <c r="FC37" i="29"/>
  <c r="EH37" i="29"/>
  <c r="EH34" i="29" s="1"/>
  <c r="EH39" i="29" s="1"/>
  <c r="EI37" i="29"/>
  <c r="EJ34" i="29"/>
  <c r="P19" i="31"/>
  <c r="B348" i="11"/>
  <c r="CB31" i="10"/>
  <c r="EN34" i="29"/>
  <c r="EM37" i="29"/>
  <c r="CB20" i="10"/>
  <c r="L10" i="9" s="1"/>
  <c r="L25" i="9"/>
  <c r="EO37" i="29"/>
  <c r="EP34" i="29"/>
  <c r="EZ34" i="29"/>
  <c r="EY37" i="29"/>
  <c r="CN39" i="29"/>
  <c r="CN40" i="29" s="1"/>
  <c r="P28" i="6"/>
  <c r="B36" i="29"/>
  <c r="DE34" i="29"/>
  <c r="DE39" i="29" s="1"/>
  <c r="DE40" i="29" s="1"/>
  <c r="CH34" i="29"/>
  <c r="CG34" i="29" s="1"/>
  <c r="CG39" i="29" s="1"/>
  <c r="CG40" i="29" s="1"/>
  <c r="AU346" i="11"/>
  <c r="AU347" i="11"/>
  <c r="AU34" i="29"/>
  <c r="AU39" i="29" s="1"/>
  <c r="AU40" i="29" s="1"/>
  <c r="AV39" i="29"/>
  <c r="AV40" i="29" s="1"/>
  <c r="W50" i="34"/>
  <c r="W46" i="34"/>
  <c r="AG37" i="29"/>
  <c r="AH34" i="29"/>
  <c r="AM34" i="29"/>
  <c r="AM39" i="29" s="1"/>
  <c r="AM40" i="29" s="1"/>
  <c r="AN39" i="29"/>
  <c r="AN40" i="29" s="1"/>
  <c r="I50" i="34"/>
  <c r="I46" i="34"/>
  <c r="AP39" i="29"/>
  <c r="AP40" i="29" s="1"/>
  <c r="AO34" i="29"/>
  <c r="AO39" i="29" s="1"/>
  <c r="AO40" i="29" s="1"/>
  <c r="N50" i="34"/>
  <c r="N46" i="34"/>
  <c r="AL39" i="29"/>
  <c r="AL40" i="29" s="1"/>
  <c r="AK34" i="29"/>
  <c r="AK39" i="29" s="1"/>
  <c r="AK40" i="29" s="1"/>
  <c r="H344" i="11"/>
  <c r="AA344" i="11"/>
  <c r="Q344" i="11"/>
  <c r="AN344" i="11"/>
  <c r="J344" i="11"/>
  <c r="Y344" i="11"/>
  <c r="F344" i="11"/>
  <c r="E344" i="11"/>
  <c r="AK344" i="11"/>
  <c r="AG344" i="11"/>
  <c r="AP344" i="11"/>
  <c r="R344" i="11"/>
  <c r="D344" i="11"/>
  <c r="AL344" i="11"/>
  <c r="G344" i="11"/>
  <c r="Z344" i="11"/>
  <c r="V344" i="11"/>
  <c r="O344" i="11"/>
  <c r="I344" i="11"/>
  <c r="AQ344" i="11"/>
  <c r="T344" i="11"/>
  <c r="S344" i="11"/>
  <c r="AH344" i="11"/>
  <c r="AJ344" i="11"/>
  <c r="AM344" i="11"/>
  <c r="AE344" i="11"/>
  <c r="M344" i="11"/>
  <c r="AS344" i="11"/>
  <c r="N344" i="11"/>
  <c r="W344" i="11"/>
  <c r="U344" i="11"/>
  <c r="X344" i="11"/>
  <c r="C344" i="11"/>
  <c r="AR344" i="11"/>
  <c r="K344" i="11"/>
  <c r="AC344" i="11"/>
  <c r="AD344" i="11"/>
  <c r="P344" i="11"/>
  <c r="L344" i="11"/>
  <c r="AO344" i="11"/>
  <c r="AT344" i="11"/>
  <c r="AI344" i="11"/>
  <c r="AF344" i="11"/>
  <c r="AB344" i="11"/>
  <c r="AT39" i="29"/>
  <c r="AT40" i="29" s="1"/>
  <c r="AS34" i="29"/>
  <c r="AS39" i="29" s="1"/>
  <c r="AS40" i="29" s="1"/>
  <c r="G202" i="8"/>
  <c r="BC19" i="6" s="1"/>
  <c r="G210" i="8"/>
  <c r="BK19" i="6" s="1"/>
  <c r="F204" i="8"/>
  <c r="AR19" i="6" s="1"/>
  <c r="D205" i="8"/>
  <c r="H208" i="8"/>
  <c r="BV19" i="6" s="1"/>
  <c r="E204" i="8"/>
  <c r="AE19" i="6" s="1"/>
  <c r="I213" i="8"/>
  <c r="CN19" i="6" s="1"/>
  <c r="H204" i="8"/>
  <c r="BR19" i="6" s="1"/>
  <c r="H201" i="8"/>
  <c r="G212" i="8"/>
  <c r="BM19" i="6" s="1"/>
  <c r="F210" i="8"/>
  <c r="AX19" i="6" s="1"/>
  <c r="H203" i="8"/>
  <c r="BQ19" i="6" s="1"/>
  <c r="H210" i="8"/>
  <c r="BX19" i="6" s="1"/>
  <c r="H202" i="8"/>
  <c r="BP19" i="6" s="1"/>
  <c r="E201" i="8"/>
  <c r="D212" i="8"/>
  <c r="I212" i="8"/>
  <c r="CM19" i="6" s="1"/>
  <c r="D206" i="8"/>
  <c r="I205" i="8"/>
  <c r="CF19" i="6" s="1"/>
  <c r="F206" i="8"/>
  <c r="AT19" i="6" s="1"/>
  <c r="F212" i="8"/>
  <c r="AZ19" i="6" s="1"/>
  <c r="F201" i="8"/>
  <c r="E208" i="8"/>
  <c r="AI19" i="6" s="1"/>
  <c r="E207" i="8"/>
  <c r="AH19" i="6" s="1"/>
  <c r="F207" i="8"/>
  <c r="AU19" i="6" s="1"/>
  <c r="D201" i="8"/>
  <c r="I208" i="8"/>
  <c r="CI19" i="6" s="1"/>
  <c r="I207" i="8"/>
  <c r="CH19" i="6" s="1"/>
  <c r="I202" i="8"/>
  <c r="CC19" i="6" s="1"/>
  <c r="E209" i="8"/>
  <c r="AJ19" i="6" s="1"/>
  <c r="G207" i="8"/>
  <c r="BH19" i="6" s="1"/>
  <c r="D202" i="8"/>
  <c r="E202" i="8"/>
  <c r="AC19" i="6" s="1"/>
  <c r="I203" i="8"/>
  <c r="CD19" i="6" s="1"/>
  <c r="J188" i="8"/>
  <c r="E212" i="8"/>
  <c r="AM19" i="6" s="1"/>
  <c r="D207" i="8"/>
  <c r="G201" i="8"/>
  <c r="D210" i="8"/>
  <c r="H207" i="8"/>
  <c r="BU19" i="6" s="1"/>
  <c r="F202" i="8"/>
  <c r="AP19" i="6" s="1"/>
  <c r="E206" i="8"/>
  <c r="AG19" i="6" s="1"/>
  <c r="H206" i="8"/>
  <c r="BT19" i="6" s="1"/>
  <c r="I210" i="8"/>
  <c r="CK19" i="6" s="1"/>
  <c r="G203" i="8"/>
  <c r="BD19" i="6" s="1"/>
  <c r="H205" i="8"/>
  <c r="BS19" i="6" s="1"/>
  <c r="E210" i="8"/>
  <c r="AK19" i="6" s="1"/>
  <c r="G213" i="8"/>
  <c r="BN19" i="6" s="1"/>
  <c r="F203" i="8"/>
  <c r="AQ19" i="6" s="1"/>
  <c r="I209" i="8"/>
  <c r="CJ19" i="6" s="1"/>
  <c r="G209" i="8"/>
  <c r="BJ19" i="6" s="1"/>
  <c r="E203" i="8"/>
  <c r="AD19" i="6" s="1"/>
  <c r="D208" i="8"/>
  <c r="E213" i="8"/>
  <c r="AN19" i="6" s="1"/>
  <c r="F208" i="8"/>
  <c r="AV19" i="6" s="1"/>
  <c r="D213" i="8"/>
  <c r="D209" i="8"/>
  <c r="G208" i="8"/>
  <c r="BI19" i="6" s="1"/>
  <c r="G204" i="8"/>
  <c r="BE19" i="6" s="1"/>
  <c r="I201" i="8"/>
  <c r="E205" i="8"/>
  <c r="AF19" i="6" s="1"/>
  <c r="F213" i="8"/>
  <c r="BA19" i="6" s="1"/>
  <c r="H209" i="8"/>
  <c r="BW19" i="6" s="1"/>
  <c r="H212" i="8"/>
  <c r="BZ19" i="6" s="1"/>
  <c r="H213" i="8"/>
  <c r="CA19" i="6" s="1"/>
  <c r="D203" i="8"/>
  <c r="G206" i="8"/>
  <c r="BG19" i="6" s="1"/>
  <c r="F205" i="8"/>
  <c r="AS19" i="6" s="1"/>
  <c r="F209" i="8"/>
  <c r="AW19" i="6" s="1"/>
  <c r="I206" i="8"/>
  <c r="CG19" i="6" s="1"/>
  <c r="D204" i="8"/>
  <c r="I204" i="8"/>
  <c r="CE19" i="6" s="1"/>
  <c r="G205" i="8"/>
  <c r="BF19" i="6" s="1"/>
  <c r="X50" i="34"/>
  <c r="X46" i="34"/>
  <c r="P50" i="34"/>
  <c r="P46" i="34"/>
  <c r="AC50" i="34"/>
  <c r="AC46" i="34"/>
  <c r="AY34" i="29"/>
  <c r="AY39" i="29" s="1"/>
  <c r="AY40" i="29" s="1"/>
  <c r="AZ39" i="29"/>
  <c r="AZ40" i="29" s="1"/>
  <c r="AG50" i="34"/>
  <c r="AG46" i="34"/>
  <c r="O50" i="34"/>
  <c r="O46" i="34"/>
  <c r="J7" i="9"/>
  <c r="J37" i="9"/>
  <c r="I19" i="2" s="1"/>
  <c r="I15" i="2" s="1"/>
  <c r="M50" i="34"/>
  <c r="M46" i="34"/>
  <c r="L50" i="34"/>
  <c r="L46" i="34"/>
  <c r="U50" i="34"/>
  <c r="U46" i="34"/>
  <c r="V50" i="34"/>
  <c r="V46" i="34"/>
  <c r="AE50" i="34"/>
  <c r="AE46" i="34"/>
  <c r="H38" i="9"/>
  <c r="H24" i="9"/>
  <c r="AJ39" i="29"/>
  <c r="AJ40" i="29" s="1"/>
  <c r="AI34" i="29"/>
  <c r="AI39" i="29" s="1"/>
  <c r="AI40" i="29" s="1"/>
  <c r="C188" i="22"/>
  <c r="S50" i="34"/>
  <c r="S46" i="34"/>
  <c r="Q50" i="34"/>
  <c r="Q46" i="34"/>
  <c r="G50" i="34"/>
  <c r="G46" i="34"/>
  <c r="AR39" i="29"/>
  <c r="AR40" i="29" s="1"/>
  <c r="AQ34" i="29"/>
  <c r="AQ39" i="29" s="1"/>
  <c r="AQ40" i="29" s="1"/>
  <c r="F50" i="34"/>
  <c r="F46" i="34"/>
  <c r="K50" i="34"/>
  <c r="K46" i="34"/>
  <c r="BF39" i="29"/>
  <c r="BF40" i="29" s="1"/>
  <c r="BE34" i="29"/>
  <c r="BE39" i="29" s="1"/>
  <c r="BE40" i="29" s="1"/>
  <c r="BC34" i="29"/>
  <c r="BC39" i="29" s="1"/>
  <c r="BC40" i="29" s="1"/>
  <c r="BD39" i="29"/>
  <c r="BD40" i="29" s="1"/>
  <c r="DG34" i="29"/>
  <c r="DG39" i="29" s="1"/>
  <c r="DG40" i="29" s="1"/>
  <c r="DH39" i="29"/>
  <c r="BG34" i="29"/>
  <c r="BG39" i="29" s="1"/>
  <c r="BG40" i="29" s="1"/>
  <c r="BH39" i="29"/>
  <c r="I7" i="9"/>
  <c r="I37" i="9"/>
  <c r="H19" i="2" s="1"/>
  <c r="H15" i="2" s="1"/>
  <c r="H10" i="9"/>
  <c r="Z28" i="6"/>
  <c r="C119" i="9"/>
  <c r="F67" i="9"/>
  <c r="C67" i="9" s="1"/>
  <c r="H50" i="34"/>
  <c r="H46" i="34"/>
  <c r="AX39" i="29"/>
  <c r="AX40" i="29" s="1"/>
  <c r="AW34" i="29"/>
  <c r="AW39" i="29" s="1"/>
  <c r="AW40" i="29" s="1"/>
  <c r="J50" i="34"/>
  <c r="J46" i="34"/>
  <c r="C135" i="7"/>
  <c r="C21" i="13"/>
  <c r="C135" i="21"/>
  <c r="AA50" i="34"/>
  <c r="AA46" i="34"/>
  <c r="R50" i="34"/>
  <c r="R46" i="34"/>
  <c r="Y50" i="34"/>
  <c r="Y46" i="34"/>
  <c r="Z50" i="34"/>
  <c r="Z46" i="34"/>
  <c r="D8" i="23"/>
  <c r="D7" i="23"/>
  <c r="E42" i="34"/>
  <c r="AB50" i="34"/>
  <c r="AB46" i="34"/>
  <c r="T50" i="34"/>
  <c r="T46" i="34"/>
  <c r="AF50" i="34"/>
  <c r="AF46" i="34"/>
  <c r="AD50" i="34"/>
  <c r="AD46" i="34"/>
  <c r="Q28" i="6"/>
  <c r="BC36" i="34" l="1"/>
  <c r="BC49" i="34"/>
  <c r="BD16" i="34"/>
  <c r="BD17" i="34" s="1"/>
  <c r="D244" i="22"/>
  <c r="BC18" i="34"/>
  <c r="E39" i="43"/>
  <c r="E44" i="43"/>
  <c r="E46" i="43" s="1"/>
  <c r="E56" i="43" s="1"/>
  <c r="E57" i="43" s="1"/>
  <c r="E63" i="43"/>
  <c r="E62" i="43"/>
  <c r="F15" i="43"/>
  <c r="F14" i="43" s="1"/>
  <c r="F28" i="43" s="1"/>
  <c r="F29" i="43" s="1"/>
  <c r="O39" i="10"/>
  <c r="BK59" i="34"/>
  <c r="BK40" i="34" s="1"/>
  <c r="BL52" i="34"/>
  <c r="BD49" i="34"/>
  <c r="BD47" i="34"/>
  <c r="BF14" i="34"/>
  <c r="BF24" i="34" s="1"/>
  <c r="BF6" i="34"/>
  <c r="BG7" i="34"/>
  <c r="BH55" i="34"/>
  <c r="BG60" i="34"/>
  <c r="BG58" i="34" s="1"/>
  <c r="BG20" i="34" s="1"/>
  <c r="AH37" i="34"/>
  <c r="BE35" i="34"/>
  <c r="BE13" i="34"/>
  <c r="BE15" i="34"/>
  <c r="BC29" i="34"/>
  <c r="BC30" i="34" s="1"/>
  <c r="BC25" i="34"/>
  <c r="BC26" i="34" s="1"/>
  <c r="BC27" i="34" s="1"/>
  <c r="AI32" i="34"/>
  <c r="AI28" i="34" s="1"/>
  <c r="AH41" i="34"/>
  <c r="EX39" i="29"/>
  <c r="EX40" i="29" s="1"/>
  <c r="EW34" i="29"/>
  <c r="EW39" i="29" s="1"/>
  <c r="EW40" i="29" s="1"/>
  <c r="FE34" i="29"/>
  <c r="FE39" i="29" s="1"/>
  <c r="FE40" i="29" s="1"/>
  <c r="FF39" i="29"/>
  <c r="FF40" i="29" s="1"/>
  <c r="EQ34" i="29"/>
  <c r="EQ39" i="29" s="1"/>
  <c r="EQ40" i="29" s="1"/>
  <c r="ER39" i="29"/>
  <c r="ER40" i="29" s="1"/>
  <c r="FD39" i="29"/>
  <c r="FD40" i="29" s="1"/>
  <c r="FC34" i="29"/>
  <c r="FC39" i="29" s="1"/>
  <c r="FC40" i="29" s="1"/>
  <c r="EG34" i="29"/>
  <c r="EG39" i="29" s="1"/>
  <c r="EG40" i="29" s="1"/>
  <c r="EG37" i="29"/>
  <c r="EM34" i="29"/>
  <c r="EM39" i="29" s="1"/>
  <c r="EM40" i="29" s="1"/>
  <c r="EN39" i="29"/>
  <c r="EN40" i="29" s="1"/>
  <c r="EI34" i="29"/>
  <c r="EI39" i="29" s="1"/>
  <c r="EI40" i="29" s="1"/>
  <c r="EJ39" i="29"/>
  <c r="EJ40" i="29" s="1"/>
  <c r="EO34" i="29"/>
  <c r="EO39" i="29" s="1"/>
  <c r="EO40" i="29" s="1"/>
  <c r="EP39" i="29"/>
  <c r="EP40" i="29" s="1"/>
  <c r="L38" i="9"/>
  <c r="L24" i="9"/>
  <c r="EZ39" i="29"/>
  <c r="EZ40" i="29" s="1"/>
  <c r="EY34" i="29"/>
  <c r="EY39" i="29" s="1"/>
  <c r="EY40" i="29" s="1"/>
  <c r="AO348" i="11"/>
  <c r="AS348" i="11"/>
  <c r="AN348" i="11"/>
  <c r="AA348" i="11"/>
  <c r="O348" i="11"/>
  <c r="N348" i="11"/>
  <c r="V348" i="11"/>
  <c r="U348" i="11"/>
  <c r="AB348" i="11"/>
  <c r="AK348" i="11"/>
  <c r="H348" i="11"/>
  <c r="T348" i="11"/>
  <c r="AJ348" i="11"/>
  <c r="P348" i="11"/>
  <c r="AI348" i="11"/>
  <c r="Y348" i="11"/>
  <c r="AE348" i="11"/>
  <c r="Z348" i="11"/>
  <c r="AF348" i="11"/>
  <c r="X348" i="11"/>
  <c r="S348" i="11"/>
  <c r="L348" i="11"/>
  <c r="AM348" i="11"/>
  <c r="F348" i="11"/>
  <c r="C348" i="11"/>
  <c r="E348" i="11"/>
  <c r="AG348" i="11"/>
  <c r="M348" i="11"/>
  <c r="AD348" i="11"/>
  <c r="Q348" i="11"/>
  <c r="AH348" i="11"/>
  <c r="D348" i="11"/>
  <c r="W348" i="11"/>
  <c r="AQ348" i="11"/>
  <c r="AT348" i="11"/>
  <c r="I348" i="11"/>
  <c r="R348" i="11"/>
  <c r="AR348" i="11"/>
  <c r="J348" i="11"/>
  <c r="AC348" i="11"/>
  <c r="AP348" i="11"/>
  <c r="K348" i="11"/>
  <c r="AL348" i="11"/>
  <c r="G348" i="11"/>
  <c r="CH39" i="29"/>
  <c r="CH40" i="29" s="1"/>
  <c r="O28" i="6"/>
  <c r="AU344" i="11"/>
  <c r="E29" i="13"/>
  <c r="E38" i="13"/>
  <c r="E61" i="13"/>
  <c r="CG20" i="6"/>
  <c r="Q19" i="6"/>
  <c r="C203" i="8"/>
  <c r="BA3" i="6"/>
  <c r="BA2" i="6" s="1"/>
  <c r="N50" i="10" s="1"/>
  <c r="BA20" i="6"/>
  <c r="BA23" i="6" s="1"/>
  <c r="AN20" i="6"/>
  <c r="AN23" i="6" s="1"/>
  <c r="AN3" i="6"/>
  <c r="AN2" i="6" s="1"/>
  <c r="N48" i="10" s="1"/>
  <c r="CJ20" i="6"/>
  <c r="AG20" i="6"/>
  <c r="AJ20" i="6"/>
  <c r="O19" i="6"/>
  <c r="AO19" i="6" s="1"/>
  <c r="C201" i="8"/>
  <c r="BP20" i="6"/>
  <c r="BM20" i="6"/>
  <c r="BM23" i="6" s="1"/>
  <c r="BM3" i="6"/>
  <c r="BM2" i="6" s="1"/>
  <c r="M52" i="10" s="1"/>
  <c r="AE20" i="6"/>
  <c r="AE23" i="6" s="1"/>
  <c r="AE3" i="6"/>
  <c r="AE2" i="6" s="1"/>
  <c r="E48" i="10" s="1"/>
  <c r="BH40" i="29"/>
  <c r="EH40" i="29"/>
  <c r="CE20" i="6"/>
  <c r="CE23" i="6" s="1"/>
  <c r="CE3" i="6"/>
  <c r="CE2" i="6" s="1"/>
  <c r="E56" i="10" s="1"/>
  <c r="AS20" i="6"/>
  <c r="BZ20" i="6"/>
  <c r="BZ23" i="6" s="1"/>
  <c r="BZ3" i="6"/>
  <c r="BZ2" i="6" s="1"/>
  <c r="M54" i="10" s="1"/>
  <c r="AA19" i="6"/>
  <c r="C213" i="8"/>
  <c r="AD20" i="6"/>
  <c r="BN3" i="6"/>
  <c r="BN2" i="6" s="1"/>
  <c r="N52" i="10" s="1"/>
  <c r="BN20" i="6"/>
  <c r="BN23" i="6" s="1"/>
  <c r="CK20" i="6"/>
  <c r="BU20" i="6"/>
  <c r="AM20" i="6"/>
  <c r="AM23" i="6" s="1"/>
  <c r="AM3" i="6"/>
  <c r="AM2" i="6" s="1"/>
  <c r="M48" i="10" s="1"/>
  <c r="C202" i="8"/>
  <c r="P19" i="6"/>
  <c r="CH20" i="6"/>
  <c r="AH20" i="6"/>
  <c r="AT20" i="6"/>
  <c r="C212" i="8"/>
  <c r="Z19" i="6"/>
  <c r="BQ20" i="6"/>
  <c r="BR20" i="6"/>
  <c r="BR23" i="6" s="1"/>
  <c r="BR3" i="6"/>
  <c r="BR2" i="6" s="1"/>
  <c r="E54" i="10" s="1"/>
  <c r="S19" i="6"/>
  <c r="C205" i="8"/>
  <c r="M249" i="22"/>
  <c r="D248" i="22"/>
  <c r="C255" i="22" s="1"/>
  <c r="E18" i="3"/>
  <c r="E18" i="26"/>
  <c r="H37" i="9"/>
  <c r="G19" i="2" s="1"/>
  <c r="G15" i="2" s="1"/>
  <c r="H7" i="9"/>
  <c r="BF20" i="6"/>
  <c r="AW20" i="6"/>
  <c r="CA20" i="6"/>
  <c r="CA23" i="6" s="1"/>
  <c r="CA3" i="6"/>
  <c r="CA2" i="6" s="1"/>
  <c r="N54" i="10" s="1"/>
  <c r="AF20" i="6"/>
  <c r="C209" i="8"/>
  <c r="W19" i="6"/>
  <c r="V19" i="6"/>
  <c r="C208" i="8"/>
  <c r="AQ20" i="6"/>
  <c r="BD20" i="6"/>
  <c r="AP20" i="6"/>
  <c r="C207" i="8"/>
  <c r="U19" i="6"/>
  <c r="AC20" i="6"/>
  <c r="CC20" i="6"/>
  <c r="AU20" i="6"/>
  <c r="AZ3" i="6"/>
  <c r="AZ2" i="6" s="1"/>
  <c r="M50" i="10" s="1"/>
  <c r="AZ20" i="6"/>
  <c r="AZ23" i="6" s="1"/>
  <c r="CM20" i="6"/>
  <c r="CM23" i="6" s="1"/>
  <c r="CM3" i="6"/>
  <c r="CM2" i="6" s="1"/>
  <c r="M56" i="10" s="1"/>
  <c r="BX20" i="6"/>
  <c r="BV20" i="6"/>
  <c r="BC20" i="6"/>
  <c r="AG34" i="29"/>
  <c r="AG39" i="29" s="1"/>
  <c r="AG40" i="29" s="1"/>
  <c r="AH39" i="29"/>
  <c r="F252" i="22"/>
  <c r="G250" i="22" s="1"/>
  <c r="F18" i="13"/>
  <c r="E43" i="34"/>
  <c r="E38" i="34"/>
  <c r="DH40" i="29"/>
  <c r="BI20" i="6"/>
  <c r="BS20" i="6"/>
  <c r="CD20" i="6"/>
  <c r="T19" i="6"/>
  <c r="C206" i="8"/>
  <c r="BK20" i="6"/>
  <c r="C204" i="8"/>
  <c r="R19" i="6"/>
  <c r="BG20" i="6"/>
  <c r="BW20" i="6"/>
  <c r="BE3" i="6"/>
  <c r="BE2" i="6" s="1"/>
  <c r="E52" i="10" s="1"/>
  <c r="BE20" i="6"/>
  <c r="BE23" i="6" s="1"/>
  <c r="AV20" i="6"/>
  <c r="BJ20" i="6"/>
  <c r="AK20" i="6"/>
  <c r="BT20" i="6"/>
  <c r="X19" i="6"/>
  <c r="C210" i="8"/>
  <c r="BH20" i="6"/>
  <c r="CI20" i="6"/>
  <c r="AI20" i="6"/>
  <c r="CF20" i="6"/>
  <c r="AX20" i="6"/>
  <c r="CN3" i="6"/>
  <c r="CN2" i="6" s="1"/>
  <c r="N56" i="10" s="1"/>
  <c r="CN20" i="6"/>
  <c r="CN23" i="6" s="1"/>
  <c r="AR20" i="6"/>
  <c r="AR23" i="6" s="1"/>
  <c r="AR3" i="6"/>
  <c r="AR2" i="6" s="1"/>
  <c r="E50" i="10" s="1"/>
  <c r="K7" i="9"/>
  <c r="L7" i="9"/>
  <c r="BD19" i="34" l="1"/>
  <c r="BD36" i="34"/>
  <c r="BD18" i="34"/>
  <c r="BD29" i="34"/>
  <c r="BD30" i="34" s="1"/>
  <c r="F38" i="43"/>
  <c r="F44" i="43" s="1"/>
  <c r="F46" i="43" s="1"/>
  <c r="F56" i="43" s="1"/>
  <c r="F57" i="43" s="1"/>
  <c r="F61" i="43"/>
  <c r="E42" i="43"/>
  <c r="F5" i="43" s="1"/>
  <c r="F4" i="43"/>
  <c r="BD25" i="34"/>
  <c r="BD26" i="34" s="1"/>
  <c r="BD27" i="34" s="1"/>
  <c r="BM52" i="34"/>
  <c r="BL59" i="34"/>
  <c r="BL40" i="34" s="1"/>
  <c r="BH60" i="34"/>
  <c r="BH58" i="34" s="1"/>
  <c r="BH20" i="34" s="1"/>
  <c r="BI55" i="34"/>
  <c r="BF35" i="34"/>
  <c r="BF13" i="34"/>
  <c r="BF15" i="34"/>
  <c r="BE16" i="34"/>
  <c r="BG6" i="34"/>
  <c r="BG14" i="34"/>
  <c r="BG24" i="34" s="1"/>
  <c r="BH7" i="34"/>
  <c r="AI33" i="34"/>
  <c r="AJ31" i="34" s="1"/>
  <c r="AI34" i="34"/>
  <c r="AI39" i="34" s="1"/>
  <c r="AH42" i="34"/>
  <c r="AH38" i="34" s="1"/>
  <c r="AU348" i="11"/>
  <c r="L37" i="9"/>
  <c r="K19" i="2" s="1"/>
  <c r="K15" i="2" s="1"/>
  <c r="E19" i="26"/>
  <c r="E19" i="3"/>
  <c r="AB20" i="6"/>
  <c r="BO20" i="6"/>
  <c r="F14" i="23"/>
  <c r="F24" i="23" s="1"/>
  <c r="F25" i="23" s="1"/>
  <c r="E44" i="34"/>
  <c r="E45" i="34" s="1"/>
  <c r="F43" i="34" s="1"/>
  <c r="AH40" i="29"/>
  <c r="J19" i="6"/>
  <c r="J20" i="6" s="1"/>
  <c r="W20" i="6"/>
  <c r="M19" i="6"/>
  <c r="M20" i="6" s="1"/>
  <c r="M23" i="6" s="1"/>
  <c r="Z20" i="6"/>
  <c r="Z23" i="6" s="1"/>
  <c r="Z3" i="6"/>
  <c r="Z2" i="6" s="1"/>
  <c r="M46" i="10" s="1"/>
  <c r="C19" i="6"/>
  <c r="P20" i="6"/>
  <c r="D19" i="6"/>
  <c r="D20" i="6" s="1"/>
  <c r="Q20" i="6"/>
  <c r="E44" i="13"/>
  <c r="E46" i="13" s="1"/>
  <c r="E56" i="13" s="1"/>
  <c r="E57" i="13" s="1"/>
  <c r="E39" i="13"/>
  <c r="E50" i="34"/>
  <c r="E46" i="34"/>
  <c r="G251" i="22"/>
  <c r="G253" i="22" s="1"/>
  <c r="G254" i="22" s="1"/>
  <c r="G18" i="43" s="1"/>
  <c r="CB20" i="6"/>
  <c r="I19" i="6"/>
  <c r="I20" i="6" s="1"/>
  <c r="V20" i="6"/>
  <c r="F19" i="6"/>
  <c r="F20" i="6" s="1"/>
  <c r="S20" i="6"/>
  <c r="E62" i="13"/>
  <c r="E63" i="13"/>
  <c r="J201" i="8"/>
  <c r="E19" i="6"/>
  <c r="E20" i="6" s="1"/>
  <c r="E23" i="6" s="1"/>
  <c r="R3" i="6"/>
  <c r="R2" i="6" s="1"/>
  <c r="E46" i="10" s="1"/>
  <c r="R20" i="6"/>
  <c r="R23" i="6" s="1"/>
  <c r="AO20" i="6"/>
  <c r="N19" i="6"/>
  <c r="N20" i="6" s="1"/>
  <c r="N23" i="6" s="1"/>
  <c r="AA20" i="6"/>
  <c r="AA23" i="6" s="1"/>
  <c r="AA3" i="6"/>
  <c r="AA2" i="6" s="1"/>
  <c r="N46" i="10" s="1"/>
  <c r="K19" i="6"/>
  <c r="K20" i="6" s="1"/>
  <c r="X20" i="6"/>
  <c r="G19" i="6"/>
  <c r="G20" i="6" s="1"/>
  <c r="T20" i="6"/>
  <c r="F15" i="13"/>
  <c r="F14" i="13" s="1"/>
  <c r="F28" i="13" s="1"/>
  <c r="BB20" i="6"/>
  <c r="H19" i="6"/>
  <c r="H20" i="6" s="1"/>
  <c r="U20" i="6"/>
  <c r="BF16" i="34" l="1"/>
  <c r="F39" i="43"/>
  <c r="G15" i="43"/>
  <c r="G14" i="43" s="1"/>
  <c r="G28" i="43" s="1"/>
  <c r="F62" i="43"/>
  <c r="F63" i="43"/>
  <c r="BN52" i="34"/>
  <c r="BM59" i="34"/>
  <c r="BM40" i="34" s="1"/>
  <c r="BE17" i="34"/>
  <c r="BE19" i="34"/>
  <c r="BE49" i="34"/>
  <c r="BE36" i="34"/>
  <c r="BE47" i="34"/>
  <c r="BE18" i="34"/>
  <c r="BI7" i="34"/>
  <c r="BH14" i="34"/>
  <c r="BH24" i="34" s="1"/>
  <c r="BH6" i="34"/>
  <c r="BF47" i="34"/>
  <c r="BF19" i="34"/>
  <c r="BF17" i="34"/>
  <c r="BF18" i="34"/>
  <c r="BF49" i="34"/>
  <c r="BF36" i="34"/>
  <c r="BI60" i="34"/>
  <c r="BI58" i="34" s="1"/>
  <c r="BI20" i="34" s="1"/>
  <c r="BJ55" i="34"/>
  <c r="AI37" i="34"/>
  <c r="BG35" i="34"/>
  <c r="BG13" i="34"/>
  <c r="BG15" i="34"/>
  <c r="AI41" i="34"/>
  <c r="AH46" i="34"/>
  <c r="AH50" i="34"/>
  <c r="AJ32" i="34"/>
  <c r="AJ28" i="34" s="1"/>
  <c r="F44" i="34"/>
  <c r="F45" i="34" s="1"/>
  <c r="G43" i="34" s="1"/>
  <c r="E51" i="34"/>
  <c r="O20" i="6"/>
  <c r="F61" i="13"/>
  <c r="F38" i="13"/>
  <c r="F44" i="13" s="1"/>
  <c r="F46" i="13" s="1"/>
  <c r="F56" i="13" s="1"/>
  <c r="F57" i="13" s="1"/>
  <c r="F4" i="13"/>
  <c r="E42" i="13"/>
  <c r="F5" i="13" s="1"/>
  <c r="G252" i="22"/>
  <c r="H250" i="22" s="1"/>
  <c r="G18" i="13"/>
  <c r="B19" i="6"/>
  <c r="C20" i="6"/>
  <c r="F29" i="13"/>
  <c r="F42" i="43" l="1"/>
  <c r="G5" i="43" s="1"/>
  <c r="G4" i="43"/>
  <c r="G61" i="43"/>
  <c r="G38" i="43"/>
  <c r="G44" i="43" s="1"/>
  <c r="G46" i="43" s="1"/>
  <c r="G56" i="43" s="1"/>
  <c r="G57" i="43" s="1"/>
  <c r="G29" i="43"/>
  <c r="BG16" i="34"/>
  <c r="BG36" i="34" s="1"/>
  <c r="BN59" i="34"/>
  <c r="BN40" i="34" s="1"/>
  <c r="BO52" i="34"/>
  <c r="AJ33" i="34"/>
  <c r="AK31" i="34" s="1"/>
  <c r="AK32" i="34" s="1"/>
  <c r="AK28" i="34" s="1"/>
  <c r="BJ60" i="34"/>
  <c r="BJ58" i="34" s="1"/>
  <c r="BJ20" i="34" s="1"/>
  <c r="BK55" i="34"/>
  <c r="BI6" i="34"/>
  <c r="BJ7" i="34"/>
  <c r="BI14" i="34"/>
  <c r="BI24" i="34" s="1"/>
  <c r="BF25" i="34"/>
  <c r="BF26" i="34" s="1"/>
  <c r="BF27" i="34" s="1"/>
  <c r="BF29" i="34"/>
  <c r="BF30" i="34" s="1"/>
  <c r="BH13" i="34"/>
  <c r="BH15" i="34"/>
  <c r="BH35" i="34"/>
  <c r="BE25" i="34"/>
  <c r="BE26" i="34" s="1"/>
  <c r="BE27" i="34" s="1"/>
  <c r="BE29" i="34"/>
  <c r="BE30" i="34" s="1"/>
  <c r="AJ34" i="34"/>
  <c r="AJ39" i="34" s="1"/>
  <c r="AI42" i="34"/>
  <c r="AI38" i="34" s="1"/>
  <c r="G14" i="23"/>
  <c r="G24" i="23" s="1"/>
  <c r="G25" i="23" s="1"/>
  <c r="G44" i="34"/>
  <c r="G45" i="34" s="1"/>
  <c r="H43" i="34" s="1"/>
  <c r="G15" i="13"/>
  <c r="G14" i="13" s="1"/>
  <c r="G28" i="13" s="1"/>
  <c r="G29" i="13" s="1"/>
  <c r="F39" i="13"/>
  <c r="B20" i="6"/>
  <c r="H251" i="22"/>
  <c r="H253" i="22" s="1"/>
  <c r="H254" i="22" s="1"/>
  <c r="H18" i="43" s="1"/>
  <c r="F62" i="13"/>
  <c r="F63" i="13"/>
  <c r="E61" i="34"/>
  <c r="F51" i="34"/>
  <c r="BH16" i="34" l="1"/>
  <c r="BG49" i="34"/>
  <c r="BG47" i="34"/>
  <c r="G62" i="43"/>
  <c r="G63" i="43"/>
  <c r="G39" i="43"/>
  <c r="H15" i="43"/>
  <c r="H14" i="43" s="1"/>
  <c r="H28" i="43" s="1"/>
  <c r="H29" i="43" s="1"/>
  <c r="D18" i="43"/>
  <c r="BG19" i="34"/>
  <c r="BG17" i="34"/>
  <c r="BG18" i="34"/>
  <c r="BO59" i="34"/>
  <c r="BO40" i="34" s="1"/>
  <c r="BP52" i="34"/>
  <c r="BH18" i="34"/>
  <c r="BH47" i="34"/>
  <c r="BH17" i="34"/>
  <c r="BH49" i="34"/>
  <c r="BH36" i="34"/>
  <c r="BH19" i="34"/>
  <c r="BI15" i="34"/>
  <c r="BI35" i="34"/>
  <c r="BI13" i="34"/>
  <c r="AK33" i="34"/>
  <c r="AL31" i="34" s="1"/>
  <c r="AL32" i="34" s="1"/>
  <c r="AL28" i="34" s="1"/>
  <c r="BK7" i="34"/>
  <c r="BJ6" i="34"/>
  <c r="BJ14" i="34"/>
  <c r="BJ24" i="34" s="1"/>
  <c r="BL55" i="34"/>
  <c r="BK60" i="34"/>
  <c r="BK58" i="34" s="1"/>
  <c r="BK20" i="34" s="1"/>
  <c r="AK34" i="34"/>
  <c r="AK39" i="34" s="1"/>
  <c r="AJ41" i="34"/>
  <c r="AI50" i="34"/>
  <c r="AI46" i="34"/>
  <c r="AJ37" i="34"/>
  <c r="H14" i="23"/>
  <c r="H24" i="23" s="1"/>
  <c r="H25" i="23" s="1"/>
  <c r="G51" i="34"/>
  <c r="F61" i="34"/>
  <c r="G4" i="13"/>
  <c r="F42" i="13"/>
  <c r="G5" i="13" s="1"/>
  <c r="H44" i="34"/>
  <c r="H45" i="34" s="1"/>
  <c r="I43" i="34" s="1"/>
  <c r="H252" i="22"/>
  <c r="I250" i="22" s="1"/>
  <c r="H18" i="13"/>
  <c r="G38" i="13"/>
  <c r="G44" i="13" s="1"/>
  <c r="G46" i="13" s="1"/>
  <c r="G56" i="13" s="1"/>
  <c r="G57" i="13" s="1"/>
  <c r="G61" i="13"/>
  <c r="BG25" i="34" l="1"/>
  <c r="BG26" i="34" s="1"/>
  <c r="BG27" i="34" s="1"/>
  <c r="BG29" i="34"/>
  <c r="BG30" i="34" s="1"/>
  <c r="H61" i="43"/>
  <c r="H38" i="43"/>
  <c r="H44" i="43" s="1"/>
  <c r="H46" i="43" s="1"/>
  <c r="H56" i="43" s="1"/>
  <c r="H57" i="43" s="1"/>
  <c r="D15" i="43"/>
  <c r="D14" i="43" s="1"/>
  <c r="G42" i="43"/>
  <c r="H5" i="43" s="1"/>
  <c r="H4" i="43"/>
  <c r="BH25" i="34"/>
  <c r="BH26" i="34" s="1"/>
  <c r="BH27" i="34" s="1"/>
  <c r="BH29" i="34"/>
  <c r="BH30" i="34" s="1"/>
  <c r="BP59" i="34"/>
  <c r="BP40" i="34" s="1"/>
  <c r="BQ52" i="34"/>
  <c r="AK37" i="34"/>
  <c r="BK14" i="34"/>
  <c r="BK24" i="34" s="1"/>
  <c r="BL7" i="34"/>
  <c r="BK6" i="34"/>
  <c r="BL60" i="34"/>
  <c r="BL58" i="34" s="1"/>
  <c r="BL20" i="34" s="1"/>
  <c r="BM55" i="34"/>
  <c r="BJ15" i="34"/>
  <c r="BJ35" i="34"/>
  <c r="BJ13" i="34"/>
  <c r="BJ16" i="34" s="1"/>
  <c r="BI16" i="34"/>
  <c r="AL34" i="34"/>
  <c r="AL39" i="34" s="1"/>
  <c r="AJ42" i="34"/>
  <c r="AJ38" i="34" s="1"/>
  <c r="AK41" i="34"/>
  <c r="AK42" i="34" s="1"/>
  <c r="AK38" i="34" s="1"/>
  <c r="AK50" i="34" s="1"/>
  <c r="AL33" i="34"/>
  <c r="AM31" i="34" s="1"/>
  <c r="G39" i="13"/>
  <c r="H4" i="13" s="1"/>
  <c r="I251" i="22"/>
  <c r="I253" i="22" s="1"/>
  <c r="I254" i="22" s="1"/>
  <c r="J18" i="43" s="1"/>
  <c r="H15" i="13"/>
  <c r="H14" i="13" s="1"/>
  <c r="H28" i="13" s="1"/>
  <c r="D18" i="13"/>
  <c r="G62" i="13"/>
  <c r="G63" i="13"/>
  <c r="I44" i="34"/>
  <c r="I45" i="34" s="1"/>
  <c r="J43" i="34" s="1"/>
  <c r="H51" i="34"/>
  <c r="G61" i="34"/>
  <c r="H39" i="43" l="1"/>
  <c r="H42" i="43" s="1"/>
  <c r="D28" i="43"/>
  <c r="J15" i="43"/>
  <c r="J14" i="43" s="1"/>
  <c r="J28" i="43" s="1"/>
  <c r="H62" i="43"/>
  <c r="I63" i="43"/>
  <c r="H63" i="43"/>
  <c r="BR52" i="34"/>
  <c r="BQ59" i="34"/>
  <c r="BQ40" i="34" s="1"/>
  <c r="BI49" i="34"/>
  <c r="BI17" i="34"/>
  <c r="BI47" i="34"/>
  <c r="BI36" i="34"/>
  <c r="BI18" i="34"/>
  <c r="BI19" i="34"/>
  <c r="BK35" i="34"/>
  <c r="BK15" i="34"/>
  <c r="BK13" i="34"/>
  <c r="BL14" i="34"/>
  <c r="BL24" i="34" s="1"/>
  <c r="BM7" i="34"/>
  <c r="BL6" i="34"/>
  <c r="BJ17" i="34"/>
  <c r="BJ36" i="34"/>
  <c r="BJ49" i="34"/>
  <c r="BJ18" i="34"/>
  <c r="BJ47" i="34"/>
  <c r="BJ19" i="34"/>
  <c r="BM60" i="34"/>
  <c r="BM58" i="34" s="1"/>
  <c r="BM20" i="34" s="1"/>
  <c r="BN55" i="34"/>
  <c r="AL37" i="34"/>
  <c r="AM32" i="34"/>
  <c r="AM28" i="34" s="1"/>
  <c r="AJ50" i="34"/>
  <c r="AJ46" i="34"/>
  <c r="AK46" i="34"/>
  <c r="AL41" i="34"/>
  <c r="I252" i="22"/>
  <c r="J250" i="22" s="1"/>
  <c r="J251" i="22" s="1"/>
  <c r="J253" i="22" s="1"/>
  <c r="J254" i="22" s="1"/>
  <c r="G42" i="13"/>
  <c r="H5" i="13" s="1"/>
  <c r="J44" i="34"/>
  <c r="J45" i="34" s="1"/>
  <c r="K43" i="34" s="1"/>
  <c r="H38" i="13"/>
  <c r="H44" i="13" s="1"/>
  <c r="H46" i="13" s="1"/>
  <c r="H56" i="13" s="1"/>
  <c r="H57" i="13" s="1"/>
  <c r="H61" i="13"/>
  <c r="H29" i="13"/>
  <c r="D15" i="13"/>
  <c r="D14" i="13" s="1"/>
  <c r="J18" i="13"/>
  <c r="H61" i="34"/>
  <c r="I51" i="34"/>
  <c r="I4" i="43" l="1"/>
  <c r="J4" i="43"/>
  <c r="K18" i="13"/>
  <c r="K15" i="13" s="1"/>
  <c r="K14" i="13" s="1"/>
  <c r="K28" i="13" s="1"/>
  <c r="K38" i="13" s="1"/>
  <c r="K44" i="13" s="1"/>
  <c r="K46" i="13" s="1"/>
  <c r="K56" i="13" s="1"/>
  <c r="K18" i="43"/>
  <c r="I5" i="43"/>
  <c r="J5" i="43"/>
  <c r="D29" i="43"/>
  <c r="G2" i="39" s="1"/>
  <c r="D38" i="43"/>
  <c r="J61" i="43"/>
  <c r="J38" i="43"/>
  <c r="J44" i="43" s="1"/>
  <c r="J46" i="43" s="1"/>
  <c r="J56" i="43" s="1"/>
  <c r="J57" i="43" s="1"/>
  <c r="J29" i="43"/>
  <c r="BK16" i="34"/>
  <c r="BK17" i="34" s="1"/>
  <c r="BS52" i="34"/>
  <c r="BR59" i="34"/>
  <c r="BR40" i="34" s="1"/>
  <c r="BN60" i="34"/>
  <c r="BN58" i="34" s="1"/>
  <c r="BN20" i="34" s="1"/>
  <c r="BO55" i="34"/>
  <c r="BL35" i="34"/>
  <c r="BL15" i="34"/>
  <c r="BL13" i="34"/>
  <c r="BK36" i="34"/>
  <c r="BN7" i="34"/>
  <c r="BM14" i="34"/>
  <c r="BM24" i="34" s="1"/>
  <c r="BM6" i="34"/>
  <c r="BI25" i="34"/>
  <c r="BI26" i="34" s="1"/>
  <c r="BI27" i="34" s="1"/>
  <c r="BI29" i="34"/>
  <c r="BI30" i="34" s="1"/>
  <c r="BJ25" i="34"/>
  <c r="BJ26" i="34" s="1"/>
  <c r="BJ27" i="34" s="1"/>
  <c r="BJ29" i="34"/>
  <c r="BJ30" i="34" s="1"/>
  <c r="AL42" i="34"/>
  <c r="AL38" i="34" s="1"/>
  <c r="AM33" i="34"/>
  <c r="AN31" i="34" s="1"/>
  <c r="AM34" i="34"/>
  <c r="AM39" i="34" s="1"/>
  <c r="I61" i="34"/>
  <c r="J51" i="34"/>
  <c r="D28" i="13"/>
  <c r="I14" i="23"/>
  <c r="I24" i="23" s="1"/>
  <c r="I25" i="23" s="1"/>
  <c r="K44" i="34"/>
  <c r="K45" i="34" s="1"/>
  <c r="L43" i="34" s="1"/>
  <c r="J15" i="13"/>
  <c r="J14" i="13" s="1"/>
  <c r="J28" i="13" s="1"/>
  <c r="J29" i="13" s="1"/>
  <c r="H39" i="13"/>
  <c r="J252" i="22"/>
  <c r="K250" i="22" s="1"/>
  <c r="H62" i="13"/>
  <c r="H63" i="13"/>
  <c r="I63" i="13"/>
  <c r="BK19" i="34" l="1"/>
  <c r="BK47" i="34"/>
  <c r="BK18" i="34"/>
  <c r="BK29" i="34" s="1"/>
  <c r="BK30" i="34" s="1"/>
  <c r="K61" i="13"/>
  <c r="K62" i="13" s="1"/>
  <c r="J39" i="43"/>
  <c r="J42" i="43" s="1"/>
  <c r="K5" i="43" s="1"/>
  <c r="D44" i="43"/>
  <c r="D46" i="43" s="1"/>
  <c r="D39" i="43"/>
  <c r="D42" i="43" s="1"/>
  <c r="K15" i="43"/>
  <c r="K14" i="43" s="1"/>
  <c r="K28" i="43" s="1"/>
  <c r="K29" i="43" s="1"/>
  <c r="J62" i="43"/>
  <c r="J63" i="43"/>
  <c r="BK49" i="34"/>
  <c r="BL16" i="34"/>
  <c r="BL18" i="34" s="1"/>
  <c r="BT52" i="34"/>
  <c r="BS59" i="34"/>
  <c r="BS40" i="34" s="1"/>
  <c r="AM37" i="34"/>
  <c r="BM35" i="34"/>
  <c r="BM13" i="34"/>
  <c r="BM15" i="34"/>
  <c r="BN14" i="34"/>
  <c r="BN24" i="34" s="1"/>
  <c r="BO7" i="34"/>
  <c r="BN6" i="34"/>
  <c r="BO60" i="34"/>
  <c r="BO58" i="34" s="1"/>
  <c r="BO20" i="34" s="1"/>
  <c r="BP55" i="34"/>
  <c r="BL49" i="34"/>
  <c r="BL19" i="34"/>
  <c r="AN32" i="34"/>
  <c r="AN28" i="34" s="1"/>
  <c r="AL50" i="34"/>
  <c r="AL46" i="34"/>
  <c r="AM41" i="34"/>
  <c r="K29" i="13"/>
  <c r="J14" i="23"/>
  <c r="J24" i="23" s="1"/>
  <c r="J25" i="23" s="1"/>
  <c r="I4" i="13"/>
  <c r="J4" i="13"/>
  <c r="H42" i="13"/>
  <c r="L44" i="34"/>
  <c r="L45" i="34" s="1"/>
  <c r="M43" i="34" s="1"/>
  <c r="K251" i="22"/>
  <c r="K253" i="22" s="1"/>
  <c r="K254" i="22" s="1"/>
  <c r="J61" i="34"/>
  <c r="K51" i="34"/>
  <c r="D29" i="13"/>
  <c r="C47" i="29"/>
  <c r="D38" i="13"/>
  <c r="J38" i="13"/>
  <c r="J44" i="13" s="1"/>
  <c r="J46" i="13" s="1"/>
  <c r="J56" i="13" s="1"/>
  <c r="J57" i="13" s="1"/>
  <c r="K57" i="13" s="1"/>
  <c r="J61" i="13"/>
  <c r="BK25" i="34" l="1"/>
  <c r="BK26" i="34" s="1"/>
  <c r="BK27" i="34" s="1"/>
  <c r="BL17" i="34"/>
  <c r="BL36" i="34"/>
  <c r="BL47" i="34"/>
  <c r="K4" i="43"/>
  <c r="L18" i="13"/>
  <c r="L15" i="13" s="1"/>
  <c r="L14" i="13" s="1"/>
  <c r="L28" i="13" s="1"/>
  <c r="L18" i="43"/>
  <c r="K61" i="43"/>
  <c r="K38" i="43"/>
  <c r="K44" i="43" s="1"/>
  <c r="K46" i="43" s="1"/>
  <c r="K56" i="43" s="1"/>
  <c r="K57" i="43" s="1"/>
  <c r="BM16" i="34"/>
  <c r="BM19" i="34" s="1"/>
  <c r="BL25" i="34"/>
  <c r="BL26" i="34" s="1"/>
  <c r="BL27" i="34" s="1"/>
  <c r="BU52" i="34"/>
  <c r="BT59" i="34"/>
  <c r="BT40" i="34" s="1"/>
  <c r="BM36" i="34"/>
  <c r="BL29" i="34"/>
  <c r="BL30" i="34" s="1"/>
  <c r="BP60" i="34"/>
  <c r="BP58" i="34" s="1"/>
  <c r="BP20" i="34" s="1"/>
  <c r="BQ55" i="34"/>
  <c r="BN15" i="34"/>
  <c r="BN13" i="34"/>
  <c r="BN35" i="34"/>
  <c r="AN33" i="34"/>
  <c r="AO31" i="34" s="1"/>
  <c r="AO32" i="34" s="1"/>
  <c r="AO28" i="34" s="1"/>
  <c r="BO14" i="34"/>
  <c r="BO24" i="34" s="1"/>
  <c r="BP7" i="34"/>
  <c r="BO6" i="34"/>
  <c r="AM42" i="34"/>
  <c r="AM38" i="34" s="1"/>
  <c r="AN34" i="34"/>
  <c r="AN39" i="34" s="1"/>
  <c r="K252" i="22"/>
  <c r="L250" i="22" s="1"/>
  <c r="L251" i="22" s="1"/>
  <c r="L253" i="22" s="1"/>
  <c r="L254" i="22" s="1"/>
  <c r="K14" i="23"/>
  <c r="K24" i="23" s="1"/>
  <c r="K25" i="23" s="1"/>
  <c r="J62" i="13"/>
  <c r="K63" i="13"/>
  <c r="J63" i="13"/>
  <c r="I5" i="13"/>
  <c r="J5" i="13"/>
  <c r="J39" i="13"/>
  <c r="C50" i="29"/>
  <c r="C49" i="29"/>
  <c r="M44" i="34"/>
  <c r="M45" i="34" s="1"/>
  <c r="N43" i="34" s="1"/>
  <c r="D44" i="13"/>
  <c r="D46" i="13" s="1"/>
  <c r="D39" i="13"/>
  <c r="D42" i="13" s="1"/>
  <c r="L51" i="34"/>
  <c r="K61" i="34"/>
  <c r="BM18" i="34" l="1"/>
  <c r="BM49" i="34"/>
  <c r="BM47" i="34"/>
  <c r="BM17" i="34"/>
  <c r="BM29" i="34" s="1"/>
  <c r="BM30" i="34" s="1"/>
  <c r="K39" i="43"/>
  <c r="K42" i="43" s="1"/>
  <c r="L5" i="43" s="1"/>
  <c r="K62" i="43"/>
  <c r="K63" i="43"/>
  <c r="M18" i="13"/>
  <c r="I18" i="13" s="1"/>
  <c r="I15" i="13" s="1"/>
  <c r="I14" i="13" s="1"/>
  <c r="M18" i="43"/>
  <c r="M15" i="43" s="1"/>
  <c r="M14" i="43" s="1"/>
  <c r="M28" i="43" s="1"/>
  <c r="L15" i="43"/>
  <c r="L14" i="43" s="1"/>
  <c r="L28" i="43" s="1"/>
  <c r="BV52" i="34"/>
  <c r="BU59" i="34"/>
  <c r="BU40" i="34" s="1"/>
  <c r="BO35" i="34"/>
  <c r="BO13" i="34"/>
  <c r="BO15" i="34"/>
  <c r="BM25" i="34"/>
  <c r="BM26" i="34" s="1"/>
  <c r="BM27" i="34" s="1"/>
  <c r="BP6" i="34"/>
  <c r="BQ7" i="34"/>
  <c r="BP14" i="34"/>
  <c r="BP24" i="34" s="1"/>
  <c r="BQ60" i="34"/>
  <c r="BQ58" i="34" s="1"/>
  <c r="BQ20" i="34" s="1"/>
  <c r="BR55" i="34"/>
  <c r="BN16" i="34"/>
  <c r="AN41" i="34"/>
  <c r="AN42" i="34" s="1"/>
  <c r="AN38" i="34" s="1"/>
  <c r="AN46" i="34" s="1"/>
  <c r="AM50" i="34"/>
  <c r="AM46" i="34"/>
  <c r="AN37" i="34"/>
  <c r="AO34" i="34"/>
  <c r="AO39" i="34" s="1"/>
  <c r="AO33" i="34"/>
  <c r="AP31" i="34" s="1"/>
  <c r="L252" i="22"/>
  <c r="M250" i="22" s="1"/>
  <c r="M251" i="22" s="1"/>
  <c r="M253" i="22" s="1"/>
  <c r="M254" i="22" s="1"/>
  <c r="L61" i="34"/>
  <c r="M51" i="34"/>
  <c r="L38" i="13"/>
  <c r="L44" i="13" s="1"/>
  <c r="L46" i="13" s="1"/>
  <c r="L56" i="13" s="1"/>
  <c r="L57" i="13" s="1"/>
  <c r="L61" i="13"/>
  <c r="J42" i="13"/>
  <c r="K5" i="13" s="1"/>
  <c r="K4" i="13"/>
  <c r="K39" i="13" s="1"/>
  <c r="N44" i="34"/>
  <c r="N45" i="34" s="1"/>
  <c r="O43" i="34" s="1"/>
  <c r="C57" i="29"/>
  <c r="L29" i="13"/>
  <c r="I18" i="43" l="1"/>
  <c r="I15" i="43" s="1"/>
  <c r="I14" i="43" s="1"/>
  <c r="M15" i="13"/>
  <c r="M14" i="13" s="1"/>
  <c r="M28" i="13" s="1"/>
  <c r="M38" i="13" s="1"/>
  <c r="M44" i="13" s="1"/>
  <c r="M46" i="13" s="1"/>
  <c r="M56" i="13" s="1"/>
  <c r="M57" i="13" s="1"/>
  <c r="L4" i="43"/>
  <c r="O18" i="13"/>
  <c r="O15" i="13" s="1"/>
  <c r="O18" i="43"/>
  <c r="M61" i="43"/>
  <c r="M38" i="43"/>
  <c r="M44" i="43" s="1"/>
  <c r="M46" i="43" s="1"/>
  <c r="M56" i="43" s="1"/>
  <c r="L61" i="43"/>
  <c r="L38" i="43"/>
  <c r="L44" i="43" s="1"/>
  <c r="L46" i="43" s="1"/>
  <c r="L56" i="43" s="1"/>
  <c r="L57" i="43" s="1"/>
  <c r="L29" i="43"/>
  <c r="M29" i="43" s="1"/>
  <c r="BV59" i="34"/>
  <c r="BV40" i="34" s="1"/>
  <c r="BW52" i="34"/>
  <c r="AO37" i="34"/>
  <c r="BR7" i="34"/>
  <c r="BQ14" i="34"/>
  <c r="BQ24" i="34" s="1"/>
  <c r="BQ6" i="34"/>
  <c r="BR60" i="34"/>
  <c r="BR58" i="34" s="1"/>
  <c r="BR20" i="34" s="1"/>
  <c r="BS55" i="34"/>
  <c r="BP15" i="34"/>
  <c r="BP35" i="34"/>
  <c r="BP13" i="34"/>
  <c r="BP16" i="34" s="1"/>
  <c r="BO16" i="34"/>
  <c r="BN36" i="34"/>
  <c r="BN18" i="34"/>
  <c r="BN17" i="34"/>
  <c r="BN49" i="34"/>
  <c r="BN19" i="34"/>
  <c r="BN47" i="34"/>
  <c r="AP32" i="34"/>
  <c r="AP28" i="34" s="1"/>
  <c r="AO41" i="34"/>
  <c r="AO42" i="34" s="1"/>
  <c r="AO38" i="34" s="1"/>
  <c r="AN50" i="34"/>
  <c r="M252" i="22"/>
  <c r="N250" i="22" s="1"/>
  <c r="N251" i="22" s="1"/>
  <c r="N253" i="22" s="1"/>
  <c r="N254" i="22" s="1"/>
  <c r="O44" i="34"/>
  <c r="O45" i="34" s="1"/>
  <c r="P43" i="34" s="1"/>
  <c r="N51" i="34"/>
  <c r="M61" i="34"/>
  <c r="L14" i="23"/>
  <c r="L24" i="23" s="1"/>
  <c r="L25" i="23" s="1"/>
  <c r="I28" i="13"/>
  <c r="K42" i="13"/>
  <c r="L5" i="13" s="1"/>
  <c r="L4" i="13"/>
  <c r="L39" i="13" s="1"/>
  <c r="L62" i="13"/>
  <c r="L63" i="13"/>
  <c r="M61" i="13" l="1"/>
  <c r="M63" i="13" s="1"/>
  <c r="M29" i="13"/>
  <c r="M14" i="23" s="1"/>
  <c r="M24" i="23" s="1"/>
  <c r="M25" i="23" s="1"/>
  <c r="P18" i="13"/>
  <c r="P15" i="13" s="1"/>
  <c r="P14" i="13" s="1"/>
  <c r="P28" i="13" s="1"/>
  <c r="P61" i="13" s="1"/>
  <c r="P18" i="43"/>
  <c r="P15" i="43" s="1"/>
  <c r="P14" i="43" s="1"/>
  <c r="P28" i="43" s="1"/>
  <c r="O15" i="43"/>
  <c r="M62" i="43"/>
  <c r="N63" i="43"/>
  <c r="M63" i="43"/>
  <c r="L62" i="43"/>
  <c r="L63" i="43"/>
  <c r="M57" i="43"/>
  <c r="L39" i="43"/>
  <c r="I28" i="43"/>
  <c r="BX52" i="34"/>
  <c r="BW59" i="34"/>
  <c r="BW40" i="34" s="1"/>
  <c r="BP17" i="34"/>
  <c r="BP47" i="34"/>
  <c r="BP19" i="34"/>
  <c r="BP36" i="34"/>
  <c r="BP18" i="34"/>
  <c r="BP49" i="34"/>
  <c r="BO36" i="34"/>
  <c r="BO17" i="34"/>
  <c r="BO49" i="34"/>
  <c r="BO47" i="34"/>
  <c r="BO18" i="34"/>
  <c r="BO19" i="34"/>
  <c r="BN25" i="34"/>
  <c r="BN26" i="34" s="1"/>
  <c r="BN27" i="34" s="1"/>
  <c r="BN29" i="34"/>
  <c r="BN30" i="34" s="1"/>
  <c r="BT55" i="34"/>
  <c r="BS60" i="34"/>
  <c r="BS58" i="34" s="1"/>
  <c r="BS20" i="34" s="1"/>
  <c r="BR14" i="34"/>
  <c r="BR24" i="34" s="1"/>
  <c r="BS7" i="34"/>
  <c r="BR6" i="34"/>
  <c r="BQ15" i="34"/>
  <c r="BQ35" i="34"/>
  <c r="BQ13" i="34"/>
  <c r="AO50" i="34"/>
  <c r="AO46" i="34"/>
  <c r="AP33" i="34"/>
  <c r="AQ31" i="34" s="1"/>
  <c r="AP34" i="34"/>
  <c r="AP39" i="34" s="1"/>
  <c r="M4" i="13"/>
  <c r="M39" i="13" s="1"/>
  <c r="L42" i="13"/>
  <c r="M5" i="13" s="1"/>
  <c r="O14" i="13"/>
  <c r="O28" i="13" s="1"/>
  <c r="P44" i="34"/>
  <c r="P45" i="34" s="1"/>
  <c r="Q43" i="34" s="1"/>
  <c r="O51" i="34"/>
  <c r="N61" i="34"/>
  <c r="N252" i="22"/>
  <c r="O250" i="22" s="1"/>
  <c r="I38" i="13"/>
  <c r="D47" i="29"/>
  <c r="I29" i="13"/>
  <c r="BQ16" i="34" l="1"/>
  <c r="N63" i="13"/>
  <c r="M62" i="13"/>
  <c r="P38" i="13"/>
  <c r="P44" i="13" s="1"/>
  <c r="P46" i="13" s="1"/>
  <c r="P56" i="13" s="1"/>
  <c r="L42" i="43"/>
  <c r="M5" i="43" s="1"/>
  <c r="M4" i="43"/>
  <c r="M39" i="43" s="1"/>
  <c r="O14" i="43"/>
  <c r="O28" i="43" s="1"/>
  <c r="P61" i="43"/>
  <c r="P38" i="43"/>
  <c r="P44" i="43" s="1"/>
  <c r="P46" i="43" s="1"/>
  <c r="P56" i="43" s="1"/>
  <c r="I38" i="43"/>
  <c r="I29" i="43"/>
  <c r="H2" i="39" s="1"/>
  <c r="BP29" i="34"/>
  <c r="BP30" i="34" s="1"/>
  <c r="BX59" i="34"/>
  <c r="BX40" i="34" s="1"/>
  <c r="BY52" i="34"/>
  <c r="BR15" i="34"/>
  <c r="BR13" i="34"/>
  <c r="BR35" i="34"/>
  <c r="BT60" i="34"/>
  <c r="BT58" i="34" s="1"/>
  <c r="BT20" i="34" s="1"/>
  <c r="BU55" i="34"/>
  <c r="BO25" i="34"/>
  <c r="BO26" i="34" s="1"/>
  <c r="BO27" i="34" s="1"/>
  <c r="BO29" i="34"/>
  <c r="BO30" i="34" s="1"/>
  <c r="BQ17" i="34"/>
  <c r="BQ49" i="34"/>
  <c r="BQ18" i="34"/>
  <c r="BQ36" i="34"/>
  <c r="BQ47" i="34"/>
  <c r="BQ19" i="34"/>
  <c r="BT7" i="34"/>
  <c r="BS14" i="34"/>
  <c r="BS24" i="34" s="1"/>
  <c r="BS6" i="34"/>
  <c r="BP25" i="34"/>
  <c r="BP26" i="34" s="1"/>
  <c r="BP27" i="34" s="1"/>
  <c r="AP41" i="34"/>
  <c r="AP42" i="34" s="1"/>
  <c r="AP38" i="34" s="1"/>
  <c r="AP50" i="34" s="1"/>
  <c r="AQ32" i="34"/>
  <c r="AQ28" i="34" s="1"/>
  <c r="AP37" i="34"/>
  <c r="Q44" i="34"/>
  <c r="Q45" i="34" s="1"/>
  <c r="R43" i="34" s="1"/>
  <c r="O4" i="13"/>
  <c r="M42" i="13"/>
  <c r="O5" i="13" s="1"/>
  <c r="O251" i="22"/>
  <c r="O253" i="22" s="1"/>
  <c r="O254" i="22" s="1"/>
  <c r="P62" i="13"/>
  <c r="I44" i="13"/>
  <c r="I46" i="13" s="1"/>
  <c r="I39" i="13"/>
  <c r="O61" i="34"/>
  <c r="P51" i="34"/>
  <c r="O38" i="13"/>
  <c r="O44" i="13" s="1"/>
  <c r="O46" i="13" s="1"/>
  <c r="O56" i="13" s="1"/>
  <c r="O57" i="13" s="1"/>
  <c r="P57" i="13" s="1"/>
  <c r="O61" i="13"/>
  <c r="D49" i="29"/>
  <c r="D50" i="29"/>
  <c r="O29" i="13"/>
  <c r="Q18" i="13" l="1"/>
  <c r="Q15" i="13" s="1"/>
  <c r="Q18" i="43"/>
  <c r="I44" i="43"/>
  <c r="I46" i="43" s="1"/>
  <c r="I39" i="43"/>
  <c r="M42" i="43"/>
  <c r="O5" i="43" s="1"/>
  <c r="O4" i="43"/>
  <c r="O61" i="43"/>
  <c r="P63" i="43" s="1"/>
  <c r="O38" i="43"/>
  <c r="O44" i="43" s="1"/>
  <c r="O46" i="43" s="1"/>
  <c r="O56" i="43" s="1"/>
  <c r="O57" i="43" s="1"/>
  <c r="P57" i="43" s="1"/>
  <c r="O29" i="43"/>
  <c r="P29" i="43" s="1"/>
  <c r="P62" i="43"/>
  <c r="BR16" i="34"/>
  <c r="BR36" i="34" s="1"/>
  <c r="BY59" i="34"/>
  <c r="BY40" i="34" s="1"/>
  <c r="BZ52" i="34"/>
  <c r="BT14" i="34"/>
  <c r="BT24" i="34" s="1"/>
  <c r="BT6" i="34"/>
  <c r="BU7" i="34"/>
  <c r="BU60" i="34"/>
  <c r="BU58" i="34" s="1"/>
  <c r="BU20" i="34" s="1"/>
  <c r="BV55" i="34"/>
  <c r="BS35" i="34"/>
  <c r="BS15" i="34"/>
  <c r="BS13" i="34"/>
  <c r="BQ29" i="34"/>
  <c r="BQ30" i="34" s="1"/>
  <c r="BQ25" i="34"/>
  <c r="BQ26" i="34" s="1"/>
  <c r="BQ27" i="34" s="1"/>
  <c r="AQ34" i="34"/>
  <c r="AQ39" i="34" s="1"/>
  <c r="AP46" i="34"/>
  <c r="AQ33" i="34"/>
  <c r="AR31" i="34" s="1"/>
  <c r="O252" i="22"/>
  <c r="P250" i="22" s="1"/>
  <c r="P251" i="22" s="1"/>
  <c r="R44" i="34"/>
  <c r="R45" i="34" s="1"/>
  <c r="S43" i="34" s="1"/>
  <c r="N14" i="23"/>
  <c r="N24" i="23" s="1"/>
  <c r="N25" i="23" s="1"/>
  <c r="P29" i="13"/>
  <c r="O62" i="13"/>
  <c r="O63" i="13"/>
  <c r="I42" i="13"/>
  <c r="N5" i="13" s="1"/>
  <c r="N4" i="13"/>
  <c r="D57" i="29"/>
  <c r="O39" i="13"/>
  <c r="P61" i="34"/>
  <c r="Q51" i="34"/>
  <c r="P63" i="13"/>
  <c r="BR18" i="34" l="1"/>
  <c r="BR19" i="34"/>
  <c r="BR47" i="34"/>
  <c r="BR49" i="34"/>
  <c r="BR17" i="34"/>
  <c r="O62" i="43"/>
  <c r="O63" i="43"/>
  <c r="O39" i="43"/>
  <c r="Q15" i="43"/>
  <c r="I42" i="43"/>
  <c r="N5" i="43" s="1"/>
  <c r="N4" i="43"/>
  <c r="BS16" i="34"/>
  <c r="AQ37" i="34"/>
  <c r="CA52" i="34"/>
  <c r="BZ59" i="34"/>
  <c r="BZ40" i="34" s="1"/>
  <c r="BV7" i="34"/>
  <c r="BU14" i="34"/>
  <c r="BU24" i="34" s="1"/>
  <c r="BU6" i="34"/>
  <c r="BS47" i="34"/>
  <c r="BS49" i="34"/>
  <c r="BS19" i="34"/>
  <c r="BS17" i="34"/>
  <c r="BS36" i="34"/>
  <c r="BS18" i="34"/>
  <c r="BT15" i="34"/>
  <c r="BT13" i="34"/>
  <c r="BT35" i="34"/>
  <c r="BR29" i="34"/>
  <c r="BR30" i="34" s="1"/>
  <c r="BW55" i="34"/>
  <c r="BV60" i="34"/>
  <c r="BV58" i="34" s="1"/>
  <c r="BV20" i="34" s="1"/>
  <c r="AR32" i="34"/>
  <c r="AR28" i="34" s="1"/>
  <c r="AQ41" i="34"/>
  <c r="AQ42" i="34" s="1"/>
  <c r="AQ38" i="34" s="1"/>
  <c r="AQ50" i="34" s="1"/>
  <c r="P253" i="22"/>
  <c r="P254" i="22" s="1"/>
  <c r="P252" i="22"/>
  <c r="Q250" i="22" s="1"/>
  <c r="Q251" i="22" s="1"/>
  <c r="Q253" i="22" s="1"/>
  <c r="Q254" i="22" s="1"/>
  <c r="S44" i="34"/>
  <c r="S45" i="34" s="1"/>
  <c r="T43" i="34" s="1"/>
  <c r="Q61" i="34"/>
  <c r="R51" i="34"/>
  <c r="O14" i="23"/>
  <c r="O24" i="23" s="1"/>
  <c r="O25" i="23" s="1"/>
  <c r="O42" i="13"/>
  <c r="P5" i="13" s="1"/>
  <c r="P4" i="13"/>
  <c r="P39" i="13" s="1"/>
  <c r="Q14" i="13"/>
  <c r="Q28" i="13" s="1"/>
  <c r="BR25" i="34" l="1"/>
  <c r="BR26" i="34" s="1"/>
  <c r="BR27" i="34" s="1"/>
  <c r="R18" i="13"/>
  <c r="N18" i="13" s="1"/>
  <c r="R18" i="43"/>
  <c r="O42" i="43"/>
  <c r="P5" i="43" s="1"/>
  <c r="P4" i="43"/>
  <c r="P39" i="43" s="1"/>
  <c r="Q14" i="43"/>
  <c r="Q28" i="43" s="1"/>
  <c r="T18" i="13"/>
  <c r="T15" i="13" s="1"/>
  <c r="T18" i="43"/>
  <c r="CB52" i="34"/>
  <c r="CA59" i="34"/>
  <c r="CA40" i="34" s="1"/>
  <c r="BT16" i="34"/>
  <c r="BT47" i="34" s="1"/>
  <c r="BV14" i="34"/>
  <c r="BV24" i="34" s="1"/>
  <c r="BW7" i="34"/>
  <c r="BV6" i="34"/>
  <c r="BX55" i="34"/>
  <c r="BW60" i="34"/>
  <c r="BW58" i="34" s="1"/>
  <c r="BW20" i="34" s="1"/>
  <c r="BS29" i="34"/>
  <c r="BS30" i="34" s="1"/>
  <c r="BS25" i="34"/>
  <c r="BS26" i="34" s="1"/>
  <c r="BS27" i="34" s="1"/>
  <c r="BU13" i="34"/>
  <c r="BU35" i="34"/>
  <c r="BU15" i="34"/>
  <c r="AR34" i="34"/>
  <c r="AR39" i="34" s="1"/>
  <c r="AQ46" i="34"/>
  <c r="AR33" i="34"/>
  <c r="AS31" i="34" s="1"/>
  <c r="Q252" i="22"/>
  <c r="R250" i="22" s="1"/>
  <c r="R251" i="22" s="1"/>
  <c r="R253" i="22" s="1"/>
  <c r="R254" i="22" s="1"/>
  <c r="T44" i="34"/>
  <c r="T45" i="34" s="1"/>
  <c r="U43" i="34" s="1"/>
  <c r="R61" i="34"/>
  <c r="S51" i="34"/>
  <c r="P42" i="13"/>
  <c r="Q5" i="13" s="1"/>
  <c r="Q4" i="13"/>
  <c r="Q38" i="13"/>
  <c r="Q44" i="13" s="1"/>
  <c r="Q46" i="13" s="1"/>
  <c r="Q56" i="13" s="1"/>
  <c r="Q57" i="13" s="1"/>
  <c r="Q61" i="13"/>
  <c r="Q29" i="13"/>
  <c r="R15" i="13" l="1"/>
  <c r="N15" i="13" s="1"/>
  <c r="N14" i="13" s="1"/>
  <c r="N28" i="13" s="1"/>
  <c r="E47" i="29" s="1"/>
  <c r="U18" i="13"/>
  <c r="U15" i="13" s="1"/>
  <c r="U14" i="13" s="1"/>
  <c r="U28" i="13" s="1"/>
  <c r="U38" i="13" s="1"/>
  <c r="U44" i="13" s="1"/>
  <c r="U46" i="13" s="1"/>
  <c r="U56" i="13" s="1"/>
  <c r="U18" i="43"/>
  <c r="U15" i="43" s="1"/>
  <c r="U14" i="43" s="1"/>
  <c r="U28" i="43" s="1"/>
  <c r="Q61" i="43"/>
  <c r="Q38" i="43"/>
  <c r="Q44" i="43" s="1"/>
  <c r="Q46" i="43" s="1"/>
  <c r="Q56" i="43" s="1"/>
  <c r="Q57" i="43" s="1"/>
  <c r="Q29" i="43"/>
  <c r="R15" i="43"/>
  <c r="N18" i="43"/>
  <c r="T15" i="43"/>
  <c r="P42" i="43"/>
  <c r="Q5" i="43" s="1"/>
  <c r="Q4" i="43"/>
  <c r="BT19" i="34"/>
  <c r="BT49" i="34"/>
  <c r="BT36" i="34"/>
  <c r="BT17" i="34"/>
  <c r="BT18" i="34"/>
  <c r="CB59" i="34"/>
  <c r="CB40" i="34" s="1"/>
  <c r="CC52" i="34"/>
  <c r="BW14" i="34"/>
  <c r="BW24" i="34" s="1"/>
  <c r="BX7" i="34"/>
  <c r="BW6" i="34"/>
  <c r="BU16" i="34"/>
  <c r="BY55" i="34"/>
  <c r="BX60" i="34"/>
  <c r="BX58" i="34" s="1"/>
  <c r="BX20" i="34" s="1"/>
  <c r="BV35" i="34"/>
  <c r="BV15" i="34"/>
  <c r="BV13" i="34"/>
  <c r="AR41" i="34"/>
  <c r="AR42" i="34" s="1"/>
  <c r="AR38" i="34" s="1"/>
  <c r="AS32" i="34"/>
  <c r="AS28" i="34" s="1"/>
  <c r="AR37" i="34"/>
  <c r="Q39" i="13"/>
  <c r="Q42" i="13" s="1"/>
  <c r="R5" i="13" s="1"/>
  <c r="U44" i="34"/>
  <c r="U45" i="34" s="1"/>
  <c r="V43" i="34" s="1"/>
  <c r="P14" i="23"/>
  <c r="P24" i="23" s="1"/>
  <c r="P25" i="23" s="1"/>
  <c r="Q62" i="13"/>
  <c r="Q63" i="13"/>
  <c r="S61" i="34"/>
  <c r="T51" i="34"/>
  <c r="T14" i="13"/>
  <c r="T28" i="13" s="1"/>
  <c r="R252" i="22"/>
  <c r="S250" i="22" s="1"/>
  <c r="R14" i="13" l="1"/>
  <c r="R28" i="13" s="1"/>
  <c r="R29" i="13" s="1"/>
  <c r="Q14" i="23" s="1"/>
  <c r="Q24" i="23" s="1"/>
  <c r="Q25" i="23" s="1"/>
  <c r="BV16" i="34"/>
  <c r="U61" i="13"/>
  <c r="U62" i="13" s="1"/>
  <c r="T14" i="43"/>
  <c r="T28" i="43" s="1"/>
  <c r="R14" i="43"/>
  <c r="R28" i="43" s="1"/>
  <c r="R29" i="43" s="1"/>
  <c r="N15" i="43"/>
  <c r="N14" i="43" s="1"/>
  <c r="U61" i="43"/>
  <c r="U38" i="43"/>
  <c r="U44" i="43" s="1"/>
  <c r="U46" i="43" s="1"/>
  <c r="U56" i="43" s="1"/>
  <c r="Q39" i="43"/>
  <c r="Q62" i="43"/>
  <c r="Q63" i="43"/>
  <c r="BT25" i="34"/>
  <c r="BT26" i="34" s="1"/>
  <c r="BT27" i="34" s="1"/>
  <c r="BT29" i="34"/>
  <c r="BT30" i="34" s="1"/>
  <c r="CC59" i="34"/>
  <c r="CC40" i="34" s="1"/>
  <c r="CD52" i="34"/>
  <c r="BU49" i="34"/>
  <c r="BU17" i="34"/>
  <c r="BU19" i="34"/>
  <c r="BU18" i="34"/>
  <c r="BU47" i="34"/>
  <c r="BU36" i="34"/>
  <c r="BY7" i="34"/>
  <c r="BX6" i="34"/>
  <c r="BX14" i="34"/>
  <c r="BX24" i="34" s="1"/>
  <c r="BV47" i="34"/>
  <c r="BV18" i="34"/>
  <c r="BV49" i="34"/>
  <c r="BV17" i="34"/>
  <c r="BV36" i="34"/>
  <c r="BV19" i="34"/>
  <c r="BZ55" i="34"/>
  <c r="BY60" i="34"/>
  <c r="BY58" i="34" s="1"/>
  <c r="BY20" i="34" s="1"/>
  <c r="AS33" i="34"/>
  <c r="AT31" i="34" s="1"/>
  <c r="AT32" i="34" s="1"/>
  <c r="AT28" i="34" s="1"/>
  <c r="BW15" i="34"/>
  <c r="BW13" i="34"/>
  <c r="BW35" i="34"/>
  <c r="AR50" i="34"/>
  <c r="AR46" i="34"/>
  <c r="AS34" i="34"/>
  <c r="AS39" i="34" s="1"/>
  <c r="N29" i="13"/>
  <c r="N38" i="13"/>
  <c r="N39" i="13" s="1"/>
  <c r="R4" i="13"/>
  <c r="T61" i="13"/>
  <c r="T38" i="13"/>
  <c r="T44" i="13" s="1"/>
  <c r="T46" i="13" s="1"/>
  <c r="T56" i="13" s="1"/>
  <c r="V44" i="34"/>
  <c r="V45" i="34" s="1"/>
  <c r="W43" i="34" s="1"/>
  <c r="T61" i="34"/>
  <c r="U51" i="34"/>
  <c r="S251" i="22"/>
  <c r="S253" i="22" s="1"/>
  <c r="S254" i="22" s="1"/>
  <c r="E49" i="29"/>
  <c r="E50" i="29"/>
  <c r="R61" i="13" l="1"/>
  <c r="R62" i="13" s="1"/>
  <c r="R38" i="13"/>
  <c r="R44" i="13" s="1"/>
  <c r="R46" i="13" s="1"/>
  <c r="R56" i="13" s="1"/>
  <c r="R57" i="13" s="1"/>
  <c r="T57" i="13" s="1"/>
  <c r="U57" i="13" s="1"/>
  <c r="T29" i="13"/>
  <c r="R14" i="23" s="1"/>
  <c r="R24" i="23" s="1"/>
  <c r="R25" i="23" s="1"/>
  <c r="T29" i="43"/>
  <c r="U29" i="43" s="1"/>
  <c r="U62" i="43"/>
  <c r="R61" i="43"/>
  <c r="R38" i="43"/>
  <c r="R44" i="43" s="1"/>
  <c r="R46" i="43" s="1"/>
  <c r="R56" i="43" s="1"/>
  <c r="R57" i="43" s="1"/>
  <c r="V18" i="13"/>
  <c r="V15" i="13" s="1"/>
  <c r="V18" i="43"/>
  <c r="Q42" i="43"/>
  <c r="R5" i="43" s="1"/>
  <c r="R4" i="43"/>
  <c r="N28" i="43"/>
  <c r="T61" i="43"/>
  <c r="T38" i="43"/>
  <c r="T44" i="43" s="1"/>
  <c r="T46" i="43" s="1"/>
  <c r="T56" i="43" s="1"/>
  <c r="BW16" i="34"/>
  <c r="BW19" i="34" s="1"/>
  <c r="CE52" i="34"/>
  <c r="CD59" i="34"/>
  <c r="CD40" i="34" s="1"/>
  <c r="BZ60" i="34"/>
  <c r="BZ58" i="34" s="1"/>
  <c r="BZ20" i="34" s="1"/>
  <c r="CA55" i="34"/>
  <c r="BX13" i="34"/>
  <c r="BX35" i="34"/>
  <c r="BX15" i="34"/>
  <c r="BY6" i="34"/>
  <c r="BZ7" i="34"/>
  <c r="BY14" i="34"/>
  <c r="BY24" i="34" s="1"/>
  <c r="BU25" i="34"/>
  <c r="BU26" i="34" s="1"/>
  <c r="BU27" i="34" s="1"/>
  <c r="BU29" i="34"/>
  <c r="BU30" i="34" s="1"/>
  <c r="BV25" i="34"/>
  <c r="BV26" i="34" s="1"/>
  <c r="BV27" i="34" s="1"/>
  <c r="BV29" i="34"/>
  <c r="BV30" i="34" s="1"/>
  <c r="AS41" i="34"/>
  <c r="AS42" i="34" s="1"/>
  <c r="AS38" i="34" s="1"/>
  <c r="AS50" i="34" s="1"/>
  <c r="AT34" i="34"/>
  <c r="AT39" i="34" s="1"/>
  <c r="AS37" i="34"/>
  <c r="AT33" i="34"/>
  <c r="AU31" i="34" s="1"/>
  <c r="N44" i="13"/>
  <c r="N46" i="13" s="1"/>
  <c r="W44" i="34"/>
  <c r="W45" i="34" s="1"/>
  <c r="X43" i="34" s="1"/>
  <c r="V51" i="34"/>
  <c r="U61" i="34"/>
  <c r="S252" i="22"/>
  <c r="T250" i="22" s="1"/>
  <c r="E57" i="29"/>
  <c r="N42" i="13"/>
  <c r="S5" i="13" s="1"/>
  <c r="S4" i="13"/>
  <c r="T62" i="13"/>
  <c r="BW18" i="34" l="1"/>
  <c r="BW36" i="34"/>
  <c r="R39" i="13"/>
  <c r="T4" i="13" s="1"/>
  <c r="T39" i="13" s="1"/>
  <c r="T42" i="13" s="1"/>
  <c r="U5" i="13" s="1"/>
  <c r="U63" i="13"/>
  <c r="T63" i="13"/>
  <c r="U29" i="13"/>
  <c r="S14" i="23" s="1"/>
  <c r="S24" i="23" s="1"/>
  <c r="S25" i="23" s="1"/>
  <c r="R63" i="13"/>
  <c r="S63" i="13"/>
  <c r="R39" i="43"/>
  <c r="R42" i="43" s="1"/>
  <c r="T5" i="43" s="1"/>
  <c r="BW47" i="34"/>
  <c r="U63" i="43"/>
  <c r="N38" i="43"/>
  <c r="N29" i="43"/>
  <c r="I2" i="39" s="1"/>
  <c r="T62" i="43"/>
  <c r="T63" i="43"/>
  <c r="R62" i="43"/>
  <c r="S63" i="43"/>
  <c r="R63" i="43"/>
  <c r="V15" i="43"/>
  <c r="T57" i="43"/>
  <c r="U57" i="43" s="1"/>
  <c r="BW17" i="34"/>
  <c r="BW29" i="34" s="1"/>
  <c r="BW30" i="34" s="1"/>
  <c r="BW49" i="34"/>
  <c r="CF52" i="34"/>
  <c r="CE59" i="34"/>
  <c r="CE40" i="34" s="1"/>
  <c r="BY13" i="34"/>
  <c r="BY35" i="34"/>
  <c r="BY15" i="34"/>
  <c r="CB55" i="34"/>
  <c r="CA60" i="34"/>
  <c r="CA58" i="34" s="1"/>
  <c r="CA20" i="34" s="1"/>
  <c r="BZ6" i="34"/>
  <c r="BZ14" i="34"/>
  <c r="BZ24" i="34" s="1"/>
  <c r="CA7" i="34"/>
  <c r="BX16" i="34"/>
  <c r="AT37" i="34"/>
  <c r="AU32" i="34"/>
  <c r="AU28" i="34" s="1"/>
  <c r="AT41" i="34"/>
  <c r="AT42" i="34" s="1"/>
  <c r="AT38" i="34" s="1"/>
  <c r="AS46" i="34"/>
  <c r="V14" i="13"/>
  <c r="V28" i="13" s="1"/>
  <c r="T251" i="22"/>
  <c r="T253" i="22" s="1"/>
  <c r="T254" i="22" s="1"/>
  <c r="X44" i="34"/>
  <c r="X45" i="34" s="1"/>
  <c r="Y43" i="34" s="1"/>
  <c r="W51" i="34"/>
  <c r="V61" i="34"/>
  <c r="BY16" i="34" l="1"/>
  <c r="U4" i="13"/>
  <c r="U39" i="13" s="1"/>
  <c r="U42" i="13" s="1"/>
  <c r="V5" i="13" s="1"/>
  <c r="R42" i="13"/>
  <c r="T5" i="13" s="1"/>
  <c r="V29" i="13"/>
  <c r="T4" i="43"/>
  <c r="T39" i="43" s="1"/>
  <c r="T42" i="43" s="1"/>
  <c r="U5" i="43" s="1"/>
  <c r="BW25" i="34"/>
  <c r="BW26" i="34" s="1"/>
  <c r="BW27" i="34" s="1"/>
  <c r="W18" i="13"/>
  <c r="S18" i="13" s="1"/>
  <c r="W18" i="43"/>
  <c r="V14" i="43"/>
  <c r="V28" i="43" s="1"/>
  <c r="N44" i="43"/>
  <c r="N46" i="43" s="1"/>
  <c r="N39" i="43"/>
  <c r="CG52" i="34"/>
  <c r="CF59" i="34"/>
  <c r="CF40" i="34" s="1"/>
  <c r="BZ35" i="34"/>
  <c r="BZ13" i="34"/>
  <c r="BZ15" i="34"/>
  <c r="CB60" i="34"/>
  <c r="CB58" i="34" s="1"/>
  <c r="CB20" i="34" s="1"/>
  <c r="CC55" i="34"/>
  <c r="BX18" i="34"/>
  <c r="BX49" i="34"/>
  <c r="BX47" i="34"/>
  <c r="BX36" i="34"/>
  <c r="BX19" i="34"/>
  <c r="BX17" i="34"/>
  <c r="BY19" i="34"/>
  <c r="BY49" i="34"/>
  <c r="BY17" i="34"/>
  <c r="BY36" i="34"/>
  <c r="BY18" i="34"/>
  <c r="BY47" i="34"/>
  <c r="CA6" i="34"/>
  <c r="CB7" i="34"/>
  <c r="CA14" i="34"/>
  <c r="CA24" i="34" s="1"/>
  <c r="AT50" i="34"/>
  <c r="AT46" i="34"/>
  <c r="AU34" i="34"/>
  <c r="AU39" i="34" s="1"/>
  <c r="AU33" i="34"/>
  <c r="AV31" i="34" s="1"/>
  <c r="V4" i="13"/>
  <c r="T252" i="22"/>
  <c r="U250" i="22" s="1"/>
  <c r="U251" i="22" s="1"/>
  <c r="U253" i="22" s="1"/>
  <c r="U254" i="22" s="1"/>
  <c r="T14" i="23"/>
  <c r="T24" i="23" s="1"/>
  <c r="T25" i="23" s="1"/>
  <c r="W61" i="34"/>
  <c r="X51" i="34"/>
  <c r="V38" i="13"/>
  <c r="V44" i="13" s="1"/>
  <c r="V46" i="13" s="1"/>
  <c r="V56" i="13" s="1"/>
  <c r="V57" i="13" s="1"/>
  <c r="V61" i="13"/>
  <c r="Y44" i="34"/>
  <c r="Y45" i="34" s="1"/>
  <c r="Z43" i="34" s="1"/>
  <c r="W15" i="13" l="1"/>
  <c r="W14" i="13" s="1"/>
  <c r="W28" i="13" s="1"/>
  <c r="U4" i="43"/>
  <c r="U39" i="43" s="1"/>
  <c r="U42" i="43" s="1"/>
  <c r="V5" i="43" s="1"/>
  <c r="Y18" i="13"/>
  <c r="Y15" i="13" s="1"/>
  <c r="Y18" i="43"/>
  <c r="N42" i="43"/>
  <c r="S5" i="43" s="1"/>
  <c r="S4" i="43"/>
  <c r="W15" i="43"/>
  <c r="S18" i="43"/>
  <c r="V61" i="43"/>
  <c r="V38" i="43"/>
  <c r="V44" i="43" s="1"/>
  <c r="V46" i="43" s="1"/>
  <c r="V56" i="43" s="1"/>
  <c r="V57" i="43" s="1"/>
  <c r="V29" i="43"/>
  <c r="BZ16" i="34"/>
  <c r="BZ49" i="34" s="1"/>
  <c r="CH52" i="34"/>
  <c r="CG59" i="34"/>
  <c r="CG40" i="34" s="1"/>
  <c r="CB14" i="34"/>
  <c r="CB24" i="34" s="1"/>
  <c r="CC7" i="34"/>
  <c r="CB6" i="34"/>
  <c r="CD55" i="34"/>
  <c r="CC60" i="34"/>
  <c r="CC58" i="34" s="1"/>
  <c r="CC20" i="34" s="1"/>
  <c r="CA35" i="34"/>
  <c r="CA13" i="34"/>
  <c r="CA15" i="34"/>
  <c r="BY29" i="34"/>
  <c r="BY30" i="34" s="1"/>
  <c r="BY25" i="34"/>
  <c r="BY26" i="34" s="1"/>
  <c r="BY27" i="34" s="1"/>
  <c r="BX25" i="34"/>
  <c r="BX26" i="34" s="1"/>
  <c r="BX27" i="34" s="1"/>
  <c r="BX29" i="34"/>
  <c r="BX30" i="34" s="1"/>
  <c r="AU41" i="34"/>
  <c r="AU42" i="34" s="1"/>
  <c r="AU38" i="34" s="1"/>
  <c r="AU50" i="34" s="1"/>
  <c r="AV32" i="34"/>
  <c r="AV28" i="34" s="1"/>
  <c r="AU37" i="34"/>
  <c r="V39" i="13"/>
  <c r="V42" i="13" s="1"/>
  <c r="W5" i="13" s="1"/>
  <c r="U252" i="22"/>
  <c r="V250" i="22" s="1"/>
  <c r="V251" i="22" s="1"/>
  <c r="V253" i="22" s="1"/>
  <c r="V254" i="22" s="1"/>
  <c r="Z44" i="34"/>
  <c r="Z45" i="34" s="1"/>
  <c r="AA43" i="34" s="1"/>
  <c r="Y51" i="34"/>
  <c r="X61" i="34"/>
  <c r="V62" i="13"/>
  <c r="V63" i="13"/>
  <c r="CA16" i="34" l="1"/>
  <c r="BZ47" i="34"/>
  <c r="V4" i="43"/>
  <c r="V39" i="43" s="1"/>
  <c r="S15" i="13"/>
  <c r="S14" i="13" s="1"/>
  <c r="S28" i="13" s="1"/>
  <c r="Z18" i="13"/>
  <c r="Z15" i="13" s="1"/>
  <c r="Z14" i="13" s="1"/>
  <c r="Z28" i="13" s="1"/>
  <c r="Z38" i="13" s="1"/>
  <c r="Z44" i="13" s="1"/>
  <c r="Z46" i="13" s="1"/>
  <c r="Z56" i="13" s="1"/>
  <c r="Z18" i="43"/>
  <c r="Z15" i="43" s="1"/>
  <c r="Z14" i="43" s="1"/>
  <c r="Z28" i="43" s="1"/>
  <c r="Y15" i="43"/>
  <c r="W14" i="43"/>
  <c r="W28" i="43" s="1"/>
  <c r="W29" i="43" s="1"/>
  <c r="S15" i="43"/>
  <c r="S14" i="43" s="1"/>
  <c r="V62" i="43"/>
  <c r="V63" i="43"/>
  <c r="BZ19" i="34"/>
  <c r="BZ18" i="34"/>
  <c r="BZ36" i="34"/>
  <c r="BZ17" i="34"/>
  <c r="CH59" i="34"/>
  <c r="CH40" i="34" s="1"/>
  <c r="CI52" i="34"/>
  <c r="CA47" i="34"/>
  <c r="CA17" i="34"/>
  <c r="CA49" i="34"/>
  <c r="CA36" i="34"/>
  <c r="CA18" i="34"/>
  <c r="CA19" i="34"/>
  <c r="CC6" i="34"/>
  <c r="CC14" i="34"/>
  <c r="CC24" i="34" s="1"/>
  <c r="CD7" i="34"/>
  <c r="AV33" i="34"/>
  <c r="AW31" i="34" s="1"/>
  <c r="AW32" i="34" s="1"/>
  <c r="AW28" i="34" s="1"/>
  <c r="CE55" i="34"/>
  <c r="CD60" i="34"/>
  <c r="CD58" i="34" s="1"/>
  <c r="CD20" i="34" s="1"/>
  <c r="CB15" i="34"/>
  <c r="CB13" i="34"/>
  <c r="CB35" i="34"/>
  <c r="AU46" i="34"/>
  <c r="AV34" i="34"/>
  <c r="AV39" i="34" s="1"/>
  <c r="W4" i="13"/>
  <c r="W61" i="13"/>
  <c r="W38" i="13"/>
  <c r="W44" i="13" s="1"/>
  <c r="W46" i="13" s="1"/>
  <c r="W56" i="13" s="1"/>
  <c r="W57" i="13" s="1"/>
  <c r="W29" i="13"/>
  <c r="AA44" i="34"/>
  <c r="AA45" i="34" s="1"/>
  <c r="AB43" i="34" s="1"/>
  <c r="Y14" i="13"/>
  <c r="Y28" i="13" s="1"/>
  <c r="Z51" i="34"/>
  <c r="Y61" i="34"/>
  <c r="V252" i="22"/>
  <c r="W250" i="22" s="1"/>
  <c r="BZ29" i="34" l="1"/>
  <c r="BZ30" i="34" s="1"/>
  <c r="CB16" i="34"/>
  <c r="BZ25" i="34"/>
  <c r="BZ26" i="34" s="1"/>
  <c r="BZ27" i="34" s="1"/>
  <c r="Z61" i="13"/>
  <c r="Z62" i="13" s="1"/>
  <c r="S28" i="43"/>
  <c r="V42" i="43"/>
  <c r="W5" i="43" s="1"/>
  <c r="W4" i="43"/>
  <c r="W61" i="43"/>
  <c r="W38" i="43"/>
  <c r="W44" i="43" s="1"/>
  <c r="W46" i="43" s="1"/>
  <c r="W56" i="43" s="1"/>
  <c r="W57" i="43" s="1"/>
  <c r="Z61" i="43"/>
  <c r="Z38" i="43"/>
  <c r="Z44" i="43" s="1"/>
  <c r="Z46" i="43" s="1"/>
  <c r="Z56" i="43" s="1"/>
  <c r="Y14" i="43"/>
  <c r="Y28" i="43" s="1"/>
  <c r="CJ52" i="34"/>
  <c r="CI59" i="34"/>
  <c r="CI40" i="34" s="1"/>
  <c r="AW33" i="34"/>
  <c r="AX31" i="34" s="1"/>
  <c r="AX32" i="34" s="1"/>
  <c r="AX28" i="34" s="1"/>
  <c r="CD6" i="34"/>
  <c r="CD14" i="34"/>
  <c r="CD24" i="34" s="1"/>
  <c r="CE7" i="34"/>
  <c r="CB18" i="34"/>
  <c r="CB17" i="34"/>
  <c r="CB19" i="34"/>
  <c r="CB36" i="34"/>
  <c r="CB49" i="34"/>
  <c r="CB47" i="34"/>
  <c r="AV37" i="34"/>
  <c r="CE60" i="34"/>
  <c r="CE58" i="34" s="1"/>
  <c r="CE20" i="34" s="1"/>
  <c r="CF55" i="34"/>
  <c r="CC13" i="34"/>
  <c r="CC35" i="34"/>
  <c r="CC15" i="34"/>
  <c r="CA25" i="34"/>
  <c r="CA26" i="34" s="1"/>
  <c r="CA27" i="34" s="1"/>
  <c r="CA29" i="34"/>
  <c r="CA30" i="34" s="1"/>
  <c r="AV41" i="34"/>
  <c r="AV42" i="34" s="1"/>
  <c r="AV38" i="34" s="1"/>
  <c r="AW34" i="34"/>
  <c r="AW39" i="34" s="1"/>
  <c r="W39" i="13"/>
  <c r="Y4" i="13" s="1"/>
  <c r="AB44" i="34"/>
  <c r="AB45" i="34" s="1"/>
  <c r="AC43" i="34" s="1"/>
  <c r="Y38" i="13"/>
  <c r="Y44" i="13" s="1"/>
  <c r="Y46" i="13" s="1"/>
  <c r="Y56" i="13" s="1"/>
  <c r="Y57" i="13" s="1"/>
  <c r="Z57" i="13" s="1"/>
  <c r="Y61" i="13"/>
  <c r="S38" i="13"/>
  <c r="F47" i="29"/>
  <c r="S29" i="13"/>
  <c r="Y29" i="13"/>
  <c r="U14" i="23"/>
  <c r="U24" i="23" s="1"/>
  <c r="U25" i="23" s="1"/>
  <c r="W251" i="22"/>
  <c r="W253" i="22" s="1"/>
  <c r="W254" i="22" s="1"/>
  <c r="W62" i="13"/>
  <c r="X63" i="13"/>
  <c r="W63" i="13"/>
  <c r="Z61" i="34"/>
  <c r="AA51" i="34"/>
  <c r="CB29" i="34" l="1"/>
  <c r="CB30" i="34" s="1"/>
  <c r="Z63" i="13"/>
  <c r="Z62" i="43"/>
  <c r="Y38" i="43"/>
  <c r="Y44" i="43" s="1"/>
  <c r="Y46" i="43" s="1"/>
  <c r="Y56" i="43" s="1"/>
  <c r="Y57" i="43" s="1"/>
  <c r="Z57" i="43" s="1"/>
  <c r="Y61" i="43"/>
  <c r="Z63" i="43" s="1"/>
  <c r="W62" i="43"/>
  <c r="W63" i="43"/>
  <c r="X63" i="43"/>
  <c r="S38" i="43"/>
  <c r="S29" i="43"/>
  <c r="J2" i="39" s="1"/>
  <c r="AA18" i="13"/>
  <c r="AA15" i="13" s="1"/>
  <c r="AA18" i="43"/>
  <c r="W39" i="43"/>
  <c r="Y29" i="43"/>
  <c r="Z29" i="43" s="1"/>
  <c r="W42" i="13"/>
  <c r="Y5" i="13" s="1"/>
  <c r="CB25" i="34"/>
  <c r="CB26" i="34" s="1"/>
  <c r="CB27" i="34" s="1"/>
  <c r="CJ59" i="34"/>
  <c r="CJ40" i="34" s="1"/>
  <c r="CK52" i="34"/>
  <c r="CD35" i="34"/>
  <c r="CD15" i="34"/>
  <c r="CD13" i="34"/>
  <c r="CF60" i="34"/>
  <c r="CF58" i="34" s="1"/>
  <c r="CF20" i="34" s="1"/>
  <c r="CG55" i="34"/>
  <c r="CC16" i="34"/>
  <c r="CE14" i="34"/>
  <c r="CE24" i="34" s="1"/>
  <c r="CF7" i="34"/>
  <c r="CE6" i="34"/>
  <c r="AV50" i="34"/>
  <c r="AV46" i="34"/>
  <c r="AX33" i="34"/>
  <c r="AY31" i="34" s="1"/>
  <c r="AW41" i="34"/>
  <c r="AW42" i="34" s="1"/>
  <c r="AW38" i="34" s="1"/>
  <c r="AX34" i="34"/>
  <c r="AX39" i="34" s="1"/>
  <c r="AW37" i="34"/>
  <c r="Y39" i="13"/>
  <c r="Z4" i="13" s="1"/>
  <c r="Z39" i="13" s="1"/>
  <c r="S44" i="13"/>
  <c r="S46" i="13" s="1"/>
  <c r="S39" i="13"/>
  <c r="AC44" i="34"/>
  <c r="AC45" i="34" s="1"/>
  <c r="AD43" i="34" s="1"/>
  <c r="F49" i="29"/>
  <c r="F50" i="29"/>
  <c r="W252" i="22"/>
  <c r="X250" i="22" s="1"/>
  <c r="Z29" i="13"/>
  <c r="V14" i="23"/>
  <c r="V24" i="23" s="1"/>
  <c r="V25" i="23" s="1"/>
  <c r="AB51" i="34"/>
  <c r="AA61" i="34"/>
  <c r="Y62" i="13"/>
  <c r="Y63" i="13"/>
  <c r="AA15" i="43" l="1"/>
  <c r="W42" i="43"/>
  <c r="Y5" i="43" s="1"/>
  <c r="Y4" i="43"/>
  <c r="Y39" i="43" s="1"/>
  <c r="S44" i="43"/>
  <c r="S46" i="43" s="1"/>
  <c r="S39" i="43"/>
  <c r="Y62" i="43"/>
  <c r="Y63" i="43"/>
  <c r="CD16" i="34"/>
  <c r="CD18" i="34" s="1"/>
  <c r="CK59" i="34"/>
  <c r="CK40" i="34" s="1"/>
  <c r="CL52" i="34"/>
  <c r="CG7" i="34"/>
  <c r="CF6" i="34"/>
  <c r="CF14" i="34"/>
  <c r="CF24" i="34" s="1"/>
  <c r="AX37" i="34"/>
  <c r="CC49" i="34"/>
  <c r="CC18" i="34"/>
  <c r="CC36" i="34"/>
  <c r="CC17" i="34"/>
  <c r="CC19" i="34"/>
  <c r="CC47" i="34"/>
  <c r="CE13" i="34"/>
  <c r="CE15" i="34"/>
  <c r="CE35" i="34"/>
  <c r="CG60" i="34"/>
  <c r="CG58" i="34" s="1"/>
  <c r="CG20" i="34" s="1"/>
  <c r="CH55" i="34"/>
  <c r="AW50" i="34"/>
  <c r="AW46" i="34"/>
  <c r="AX41" i="34"/>
  <c r="AX42" i="34" s="1"/>
  <c r="AX38" i="34" s="1"/>
  <c r="AY32" i="34"/>
  <c r="AY28" i="34" s="1"/>
  <c r="Y42" i="13"/>
  <c r="Z5" i="13" s="1"/>
  <c r="AD44" i="34"/>
  <c r="AD45" i="34" s="1"/>
  <c r="AE43" i="34" s="1"/>
  <c r="X251" i="22"/>
  <c r="X253" i="22" s="1"/>
  <c r="X254" i="22" s="1"/>
  <c r="W14" i="23"/>
  <c r="W24" i="23" s="1"/>
  <c r="W25" i="23" s="1"/>
  <c r="AA14" i="13"/>
  <c r="AA28" i="13" s="1"/>
  <c r="AA29" i="13" s="1"/>
  <c r="AA4" i="13"/>
  <c r="Z42" i="13"/>
  <c r="AA5" i="13" s="1"/>
  <c r="S42" i="13"/>
  <c r="X5" i="13" s="1"/>
  <c r="X4" i="13"/>
  <c r="F57" i="29"/>
  <c r="AC51" i="34"/>
  <c r="AB61" i="34"/>
  <c r="CD49" i="34" l="1"/>
  <c r="CD47" i="34"/>
  <c r="CD17" i="34"/>
  <c r="CD19" i="34"/>
  <c r="CD29" i="34" s="1"/>
  <c r="CD30" i="34" s="1"/>
  <c r="CD36" i="34"/>
  <c r="AB18" i="13"/>
  <c r="X18" i="13" s="1"/>
  <c r="AB18" i="43"/>
  <c r="AA14" i="43"/>
  <c r="AA28" i="43" s="1"/>
  <c r="Y42" i="43"/>
  <c r="Z5" i="43" s="1"/>
  <c r="Z4" i="43"/>
  <c r="Z39" i="43" s="1"/>
  <c r="S42" i="43"/>
  <c r="X5" i="43" s="1"/>
  <c r="X4" i="43"/>
  <c r="CE16" i="34"/>
  <c r="CE18" i="34" s="1"/>
  <c r="CM52" i="34"/>
  <c r="CL59" i="34"/>
  <c r="CL40" i="34" s="1"/>
  <c r="CE17" i="34"/>
  <c r="CI55" i="34"/>
  <c r="CH60" i="34"/>
  <c r="CH58" i="34" s="1"/>
  <c r="CH20" i="34" s="1"/>
  <c r="CC25" i="34"/>
  <c r="CC26" i="34" s="1"/>
  <c r="CC27" i="34" s="1"/>
  <c r="CC29" i="34"/>
  <c r="CC30" i="34" s="1"/>
  <c r="CF15" i="34"/>
  <c r="CF35" i="34"/>
  <c r="CF13" i="34"/>
  <c r="CF16" i="34" s="1"/>
  <c r="CG6" i="34"/>
  <c r="CG14" i="34"/>
  <c r="CG24" i="34" s="1"/>
  <c r="CH7" i="34"/>
  <c r="AX50" i="34"/>
  <c r="AX46" i="34"/>
  <c r="AY34" i="34"/>
  <c r="AY39" i="34" s="1"/>
  <c r="AY33" i="34"/>
  <c r="AZ31" i="34" s="1"/>
  <c r="X252" i="22"/>
  <c r="Y250" i="22" s="1"/>
  <c r="Y251" i="22" s="1"/>
  <c r="Y253" i="22" s="1"/>
  <c r="Y254" i="22" s="1"/>
  <c r="X14" i="23"/>
  <c r="X24" i="23" s="1"/>
  <c r="X25" i="23" s="1"/>
  <c r="AE44" i="34"/>
  <c r="AE45" i="34" s="1"/>
  <c r="AF43" i="34" s="1"/>
  <c r="AD51" i="34"/>
  <c r="AC61" i="34"/>
  <c r="AA38" i="13"/>
  <c r="AA44" i="13" s="1"/>
  <c r="AA46" i="13" s="1"/>
  <c r="AA56" i="13" s="1"/>
  <c r="AA57" i="13" s="1"/>
  <c r="AA61" i="13"/>
  <c r="CD25" i="34" l="1"/>
  <c r="CD26" i="34" s="1"/>
  <c r="CD27" i="34" s="1"/>
  <c r="AB15" i="13"/>
  <c r="AB14" i="13" s="1"/>
  <c r="AB28" i="13" s="1"/>
  <c r="CE49" i="34"/>
  <c r="CE36" i="34"/>
  <c r="Z42" i="43"/>
  <c r="AA5" i="43" s="1"/>
  <c r="AA4" i="43"/>
  <c r="AB15" i="43"/>
  <c r="X18" i="43"/>
  <c r="AD18" i="13"/>
  <c r="AD15" i="13" s="1"/>
  <c r="AD18" i="43"/>
  <c r="AA61" i="43"/>
  <c r="AA38" i="43"/>
  <c r="AA44" i="43" s="1"/>
  <c r="AA46" i="43" s="1"/>
  <c r="AA56" i="43" s="1"/>
  <c r="AA57" i="43" s="1"/>
  <c r="AA29" i="43"/>
  <c r="CE47" i="34"/>
  <c r="CE19" i="34"/>
  <c r="CE29" i="34" s="1"/>
  <c r="CE30" i="34" s="1"/>
  <c r="CN52" i="34"/>
  <c r="CM59" i="34"/>
  <c r="CM40" i="34" s="1"/>
  <c r="CI7" i="34"/>
  <c r="CH14" i="34"/>
  <c r="CH24" i="34" s="1"/>
  <c r="CH6" i="34"/>
  <c r="CF47" i="34"/>
  <c r="CF49" i="34"/>
  <c r="CF36" i="34"/>
  <c r="CF18" i="34"/>
  <c r="CF17" i="34"/>
  <c r="CF19" i="34"/>
  <c r="CI60" i="34"/>
  <c r="CI58" i="34" s="1"/>
  <c r="CI20" i="34" s="1"/>
  <c r="CJ55" i="34"/>
  <c r="CG15" i="34"/>
  <c r="CG13" i="34"/>
  <c r="CG35" i="34"/>
  <c r="AZ32" i="34"/>
  <c r="AZ28" i="34" s="1"/>
  <c r="AY37" i="34"/>
  <c r="AY41" i="34"/>
  <c r="AY42" i="34" s="1"/>
  <c r="AY38" i="34" s="1"/>
  <c r="AY50" i="34" s="1"/>
  <c r="AA39" i="13"/>
  <c r="AA42" i="13" s="1"/>
  <c r="AB5" i="13" s="1"/>
  <c r="AF44" i="34"/>
  <c r="AF45" i="34" s="1"/>
  <c r="AG43" i="34" s="1"/>
  <c r="Y252" i="22"/>
  <c r="Z250" i="22" s="1"/>
  <c r="AA62" i="13"/>
  <c r="AA63" i="13"/>
  <c r="AE51" i="34"/>
  <c r="AD61" i="34"/>
  <c r="CE25" i="34" l="1"/>
  <c r="CE26" i="34" s="1"/>
  <c r="CE27" i="34" s="1"/>
  <c r="X15" i="13"/>
  <c r="X14" i="13" s="1"/>
  <c r="X28" i="13" s="1"/>
  <c r="CF29" i="34"/>
  <c r="CF30" i="34" s="1"/>
  <c r="AA39" i="43"/>
  <c r="AA42" i="43" s="1"/>
  <c r="AB5" i="43" s="1"/>
  <c r="AB14" i="43"/>
  <c r="AB28" i="43" s="1"/>
  <c r="AB29" i="43" s="1"/>
  <c r="X15" i="43"/>
  <c r="X14" i="43" s="1"/>
  <c r="AD15" i="43"/>
  <c r="AA62" i="43"/>
  <c r="AA63" i="43"/>
  <c r="CG16" i="34"/>
  <c r="CG19" i="34" s="1"/>
  <c r="CF25" i="34"/>
  <c r="CF26" i="34" s="1"/>
  <c r="CF27" i="34" s="1"/>
  <c r="AZ33" i="34"/>
  <c r="BA31" i="34" s="1"/>
  <c r="CN59" i="34"/>
  <c r="CN40" i="34" s="1"/>
  <c r="CO52" i="34"/>
  <c r="CJ60" i="34"/>
  <c r="CJ58" i="34" s="1"/>
  <c r="CJ20" i="34" s="1"/>
  <c r="CK55" i="34"/>
  <c r="CH13" i="34"/>
  <c r="CH35" i="34"/>
  <c r="CH15" i="34"/>
  <c r="CI6" i="34"/>
  <c r="CJ7" i="34"/>
  <c r="CI14" i="34"/>
  <c r="CI24" i="34" s="1"/>
  <c r="AZ34" i="34"/>
  <c r="AZ39" i="34" s="1"/>
  <c r="BA32" i="34"/>
  <c r="BA28" i="34" s="1"/>
  <c r="AY46" i="34"/>
  <c r="AB4" i="13"/>
  <c r="Z251" i="22"/>
  <c r="Z253" i="22" s="1"/>
  <c r="Z254" i="22" s="1"/>
  <c r="AG44" i="34"/>
  <c r="AG45" i="34" s="1"/>
  <c r="AH43" i="34" s="1"/>
  <c r="AF51" i="34"/>
  <c r="AE61" i="34"/>
  <c r="AD14" i="13"/>
  <c r="AD28" i="13" s="1"/>
  <c r="AB61" i="13"/>
  <c r="AB38" i="13"/>
  <c r="AB44" i="13" s="1"/>
  <c r="AB46" i="13" s="1"/>
  <c r="AB56" i="13" s="1"/>
  <c r="AB57" i="13" s="1"/>
  <c r="AB29" i="13"/>
  <c r="CG17" i="34" l="1"/>
  <c r="CG47" i="34"/>
  <c r="CG49" i="34"/>
  <c r="CG18" i="34"/>
  <c r="CG29" i="34" s="1"/>
  <c r="CG30" i="34" s="1"/>
  <c r="CG36" i="34"/>
  <c r="AB4" i="43"/>
  <c r="AE18" i="13"/>
  <c r="AE15" i="13" s="1"/>
  <c r="AE18" i="43"/>
  <c r="AD14" i="43"/>
  <c r="AD28" i="43" s="1"/>
  <c r="AD29" i="43" s="1"/>
  <c r="X28" i="43"/>
  <c r="AB61" i="43"/>
  <c r="AB38" i="43"/>
  <c r="AB44" i="43" s="1"/>
  <c r="AB46" i="43" s="1"/>
  <c r="AB56" i="43" s="1"/>
  <c r="AB57" i="43" s="1"/>
  <c r="CO59" i="34"/>
  <c r="CO40" i="34" s="1"/>
  <c r="CP52" i="34"/>
  <c r="CI13" i="34"/>
  <c r="CI15" i="34"/>
  <c r="CI35" i="34"/>
  <c r="CK60" i="34"/>
  <c r="CK58" i="34" s="1"/>
  <c r="CK20" i="34" s="1"/>
  <c r="CL55" i="34"/>
  <c r="AZ37" i="34"/>
  <c r="CJ6" i="34"/>
  <c r="CK7" i="34"/>
  <c r="CJ14" i="34"/>
  <c r="CJ24" i="34" s="1"/>
  <c r="CH16" i="34"/>
  <c r="BA34" i="34"/>
  <c r="BA39" i="34" s="1"/>
  <c r="AZ41" i="34"/>
  <c r="AZ42" i="34" s="1"/>
  <c r="AZ38" i="34" s="1"/>
  <c r="BA33" i="34"/>
  <c r="BB31" i="34" s="1"/>
  <c r="Z252" i="22"/>
  <c r="AA250" i="22" s="1"/>
  <c r="AA251" i="22" s="1"/>
  <c r="AA253" i="22" s="1"/>
  <c r="AA254" i="22" s="1"/>
  <c r="G47" i="29"/>
  <c r="X38" i="13"/>
  <c r="X29" i="13"/>
  <c r="Y14" i="23"/>
  <c r="Y24" i="23" s="1"/>
  <c r="Y25" i="23" s="1"/>
  <c r="AD29" i="13"/>
  <c r="AH44" i="34"/>
  <c r="AH45" i="34" s="1"/>
  <c r="AI43" i="34" s="1"/>
  <c r="AG51" i="34"/>
  <c r="AF61" i="34"/>
  <c r="AB39" i="13"/>
  <c r="AD61" i="13"/>
  <c r="AD38" i="13"/>
  <c r="AD44" i="13" s="1"/>
  <c r="AD46" i="13" s="1"/>
  <c r="AD56" i="13" s="1"/>
  <c r="AD57" i="13" s="1"/>
  <c r="AB62" i="13"/>
  <c r="AC63" i="13"/>
  <c r="AB63" i="13"/>
  <c r="CG25" i="34" l="1"/>
  <c r="CG26" i="34" s="1"/>
  <c r="CG27" i="34" s="1"/>
  <c r="CI16" i="34"/>
  <c r="AB39" i="43"/>
  <c r="AB42" i="43" s="1"/>
  <c r="AD5" i="43" s="1"/>
  <c r="AF18" i="13"/>
  <c r="AF15" i="13" s="1"/>
  <c r="AF14" i="13" s="1"/>
  <c r="AF28" i="13" s="1"/>
  <c r="AF61" i="13" s="1"/>
  <c r="AF18" i="43"/>
  <c r="AF15" i="43" s="1"/>
  <c r="AF14" i="43" s="1"/>
  <c r="AF28" i="43" s="1"/>
  <c r="AE15" i="43"/>
  <c r="AD61" i="43"/>
  <c r="AD38" i="43"/>
  <c r="AD44" i="43" s="1"/>
  <c r="AD46" i="43" s="1"/>
  <c r="AD56" i="43" s="1"/>
  <c r="AD57" i="43" s="1"/>
  <c r="AB62" i="43"/>
  <c r="AC63" i="43"/>
  <c r="AB63" i="43"/>
  <c r="X38" i="43"/>
  <c r="X29" i="43"/>
  <c r="K2" i="39" s="1"/>
  <c r="CP59" i="34"/>
  <c r="CP40" i="34" s="1"/>
  <c r="CQ52" i="34"/>
  <c r="CK6" i="34"/>
  <c r="CL7" i="34"/>
  <c r="CK14" i="34"/>
  <c r="CK24" i="34" s="1"/>
  <c r="CI18" i="34"/>
  <c r="CI19" i="34"/>
  <c r="CI49" i="34"/>
  <c r="CI17" i="34"/>
  <c r="CI36" i="34"/>
  <c r="CI47" i="34"/>
  <c r="CJ13" i="34"/>
  <c r="CJ35" i="34"/>
  <c r="CJ15" i="34"/>
  <c r="CM55" i="34"/>
  <c r="CL60" i="34"/>
  <c r="CL58" i="34" s="1"/>
  <c r="CL20" i="34" s="1"/>
  <c r="CH36" i="34"/>
  <c r="CH19" i="34"/>
  <c r="CH47" i="34"/>
  <c r="CH18" i="34"/>
  <c r="CH17" i="34"/>
  <c r="CH49" i="34"/>
  <c r="AZ46" i="34"/>
  <c r="AZ50" i="34"/>
  <c r="BB32" i="34"/>
  <c r="BB28" i="34" s="1"/>
  <c r="BA41" i="34"/>
  <c r="BA42" i="34" s="1"/>
  <c r="BA38" i="34" s="1"/>
  <c r="BA37" i="34"/>
  <c r="AI44" i="34"/>
  <c r="AI45" i="34" s="1"/>
  <c r="AJ43" i="34" s="1"/>
  <c r="AB42" i="13"/>
  <c r="AD5" i="13" s="1"/>
  <c r="AD4" i="13"/>
  <c r="AD39" i="13" s="1"/>
  <c r="AG61" i="34"/>
  <c r="AH51" i="34"/>
  <c r="X44" i="13"/>
  <c r="X46" i="13" s="1"/>
  <c r="X39" i="13"/>
  <c r="Z14" i="23"/>
  <c r="Z24" i="23" s="1"/>
  <c r="Z25" i="23" s="1"/>
  <c r="G49" i="29"/>
  <c r="G50" i="29"/>
  <c r="AD62" i="13"/>
  <c r="AD63" i="13"/>
  <c r="AE14" i="13"/>
  <c r="AE28" i="13" s="1"/>
  <c r="AA252" i="22"/>
  <c r="AB250" i="22" s="1"/>
  <c r="CI25" i="34" l="1"/>
  <c r="CI26" i="34" s="1"/>
  <c r="CI27" i="34" s="1"/>
  <c r="AF38" i="13"/>
  <c r="AF44" i="13" s="1"/>
  <c r="AF46" i="13" s="1"/>
  <c r="AF56" i="13" s="1"/>
  <c r="AD4" i="43"/>
  <c r="AD39" i="43" s="1"/>
  <c r="AD62" i="43"/>
  <c r="AD63" i="43"/>
  <c r="X44" i="43"/>
  <c r="X46" i="43" s="1"/>
  <c r="X39" i="43"/>
  <c r="AF61" i="43"/>
  <c r="AF38" i="43"/>
  <c r="AF44" i="43" s="1"/>
  <c r="AF46" i="43" s="1"/>
  <c r="AF56" i="43" s="1"/>
  <c r="AE14" i="43"/>
  <c r="AE28" i="43" s="1"/>
  <c r="CH25" i="34"/>
  <c r="CH26" i="34" s="1"/>
  <c r="CH27" i="34" s="1"/>
  <c r="CI29" i="34"/>
  <c r="CI30" i="34" s="1"/>
  <c r="CQ59" i="34"/>
  <c r="CQ40" i="34" s="1"/>
  <c r="CR52" i="34"/>
  <c r="CH29" i="34"/>
  <c r="CH30" i="34" s="1"/>
  <c r="CM7" i="34"/>
  <c r="CL6" i="34"/>
  <c r="CL14" i="34"/>
  <c r="CL24" i="34" s="1"/>
  <c r="CK35" i="34"/>
  <c r="CK13" i="34"/>
  <c r="CK15" i="34"/>
  <c r="CJ16" i="34"/>
  <c r="CN55" i="34"/>
  <c r="CM60" i="34"/>
  <c r="CM58" i="34" s="1"/>
  <c r="CM20" i="34" s="1"/>
  <c r="BA50" i="34"/>
  <c r="BA46" i="34"/>
  <c r="BB33" i="34"/>
  <c r="BC31" i="34" s="1"/>
  <c r="BB34" i="34"/>
  <c r="BB39" i="34" s="1"/>
  <c r="AJ44" i="34"/>
  <c r="AJ45" i="34" s="1"/>
  <c r="AK43" i="34" s="1"/>
  <c r="AE38" i="13"/>
  <c r="AE44" i="13" s="1"/>
  <c r="AE46" i="13" s="1"/>
  <c r="AE56" i="13" s="1"/>
  <c r="AE57" i="13" s="1"/>
  <c r="AE61" i="13"/>
  <c r="AF63" i="13" s="1"/>
  <c r="AC4" i="13"/>
  <c r="X42" i="13"/>
  <c r="AC5" i="13" s="1"/>
  <c r="AD42" i="13"/>
  <c r="AE5" i="13" s="1"/>
  <c r="AE4" i="13"/>
  <c r="G57" i="29"/>
  <c r="AB251" i="22"/>
  <c r="AB253" i="22" s="1"/>
  <c r="AB254" i="22" s="1"/>
  <c r="AF62" i="13"/>
  <c r="AH61" i="34"/>
  <c r="AI51" i="34"/>
  <c r="AE29" i="13"/>
  <c r="AF57" i="13" l="1"/>
  <c r="AE61" i="43"/>
  <c r="AF63" i="43" s="1"/>
  <c r="AE38" i="43"/>
  <c r="AE44" i="43" s="1"/>
  <c r="AE46" i="43" s="1"/>
  <c r="AE56" i="43" s="1"/>
  <c r="AE57" i="43" s="1"/>
  <c r="AF57" i="43" s="1"/>
  <c r="AE29" i="43"/>
  <c r="AF29" i="43" s="1"/>
  <c r="AC4" i="43"/>
  <c r="X42" i="43"/>
  <c r="AC5" i="43" s="1"/>
  <c r="AF62" i="43"/>
  <c r="AD42" i="43"/>
  <c r="AE5" i="43" s="1"/>
  <c r="AE4" i="43"/>
  <c r="AG18" i="13"/>
  <c r="AC18" i="13" s="1"/>
  <c r="AG18" i="43"/>
  <c r="BB37" i="34"/>
  <c r="CR59" i="34"/>
  <c r="CR40" i="34" s="1"/>
  <c r="CS52" i="34"/>
  <c r="CL13" i="34"/>
  <c r="CL15" i="34"/>
  <c r="CL35" i="34"/>
  <c r="CK16" i="34"/>
  <c r="CN7" i="34"/>
  <c r="CM14" i="34"/>
  <c r="CM24" i="34" s="1"/>
  <c r="CM6" i="34"/>
  <c r="CN60" i="34"/>
  <c r="CN58" i="34" s="1"/>
  <c r="CN20" i="34" s="1"/>
  <c r="CO55" i="34"/>
  <c r="CJ47" i="34"/>
  <c r="CJ17" i="34"/>
  <c r="CJ19" i="34"/>
  <c r="CJ36" i="34"/>
  <c r="CJ18" i="34"/>
  <c r="CJ49" i="34"/>
  <c r="BC32" i="34"/>
  <c r="BC28" i="34" s="1"/>
  <c r="BB41" i="34"/>
  <c r="BB42" i="34" s="1"/>
  <c r="BB38" i="34" s="1"/>
  <c r="AB252" i="22"/>
  <c r="AC250" i="22" s="1"/>
  <c r="AC251" i="22" s="1"/>
  <c r="AC253" i="22" s="1"/>
  <c r="AC254" i="22" s="1"/>
  <c r="AF29" i="13"/>
  <c r="AA14" i="23"/>
  <c r="AA24" i="23" s="1"/>
  <c r="AA25" i="23" s="1"/>
  <c r="AK44" i="34"/>
  <c r="AK45" i="34" s="1"/>
  <c r="AL43" i="34" s="1"/>
  <c r="AJ51" i="34"/>
  <c r="AI61" i="34"/>
  <c r="AE62" i="13"/>
  <c r="AE63" i="13"/>
  <c r="AE39" i="13"/>
  <c r="AG15" i="13" l="1"/>
  <c r="AC15" i="13" s="1"/>
  <c r="AC14" i="13" s="1"/>
  <c r="CL16" i="34"/>
  <c r="AI18" i="13"/>
  <c r="AI15" i="13" s="1"/>
  <c r="AI18" i="43"/>
  <c r="AG15" i="43"/>
  <c r="AC18" i="43"/>
  <c r="AE39" i="43"/>
  <c r="AE62" i="43"/>
  <c r="AE63" i="43"/>
  <c r="CS59" i="34"/>
  <c r="CS40" i="34" s="1"/>
  <c r="CT52" i="34"/>
  <c r="CO60" i="34"/>
  <c r="CO58" i="34" s="1"/>
  <c r="CO20" i="34" s="1"/>
  <c r="CP55" i="34"/>
  <c r="CN6" i="34"/>
  <c r="CO7" i="34"/>
  <c r="CN14" i="34"/>
  <c r="CN24" i="34" s="1"/>
  <c r="CK17" i="34"/>
  <c r="CK49" i="34"/>
  <c r="CK47" i="34"/>
  <c r="CK18" i="34"/>
  <c r="CK36" i="34"/>
  <c r="CK19" i="34"/>
  <c r="CJ25" i="34"/>
  <c r="CJ26" i="34" s="1"/>
  <c r="CJ27" i="34" s="1"/>
  <c r="CJ29" i="34"/>
  <c r="CJ30" i="34" s="1"/>
  <c r="CM35" i="34"/>
  <c r="CM15" i="34"/>
  <c r="CM13" i="34"/>
  <c r="CL18" i="34"/>
  <c r="CL19" i="34"/>
  <c r="CL47" i="34"/>
  <c r="CL17" i="34"/>
  <c r="CL36" i="34"/>
  <c r="CL49" i="34"/>
  <c r="BB50" i="34"/>
  <c r="BB46" i="34"/>
  <c r="BC34" i="34"/>
  <c r="BC39" i="34" s="1"/>
  <c r="BC33" i="34"/>
  <c r="BD31" i="34" s="1"/>
  <c r="AE42" i="13"/>
  <c r="AF5" i="13" s="1"/>
  <c r="AF4" i="13"/>
  <c r="AF39" i="13" s="1"/>
  <c r="AB14" i="23"/>
  <c r="AB24" i="23" s="1"/>
  <c r="AB25" i="23" s="1"/>
  <c r="AK51" i="34"/>
  <c r="AJ61" i="34"/>
  <c r="AL44" i="34"/>
  <c r="AL45" i="34" s="1"/>
  <c r="AM43" i="34" s="1"/>
  <c r="AC252" i="22"/>
  <c r="AD250" i="22" s="1"/>
  <c r="AG14" i="13" l="1"/>
  <c r="AG28" i="13" s="1"/>
  <c r="AG29" i="13" s="1"/>
  <c r="AC14" i="23" s="1"/>
  <c r="AC24" i="23" s="1"/>
  <c r="AC25" i="23" s="1"/>
  <c r="AE42" i="43"/>
  <c r="AF5" i="43" s="1"/>
  <c r="AF4" i="43"/>
  <c r="AF39" i="43" s="1"/>
  <c r="AI15" i="43"/>
  <c r="AG14" i="43"/>
  <c r="AG28" i="43" s="1"/>
  <c r="AC15" i="43"/>
  <c r="AC14" i="43" s="1"/>
  <c r="CL29" i="34"/>
  <c r="CL30" i="34" s="1"/>
  <c r="CT59" i="34"/>
  <c r="CT40" i="34" s="1"/>
  <c r="CU52" i="34"/>
  <c r="CL25" i="34"/>
  <c r="CL26" i="34" s="1"/>
  <c r="CL27" i="34" s="1"/>
  <c r="CM16" i="34"/>
  <c r="CK25" i="34"/>
  <c r="CK26" i="34" s="1"/>
  <c r="CK27" i="34" s="1"/>
  <c r="CK29" i="34"/>
  <c r="CK30" i="34" s="1"/>
  <c r="CO6" i="34"/>
  <c r="CO14" i="34"/>
  <c r="CO24" i="34" s="1"/>
  <c r="CP7" i="34"/>
  <c r="BC37" i="34"/>
  <c r="CN35" i="34"/>
  <c r="CN13" i="34"/>
  <c r="CN15" i="34"/>
  <c r="CQ55" i="34"/>
  <c r="CP60" i="34"/>
  <c r="CP58" i="34" s="1"/>
  <c r="CP20" i="34" s="1"/>
  <c r="BC41" i="34"/>
  <c r="BC42" i="34" s="1"/>
  <c r="BC38" i="34" s="1"/>
  <c r="BC50" i="34" s="1"/>
  <c r="BD32" i="34"/>
  <c r="BD28" i="34" s="1"/>
  <c r="AM44" i="34"/>
  <c r="AM45" i="34" s="1"/>
  <c r="AN43" i="34" s="1"/>
  <c r="AC28" i="13"/>
  <c r="AD251" i="22"/>
  <c r="AD253" i="22" s="1"/>
  <c r="AD254" i="22" s="1"/>
  <c r="AF42" i="13"/>
  <c r="AG5" i="13" s="1"/>
  <c r="AG4" i="13"/>
  <c r="AL51" i="34"/>
  <c r="AK61" i="34"/>
  <c r="AI14" i="13"/>
  <c r="AI28" i="13" s="1"/>
  <c r="AG61" i="13" l="1"/>
  <c r="AH63" i="13" s="1"/>
  <c r="AG38" i="13"/>
  <c r="AG44" i="13" s="1"/>
  <c r="AG46" i="13" s="1"/>
  <c r="AG56" i="13" s="1"/>
  <c r="AG57" i="13" s="1"/>
  <c r="AG38" i="43"/>
  <c r="AG44" i="43" s="1"/>
  <c r="AG46" i="43" s="1"/>
  <c r="AG56" i="43" s="1"/>
  <c r="AG57" i="43" s="1"/>
  <c r="AG61" i="43"/>
  <c r="AG29" i="43"/>
  <c r="AF42" i="43"/>
  <c r="AG5" i="43" s="1"/>
  <c r="AG4" i="43"/>
  <c r="AI14" i="43"/>
  <c r="AI28" i="43" s="1"/>
  <c r="AC28" i="43"/>
  <c r="AJ18" i="13"/>
  <c r="AJ15" i="13" s="1"/>
  <c r="AJ18" i="43"/>
  <c r="CN16" i="34"/>
  <c r="CN18" i="34" s="1"/>
  <c r="CU59" i="34"/>
  <c r="CU40" i="34" s="1"/>
  <c r="CV52" i="34"/>
  <c r="CQ7" i="34"/>
  <c r="CP6" i="34"/>
  <c r="CP14" i="34"/>
  <c r="CP24" i="34" s="1"/>
  <c r="CN36" i="34"/>
  <c r="CN19" i="34"/>
  <c r="CN47" i="34"/>
  <c r="CN49" i="34"/>
  <c r="CN17" i="34"/>
  <c r="CQ60" i="34"/>
  <c r="CQ58" i="34" s="1"/>
  <c r="CQ20" i="34" s="1"/>
  <c r="CR55" i="34"/>
  <c r="CO13" i="34"/>
  <c r="CO15" i="34"/>
  <c r="CO35" i="34"/>
  <c r="CM19" i="34"/>
  <c r="CM18" i="34"/>
  <c r="CM47" i="34"/>
  <c r="CM17" i="34"/>
  <c r="CM36" i="34"/>
  <c r="CM49" i="34"/>
  <c r="BD33" i="34"/>
  <c r="BE31" i="34" s="1"/>
  <c r="BD34" i="34"/>
  <c r="BD39" i="34" s="1"/>
  <c r="BC46" i="34"/>
  <c r="AN44" i="34"/>
  <c r="AN45" i="34" s="1"/>
  <c r="AO43" i="34" s="1"/>
  <c r="AM51" i="34"/>
  <c r="AL61" i="34"/>
  <c r="H47" i="29"/>
  <c r="AC38" i="13"/>
  <c r="AC29" i="13"/>
  <c r="AI61" i="13"/>
  <c r="AI38" i="13"/>
  <c r="AI44" i="13" s="1"/>
  <c r="AI46" i="13" s="1"/>
  <c r="AI56" i="13" s="1"/>
  <c r="AD252" i="22"/>
  <c r="AE250" i="22" s="1"/>
  <c r="AI29" i="13"/>
  <c r="AI57" i="13" l="1"/>
  <c r="AG39" i="13"/>
  <c r="AI4" i="13" s="1"/>
  <c r="AI39" i="13" s="1"/>
  <c r="AJ4" i="13" s="1"/>
  <c r="AG63" i="13"/>
  <c r="AG62" i="13"/>
  <c r="AG39" i="43"/>
  <c r="AI4" i="43" s="1"/>
  <c r="AI29" i="43"/>
  <c r="AJ15" i="43"/>
  <c r="AI38" i="43"/>
  <c r="AI44" i="43" s="1"/>
  <c r="AI46" i="43" s="1"/>
  <c r="AI56" i="43" s="1"/>
  <c r="AI57" i="43" s="1"/>
  <c r="AI61" i="43"/>
  <c r="AG62" i="43"/>
  <c r="AH63" i="43"/>
  <c r="AG63" i="43"/>
  <c r="AC38" i="43"/>
  <c r="AC29" i="43"/>
  <c r="L2" i="39" s="1"/>
  <c r="CN25" i="34"/>
  <c r="CN26" i="34" s="1"/>
  <c r="CN27" i="34" s="1"/>
  <c r="BD37" i="34"/>
  <c r="CN29" i="34"/>
  <c r="CN30" i="34" s="1"/>
  <c r="CW52" i="34"/>
  <c r="CV59" i="34"/>
  <c r="CV40" i="34" s="1"/>
  <c r="CO16" i="34"/>
  <c r="CO17" i="34" s="1"/>
  <c r="CP35" i="34"/>
  <c r="CP13" i="34"/>
  <c r="CP15" i="34"/>
  <c r="CR7" i="34"/>
  <c r="CQ6" i="34"/>
  <c r="CQ14" i="34"/>
  <c r="CQ24" i="34" s="1"/>
  <c r="CM25" i="34"/>
  <c r="CM26" i="34" s="1"/>
  <c r="CM27" i="34" s="1"/>
  <c r="CM29" i="34"/>
  <c r="CM30" i="34" s="1"/>
  <c r="CR60" i="34"/>
  <c r="CR58" i="34" s="1"/>
  <c r="CR20" i="34" s="1"/>
  <c r="CS55" i="34"/>
  <c r="BE32" i="34"/>
  <c r="BE28" i="34" s="1"/>
  <c r="BD41" i="34"/>
  <c r="BD42" i="34" s="1"/>
  <c r="BD38" i="34" s="1"/>
  <c r="AO44" i="34"/>
  <c r="AO45" i="34" s="1"/>
  <c r="AP43" i="34" s="1"/>
  <c r="AE251" i="22"/>
  <c r="AE253" i="22" s="1"/>
  <c r="AE254" i="22" s="1"/>
  <c r="H49" i="29"/>
  <c r="H50" i="29"/>
  <c r="AD14" i="23"/>
  <c r="AD24" i="23" s="1"/>
  <c r="AD25" i="23" s="1"/>
  <c r="AC44" i="13"/>
  <c r="AC46" i="13" s="1"/>
  <c r="AC39" i="13"/>
  <c r="AI62" i="13"/>
  <c r="AI63" i="13"/>
  <c r="AN51" i="34"/>
  <c r="AM61" i="34"/>
  <c r="AJ14" i="13"/>
  <c r="AJ28" i="13" s="1"/>
  <c r="AG42" i="13" l="1"/>
  <c r="AI5" i="13" s="1"/>
  <c r="CO49" i="34"/>
  <c r="CO47" i="34"/>
  <c r="AI39" i="43"/>
  <c r="AI42" i="43" s="1"/>
  <c r="AJ5" i="43" s="1"/>
  <c r="AG42" i="43"/>
  <c r="AI5" i="43" s="1"/>
  <c r="AK18" i="13"/>
  <c r="AK15" i="13" s="1"/>
  <c r="AK18" i="43"/>
  <c r="AC44" i="43"/>
  <c r="AC46" i="43" s="1"/>
  <c r="AC39" i="43"/>
  <c r="AI62" i="43"/>
  <c r="AI63" i="43"/>
  <c r="AJ14" i="43"/>
  <c r="AJ28" i="43" s="1"/>
  <c r="CO36" i="34"/>
  <c r="CP16" i="34"/>
  <c r="CP18" i="34" s="1"/>
  <c r="CO19" i="34"/>
  <c r="CX52" i="34"/>
  <c r="CW59" i="34"/>
  <c r="CW40" i="34" s="1"/>
  <c r="CO18" i="34"/>
  <c r="CT55" i="34"/>
  <c r="CS60" i="34"/>
  <c r="CS58" i="34" s="1"/>
  <c r="CS20" i="34" s="1"/>
  <c r="CQ35" i="34"/>
  <c r="CQ15" i="34"/>
  <c r="CQ13" i="34"/>
  <c r="CS7" i="34"/>
  <c r="CR14" i="34"/>
  <c r="CR24" i="34" s="1"/>
  <c r="CR6" i="34"/>
  <c r="BD50" i="34"/>
  <c r="BD46" i="34"/>
  <c r="BE33" i="34"/>
  <c r="BF31" i="34" s="1"/>
  <c r="BE34" i="34"/>
  <c r="BE39" i="34" s="1"/>
  <c r="AI42" i="13"/>
  <c r="AJ5" i="13" s="1"/>
  <c r="AE252" i="22"/>
  <c r="AF250" i="22" s="1"/>
  <c r="AF251" i="22" s="1"/>
  <c r="AF253" i="22" s="1"/>
  <c r="AF254" i="22" s="1"/>
  <c r="AH4" i="13"/>
  <c r="AC42" i="13"/>
  <c r="AH5" i="13" s="1"/>
  <c r="AP44" i="34"/>
  <c r="AP45" i="34" s="1"/>
  <c r="AQ43" i="34" s="1"/>
  <c r="AJ38" i="13"/>
  <c r="AJ44" i="13" s="1"/>
  <c r="AJ46" i="13" s="1"/>
  <c r="AJ56" i="13" s="1"/>
  <c r="AJ57" i="13" s="1"/>
  <c r="AJ61" i="13"/>
  <c r="AJ29" i="13"/>
  <c r="AO51" i="34"/>
  <c r="AN61" i="34"/>
  <c r="H57" i="29"/>
  <c r="AJ4" i="43" l="1"/>
  <c r="CP36" i="34"/>
  <c r="CP19" i="34"/>
  <c r="CO25" i="34"/>
  <c r="CO26" i="34" s="1"/>
  <c r="CO27" i="34" s="1"/>
  <c r="AC42" i="43"/>
  <c r="AH5" i="43" s="1"/>
  <c r="AH4" i="43"/>
  <c r="AK15" i="43"/>
  <c r="AJ61" i="43"/>
  <c r="AJ38" i="43"/>
  <c r="AJ44" i="43" s="1"/>
  <c r="AJ46" i="43" s="1"/>
  <c r="AJ56" i="43" s="1"/>
  <c r="AJ57" i="43" s="1"/>
  <c r="AJ29" i="43"/>
  <c r="AL18" i="13"/>
  <c r="AL15" i="13" s="1"/>
  <c r="AL14" i="13" s="1"/>
  <c r="AL28" i="13" s="1"/>
  <c r="AL61" i="13" s="1"/>
  <c r="AL18" i="43"/>
  <c r="AL15" i="43" s="1"/>
  <c r="AL14" i="43" s="1"/>
  <c r="AL28" i="43" s="1"/>
  <c r="CP47" i="34"/>
  <c r="CQ16" i="34"/>
  <c r="CQ47" i="34" s="1"/>
  <c r="CP17" i="34"/>
  <c r="CP25" i="34" s="1"/>
  <c r="CP26" i="34" s="1"/>
  <c r="CP27" i="34" s="1"/>
  <c r="CY52" i="34"/>
  <c r="CX59" i="34"/>
  <c r="CX40" i="34" s="1"/>
  <c r="CP49" i="34"/>
  <c r="CO29" i="34"/>
  <c r="CO30" i="34" s="1"/>
  <c r="CR15" i="34"/>
  <c r="CR35" i="34"/>
  <c r="CR13" i="34"/>
  <c r="CQ49" i="34"/>
  <c r="CQ18" i="34"/>
  <c r="CQ36" i="34"/>
  <c r="CQ17" i="34"/>
  <c r="CQ19" i="34"/>
  <c r="CT60" i="34"/>
  <c r="CT58" i="34" s="1"/>
  <c r="CT20" i="34" s="1"/>
  <c r="CU55" i="34"/>
  <c r="CS14" i="34"/>
  <c r="CS24" i="34" s="1"/>
  <c r="CT7" i="34"/>
  <c r="CS6" i="34"/>
  <c r="BF32" i="34"/>
  <c r="BF28" i="34" s="1"/>
  <c r="BE37" i="34"/>
  <c r="BE41" i="34"/>
  <c r="BE42" i="34" s="1"/>
  <c r="BE38" i="34" s="1"/>
  <c r="AJ39" i="13"/>
  <c r="AK4" i="13" s="1"/>
  <c r="AF252" i="22"/>
  <c r="AG250" i="22" s="1"/>
  <c r="AG251" i="22" s="1"/>
  <c r="AG253" i="22" s="1"/>
  <c r="AG254" i="22" s="1"/>
  <c r="AJ62" i="13"/>
  <c r="AJ63" i="13"/>
  <c r="AP51" i="34"/>
  <c r="AO61" i="34"/>
  <c r="AK14" i="13"/>
  <c r="AK28" i="13" s="1"/>
  <c r="AK29" i="13" s="1"/>
  <c r="AQ44" i="34"/>
  <c r="AQ45" i="34" s="1"/>
  <c r="AR43" i="34" s="1"/>
  <c r="AE14" i="23"/>
  <c r="AE24" i="23" s="1"/>
  <c r="AE25" i="23" s="1"/>
  <c r="CP29" i="34" l="1"/>
  <c r="CP30" i="34" s="1"/>
  <c r="AH18" i="43"/>
  <c r="AL38" i="13"/>
  <c r="AL44" i="13" s="1"/>
  <c r="AL46" i="13" s="1"/>
  <c r="AL56" i="13" s="1"/>
  <c r="AH15" i="13"/>
  <c r="AH14" i="13" s="1"/>
  <c r="AH28" i="13" s="1"/>
  <c r="AH18" i="13"/>
  <c r="AN18" i="13"/>
  <c r="AN15" i="13" s="1"/>
  <c r="AN18" i="43"/>
  <c r="AL61" i="43"/>
  <c r="AL38" i="43"/>
  <c r="AL44" i="43" s="1"/>
  <c r="AL46" i="43" s="1"/>
  <c r="AL56" i="43" s="1"/>
  <c r="AJ62" i="43"/>
  <c r="AJ63" i="43"/>
  <c r="AK14" i="43"/>
  <c r="AK28" i="43" s="1"/>
  <c r="AH15" i="43"/>
  <c r="AH14" i="43" s="1"/>
  <c r="AJ39" i="43"/>
  <c r="CY59" i="34"/>
  <c r="CY40" i="34" s="1"/>
  <c r="CZ52" i="34"/>
  <c r="CS15" i="34"/>
  <c r="CS35" i="34"/>
  <c r="CS13" i="34"/>
  <c r="CQ25" i="34"/>
  <c r="CQ26" i="34" s="1"/>
  <c r="CQ27" i="34" s="1"/>
  <c r="CQ29" i="34"/>
  <c r="CQ30" i="34" s="1"/>
  <c r="BF33" i="34"/>
  <c r="BG31" i="34" s="1"/>
  <c r="BG32" i="34" s="1"/>
  <c r="BG28" i="34" s="1"/>
  <c r="CU7" i="34"/>
  <c r="CT6" i="34"/>
  <c r="CT14" i="34"/>
  <c r="CT24" i="34" s="1"/>
  <c r="CU60" i="34"/>
  <c r="CU58" i="34" s="1"/>
  <c r="CU20" i="34" s="1"/>
  <c r="CV55" i="34"/>
  <c r="CR16" i="34"/>
  <c r="BE50" i="34"/>
  <c r="BE46" i="34"/>
  <c r="BF34" i="34"/>
  <c r="BF39" i="34" s="1"/>
  <c r="AJ42" i="13"/>
  <c r="AK5" i="13" s="1"/>
  <c r="AL62" i="13"/>
  <c r="AL29" i="13"/>
  <c r="AF14" i="23"/>
  <c r="AF24" i="23" s="1"/>
  <c r="AF25" i="23" s="1"/>
  <c r="AR44" i="34"/>
  <c r="AR45" i="34" s="1"/>
  <c r="AS43" i="34" s="1"/>
  <c r="AP61" i="34"/>
  <c r="AQ51" i="34"/>
  <c r="AK38" i="13"/>
  <c r="AK44" i="13" s="1"/>
  <c r="AK46" i="13" s="1"/>
  <c r="AK56" i="13" s="1"/>
  <c r="AK57" i="13" s="1"/>
  <c r="AK61" i="13"/>
  <c r="AL63" i="13" s="1"/>
  <c r="AG252" i="22"/>
  <c r="AH250" i="22" s="1"/>
  <c r="AL57" i="13" l="1"/>
  <c r="AK61" i="43"/>
  <c r="AM63" i="43" s="1"/>
  <c r="AK38" i="43"/>
  <c r="AK44" i="43" s="1"/>
  <c r="AK46" i="43" s="1"/>
  <c r="AK56" i="43" s="1"/>
  <c r="AK57" i="43" s="1"/>
  <c r="AL57" i="43" s="1"/>
  <c r="AN15" i="43"/>
  <c r="AH28" i="43"/>
  <c r="AL62" i="43"/>
  <c r="AJ42" i="43"/>
  <c r="AK5" i="43" s="1"/>
  <c r="AK4" i="43"/>
  <c r="AK29" i="43"/>
  <c r="AL29" i="43" s="1"/>
  <c r="CS16" i="34"/>
  <c r="CS36" i="34" s="1"/>
  <c r="CZ59" i="34"/>
  <c r="CZ40" i="34" s="1"/>
  <c r="DA52" i="34"/>
  <c r="CV60" i="34"/>
  <c r="CV58" i="34" s="1"/>
  <c r="CV20" i="34" s="1"/>
  <c r="CW55" i="34"/>
  <c r="CU14" i="34"/>
  <c r="CU24" i="34" s="1"/>
  <c r="CV7" i="34"/>
  <c r="CU6" i="34"/>
  <c r="CS49" i="34"/>
  <c r="CS18" i="34"/>
  <c r="CR18" i="34"/>
  <c r="CR19" i="34"/>
  <c r="CR47" i="34"/>
  <c r="CR49" i="34"/>
  <c r="CR36" i="34"/>
  <c r="CR17" i="34"/>
  <c r="CT15" i="34"/>
  <c r="CT13" i="34"/>
  <c r="CT16" i="34" s="1"/>
  <c r="CT35" i="34"/>
  <c r="BG34" i="34"/>
  <c r="BG39" i="34" s="1"/>
  <c r="BF41" i="34"/>
  <c r="BF42" i="34" s="1"/>
  <c r="BF38" i="34" s="1"/>
  <c r="BF46" i="34" s="1"/>
  <c r="BF37" i="34"/>
  <c r="BG33" i="34"/>
  <c r="BH31" i="34" s="1"/>
  <c r="AS44" i="34"/>
  <c r="AS45" i="34" s="1"/>
  <c r="AT43" i="34" s="1"/>
  <c r="AK62" i="13"/>
  <c r="AK63" i="13"/>
  <c r="AG14" i="23"/>
  <c r="AG24" i="23" s="1"/>
  <c r="AG25" i="23" s="1"/>
  <c r="AM63" i="13"/>
  <c r="AH251" i="22"/>
  <c r="AH253" i="22" s="1"/>
  <c r="AH254" i="22" s="1"/>
  <c r="AH38" i="13"/>
  <c r="AG47" i="29"/>
  <c r="AH29" i="13"/>
  <c r="AQ61" i="34"/>
  <c r="AR51" i="34"/>
  <c r="AN14" i="13"/>
  <c r="AN28" i="13" s="1"/>
  <c r="AK39" i="13"/>
  <c r="CS17" i="34" l="1"/>
  <c r="CS47" i="34"/>
  <c r="CS19" i="34"/>
  <c r="CS29" i="34"/>
  <c r="CS30" i="34" s="1"/>
  <c r="AL63" i="43"/>
  <c r="AK39" i="43"/>
  <c r="AK42" i="43" s="1"/>
  <c r="AL5" i="43" s="1"/>
  <c r="AN14" i="43"/>
  <c r="AN28" i="43" s="1"/>
  <c r="AO18" i="13"/>
  <c r="AO15" i="13" s="1"/>
  <c r="AO18" i="43"/>
  <c r="AH38" i="43"/>
  <c r="AH29" i="43"/>
  <c r="M2" i="39" s="1"/>
  <c r="AK62" i="43"/>
  <c r="AK63" i="43"/>
  <c r="DB52" i="34"/>
  <c r="DA59" i="34"/>
  <c r="DA40" i="34" s="1"/>
  <c r="BG37" i="34"/>
  <c r="CV14" i="34"/>
  <c r="CV24" i="34" s="1"/>
  <c r="CW7" i="34"/>
  <c r="CV6" i="34"/>
  <c r="CT18" i="34"/>
  <c r="CT36" i="34"/>
  <c r="CT47" i="34"/>
  <c r="CT17" i="34"/>
  <c r="CT19" i="34"/>
  <c r="CT49" i="34"/>
  <c r="CS25" i="34"/>
  <c r="CS26" i="34" s="1"/>
  <c r="CS27" i="34" s="1"/>
  <c r="CX55" i="34"/>
  <c r="CW60" i="34"/>
  <c r="CW58" i="34" s="1"/>
  <c r="CW20" i="34" s="1"/>
  <c r="CR25" i="34"/>
  <c r="CR26" i="34" s="1"/>
  <c r="CR27" i="34" s="1"/>
  <c r="CR29" i="34"/>
  <c r="CR30" i="34" s="1"/>
  <c r="CU13" i="34"/>
  <c r="CU35" i="34"/>
  <c r="CU15" i="34"/>
  <c r="BH32" i="34"/>
  <c r="BH28" i="34" s="1"/>
  <c r="BG41" i="34"/>
  <c r="BG42" i="34" s="1"/>
  <c r="BG38" i="34" s="1"/>
  <c r="BF50" i="34"/>
  <c r="AH252" i="22"/>
  <c r="AI250" i="22" s="1"/>
  <c r="AI251" i="22" s="1"/>
  <c r="AI253" i="22" s="1"/>
  <c r="AI254" i="22" s="1"/>
  <c r="AG49" i="29"/>
  <c r="AG50" i="29"/>
  <c r="AN61" i="13"/>
  <c r="AN38" i="13"/>
  <c r="AN44" i="13" s="1"/>
  <c r="AN46" i="13" s="1"/>
  <c r="AN56" i="13" s="1"/>
  <c r="AN57" i="13" s="1"/>
  <c r="AN29" i="13"/>
  <c r="AT44" i="34"/>
  <c r="AT45" i="34" s="1"/>
  <c r="AU43" i="34" s="1"/>
  <c r="AK42" i="13"/>
  <c r="AL5" i="13" s="1"/>
  <c r="AL4" i="13"/>
  <c r="AL39" i="13" s="1"/>
  <c r="AS51" i="34"/>
  <c r="AR61" i="34"/>
  <c r="AH44" i="13"/>
  <c r="AH46" i="13" s="1"/>
  <c r="AH39" i="13"/>
  <c r="AL4" i="43" l="1"/>
  <c r="AL39" i="43" s="1"/>
  <c r="AN4" i="43" s="1"/>
  <c r="AP18" i="13"/>
  <c r="AP15" i="13" s="1"/>
  <c r="AP14" i="13" s="1"/>
  <c r="AP28" i="13" s="1"/>
  <c r="AP61" i="13" s="1"/>
  <c r="AP18" i="43"/>
  <c r="AP15" i="43" s="1"/>
  <c r="AP14" i="43" s="1"/>
  <c r="AP28" i="43" s="1"/>
  <c r="AO15" i="43"/>
  <c r="AN61" i="43"/>
  <c r="AN38" i="43"/>
  <c r="AN44" i="43" s="1"/>
  <c r="AN46" i="43" s="1"/>
  <c r="AN56" i="43" s="1"/>
  <c r="AN57" i="43" s="1"/>
  <c r="AH44" i="43"/>
  <c r="AH46" i="43" s="1"/>
  <c r="AH39" i="43"/>
  <c r="AN29" i="43"/>
  <c r="CT25" i="34"/>
  <c r="CT26" i="34" s="1"/>
  <c r="CT27" i="34" s="1"/>
  <c r="DC52" i="34"/>
  <c r="DB59" i="34"/>
  <c r="DB40" i="34" s="1"/>
  <c r="CU16" i="34"/>
  <c r="CV35" i="34"/>
  <c r="CV13" i="34"/>
  <c r="CV15" i="34"/>
  <c r="BH33" i="34"/>
  <c r="BI31" i="34" s="1"/>
  <c r="BI32" i="34" s="1"/>
  <c r="BI28" i="34" s="1"/>
  <c r="CX60" i="34"/>
  <c r="CX58" i="34" s="1"/>
  <c r="CX20" i="34" s="1"/>
  <c r="CY55" i="34"/>
  <c r="CW14" i="34"/>
  <c r="CW24" i="34" s="1"/>
  <c r="CX7" i="34"/>
  <c r="CW6" i="34"/>
  <c r="CT29" i="34"/>
  <c r="CT30" i="34" s="1"/>
  <c r="BG50" i="34"/>
  <c r="BG46" i="34"/>
  <c r="BH34" i="34"/>
  <c r="BH39" i="34" s="1"/>
  <c r="AI252" i="22"/>
  <c r="AJ250" i="22" s="1"/>
  <c r="AJ251" i="22" s="1"/>
  <c r="AJ253" i="22" s="1"/>
  <c r="AJ254" i="22" s="1"/>
  <c r="AU44" i="34"/>
  <c r="AU45" i="34" s="1"/>
  <c r="AV43" i="34" s="1"/>
  <c r="AS61" i="34"/>
  <c r="AT51" i="34"/>
  <c r="AG57" i="29"/>
  <c r="AH42" i="13"/>
  <c r="AM5" i="13" s="1"/>
  <c r="AM4" i="13"/>
  <c r="AN4" i="13"/>
  <c r="AN39" i="13" s="1"/>
  <c r="AL42" i="13"/>
  <c r="AN5" i="13" s="1"/>
  <c r="AH14" i="23"/>
  <c r="AH24" i="23" s="1"/>
  <c r="AH25" i="23" s="1"/>
  <c r="AN62" i="13"/>
  <c r="AN63" i="13"/>
  <c r="AO14" i="13"/>
  <c r="AO28" i="13" s="1"/>
  <c r="AL42" i="43" l="1"/>
  <c r="AN5" i="43" s="1"/>
  <c r="AP38" i="13"/>
  <c r="AP44" i="13" s="1"/>
  <c r="AP46" i="13" s="1"/>
  <c r="AP56" i="13" s="1"/>
  <c r="AN39" i="43"/>
  <c r="AN42" i="43" s="1"/>
  <c r="AO5" i="43" s="1"/>
  <c r="AQ18" i="13"/>
  <c r="AM18" i="13" s="1"/>
  <c r="AQ18" i="43"/>
  <c r="AN62" i="43"/>
  <c r="AN63" i="43"/>
  <c r="AP61" i="43"/>
  <c r="AP38" i="43"/>
  <c r="AP44" i="43" s="1"/>
  <c r="AP46" i="43" s="1"/>
  <c r="AP56" i="43" s="1"/>
  <c r="AO14" i="43"/>
  <c r="AO28" i="43" s="1"/>
  <c r="AH42" i="43"/>
  <c r="AM5" i="43" s="1"/>
  <c r="AM4" i="43"/>
  <c r="BH37" i="34"/>
  <c r="DC59" i="34"/>
  <c r="DC40" i="34" s="1"/>
  <c r="DD52" i="34"/>
  <c r="CW15" i="34"/>
  <c r="CW35" i="34"/>
  <c r="CW13" i="34"/>
  <c r="CX14" i="34"/>
  <c r="CX24" i="34" s="1"/>
  <c r="CX6" i="34"/>
  <c r="CY7" i="34"/>
  <c r="CU36" i="34"/>
  <c r="CU19" i="34"/>
  <c r="CU49" i="34"/>
  <c r="CU18" i="34"/>
  <c r="CU17" i="34"/>
  <c r="CU47" i="34"/>
  <c r="BI33" i="34"/>
  <c r="BJ31" i="34" s="1"/>
  <c r="CY60" i="34"/>
  <c r="CY58" i="34" s="1"/>
  <c r="CY20" i="34" s="1"/>
  <c r="CZ55" i="34"/>
  <c r="CV16" i="34"/>
  <c r="BJ32" i="34"/>
  <c r="BJ28" i="34" s="1"/>
  <c r="BI34" i="34"/>
  <c r="BI39" i="34" s="1"/>
  <c r="BH41" i="34"/>
  <c r="BH42" i="34" s="1"/>
  <c r="BH38" i="34" s="1"/>
  <c r="AJ252" i="22"/>
  <c r="AK250" i="22" s="1"/>
  <c r="AK251" i="22" s="1"/>
  <c r="AK253" i="22" s="1"/>
  <c r="AK254" i="22" s="1"/>
  <c r="AN42" i="13"/>
  <c r="AO5" i="13" s="1"/>
  <c r="AO4" i="13"/>
  <c r="AV44" i="34"/>
  <c r="AV45" i="34" s="1"/>
  <c r="AW43" i="34" s="1"/>
  <c r="AP62" i="13"/>
  <c r="AO61" i="13"/>
  <c r="AO38" i="13"/>
  <c r="AO44" i="13" s="1"/>
  <c r="AO46" i="13" s="1"/>
  <c r="AO56" i="13" s="1"/>
  <c r="AO57" i="13" s="1"/>
  <c r="AT61" i="34"/>
  <c r="AU51" i="34"/>
  <c r="AO29" i="13"/>
  <c r="AO4" i="43" l="1"/>
  <c r="AP57" i="13"/>
  <c r="AQ15" i="13"/>
  <c r="AQ14" i="13" s="1"/>
  <c r="AQ28" i="13" s="1"/>
  <c r="AQ15" i="43"/>
  <c r="AM18" i="43"/>
  <c r="AO38" i="43"/>
  <c r="AO44" i="43" s="1"/>
  <c r="AO46" i="43" s="1"/>
  <c r="AO56" i="43" s="1"/>
  <c r="AO57" i="43" s="1"/>
  <c r="AP57" i="43" s="1"/>
  <c r="AO61" i="43"/>
  <c r="AP63" i="43" s="1"/>
  <c r="AP62" i="43"/>
  <c r="AS18" i="13"/>
  <c r="AS15" i="13" s="1"/>
  <c r="AS18" i="43"/>
  <c r="AO29" i="43"/>
  <c r="AP29" i="43" s="1"/>
  <c r="BI37" i="34"/>
  <c r="DE52" i="34"/>
  <c r="DD59" i="34"/>
  <c r="DD40" i="34" s="1"/>
  <c r="CZ60" i="34"/>
  <c r="CZ58" i="34" s="1"/>
  <c r="CZ20" i="34" s="1"/>
  <c r="DA55" i="34"/>
  <c r="CY14" i="34"/>
  <c r="CY24" i="34" s="1"/>
  <c r="CZ7" i="34"/>
  <c r="CY6" i="34"/>
  <c r="CW16" i="34"/>
  <c r="CU25" i="34"/>
  <c r="CU26" i="34" s="1"/>
  <c r="CU27" i="34" s="1"/>
  <c r="CU29" i="34"/>
  <c r="CU30" i="34" s="1"/>
  <c r="CX35" i="34"/>
  <c r="CX13" i="34"/>
  <c r="CX15" i="34"/>
  <c r="CX16" i="34" s="1"/>
  <c r="CV18" i="34"/>
  <c r="CV19" i="34"/>
  <c r="CV49" i="34"/>
  <c r="CV36" i="34"/>
  <c r="CV47" i="34"/>
  <c r="CV17" i="34"/>
  <c r="BH50" i="34"/>
  <c r="BH46" i="34"/>
  <c r="BJ34" i="34"/>
  <c r="BJ39" i="34" s="1"/>
  <c r="BI41" i="34"/>
  <c r="BI42" i="34" s="1"/>
  <c r="BI38" i="34" s="1"/>
  <c r="BI50" i="34" s="1"/>
  <c r="BJ33" i="34"/>
  <c r="BK31" i="34" s="1"/>
  <c r="AW44" i="34"/>
  <c r="AW45" i="34" s="1"/>
  <c r="AX43" i="34" s="1"/>
  <c r="AO62" i="13"/>
  <c r="AO63" i="13"/>
  <c r="AP63" i="13"/>
  <c r="AO39" i="13"/>
  <c r="AI14" i="23"/>
  <c r="AI24" i="23" s="1"/>
  <c r="AI25" i="23" s="1"/>
  <c r="AP29" i="13"/>
  <c r="AV51" i="34"/>
  <c r="AU61" i="34"/>
  <c r="AK252" i="22"/>
  <c r="AL250" i="22" s="1"/>
  <c r="AM15" i="13" l="1"/>
  <c r="AM14" i="13" s="1"/>
  <c r="AM28" i="13" s="1"/>
  <c r="AO39" i="43"/>
  <c r="AO42" i="43" s="1"/>
  <c r="AP5" i="43" s="1"/>
  <c r="AQ14" i="43"/>
  <c r="AQ28" i="43" s="1"/>
  <c r="AM15" i="43"/>
  <c r="AM14" i="43" s="1"/>
  <c r="AS15" i="43"/>
  <c r="AO62" i="43"/>
  <c r="AO63" i="43"/>
  <c r="DF52" i="34"/>
  <c r="DE59" i="34"/>
  <c r="DE40" i="34" s="1"/>
  <c r="CX36" i="34"/>
  <c r="CX47" i="34"/>
  <c r="CX49" i="34"/>
  <c r="CX19" i="34"/>
  <c r="CX18" i="34"/>
  <c r="CX17" i="34"/>
  <c r="CX29" i="34" s="1"/>
  <c r="CX30" i="34" s="1"/>
  <c r="CZ14" i="34"/>
  <c r="CZ24" i="34" s="1"/>
  <c r="CZ6" i="34"/>
  <c r="DA7" i="34"/>
  <c r="CW19" i="34"/>
  <c r="CW17" i="34"/>
  <c r="CW36" i="34"/>
  <c r="CW18" i="34"/>
  <c r="CW47" i="34"/>
  <c r="CW49" i="34"/>
  <c r="DA60" i="34"/>
  <c r="DA58" i="34" s="1"/>
  <c r="DA20" i="34" s="1"/>
  <c r="DB55" i="34"/>
  <c r="CV25" i="34"/>
  <c r="CV26" i="34" s="1"/>
  <c r="CV27" i="34" s="1"/>
  <c r="CV29" i="34"/>
  <c r="CV30" i="34" s="1"/>
  <c r="CY13" i="34"/>
  <c r="CY35" i="34"/>
  <c r="CY15" i="34"/>
  <c r="BI46" i="34"/>
  <c r="BK32" i="34"/>
  <c r="BK28" i="34" s="1"/>
  <c r="BJ37" i="34"/>
  <c r="BJ41" i="34"/>
  <c r="BJ42" i="34" s="1"/>
  <c r="BJ38" i="34" s="1"/>
  <c r="AL251" i="22"/>
  <c r="AL253" i="22" s="1"/>
  <c r="AL254" i="22" s="1"/>
  <c r="AS14" i="13"/>
  <c r="AS28" i="13" s="1"/>
  <c r="AQ61" i="13"/>
  <c r="AQ38" i="13"/>
  <c r="AQ44" i="13" s="1"/>
  <c r="AQ46" i="13" s="1"/>
  <c r="AQ56" i="13" s="1"/>
  <c r="AQ57" i="13" s="1"/>
  <c r="AJ14" i="23"/>
  <c r="AJ24" i="23" s="1"/>
  <c r="AJ25" i="23" s="1"/>
  <c r="AQ29" i="13"/>
  <c r="AP4" i="13"/>
  <c r="AP39" i="13" s="1"/>
  <c r="AO42" i="13"/>
  <c r="AP5" i="13" s="1"/>
  <c r="AW51" i="34"/>
  <c r="AV61" i="34"/>
  <c r="AX44" i="34"/>
  <c r="AX45" i="34" s="1"/>
  <c r="AY43" i="34" s="1"/>
  <c r="AP4" i="43" l="1"/>
  <c r="AP39" i="43" s="1"/>
  <c r="AP42" i="43" s="1"/>
  <c r="AQ5" i="43" s="1"/>
  <c r="AQ61" i="43"/>
  <c r="AQ38" i="43"/>
  <c r="AQ44" i="43" s="1"/>
  <c r="AQ46" i="43" s="1"/>
  <c r="AQ56" i="43" s="1"/>
  <c r="AQ57" i="43" s="1"/>
  <c r="AT18" i="13"/>
  <c r="AT15" i="13" s="1"/>
  <c r="AT18" i="43"/>
  <c r="AM28" i="43"/>
  <c r="AS14" i="43"/>
  <c r="AS28" i="43" s="1"/>
  <c r="AQ29" i="43"/>
  <c r="DG52" i="34"/>
  <c r="DF59" i="34"/>
  <c r="DF40" i="34" s="1"/>
  <c r="CZ15" i="34"/>
  <c r="CZ13" i="34"/>
  <c r="CZ35" i="34"/>
  <c r="CW25" i="34"/>
  <c r="CW26" i="34" s="1"/>
  <c r="CW27" i="34" s="1"/>
  <c r="CW29" i="34"/>
  <c r="CW30" i="34" s="1"/>
  <c r="CX25" i="34"/>
  <c r="CX26" i="34" s="1"/>
  <c r="CX27" i="34" s="1"/>
  <c r="CY16" i="34"/>
  <c r="DB60" i="34"/>
  <c r="DB58" i="34" s="1"/>
  <c r="DB20" i="34" s="1"/>
  <c r="DC55" i="34"/>
  <c r="DB7" i="34"/>
  <c r="DA14" i="34"/>
  <c r="DA24" i="34" s="1"/>
  <c r="DA6" i="34"/>
  <c r="BJ50" i="34"/>
  <c r="BJ46" i="34"/>
  <c r="BK34" i="34"/>
  <c r="BK39" i="34" s="1"/>
  <c r="BK33" i="34"/>
  <c r="BL31" i="34" s="1"/>
  <c r="AL252" i="22"/>
  <c r="AM250" i="22" s="1"/>
  <c r="AM251" i="22" s="1"/>
  <c r="AM253" i="22" s="1"/>
  <c r="AM254" i="22" s="1"/>
  <c r="AY44" i="34"/>
  <c r="AY45" i="34" s="1"/>
  <c r="AZ43" i="34" s="1"/>
  <c r="AP42" i="13"/>
  <c r="AQ5" i="13" s="1"/>
  <c r="AQ4" i="13"/>
  <c r="AQ39" i="13" s="1"/>
  <c r="AQ62" i="13"/>
  <c r="AQ63" i="13"/>
  <c r="AR63" i="13"/>
  <c r="AS38" i="13"/>
  <c r="AS44" i="13" s="1"/>
  <c r="AS46" i="13" s="1"/>
  <c r="AS56" i="13" s="1"/>
  <c r="AS57" i="13" s="1"/>
  <c r="AS61" i="13"/>
  <c r="AM38" i="13"/>
  <c r="AM29" i="13"/>
  <c r="AW61" i="34"/>
  <c r="AX51" i="34"/>
  <c r="AK14" i="23"/>
  <c r="AK24" i="23" s="1"/>
  <c r="AK25" i="23" s="1"/>
  <c r="AS29" i="13"/>
  <c r="AQ4" i="43" l="1"/>
  <c r="AQ39" i="43" s="1"/>
  <c r="AS29" i="43"/>
  <c r="AT15" i="43"/>
  <c r="AU18" i="13"/>
  <c r="AU15" i="13" s="1"/>
  <c r="AU14" i="13" s="1"/>
  <c r="AU28" i="13" s="1"/>
  <c r="AU38" i="13" s="1"/>
  <c r="AU44" i="13" s="1"/>
  <c r="AU46" i="13" s="1"/>
  <c r="AU56" i="13" s="1"/>
  <c r="AU18" i="43"/>
  <c r="AU15" i="43" s="1"/>
  <c r="AU14" i="43" s="1"/>
  <c r="AU28" i="43" s="1"/>
  <c r="AS38" i="43"/>
  <c r="AS44" i="43" s="1"/>
  <c r="AS46" i="43" s="1"/>
  <c r="AS56" i="43" s="1"/>
  <c r="AS57" i="43" s="1"/>
  <c r="AS61" i="43"/>
  <c r="AM38" i="43"/>
  <c r="AM29" i="43"/>
  <c r="N2" i="39" s="1"/>
  <c r="AQ62" i="43"/>
  <c r="AR63" i="43"/>
  <c r="AQ63" i="43"/>
  <c r="CZ16" i="34"/>
  <c r="CZ19" i="34" s="1"/>
  <c r="DH52" i="34"/>
  <c r="DG59" i="34"/>
  <c r="DG40" i="34" s="1"/>
  <c r="DC60" i="34"/>
  <c r="DC58" i="34" s="1"/>
  <c r="DC20" i="34" s="1"/>
  <c r="DD55" i="34"/>
  <c r="DC7" i="34"/>
  <c r="DB6" i="34"/>
  <c r="DB14" i="34"/>
  <c r="DB24" i="34" s="1"/>
  <c r="BK37" i="34"/>
  <c r="CY19" i="34"/>
  <c r="CY49" i="34"/>
  <c r="CY47" i="34"/>
  <c r="CY36" i="34"/>
  <c r="CY17" i="34"/>
  <c r="CY18" i="34"/>
  <c r="DA15" i="34"/>
  <c r="DA35" i="34"/>
  <c r="DA13" i="34"/>
  <c r="BL32" i="34"/>
  <c r="BL28" i="34" s="1"/>
  <c r="BK41" i="34"/>
  <c r="BK42" i="34" s="1"/>
  <c r="BK38" i="34" s="1"/>
  <c r="AS62" i="13"/>
  <c r="AS63" i="13"/>
  <c r="AT14" i="13"/>
  <c r="AT28" i="13" s="1"/>
  <c r="AT29" i="13" s="1"/>
  <c r="AL14" i="23"/>
  <c r="AL24" i="23" s="1"/>
  <c r="AL25" i="23" s="1"/>
  <c r="AY51" i="34"/>
  <c r="AX61" i="34"/>
  <c r="AZ44" i="34"/>
  <c r="AZ45" i="34" s="1"/>
  <c r="BA43" i="34" s="1"/>
  <c r="AM44" i="13"/>
  <c r="AM46" i="13" s="1"/>
  <c r="AM39" i="13"/>
  <c r="AS4" i="13"/>
  <c r="AS39" i="13" s="1"/>
  <c r="AQ42" i="13"/>
  <c r="AS5" i="13" s="1"/>
  <c r="AM252" i="22"/>
  <c r="AN250" i="22" s="1"/>
  <c r="CZ18" i="34" l="1"/>
  <c r="CZ36" i="34"/>
  <c r="AQ42" i="43"/>
  <c r="AS5" i="43" s="1"/>
  <c r="AS4" i="43"/>
  <c r="AS39" i="43" s="1"/>
  <c r="AU61" i="13"/>
  <c r="AU62" i="13" s="1"/>
  <c r="AS62" i="43"/>
  <c r="AS63" i="43"/>
  <c r="AU61" i="43"/>
  <c r="AU38" i="43"/>
  <c r="AU44" i="43" s="1"/>
  <c r="AU46" i="43" s="1"/>
  <c r="AU56" i="43" s="1"/>
  <c r="AM44" i="43"/>
  <c r="AM46" i="43" s="1"/>
  <c r="AM39" i="43"/>
  <c r="AT14" i="43"/>
  <c r="AT28" i="43" s="1"/>
  <c r="CZ17" i="34"/>
  <c r="CZ49" i="34"/>
  <c r="CZ47" i="34"/>
  <c r="DA16" i="34"/>
  <c r="DA19" i="34" s="1"/>
  <c r="DH59" i="34"/>
  <c r="DH40" i="34" s="1"/>
  <c r="DI52" i="34"/>
  <c r="DB13" i="34"/>
  <c r="DB16" i="34" s="1"/>
  <c r="DB15" i="34"/>
  <c r="DB35" i="34"/>
  <c r="DD60" i="34"/>
  <c r="DD58" i="34" s="1"/>
  <c r="DD20" i="34" s="1"/>
  <c r="DE55" i="34"/>
  <c r="CY25" i="34"/>
  <c r="CY26" i="34" s="1"/>
  <c r="CY27" i="34" s="1"/>
  <c r="CY29" i="34"/>
  <c r="CY30" i="34" s="1"/>
  <c r="DD7" i="34"/>
  <c r="DC6" i="34"/>
  <c r="DC14" i="34"/>
  <c r="DC24" i="34" s="1"/>
  <c r="CZ29" i="34"/>
  <c r="CZ30" i="34" s="1"/>
  <c r="CZ25" i="34"/>
  <c r="CZ26" i="34" s="1"/>
  <c r="CZ27" i="34" s="1"/>
  <c r="BK50" i="34"/>
  <c r="BK46" i="34"/>
  <c r="BL34" i="34"/>
  <c r="BL39" i="34" s="1"/>
  <c r="BL33" i="34"/>
  <c r="BM31" i="34" s="1"/>
  <c r="AM42" i="13"/>
  <c r="AR5" i="13" s="1"/>
  <c r="AR4" i="13"/>
  <c r="AU29" i="13"/>
  <c r="AM14" i="23"/>
  <c r="AM24" i="23" s="1"/>
  <c r="AM25" i="23" s="1"/>
  <c r="AY61" i="34"/>
  <c r="AZ51" i="34"/>
  <c r="AT61" i="13"/>
  <c r="AT38" i="13"/>
  <c r="AT44" i="13" s="1"/>
  <c r="AT46" i="13" s="1"/>
  <c r="AT56" i="13" s="1"/>
  <c r="AT57" i="13" s="1"/>
  <c r="AU57" i="13" s="1"/>
  <c r="AN251" i="22"/>
  <c r="AN253" i="22" s="1"/>
  <c r="AN254" i="22" s="1"/>
  <c r="AT4" i="13"/>
  <c r="AS42" i="13"/>
  <c r="AT5" i="13" s="1"/>
  <c r="BA44" i="34"/>
  <c r="BA45" i="34" s="1"/>
  <c r="BB43" i="34" s="1"/>
  <c r="DA49" i="34" l="1"/>
  <c r="AU63" i="13"/>
  <c r="AM42" i="43"/>
  <c r="AR5" i="43" s="1"/>
  <c r="AR4" i="43"/>
  <c r="AT61" i="43"/>
  <c r="AU63" i="43" s="1"/>
  <c r="AT38" i="43"/>
  <c r="AT44" i="43" s="1"/>
  <c r="AT46" i="43" s="1"/>
  <c r="AT56" i="43" s="1"/>
  <c r="AT57" i="43" s="1"/>
  <c r="AU57" i="43" s="1"/>
  <c r="AT29" i="43"/>
  <c r="AU29" i="43" s="1"/>
  <c r="AS42" i="43"/>
  <c r="AT5" i="43" s="1"/>
  <c r="AT4" i="43"/>
  <c r="AV18" i="13"/>
  <c r="AV15" i="13" s="1"/>
  <c r="AV18" i="43"/>
  <c r="AU62" i="43"/>
  <c r="DA17" i="34"/>
  <c r="DA25" i="34" s="1"/>
  <c r="DA26" i="34" s="1"/>
  <c r="DA27" i="34" s="1"/>
  <c r="DA47" i="34"/>
  <c r="DA18" i="34"/>
  <c r="DA36" i="34"/>
  <c r="DI59" i="34"/>
  <c r="DI40" i="34" s="1"/>
  <c r="DJ52" i="34"/>
  <c r="BL37" i="34"/>
  <c r="DD14" i="34"/>
  <c r="DD24" i="34" s="1"/>
  <c r="DE7" i="34"/>
  <c r="DD6" i="34"/>
  <c r="DC15" i="34"/>
  <c r="DC13" i="34"/>
  <c r="DC16" i="34" s="1"/>
  <c r="DC35" i="34"/>
  <c r="DF55" i="34"/>
  <c r="DE60" i="34"/>
  <c r="DE58" i="34" s="1"/>
  <c r="DE20" i="34" s="1"/>
  <c r="DB19" i="34"/>
  <c r="DB36" i="34"/>
  <c r="DB47" i="34"/>
  <c r="DB49" i="34"/>
  <c r="DB18" i="34"/>
  <c r="DB17" i="34"/>
  <c r="BM32" i="34"/>
  <c r="BM28" i="34" s="1"/>
  <c r="BL41" i="34"/>
  <c r="BL42" i="34" s="1"/>
  <c r="BL38" i="34" s="1"/>
  <c r="AN252" i="22"/>
  <c r="AO250" i="22" s="1"/>
  <c r="AZ61" i="34"/>
  <c r="BA51" i="34"/>
  <c r="BB44" i="34"/>
  <c r="BB45" i="34" s="1"/>
  <c r="BC43" i="34" s="1"/>
  <c r="AT62" i="13"/>
  <c r="AT63" i="13"/>
  <c r="AN14" i="23"/>
  <c r="AN24" i="23" s="1"/>
  <c r="AN25" i="23" s="1"/>
  <c r="AT39" i="13"/>
  <c r="DA29" i="34" l="1"/>
  <c r="DA30" i="34" s="1"/>
  <c r="AR18" i="13"/>
  <c r="AT39" i="43"/>
  <c r="AT62" i="43"/>
  <c r="AT63" i="43"/>
  <c r="AV15" i="43"/>
  <c r="AR18" i="43"/>
  <c r="DK52" i="34"/>
  <c r="DJ59" i="34"/>
  <c r="DJ40" i="34" s="1"/>
  <c r="DB29" i="34"/>
  <c r="DB30" i="34" s="1"/>
  <c r="DB25" i="34"/>
  <c r="DB26" i="34" s="1"/>
  <c r="DB27" i="34" s="1"/>
  <c r="DC19" i="34"/>
  <c r="DC47" i="34"/>
  <c r="DC36" i="34"/>
  <c r="DC18" i="34"/>
  <c r="DC17" i="34"/>
  <c r="DC49" i="34"/>
  <c r="DD15" i="34"/>
  <c r="DD13" i="34"/>
  <c r="DD35" i="34"/>
  <c r="DE6" i="34"/>
  <c r="DF7" i="34"/>
  <c r="DE14" i="34"/>
  <c r="DE24" i="34" s="1"/>
  <c r="DF60" i="34"/>
  <c r="DF58" i="34" s="1"/>
  <c r="DF20" i="34" s="1"/>
  <c r="DG55" i="34"/>
  <c r="BL50" i="34"/>
  <c r="BL46" i="34"/>
  <c r="BM33" i="34"/>
  <c r="BN31" i="34" s="1"/>
  <c r="BM34" i="34"/>
  <c r="BM39" i="34" s="1"/>
  <c r="AO251" i="22"/>
  <c r="AO253" i="22" s="1"/>
  <c r="AO254" i="22" s="1"/>
  <c r="BA61" i="34"/>
  <c r="BB51" i="34"/>
  <c r="AV14" i="13"/>
  <c r="AV28" i="13" s="1"/>
  <c r="AR15" i="13"/>
  <c r="AR14" i="13" s="1"/>
  <c r="AT42" i="13"/>
  <c r="AU5" i="13" s="1"/>
  <c r="AU4" i="13"/>
  <c r="AU39" i="13" s="1"/>
  <c r="BC44" i="34"/>
  <c r="BC45" i="34" s="1"/>
  <c r="BD43" i="34" s="1"/>
  <c r="DC29" i="34" l="1"/>
  <c r="DC30" i="34" s="1"/>
  <c r="AV14" i="43"/>
  <c r="AV28" i="43" s="1"/>
  <c r="AR15" i="43"/>
  <c r="AR14" i="43" s="1"/>
  <c r="AX18" i="13"/>
  <c r="AX15" i="13" s="1"/>
  <c r="AX14" i="13" s="1"/>
  <c r="AX28" i="13" s="1"/>
  <c r="AX18" i="43"/>
  <c r="AT42" i="43"/>
  <c r="AU5" i="43" s="1"/>
  <c r="AU4" i="43"/>
  <c r="AU39" i="43" s="1"/>
  <c r="DD16" i="34"/>
  <c r="DD18" i="34" s="1"/>
  <c r="DC25" i="34"/>
  <c r="DC26" i="34" s="1"/>
  <c r="DC27" i="34" s="1"/>
  <c r="DL52" i="34"/>
  <c r="DK59" i="34"/>
  <c r="DK40" i="34" s="1"/>
  <c r="DH55" i="34"/>
  <c r="DG60" i="34"/>
  <c r="DG58" i="34" s="1"/>
  <c r="DG20" i="34" s="1"/>
  <c r="DF6" i="34"/>
  <c r="DG7" i="34"/>
  <c r="DF14" i="34"/>
  <c r="DF24" i="34" s="1"/>
  <c r="DE15" i="34"/>
  <c r="DE35" i="34"/>
  <c r="DE13" i="34"/>
  <c r="BM41" i="34"/>
  <c r="BM42" i="34" s="1"/>
  <c r="BM38" i="34" s="1"/>
  <c r="BN32" i="34"/>
  <c r="BN28" i="34" s="1"/>
  <c r="BM37" i="34"/>
  <c r="AO252" i="22"/>
  <c r="AP250" i="22" s="1"/>
  <c r="AP251" i="22" s="1"/>
  <c r="AP253" i="22" s="1"/>
  <c r="AP254" i="22" s="1"/>
  <c r="AV4" i="13"/>
  <c r="AU42" i="13"/>
  <c r="AV5" i="13" s="1"/>
  <c r="AV38" i="13"/>
  <c r="AV44" i="13" s="1"/>
  <c r="AV46" i="13" s="1"/>
  <c r="AV56" i="13" s="1"/>
  <c r="AV57" i="13" s="1"/>
  <c r="AV61" i="13"/>
  <c r="AV29" i="13"/>
  <c r="BD44" i="34"/>
  <c r="BD45" i="34" s="1"/>
  <c r="BE43" i="34" s="1"/>
  <c r="AR28" i="13"/>
  <c r="BC51" i="34"/>
  <c r="BB61" i="34"/>
  <c r="DD49" i="34" l="1"/>
  <c r="DD17" i="34"/>
  <c r="DD47" i="34"/>
  <c r="DD36" i="34"/>
  <c r="DD19" i="34"/>
  <c r="AR28" i="43"/>
  <c r="AV61" i="43"/>
  <c r="AV38" i="43"/>
  <c r="AV44" i="43" s="1"/>
  <c r="AV46" i="43" s="1"/>
  <c r="AV56" i="43" s="1"/>
  <c r="AV57" i="43" s="1"/>
  <c r="AV29" i="43"/>
  <c r="AU42" i="43"/>
  <c r="AV5" i="43" s="1"/>
  <c r="AV4" i="43"/>
  <c r="AY18" i="13"/>
  <c r="AY15" i="13" s="1"/>
  <c r="AY14" i="13" s="1"/>
  <c r="AY28" i="13" s="1"/>
  <c r="AY61" i="13" s="1"/>
  <c r="AY62" i="13" s="1"/>
  <c r="AY18" i="43"/>
  <c r="AY15" i="43" s="1"/>
  <c r="AY14" i="43" s="1"/>
  <c r="AY28" i="43" s="1"/>
  <c r="AX15" i="43"/>
  <c r="DE16" i="34"/>
  <c r="DE19" i="34" s="1"/>
  <c r="DM52" i="34"/>
  <c r="DL59" i="34"/>
  <c r="DL40" i="34" s="1"/>
  <c r="BN33" i="34"/>
  <c r="BO31" i="34" s="1"/>
  <c r="BO32" i="34" s="1"/>
  <c r="BO28" i="34" s="1"/>
  <c r="DI55" i="34"/>
  <c r="DH60" i="34"/>
  <c r="DH58" i="34" s="1"/>
  <c r="DH20" i="34" s="1"/>
  <c r="DD29" i="34"/>
  <c r="DD30" i="34" s="1"/>
  <c r="DD25" i="34"/>
  <c r="DD26" i="34" s="1"/>
  <c r="DD27" i="34" s="1"/>
  <c r="DG6" i="34"/>
  <c r="DH7" i="34"/>
  <c r="DG14" i="34"/>
  <c r="DG24" i="34" s="1"/>
  <c r="DF15" i="34"/>
  <c r="DF35" i="34"/>
  <c r="DF13" i="34"/>
  <c r="BM46" i="34"/>
  <c r="BM50" i="34"/>
  <c r="BN34" i="34"/>
  <c r="BN39" i="34" s="1"/>
  <c r="AP252" i="22"/>
  <c r="AQ250" i="22" s="1"/>
  <c r="AQ251" i="22" s="1"/>
  <c r="AQ253" i="22" s="1"/>
  <c r="AQ254" i="22" s="1"/>
  <c r="BE44" i="34"/>
  <c r="BE45" i="34" s="1"/>
  <c r="BF43" i="34" s="1"/>
  <c r="AX29" i="13"/>
  <c r="AO14" i="23"/>
  <c r="AO24" i="23" s="1"/>
  <c r="AO25" i="23" s="1"/>
  <c r="AR38" i="13"/>
  <c r="AR29" i="13"/>
  <c r="AV39" i="13"/>
  <c r="AX38" i="13"/>
  <c r="AX44" i="13" s="1"/>
  <c r="AX46" i="13" s="1"/>
  <c r="AX56" i="13" s="1"/>
  <c r="AX57" i="13" s="1"/>
  <c r="AX61" i="13"/>
  <c r="BD51" i="34"/>
  <c r="BC61" i="34"/>
  <c r="AV62" i="13"/>
  <c r="D62" i="13" s="1"/>
  <c r="D67" i="13" s="1"/>
  <c r="D63" i="13"/>
  <c r="AW63" i="13"/>
  <c r="D61" i="13"/>
  <c r="AV63" i="13"/>
  <c r="DE49" i="34" l="1"/>
  <c r="DE36" i="34"/>
  <c r="DE17" i="34"/>
  <c r="DE25" i="34" s="1"/>
  <c r="DE26" i="34" s="1"/>
  <c r="DE27" i="34" s="1"/>
  <c r="DE18" i="34"/>
  <c r="DE47" i="34"/>
  <c r="DF16" i="34"/>
  <c r="DF49" i="34" s="1"/>
  <c r="AY38" i="13"/>
  <c r="AY44" i="13" s="1"/>
  <c r="AY46" i="13" s="1"/>
  <c r="AY56" i="13" s="1"/>
  <c r="AY57" i="13" s="1"/>
  <c r="AX14" i="43"/>
  <c r="AX28" i="43" s="1"/>
  <c r="AX29" i="43" s="1"/>
  <c r="AY29" i="43" s="1"/>
  <c r="AV39" i="43"/>
  <c r="AV62" i="43"/>
  <c r="D62" i="43" s="1"/>
  <c r="D67" i="43" s="1"/>
  <c r="AW63" i="43"/>
  <c r="D63" i="43"/>
  <c r="AV63" i="43"/>
  <c r="D61" i="43"/>
  <c r="AZ18" i="13"/>
  <c r="AZ15" i="13" s="1"/>
  <c r="AZ14" i="13" s="1"/>
  <c r="AZ28" i="13" s="1"/>
  <c r="AZ18" i="43"/>
  <c r="AY63" i="13"/>
  <c r="AY38" i="43"/>
  <c r="AY44" i="43" s="1"/>
  <c r="AY46" i="43" s="1"/>
  <c r="AY56" i="43" s="1"/>
  <c r="AY61" i="43"/>
  <c r="AR38" i="43"/>
  <c r="AR29" i="43"/>
  <c r="BO33" i="34"/>
  <c r="BP31" i="34" s="1"/>
  <c r="BP32" i="34" s="1"/>
  <c r="BP28" i="34" s="1"/>
  <c r="DM59" i="34"/>
  <c r="DM40" i="34" s="1"/>
  <c r="DN52" i="34"/>
  <c r="DG15" i="34"/>
  <c r="DG13" i="34"/>
  <c r="DG35" i="34"/>
  <c r="BN37" i="34"/>
  <c r="DI60" i="34"/>
  <c r="DI58" i="34" s="1"/>
  <c r="DI20" i="34" s="1"/>
  <c r="DJ55" i="34"/>
  <c r="DF36" i="34"/>
  <c r="DF19" i="34"/>
  <c r="DF47" i="34"/>
  <c r="DI7" i="34"/>
  <c r="DH6" i="34"/>
  <c r="DH14" i="34"/>
  <c r="DH24" i="34" s="1"/>
  <c r="BO34" i="34"/>
  <c r="BO39" i="34" s="1"/>
  <c r="BN41" i="34"/>
  <c r="BN42" i="34" s="1"/>
  <c r="BN38" i="34" s="1"/>
  <c r="AQ252" i="22"/>
  <c r="AR250" i="22" s="1"/>
  <c r="AR251" i="22" s="1"/>
  <c r="AR253" i="22" s="1"/>
  <c r="AR254" i="22" s="1"/>
  <c r="BF44" i="34"/>
  <c r="BF45" i="34" s="1"/>
  <c r="BG43" i="34" s="1"/>
  <c r="AX62" i="13"/>
  <c r="AX63" i="13"/>
  <c r="BE51" i="34"/>
  <c r="BD61" i="34"/>
  <c r="AP14" i="23"/>
  <c r="AP24" i="23" s="1"/>
  <c r="AP25" i="23" s="1"/>
  <c r="AY29" i="13"/>
  <c r="AV42" i="13"/>
  <c r="AX5" i="13" s="1"/>
  <c r="AX4" i="13"/>
  <c r="AX39" i="13" s="1"/>
  <c r="AR44" i="13"/>
  <c r="AR46" i="13" s="1"/>
  <c r="AR39" i="13"/>
  <c r="DE29" i="34" l="1"/>
  <c r="DE30" i="34" s="1"/>
  <c r="DF17" i="34"/>
  <c r="DF18" i="34"/>
  <c r="DF25" i="34" s="1"/>
  <c r="DF26" i="34" s="1"/>
  <c r="DF27" i="34" s="1"/>
  <c r="AR44" i="43"/>
  <c r="AR46" i="43" s="1"/>
  <c r="AR39" i="43"/>
  <c r="AZ15" i="43"/>
  <c r="AV42" i="43"/>
  <c r="AX5" i="43" s="1"/>
  <c r="AX4" i="43"/>
  <c r="AY62" i="43"/>
  <c r="AX61" i="43"/>
  <c r="AX38" i="43"/>
  <c r="AX44" i="43" s="1"/>
  <c r="AX46" i="43" s="1"/>
  <c r="AX56" i="43" s="1"/>
  <c r="AX57" i="43" s="1"/>
  <c r="AY57" i="43" s="1"/>
  <c r="BA18" i="13"/>
  <c r="BA15" i="13" s="1"/>
  <c r="BA14" i="13" s="1"/>
  <c r="BA28" i="13" s="1"/>
  <c r="BA61" i="13" s="1"/>
  <c r="BA62" i="13" s="1"/>
  <c r="BA18" i="43"/>
  <c r="BA15" i="43" s="1"/>
  <c r="BA14" i="43" s="1"/>
  <c r="BA28" i="43" s="1"/>
  <c r="DG16" i="34"/>
  <c r="DG49" i="34" s="1"/>
  <c r="DO52" i="34"/>
  <c r="DN59" i="34"/>
  <c r="DN40" i="34" s="1"/>
  <c r="DH15" i="34"/>
  <c r="DH13" i="34"/>
  <c r="DH35" i="34"/>
  <c r="DJ60" i="34"/>
  <c r="DJ58" i="34" s="1"/>
  <c r="DJ20" i="34" s="1"/>
  <c r="DK55" i="34"/>
  <c r="DG18" i="34"/>
  <c r="DG47" i="34"/>
  <c r="DG19" i="34"/>
  <c r="DG36" i="34"/>
  <c r="DG17" i="34"/>
  <c r="DI14" i="34"/>
  <c r="DI24" i="34" s="1"/>
  <c r="DJ7" i="34"/>
  <c r="DI6" i="34"/>
  <c r="BN50" i="34"/>
  <c r="BN46" i="34"/>
  <c r="BO41" i="34"/>
  <c r="BO42" i="34" s="1"/>
  <c r="BO38" i="34" s="1"/>
  <c r="BO46" i="34" s="1"/>
  <c r="BP34" i="34"/>
  <c r="BP39" i="34" s="1"/>
  <c r="BO37" i="34"/>
  <c r="BP33" i="34"/>
  <c r="BQ31" i="34" s="1"/>
  <c r="AR252" i="22"/>
  <c r="AS250" i="22" s="1"/>
  <c r="AS251" i="22" s="1"/>
  <c r="AS253" i="22" s="1"/>
  <c r="AS254" i="22" s="1"/>
  <c r="BG44" i="34"/>
  <c r="BG45" i="34" s="1"/>
  <c r="BH43" i="34" s="1"/>
  <c r="AY4" i="13"/>
  <c r="AY39" i="13" s="1"/>
  <c r="AX42" i="13"/>
  <c r="AY5" i="13" s="1"/>
  <c r="AZ38" i="13"/>
  <c r="AZ44" i="13" s="1"/>
  <c r="AZ46" i="13" s="1"/>
  <c r="AZ56" i="13" s="1"/>
  <c r="AZ57" i="13" s="1"/>
  <c r="AZ61" i="13"/>
  <c r="BE61" i="34"/>
  <c r="BF51" i="34"/>
  <c r="AR42" i="13"/>
  <c r="AW5" i="13" s="1"/>
  <c r="AW4" i="13"/>
  <c r="AQ14" i="23"/>
  <c r="AQ24" i="23" s="1"/>
  <c r="AQ25" i="23" s="1"/>
  <c r="AZ29" i="13"/>
  <c r="DH16" i="34" l="1"/>
  <c r="DF29" i="34"/>
  <c r="DF30" i="34" s="1"/>
  <c r="BA38" i="13"/>
  <c r="BA44" i="13" s="1"/>
  <c r="BA46" i="13" s="1"/>
  <c r="BA56" i="13" s="1"/>
  <c r="BA57" i="13" s="1"/>
  <c r="AX39" i="43"/>
  <c r="AX42" i="43" s="1"/>
  <c r="AY5" i="43" s="1"/>
  <c r="AW15" i="13"/>
  <c r="AW14" i="13" s="1"/>
  <c r="AW28" i="13" s="1"/>
  <c r="AW38" i="13" s="1"/>
  <c r="AW44" i="13" s="1"/>
  <c r="AW46" i="13" s="1"/>
  <c r="AX62" i="43"/>
  <c r="AX63" i="43"/>
  <c r="AR42" i="43"/>
  <c r="AW5" i="43" s="1"/>
  <c r="AW4" i="43"/>
  <c r="AZ14" i="43"/>
  <c r="AZ28" i="43" s="1"/>
  <c r="AW15" i="43"/>
  <c r="AW14" i="43" s="1"/>
  <c r="BC18" i="13"/>
  <c r="BC15" i="13" s="1"/>
  <c r="BC18" i="43"/>
  <c r="BB63" i="13"/>
  <c r="AW18" i="13"/>
  <c r="BA38" i="43"/>
  <c r="BA44" i="43" s="1"/>
  <c r="BA46" i="43" s="1"/>
  <c r="BA56" i="43" s="1"/>
  <c r="BA61" i="43"/>
  <c r="AY63" i="43"/>
  <c r="AW18" i="43"/>
  <c r="DO59" i="34"/>
  <c r="DO40" i="34" s="1"/>
  <c r="DP52" i="34"/>
  <c r="DK7" i="34"/>
  <c r="DJ6" i="34"/>
  <c r="DJ14" i="34"/>
  <c r="DJ24" i="34" s="1"/>
  <c r="DL55" i="34"/>
  <c r="DK60" i="34"/>
  <c r="DK58" i="34" s="1"/>
  <c r="DK20" i="34" s="1"/>
  <c r="DG25" i="34"/>
  <c r="DG26" i="34" s="1"/>
  <c r="DG27" i="34" s="1"/>
  <c r="DG29" i="34"/>
  <c r="DG30" i="34" s="1"/>
  <c r="DI15" i="34"/>
  <c r="DI13" i="34"/>
  <c r="DI16" i="34" s="1"/>
  <c r="DI35" i="34"/>
  <c r="DH47" i="34"/>
  <c r="DH49" i="34"/>
  <c r="DH17" i="34"/>
  <c r="DH36" i="34"/>
  <c r="DH18" i="34"/>
  <c r="DH19" i="34"/>
  <c r="BO50" i="34"/>
  <c r="BP41" i="34"/>
  <c r="BP42" i="34" s="1"/>
  <c r="BP38" i="34" s="1"/>
  <c r="BQ32" i="34"/>
  <c r="BQ28" i="34" s="1"/>
  <c r="BP37" i="34"/>
  <c r="BH44" i="34"/>
  <c r="BH45" i="34" s="1"/>
  <c r="BI43" i="34" s="1"/>
  <c r="AR14" i="23"/>
  <c r="AR24" i="23" s="1"/>
  <c r="AR25" i="23" s="1"/>
  <c r="BA29" i="13"/>
  <c r="AZ62" i="13"/>
  <c r="AZ63" i="13"/>
  <c r="AY42" i="13"/>
  <c r="AZ5" i="13" s="1"/>
  <c r="AZ4" i="13"/>
  <c r="AZ39" i="13" s="1"/>
  <c r="BA63" i="13"/>
  <c r="BF61" i="34"/>
  <c r="BG51" i="34"/>
  <c r="AS252" i="22"/>
  <c r="AT250" i="22" s="1"/>
  <c r="AW29" i="13" l="1"/>
  <c r="AY4" i="43"/>
  <c r="AY39" i="43" s="1"/>
  <c r="AY42" i="43" s="1"/>
  <c r="AZ5" i="43" s="1"/>
  <c r="AW28" i="43"/>
  <c r="AZ61" i="43"/>
  <c r="BA63" i="43" s="1"/>
  <c r="AZ38" i="43"/>
  <c r="AZ44" i="43" s="1"/>
  <c r="AZ46" i="43" s="1"/>
  <c r="AZ56" i="43" s="1"/>
  <c r="AZ57" i="43" s="1"/>
  <c r="BA57" i="43" s="1"/>
  <c r="AZ29" i="43"/>
  <c r="BA29" i="43" s="1"/>
  <c r="BC15" i="43"/>
  <c r="BA62" i="43"/>
  <c r="DH25" i="34"/>
  <c r="DH26" i="34" s="1"/>
  <c r="DH27" i="34" s="1"/>
  <c r="DQ52" i="34"/>
  <c r="DP59" i="34"/>
  <c r="DP40" i="34" s="1"/>
  <c r="DI47" i="34"/>
  <c r="DI19" i="34"/>
  <c r="DI17" i="34"/>
  <c r="DI18" i="34"/>
  <c r="DI36" i="34"/>
  <c r="DI49" i="34"/>
  <c r="DH29" i="34"/>
  <c r="DH30" i="34" s="1"/>
  <c r="DM55" i="34"/>
  <c r="DL60" i="34"/>
  <c r="DL58" i="34" s="1"/>
  <c r="DL20" i="34" s="1"/>
  <c r="BQ33" i="34"/>
  <c r="BR31" i="34" s="1"/>
  <c r="BR32" i="34" s="1"/>
  <c r="BR28" i="34" s="1"/>
  <c r="DJ13" i="34"/>
  <c r="DJ35" i="34"/>
  <c r="DJ15" i="34"/>
  <c r="DK6" i="34"/>
  <c r="DL7" i="34"/>
  <c r="DK14" i="34"/>
  <c r="DK24" i="34" s="1"/>
  <c r="BP50" i="34"/>
  <c r="BP46" i="34"/>
  <c r="BQ34" i="34"/>
  <c r="BQ39" i="34" s="1"/>
  <c r="BI44" i="34"/>
  <c r="BI45" i="34" s="1"/>
  <c r="BJ43" i="34" s="1"/>
  <c r="BH51" i="34"/>
  <c r="BG61" i="34"/>
  <c r="AZ42" i="13"/>
  <c r="BA5" i="13" s="1"/>
  <c r="BA4" i="13"/>
  <c r="BA39" i="13" s="1"/>
  <c r="AS14" i="23"/>
  <c r="AS24" i="23" s="1"/>
  <c r="AS25" i="23" s="1"/>
  <c r="BC14" i="13"/>
  <c r="BC28" i="13" s="1"/>
  <c r="AW39" i="13"/>
  <c r="AT251" i="22"/>
  <c r="AT253" i="22" s="1"/>
  <c r="AT254" i="22" s="1"/>
  <c r="DI29" i="34" l="1"/>
  <c r="DI30" i="34" s="1"/>
  <c r="AZ4" i="43"/>
  <c r="AZ39" i="43" s="1"/>
  <c r="BB63" i="43"/>
  <c r="AW38" i="43"/>
  <c r="AW29" i="43"/>
  <c r="BC14" i="43"/>
  <c r="BC28" i="43" s="1"/>
  <c r="BD18" i="13"/>
  <c r="BD15" i="13" s="1"/>
  <c r="BD18" i="43"/>
  <c r="AZ62" i="43"/>
  <c r="AZ63" i="43"/>
  <c r="DJ16" i="34"/>
  <c r="DJ49" i="34" s="1"/>
  <c r="DI25" i="34"/>
  <c r="DI26" i="34" s="1"/>
  <c r="DI27" i="34" s="1"/>
  <c r="DR52" i="34"/>
  <c r="DQ59" i="34"/>
  <c r="DQ40" i="34" s="1"/>
  <c r="DK35" i="34"/>
  <c r="DK15" i="34"/>
  <c r="DK13" i="34"/>
  <c r="DJ47" i="34"/>
  <c r="DJ18" i="34"/>
  <c r="DJ17" i="34"/>
  <c r="DN55" i="34"/>
  <c r="DM60" i="34"/>
  <c r="DM58" i="34" s="1"/>
  <c r="DM20" i="34" s="1"/>
  <c r="DM7" i="34"/>
  <c r="DL6" i="34"/>
  <c r="DL14" i="34"/>
  <c r="DL24" i="34" s="1"/>
  <c r="BR34" i="34"/>
  <c r="BR39" i="34" s="1"/>
  <c r="BQ37" i="34"/>
  <c r="BR33" i="34"/>
  <c r="BS31" i="34" s="1"/>
  <c r="BQ41" i="34"/>
  <c r="BQ42" i="34" s="1"/>
  <c r="BQ38" i="34" s="1"/>
  <c r="AT252" i="22"/>
  <c r="AU250" i="22" s="1"/>
  <c r="AU251" i="22" s="1"/>
  <c r="AU253" i="22" s="1"/>
  <c r="AU254" i="22" s="1"/>
  <c r="BC61" i="13"/>
  <c r="BC38" i="13"/>
  <c r="BC44" i="13" s="1"/>
  <c r="BC46" i="13" s="1"/>
  <c r="BC56" i="13" s="1"/>
  <c r="BC57" i="13" s="1"/>
  <c r="BJ44" i="34"/>
  <c r="BJ45" i="34" s="1"/>
  <c r="BK43" i="34" s="1"/>
  <c r="BC4" i="13"/>
  <c r="BA42" i="13"/>
  <c r="BC5" i="13" s="1"/>
  <c r="BI51" i="34"/>
  <c r="BH61" i="34"/>
  <c r="BB4" i="13"/>
  <c r="AW42" i="13"/>
  <c r="BB5" i="13" s="1"/>
  <c r="BC29" i="13"/>
  <c r="DJ36" i="34" l="1"/>
  <c r="DJ19" i="34"/>
  <c r="BE18" i="13"/>
  <c r="BE15" i="13" s="1"/>
  <c r="BE14" i="13" s="1"/>
  <c r="BE28" i="13" s="1"/>
  <c r="BE61" i="13" s="1"/>
  <c r="BE18" i="43"/>
  <c r="BE15" i="43" s="1"/>
  <c r="BE14" i="43" s="1"/>
  <c r="BE28" i="43" s="1"/>
  <c r="AW44" i="43"/>
  <c r="AW46" i="43" s="1"/>
  <c r="AW39" i="43"/>
  <c r="BC61" i="43"/>
  <c r="BC38" i="43"/>
  <c r="BC44" i="43" s="1"/>
  <c r="BC46" i="43" s="1"/>
  <c r="BC56" i="43" s="1"/>
  <c r="BC57" i="43" s="1"/>
  <c r="BA4" i="43"/>
  <c r="BA39" i="43" s="1"/>
  <c r="AZ42" i="43"/>
  <c r="BA5" i="43" s="1"/>
  <c r="BD15" i="43"/>
  <c r="BC29" i="43"/>
  <c r="DS52" i="34"/>
  <c r="DR59" i="34"/>
  <c r="DR40" i="34" s="1"/>
  <c r="DM6" i="34"/>
  <c r="DM14" i="34"/>
  <c r="DM24" i="34" s="1"/>
  <c r="DN7" i="34"/>
  <c r="DJ25" i="34"/>
  <c r="DJ26" i="34" s="1"/>
  <c r="DJ27" i="34" s="1"/>
  <c r="DN60" i="34"/>
  <c r="DN58" i="34" s="1"/>
  <c r="DN20" i="34" s="1"/>
  <c r="DO55" i="34"/>
  <c r="DK16" i="34"/>
  <c r="DL13" i="34"/>
  <c r="DL35" i="34"/>
  <c r="DL15" i="34"/>
  <c r="DJ29" i="34"/>
  <c r="DJ30" i="34" s="1"/>
  <c r="BQ46" i="34"/>
  <c r="BQ50" i="34"/>
  <c r="BR37" i="34"/>
  <c r="BR41" i="34"/>
  <c r="BR42" i="34" s="1"/>
  <c r="BR38" i="34" s="1"/>
  <c r="BR46" i="34" s="1"/>
  <c r="BS32" i="34"/>
  <c r="BS28" i="34" s="1"/>
  <c r="BC39" i="13"/>
  <c r="BC42" i="13" s="1"/>
  <c r="BD5" i="13" s="1"/>
  <c r="BK44" i="34"/>
  <c r="BK45" i="34" s="1"/>
  <c r="BL43" i="34" s="1"/>
  <c r="BI61" i="34"/>
  <c r="BJ51" i="34"/>
  <c r="BD14" i="13"/>
  <c r="BD28" i="13" s="1"/>
  <c r="BD29" i="13" s="1"/>
  <c r="BC62" i="13"/>
  <c r="BC63" i="13"/>
  <c r="AT14" i="23"/>
  <c r="AT24" i="23" s="1"/>
  <c r="AT25" i="23" s="1"/>
  <c r="AU252" i="22"/>
  <c r="AV250" i="22" s="1"/>
  <c r="BE38" i="13" l="1"/>
  <c r="BE44" i="13" s="1"/>
  <c r="BE46" i="13" s="1"/>
  <c r="BE56" i="13" s="1"/>
  <c r="BD14" i="43"/>
  <c r="BD28" i="43" s="1"/>
  <c r="BE61" i="43"/>
  <c r="BE38" i="43"/>
  <c r="BE44" i="43" s="1"/>
  <c r="BE46" i="43" s="1"/>
  <c r="BE56" i="43" s="1"/>
  <c r="AW42" i="43"/>
  <c r="BB5" i="43" s="1"/>
  <c r="BB4" i="43"/>
  <c r="BA42" i="43"/>
  <c r="BC5" i="43" s="1"/>
  <c r="BC4" i="43"/>
  <c r="BC39" i="43" s="1"/>
  <c r="BC62" i="43"/>
  <c r="BC63" i="43"/>
  <c r="DS59" i="34"/>
  <c r="DS40" i="34" s="1"/>
  <c r="DT52" i="34"/>
  <c r="BS33" i="34"/>
  <c r="BT31" i="34" s="1"/>
  <c r="DN6" i="34"/>
  <c r="DN14" i="34"/>
  <c r="DN24" i="34" s="1"/>
  <c r="DO7" i="34"/>
  <c r="DL16" i="34"/>
  <c r="DO60" i="34"/>
  <c r="DO58" i="34" s="1"/>
  <c r="DO20" i="34" s="1"/>
  <c r="DP55" i="34"/>
  <c r="DK19" i="34"/>
  <c r="DK18" i="34"/>
  <c r="DK17" i="34"/>
  <c r="DK49" i="34"/>
  <c r="DK36" i="34"/>
  <c r="DK47" i="34"/>
  <c r="DM13" i="34"/>
  <c r="DM15" i="34"/>
  <c r="DM35" i="34"/>
  <c r="BS34" i="34"/>
  <c r="BS39" i="34" s="1"/>
  <c r="BR50" i="34"/>
  <c r="BT32" i="34"/>
  <c r="BT28" i="34" s="1"/>
  <c r="BD4" i="13"/>
  <c r="BL44" i="34"/>
  <c r="BL45" i="34" s="1"/>
  <c r="BM43" i="34" s="1"/>
  <c r="BE62" i="13"/>
  <c r="AV251" i="22"/>
  <c r="AV253" i="22" s="1"/>
  <c r="AU14" i="23"/>
  <c r="AU24" i="23" s="1"/>
  <c r="AU25" i="23" s="1"/>
  <c r="BE29" i="13"/>
  <c r="BD38" i="13"/>
  <c r="BD44" i="13" s="1"/>
  <c r="BD46" i="13" s="1"/>
  <c r="BD56" i="13" s="1"/>
  <c r="BD57" i="13" s="1"/>
  <c r="BD61" i="13"/>
  <c r="BK51" i="34"/>
  <c r="BJ61" i="34"/>
  <c r="DM16" i="34" l="1"/>
  <c r="BE57" i="13"/>
  <c r="BD61" i="43"/>
  <c r="BE63" i="43" s="1"/>
  <c r="BD38" i="43"/>
  <c r="BD44" i="43" s="1"/>
  <c r="BD46" i="43" s="1"/>
  <c r="BD56" i="43" s="1"/>
  <c r="BD57" i="43" s="1"/>
  <c r="BE57" i="43" s="1"/>
  <c r="BC42" i="43"/>
  <c r="BD5" i="43" s="1"/>
  <c r="BD4" i="43"/>
  <c r="BE62" i="43"/>
  <c r="BD29" i="43"/>
  <c r="BE29" i="43" s="1"/>
  <c r="BS37" i="34"/>
  <c r="DU52" i="34"/>
  <c r="DT59" i="34"/>
  <c r="DT40" i="34" s="1"/>
  <c r="BT33" i="34"/>
  <c r="BU31" i="34" s="1"/>
  <c r="DM47" i="34"/>
  <c r="DM18" i="34"/>
  <c r="DM17" i="34"/>
  <c r="DM36" i="34"/>
  <c r="DM19" i="34"/>
  <c r="DM49" i="34"/>
  <c r="DP60" i="34"/>
  <c r="DP58" i="34" s="1"/>
  <c r="DP20" i="34" s="1"/>
  <c r="DQ55" i="34"/>
  <c r="DN15" i="34"/>
  <c r="DN13" i="34"/>
  <c r="DN35" i="34"/>
  <c r="DK25" i="34"/>
  <c r="DK26" i="34" s="1"/>
  <c r="DK27" i="34" s="1"/>
  <c r="DK29" i="34"/>
  <c r="DK30" i="34" s="1"/>
  <c r="DO6" i="34"/>
  <c r="DO14" i="34"/>
  <c r="DO24" i="34" s="1"/>
  <c r="DP7" i="34"/>
  <c r="DL17" i="34"/>
  <c r="DL19" i="34"/>
  <c r="DL49" i="34"/>
  <c r="DL18" i="34"/>
  <c r="DL47" i="34"/>
  <c r="DL36" i="34"/>
  <c r="BT34" i="34"/>
  <c r="BT39" i="34" s="1"/>
  <c r="BU32" i="34"/>
  <c r="BU28" i="34" s="1"/>
  <c r="BS41" i="34"/>
  <c r="BS42" i="34" s="1"/>
  <c r="BS38" i="34" s="1"/>
  <c r="BD39" i="13"/>
  <c r="BE4" i="13" s="1"/>
  <c r="BE39" i="13" s="1"/>
  <c r="AV252" i="22"/>
  <c r="AV254" i="22" s="1"/>
  <c r="BF18" i="43" s="1"/>
  <c r="AV14" i="23"/>
  <c r="AV24" i="23" s="1"/>
  <c r="AV25" i="23" s="1"/>
  <c r="BM44" i="34"/>
  <c r="BM45" i="34" s="1"/>
  <c r="BN43" i="34" s="1"/>
  <c r="BD62" i="13"/>
  <c r="BD63" i="13"/>
  <c r="BK61" i="34"/>
  <c r="BL51" i="34"/>
  <c r="BE63" i="13"/>
  <c r="DN16" i="34" l="1"/>
  <c r="BD62" i="43"/>
  <c r="BD63" i="43"/>
  <c r="BF15" i="43"/>
  <c r="BB18" i="43"/>
  <c r="C18" i="43" s="1"/>
  <c r="C15" i="43" s="1"/>
  <c r="BD39" i="43"/>
  <c r="DU59" i="34"/>
  <c r="DU40" i="34" s="1"/>
  <c r="DV52" i="34"/>
  <c r="DN47" i="34"/>
  <c r="DN18" i="34"/>
  <c r="DN17" i="34"/>
  <c r="DN36" i="34"/>
  <c r="DN49" i="34"/>
  <c r="DN19" i="34"/>
  <c r="DR55" i="34"/>
  <c r="DQ60" i="34"/>
  <c r="DQ58" i="34" s="1"/>
  <c r="DQ20" i="34" s="1"/>
  <c r="DO13" i="34"/>
  <c r="DO35" i="34"/>
  <c r="DO15" i="34"/>
  <c r="DM29" i="34"/>
  <c r="DM30" i="34" s="1"/>
  <c r="DM25" i="34"/>
  <c r="DM26" i="34" s="1"/>
  <c r="DM27" i="34" s="1"/>
  <c r="DL25" i="34"/>
  <c r="DL26" i="34" s="1"/>
  <c r="DL27" i="34" s="1"/>
  <c r="DL29" i="34"/>
  <c r="DL30" i="34" s="1"/>
  <c r="DQ7" i="34"/>
  <c r="DP14" i="34"/>
  <c r="DP24" i="34" s="1"/>
  <c r="DP6" i="34"/>
  <c r="BS50" i="34"/>
  <c r="BS46" i="34"/>
  <c r="BU34" i="34"/>
  <c r="BU39" i="34" s="1"/>
  <c r="BU33" i="34"/>
  <c r="BV31" i="34" s="1"/>
  <c r="BT37" i="34"/>
  <c r="BT41" i="34"/>
  <c r="BT42" i="34" s="1"/>
  <c r="BT38" i="34" s="1"/>
  <c r="BD42" i="13"/>
  <c r="BE5" i="13" s="1"/>
  <c r="BN44" i="34"/>
  <c r="BN45" i="34" s="1"/>
  <c r="BO43" i="34" s="1"/>
  <c r="BL61" i="34"/>
  <c r="BM51" i="34"/>
  <c r="BE42" i="13"/>
  <c r="BF5" i="13" s="1"/>
  <c r="BF4" i="13"/>
  <c r="BF18" i="13"/>
  <c r="AW235" i="22"/>
  <c r="D254" i="22"/>
  <c r="BF14" i="43" l="1"/>
  <c r="BF28" i="43" s="1"/>
  <c r="BB15" i="43"/>
  <c r="BB14" i="43" s="1"/>
  <c r="BD42" i="43"/>
  <c r="BE5" i="43" s="1"/>
  <c r="BE4" i="43"/>
  <c r="BE39" i="43" s="1"/>
  <c r="DW52" i="34"/>
  <c r="DV59" i="34"/>
  <c r="DV40" i="34" s="1"/>
  <c r="DP15" i="34"/>
  <c r="DP13" i="34"/>
  <c r="DP35" i="34"/>
  <c r="DS55" i="34"/>
  <c r="DR60" i="34"/>
  <c r="DR58" i="34" s="1"/>
  <c r="DR20" i="34" s="1"/>
  <c r="DN25" i="34"/>
  <c r="DN26" i="34" s="1"/>
  <c r="DN27" i="34" s="1"/>
  <c r="DN29" i="34"/>
  <c r="DN30" i="34" s="1"/>
  <c r="DQ6" i="34"/>
  <c r="DR7" i="34"/>
  <c r="DQ14" i="34"/>
  <c r="DQ24" i="34" s="1"/>
  <c r="DO16" i="34"/>
  <c r="BT50" i="34"/>
  <c r="BT46" i="34"/>
  <c r="BU41" i="34"/>
  <c r="BU42" i="34" s="1"/>
  <c r="BU38" i="34" s="1"/>
  <c r="BV32" i="34"/>
  <c r="BV28" i="34" s="1"/>
  <c r="BU37" i="34"/>
  <c r="C201" i="22"/>
  <c r="D201" i="22"/>
  <c r="BO44" i="34"/>
  <c r="BO45" i="34" s="1"/>
  <c r="BP43" i="34" s="1"/>
  <c r="BF15" i="13"/>
  <c r="BB18" i="13"/>
  <c r="C18" i="13" s="1"/>
  <c r="C15" i="13" s="1"/>
  <c r="O24" i="10"/>
  <c r="AW236" i="22"/>
  <c r="AB24" i="10" s="1"/>
  <c r="BN51" i="34"/>
  <c r="BM61" i="34"/>
  <c r="BB28" i="43" l="1"/>
  <c r="C14" i="43"/>
  <c r="C28" i="43" s="1"/>
  <c r="C38" i="43" s="1"/>
  <c r="BE42" i="43"/>
  <c r="BF5" i="43" s="1"/>
  <c r="BF4" i="43"/>
  <c r="BF61" i="43"/>
  <c r="BF38" i="43"/>
  <c r="BF44" i="43" s="1"/>
  <c r="BF46" i="43" s="1"/>
  <c r="BF56" i="43" s="1"/>
  <c r="BF57" i="43" s="1"/>
  <c r="C57" i="43" s="1"/>
  <c r="BF29" i="43"/>
  <c r="C29" i="43" s="1"/>
  <c r="DP16" i="34"/>
  <c r="DP47" i="34" s="1"/>
  <c r="DX52" i="34"/>
  <c r="DW59" i="34"/>
  <c r="DW40" i="34" s="1"/>
  <c r="DO19" i="34"/>
  <c r="DO17" i="34"/>
  <c r="DO49" i="34"/>
  <c r="DO18" i="34"/>
  <c r="DO36" i="34"/>
  <c r="DO47" i="34"/>
  <c r="DR6" i="34"/>
  <c r="DR14" i="34"/>
  <c r="DR24" i="34" s="1"/>
  <c r="DS7" i="34"/>
  <c r="DQ15" i="34"/>
  <c r="DQ13" i="34"/>
  <c r="DQ35" i="34"/>
  <c r="BV33" i="34"/>
  <c r="BW31" i="34" s="1"/>
  <c r="BW32" i="34" s="1"/>
  <c r="BW28" i="34" s="1"/>
  <c r="DS60" i="34"/>
  <c r="DS58" i="34" s="1"/>
  <c r="DS20" i="34" s="1"/>
  <c r="DT55" i="34"/>
  <c r="BU46" i="34"/>
  <c r="BU50" i="34"/>
  <c r="BV34" i="34"/>
  <c r="BV39" i="34" s="1"/>
  <c r="O19" i="10"/>
  <c r="D210" i="22"/>
  <c r="D204" i="22"/>
  <c r="D203" i="22"/>
  <c r="D206" i="22"/>
  <c r="D205" i="22"/>
  <c r="D213" i="22"/>
  <c r="D209" i="22"/>
  <c r="D208" i="22"/>
  <c r="D207" i="22"/>
  <c r="D212" i="22"/>
  <c r="D202" i="22"/>
  <c r="AG43" i="29"/>
  <c r="AG44" i="29" s="1"/>
  <c r="H24" i="31"/>
  <c r="H20" i="31" s="1"/>
  <c r="AB25" i="10"/>
  <c r="BP44" i="34"/>
  <c r="BP45" i="34" s="1"/>
  <c r="BQ43" i="34" s="1"/>
  <c r="BO51" i="34"/>
  <c r="BN61" i="34"/>
  <c r="BF14" i="13"/>
  <c r="BF28" i="13" s="1"/>
  <c r="BB15" i="13"/>
  <c r="BB14" i="13" s="1"/>
  <c r="F24" i="31"/>
  <c r="G43" i="29"/>
  <c r="AW237" i="22"/>
  <c r="DP17" i="34" l="1"/>
  <c r="DP18" i="34"/>
  <c r="DP19" i="34"/>
  <c r="DP36" i="34"/>
  <c r="DP49" i="34"/>
  <c r="BF39" i="43"/>
  <c r="BF42" i="43" s="1"/>
  <c r="C44" i="43"/>
  <c r="C46" i="43" s="1"/>
  <c r="C56" i="43" s="1"/>
  <c r="C39" i="43"/>
  <c r="BF62" i="43"/>
  <c r="BF63" i="43"/>
  <c r="BB38" i="43"/>
  <c r="BB29" i="43"/>
  <c r="DQ16" i="34"/>
  <c r="DQ36" i="34" s="1"/>
  <c r="DX59" i="34"/>
  <c r="DX40" i="34" s="1"/>
  <c r="DY52" i="34"/>
  <c r="DQ17" i="34"/>
  <c r="DO25" i="34"/>
  <c r="DO26" i="34" s="1"/>
  <c r="DO27" i="34" s="1"/>
  <c r="DO29" i="34"/>
  <c r="DO30" i="34" s="1"/>
  <c r="DT7" i="34"/>
  <c r="DS6" i="34"/>
  <c r="DS14" i="34"/>
  <c r="DS24" i="34" s="1"/>
  <c r="BW33" i="34"/>
  <c r="BX31" i="34" s="1"/>
  <c r="DU55" i="34"/>
  <c r="DT60" i="34"/>
  <c r="DT58" i="34" s="1"/>
  <c r="DT20" i="34" s="1"/>
  <c r="DR35" i="34"/>
  <c r="DR15" i="34"/>
  <c r="DR13" i="34"/>
  <c r="DP29" i="34"/>
  <c r="DP30" i="34" s="1"/>
  <c r="DP25" i="34"/>
  <c r="DP26" i="34" s="1"/>
  <c r="DP27" i="34" s="1"/>
  <c r="BW34" i="34"/>
  <c r="BW39" i="34" s="1"/>
  <c r="BV41" i="34"/>
  <c r="BV42" i="34" s="1"/>
  <c r="BV38" i="34" s="1"/>
  <c r="BV37" i="34"/>
  <c r="BQ44" i="34"/>
  <c r="BQ45" i="34" s="1"/>
  <c r="BR43" i="34" s="1"/>
  <c r="BB28" i="13"/>
  <c r="C14" i="13"/>
  <c r="C28" i="13" s="1"/>
  <c r="C38" i="13" s="1"/>
  <c r="AO24" i="10"/>
  <c r="AW238" i="22"/>
  <c r="BP51" i="34"/>
  <c r="BO61" i="34"/>
  <c r="H25" i="31"/>
  <c r="H26" i="31" s="1"/>
  <c r="H21" i="31"/>
  <c r="U19" i="10"/>
  <c r="C207" i="22"/>
  <c r="C205" i="22"/>
  <c r="S19" i="10"/>
  <c r="C210" i="22"/>
  <c r="X19" i="10"/>
  <c r="C206" i="22"/>
  <c r="T19" i="10"/>
  <c r="Z19" i="10"/>
  <c r="C212" i="22"/>
  <c r="AA19" i="10"/>
  <c r="C213" i="22"/>
  <c r="R19" i="10"/>
  <c r="C204" i="22"/>
  <c r="C208" i="22"/>
  <c r="V19" i="10"/>
  <c r="O31" i="10"/>
  <c r="B343" i="11"/>
  <c r="O28" i="10"/>
  <c r="G53" i="9" s="1"/>
  <c r="F19" i="31"/>
  <c r="BF38" i="13"/>
  <c r="BF61" i="13"/>
  <c r="BF29" i="13"/>
  <c r="C202" i="22"/>
  <c r="P19" i="10"/>
  <c r="C209" i="22"/>
  <c r="W19" i="10"/>
  <c r="Q19" i="10"/>
  <c r="C203" i="22"/>
  <c r="DQ19" i="34" l="1"/>
  <c r="DQ18" i="34"/>
  <c r="DQ29" i="34" s="1"/>
  <c r="DQ30" i="34" s="1"/>
  <c r="DQ49" i="34"/>
  <c r="DQ47" i="34"/>
  <c r="C42" i="43"/>
  <c r="BB44" i="43"/>
  <c r="BB46" i="43" s="1"/>
  <c r="BB39" i="43"/>
  <c r="BB42" i="43" s="1"/>
  <c r="BX32" i="34"/>
  <c r="BX28" i="34" s="1"/>
  <c r="BX34" i="34" s="1"/>
  <c r="BX39" i="34" s="1"/>
  <c r="DR16" i="34"/>
  <c r="DR49" i="34" s="1"/>
  <c r="DZ52" i="34"/>
  <c r="DY59" i="34"/>
  <c r="DY40" i="34" s="1"/>
  <c r="DQ25" i="34"/>
  <c r="DQ26" i="34" s="1"/>
  <c r="DQ27" i="34" s="1"/>
  <c r="DS35" i="34"/>
  <c r="DS15" i="34"/>
  <c r="DS16" i="34" s="1"/>
  <c r="DS13" i="34"/>
  <c r="DV55" i="34"/>
  <c r="DU60" i="34"/>
  <c r="DU58" i="34" s="1"/>
  <c r="DU20" i="34" s="1"/>
  <c r="DT6" i="34"/>
  <c r="DT14" i="34"/>
  <c r="DT24" i="34" s="1"/>
  <c r="DU7" i="34"/>
  <c r="BV50" i="34"/>
  <c r="BV46" i="34"/>
  <c r="BW37" i="34"/>
  <c r="BW41" i="34"/>
  <c r="BW42" i="34" s="1"/>
  <c r="BW38" i="34" s="1"/>
  <c r="J24" i="31"/>
  <c r="BG43" i="29"/>
  <c r="BG44" i="29" s="1"/>
  <c r="AO25" i="10"/>
  <c r="BR44" i="34"/>
  <c r="BR45" i="34" s="1"/>
  <c r="BS43" i="34" s="1"/>
  <c r="J19" i="10"/>
  <c r="J31" i="10" s="1"/>
  <c r="W31" i="10"/>
  <c r="W20" i="10"/>
  <c r="AW14" i="23"/>
  <c r="C29" i="13"/>
  <c r="F52" i="9"/>
  <c r="C52" i="9" s="1"/>
  <c r="G19" i="10"/>
  <c r="G31" i="10" s="1"/>
  <c r="T31" i="10"/>
  <c r="T20" i="10"/>
  <c r="F19" i="10"/>
  <c r="F31" i="10" s="1"/>
  <c r="T37" i="29"/>
  <c r="Z37" i="29"/>
  <c r="S31" i="10"/>
  <c r="R37" i="29"/>
  <c r="X37" i="29"/>
  <c r="V37" i="29"/>
  <c r="S20" i="10"/>
  <c r="BB24" i="10"/>
  <c r="AW239" i="22"/>
  <c r="BF62" i="13"/>
  <c r="BF63" i="13"/>
  <c r="Q31" i="10"/>
  <c r="L37" i="29"/>
  <c r="D19" i="10"/>
  <c r="Q28" i="10"/>
  <c r="Q20" i="10"/>
  <c r="F20" i="31"/>
  <c r="I19" i="10"/>
  <c r="I31" i="10" s="1"/>
  <c r="V31" i="10"/>
  <c r="V20" i="10"/>
  <c r="R31" i="10"/>
  <c r="E19" i="10"/>
  <c r="F10" i="40" s="1"/>
  <c r="F5" i="40" s="1"/>
  <c r="F11" i="40" s="1"/>
  <c r="N37" i="29"/>
  <c r="R20" i="10"/>
  <c r="Z31" i="10"/>
  <c r="M19" i="10"/>
  <c r="AD37" i="29"/>
  <c r="Z28" i="10"/>
  <c r="Z20" i="10"/>
  <c r="H19" i="10"/>
  <c r="H31" i="10" s="1"/>
  <c r="U31" i="10"/>
  <c r="U20" i="10"/>
  <c r="BP61" i="34"/>
  <c r="BQ51" i="34"/>
  <c r="BB38" i="13"/>
  <c r="AH47" i="29"/>
  <c r="BB29" i="13"/>
  <c r="AI343" i="11"/>
  <c r="AI342" i="11" s="1"/>
  <c r="AI349" i="11" s="1"/>
  <c r="N343" i="11"/>
  <c r="N342" i="11" s="1"/>
  <c r="N349" i="11" s="1"/>
  <c r="N350" i="11" s="1"/>
  <c r="AE343" i="11"/>
  <c r="AE342" i="11" s="1"/>
  <c r="AE349" i="11" s="1"/>
  <c r="AM343" i="11"/>
  <c r="AM342" i="11" s="1"/>
  <c r="AM349" i="11" s="1"/>
  <c r="AT343" i="11"/>
  <c r="AT342" i="11" s="1"/>
  <c r="AT349" i="11" s="1"/>
  <c r="AQ343" i="11"/>
  <c r="AQ342" i="11" s="1"/>
  <c r="AQ349" i="11" s="1"/>
  <c r="T343" i="11"/>
  <c r="T342" i="11" s="1"/>
  <c r="T349" i="11" s="1"/>
  <c r="P343" i="11"/>
  <c r="P342" i="11" s="1"/>
  <c r="P349" i="11" s="1"/>
  <c r="W343" i="11"/>
  <c r="W342" i="11" s="1"/>
  <c r="W349" i="11" s="1"/>
  <c r="Y343" i="11"/>
  <c r="Y342" i="11" s="1"/>
  <c r="Y349" i="11" s="1"/>
  <c r="O343" i="11"/>
  <c r="O342" i="11" s="1"/>
  <c r="O349" i="11" s="1"/>
  <c r="O350" i="11" s="1"/>
  <c r="D343" i="11"/>
  <c r="D342" i="11" s="1"/>
  <c r="D349" i="11" s="1"/>
  <c r="AH343" i="11"/>
  <c r="AH342" i="11" s="1"/>
  <c r="AH349" i="11" s="1"/>
  <c r="AR343" i="11"/>
  <c r="AR342" i="11" s="1"/>
  <c r="AR349" i="11" s="1"/>
  <c r="X343" i="11"/>
  <c r="X342" i="11" s="1"/>
  <c r="X349" i="11" s="1"/>
  <c r="AG343" i="11"/>
  <c r="AG342" i="11" s="1"/>
  <c r="AG349" i="11" s="1"/>
  <c r="AK343" i="11"/>
  <c r="AK342" i="11" s="1"/>
  <c r="AK349" i="11" s="1"/>
  <c r="AD343" i="11"/>
  <c r="AD342" i="11" s="1"/>
  <c r="AD349" i="11" s="1"/>
  <c r="E343" i="11"/>
  <c r="E342" i="11" s="1"/>
  <c r="E349" i="11" s="1"/>
  <c r="AN343" i="11"/>
  <c r="AN342" i="11" s="1"/>
  <c r="AN349" i="11" s="1"/>
  <c r="AB343" i="11"/>
  <c r="AB342" i="11" s="1"/>
  <c r="AB349" i="11" s="1"/>
  <c r="C343" i="11"/>
  <c r="C342" i="11" s="1"/>
  <c r="G343" i="11"/>
  <c r="G342" i="11" s="1"/>
  <c r="G349" i="11" s="1"/>
  <c r="R343" i="11"/>
  <c r="R342" i="11" s="1"/>
  <c r="R349" i="11" s="1"/>
  <c r="AJ343" i="11"/>
  <c r="AJ342" i="11" s="1"/>
  <c r="AJ349" i="11" s="1"/>
  <c r="H343" i="11"/>
  <c r="H342" i="11" s="1"/>
  <c r="H349" i="11" s="1"/>
  <c r="H350" i="11" s="1"/>
  <c r="AS343" i="11"/>
  <c r="AS342" i="11" s="1"/>
  <c r="AS349" i="11" s="1"/>
  <c r="F343" i="11"/>
  <c r="F342" i="11" s="1"/>
  <c r="F349" i="11" s="1"/>
  <c r="Z343" i="11"/>
  <c r="Z342" i="11" s="1"/>
  <c r="Z349" i="11" s="1"/>
  <c r="AC343" i="11"/>
  <c r="AC342" i="11" s="1"/>
  <c r="AC349" i="11" s="1"/>
  <c r="L343" i="11"/>
  <c r="L342" i="11" s="1"/>
  <c r="L349" i="11" s="1"/>
  <c r="L350" i="11" s="1"/>
  <c r="S343" i="11"/>
  <c r="S342" i="11" s="1"/>
  <c r="S349" i="11" s="1"/>
  <c r="AP343" i="11"/>
  <c r="AP342" i="11" s="1"/>
  <c r="AP349" i="11" s="1"/>
  <c r="I343" i="11"/>
  <c r="I342" i="11" s="1"/>
  <c r="I349" i="11" s="1"/>
  <c r="I350" i="11" s="1"/>
  <c r="AF343" i="11"/>
  <c r="AF342" i="11" s="1"/>
  <c r="AF349" i="11" s="1"/>
  <c r="V343" i="11"/>
  <c r="V342" i="11" s="1"/>
  <c r="V349" i="11" s="1"/>
  <c r="Q343" i="11"/>
  <c r="Q342" i="11" s="1"/>
  <c r="Q349" i="11" s="1"/>
  <c r="AL343" i="11"/>
  <c r="AL342" i="11" s="1"/>
  <c r="AL349" i="11" s="1"/>
  <c r="K343" i="11"/>
  <c r="K342" i="11" s="1"/>
  <c r="K349" i="11" s="1"/>
  <c r="K350" i="11" s="1"/>
  <c r="AA343" i="11"/>
  <c r="AA342" i="11" s="1"/>
  <c r="AA349" i="11" s="1"/>
  <c r="J343" i="11"/>
  <c r="J342" i="11" s="1"/>
  <c r="J349" i="11" s="1"/>
  <c r="J350" i="11" s="1"/>
  <c r="M343" i="11"/>
  <c r="M342" i="11" s="1"/>
  <c r="M349" i="11" s="1"/>
  <c r="M350" i="11" s="1"/>
  <c r="U343" i="11"/>
  <c r="U342" i="11" s="1"/>
  <c r="U349" i="11" s="1"/>
  <c r="AO343" i="11"/>
  <c r="AO342" i="11" s="1"/>
  <c r="AO349" i="11" s="1"/>
  <c r="N19" i="10"/>
  <c r="N31" i="10" s="1"/>
  <c r="AA31" i="10"/>
  <c r="AF37" i="29"/>
  <c r="AA20" i="10"/>
  <c r="C19" i="10"/>
  <c r="P31" i="10"/>
  <c r="J37" i="29"/>
  <c r="P20" i="10"/>
  <c r="P28" i="10"/>
  <c r="BF44" i="13"/>
  <c r="BF46" i="13" s="1"/>
  <c r="BF56" i="13" s="1"/>
  <c r="BF57" i="13" s="1"/>
  <c r="C57" i="13" s="1"/>
  <c r="BF39" i="13"/>
  <c r="BF42" i="13" s="1"/>
  <c r="X31" i="10"/>
  <c r="K19" i="10"/>
  <c r="K31" i="10" s="1"/>
  <c r="X20" i="10"/>
  <c r="C44" i="13"/>
  <c r="C46" i="13" s="1"/>
  <c r="C56" i="13" s="1"/>
  <c r="C39" i="13"/>
  <c r="DR36" i="34" l="1"/>
  <c r="DR17" i="34"/>
  <c r="DR18" i="34"/>
  <c r="B9" i="41"/>
  <c r="B6" i="41" s="1"/>
  <c r="B5" i="41" s="1"/>
  <c r="D10" i="40"/>
  <c r="E9" i="41"/>
  <c r="E6" i="41" s="1"/>
  <c r="E5" i="41" s="1"/>
  <c r="H10" i="40"/>
  <c r="H5" i="40" s="1"/>
  <c r="H11" i="40" s="1"/>
  <c r="F13" i="40"/>
  <c r="F14" i="40"/>
  <c r="F12" i="40"/>
  <c r="C9" i="41"/>
  <c r="C6" i="41" s="1"/>
  <c r="C5" i="41" s="1"/>
  <c r="E10" i="40"/>
  <c r="E5" i="40" s="1"/>
  <c r="E11" i="40" s="1"/>
  <c r="E31" i="10"/>
  <c r="D9" i="41"/>
  <c r="D6" i="41" s="1"/>
  <c r="D5" i="41" s="1"/>
  <c r="DR19" i="34"/>
  <c r="DR25" i="34" s="1"/>
  <c r="DR26" i="34" s="1"/>
  <c r="DR27" i="34" s="1"/>
  <c r="BX33" i="34"/>
  <c r="BY31" i="34" s="1"/>
  <c r="BY32" i="34" s="1"/>
  <c r="BY28" i="34" s="1"/>
  <c r="BY34" i="34" s="1"/>
  <c r="BY39" i="34" s="1"/>
  <c r="DR47" i="34"/>
  <c r="DZ59" i="34"/>
  <c r="DZ40" i="34" s="1"/>
  <c r="EA52" i="34"/>
  <c r="DS49" i="34"/>
  <c r="DS17" i="34"/>
  <c r="DS18" i="34"/>
  <c r="DS36" i="34"/>
  <c r="DS47" i="34"/>
  <c r="DS19" i="34"/>
  <c r="BX37" i="34"/>
  <c r="DT13" i="34"/>
  <c r="DT15" i="34"/>
  <c r="DT35" i="34"/>
  <c r="DU6" i="34"/>
  <c r="DV7" i="34"/>
  <c r="DU14" i="34"/>
  <c r="DU24" i="34" s="1"/>
  <c r="DW55" i="34"/>
  <c r="DV60" i="34"/>
  <c r="DV58" i="34" s="1"/>
  <c r="DV20" i="34" s="1"/>
  <c r="DR29" i="34"/>
  <c r="DR30" i="34" s="1"/>
  <c r="BW46" i="34"/>
  <c r="BW50" i="34"/>
  <c r="BX41" i="34"/>
  <c r="BX42" i="34" s="1"/>
  <c r="BX38" i="34" s="1"/>
  <c r="BX50" i="34" s="1"/>
  <c r="B342" i="11"/>
  <c r="B349" i="11" s="1"/>
  <c r="C349" i="11"/>
  <c r="AH49" i="29"/>
  <c r="AH50" i="29"/>
  <c r="AH57" i="29" s="1"/>
  <c r="H20" i="10"/>
  <c r="U40" i="10"/>
  <c r="G30" i="9"/>
  <c r="R40" i="10"/>
  <c r="G27" i="9"/>
  <c r="E20" i="10"/>
  <c r="D3" i="41" s="1"/>
  <c r="D4" i="41" s="1"/>
  <c r="G31" i="9"/>
  <c r="I20" i="10"/>
  <c r="V40" i="10"/>
  <c r="F25" i="31"/>
  <c r="F21" i="31"/>
  <c r="F26" i="31"/>
  <c r="K37" i="29"/>
  <c r="L34" i="29"/>
  <c r="BO24" i="10"/>
  <c r="AW240" i="22"/>
  <c r="CB24" i="10" s="1"/>
  <c r="S37" i="29"/>
  <c r="T34" i="29"/>
  <c r="J20" i="10"/>
  <c r="W40" i="10"/>
  <c r="G32" i="9"/>
  <c r="BS44" i="34"/>
  <c r="BS45" i="34" s="1"/>
  <c r="BT43" i="34" s="1"/>
  <c r="J20" i="31"/>
  <c r="I37" i="29"/>
  <c r="H37" i="29"/>
  <c r="J34" i="29"/>
  <c r="AE37" i="29"/>
  <c r="AF34" i="29"/>
  <c r="G35" i="9"/>
  <c r="Z21" i="10"/>
  <c r="M20" i="10"/>
  <c r="Z40" i="10"/>
  <c r="D31" i="10"/>
  <c r="D28" i="10"/>
  <c r="Y37" i="29"/>
  <c r="Z34" i="29"/>
  <c r="C14" i="23"/>
  <c r="C24" i="23" s="1"/>
  <c r="AW24" i="23"/>
  <c r="AW25" i="23" s="1"/>
  <c r="E25" i="23" s="1"/>
  <c r="AU343" i="11"/>
  <c r="W37" i="29"/>
  <c r="X34" i="29"/>
  <c r="U37" i="29"/>
  <c r="V34" i="29"/>
  <c r="C42" i="13"/>
  <c r="P40" i="10"/>
  <c r="G25" i="9"/>
  <c r="C20" i="10"/>
  <c r="B3" i="41" s="1"/>
  <c r="B4" i="41" s="1"/>
  <c r="P21" i="10"/>
  <c r="O20" i="10"/>
  <c r="N20" i="10"/>
  <c r="AA40" i="10"/>
  <c r="G36" i="9"/>
  <c r="F36" i="9" s="1"/>
  <c r="C36" i="9" s="1"/>
  <c r="BQ61" i="34"/>
  <c r="BR51" i="34"/>
  <c r="M31" i="10"/>
  <c r="M28" i="10"/>
  <c r="S40" i="10"/>
  <c r="F20" i="10"/>
  <c r="G28" i="9"/>
  <c r="G29" i="9"/>
  <c r="G20" i="10"/>
  <c r="T40" i="10"/>
  <c r="G33" i="9"/>
  <c r="K20" i="10"/>
  <c r="X40" i="10"/>
  <c r="B19" i="10"/>
  <c r="C31" i="10"/>
  <c r="C28" i="10"/>
  <c r="BB44" i="13"/>
  <c r="BB46" i="13" s="1"/>
  <c r="BB39" i="13"/>
  <c r="BB42" i="13" s="1"/>
  <c r="AC37" i="29"/>
  <c r="AD34" i="29"/>
  <c r="M37" i="29"/>
  <c r="N34" i="29"/>
  <c r="Q21" i="10"/>
  <c r="Q40" i="10"/>
  <c r="G26" i="9"/>
  <c r="D20" i="10"/>
  <c r="CG43" i="29"/>
  <c r="CG44" i="29" s="1"/>
  <c r="L24" i="31"/>
  <c r="L20" i="31" s="1"/>
  <c r="BB25" i="10"/>
  <c r="Q37" i="29"/>
  <c r="R34" i="29"/>
  <c r="DT16" i="34" l="1"/>
  <c r="BY33" i="34"/>
  <c r="BZ31" i="34" s="1"/>
  <c r="BZ32" i="34" s="1"/>
  <c r="BZ28" i="34" s="1"/>
  <c r="BY37" i="34"/>
  <c r="E12" i="40"/>
  <c r="E21" i="40"/>
  <c r="E13" i="40"/>
  <c r="F16" i="40"/>
  <c r="F15" i="40"/>
  <c r="C10" i="40"/>
  <c r="C5" i="40" s="1"/>
  <c r="D5" i="40"/>
  <c r="D11" i="40" s="1"/>
  <c r="H12" i="40"/>
  <c r="H21" i="40"/>
  <c r="H13" i="40"/>
  <c r="H14" i="40"/>
  <c r="F21" i="40"/>
  <c r="M21" i="10"/>
  <c r="E3" i="41"/>
  <c r="E4" i="41" s="1"/>
  <c r="D21" i="10"/>
  <c r="C3" i="41"/>
  <c r="C4" i="41" s="1"/>
  <c r="F9" i="41"/>
  <c r="EA59" i="34"/>
  <c r="EA40" i="34" s="1"/>
  <c r="EB52" i="34"/>
  <c r="DW7" i="34"/>
  <c r="DV14" i="34"/>
  <c r="DV24" i="34" s="1"/>
  <c r="DV6" i="34"/>
  <c r="DU15" i="34"/>
  <c r="DU13" i="34"/>
  <c r="DU35" i="34"/>
  <c r="DT19" i="34"/>
  <c r="DT36" i="34"/>
  <c r="DT47" i="34"/>
  <c r="DT49" i="34"/>
  <c r="DT18" i="34"/>
  <c r="DT17" i="34"/>
  <c r="DW60" i="34"/>
  <c r="DW58" i="34" s="1"/>
  <c r="DW20" i="34" s="1"/>
  <c r="DX55" i="34"/>
  <c r="DS29" i="34"/>
  <c r="DS30" i="34" s="1"/>
  <c r="DS25" i="34"/>
  <c r="DS26" i="34" s="1"/>
  <c r="DS27" i="34" s="1"/>
  <c r="BZ34" i="34"/>
  <c r="BZ39" i="34" s="1"/>
  <c r="BY41" i="34"/>
  <c r="BY42" i="34" s="1"/>
  <c r="BY38" i="34" s="1"/>
  <c r="BX46" i="34"/>
  <c r="BZ33" i="34"/>
  <c r="CA31" i="34" s="1"/>
  <c r="B24" i="10"/>
  <c r="D43" i="29" s="1"/>
  <c r="C43" i="29" s="1"/>
  <c r="BT44" i="34"/>
  <c r="BT45" i="34" s="1"/>
  <c r="BU43" i="34" s="1"/>
  <c r="J25" i="31"/>
  <c r="J26" i="31" s="1"/>
  <c r="J21" i="31"/>
  <c r="EG43" i="29"/>
  <c r="EG44" i="29" s="1"/>
  <c r="P24" i="31"/>
  <c r="P20" i="31" s="1"/>
  <c r="CB25" i="10"/>
  <c r="F27" i="9"/>
  <c r="G40" i="9"/>
  <c r="B350" i="11"/>
  <c r="G39" i="9"/>
  <c r="F26" i="9"/>
  <c r="G10" i="9"/>
  <c r="O40" i="10"/>
  <c r="O25" i="10"/>
  <c r="O21" i="10"/>
  <c r="G45" i="9"/>
  <c r="F32" i="9"/>
  <c r="AC34" i="29"/>
  <c r="AC39" i="29" s="1"/>
  <c r="AC40" i="29" s="1"/>
  <c r="AD39" i="29"/>
  <c r="AD40" i="29" s="1"/>
  <c r="I34" i="29"/>
  <c r="I39" i="29" s="1"/>
  <c r="I40" i="29" s="1"/>
  <c r="J39" i="29"/>
  <c r="J40" i="29" s="1"/>
  <c r="N39" i="29"/>
  <c r="N40" i="29" s="1"/>
  <c r="M34" i="29"/>
  <c r="M39" i="29" s="1"/>
  <c r="M40" i="29" s="1"/>
  <c r="B31" i="10"/>
  <c r="B28" i="10"/>
  <c r="F53" i="9" s="1"/>
  <c r="C53" i="9" s="1"/>
  <c r="BR61" i="34"/>
  <c r="BS51" i="34"/>
  <c r="G38" i="9"/>
  <c r="F25" i="9"/>
  <c r="G24" i="9"/>
  <c r="U34" i="29"/>
  <c r="U39" i="29" s="1"/>
  <c r="U40" i="29" s="1"/>
  <c r="V39" i="29"/>
  <c r="V40" i="29" s="1"/>
  <c r="Z39" i="29"/>
  <c r="Z40" i="29" s="1"/>
  <c r="Y34" i="29"/>
  <c r="Y39" i="29" s="1"/>
  <c r="Y40" i="29" s="1"/>
  <c r="AF39" i="29"/>
  <c r="AF40" i="29" s="1"/>
  <c r="AE34" i="29"/>
  <c r="AE39" i="29" s="1"/>
  <c r="AE40" i="29" s="1"/>
  <c r="S34" i="29"/>
  <c r="S39" i="29" s="1"/>
  <c r="S40" i="29" s="1"/>
  <c r="T39" i="29"/>
  <c r="T40" i="29" s="1"/>
  <c r="K34" i="29"/>
  <c r="K39" i="29" s="1"/>
  <c r="K40" i="29" s="1"/>
  <c r="L39" i="29"/>
  <c r="L40" i="29" s="1"/>
  <c r="G44" i="9"/>
  <c r="F31" i="9"/>
  <c r="G43" i="9"/>
  <c r="F30" i="9"/>
  <c r="L21" i="31"/>
  <c r="L25" i="31"/>
  <c r="L26" i="31" s="1"/>
  <c r="F29" i="9"/>
  <c r="G42" i="9"/>
  <c r="X39" i="29"/>
  <c r="X40" i="29" s="1"/>
  <c r="W34" i="29"/>
  <c r="W39" i="29" s="1"/>
  <c r="W40" i="29" s="1"/>
  <c r="Q34" i="29"/>
  <c r="Q39" i="29" s="1"/>
  <c r="Q40" i="29" s="1"/>
  <c r="R39" i="29"/>
  <c r="R40" i="29" s="1"/>
  <c r="G46" i="9"/>
  <c r="F33" i="9"/>
  <c r="G41" i="9"/>
  <c r="F28" i="9"/>
  <c r="B20" i="10"/>
  <c r="C43" i="43" s="1"/>
  <c r="C21" i="10"/>
  <c r="F35" i="9"/>
  <c r="G48" i="9"/>
  <c r="D37" i="29"/>
  <c r="G37" i="29"/>
  <c r="H34" i="29"/>
  <c r="N24" i="31"/>
  <c r="N20" i="31" s="1"/>
  <c r="DG43" i="29"/>
  <c r="DG44" i="29" s="1"/>
  <c r="BO25" i="10"/>
  <c r="C45" i="29"/>
  <c r="C58" i="29"/>
  <c r="DU16" i="34" l="1"/>
  <c r="H15" i="40"/>
  <c r="H16" i="40"/>
  <c r="D21" i="40"/>
  <c r="C11" i="40"/>
  <c r="D13" i="40"/>
  <c r="D12" i="40"/>
  <c r="B353" i="11"/>
  <c r="E9" i="3" s="1"/>
  <c r="F3" i="41"/>
  <c r="H9" i="41"/>
  <c r="G9" i="41"/>
  <c r="F6" i="41"/>
  <c r="DT25" i="34"/>
  <c r="DT26" i="34" s="1"/>
  <c r="DT27" i="34" s="1"/>
  <c r="EB59" i="34"/>
  <c r="EB40" i="34" s="1"/>
  <c r="EC52" i="34"/>
  <c r="DU49" i="34"/>
  <c r="DU19" i="34"/>
  <c r="DU18" i="34"/>
  <c r="DU17" i="34"/>
  <c r="DU36" i="34"/>
  <c r="DU47" i="34"/>
  <c r="DW14" i="34"/>
  <c r="DW24" i="34" s="1"/>
  <c r="DX7" i="34"/>
  <c r="DW6" i="34"/>
  <c r="DT29" i="34"/>
  <c r="DT30" i="34" s="1"/>
  <c r="BZ37" i="34"/>
  <c r="DY55" i="34"/>
  <c r="DX60" i="34"/>
  <c r="DX58" i="34" s="1"/>
  <c r="DX20" i="34" s="1"/>
  <c r="DV35" i="34"/>
  <c r="DV13" i="34"/>
  <c r="DV15" i="34"/>
  <c r="BY50" i="34"/>
  <c r="BY46" i="34"/>
  <c r="CA32" i="34"/>
  <c r="CA28" i="34" s="1"/>
  <c r="BZ41" i="34"/>
  <c r="BZ42" i="34" s="1"/>
  <c r="BZ38" i="34" s="1"/>
  <c r="C24" i="31"/>
  <c r="D34" i="29"/>
  <c r="G34" i="29"/>
  <c r="G39" i="29" s="1"/>
  <c r="G40" i="29" s="1"/>
  <c r="H39" i="29"/>
  <c r="N25" i="31"/>
  <c r="N26" i="31" s="1"/>
  <c r="N21" i="31"/>
  <c r="F41" i="9"/>
  <c r="C28" i="9"/>
  <c r="C41" i="9" s="1"/>
  <c r="C30" i="9"/>
  <c r="C43" i="9" s="1"/>
  <c r="F43" i="9"/>
  <c r="P21" i="31"/>
  <c r="P25" i="31"/>
  <c r="P26" i="31" s="1"/>
  <c r="B40" i="10"/>
  <c r="C35" i="9"/>
  <c r="C48" i="9" s="1"/>
  <c r="F48" i="9"/>
  <c r="C29" i="9"/>
  <c r="C42" i="9" s="1"/>
  <c r="F42" i="9"/>
  <c r="F39" i="9"/>
  <c r="C26" i="9"/>
  <c r="C39" i="9" s="1"/>
  <c r="BU44" i="34"/>
  <c r="BU45" i="34" s="1"/>
  <c r="BV43" i="34" s="1"/>
  <c r="C37" i="29"/>
  <c r="B37" i="29"/>
  <c r="F38" i="9"/>
  <c r="C25" i="9"/>
  <c r="F45" i="9"/>
  <c r="C32" i="9"/>
  <c r="C45" i="9" s="1"/>
  <c r="BT51" i="34"/>
  <c r="BS61" i="34"/>
  <c r="F10" i="9"/>
  <c r="C10" i="9" s="1"/>
  <c r="B21" i="10"/>
  <c r="B25" i="10"/>
  <c r="D44" i="29"/>
  <c r="C44" i="29" s="1"/>
  <c r="C43" i="13"/>
  <c r="F46" i="9"/>
  <c r="C33" i="9"/>
  <c r="C46" i="9" s="1"/>
  <c r="F44" i="9"/>
  <c r="C31" i="9"/>
  <c r="C44" i="9" s="1"/>
  <c r="G7" i="9"/>
  <c r="G37" i="9"/>
  <c r="F19" i="2" s="1"/>
  <c r="F15" i="2" s="1"/>
  <c r="F24" i="9"/>
  <c r="F37" i="9" s="1"/>
  <c r="F40" i="9"/>
  <c r="C27" i="9"/>
  <c r="C40" i="9" s="1"/>
  <c r="E9" i="26" l="1"/>
  <c r="C13" i="40"/>
  <c r="C12" i="40"/>
  <c r="H3" i="41"/>
  <c r="G3" i="41"/>
  <c r="F4" i="41"/>
  <c r="G6" i="41"/>
  <c r="H6" i="41"/>
  <c r="F5" i="41"/>
  <c r="DV16" i="34"/>
  <c r="DU25" i="34"/>
  <c r="DU26" i="34" s="1"/>
  <c r="DU27" i="34" s="1"/>
  <c r="DU29" i="34"/>
  <c r="DU30" i="34" s="1"/>
  <c r="EC59" i="34"/>
  <c r="EC40" i="34" s="1"/>
  <c r="ED52" i="34"/>
  <c r="DZ55" i="34"/>
  <c r="DY60" i="34"/>
  <c r="DY58" i="34" s="1"/>
  <c r="DY20" i="34" s="1"/>
  <c r="DW35" i="34"/>
  <c r="DW15" i="34"/>
  <c r="DW13" i="34"/>
  <c r="DV49" i="34"/>
  <c r="DV36" i="34"/>
  <c r="DV18" i="34"/>
  <c r="DV47" i="34"/>
  <c r="DV17" i="34"/>
  <c r="DV19" i="34"/>
  <c r="DX14" i="34"/>
  <c r="DX24" i="34" s="1"/>
  <c r="DX6" i="34"/>
  <c r="DY7" i="34"/>
  <c r="BZ50" i="34"/>
  <c r="BZ46" i="34"/>
  <c r="CA34" i="34"/>
  <c r="CA39" i="34" s="1"/>
  <c r="CA33" i="34"/>
  <c r="CB31" i="34" s="1"/>
  <c r="BU51" i="34"/>
  <c r="BT61" i="34"/>
  <c r="BV44" i="34"/>
  <c r="BV45" i="34" s="1"/>
  <c r="BW43" i="34" s="1"/>
  <c r="C38" i="9"/>
  <c r="C24" i="9"/>
  <c r="C37" i="9" s="1"/>
  <c r="E19" i="2" s="1"/>
  <c r="E8" i="3"/>
  <c r="E8" i="26"/>
  <c r="D39" i="29"/>
  <c r="F38" i="27"/>
  <c r="H4" i="27"/>
  <c r="G44" i="29"/>
  <c r="H40" i="29"/>
  <c r="E10" i="3"/>
  <c r="E10" i="26"/>
  <c r="F7" i="9"/>
  <c r="C7" i="9"/>
  <c r="C34" i="29"/>
  <c r="B34" i="29"/>
  <c r="CA37" i="34" l="1"/>
  <c r="ED59" i="34"/>
  <c r="ED40" i="34" s="1"/>
  <c r="EE52" i="34"/>
  <c r="DV25" i="34"/>
  <c r="DV26" i="34" s="1"/>
  <c r="DV27" i="34" s="1"/>
  <c r="DV29" i="34"/>
  <c r="DV30" i="34" s="1"/>
  <c r="DW16" i="34"/>
  <c r="DY14" i="34"/>
  <c r="DY24" i="34" s="1"/>
  <c r="DY6" i="34"/>
  <c r="DZ7" i="34"/>
  <c r="DX15" i="34"/>
  <c r="DX13" i="34"/>
  <c r="DX35" i="34"/>
  <c r="DZ60" i="34"/>
  <c r="DZ58" i="34" s="1"/>
  <c r="DZ20" i="34" s="1"/>
  <c r="EA55" i="34"/>
  <c r="CB32" i="34"/>
  <c r="CB28" i="34" s="1"/>
  <c r="CA41" i="34"/>
  <c r="CA42" i="34" s="1"/>
  <c r="CA38" i="34" s="1"/>
  <c r="CA50" i="34" s="1"/>
  <c r="BW44" i="34"/>
  <c r="BW45" i="34" s="1"/>
  <c r="BX43" i="34" s="1"/>
  <c r="D40" i="29"/>
  <c r="C39" i="29"/>
  <c r="C40" i="29" s="1"/>
  <c r="BU61" i="34"/>
  <c r="BV51" i="34"/>
  <c r="I4" i="27"/>
  <c r="J4" i="27"/>
  <c r="K4" i="27" s="1"/>
  <c r="DX16" i="34" l="1"/>
  <c r="DX47" i="34" s="1"/>
  <c r="EE59" i="34"/>
  <c r="EE40" i="34" s="1"/>
  <c r="EF52" i="34"/>
  <c r="DZ14" i="34"/>
  <c r="DZ24" i="34" s="1"/>
  <c r="DZ6" i="34"/>
  <c r="EA7" i="34"/>
  <c r="DY13" i="34"/>
  <c r="DY15" i="34"/>
  <c r="DY35" i="34"/>
  <c r="EA60" i="34"/>
  <c r="EA58" i="34" s="1"/>
  <c r="EA20" i="34" s="1"/>
  <c r="EB55" i="34"/>
  <c r="DW19" i="34"/>
  <c r="DW36" i="34"/>
  <c r="DW17" i="34"/>
  <c r="DW49" i="34"/>
  <c r="DW18" i="34"/>
  <c r="DW47" i="34"/>
  <c r="CB34" i="34"/>
  <c r="CB39" i="34" s="1"/>
  <c r="CA46" i="34"/>
  <c r="CB33" i="34"/>
  <c r="CC31" i="34" s="1"/>
  <c r="BV61" i="34"/>
  <c r="BW51" i="34"/>
  <c r="BX44" i="34"/>
  <c r="BX45" i="34" s="1"/>
  <c r="BY43" i="34" s="1"/>
  <c r="DX19" i="34" l="1"/>
  <c r="DX17" i="34"/>
  <c r="DX36" i="34"/>
  <c r="DY16" i="34"/>
  <c r="DY49" i="34" s="1"/>
  <c r="DX49" i="34"/>
  <c r="DX18" i="34"/>
  <c r="EG52" i="34"/>
  <c r="EF59" i="34"/>
  <c r="EF40" i="34" s="1"/>
  <c r="CB37" i="34"/>
  <c r="EB60" i="34"/>
  <c r="EB58" i="34" s="1"/>
  <c r="EB20" i="34" s="1"/>
  <c r="EC55" i="34"/>
  <c r="EA6" i="34"/>
  <c r="EA14" i="34"/>
  <c r="EA24" i="34" s="1"/>
  <c r="EB7" i="34"/>
  <c r="DW25" i="34"/>
  <c r="DW26" i="34" s="1"/>
  <c r="DW27" i="34" s="1"/>
  <c r="DW29" i="34"/>
  <c r="DW30" i="34" s="1"/>
  <c r="DZ35" i="34"/>
  <c r="DZ15" i="34"/>
  <c r="DZ13" i="34"/>
  <c r="DY47" i="34"/>
  <c r="DX25" i="34"/>
  <c r="DX26" i="34" s="1"/>
  <c r="DX27" i="34" s="1"/>
  <c r="DX29" i="34"/>
  <c r="DX30" i="34" s="1"/>
  <c r="CC32" i="34"/>
  <c r="CC28" i="34" s="1"/>
  <c r="CB41" i="34"/>
  <c r="CB42" i="34" s="1"/>
  <c r="CB38" i="34" s="1"/>
  <c r="CB50" i="34" s="1"/>
  <c r="BY44" i="34"/>
  <c r="BY45" i="34" s="1"/>
  <c r="BZ43" i="34" s="1"/>
  <c r="BX51" i="34"/>
  <c r="BW61" i="34"/>
  <c r="DY36" i="34" l="1"/>
  <c r="DY18" i="34"/>
  <c r="DY19" i="34"/>
  <c r="DY17" i="34"/>
  <c r="DY25" i="34" s="1"/>
  <c r="DY26" i="34" s="1"/>
  <c r="DY27" i="34" s="1"/>
  <c r="CC33" i="34"/>
  <c r="CD31" i="34" s="1"/>
  <c r="CD32" i="34" s="1"/>
  <c r="CD28" i="34" s="1"/>
  <c r="EG59" i="34"/>
  <c r="EG40" i="34" s="1"/>
  <c r="EH52" i="34"/>
  <c r="DY29" i="34"/>
  <c r="DY30" i="34" s="1"/>
  <c r="EB14" i="34"/>
  <c r="EB24" i="34" s="1"/>
  <c r="EC7" i="34"/>
  <c r="EB6" i="34"/>
  <c r="DZ16" i="34"/>
  <c r="EA15" i="34"/>
  <c r="EA35" i="34"/>
  <c r="EA13" i="34"/>
  <c r="EC60" i="34"/>
  <c r="EC58" i="34" s="1"/>
  <c r="EC20" i="34" s="1"/>
  <c r="ED55" i="34"/>
  <c r="CC34" i="34"/>
  <c r="CC39" i="34" s="1"/>
  <c r="CB46" i="34"/>
  <c r="BZ44" i="34"/>
  <c r="BZ45" i="34" s="1"/>
  <c r="CA43" i="34" s="1"/>
  <c r="BX61" i="34"/>
  <c r="BY51" i="34"/>
  <c r="EH59" i="34" l="1"/>
  <c r="EH40" i="34" s="1"/>
  <c r="EI52" i="34"/>
  <c r="EC6" i="34"/>
  <c r="EC14" i="34"/>
  <c r="EC24" i="34" s="1"/>
  <c r="ED7" i="34"/>
  <c r="EE55" i="34"/>
  <c r="ED60" i="34"/>
  <c r="ED58" i="34" s="1"/>
  <c r="ED20" i="34" s="1"/>
  <c r="DZ49" i="34"/>
  <c r="DZ19" i="34"/>
  <c r="DZ18" i="34"/>
  <c r="DZ47" i="34"/>
  <c r="DZ17" i="34"/>
  <c r="DZ36" i="34"/>
  <c r="EA16" i="34"/>
  <c r="EB35" i="34"/>
  <c r="EB15" i="34"/>
  <c r="EB13" i="34"/>
  <c r="CD33" i="34"/>
  <c r="CE31" i="34" s="1"/>
  <c r="CC37" i="34"/>
  <c r="CC41" i="34"/>
  <c r="CC42" i="34" s="1"/>
  <c r="CC38" i="34" s="1"/>
  <c r="CD34" i="34"/>
  <c r="CD39" i="34" s="1"/>
  <c r="CA44" i="34"/>
  <c r="CA45" i="34" s="1"/>
  <c r="CB43" i="34" s="1"/>
  <c r="BY61" i="34"/>
  <c r="BZ51" i="34"/>
  <c r="EB16" i="34" l="1"/>
  <c r="EB17" i="34" s="1"/>
  <c r="EI59" i="34"/>
  <c r="EI40" i="34" s="1"/>
  <c r="EJ52" i="34"/>
  <c r="EB19" i="34"/>
  <c r="EB49" i="34"/>
  <c r="EB47" i="34"/>
  <c r="EB18" i="34"/>
  <c r="EC13" i="34"/>
  <c r="EC15" i="34"/>
  <c r="EC35" i="34"/>
  <c r="EE60" i="34"/>
  <c r="EE58" i="34" s="1"/>
  <c r="EE20" i="34" s="1"/>
  <c r="EF55" i="34"/>
  <c r="CD37" i="34"/>
  <c r="EA18" i="34"/>
  <c r="EA49" i="34"/>
  <c r="EA47" i="34"/>
  <c r="EA17" i="34"/>
  <c r="EA36" i="34"/>
  <c r="EA19" i="34"/>
  <c r="DZ25" i="34"/>
  <c r="DZ26" i="34" s="1"/>
  <c r="DZ27" i="34" s="1"/>
  <c r="DZ29" i="34"/>
  <c r="DZ30" i="34" s="1"/>
  <c r="ED6" i="34"/>
  <c r="EE7" i="34"/>
  <c r="ED14" i="34"/>
  <c r="ED24" i="34" s="1"/>
  <c r="CC46" i="34"/>
  <c r="CC50" i="34"/>
  <c r="CD41" i="34"/>
  <c r="CD42" i="34" s="1"/>
  <c r="CD38" i="34" s="1"/>
  <c r="CE32" i="34"/>
  <c r="CE28" i="34" s="1"/>
  <c r="CB44" i="34"/>
  <c r="CB45" i="34" s="1"/>
  <c r="CC43" i="34" s="1"/>
  <c r="BZ61" i="34"/>
  <c r="CA51" i="34"/>
  <c r="EB36" i="34" l="1"/>
  <c r="EB25" i="34"/>
  <c r="EB26" i="34" s="1"/>
  <c r="EB27" i="34" s="1"/>
  <c r="EB29" i="34"/>
  <c r="EB30" i="34" s="1"/>
  <c r="EK52" i="34"/>
  <c r="EJ59" i="34"/>
  <c r="EJ40" i="34" s="1"/>
  <c r="EF7" i="34"/>
  <c r="EE14" i="34"/>
  <c r="EE24" i="34" s="1"/>
  <c r="EE6" i="34"/>
  <c r="EF60" i="34"/>
  <c r="EF58" i="34" s="1"/>
  <c r="EF20" i="34" s="1"/>
  <c r="EG55" i="34"/>
  <c r="EC16" i="34"/>
  <c r="ED35" i="34"/>
  <c r="ED15" i="34"/>
  <c r="ED13" i="34"/>
  <c r="EA25" i="34"/>
  <c r="EA26" i="34" s="1"/>
  <c r="EA27" i="34" s="1"/>
  <c r="EA29" i="34"/>
  <c r="EA30" i="34" s="1"/>
  <c r="CD50" i="34"/>
  <c r="CD46" i="34"/>
  <c r="CE33" i="34"/>
  <c r="CF31" i="34" s="1"/>
  <c r="CE34" i="34"/>
  <c r="CE39" i="34" s="1"/>
  <c r="CC44" i="34"/>
  <c r="CC45" i="34" s="1"/>
  <c r="CD43" i="34" s="1"/>
  <c r="CB51" i="34"/>
  <c r="CA61" i="34"/>
  <c r="ED16" i="34" l="1"/>
  <c r="EL52" i="34"/>
  <c r="EK59" i="34"/>
  <c r="EK40" i="34" s="1"/>
  <c r="ED49" i="34"/>
  <c r="ED18" i="34"/>
  <c r="ED17" i="34"/>
  <c r="ED47" i="34"/>
  <c r="ED19" i="34"/>
  <c r="ED36" i="34"/>
  <c r="EE15" i="34"/>
  <c r="EE13" i="34"/>
  <c r="EE35" i="34"/>
  <c r="EC49" i="34"/>
  <c r="EC17" i="34"/>
  <c r="EC18" i="34"/>
  <c r="EC36" i="34"/>
  <c r="EC19" i="34"/>
  <c r="EC47" i="34"/>
  <c r="EH55" i="34"/>
  <c r="EG60" i="34"/>
  <c r="EG58" i="34" s="1"/>
  <c r="EG20" i="34" s="1"/>
  <c r="EF14" i="34"/>
  <c r="EF24" i="34" s="1"/>
  <c r="EG7" i="34"/>
  <c r="EF6" i="34"/>
  <c r="CE37" i="34"/>
  <c r="CF32" i="34"/>
  <c r="CF28" i="34" s="1"/>
  <c r="CE41" i="34"/>
  <c r="CE42" i="34" s="1"/>
  <c r="CE38" i="34" s="1"/>
  <c r="CE50" i="34" s="1"/>
  <c r="CC51" i="34"/>
  <c r="CB61" i="34"/>
  <c r="CD44" i="34"/>
  <c r="CD45" i="34" s="1"/>
  <c r="EE16" i="34" l="1"/>
  <c r="EL59" i="34"/>
  <c r="EL40" i="34" s="1"/>
  <c r="EM52" i="34"/>
  <c r="CF33" i="34"/>
  <c r="CG31" i="34" s="1"/>
  <c r="EG14" i="34"/>
  <c r="EG24" i="34" s="1"/>
  <c r="EG6" i="34"/>
  <c r="EH7" i="34"/>
  <c r="EE47" i="34"/>
  <c r="EE17" i="34"/>
  <c r="EE18" i="34"/>
  <c r="EE19" i="34"/>
  <c r="EE49" i="34"/>
  <c r="EE36" i="34"/>
  <c r="ED25" i="34"/>
  <c r="ED26" i="34" s="1"/>
  <c r="ED27" i="34" s="1"/>
  <c r="ED29" i="34"/>
  <c r="ED30" i="34" s="1"/>
  <c r="CE43" i="34"/>
  <c r="CE44" i="34" s="1"/>
  <c r="CE45" i="34" s="1"/>
  <c r="EC25" i="34"/>
  <c r="EC26" i="34" s="1"/>
  <c r="EC27" i="34" s="1"/>
  <c r="EC29" i="34"/>
  <c r="EC30" i="34" s="1"/>
  <c r="EF15" i="34"/>
  <c r="EF35" i="34"/>
  <c r="EF13" i="34"/>
  <c r="EI55" i="34"/>
  <c r="EH60" i="34"/>
  <c r="EH58" i="34" s="1"/>
  <c r="EH20" i="34" s="1"/>
  <c r="CE46" i="34"/>
  <c r="CG32" i="34"/>
  <c r="CG28" i="34" s="1"/>
  <c r="CF34" i="34"/>
  <c r="CF39" i="34" s="1"/>
  <c r="CC61" i="34"/>
  <c r="CD51" i="34"/>
  <c r="EN52" i="34" l="1"/>
  <c r="EM59" i="34"/>
  <c r="EM40" i="34" s="1"/>
  <c r="CG33" i="34"/>
  <c r="CH31" i="34" s="1"/>
  <c r="CH32" i="34" s="1"/>
  <c r="CH28" i="34" s="1"/>
  <c r="EE29" i="34"/>
  <c r="EE30" i="34" s="1"/>
  <c r="EE25" i="34"/>
  <c r="EE26" i="34" s="1"/>
  <c r="EE27" i="34" s="1"/>
  <c r="EH6" i="34"/>
  <c r="EI7" i="34"/>
  <c r="EH14" i="34"/>
  <c r="EH24" i="34" s="1"/>
  <c r="EJ55" i="34"/>
  <c r="EI60" i="34"/>
  <c r="EI58" i="34" s="1"/>
  <c r="EI20" i="34" s="1"/>
  <c r="EG13" i="34"/>
  <c r="EG15" i="34"/>
  <c r="EG35" i="34"/>
  <c r="CF37" i="34"/>
  <c r="EF16" i="34"/>
  <c r="CG34" i="34"/>
  <c r="CG39" i="34" s="1"/>
  <c r="CF41" i="34"/>
  <c r="CF42" i="34" s="1"/>
  <c r="CF43" i="34" s="1"/>
  <c r="CF44" i="34" s="1"/>
  <c r="CF45" i="34" s="1"/>
  <c r="CD61" i="34"/>
  <c r="CE51" i="34"/>
  <c r="EO52" i="34" l="1"/>
  <c r="EN59" i="34"/>
  <c r="EN40" i="34" s="1"/>
  <c r="EH13" i="34"/>
  <c r="EH15" i="34"/>
  <c r="EH35" i="34"/>
  <c r="EJ60" i="34"/>
  <c r="EJ58" i="34" s="1"/>
  <c r="EJ20" i="34" s="1"/>
  <c r="EK55" i="34"/>
  <c r="CH33" i="34"/>
  <c r="CI31" i="34" s="1"/>
  <c r="CI32" i="34" s="1"/>
  <c r="CI28" i="34" s="1"/>
  <c r="EF47" i="34"/>
  <c r="EF17" i="34"/>
  <c r="EF36" i="34"/>
  <c r="EF19" i="34"/>
  <c r="EF49" i="34"/>
  <c r="EF18" i="34"/>
  <c r="EG16" i="34"/>
  <c r="EI6" i="34"/>
  <c r="EI14" i="34"/>
  <c r="EI24" i="34" s="1"/>
  <c r="EJ7" i="34"/>
  <c r="CF38" i="34"/>
  <c r="CF50" i="34" s="1"/>
  <c r="CF51" i="34" s="1"/>
  <c r="CG41" i="34"/>
  <c r="CG42" i="34" s="1"/>
  <c r="CG43" i="34" s="1"/>
  <c r="CG44" i="34" s="1"/>
  <c r="CG45" i="34" s="1"/>
  <c r="CH34" i="34"/>
  <c r="CH39" i="34" s="1"/>
  <c r="CG37" i="34"/>
  <c r="CE61" i="34"/>
  <c r="EH16" i="34" l="1"/>
  <c r="EO59" i="34"/>
  <c r="EO40" i="34" s="1"/>
  <c r="EP52" i="34"/>
  <c r="EI35" i="34"/>
  <c r="EI15" i="34"/>
  <c r="EI13" i="34"/>
  <c r="EH49" i="34"/>
  <c r="EH19" i="34"/>
  <c r="EH47" i="34"/>
  <c r="EH17" i="34"/>
  <c r="EH18" i="34"/>
  <c r="EH36" i="34"/>
  <c r="EJ6" i="34"/>
  <c r="EJ14" i="34"/>
  <c r="EJ24" i="34" s="1"/>
  <c r="EK7" i="34"/>
  <c r="EG49" i="34"/>
  <c r="EG19" i="34"/>
  <c r="EG18" i="34"/>
  <c r="EG17" i="34"/>
  <c r="EG36" i="34"/>
  <c r="EG47" i="34"/>
  <c r="EK60" i="34"/>
  <c r="EK58" i="34" s="1"/>
  <c r="EK20" i="34" s="1"/>
  <c r="EL55" i="34"/>
  <c r="EF25" i="34"/>
  <c r="EF26" i="34" s="1"/>
  <c r="EF27" i="34" s="1"/>
  <c r="EF29" i="34"/>
  <c r="EF30" i="34" s="1"/>
  <c r="CG38" i="34"/>
  <c r="CG50" i="34" s="1"/>
  <c r="CG51" i="34" s="1"/>
  <c r="CF46" i="34"/>
  <c r="CH41" i="34"/>
  <c r="CH42" i="34" s="1"/>
  <c r="CH38" i="34" s="1"/>
  <c r="CH37" i="34"/>
  <c r="CI33" i="34"/>
  <c r="CJ31" i="34" s="1"/>
  <c r="CI34" i="34"/>
  <c r="CI39" i="34" s="1"/>
  <c r="CF61" i="34"/>
  <c r="EI16" i="34" l="1"/>
  <c r="EH29" i="34"/>
  <c r="EH30" i="34" s="1"/>
  <c r="EH25" i="34"/>
  <c r="EH26" i="34" s="1"/>
  <c r="EH27" i="34" s="1"/>
  <c r="EP59" i="34"/>
  <c r="EP40" i="34" s="1"/>
  <c r="EQ52" i="34"/>
  <c r="EJ35" i="34"/>
  <c r="EJ13" i="34"/>
  <c r="EJ15" i="34"/>
  <c r="EI19" i="34"/>
  <c r="EI47" i="34"/>
  <c r="EI18" i="34"/>
  <c r="EI36" i="34"/>
  <c r="EI17" i="34"/>
  <c r="EI49" i="34"/>
  <c r="CI37" i="34"/>
  <c r="EL60" i="34"/>
  <c r="EL58" i="34" s="1"/>
  <c r="EL20" i="34" s="1"/>
  <c r="EM55" i="34"/>
  <c r="EG25" i="34"/>
  <c r="EG26" i="34" s="1"/>
  <c r="EG27" i="34" s="1"/>
  <c r="EG29" i="34"/>
  <c r="EG30" i="34" s="1"/>
  <c r="EK6" i="34"/>
  <c r="EK14" i="34"/>
  <c r="EK24" i="34" s="1"/>
  <c r="EL7" i="34"/>
  <c r="CH43" i="34"/>
  <c r="CH44" i="34" s="1"/>
  <c r="CH45" i="34" s="1"/>
  <c r="CG46" i="34"/>
  <c r="CH50" i="34"/>
  <c r="CH51" i="34" s="1"/>
  <c r="CH46" i="34"/>
  <c r="CI41" i="34"/>
  <c r="CI42" i="34" s="1"/>
  <c r="CI38" i="34" s="1"/>
  <c r="CJ32" i="34"/>
  <c r="CJ28" i="34" s="1"/>
  <c r="CG61" i="34"/>
  <c r="EJ16" i="34" l="1"/>
  <c r="EI25" i="34"/>
  <c r="EI26" i="34" s="1"/>
  <c r="EI27" i="34" s="1"/>
  <c r="ER52" i="34"/>
  <c r="EQ59" i="34"/>
  <c r="EQ40" i="34" s="1"/>
  <c r="CJ33" i="34"/>
  <c r="CK31" i="34" s="1"/>
  <c r="CK32" i="34" s="1"/>
  <c r="CK28" i="34" s="1"/>
  <c r="EM60" i="34"/>
  <c r="EM58" i="34" s="1"/>
  <c r="EM20" i="34" s="1"/>
  <c r="EN55" i="34"/>
  <c r="EK15" i="34"/>
  <c r="EK13" i="34"/>
  <c r="EK35" i="34"/>
  <c r="EJ19" i="34"/>
  <c r="EJ49" i="34"/>
  <c r="EJ47" i="34"/>
  <c r="EJ18" i="34"/>
  <c r="EJ36" i="34"/>
  <c r="EJ17" i="34"/>
  <c r="EM7" i="34"/>
  <c r="EL6" i="34"/>
  <c r="EL14" i="34"/>
  <c r="EL24" i="34" s="1"/>
  <c r="EI29" i="34"/>
  <c r="EI30" i="34" s="1"/>
  <c r="CI43" i="34"/>
  <c r="CI44" i="34" s="1"/>
  <c r="CI45" i="34" s="1"/>
  <c r="CI50" i="34"/>
  <c r="CI51" i="34" s="1"/>
  <c r="CI46" i="34"/>
  <c r="CJ34" i="34"/>
  <c r="CJ39" i="34" s="1"/>
  <c r="CH61" i="34"/>
  <c r="EJ25" i="34" l="1"/>
  <c r="EJ26" i="34" s="1"/>
  <c r="EJ27" i="34" s="1"/>
  <c r="EJ29" i="34"/>
  <c r="EJ30" i="34" s="1"/>
  <c r="ES52" i="34"/>
  <c r="ER59" i="34"/>
  <c r="ER40" i="34" s="1"/>
  <c r="EK16" i="34"/>
  <c r="EK47" i="34" s="1"/>
  <c r="CK33" i="34"/>
  <c r="CL31" i="34" s="1"/>
  <c r="CL32" i="34" s="1"/>
  <c r="CL28" i="34" s="1"/>
  <c r="EL35" i="34"/>
  <c r="EL15" i="34"/>
  <c r="EL13" i="34"/>
  <c r="EN60" i="34"/>
  <c r="EN58" i="34" s="1"/>
  <c r="EN20" i="34" s="1"/>
  <c r="EO55" i="34"/>
  <c r="EM6" i="34"/>
  <c r="EM14" i="34"/>
  <c r="EM24" i="34" s="1"/>
  <c r="EN7" i="34"/>
  <c r="CJ41" i="34"/>
  <c r="CJ37" i="34"/>
  <c r="CK34" i="34"/>
  <c r="CK39" i="34" s="1"/>
  <c r="CI61" i="34"/>
  <c r="EL16" i="34" l="1"/>
  <c r="EK36" i="34"/>
  <c r="EK17" i="34"/>
  <c r="EK19" i="34"/>
  <c r="EK49" i="34"/>
  <c r="EK18" i="34"/>
  <c r="ET52" i="34"/>
  <c r="ES59" i="34"/>
  <c r="ES40" i="34" s="1"/>
  <c r="EM35" i="34"/>
  <c r="EM15" i="34"/>
  <c r="EM13" i="34"/>
  <c r="EL19" i="34"/>
  <c r="EL49" i="34"/>
  <c r="EL17" i="34"/>
  <c r="EL18" i="34"/>
  <c r="EL36" i="34"/>
  <c r="EL47" i="34"/>
  <c r="EO60" i="34"/>
  <c r="EO58" i="34" s="1"/>
  <c r="EO20" i="34" s="1"/>
  <c r="EP55" i="34"/>
  <c r="EN14" i="34"/>
  <c r="EN24" i="34" s="1"/>
  <c r="EN6" i="34"/>
  <c r="EO7" i="34"/>
  <c r="CJ42" i="34"/>
  <c r="CL33" i="34"/>
  <c r="CM31" i="34" s="1"/>
  <c r="CL34" i="34"/>
  <c r="CL39" i="34" s="1"/>
  <c r="CK41" i="34"/>
  <c r="CK37" i="34"/>
  <c r="EK25" i="34" l="1"/>
  <c r="EK26" i="34" s="1"/>
  <c r="EK27" i="34" s="1"/>
  <c r="EU52" i="34"/>
  <c r="ET59" i="34"/>
  <c r="ET40" i="34" s="1"/>
  <c r="EK29" i="34"/>
  <c r="EK30" i="34" s="1"/>
  <c r="EM16" i="34"/>
  <c r="EP7" i="34"/>
  <c r="EO14" i="34"/>
  <c r="EO24" i="34" s="1"/>
  <c r="EO6" i="34"/>
  <c r="EL29" i="34"/>
  <c r="EL30" i="34" s="1"/>
  <c r="EL25" i="34"/>
  <c r="EL26" i="34" s="1"/>
  <c r="EL27" i="34" s="1"/>
  <c r="EN15" i="34"/>
  <c r="EN35" i="34"/>
  <c r="EN13" i="34"/>
  <c r="EN16" i="34" s="1"/>
  <c r="EQ55" i="34"/>
  <c r="EP60" i="34"/>
  <c r="EP58" i="34" s="1"/>
  <c r="EP20" i="34" s="1"/>
  <c r="CK42" i="34"/>
  <c r="CK38" i="34" s="1"/>
  <c r="CM32" i="34"/>
  <c r="CM28" i="34" s="1"/>
  <c r="CL41" i="34"/>
  <c r="CJ43" i="34"/>
  <c r="CJ44" i="34" s="1"/>
  <c r="CJ45" i="34" s="1"/>
  <c r="CJ38" i="34"/>
  <c r="CL37" i="34"/>
  <c r="EV52" i="34" l="1"/>
  <c r="EU59" i="34"/>
  <c r="EU40" i="34" s="1"/>
  <c r="CK43" i="34"/>
  <c r="CK44" i="34" s="1"/>
  <c r="CK45" i="34" s="1"/>
  <c r="EN47" i="34"/>
  <c r="EN19" i="34"/>
  <c r="EN36" i="34"/>
  <c r="EN18" i="34"/>
  <c r="EN17" i="34"/>
  <c r="EN49" i="34"/>
  <c r="ER55" i="34"/>
  <c r="EQ60" i="34"/>
  <c r="EQ58" i="34" s="1"/>
  <c r="EQ20" i="34" s="1"/>
  <c r="EO15" i="34"/>
  <c r="EO35" i="34"/>
  <c r="EO13" i="34"/>
  <c r="EM36" i="34"/>
  <c r="EM47" i="34"/>
  <c r="EM18" i="34"/>
  <c r="EM19" i="34"/>
  <c r="EM17" i="34"/>
  <c r="EM49" i="34"/>
  <c r="EP6" i="34"/>
  <c r="EQ7" i="34"/>
  <c r="EP14" i="34"/>
  <c r="EP24" i="34" s="1"/>
  <c r="CJ46" i="34"/>
  <c r="CJ50" i="34"/>
  <c r="CJ51" i="34" s="1"/>
  <c r="CL42" i="34"/>
  <c r="CL38" i="34" s="1"/>
  <c r="CM33" i="34"/>
  <c r="CN31" i="34" s="1"/>
  <c r="CM34" i="34"/>
  <c r="CM39" i="34" s="1"/>
  <c r="CK50" i="34"/>
  <c r="CK46" i="34"/>
  <c r="EO16" i="34" l="1"/>
  <c r="EW52" i="34"/>
  <c r="EV59" i="34"/>
  <c r="EV40" i="34" s="1"/>
  <c r="ER7" i="34"/>
  <c r="EQ14" i="34"/>
  <c r="EQ24" i="34" s="1"/>
  <c r="EQ6" i="34"/>
  <c r="EP15" i="34"/>
  <c r="EP13" i="34"/>
  <c r="EP35" i="34"/>
  <c r="EM25" i="34"/>
  <c r="EM26" i="34" s="1"/>
  <c r="EM27" i="34" s="1"/>
  <c r="EM29" i="34"/>
  <c r="EM30" i="34" s="1"/>
  <c r="ES55" i="34"/>
  <c r="ER60" i="34"/>
  <c r="ER58" i="34" s="1"/>
  <c r="ER20" i="34" s="1"/>
  <c r="EO36" i="34"/>
  <c r="EO19" i="34"/>
  <c r="EO18" i="34"/>
  <c r="EO17" i="34"/>
  <c r="EO47" i="34"/>
  <c r="EO49" i="34"/>
  <c r="EN29" i="34"/>
  <c r="EN30" i="34" s="1"/>
  <c r="EN25" i="34"/>
  <c r="EN26" i="34" s="1"/>
  <c r="EN27" i="34" s="1"/>
  <c r="CM41" i="34"/>
  <c r="CN32" i="34"/>
  <c r="CN28" i="34" s="1"/>
  <c r="CL50" i="34"/>
  <c r="CL46" i="34"/>
  <c r="CM37" i="34"/>
  <c r="CL43" i="34"/>
  <c r="CL44" i="34" s="1"/>
  <c r="CL45" i="34" s="1"/>
  <c r="CJ61" i="34"/>
  <c r="CK51" i="34"/>
  <c r="EP16" i="34" l="1"/>
  <c r="EX52" i="34"/>
  <c r="EW59" i="34"/>
  <c r="EW40" i="34" s="1"/>
  <c r="EO25" i="34"/>
  <c r="EO26" i="34" s="1"/>
  <c r="EO27" i="34" s="1"/>
  <c r="EO29" i="34"/>
  <c r="EO30" i="34" s="1"/>
  <c r="EQ35" i="34"/>
  <c r="EQ13" i="34"/>
  <c r="EQ15" i="34"/>
  <c r="ES60" i="34"/>
  <c r="ES58" i="34" s="1"/>
  <c r="ES20" i="34" s="1"/>
  <c r="ET55" i="34"/>
  <c r="EP47" i="34"/>
  <c r="EP19" i="34"/>
  <c r="EP36" i="34"/>
  <c r="EP17" i="34"/>
  <c r="EP49" i="34"/>
  <c r="EP18" i="34"/>
  <c r="ER6" i="34"/>
  <c r="ES7" i="34"/>
  <c r="ER14" i="34"/>
  <c r="ER24" i="34" s="1"/>
  <c r="CK61" i="34"/>
  <c r="CL51" i="34"/>
  <c r="CN34" i="34"/>
  <c r="CN39" i="34" s="1"/>
  <c r="CM42" i="34"/>
  <c r="CM38" i="34" s="1"/>
  <c r="CN33" i="34"/>
  <c r="CO31" i="34" s="1"/>
  <c r="EQ16" i="34" l="1"/>
  <c r="EY52" i="34"/>
  <c r="EX59" i="34"/>
  <c r="EX40" i="34" s="1"/>
  <c r="CN37" i="34"/>
  <c r="ET7" i="34"/>
  <c r="ES14" i="34"/>
  <c r="ES24" i="34" s="1"/>
  <c r="ES6" i="34"/>
  <c r="EP25" i="34"/>
  <c r="EP26" i="34" s="1"/>
  <c r="EP27" i="34" s="1"/>
  <c r="EP29" i="34"/>
  <c r="EP30" i="34" s="1"/>
  <c r="ER13" i="34"/>
  <c r="ER15" i="34"/>
  <c r="ER35" i="34"/>
  <c r="EU55" i="34"/>
  <c r="ET60" i="34"/>
  <c r="ET58" i="34" s="1"/>
  <c r="ET20" i="34" s="1"/>
  <c r="EQ36" i="34"/>
  <c r="EQ19" i="34"/>
  <c r="EQ49" i="34"/>
  <c r="EQ18" i="34"/>
  <c r="EQ17" i="34"/>
  <c r="EQ47" i="34"/>
  <c r="CM46" i="34"/>
  <c r="CM50" i="34"/>
  <c r="CM51" i="34" s="1"/>
  <c r="CM43" i="34"/>
  <c r="CM44" i="34" s="1"/>
  <c r="CM45" i="34" s="1"/>
  <c r="CO32" i="34"/>
  <c r="CO28" i="34" s="1"/>
  <c r="CN41" i="34"/>
  <c r="CL61" i="34"/>
  <c r="ER16" i="34" l="1"/>
  <c r="EY59" i="34"/>
  <c r="EY40" i="34" s="1"/>
  <c r="EZ52" i="34"/>
  <c r="ER36" i="34"/>
  <c r="ER19" i="34"/>
  <c r="ER49" i="34"/>
  <c r="ER17" i="34"/>
  <c r="ER18" i="34"/>
  <c r="ER47" i="34"/>
  <c r="ES35" i="34"/>
  <c r="ES13" i="34"/>
  <c r="ES15" i="34"/>
  <c r="EU60" i="34"/>
  <c r="EU58" i="34" s="1"/>
  <c r="EU20" i="34" s="1"/>
  <c r="EV55" i="34"/>
  <c r="EU7" i="34"/>
  <c r="ET14" i="34"/>
  <c r="ET24" i="34" s="1"/>
  <c r="ET6" i="34"/>
  <c r="EQ25" i="34"/>
  <c r="EQ26" i="34" s="1"/>
  <c r="EQ27" i="34" s="1"/>
  <c r="EQ29" i="34"/>
  <c r="EQ30" i="34" s="1"/>
  <c r="CM61" i="34"/>
  <c r="CO34" i="34"/>
  <c r="CO39" i="34" s="1"/>
  <c r="CN42" i="34"/>
  <c r="CN38" i="34" s="1"/>
  <c r="CO33" i="34"/>
  <c r="CP31" i="34" s="1"/>
  <c r="ES16" i="34" l="1"/>
  <c r="FA52" i="34"/>
  <c r="EZ59" i="34"/>
  <c r="EZ40" i="34" s="1"/>
  <c r="ER29" i="34"/>
  <c r="ER30" i="34" s="1"/>
  <c r="ER25" i="34"/>
  <c r="ER26" i="34" s="1"/>
  <c r="ER27" i="34" s="1"/>
  <c r="CO37" i="34"/>
  <c r="ET35" i="34"/>
  <c r="ET15" i="34"/>
  <c r="ET13" i="34"/>
  <c r="EW55" i="34"/>
  <c r="EV60" i="34"/>
  <c r="EV58" i="34" s="1"/>
  <c r="EV20" i="34" s="1"/>
  <c r="ES47" i="34"/>
  <c r="ES49" i="34"/>
  <c r="ES36" i="34"/>
  <c r="ES19" i="34"/>
  <c r="ES18" i="34"/>
  <c r="ES17" i="34"/>
  <c r="EV7" i="34"/>
  <c r="EU14" i="34"/>
  <c r="EU24" i="34" s="1"/>
  <c r="EU6" i="34"/>
  <c r="CP32" i="34"/>
  <c r="CP28" i="34" s="1"/>
  <c r="CN50" i="34"/>
  <c r="CN51" i="34" s="1"/>
  <c r="CN46" i="34"/>
  <c r="CN43" i="34"/>
  <c r="CN44" i="34" s="1"/>
  <c r="CN45" i="34" s="1"/>
  <c r="CO41" i="34"/>
  <c r="FA59" i="34" l="1"/>
  <c r="FA40" i="34" s="1"/>
  <c r="FB52" i="34"/>
  <c r="EV6" i="34"/>
  <c r="EW7" i="34"/>
  <c r="EV14" i="34"/>
  <c r="EV24" i="34" s="1"/>
  <c r="EW60" i="34"/>
  <c r="EW58" i="34" s="1"/>
  <c r="EW20" i="34" s="1"/>
  <c r="EX55" i="34"/>
  <c r="ES25" i="34"/>
  <c r="ES26" i="34" s="1"/>
  <c r="ES27" i="34" s="1"/>
  <c r="ES29" i="34"/>
  <c r="ES30" i="34" s="1"/>
  <c r="EU35" i="34"/>
  <c r="EU15" i="34"/>
  <c r="EU13" i="34"/>
  <c r="EU16" i="34" s="1"/>
  <c r="ET16" i="34"/>
  <c r="CP34" i="34"/>
  <c r="CP39" i="34" s="1"/>
  <c r="CP33" i="34"/>
  <c r="CQ31" i="34" s="1"/>
  <c r="CO42" i="34"/>
  <c r="CO38" i="34" s="1"/>
  <c r="CN61" i="34"/>
  <c r="FC52" i="34" l="1"/>
  <c r="FB59" i="34"/>
  <c r="FB40" i="34" s="1"/>
  <c r="EU36" i="34"/>
  <c r="EU19" i="34"/>
  <c r="EU49" i="34"/>
  <c r="EU17" i="34"/>
  <c r="EU47" i="34"/>
  <c r="EU18" i="34"/>
  <c r="ET19" i="34"/>
  <c r="ET17" i="34"/>
  <c r="ET18" i="34"/>
  <c r="ET47" i="34"/>
  <c r="ET49" i="34"/>
  <c r="ET36" i="34"/>
  <c r="EX7" i="34"/>
  <c r="EW14" i="34"/>
  <c r="EW24" i="34" s="1"/>
  <c r="EW6" i="34"/>
  <c r="EY55" i="34"/>
  <c r="EX60" i="34"/>
  <c r="EX58" i="34" s="1"/>
  <c r="EX20" i="34" s="1"/>
  <c r="EV13" i="34"/>
  <c r="EV35" i="34"/>
  <c r="EV15" i="34"/>
  <c r="CQ32" i="34"/>
  <c r="CQ28" i="34" s="1"/>
  <c r="CP37" i="34"/>
  <c r="CP41" i="34"/>
  <c r="CO50" i="34"/>
  <c r="CO51" i="34" s="1"/>
  <c r="CO46" i="34"/>
  <c r="CO43" i="34"/>
  <c r="CO44" i="34" s="1"/>
  <c r="CO45" i="34" s="1"/>
  <c r="EU25" i="34" l="1"/>
  <c r="EU26" i="34" s="1"/>
  <c r="EU27" i="34" s="1"/>
  <c r="FC59" i="34"/>
  <c r="FC40" i="34" s="1"/>
  <c r="FD52" i="34"/>
  <c r="EY7" i="34"/>
  <c r="EX6" i="34"/>
  <c r="EX14" i="34"/>
  <c r="EX24" i="34" s="1"/>
  <c r="ET25" i="34"/>
  <c r="ET26" i="34" s="1"/>
  <c r="ET27" i="34" s="1"/>
  <c r="ET29" i="34"/>
  <c r="ET30" i="34" s="1"/>
  <c r="EU29" i="34"/>
  <c r="EU30" i="34" s="1"/>
  <c r="EV16" i="34"/>
  <c r="EW35" i="34"/>
  <c r="EW15" i="34"/>
  <c r="EW13" i="34"/>
  <c r="CQ33" i="34"/>
  <c r="CR31" i="34" s="1"/>
  <c r="CR32" i="34" s="1"/>
  <c r="CR28" i="34" s="1"/>
  <c r="EY60" i="34"/>
  <c r="EY58" i="34" s="1"/>
  <c r="EY20" i="34" s="1"/>
  <c r="EZ55" i="34"/>
  <c r="CP42" i="34"/>
  <c r="CP38" i="34" s="1"/>
  <c r="CQ34" i="34"/>
  <c r="CQ39" i="34" s="1"/>
  <c r="CO61" i="34"/>
  <c r="CQ37" i="34" l="1"/>
  <c r="FD59" i="34"/>
  <c r="FD40" i="34" s="1"/>
  <c r="FE52" i="34"/>
  <c r="CR33" i="34"/>
  <c r="CS31" i="34" s="1"/>
  <c r="EZ60" i="34"/>
  <c r="EZ58" i="34" s="1"/>
  <c r="EZ20" i="34" s="1"/>
  <c r="FA55" i="34"/>
  <c r="EV49" i="34"/>
  <c r="EV36" i="34"/>
  <c r="EV17" i="34"/>
  <c r="EV47" i="34"/>
  <c r="EV19" i="34"/>
  <c r="EV18" i="34"/>
  <c r="EW16" i="34"/>
  <c r="EX35" i="34"/>
  <c r="EX13" i="34"/>
  <c r="EX15" i="34"/>
  <c r="EZ7" i="34"/>
  <c r="EY14" i="34"/>
  <c r="EY24" i="34" s="1"/>
  <c r="EY6" i="34"/>
  <c r="CP43" i="34"/>
  <c r="CP44" i="34" s="1"/>
  <c r="CP45" i="34" s="1"/>
  <c r="CR34" i="34"/>
  <c r="CR39" i="34" s="1"/>
  <c r="CP46" i="34"/>
  <c r="CP50" i="34"/>
  <c r="CP51" i="34" s="1"/>
  <c r="CS32" i="34"/>
  <c r="CS28" i="34" s="1"/>
  <c r="CQ41" i="34"/>
  <c r="FE59" i="34" l="1"/>
  <c r="FE40" i="34" s="1"/>
  <c r="FF52" i="34"/>
  <c r="EX16" i="34"/>
  <c r="EW47" i="34"/>
  <c r="EW19" i="34"/>
  <c r="EW49" i="34"/>
  <c r="EW18" i="34"/>
  <c r="EW36" i="34"/>
  <c r="EW17" i="34"/>
  <c r="EV25" i="34"/>
  <c r="EV26" i="34" s="1"/>
  <c r="EV27" i="34" s="1"/>
  <c r="EV29" i="34"/>
  <c r="EV30" i="34" s="1"/>
  <c r="EY35" i="34"/>
  <c r="EY15" i="34"/>
  <c r="EY13" i="34"/>
  <c r="EY16" i="34"/>
  <c r="FA60" i="34"/>
  <c r="FA58" i="34" s="1"/>
  <c r="FA20" i="34" s="1"/>
  <c r="FB55" i="34"/>
  <c r="EZ14" i="34"/>
  <c r="EZ24" i="34" s="1"/>
  <c r="EZ6" i="34"/>
  <c r="FA7" i="34"/>
  <c r="CP61" i="34"/>
  <c r="CR37" i="34"/>
  <c r="CR41" i="34"/>
  <c r="CS33" i="34"/>
  <c r="CT31" i="34" s="1"/>
  <c r="CQ42" i="34"/>
  <c r="CS34" i="34"/>
  <c r="CS39" i="34" s="1"/>
  <c r="FF59" i="34" l="1"/>
  <c r="FG52" i="34"/>
  <c r="FG59" i="34" s="1"/>
  <c r="FG40" i="34" s="1"/>
  <c r="EY17" i="34"/>
  <c r="EY18" i="34"/>
  <c r="EY36" i="34"/>
  <c r="EY47" i="34"/>
  <c r="EY49" i="34"/>
  <c r="EY19" i="34"/>
  <c r="EX17" i="34"/>
  <c r="EX19" i="34"/>
  <c r="EX47" i="34"/>
  <c r="EX18" i="34"/>
  <c r="EX49" i="34"/>
  <c r="EX36" i="34"/>
  <c r="EZ13" i="34"/>
  <c r="EZ15" i="34"/>
  <c r="EZ35" i="34"/>
  <c r="FA14" i="34"/>
  <c r="FA24" i="34" s="1"/>
  <c r="FA6" i="34"/>
  <c r="FB7" i="34"/>
  <c r="FB60" i="34"/>
  <c r="FB58" i="34" s="1"/>
  <c r="FB20" i="34" s="1"/>
  <c r="FC55" i="34"/>
  <c r="EW25" i="34"/>
  <c r="EW26" i="34" s="1"/>
  <c r="EW27" i="34" s="1"/>
  <c r="EW29" i="34"/>
  <c r="EW30" i="34" s="1"/>
  <c r="CQ43" i="34"/>
  <c r="CQ44" i="34" s="1"/>
  <c r="CQ45" i="34" s="1"/>
  <c r="CQ38" i="34"/>
  <c r="CT32" i="34"/>
  <c r="CT28" i="34" s="1"/>
  <c r="CS41" i="34"/>
  <c r="CR42" i="34"/>
  <c r="CR38" i="34" s="1"/>
  <c r="CS37" i="34"/>
  <c r="EZ16" i="34" l="1"/>
  <c r="D59" i="34"/>
  <c r="FF40" i="34"/>
  <c r="D40" i="34" s="1"/>
  <c r="FB6" i="34"/>
  <c r="FB14" i="34"/>
  <c r="FB24" i="34" s="1"/>
  <c r="FC7" i="34"/>
  <c r="EX25" i="34"/>
  <c r="EX26" i="34" s="1"/>
  <c r="EX27" i="34" s="1"/>
  <c r="FA15" i="34"/>
  <c r="FA35" i="34"/>
  <c r="FA13" i="34"/>
  <c r="FD55" i="34"/>
  <c r="FC60" i="34"/>
  <c r="FC58" i="34" s="1"/>
  <c r="FC20" i="34" s="1"/>
  <c r="EY25" i="34"/>
  <c r="EY26" i="34" s="1"/>
  <c r="EY27" i="34" s="1"/>
  <c r="EY29" i="34"/>
  <c r="EY30" i="34" s="1"/>
  <c r="EZ18" i="34"/>
  <c r="EZ36" i="34"/>
  <c r="EZ17" i="34"/>
  <c r="EZ47" i="34"/>
  <c r="EZ19" i="34"/>
  <c r="EZ49" i="34"/>
  <c r="EX29" i="34"/>
  <c r="EX30" i="34" s="1"/>
  <c r="CS42" i="34"/>
  <c r="CS38" i="34" s="1"/>
  <c r="CQ50" i="34"/>
  <c r="CQ51" i="34" s="1"/>
  <c r="CQ46" i="34"/>
  <c r="CT33" i="34"/>
  <c r="CU31" i="34" s="1"/>
  <c r="CR46" i="34"/>
  <c r="CR50" i="34"/>
  <c r="CT34" i="34"/>
  <c r="CT39" i="34" s="1"/>
  <c r="CR43" i="34"/>
  <c r="CR44" i="34" s="1"/>
  <c r="CR45" i="34" s="1"/>
  <c r="FA16" i="34" l="1"/>
  <c r="CS43" i="34"/>
  <c r="CS44" i="34" s="1"/>
  <c r="CS45" i="34" s="1"/>
  <c r="FD60" i="34"/>
  <c r="FD58" i="34" s="1"/>
  <c r="FD20" i="34" s="1"/>
  <c r="FE55" i="34"/>
  <c r="CT37" i="34"/>
  <c r="FA36" i="34"/>
  <c r="FA18" i="34"/>
  <c r="FA47" i="34"/>
  <c r="FA19" i="34"/>
  <c r="FA17" i="34"/>
  <c r="FA49" i="34"/>
  <c r="FC14" i="34"/>
  <c r="FC24" i="34" s="1"/>
  <c r="FD7" i="34"/>
  <c r="FC6" i="34"/>
  <c r="EZ29" i="34"/>
  <c r="EZ30" i="34" s="1"/>
  <c r="EZ25" i="34"/>
  <c r="EZ26" i="34" s="1"/>
  <c r="EZ27" i="34" s="1"/>
  <c r="FB35" i="34"/>
  <c r="FB15" i="34"/>
  <c r="FB13" i="34"/>
  <c r="CR51" i="34"/>
  <c r="CQ61" i="34"/>
  <c r="CU32" i="34"/>
  <c r="CU28" i="34" s="1"/>
  <c r="CT41" i="34"/>
  <c r="CS50" i="34"/>
  <c r="CS46" i="34"/>
  <c r="CU33" i="34" l="1"/>
  <c r="CV31" i="34" s="1"/>
  <c r="FB16" i="34"/>
  <c r="FC13" i="34"/>
  <c r="FC35" i="34"/>
  <c r="FC15" i="34"/>
  <c r="FA25" i="34"/>
  <c r="FA26" i="34" s="1"/>
  <c r="FA27" i="34" s="1"/>
  <c r="FD6" i="34"/>
  <c r="FE7" i="34"/>
  <c r="FD14" i="34"/>
  <c r="FD24" i="34" s="1"/>
  <c r="FE60" i="34"/>
  <c r="FE58" i="34" s="1"/>
  <c r="FE20" i="34" s="1"/>
  <c r="FF55" i="34"/>
  <c r="FA29" i="34"/>
  <c r="FA30" i="34" s="1"/>
  <c r="CT42" i="34"/>
  <c r="CR61" i="34"/>
  <c r="CS51" i="34"/>
  <c r="CV32" i="34"/>
  <c r="CV28" i="34" s="1"/>
  <c r="CU34" i="34"/>
  <c r="CU39" i="34" s="1"/>
  <c r="FC16" i="34" l="1"/>
  <c r="CV33" i="34"/>
  <c r="CW31" i="34" s="1"/>
  <c r="FF60" i="34"/>
  <c r="FF58" i="34" s="1"/>
  <c r="FF20" i="34" s="1"/>
  <c r="FG55" i="34"/>
  <c r="FD35" i="34"/>
  <c r="FD15" i="34"/>
  <c r="FD13" i="34"/>
  <c r="FC49" i="34"/>
  <c r="FC36" i="34"/>
  <c r="FC19" i="34"/>
  <c r="FC47" i="34"/>
  <c r="FC18" i="34"/>
  <c r="FC17" i="34"/>
  <c r="FB19" i="34"/>
  <c r="FB49" i="34"/>
  <c r="FB36" i="34"/>
  <c r="FB17" i="34"/>
  <c r="FB47" i="34"/>
  <c r="FB18" i="34"/>
  <c r="FF7" i="34"/>
  <c r="FE6" i="34"/>
  <c r="FE14" i="34"/>
  <c r="FE24" i="34" s="1"/>
  <c r="CS61" i="34"/>
  <c r="CU41" i="34"/>
  <c r="CW32" i="34"/>
  <c r="CW28" i="34" s="1"/>
  <c r="CU37" i="34"/>
  <c r="CV34" i="34"/>
  <c r="CV39" i="34" s="1"/>
  <c r="CT38" i="34"/>
  <c r="CT43" i="34"/>
  <c r="CT44" i="34" s="1"/>
  <c r="CT45" i="34" s="1"/>
  <c r="FC29" i="34" l="1"/>
  <c r="FC30" i="34" s="1"/>
  <c r="FG60" i="34"/>
  <c r="FG58" i="34" s="1"/>
  <c r="FG20" i="34" s="1"/>
  <c r="FH55" i="34"/>
  <c r="FE15" i="34"/>
  <c r="FE13" i="34"/>
  <c r="FE16" i="34" s="1"/>
  <c r="FE35" i="34"/>
  <c r="FB25" i="34"/>
  <c r="FB26" i="34" s="1"/>
  <c r="FB27" i="34" s="1"/>
  <c r="FB29" i="34"/>
  <c r="FB30" i="34" s="1"/>
  <c r="FD16" i="34"/>
  <c r="FF14" i="34"/>
  <c r="FF24" i="34" s="1"/>
  <c r="FF6" i="34"/>
  <c r="FG7" i="34"/>
  <c r="FC25" i="34"/>
  <c r="FC26" i="34" s="1"/>
  <c r="FC27" i="34" s="1"/>
  <c r="CV41" i="34"/>
  <c r="CV37" i="34"/>
  <c r="CT46" i="34"/>
  <c r="CT50" i="34"/>
  <c r="CT51" i="34" s="1"/>
  <c r="CU42" i="34"/>
  <c r="CU38" i="34" s="1"/>
  <c r="CW33" i="34"/>
  <c r="CX31" i="34" s="1"/>
  <c r="CW34" i="34"/>
  <c r="CW39" i="34" s="1"/>
  <c r="FF13" i="34" l="1"/>
  <c r="FF15" i="34"/>
  <c r="FF16" i="34" s="1"/>
  <c r="FF35" i="34"/>
  <c r="FI55" i="34"/>
  <c r="FJ55" i="34" s="1"/>
  <c r="FK55" i="34" s="1"/>
  <c r="FL55" i="34" s="1"/>
  <c r="FH60" i="34"/>
  <c r="FD19" i="34"/>
  <c r="FD36" i="34"/>
  <c r="FD18" i="34"/>
  <c r="FD47" i="34"/>
  <c r="FD49" i="34"/>
  <c r="FD17" i="34"/>
  <c r="FE49" i="34"/>
  <c r="FE47" i="34"/>
  <c r="FE19" i="34"/>
  <c r="FE36" i="34"/>
  <c r="FE17" i="34"/>
  <c r="FE18" i="34"/>
  <c r="FG14" i="34"/>
  <c r="FH7" i="34"/>
  <c r="FG6" i="34"/>
  <c r="CU43" i="34"/>
  <c r="CU44" i="34" s="1"/>
  <c r="CU45" i="34" s="1"/>
  <c r="CT61" i="34"/>
  <c r="CU46" i="34"/>
  <c r="CU50" i="34"/>
  <c r="CU51" i="34" s="1"/>
  <c r="CW37" i="34"/>
  <c r="CX32" i="34"/>
  <c r="CX28" i="34" s="1"/>
  <c r="CW41" i="34"/>
  <c r="CV42" i="34"/>
  <c r="CV38" i="34" s="1"/>
  <c r="CX33" i="34" l="1"/>
  <c r="CY31" i="34" s="1"/>
  <c r="FH6" i="34"/>
  <c r="FH14" i="34"/>
  <c r="FH24" i="34" s="1"/>
  <c r="FD25" i="34"/>
  <c r="FD26" i="34" s="1"/>
  <c r="FD27" i="34" s="1"/>
  <c r="FD29" i="34"/>
  <c r="FD30" i="34" s="1"/>
  <c r="FF36" i="34"/>
  <c r="FF18" i="34"/>
  <c r="FF19" i="34"/>
  <c r="FF47" i="34"/>
  <c r="FF49" i="34"/>
  <c r="FF17" i="34"/>
  <c r="FG24" i="34"/>
  <c r="FH58" i="34"/>
  <c r="FH20" i="34" s="1"/>
  <c r="D20" i="34" s="1"/>
  <c r="D60" i="34"/>
  <c r="D58" i="34" s="1"/>
  <c r="FG35" i="34"/>
  <c r="FG13" i="34"/>
  <c r="FG15" i="34"/>
  <c r="D6" i="34"/>
  <c r="FE29" i="34"/>
  <c r="FE30" i="34" s="1"/>
  <c r="FE25" i="34"/>
  <c r="FE26" i="34" s="1"/>
  <c r="FE27" i="34" s="1"/>
  <c r="CV43" i="34"/>
  <c r="CV44" i="34" s="1"/>
  <c r="CV45" i="34" s="1"/>
  <c r="CU61" i="34"/>
  <c r="CX34" i="34"/>
  <c r="CX39" i="34" s="1"/>
  <c r="CY32" i="34"/>
  <c r="CY28" i="34" s="1"/>
  <c r="CV50" i="34"/>
  <c r="CV51" i="34" s="1"/>
  <c r="CV46" i="34"/>
  <c r="CW42" i="34"/>
  <c r="CW38" i="34" s="1"/>
  <c r="D14" i="34" l="1"/>
  <c r="D24" i="34"/>
  <c r="FG16" i="34"/>
  <c r="FF25" i="34"/>
  <c r="FF26" i="34" s="1"/>
  <c r="FF27" i="34" s="1"/>
  <c r="FF29" i="34"/>
  <c r="FF30" i="34" s="1"/>
  <c r="FH35" i="34"/>
  <c r="D35" i="34" s="1"/>
  <c r="FH13" i="34"/>
  <c r="FH15" i="34"/>
  <c r="D15" i="34" s="1"/>
  <c r="CV61" i="34"/>
  <c r="CW43" i="34"/>
  <c r="CW44" i="34" s="1"/>
  <c r="CW45" i="34" s="1"/>
  <c r="CW50" i="34"/>
  <c r="CW51" i="34" s="1"/>
  <c r="CW46" i="34"/>
  <c r="CX37" i="34"/>
  <c r="CY34" i="34"/>
  <c r="CY39" i="34" s="1"/>
  <c r="CX41" i="34"/>
  <c r="CY33" i="34"/>
  <c r="CZ31" i="34" s="1"/>
  <c r="D13" i="34" l="1"/>
  <c r="D16" i="34" s="1"/>
  <c r="FH16" i="34"/>
  <c r="FG49" i="34"/>
  <c r="FG19" i="34"/>
  <c r="FG17" i="34"/>
  <c r="FG36" i="34"/>
  <c r="FG18" i="34"/>
  <c r="FG47" i="34"/>
  <c r="CW61" i="34"/>
  <c r="CZ32" i="34"/>
  <c r="CZ28" i="34" s="1"/>
  <c r="CY37" i="34"/>
  <c r="CX42" i="34"/>
  <c r="CX38" i="34" s="1"/>
  <c r="CY41" i="34"/>
  <c r="FH36" i="34" l="1"/>
  <c r="D36" i="34" s="1"/>
  <c r="FH17" i="34"/>
  <c r="FH19" i="34"/>
  <c r="D19" i="34" s="1"/>
  <c r="E17" i="31" s="1"/>
  <c r="C17" i="31" s="1"/>
  <c r="FH18" i="34"/>
  <c r="D18" i="34" s="1"/>
  <c r="E16" i="31" s="1"/>
  <c r="C16" i="31" s="1"/>
  <c r="FH49" i="34"/>
  <c r="D49" i="34" s="1"/>
  <c r="FH47" i="34"/>
  <c r="FG25" i="34"/>
  <c r="D17" i="34"/>
  <c r="E13" i="31" s="1"/>
  <c r="C13" i="31" s="1"/>
  <c r="FG29" i="34"/>
  <c r="D47" i="34"/>
  <c r="E11" i="31"/>
  <c r="C11" i="31" s="1"/>
  <c r="CX50" i="34"/>
  <c r="CX51" i="34" s="1"/>
  <c r="CX46" i="34"/>
  <c r="CZ33" i="34"/>
  <c r="DA31" i="34" s="1"/>
  <c r="CY42" i="34"/>
  <c r="CY38" i="34" s="1"/>
  <c r="CZ34" i="34"/>
  <c r="CZ39" i="34" s="1"/>
  <c r="CX43" i="34"/>
  <c r="CX44" i="34" s="1"/>
  <c r="CX45" i="34" s="1"/>
  <c r="C35" i="31" l="1"/>
  <c r="C15" i="31"/>
  <c r="B18" i="31"/>
  <c r="C36" i="31"/>
  <c r="FG26" i="34"/>
  <c r="B16" i="31"/>
  <c r="B17" i="31"/>
  <c r="CZ37" i="34"/>
  <c r="FG30" i="34"/>
  <c r="FH25" i="34"/>
  <c r="FH26" i="34" s="1"/>
  <c r="FH27" i="34" s="1"/>
  <c r="FH29" i="34"/>
  <c r="FH30" i="34" s="1"/>
  <c r="B12" i="31"/>
  <c r="B13" i="31"/>
  <c r="CY43" i="34"/>
  <c r="CY44" i="34" s="1"/>
  <c r="CY45" i="34" s="1"/>
  <c r="CY46" i="34"/>
  <c r="CY50" i="34"/>
  <c r="CY51" i="34" s="1"/>
  <c r="CX61" i="34"/>
  <c r="CZ41" i="34"/>
  <c r="DA32" i="34"/>
  <c r="DA28" i="34" s="1"/>
  <c r="D29" i="34" l="1"/>
  <c r="D25" i="34"/>
  <c r="DA33" i="34"/>
  <c r="DB31" i="34" s="1"/>
  <c r="FG27" i="34"/>
  <c r="D26" i="34"/>
  <c r="D27" i="34" s="1"/>
  <c r="C58" i="31"/>
  <c r="DA34" i="34"/>
  <c r="DA39" i="34" s="1"/>
  <c r="CZ42" i="34"/>
  <c r="CY61" i="34"/>
  <c r="DB32" i="34"/>
  <c r="DB28" i="34" s="1"/>
  <c r="AH22" i="6" l="1"/>
  <c r="CH22" i="6"/>
  <c r="AK22" i="6"/>
  <c r="CJ22" i="6"/>
  <c r="BJ22" i="6"/>
  <c r="S22" i="6"/>
  <c r="BK22" i="6"/>
  <c r="AS22" i="6"/>
  <c r="CI22" i="6"/>
  <c r="CG22" i="6"/>
  <c r="B22" i="6"/>
  <c r="BG22" i="6"/>
  <c r="BP22" i="6"/>
  <c r="AT22" i="6"/>
  <c r="AW22" i="6"/>
  <c r="X22" i="6"/>
  <c r="BL22" i="6"/>
  <c r="BL3" i="6" s="1"/>
  <c r="BL2" i="6" s="1"/>
  <c r="AG22" i="6"/>
  <c r="AF22" i="6"/>
  <c r="BC22" i="6"/>
  <c r="AX22" i="6"/>
  <c r="BT22" i="6"/>
  <c r="U22" i="6"/>
  <c r="BW22" i="6"/>
  <c r="AQ22" i="6"/>
  <c r="BV22" i="6"/>
  <c r="AY22" i="6"/>
  <c r="AY3" i="6" s="1"/>
  <c r="AY2" i="6" s="1"/>
  <c r="CC22" i="6"/>
  <c r="BX22" i="6"/>
  <c r="AU22" i="6"/>
  <c r="BH22" i="6"/>
  <c r="BD22" i="6"/>
  <c r="AV22" i="6"/>
  <c r="AP22" i="6"/>
  <c r="AD22" i="6"/>
  <c r="BS22" i="6"/>
  <c r="BQ22" i="6"/>
  <c r="CL22" i="6"/>
  <c r="CL3" i="6" s="1"/>
  <c r="CL2" i="6" s="1"/>
  <c r="Q22" i="6"/>
  <c r="Y22" i="6"/>
  <c r="AC22" i="6"/>
  <c r="W22" i="6"/>
  <c r="P22" i="6"/>
  <c r="AJ22" i="6"/>
  <c r="CD22" i="6"/>
  <c r="BF22" i="6"/>
  <c r="CK22" i="6"/>
  <c r="T22" i="6"/>
  <c r="BU22" i="6"/>
  <c r="V22" i="6"/>
  <c r="BI22" i="6"/>
  <c r="CF22" i="6"/>
  <c r="AI22" i="6"/>
  <c r="AL22" i="6"/>
  <c r="AL3" i="6" s="1"/>
  <c r="AL2" i="6" s="1"/>
  <c r="BY22" i="6"/>
  <c r="BY3" i="6" s="1"/>
  <c r="BY2" i="6" s="1"/>
  <c r="DB33" i="34"/>
  <c r="DC31" i="34" s="1"/>
  <c r="DA37" i="34"/>
  <c r="DA41" i="34"/>
  <c r="DB34" i="34"/>
  <c r="DB39" i="34" s="1"/>
  <c r="CZ38" i="34"/>
  <c r="CZ43" i="34"/>
  <c r="CZ44" i="34" s="1"/>
  <c r="CZ45" i="34" s="1"/>
  <c r="AI3" i="6" l="1"/>
  <c r="AI2" i="6" s="1"/>
  <c r="I48" i="10" s="1"/>
  <c r="AI23" i="6"/>
  <c r="DB37" i="34"/>
  <c r="CF23" i="6"/>
  <c r="CF3" i="6"/>
  <c r="CF2" i="6" s="1"/>
  <c r="F56" i="10" s="1"/>
  <c r="G22" i="6"/>
  <c r="G23" i="6" s="1"/>
  <c r="T3" i="6"/>
  <c r="T2" i="6" s="1"/>
  <c r="G46" i="10" s="1"/>
  <c r="T23" i="6"/>
  <c r="AJ3" i="6"/>
  <c r="AJ2" i="6" s="1"/>
  <c r="J48" i="10" s="1"/>
  <c r="AJ23" i="6"/>
  <c r="L22" i="6"/>
  <c r="L23" i="6" s="1"/>
  <c r="BS3" i="6"/>
  <c r="BS2" i="6" s="1"/>
  <c r="F54" i="10" s="1"/>
  <c r="BS23" i="6"/>
  <c r="BD3" i="6"/>
  <c r="BD2" i="6" s="1"/>
  <c r="D52" i="10" s="1"/>
  <c r="BD23" i="6"/>
  <c r="CC3" i="6"/>
  <c r="CC2" i="6" s="1"/>
  <c r="C56" i="10" s="1"/>
  <c r="CC23" i="6"/>
  <c r="CB22" i="6"/>
  <c r="CB23" i="6" s="1"/>
  <c r="BW3" i="6"/>
  <c r="BW2" i="6" s="1"/>
  <c r="J54" i="10" s="1"/>
  <c r="BW23" i="6"/>
  <c r="BC3" i="6"/>
  <c r="BC2" i="6" s="1"/>
  <c r="C52" i="10" s="1"/>
  <c r="BC23" i="6"/>
  <c r="BB22" i="6"/>
  <c r="BB23" i="6" s="1"/>
  <c r="X23" i="6"/>
  <c r="K22" i="6"/>
  <c r="K23" i="6" s="1"/>
  <c r="X3" i="6"/>
  <c r="X2" i="6" s="1"/>
  <c r="K46" i="10" s="1"/>
  <c r="BG3" i="6"/>
  <c r="BG2" i="6" s="1"/>
  <c r="G52" i="10" s="1"/>
  <c r="BG23" i="6"/>
  <c r="AS3" i="6"/>
  <c r="AS2" i="6" s="1"/>
  <c r="F50" i="10" s="1"/>
  <c r="AS23" i="6"/>
  <c r="CJ23" i="6"/>
  <c r="CJ3" i="6"/>
  <c r="CJ2" i="6" s="1"/>
  <c r="J56" i="10" s="1"/>
  <c r="BI3" i="6"/>
  <c r="BI2" i="6" s="1"/>
  <c r="I52" i="10" s="1"/>
  <c r="BI23" i="6"/>
  <c r="CK23" i="6"/>
  <c r="CK3" i="6"/>
  <c r="CK2" i="6" s="1"/>
  <c r="K56" i="10" s="1"/>
  <c r="C22" i="6"/>
  <c r="C23" i="6" s="1"/>
  <c r="D14" i="40" s="1"/>
  <c r="P3" i="6"/>
  <c r="P2" i="6" s="1"/>
  <c r="C46" i="10" s="1"/>
  <c r="P23" i="6"/>
  <c r="O22" i="6"/>
  <c r="O23" i="6" s="1"/>
  <c r="Q3" i="6"/>
  <c r="Q2" i="6" s="1"/>
  <c r="D46" i="10" s="1"/>
  <c r="Q23" i="6"/>
  <c r="D22" i="6"/>
  <c r="D23" i="6" s="1"/>
  <c r="E14" i="40" s="1"/>
  <c r="AD3" i="6"/>
  <c r="AD2" i="6" s="1"/>
  <c r="D48" i="10" s="1"/>
  <c r="AD23" i="6"/>
  <c r="BH3" i="6"/>
  <c r="BH2" i="6" s="1"/>
  <c r="H52" i="10" s="1"/>
  <c r="BH23" i="6"/>
  <c r="H22" i="6"/>
  <c r="H23" i="6" s="1"/>
  <c r="U3" i="6"/>
  <c r="U2" i="6" s="1"/>
  <c r="H46" i="10" s="1"/>
  <c r="U23" i="6"/>
  <c r="AF23" i="6"/>
  <c r="AF3" i="6"/>
  <c r="AF2" i="6" s="1"/>
  <c r="F48" i="10" s="1"/>
  <c r="AW3" i="6"/>
  <c r="AW2" i="6" s="1"/>
  <c r="J50" i="10" s="1"/>
  <c r="AW23" i="6"/>
  <c r="BK3" i="6"/>
  <c r="BK2" i="6" s="1"/>
  <c r="K52" i="10" s="1"/>
  <c r="BK23" i="6"/>
  <c r="AK3" i="6"/>
  <c r="AK2" i="6" s="1"/>
  <c r="K48" i="10" s="1"/>
  <c r="AK23" i="6"/>
  <c r="V3" i="6"/>
  <c r="V2" i="6" s="1"/>
  <c r="I46" i="10" s="1"/>
  <c r="V23" i="6"/>
  <c r="I22" i="6"/>
  <c r="I23" i="6" s="1"/>
  <c r="BF3" i="6"/>
  <c r="BF2" i="6" s="1"/>
  <c r="F52" i="10" s="1"/>
  <c r="BF23" i="6"/>
  <c r="W3" i="6"/>
  <c r="W2" i="6" s="1"/>
  <c r="J46" i="10" s="1"/>
  <c r="W23" i="6"/>
  <c r="J22" i="6"/>
  <c r="J23" i="6" s="1"/>
  <c r="AO22" i="6"/>
  <c r="AO23" i="6" s="1"/>
  <c r="AP3" i="6"/>
  <c r="AP2" i="6" s="1"/>
  <c r="C50" i="10" s="1"/>
  <c r="AP23" i="6"/>
  <c r="AU3" i="6"/>
  <c r="AU2" i="6" s="1"/>
  <c r="H50" i="10" s="1"/>
  <c r="AU23" i="6"/>
  <c r="BV3" i="6"/>
  <c r="BV2" i="6" s="1"/>
  <c r="I54" i="10" s="1"/>
  <c r="BV23" i="6"/>
  <c r="BT23" i="6"/>
  <c r="BT3" i="6"/>
  <c r="BT2" i="6" s="1"/>
  <c r="G54" i="10" s="1"/>
  <c r="AG23" i="6"/>
  <c r="AG3" i="6"/>
  <c r="AG2" i="6" s="1"/>
  <c r="G48" i="10" s="1"/>
  <c r="AT23" i="6"/>
  <c r="AT3" i="6"/>
  <c r="AT2" i="6" s="1"/>
  <c r="G50" i="10" s="1"/>
  <c r="CG3" i="6"/>
  <c r="CG2" i="6" s="1"/>
  <c r="G56" i="10" s="1"/>
  <c r="CG23" i="6"/>
  <c r="S23" i="6"/>
  <c r="F22" i="6"/>
  <c r="F23" i="6" s="1"/>
  <c r="S3" i="6"/>
  <c r="S2" i="6" s="1"/>
  <c r="F46" i="10" s="1"/>
  <c r="CH23" i="6"/>
  <c r="CH3" i="6"/>
  <c r="CH2" i="6" s="1"/>
  <c r="H56" i="10" s="1"/>
  <c r="BU3" i="6"/>
  <c r="BU2" i="6" s="1"/>
  <c r="H54" i="10" s="1"/>
  <c r="BU23" i="6"/>
  <c r="CD23" i="6"/>
  <c r="CD3" i="6"/>
  <c r="CD2" i="6" s="1"/>
  <c r="D56" i="10" s="1"/>
  <c r="AC23" i="6"/>
  <c r="AB22" i="6"/>
  <c r="AB23" i="6" s="1"/>
  <c r="AC3" i="6"/>
  <c r="AC2" i="6" s="1"/>
  <c r="C48" i="10" s="1"/>
  <c r="BQ3" i="6"/>
  <c r="BQ2" i="6" s="1"/>
  <c r="D54" i="10" s="1"/>
  <c r="BQ23" i="6"/>
  <c r="AV23" i="6"/>
  <c r="AV3" i="6"/>
  <c r="AV2" i="6" s="1"/>
  <c r="I50" i="10" s="1"/>
  <c r="BX3" i="6"/>
  <c r="BX2" i="6" s="1"/>
  <c r="K54" i="10" s="1"/>
  <c r="BX23" i="6"/>
  <c r="AQ3" i="6"/>
  <c r="AQ2" i="6" s="1"/>
  <c r="D50" i="10" s="1"/>
  <c r="AQ23" i="6"/>
  <c r="AX3" i="6"/>
  <c r="AX2" i="6" s="1"/>
  <c r="K50" i="10" s="1"/>
  <c r="AX23" i="6"/>
  <c r="BO22" i="6"/>
  <c r="BO23" i="6" s="1"/>
  <c r="BP3" i="6"/>
  <c r="BP2" i="6" s="1"/>
  <c r="C54" i="10" s="1"/>
  <c r="BP23" i="6"/>
  <c r="CI3" i="6"/>
  <c r="CI2" i="6" s="1"/>
  <c r="I56" i="10" s="1"/>
  <c r="CI23" i="6"/>
  <c r="BJ3" i="6"/>
  <c r="BJ2" i="6" s="1"/>
  <c r="J52" i="10" s="1"/>
  <c r="BJ23" i="6"/>
  <c r="AH3" i="6"/>
  <c r="AH2" i="6" s="1"/>
  <c r="H48" i="10" s="1"/>
  <c r="AH23" i="6"/>
  <c r="DA42" i="34"/>
  <c r="DA38" i="34" s="1"/>
  <c r="DC32" i="34"/>
  <c r="DC28" i="34" s="1"/>
  <c r="CZ50" i="34"/>
  <c r="CZ51" i="34" s="1"/>
  <c r="CZ46" i="34"/>
  <c r="DB41" i="34"/>
  <c r="E16" i="40" l="1"/>
  <c r="E15" i="40"/>
  <c r="D15" i="40"/>
  <c r="D16" i="40"/>
  <c r="DC33" i="34"/>
  <c r="DD31" i="34" s="1"/>
  <c r="DD32" i="34" s="1"/>
  <c r="DD28" i="34" s="1"/>
  <c r="B23" i="6"/>
  <c r="B30" i="6" s="1"/>
  <c r="DB42" i="34"/>
  <c r="DB38" i="34" s="1"/>
  <c r="CZ61" i="34"/>
  <c r="DA46" i="34"/>
  <c r="DA50" i="34"/>
  <c r="DA51" i="34" s="1"/>
  <c r="DA43" i="34"/>
  <c r="DA44" i="34" s="1"/>
  <c r="DA45" i="34" s="1"/>
  <c r="DC34" i="34"/>
  <c r="DC39" i="34" s="1"/>
  <c r="DD33" i="34" l="1"/>
  <c r="DE31" i="34" s="1"/>
  <c r="DC37" i="34"/>
  <c r="E6" i="3"/>
  <c r="E6" i="26"/>
  <c r="DB43" i="34"/>
  <c r="DB44" i="34" s="1"/>
  <c r="DB45" i="34" s="1"/>
  <c r="DA61" i="34"/>
  <c r="DB50" i="34"/>
  <c r="DB51" i="34" s="1"/>
  <c r="DB46" i="34"/>
  <c r="DC41" i="34"/>
  <c r="DE32" i="34"/>
  <c r="DE28" i="34" s="1"/>
  <c r="DD34" i="34"/>
  <c r="DD39" i="34" s="1"/>
  <c r="DE33" i="34" l="1"/>
  <c r="DF31" i="34" s="1"/>
  <c r="DE34" i="34"/>
  <c r="DE39" i="34" s="1"/>
  <c r="DC42" i="34"/>
  <c r="DB61" i="34"/>
  <c r="DF32" i="34"/>
  <c r="DF28" i="34" s="1"/>
  <c r="DD41" i="34"/>
  <c r="DD37" i="34"/>
  <c r="DE37" i="34" l="1"/>
  <c r="DF34" i="34"/>
  <c r="DF39" i="34" s="1"/>
  <c r="DD42" i="34"/>
  <c r="DD38" i="34" s="1"/>
  <c r="DE41" i="34"/>
  <c r="DC38" i="34"/>
  <c r="DC43" i="34"/>
  <c r="DC44" i="34" s="1"/>
  <c r="DC45" i="34" s="1"/>
  <c r="DF33" i="34"/>
  <c r="DG31" i="34" s="1"/>
  <c r="DD43" i="34" l="1"/>
  <c r="DD44" i="34" s="1"/>
  <c r="DD45" i="34" s="1"/>
  <c r="DE42" i="34"/>
  <c r="DE38" i="34" s="1"/>
  <c r="DF41" i="34"/>
  <c r="DC46" i="34"/>
  <c r="DC50" i="34"/>
  <c r="DC51" i="34" s="1"/>
  <c r="DG32" i="34"/>
  <c r="DG28" i="34" s="1"/>
  <c r="DD50" i="34"/>
  <c r="DD46" i="34"/>
  <c r="DF37" i="34"/>
  <c r="DD51" i="34" l="1"/>
  <c r="DC61" i="34"/>
  <c r="DF42" i="34"/>
  <c r="DF38" i="34" s="1"/>
  <c r="DE46" i="34"/>
  <c r="DE50" i="34"/>
  <c r="DG33" i="34"/>
  <c r="DH31" i="34" s="1"/>
  <c r="DG34" i="34"/>
  <c r="DG39" i="34" s="1"/>
  <c r="DE43" i="34"/>
  <c r="DE44" i="34" s="1"/>
  <c r="DE45" i="34" s="1"/>
  <c r="DF43" i="34" l="1"/>
  <c r="DF44" i="34" s="1"/>
  <c r="DF45" i="34" s="1"/>
  <c r="DG41" i="34"/>
  <c r="DD61" i="34"/>
  <c r="DE51" i="34"/>
  <c r="DH32" i="34"/>
  <c r="DH28" i="34" s="1"/>
  <c r="DF50" i="34"/>
  <c r="DF46" i="34"/>
  <c r="DG37" i="34"/>
  <c r="DH33" i="34" l="1"/>
  <c r="DI31" i="34" s="1"/>
  <c r="DF51" i="34"/>
  <c r="DE61" i="34"/>
  <c r="DI32" i="34"/>
  <c r="DI28" i="34" s="1"/>
  <c r="DG42" i="34"/>
  <c r="DH34" i="34"/>
  <c r="DH39" i="34" s="1"/>
  <c r="DI33" i="34" l="1"/>
  <c r="DJ31" i="34" s="1"/>
  <c r="DJ32" i="34" s="1"/>
  <c r="DJ28" i="34" s="1"/>
  <c r="DH41" i="34"/>
  <c r="DG38" i="34"/>
  <c r="DG43" i="34"/>
  <c r="DG44" i="34" s="1"/>
  <c r="DG45" i="34" s="1"/>
  <c r="DF61" i="34"/>
  <c r="DH37" i="34"/>
  <c r="DI34" i="34"/>
  <c r="DI39" i="34" s="1"/>
  <c r="DI41" i="34" l="1"/>
  <c r="DJ34" i="34"/>
  <c r="DJ39" i="34" s="1"/>
  <c r="DH42" i="34"/>
  <c r="DH38" i="34" s="1"/>
  <c r="DG50" i="34"/>
  <c r="DG51" i="34" s="1"/>
  <c r="DG46" i="34"/>
  <c r="DI37" i="34"/>
  <c r="DJ33" i="34"/>
  <c r="DK31" i="34" s="1"/>
  <c r="DJ37" i="34" l="1"/>
  <c r="DH43" i="34"/>
  <c r="DH44" i="34" s="1"/>
  <c r="DH45" i="34" s="1"/>
  <c r="DI42" i="34"/>
  <c r="DI38" i="34" s="1"/>
  <c r="DK32" i="34"/>
  <c r="DK28" i="34" s="1"/>
  <c r="DG61" i="34"/>
  <c r="DH50" i="34"/>
  <c r="DH51" i="34" s="1"/>
  <c r="DH46" i="34"/>
  <c r="DJ41" i="34"/>
  <c r="DI43" i="34" l="1"/>
  <c r="DI44" i="34" s="1"/>
  <c r="DI45" i="34" s="1"/>
  <c r="DH61" i="34"/>
  <c r="DK34" i="34"/>
  <c r="DK39" i="34" s="1"/>
  <c r="DI46" i="34"/>
  <c r="DI50" i="34"/>
  <c r="DI51" i="34" s="1"/>
  <c r="DJ42" i="34"/>
  <c r="DJ38" i="34" s="1"/>
  <c r="DK33" i="34"/>
  <c r="DL31" i="34" s="1"/>
  <c r="DI61" i="34" l="1"/>
  <c r="DJ46" i="34"/>
  <c r="DJ50" i="34"/>
  <c r="DJ51" i="34" s="1"/>
  <c r="DK41" i="34"/>
  <c r="DJ43" i="34"/>
  <c r="DJ44" i="34" s="1"/>
  <c r="DJ45" i="34" s="1"/>
  <c r="DL32" i="34"/>
  <c r="DL28" i="34" s="1"/>
  <c r="DK37" i="34"/>
  <c r="DJ61" i="34" l="1"/>
  <c r="DL34" i="34"/>
  <c r="DL39" i="34" s="1"/>
  <c r="DK42" i="34"/>
  <c r="DK38" i="34" s="1"/>
  <c r="DL33" i="34"/>
  <c r="DM31" i="34" s="1"/>
  <c r="DK43" i="34" l="1"/>
  <c r="DK44" i="34" s="1"/>
  <c r="DK45" i="34" s="1"/>
  <c r="DK50" i="34"/>
  <c r="DK51" i="34" s="1"/>
  <c r="DK46" i="34"/>
  <c r="DL41" i="34"/>
  <c r="DM32" i="34"/>
  <c r="DM28" i="34" s="1"/>
  <c r="DL37" i="34"/>
  <c r="DK61" i="34" l="1"/>
  <c r="DM33" i="34"/>
  <c r="DN31" i="34" s="1"/>
  <c r="DM34" i="34"/>
  <c r="DM39" i="34" s="1"/>
  <c r="DL42" i="34"/>
  <c r="DM41" i="34" l="1"/>
  <c r="DL38" i="34"/>
  <c r="DL43" i="34"/>
  <c r="DL44" i="34" s="1"/>
  <c r="DL45" i="34" s="1"/>
  <c r="DN32" i="34"/>
  <c r="DN28" i="34" s="1"/>
  <c r="DM37" i="34"/>
  <c r="DN33" i="34" l="1"/>
  <c r="DO31" i="34" s="1"/>
  <c r="DO32" i="34" s="1"/>
  <c r="DO28" i="34" s="1"/>
  <c r="DM42" i="34"/>
  <c r="DM38" i="34" s="1"/>
  <c r="DN34" i="34"/>
  <c r="DN39" i="34" s="1"/>
  <c r="DL50" i="34"/>
  <c r="DL51" i="34" s="1"/>
  <c r="DL46" i="34"/>
  <c r="DM43" i="34" l="1"/>
  <c r="DM44" i="34" s="1"/>
  <c r="DM45" i="34" s="1"/>
  <c r="DL61" i="34"/>
  <c r="DO34" i="34"/>
  <c r="DO39" i="34" s="1"/>
  <c r="DM50" i="34"/>
  <c r="DM51" i="34" s="1"/>
  <c r="DM46" i="34"/>
  <c r="DN37" i="34"/>
  <c r="DN41" i="34"/>
  <c r="DO33" i="34"/>
  <c r="DP31" i="34" s="1"/>
  <c r="DM61" i="34" l="1"/>
  <c r="DP32" i="34"/>
  <c r="DP28" i="34" s="1"/>
  <c r="DN42" i="34"/>
  <c r="DO41" i="34"/>
  <c r="DO37" i="34"/>
  <c r="DN43" i="34" l="1"/>
  <c r="DN44" i="34" s="1"/>
  <c r="DN45" i="34" s="1"/>
  <c r="DN38" i="34"/>
  <c r="DO42" i="34"/>
  <c r="DO38" i="34" s="1"/>
  <c r="DP33" i="34"/>
  <c r="DQ31" i="34" s="1"/>
  <c r="DP34" i="34"/>
  <c r="DP39" i="34" s="1"/>
  <c r="DO43" i="34" l="1"/>
  <c r="DO44" i="34" s="1"/>
  <c r="DO45" i="34" s="1"/>
  <c r="DQ32" i="34"/>
  <c r="DQ28" i="34" s="1"/>
  <c r="DP41" i="34"/>
  <c r="DN46" i="34"/>
  <c r="DN50" i="34"/>
  <c r="DN51" i="34" s="1"/>
  <c r="DO50" i="34"/>
  <c r="DO46" i="34"/>
  <c r="DP37" i="34"/>
  <c r="DQ33" i="34" l="1"/>
  <c r="DR31" i="34" s="1"/>
  <c r="DR32" i="34" s="1"/>
  <c r="DR28" i="34" s="1"/>
  <c r="DQ34" i="34"/>
  <c r="DQ39" i="34" s="1"/>
  <c r="DN61" i="34"/>
  <c r="DO51" i="34"/>
  <c r="DP42" i="34"/>
  <c r="DQ37" i="34" l="1"/>
  <c r="DO61" i="34"/>
  <c r="DR34" i="34"/>
  <c r="DR39" i="34" s="1"/>
  <c r="DQ41" i="34"/>
  <c r="DP38" i="34"/>
  <c r="DP43" i="34"/>
  <c r="DP44" i="34" s="1"/>
  <c r="DP45" i="34" s="1"/>
  <c r="DR33" i="34"/>
  <c r="DS31" i="34" s="1"/>
  <c r="DS32" i="34" l="1"/>
  <c r="DS28" i="34" s="1"/>
  <c r="DR37" i="34"/>
  <c r="DP50" i="34"/>
  <c r="DP51" i="34" s="1"/>
  <c r="DP46" i="34"/>
  <c r="DQ42" i="34"/>
  <c r="DQ38" i="34" s="1"/>
  <c r="DR41" i="34"/>
  <c r="DS33" i="34" l="1"/>
  <c r="DT31" i="34" s="1"/>
  <c r="DQ50" i="34"/>
  <c r="DQ51" i="34" s="1"/>
  <c r="DQ46" i="34"/>
  <c r="DS34" i="34"/>
  <c r="DS39" i="34" s="1"/>
  <c r="DR42" i="34"/>
  <c r="DR38" i="34" s="1"/>
  <c r="DT32" i="34"/>
  <c r="DT28" i="34" s="1"/>
  <c r="DP61" i="34"/>
  <c r="DQ43" i="34"/>
  <c r="DQ44" i="34" s="1"/>
  <c r="DQ45" i="34" s="1"/>
  <c r="DS37" i="34" l="1"/>
  <c r="DR43" i="34"/>
  <c r="DR44" i="34" s="1"/>
  <c r="DR45" i="34" s="1"/>
  <c r="DQ61" i="34"/>
  <c r="DT34" i="34"/>
  <c r="DT39" i="34" s="1"/>
  <c r="DR50" i="34"/>
  <c r="DR51" i="34" s="1"/>
  <c r="DR46" i="34"/>
  <c r="DS41" i="34"/>
  <c r="DT33" i="34"/>
  <c r="DU31" i="34" s="1"/>
  <c r="DR61" i="34" l="1"/>
  <c r="DS42" i="34"/>
  <c r="DT41" i="34"/>
  <c r="DU32" i="34"/>
  <c r="DU28" i="34" s="1"/>
  <c r="DT37" i="34"/>
  <c r="DU34" i="34" l="1"/>
  <c r="DU39" i="34" s="1"/>
  <c r="DT42" i="34"/>
  <c r="DT38" i="34" s="1"/>
  <c r="DS43" i="34"/>
  <c r="DS44" i="34" s="1"/>
  <c r="DS45" i="34" s="1"/>
  <c r="DS38" i="34"/>
  <c r="DU33" i="34"/>
  <c r="DV31" i="34" s="1"/>
  <c r="DT43" i="34" l="1"/>
  <c r="DT44" i="34" s="1"/>
  <c r="DT45" i="34" s="1"/>
  <c r="DV32" i="34"/>
  <c r="DV28" i="34" s="1"/>
  <c r="DU37" i="34"/>
  <c r="DU41" i="34"/>
  <c r="DS50" i="34"/>
  <c r="DS51" i="34" s="1"/>
  <c r="DS46" i="34"/>
  <c r="DT50" i="34"/>
  <c r="DT46" i="34"/>
  <c r="DV33" i="34" l="1"/>
  <c r="DW31" i="34" s="1"/>
  <c r="DU42" i="34"/>
  <c r="DV34" i="34"/>
  <c r="DV39" i="34" s="1"/>
  <c r="DW32" i="34"/>
  <c r="DW28" i="34" s="1"/>
  <c r="DS61" i="34"/>
  <c r="DT51" i="34"/>
  <c r="DT61" i="34" l="1"/>
  <c r="DU43" i="34"/>
  <c r="DU44" i="34" s="1"/>
  <c r="DU45" i="34" s="1"/>
  <c r="DU38" i="34"/>
  <c r="DW33" i="34"/>
  <c r="DX31" i="34" s="1"/>
  <c r="DV41" i="34"/>
  <c r="DW34" i="34"/>
  <c r="DW39" i="34" s="1"/>
  <c r="DV37" i="34"/>
  <c r="DW37" i="34" l="1"/>
  <c r="DV42" i="34"/>
  <c r="DV38" i="34" s="1"/>
  <c r="DW41" i="34"/>
  <c r="DX32" i="34"/>
  <c r="DX28" i="34" s="1"/>
  <c r="DU46" i="34"/>
  <c r="DU50" i="34"/>
  <c r="DU51" i="34" s="1"/>
  <c r="DV43" i="34" l="1"/>
  <c r="DV44" i="34" s="1"/>
  <c r="DV45" i="34" s="1"/>
  <c r="DX33" i="34"/>
  <c r="DY31" i="34" s="1"/>
  <c r="DV50" i="34"/>
  <c r="DV51" i="34" s="1"/>
  <c r="DV46" i="34"/>
  <c r="DY32" i="34"/>
  <c r="DY28" i="34" s="1"/>
  <c r="DX34" i="34"/>
  <c r="DX39" i="34" s="1"/>
  <c r="DW42" i="34"/>
  <c r="DW38" i="34" s="1"/>
  <c r="DU61" i="34"/>
  <c r="DX37" i="34" l="1"/>
  <c r="DV61" i="34"/>
  <c r="DW50" i="34"/>
  <c r="DW51" i="34" s="1"/>
  <c r="DW46" i="34"/>
  <c r="DX41" i="34"/>
  <c r="DY34" i="34"/>
  <c r="DY39" i="34" s="1"/>
  <c r="DW43" i="34"/>
  <c r="DW44" i="34" s="1"/>
  <c r="DW45" i="34" s="1"/>
  <c r="DY33" i="34"/>
  <c r="DZ31" i="34" s="1"/>
  <c r="DY37" i="34" l="1"/>
  <c r="DW61" i="34"/>
  <c r="DX42" i="34"/>
  <c r="DX38" i="34" s="1"/>
  <c r="DZ32" i="34"/>
  <c r="DZ28" i="34" s="1"/>
  <c r="DY41" i="34"/>
  <c r="DX43" i="34" l="1"/>
  <c r="DX44" i="34" s="1"/>
  <c r="DX45" i="34" s="1"/>
  <c r="DY42" i="34"/>
  <c r="DY38" i="34" s="1"/>
  <c r="DX50" i="34"/>
  <c r="DX51" i="34" s="1"/>
  <c r="DX46" i="34"/>
  <c r="DZ33" i="34"/>
  <c r="EA31" i="34" s="1"/>
  <c r="DZ34" i="34"/>
  <c r="DZ39" i="34" s="1"/>
  <c r="DZ37" i="34" l="1"/>
  <c r="DY46" i="34"/>
  <c r="DY50" i="34"/>
  <c r="DY51" i="34" s="1"/>
  <c r="DY43" i="34"/>
  <c r="DY44" i="34" s="1"/>
  <c r="DY45" i="34" s="1"/>
  <c r="EA32" i="34"/>
  <c r="EA28" i="34" s="1"/>
  <c r="DZ41" i="34"/>
  <c r="DX61" i="34"/>
  <c r="EA34" i="34" l="1"/>
  <c r="EA39" i="34" s="1"/>
  <c r="DZ42" i="34"/>
  <c r="DZ38" i="34" s="1"/>
  <c r="EA33" i="34"/>
  <c r="EB31" i="34" s="1"/>
  <c r="DY61" i="34"/>
  <c r="EA37" i="34" l="1"/>
  <c r="DZ43" i="34"/>
  <c r="DZ44" i="34" s="1"/>
  <c r="DZ45" i="34" s="1"/>
  <c r="EA41" i="34"/>
  <c r="EB32" i="34"/>
  <c r="EB28" i="34" s="1"/>
  <c r="DZ50" i="34"/>
  <c r="DZ51" i="34" s="1"/>
  <c r="DZ46" i="34"/>
  <c r="EB33" i="34" l="1"/>
  <c r="EC31" i="34" s="1"/>
  <c r="EC32" i="34" s="1"/>
  <c r="EC28" i="34" s="1"/>
  <c r="EB34" i="34"/>
  <c r="EB39" i="34" s="1"/>
  <c r="EA42" i="34"/>
  <c r="DZ61" i="34"/>
  <c r="EB41" i="34" l="1"/>
  <c r="EC33" i="34"/>
  <c r="ED31" i="34" s="1"/>
  <c r="EB37" i="34"/>
  <c r="EC34" i="34"/>
  <c r="EC39" i="34" s="1"/>
  <c r="EA43" i="34"/>
  <c r="EA44" i="34" s="1"/>
  <c r="EA45" i="34" s="1"/>
  <c r="EA38" i="34"/>
  <c r="EC37" i="34" l="1"/>
  <c r="EC41" i="34"/>
  <c r="EB42" i="34"/>
  <c r="EB38" i="34" s="1"/>
  <c r="EA50" i="34"/>
  <c r="EA51" i="34" s="1"/>
  <c r="EA46" i="34"/>
  <c r="ED32" i="34"/>
  <c r="ED28" i="34" s="1"/>
  <c r="EB43" i="34" l="1"/>
  <c r="EB44" i="34" s="1"/>
  <c r="EB45" i="34" s="1"/>
  <c r="ED33" i="34"/>
  <c r="EE31" i="34" s="1"/>
  <c r="ED34" i="34"/>
  <c r="ED39" i="34" s="1"/>
  <c r="EC42" i="34"/>
  <c r="EC38" i="34" s="1"/>
  <c r="EE32" i="34"/>
  <c r="EE28" i="34" s="1"/>
  <c r="EA61" i="34"/>
  <c r="EB46" i="34"/>
  <c r="EB50" i="34"/>
  <c r="EB51" i="34" s="1"/>
  <c r="EC43" i="34" l="1"/>
  <c r="EC44" i="34" s="1"/>
  <c r="EC45" i="34" s="1"/>
  <c r="ED37" i="34"/>
  <c r="EB61" i="34"/>
  <c r="ED41" i="34"/>
  <c r="EE33" i="34"/>
  <c r="EF31" i="34" s="1"/>
  <c r="EE34" i="34"/>
  <c r="EE39" i="34" s="1"/>
  <c r="EC50" i="34"/>
  <c r="EC51" i="34" s="1"/>
  <c r="EC46" i="34"/>
  <c r="ED42" i="34" l="1"/>
  <c r="EE41" i="34"/>
  <c r="EC61" i="34"/>
  <c r="EF32" i="34"/>
  <c r="EF28" i="34" s="1"/>
  <c r="EE37" i="34"/>
  <c r="EF34" i="34" l="1"/>
  <c r="EF39" i="34" s="1"/>
  <c r="EE42" i="34"/>
  <c r="EE38" i="34" s="1"/>
  <c r="ED43" i="34"/>
  <c r="ED44" i="34" s="1"/>
  <c r="ED45" i="34" s="1"/>
  <c r="EE43" i="34" s="1"/>
  <c r="EE44" i="34" s="1"/>
  <c r="EE45" i="34" s="1"/>
  <c r="ED38" i="34"/>
  <c r="EF33" i="34"/>
  <c r="EG31" i="34" s="1"/>
  <c r="EF37" i="34" l="1"/>
  <c r="EF41" i="34"/>
  <c r="ED50" i="34"/>
  <c r="ED51" i="34" s="1"/>
  <c r="ED46" i="34"/>
  <c r="EG32" i="34"/>
  <c r="EG28" i="34" s="1"/>
  <c r="EE46" i="34"/>
  <c r="EE50" i="34"/>
  <c r="EG33" i="34" l="1"/>
  <c r="EH31" i="34" s="1"/>
  <c r="EG34" i="34"/>
  <c r="EG39" i="34" s="1"/>
  <c r="ED61" i="34"/>
  <c r="EE51" i="34"/>
  <c r="EH32" i="34"/>
  <c r="EH28" i="34" s="1"/>
  <c r="EF42" i="34"/>
  <c r="EG37" i="34" l="1"/>
  <c r="EG41" i="34"/>
  <c r="EH33" i="34"/>
  <c r="EI31" i="34" s="1"/>
  <c r="EH34" i="34"/>
  <c r="EH39" i="34" s="1"/>
  <c r="EE61" i="34"/>
  <c r="EF43" i="34"/>
  <c r="EF44" i="34" s="1"/>
  <c r="EF45" i="34" s="1"/>
  <c r="EF38" i="34"/>
  <c r="EG42" i="34" l="1"/>
  <c r="EG38" i="34" s="1"/>
  <c r="EH37" i="34"/>
  <c r="EH41" i="34"/>
  <c r="EF46" i="34"/>
  <c r="EF50" i="34"/>
  <c r="EF51" i="34" s="1"/>
  <c r="EI32" i="34"/>
  <c r="EI28" i="34" s="1"/>
  <c r="EF61" i="34" l="1"/>
  <c r="EH42" i="34"/>
  <c r="EH38" i="34" s="1"/>
  <c r="EG50" i="34"/>
  <c r="EG51" i="34" s="1"/>
  <c r="EG46" i="34"/>
  <c r="EI33" i="34"/>
  <c r="EJ31" i="34" s="1"/>
  <c r="EG43" i="34"/>
  <c r="EG44" i="34" s="1"/>
  <c r="EG45" i="34" s="1"/>
  <c r="EH43" i="34" s="1"/>
  <c r="EH44" i="34" s="1"/>
  <c r="EH45" i="34" s="1"/>
  <c r="EI34" i="34"/>
  <c r="EI39" i="34" s="1"/>
  <c r="EG61" i="34" l="1"/>
  <c r="EI37" i="34"/>
  <c r="EI41" i="34"/>
  <c r="EJ32" i="34"/>
  <c r="EJ28" i="34" s="1"/>
  <c r="EH46" i="34"/>
  <c r="EH50" i="34"/>
  <c r="EH51" i="34" s="1"/>
  <c r="EH61" i="34" l="1"/>
  <c r="EJ34" i="34"/>
  <c r="EJ39" i="34" s="1"/>
  <c r="EI42" i="34"/>
  <c r="EJ33" i="34"/>
  <c r="EK31" i="34" s="1"/>
  <c r="EJ37" i="34" l="1"/>
  <c r="EI43" i="34"/>
  <c r="EI44" i="34" s="1"/>
  <c r="EI45" i="34" s="1"/>
  <c r="EI38" i="34"/>
  <c r="EJ41" i="34"/>
  <c r="EK32" i="34"/>
  <c r="EK28" i="34" s="1"/>
  <c r="EI46" i="34" l="1"/>
  <c r="EI50" i="34"/>
  <c r="EI51" i="34" s="1"/>
  <c r="EK33" i="34"/>
  <c r="EL31" i="34" s="1"/>
  <c r="EK34" i="34"/>
  <c r="EK39" i="34" s="1"/>
  <c r="EJ42" i="34"/>
  <c r="EJ38" i="34" s="1"/>
  <c r="EK37" i="34" l="1"/>
  <c r="EK41" i="34"/>
  <c r="EI61" i="34"/>
  <c r="EJ43" i="34"/>
  <c r="EJ44" i="34" s="1"/>
  <c r="EJ45" i="34" s="1"/>
  <c r="EJ50" i="34"/>
  <c r="EJ51" i="34" s="1"/>
  <c r="EJ46" i="34"/>
  <c r="EL32" i="34"/>
  <c r="EL28" i="34" s="1"/>
  <c r="EJ61" i="34" l="1"/>
  <c r="EK42" i="34"/>
  <c r="EK38" i="34" s="1"/>
  <c r="EL33" i="34"/>
  <c r="EM31" i="34" s="1"/>
  <c r="EL34" i="34"/>
  <c r="EL39" i="34" s="1"/>
  <c r="EK43" i="34" l="1"/>
  <c r="EK44" i="34" s="1"/>
  <c r="EK45" i="34" s="1"/>
  <c r="EL37" i="34"/>
  <c r="EL41" i="34"/>
  <c r="EK50" i="34"/>
  <c r="EK51" i="34" s="1"/>
  <c r="EK46" i="34"/>
  <c r="EM32" i="34"/>
  <c r="EM28" i="34" s="1"/>
  <c r="EK61" i="34" l="1"/>
  <c r="EL42" i="34"/>
  <c r="EM33" i="34"/>
  <c r="EN31" i="34" s="1"/>
  <c r="EM34" i="34"/>
  <c r="EM39" i="34" s="1"/>
  <c r="EM37" i="34" l="1"/>
  <c r="EN32" i="34"/>
  <c r="EN28" i="34" s="1"/>
  <c r="EM41" i="34"/>
  <c r="EL38" i="34"/>
  <c r="EL43" i="34"/>
  <c r="EL44" i="34" s="1"/>
  <c r="EL45" i="34" s="1"/>
  <c r="EN33" i="34" l="1"/>
  <c r="EO31" i="34" s="1"/>
  <c r="EO32" i="34" s="1"/>
  <c r="EO28" i="34" s="1"/>
  <c r="EM42" i="34"/>
  <c r="EM38" i="34" s="1"/>
  <c r="EL50" i="34"/>
  <c r="EL51" i="34" s="1"/>
  <c r="EL46" i="34"/>
  <c r="EN34" i="34"/>
  <c r="EN39" i="34" s="1"/>
  <c r="EO33" i="34" l="1"/>
  <c r="EP31" i="34" s="1"/>
  <c r="EP32" i="34" s="1"/>
  <c r="EP28" i="34" s="1"/>
  <c r="EM50" i="34"/>
  <c r="EM51" i="34" s="1"/>
  <c r="EM46" i="34"/>
  <c r="EL61" i="34"/>
  <c r="EN41" i="34"/>
  <c r="EO34" i="34"/>
  <c r="EO39" i="34" s="1"/>
  <c r="EN37" i="34"/>
  <c r="EM43" i="34"/>
  <c r="EM44" i="34" s="1"/>
  <c r="EM45" i="34" s="1"/>
  <c r="EP33" i="34" l="1"/>
  <c r="EQ31" i="34" s="1"/>
  <c r="EO37" i="34"/>
  <c r="EM61" i="34"/>
  <c r="EP34" i="34"/>
  <c r="EP39" i="34" s="1"/>
  <c r="EQ32" i="34"/>
  <c r="EQ28" i="34" s="1"/>
  <c r="EO41" i="34"/>
  <c r="EN42" i="34"/>
  <c r="EN38" i="34" s="1"/>
  <c r="EP37" i="34" l="1"/>
  <c r="EN43" i="34"/>
  <c r="EN44" i="34" s="1"/>
  <c r="EN45" i="34" s="1"/>
  <c r="EQ33" i="34"/>
  <c r="ER31" i="34" s="1"/>
  <c r="EQ34" i="34"/>
  <c r="EQ39" i="34" s="1"/>
  <c r="EO42" i="34"/>
  <c r="EO38" i="34" s="1"/>
  <c r="EN50" i="34"/>
  <c r="EN51" i="34" s="1"/>
  <c r="EN46" i="34"/>
  <c r="EP41" i="34"/>
  <c r="EO43" i="34" l="1"/>
  <c r="EO44" i="34" s="1"/>
  <c r="EO45" i="34" s="1"/>
  <c r="EQ41" i="34"/>
  <c r="EP42" i="34"/>
  <c r="EP38" i="34" s="1"/>
  <c r="EO50" i="34"/>
  <c r="EO51" i="34" s="1"/>
  <c r="EO46" i="34"/>
  <c r="ER32" i="34"/>
  <c r="ER28" i="34" s="1"/>
  <c r="EN61" i="34"/>
  <c r="EQ37" i="34"/>
  <c r="EP43" i="34" l="1"/>
  <c r="EP44" i="34" s="1"/>
  <c r="EP45" i="34" s="1"/>
  <c r="ER34" i="34"/>
  <c r="ER39" i="34" s="1"/>
  <c r="EQ42" i="34"/>
  <c r="EQ38" i="34" s="1"/>
  <c r="EO61" i="34"/>
  <c r="EP50" i="34"/>
  <c r="EP51" i="34" s="1"/>
  <c r="EP46" i="34"/>
  <c r="ER33" i="34"/>
  <c r="ES31" i="34" s="1"/>
  <c r="ER37" i="34" l="1"/>
  <c r="EP61" i="34"/>
  <c r="EQ46" i="34"/>
  <c r="EQ50" i="34"/>
  <c r="EQ51" i="34" s="1"/>
  <c r="ES32" i="34"/>
  <c r="ES28" i="34" s="1"/>
  <c r="ER41" i="34"/>
  <c r="EQ43" i="34"/>
  <c r="EQ44" i="34" s="1"/>
  <c r="EQ45" i="34" s="1"/>
  <c r="ES34" i="34" l="1"/>
  <c r="ES39" i="34" s="1"/>
  <c r="ER42" i="34"/>
  <c r="ER38" i="34" s="1"/>
  <c r="EQ61" i="34"/>
  <c r="ES33" i="34"/>
  <c r="ET31" i="34" s="1"/>
  <c r="ES37" i="34" l="1"/>
  <c r="ER43" i="34"/>
  <c r="ER44" i="34" s="1"/>
  <c r="ER45" i="34" s="1"/>
  <c r="ES41" i="34"/>
  <c r="ET32" i="34"/>
  <c r="ET28" i="34" s="1"/>
  <c r="ER50" i="34"/>
  <c r="ER51" i="34" s="1"/>
  <c r="ER46" i="34"/>
  <c r="ER61" i="34" l="1"/>
  <c r="ET33" i="34"/>
  <c r="EU31" i="34" s="1"/>
  <c r="ET34" i="34"/>
  <c r="ET39" i="34" s="1"/>
  <c r="ES42" i="34"/>
  <c r="ET41" i="34" l="1"/>
  <c r="EU32" i="34"/>
  <c r="EU28" i="34" s="1"/>
  <c r="ES38" i="34"/>
  <c r="ES43" i="34"/>
  <c r="ES44" i="34" s="1"/>
  <c r="ES45" i="34" s="1"/>
  <c r="ET37" i="34"/>
  <c r="EU34" i="34" l="1"/>
  <c r="EU39" i="34" s="1"/>
  <c r="ET42" i="34"/>
  <c r="ET38" i="34" s="1"/>
  <c r="ES50" i="34"/>
  <c r="ES51" i="34" s="1"/>
  <c r="ES46" i="34"/>
  <c r="EU33" i="34"/>
  <c r="EV31" i="34" s="1"/>
  <c r="ET43" i="34" l="1"/>
  <c r="ET44" i="34" s="1"/>
  <c r="ET45" i="34" s="1"/>
  <c r="EU37" i="34"/>
  <c r="ES61" i="34"/>
  <c r="EU41" i="34"/>
  <c r="EV32" i="34"/>
  <c r="EV28" i="34" s="1"/>
  <c r="ET50" i="34"/>
  <c r="ET51" i="34" s="1"/>
  <c r="ET46" i="34"/>
  <c r="ET61" i="34" l="1"/>
  <c r="EV33" i="34"/>
  <c r="EW31" i="34" s="1"/>
  <c r="EV34" i="34"/>
  <c r="EV39" i="34" s="1"/>
  <c r="EU42" i="34"/>
  <c r="EV37" i="34" l="1"/>
  <c r="EU38" i="34"/>
  <c r="EU43" i="34"/>
  <c r="EU44" i="34" s="1"/>
  <c r="EU45" i="34" s="1"/>
  <c r="EW32" i="34"/>
  <c r="EW28" i="34" s="1"/>
  <c r="EV41" i="34"/>
  <c r="EU50" i="34" l="1"/>
  <c r="EU51" i="34" s="1"/>
  <c r="EU46" i="34"/>
  <c r="EV42" i="34"/>
  <c r="EV38" i="34" s="1"/>
  <c r="EW33" i="34"/>
  <c r="EX31" i="34" s="1"/>
  <c r="EW34" i="34"/>
  <c r="EW39" i="34" s="1"/>
  <c r="EW37" i="34" l="1"/>
  <c r="EU61" i="34"/>
  <c r="EX32" i="34"/>
  <c r="EX28" i="34" s="1"/>
  <c r="EW41" i="34"/>
  <c r="EV43" i="34"/>
  <c r="EV44" i="34" s="1"/>
  <c r="EV45" i="34" s="1"/>
  <c r="EV50" i="34"/>
  <c r="EV51" i="34" s="1"/>
  <c r="EV46" i="34"/>
  <c r="EV61" i="34" l="1"/>
  <c r="EW42" i="34"/>
  <c r="EW38" i="34" s="1"/>
  <c r="EX33" i="34"/>
  <c r="EY31" i="34" s="1"/>
  <c r="EX34" i="34"/>
  <c r="EX39" i="34" s="1"/>
  <c r="EW43" i="34"/>
  <c r="EW44" i="34" s="1"/>
  <c r="EW45" i="34" s="1"/>
  <c r="EX37" i="34" l="1"/>
  <c r="EX41" i="34"/>
  <c r="EY32" i="34"/>
  <c r="EY28" i="34" s="1"/>
  <c r="EW50" i="34"/>
  <c r="EW51" i="34" s="1"/>
  <c r="EW46" i="34"/>
  <c r="EY33" i="34" l="1"/>
  <c r="EZ31" i="34" s="1"/>
  <c r="EZ32" i="34" s="1"/>
  <c r="EZ28" i="34" s="1"/>
  <c r="EY34" i="34"/>
  <c r="EY39" i="34" s="1"/>
  <c r="EX42" i="34"/>
  <c r="EW61" i="34"/>
  <c r="EZ33" i="34" l="1"/>
  <c r="FA31" i="34" s="1"/>
  <c r="FA32" i="34" s="1"/>
  <c r="FA28" i="34" s="1"/>
  <c r="EX43" i="34"/>
  <c r="EX44" i="34" s="1"/>
  <c r="EX45" i="34" s="1"/>
  <c r="EX38" i="34"/>
  <c r="EZ34" i="34"/>
  <c r="EZ39" i="34" s="1"/>
  <c r="EY41" i="34"/>
  <c r="EY37" i="34"/>
  <c r="FA33" i="34" l="1"/>
  <c r="FB31" i="34" s="1"/>
  <c r="FB32" i="34" s="1"/>
  <c r="FB28" i="34" s="1"/>
  <c r="EZ41" i="34"/>
  <c r="EY42" i="34"/>
  <c r="EY38" i="34" s="1"/>
  <c r="FA34" i="34"/>
  <c r="FA39" i="34" s="1"/>
  <c r="EZ37" i="34"/>
  <c r="EX50" i="34"/>
  <c r="EX51" i="34" s="1"/>
  <c r="EX46" i="34"/>
  <c r="EY43" i="34" l="1"/>
  <c r="EY44" i="34" s="1"/>
  <c r="EY45" i="34" s="1"/>
  <c r="FB34" i="34"/>
  <c r="FB39" i="34" s="1"/>
  <c r="EY50" i="34"/>
  <c r="EY51" i="34" s="1"/>
  <c r="EY46" i="34"/>
  <c r="EX61" i="34"/>
  <c r="EZ42" i="34"/>
  <c r="EZ38" i="34" s="1"/>
  <c r="FA37" i="34"/>
  <c r="FA41" i="34"/>
  <c r="FB33" i="34"/>
  <c r="FC31" i="34" s="1"/>
  <c r="FB37" i="34" l="1"/>
  <c r="EY61" i="34"/>
  <c r="EZ43" i="34"/>
  <c r="EZ44" i="34" s="1"/>
  <c r="EZ45" i="34" s="1"/>
  <c r="EZ50" i="34"/>
  <c r="EZ51" i="34" s="1"/>
  <c r="EZ46" i="34"/>
  <c r="FA42" i="34"/>
  <c r="FA38" i="34" s="1"/>
  <c r="FB41" i="34"/>
  <c r="FC32" i="34"/>
  <c r="FC28" i="34" s="1"/>
  <c r="FA50" i="34" l="1"/>
  <c r="FA51" i="34" s="1"/>
  <c r="FA46" i="34"/>
  <c r="FB42" i="34"/>
  <c r="FB38" i="34" s="1"/>
  <c r="EZ61" i="34"/>
  <c r="FC33" i="34"/>
  <c r="FD31" i="34" s="1"/>
  <c r="FA43" i="34"/>
  <c r="FA44" i="34" s="1"/>
  <c r="FA45" i="34" s="1"/>
  <c r="FB43" i="34" s="1"/>
  <c r="FB44" i="34" s="1"/>
  <c r="FB45" i="34" s="1"/>
  <c r="FC34" i="34"/>
  <c r="FC39" i="34" s="1"/>
  <c r="FC37" i="34" l="1"/>
  <c r="FA61" i="34"/>
  <c r="FC41" i="34"/>
  <c r="FD32" i="34"/>
  <c r="FD28" i="34" s="1"/>
  <c r="FB50" i="34"/>
  <c r="FB51" i="34" s="1"/>
  <c r="FB46" i="34"/>
  <c r="FB61" i="34" l="1"/>
  <c r="FD33" i="34"/>
  <c r="FE31" i="34" s="1"/>
  <c r="FD34" i="34"/>
  <c r="FD39" i="34" s="1"/>
  <c r="FC42" i="34"/>
  <c r="FD37" i="34" l="1"/>
  <c r="FC43" i="34"/>
  <c r="FC44" i="34" s="1"/>
  <c r="FC45" i="34" s="1"/>
  <c r="FC38" i="34"/>
  <c r="FE32" i="34"/>
  <c r="FE28" i="34" s="1"/>
  <c r="FD41" i="34"/>
  <c r="FC50" i="34" l="1"/>
  <c r="FC51" i="34" s="1"/>
  <c r="FC46" i="34"/>
  <c r="FD42" i="34"/>
  <c r="FD38" i="34" s="1"/>
  <c r="FE33" i="34"/>
  <c r="FF31" i="34" s="1"/>
  <c r="FE34" i="34"/>
  <c r="FE39" i="34" s="1"/>
  <c r="FE37" i="34" l="1"/>
  <c r="FC61" i="34"/>
  <c r="FF32" i="34"/>
  <c r="FF28" i="34" s="1"/>
  <c r="FE41" i="34"/>
  <c r="FD43" i="34"/>
  <c r="FD44" i="34" s="1"/>
  <c r="FD45" i="34" s="1"/>
  <c r="FD50" i="34"/>
  <c r="FD51" i="34" s="1"/>
  <c r="FD46" i="34"/>
  <c r="FD61" i="34" l="1"/>
  <c r="FE42" i="34"/>
  <c r="FE38" i="34" s="1"/>
  <c r="FF33" i="34"/>
  <c r="FG31" i="34" s="1"/>
  <c r="FF34" i="34"/>
  <c r="FF39" i="34" s="1"/>
  <c r="FE43" i="34"/>
  <c r="FE44" i="34" s="1"/>
  <c r="FE45" i="34" s="1"/>
  <c r="FG32" i="34" l="1"/>
  <c r="FG28" i="34" s="1"/>
  <c r="FF41" i="34"/>
  <c r="FE50" i="34"/>
  <c r="FE51" i="34" s="1"/>
  <c r="FE46" i="34"/>
  <c r="FF37" i="34"/>
  <c r="FF42" i="34" l="1"/>
  <c r="FG33" i="34"/>
  <c r="FH31" i="34" s="1"/>
  <c r="FG34" i="34"/>
  <c r="FG39" i="34" s="1"/>
  <c r="FE61" i="34"/>
  <c r="FG41" i="34" l="1"/>
  <c r="FF43" i="34"/>
  <c r="FF44" i="34" s="1"/>
  <c r="FF45" i="34" s="1"/>
  <c r="FF38" i="34"/>
  <c r="FG37" i="34"/>
  <c r="FH32" i="34"/>
  <c r="FH28" i="34" s="1"/>
  <c r="FH33" i="34" l="1"/>
  <c r="FH34" i="34"/>
  <c r="FH37" i="34"/>
  <c r="D28" i="34"/>
  <c r="FF46" i="34"/>
  <c r="FF50" i="34"/>
  <c r="FF51" i="34" s="1"/>
  <c r="FG42" i="34"/>
  <c r="FG38" i="34" s="1"/>
  <c r="FG43" i="34" l="1"/>
  <c r="FG44" i="34" s="1"/>
  <c r="FG45" i="34" s="1"/>
  <c r="D34" i="34"/>
  <c r="D37" i="34" s="1"/>
  <c r="FH39" i="34"/>
  <c r="FG50" i="34"/>
  <c r="FG51" i="34" s="1"/>
  <c r="FG46" i="34"/>
  <c r="FF61" i="34"/>
  <c r="FG61" i="34" l="1"/>
  <c r="FH41" i="34"/>
  <c r="D39" i="34"/>
  <c r="FH42" i="34" l="1"/>
  <c r="D41" i="34"/>
  <c r="FH43" i="34" l="1"/>
  <c r="FH44" i="34" s="1"/>
  <c r="FH45" i="34" s="1"/>
  <c r="FI43" i="34" s="1"/>
  <c r="FI44" i="34" s="1"/>
  <c r="FI45" i="34" s="1"/>
  <c r="FJ43" i="34" s="1"/>
  <c r="FJ44" i="34" s="1"/>
  <c r="FJ45" i="34" s="1"/>
  <c r="FK43" i="34" s="1"/>
  <c r="FK44" i="34" s="1"/>
  <c r="FK45" i="34" s="1"/>
  <c r="FL43" i="34" s="1"/>
  <c r="FL44" i="34" s="1"/>
  <c r="FL45" i="34" s="1"/>
  <c r="FH38" i="34"/>
  <c r="D38" i="34" l="1"/>
  <c r="FH50" i="34"/>
  <c r="FH46" i="34"/>
  <c r="E19" i="31" l="1"/>
  <c r="D46" i="34"/>
  <c r="D50" i="34"/>
  <c r="D51" i="34" s="1"/>
  <c r="D61" i="34" s="1"/>
  <c r="FH51" i="34"/>
  <c r="FH61" i="34" s="1"/>
  <c r="D62" i="34" l="1"/>
  <c r="C19" i="31"/>
  <c r="B19" i="31" s="1"/>
  <c r="E20" i="31"/>
  <c r="E21" i="31" l="1"/>
  <c r="E25" i="31"/>
  <c r="E26" i="31" s="1"/>
  <c r="C20" i="31"/>
  <c r="C26" i="31" l="1"/>
  <c r="C39" i="31" s="1"/>
  <c r="C25" i="31"/>
  <c r="C21" i="31"/>
  <c r="C58" i="43" l="1"/>
  <c r="C14" i="40"/>
  <c r="C40" i="31"/>
  <c r="C58" i="13"/>
  <c r="C15" i="40" l="1"/>
  <c r="C21" i="40"/>
  <c r="C16" i="40"/>
  <c r="I14" i="40"/>
</calcChain>
</file>

<file path=xl/comments1.xml><?xml version="1.0" encoding="utf-8"?>
<comments xmlns="http://schemas.openxmlformats.org/spreadsheetml/2006/main">
  <authors>
    <author>张美泉</author>
  </authors>
  <commentList>
    <comment ref="H15" authorId="0" shapeId="0">
      <text>
        <r>
          <rPr>
            <b/>
            <sz val="9"/>
            <color indexed="81"/>
            <rFont val="宋体"/>
            <family val="3"/>
            <charset val="134"/>
          </rPr>
          <t>18年报建节省报建费</t>
        </r>
      </text>
    </comment>
  </commentList>
</comments>
</file>

<file path=xl/sharedStrings.xml><?xml version="1.0" encoding="utf-8"?>
<sst xmlns="http://schemas.openxmlformats.org/spreadsheetml/2006/main" count="3894" uniqueCount="1058">
  <si>
    <t>投资盈利指标表</t>
  </si>
  <si>
    <t>第一部分 投资测算指标</t>
  </si>
  <si>
    <t>投资测算指标</t>
  </si>
  <si>
    <t>基准值</t>
  </si>
  <si>
    <t>一类区域</t>
  </si>
  <si>
    <t>二类区域</t>
  </si>
  <si>
    <t>三类区域</t>
  </si>
  <si>
    <t>房产销售测算指标</t>
  </si>
  <si>
    <t>一级指标</t>
  </si>
  <si>
    <t>内含报酬率</t>
  </si>
  <si>
    <t>二级指标</t>
  </si>
  <si>
    <t>销售毛利率</t>
  </si>
  <si>
    <r>
      <rPr>
        <sz val="10.5"/>
        <rFont val="宋体"/>
        <family val="3"/>
        <charset val="134"/>
      </rPr>
      <t>三级指标</t>
    </r>
    <r>
      <rPr>
        <sz val="10.5"/>
        <rFont val="Times New Roman"/>
        <family val="1"/>
      </rPr>
      <t xml:space="preserve"> </t>
    </r>
  </si>
  <si>
    <t>销售净利率</t>
  </si>
  <si>
    <r>
      <rPr>
        <sz val="10"/>
        <rFont val="仿宋_GB2312"/>
        <family val="3"/>
        <charset val="134"/>
      </rPr>
      <t>说明：</t>
    </r>
    <r>
      <rPr>
        <sz val="10"/>
        <rFont val="Times New Roman"/>
        <family val="1"/>
      </rPr>
      <t xml:space="preserve">                                                                                                                                                                                                                                                                                                                                     1)</t>
    </r>
    <r>
      <rPr>
        <sz val="10"/>
        <rFont val="仿宋_GB2312"/>
        <family val="3"/>
        <charset val="134"/>
      </rPr>
      <t>当项目仅有单个业态时，分别适用各自的测算指标；当项目含有多个业态，需同时满足各单个业态指标与“总体测算指标”要求。　　　　　　　　　　　　　　　　</t>
    </r>
    <r>
      <rPr>
        <sz val="10"/>
        <rFont val="Times New Roman"/>
        <family val="1"/>
      </rPr>
      <t xml:space="preserve">                                                                                                                                                                            2)</t>
    </r>
    <r>
      <rPr>
        <sz val="10"/>
        <rFont val="仿宋_GB2312"/>
        <family val="3"/>
        <charset val="134"/>
      </rPr>
      <t>地区包括目前我国主要三个发达经济带的一线城市及部分二线城市；第二类地区包括三个发达经济带的不属于第一类地区的部分二线城市及三个发达经济区外的省会城市；第三类区域包括除第一、第二类区域外的其他城市。</t>
    </r>
  </si>
  <si>
    <t>第二部分 测算结果</t>
  </si>
  <si>
    <t>参考值</t>
  </si>
  <si>
    <t>测算结果</t>
  </si>
  <si>
    <t>各期合计</t>
  </si>
  <si>
    <t>一期</t>
  </si>
  <si>
    <t>二期</t>
  </si>
  <si>
    <t>三期</t>
  </si>
  <si>
    <t>四期</t>
  </si>
  <si>
    <t>五期</t>
  </si>
  <si>
    <t>六期</t>
  </si>
  <si>
    <t>项目名称：</t>
  </si>
  <si>
    <t>编号</t>
  </si>
  <si>
    <t>名称</t>
  </si>
  <si>
    <t>责任部门</t>
  </si>
  <si>
    <t>校验</t>
  </si>
  <si>
    <t>填报说明</t>
  </si>
  <si>
    <t>更新思路</t>
  </si>
  <si>
    <t>基本参数设置表</t>
  </si>
  <si>
    <t>财务部</t>
  </si>
  <si>
    <t>-</t>
  </si>
  <si>
    <t>进项费计算参数中各成本项的占比为各成本项占整体目标建造成本的比例</t>
  </si>
  <si>
    <t>1、
2、物业配合费实际产生远大于测算表中测算的数据；项目物业配合费标准根据实际情况修改；
回迁等视同销售问题，在增值税、土增税、所得税应引用数据；</t>
  </si>
  <si>
    <t>1、已改
2、已改</t>
  </si>
  <si>
    <t>税率表</t>
  </si>
  <si>
    <t>按当地税收法规填报各税种税率</t>
  </si>
  <si>
    <t>无</t>
  </si>
  <si>
    <t>保本售价试算表</t>
  </si>
  <si>
    <t>将第三行试算收入的数据复制粘贴至第6行营业收入中，直至各业态利润为零。</t>
  </si>
  <si>
    <t>1、保本售价试算表中土地增值税公式有误，取值为"土地增值税"表中各业态清算税金，但保本售价与投资测算定价不同，不可直接取值，并且通常保本售价时，土地增值税清算结果为退税，现有表格将造成保本售价偏高；统一按不退税处理；</t>
  </si>
  <si>
    <r>
      <rPr>
        <sz val="11"/>
        <color theme="1"/>
        <rFont val="宋体"/>
        <family val="3"/>
        <charset val="134"/>
        <scheme val="minor"/>
      </rPr>
      <t>o</t>
    </r>
    <r>
      <rPr>
        <sz val="11"/>
        <color theme="1"/>
        <rFont val="宋体"/>
        <family val="3"/>
        <charset val="134"/>
        <scheme val="minor"/>
      </rPr>
      <t>k</t>
    </r>
  </si>
  <si>
    <t>综合指标表</t>
  </si>
  <si>
    <t>自动计算</t>
  </si>
  <si>
    <t>结合汇报指标情况</t>
  </si>
  <si>
    <t>分产品利润表</t>
  </si>
  <si>
    <t>1、可售面积合计数取了车位个数需要修改；</t>
  </si>
  <si>
    <t>年度签约利润表</t>
  </si>
  <si>
    <t>显示不退税情况下利润情况；</t>
  </si>
  <si>
    <t>现金流量表</t>
  </si>
  <si>
    <t>项目规划指标表</t>
  </si>
  <si>
    <t>设计部</t>
  </si>
  <si>
    <t>无产权公共配套建设指标统一填报在15行</t>
  </si>
  <si>
    <t>项目开发计划表</t>
  </si>
  <si>
    <t>工程部</t>
  </si>
  <si>
    <t>分期、分业态填报工程节点计划</t>
  </si>
  <si>
    <t>工程成本支出表</t>
  </si>
  <si>
    <t>成本部</t>
  </si>
  <si>
    <t>预计各成本项在各开发阶段的支付比例，用以计算成本支出计划</t>
  </si>
  <si>
    <t>销售及回款表</t>
  </si>
  <si>
    <t>销售部</t>
  </si>
  <si>
    <t>填报各期、各业态的预计均价及销售比例</t>
  </si>
  <si>
    <t>土地成本表</t>
  </si>
  <si>
    <t>投融资部</t>
  </si>
  <si>
    <t>需在c18/C19单元格中分别填列土地成本的取票情况，区分政府开具的出让金票据及其他票据</t>
  </si>
  <si>
    <t>土地分摊无法到达二次分摊或三次分摊；如分期，土地成本加一个二次分摊或三次分摊公式；</t>
  </si>
  <si>
    <t>建安成本表</t>
  </si>
  <si>
    <t>除主体建筑工程费科目外，其他成本科目车位不分摊成本</t>
  </si>
  <si>
    <t>增值税计算表</t>
  </si>
  <si>
    <t>增值税进项无法全部取得进项发票；</t>
  </si>
  <si>
    <t>土地增值税计算表</t>
  </si>
  <si>
    <t>首先选择各业态的清算类型，然后需根据当地土增税可采取的清算方法合理选择清算方法</t>
  </si>
  <si>
    <r>
      <rPr>
        <sz val="10"/>
        <color theme="1"/>
        <rFont val="宋体"/>
        <family val="3"/>
        <charset val="134"/>
        <scheme val="minor"/>
      </rPr>
      <t>1、C5是否普通住宅，其实应属于产品分类，对应适用税率公式设置有误。
2、</t>
    </r>
    <r>
      <rPr>
        <sz val="10"/>
        <rFont val="宋体"/>
        <family val="3"/>
        <charset val="134"/>
        <scheme val="minor"/>
      </rPr>
      <t>在计算5%的利息及费用和20%的加计扣除时，南京大市政配套费是不能作为计算基数，增加建安成本剔除项，按剔除后可扣除的金额计算。
3、红外线无法抵扣
4、增加视同销售调整、印花不能抵扣调整；</t>
    </r>
  </si>
  <si>
    <t>1、已改
2、3已改</t>
  </si>
  <si>
    <t>所得税计算表</t>
  </si>
  <si>
    <t>根据所得税预缴及汇算清缴口径计算各期及各年的应纳所得税额</t>
  </si>
  <si>
    <t>检查表检查关系错误；计算所得税表是按照分期测算未考虑弥补亏损；</t>
  </si>
  <si>
    <t>财务费用测算表</t>
  </si>
  <si>
    <t>股东投入资金统一按照12%年利率计息，根据项目资金情况填报借款期限.归还贷款/借款金额设置了默认公式，可根据具体还款情况进行修改，但确保借入与归还金额一致。</t>
  </si>
  <si>
    <t>增按实际情况修改可提前还款。修改后增加校验，确保借入资金与还款金额一致。</t>
  </si>
  <si>
    <t>敏感性分析</t>
  </si>
  <si>
    <t>增加敏感性分析表（地价、售价）</t>
  </si>
  <si>
    <t>备注：</t>
  </si>
  <si>
    <t>1.表格中黄色单元格为需填列数据的单元格，其余单元格由公式自动计算。</t>
  </si>
  <si>
    <t>2.建议使用excel2010版进行编制，并启用宏。</t>
  </si>
  <si>
    <r>
      <rPr>
        <sz val="11"/>
        <color theme="1"/>
        <rFont val="宋体"/>
        <family val="3"/>
        <charset val="134"/>
        <scheme val="minor"/>
      </rPr>
      <t>2.0版本</t>
    </r>
    <r>
      <rPr>
        <sz val="11"/>
        <color theme="1"/>
        <rFont val="宋体"/>
        <family val="3"/>
        <charset val="134"/>
        <scheme val="minor"/>
      </rPr>
      <t>与上一版差异及填写说明</t>
    </r>
  </si>
  <si>
    <t>2.1版本与上一版差异</t>
  </si>
  <si>
    <t>2.2版本与上一版差异</t>
  </si>
  <si>
    <t>2.3版本与上一版差异</t>
  </si>
  <si>
    <t>1、回迁等视同销售，在增值税、土增税、所得税应引用数据；
2、项目物业配合费标准根据实际情况修改；
3、增加增值税进项发票取得率；</t>
  </si>
  <si>
    <t>1、增加自持物业运营参数设置表及自持物业利润及现金流量表；</t>
  </si>
  <si>
    <t>根据《财政部、国家税务总局关于调整增值税税率的通知》（财税[2018] 32号文），自2018年5月1日起，纳税人发生增值税应税销售行为或者进口货物，原适用17%和11%税率的，税率分别调整为16%、10%</t>
  </si>
  <si>
    <t>1、单独拆分自持物业对增值税费率影响</t>
  </si>
  <si>
    <t>1、修改土增税计算公式，按不退税处理；
2、使用规划求解测算保本售价；
3、针对收购项目的保本售价；</t>
  </si>
  <si>
    <t>1、增加收并购的保本售价测算；</t>
  </si>
  <si>
    <t>1、单独拆分自持物业；</t>
  </si>
  <si>
    <t>1、增加综合表供管理层审阅；
2、增加收并购参数设置几收并购输出表；</t>
  </si>
  <si>
    <t>1、增加不考虑退税净利润；
2、修改可售面积中车位按面积而不是按个；</t>
  </si>
  <si>
    <t>1、增加土地面积二次分摊方法</t>
  </si>
  <si>
    <t>按照最新一级计划节点修订；</t>
  </si>
  <si>
    <t>1、价格敏感性分析的入市价格要跟敏感性分析数值</t>
  </si>
  <si>
    <t>1、针对土地二次分摊增加分摊表；</t>
  </si>
  <si>
    <t>1、单独剔除自持部分成本；</t>
  </si>
  <si>
    <t>1、回迁房、回迁商业、回迁写字楼不参与分摊抵扣销项税额；</t>
  </si>
  <si>
    <t>1、回迁房、回迁商业、回迁写字楼不参与公共配套；
2、自持车位按个算；</t>
  </si>
  <si>
    <t>1、考虑不同期不同业态视同销售价格，在426-431行填；</t>
  </si>
  <si>
    <t>1、考虑收入调整（视同销售）；
2、考虑成本调整（红线外成本、部分大市政费、视同销售成本需要调整等）；</t>
  </si>
  <si>
    <t xml:space="preserve">
1、修改土增税预缴公式，视同销售部分不用预缴
2、修改土增税计算表中土地成本应该是含税金额
3、修改土增税收入=不含增值税收入+土地成本抵扣销项部分</t>
  </si>
  <si>
    <t>1、增加所得税前其他调整事项；
2、增加考虑各期之间款年度弥补亏损逻辑判断及弥补亏损后按分期按业态分摊所得税</t>
  </si>
  <si>
    <t>1、修改4期错误公式
2、剔除自持成本；</t>
  </si>
  <si>
    <t>1、固定股东借款利息按12%；
2、增加校验借支还款一致；
3、修改可以提前还款；</t>
  </si>
  <si>
    <t>1、增加财务费用存在资金缺口时自动计算利息费用</t>
  </si>
  <si>
    <t>1、新增表格；
2、必须在土地成本表、销售及回款表引用竞拍起始价及开盘价表格单元格进行对地价及售价敏感性分析；
3、填完后点击自动计算按钮</t>
  </si>
  <si>
    <r>
      <rPr>
        <sz val="10"/>
        <color theme="1"/>
        <rFont val="宋体"/>
        <family val="3"/>
        <charset val="134"/>
        <scheme val="minor"/>
      </rPr>
      <t xml:space="preserve">1、增加两种方法供分公司自行选择：
</t>
    </r>
    <r>
      <rPr>
        <sz val="11"/>
        <color theme="1"/>
        <rFont val="宋体"/>
        <family val="3"/>
        <charset val="134"/>
        <scheme val="minor"/>
      </rPr>
      <t>2、不直接用敏感性分析提高表格的运行速度；</t>
    </r>
  </si>
  <si>
    <t>返回目录</t>
  </si>
  <si>
    <t>编制部门：财务部</t>
  </si>
  <si>
    <t>编制时间：</t>
  </si>
  <si>
    <t>基本参数设置</t>
  </si>
  <si>
    <t>交易对价</t>
  </si>
  <si>
    <t>测算阶段</t>
  </si>
  <si>
    <t>收并购方式</t>
  </si>
  <si>
    <t>净资产</t>
  </si>
  <si>
    <t>收购股权比例</t>
  </si>
  <si>
    <t>债务总额</t>
  </si>
  <si>
    <t>股权溢价</t>
  </si>
  <si>
    <t>是否同比投入</t>
  </si>
  <si>
    <t>权益（收益）比例</t>
  </si>
  <si>
    <t>股东借款是否计息</t>
  </si>
  <si>
    <t>股东借款计息年利率</t>
  </si>
  <si>
    <t>我司投入比例</t>
  </si>
  <si>
    <t>收并购其他支出：</t>
  </si>
  <si>
    <t>中介服务费</t>
  </si>
  <si>
    <t>是否有票</t>
  </si>
  <si>
    <t>诉讼、律师费</t>
  </si>
  <si>
    <t>其他费用</t>
  </si>
  <si>
    <t>品牌使用费</t>
  </si>
  <si>
    <t>代建费</t>
  </si>
  <si>
    <t>购买票据支出</t>
  </si>
  <si>
    <t>其他调整项</t>
  </si>
  <si>
    <t>收并购资金情况：</t>
  </si>
  <si>
    <t>并购贷款金额</t>
  </si>
  <si>
    <t>年利率</t>
  </si>
  <si>
    <t>贷款期限（季度）</t>
  </si>
  <si>
    <t>资金配比（贷款比例）</t>
  </si>
  <si>
    <t>目标公司债务情况</t>
  </si>
  <si>
    <t>股东借款</t>
  </si>
  <si>
    <t>关联方借款</t>
  </si>
  <si>
    <t>第三方借款</t>
  </si>
  <si>
    <t>或有负债</t>
  </si>
  <si>
    <t>金额（万元）</t>
  </si>
  <si>
    <t>目标公司资产情况</t>
  </si>
  <si>
    <t>土地（含拆迁还建）</t>
  </si>
  <si>
    <t>在建工程</t>
  </si>
  <si>
    <t>货币及货币等价物</t>
  </si>
  <si>
    <t>固定资产</t>
  </si>
  <si>
    <t>自持类型</t>
  </si>
  <si>
    <t>商铺</t>
  </si>
  <si>
    <t>运营时间</t>
  </si>
  <si>
    <t>运营面积</t>
  </si>
  <si>
    <t>建造期成本</t>
  </si>
  <si>
    <t>其中：无票成本</t>
  </si>
  <si>
    <t>其他</t>
  </si>
  <si>
    <t>原值折旧年限</t>
  </si>
  <si>
    <t>原值残值率</t>
  </si>
  <si>
    <t>原值季度折旧率</t>
  </si>
  <si>
    <t>二次装修单方成本（元/㎡）</t>
  </si>
  <si>
    <t>购置设备成本（元/㎡）</t>
  </si>
  <si>
    <t>装修及设备摊销年限</t>
  </si>
  <si>
    <t>季度摊销率</t>
  </si>
  <si>
    <t>起租单价(元/㎡/月)</t>
  </si>
  <si>
    <t>租金年环比增长(%)</t>
  </si>
  <si>
    <t>广告位收入</t>
  </si>
  <si>
    <t>物业管理费收入（元/㎡/月）</t>
  </si>
  <si>
    <t>其他运营收入占租金收入比</t>
  </si>
  <si>
    <t>运营成本占收入比</t>
  </si>
  <si>
    <t>销售费用占收入比</t>
  </si>
  <si>
    <t>管理费用占收入比</t>
  </si>
  <si>
    <t>自持物业经营测算表</t>
  </si>
  <si>
    <t>处置期</t>
  </si>
  <si>
    <t>按类型</t>
  </si>
  <si>
    <t>科目</t>
  </si>
  <si>
    <t>明细科目</t>
  </si>
  <si>
    <t>合计金额</t>
  </si>
  <si>
    <t>运营收入</t>
  </si>
  <si>
    <r>
      <rPr>
        <sz val="9"/>
        <color theme="1"/>
        <rFont val="Times New Roman"/>
        <family val="1"/>
      </rPr>
      <t>1</t>
    </r>
    <r>
      <rPr>
        <sz val="9"/>
        <color indexed="8"/>
        <rFont val="宋体"/>
        <family val="3"/>
        <charset val="134"/>
      </rPr>
      <t>、租赁收入</t>
    </r>
    <r>
      <rPr>
        <sz val="9"/>
        <color indexed="8"/>
        <rFont val="Times New Roman"/>
        <family val="1"/>
      </rPr>
      <t>(</t>
    </r>
    <r>
      <rPr>
        <sz val="9"/>
        <color indexed="8"/>
        <rFont val="宋体"/>
        <family val="3"/>
        <charset val="134"/>
      </rPr>
      <t>万元</t>
    </r>
    <r>
      <rPr>
        <sz val="9"/>
        <color indexed="8"/>
        <rFont val="Times New Roman"/>
        <family val="1"/>
      </rPr>
      <t>)</t>
    </r>
  </si>
  <si>
    <r>
      <rPr>
        <sz val="9"/>
        <color theme="1"/>
        <rFont val="Times New Roman"/>
        <family val="1"/>
      </rPr>
      <t xml:space="preserve">  -</t>
    </r>
    <r>
      <rPr>
        <sz val="9"/>
        <color indexed="8"/>
        <rFont val="宋体"/>
        <family val="3"/>
        <charset val="134"/>
      </rPr>
      <t>可</t>
    </r>
    <r>
      <rPr>
        <sz val="9"/>
        <color indexed="8"/>
        <rFont val="宋体"/>
        <family val="3"/>
        <charset val="134"/>
      </rPr>
      <t>出租面积</t>
    </r>
  </si>
  <si>
    <r>
      <rPr>
        <sz val="9"/>
        <color theme="1"/>
        <rFont val="Times New Roman"/>
        <family val="1"/>
      </rPr>
      <t xml:space="preserve">  -</t>
    </r>
    <r>
      <rPr>
        <sz val="9"/>
        <color indexed="8"/>
        <rFont val="宋体"/>
        <family val="3"/>
        <charset val="134"/>
      </rPr>
      <t>租金单价</t>
    </r>
    <r>
      <rPr>
        <sz val="9"/>
        <color indexed="8"/>
        <rFont val="Times New Roman"/>
        <family val="1"/>
      </rPr>
      <t>(</t>
    </r>
    <r>
      <rPr>
        <sz val="9"/>
        <color indexed="8"/>
        <rFont val="宋体"/>
        <family val="3"/>
        <charset val="134"/>
      </rPr>
      <t>元</t>
    </r>
    <r>
      <rPr>
        <sz val="9"/>
        <color indexed="8"/>
        <rFont val="Times New Roman"/>
        <family val="1"/>
      </rPr>
      <t>/</t>
    </r>
    <r>
      <rPr>
        <sz val="9"/>
        <color indexed="8"/>
        <rFont val="宋体"/>
        <family val="3"/>
        <charset val="134"/>
      </rPr>
      <t>月</t>
    </r>
    <r>
      <rPr>
        <sz val="9"/>
        <color indexed="8"/>
        <rFont val="Times New Roman"/>
        <family val="1"/>
      </rPr>
      <t>/</t>
    </r>
    <r>
      <rPr>
        <sz val="9"/>
        <color indexed="8"/>
        <rFont val="宋体"/>
        <family val="3"/>
        <charset val="134"/>
      </rPr>
      <t>平米</t>
    </r>
    <r>
      <rPr>
        <sz val="9"/>
        <color indexed="8"/>
        <rFont val="Times New Roman"/>
        <family val="1"/>
      </rPr>
      <t>)</t>
    </r>
  </si>
  <si>
    <r>
      <rPr>
        <sz val="9"/>
        <color theme="1"/>
        <rFont val="Times New Roman"/>
        <family val="1"/>
      </rPr>
      <t xml:space="preserve">  -</t>
    </r>
    <r>
      <rPr>
        <sz val="9"/>
        <color indexed="8"/>
        <rFont val="宋体"/>
        <family val="3"/>
        <charset val="134"/>
      </rPr>
      <t>可出租期限</t>
    </r>
    <r>
      <rPr>
        <sz val="9"/>
        <color indexed="8"/>
        <rFont val="Times New Roman"/>
        <family val="1"/>
      </rPr>
      <t>(</t>
    </r>
    <r>
      <rPr>
        <sz val="9"/>
        <color indexed="8"/>
        <rFont val="宋体"/>
        <family val="3"/>
        <charset val="134"/>
      </rPr>
      <t>月</t>
    </r>
    <r>
      <rPr>
        <sz val="9"/>
        <color indexed="8"/>
        <rFont val="Times New Roman"/>
        <family val="1"/>
      </rPr>
      <t>)</t>
    </r>
  </si>
  <si>
    <r>
      <rPr>
        <sz val="9"/>
        <color theme="1"/>
        <rFont val="Times New Roman"/>
        <family val="1"/>
      </rPr>
      <t xml:space="preserve">  -</t>
    </r>
    <r>
      <rPr>
        <sz val="9"/>
        <color indexed="8"/>
        <rFont val="宋体"/>
        <family val="3"/>
        <charset val="134"/>
      </rPr>
      <t>免租期</t>
    </r>
    <r>
      <rPr>
        <sz val="9"/>
        <color indexed="8"/>
        <rFont val="Times New Roman"/>
        <family val="1"/>
      </rPr>
      <t>(</t>
    </r>
    <r>
      <rPr>
        <sz val="9"/>
        <color indexed="8"/>
        <rFont val="宋体"/>
        <family val="3"/>
        <charset val="134"/>
      </rPr>
      <t>月</t>
    </r>
    <r>
      <rPr>
        <sz val="9"/>
        <color indexed="8"/>
        <rFont val="Times New Roman"/>
        <family val="1"/>
      </rPr>
      <t>)</t>
    </r>
  </si>
  <si>
    <r>
      <rPr>
        <sz val="9"/>
        <color theme="1"/>
        <rFont val="Times New Roman"/>
        <family val="1"/>
      </rPr>
      <t xml:space="preserve">  -</t>
    </r>
    <r>
      <rPr>
        <sz val="9"/>
        <color indexed="8"/>
        <rFont val="宋体"/>
        <family val="3"/>
        <charset val="134"/>
      </rPr>
      <t>出租</t>
    </r>
    <r>
      <rPr>
        <sz val="9"/>
        <color indexed="8"/>
        <rFont val="宋体"/>
        <family val="3"/>
        <charset val="134"/>
      </rPr>
      <t>率</t>
    </r>
  </si>
  <si>
    <r>
      <rPr>
        <sz val="9"/>
        <color theme="1"/>
        <rFont val="Times New Roman"/>
        <family val="1"/>
      </rPr>
      <t xml:space="preserve">  -</t>
    </r>
    <r>
      <rPr>
        <sz val="9"/>
        <color indexed="8"/>
        <rFont val="宋体"/>
        <family val="3"/>
        <charset val="134"/>
      </rPr>
      <t>租金环比增长</t>
    </r>
    <r>
      <rPr>
        <sz val="9"/>
        <color indexed="8"/>
        <rFont val="宋体"/>
        <family val="3"/>
        <charset val="134"/>
      </rPr>
      <t>率</t>
    </r>
  </si>
  <si>
    <r>
      <rPr>
        <sz val="9"/>
        <color theme="1"/>
        <rFont val="Times New Roman"/>
        <family val="1"/>
      </rPr>
      <t>2</t>
    </r>
    <r>
      <rPr>
        <sz val="9"/>
        <color indexed="8"/>
        <rFont val="宋体"/>
        <family val="3"/>
        <charset val="134"/>
      </rPr>
      <t>、广告位收入</t>
    </r>
  </si>
  <si>
    <r>
      <rPr>
        <sz val="9"/>
        <color theme="1"/>
        <rFont val="Times New Roman"/>
        <family val="1"/>
      </rPr>
      <t>3</t>
    </r>
    <r>
      <rPr>
        <sz val="9"/>
        <color indexed="8"/>
        <rFont val="宋体"/>
        <family val="3"/>
        <charset val="134"/>
      </rPr>
      <t>、物业管理收入</t>
    </r>
  </si>
  <si>
    <r>
      <rPr>
        <sz val="9"/>
        <color theme="1"/>
        <rFont val="Times New Roman"/>
        <family val="1"/>
      </rPr>
      <t>4</t>
    </r>
    <r>
      <rPr>
        <sz val="9"/>
        <color indexed="8"/>
        <rFont val="宋体"/>
        <family val="3"/>
        <charset val="134"/>
      </rPr>
      <t>、其他收入</t>
    </r>
  </si>
  <si>
    <t>收入小计：万元</t>
  </si>
  <si>
    <t>成本费用</t>
  </si>
  <si>
    <t>1、运营成本</t>
  </si>
  <si>
    <r>
      <rPr>
        <sz val="9"/>
        <color theme="1"/>
        <rFont val="Times New Roman"/>
        <family val="1"/>
      </rPr>
      <t>2</t>
    </r>
    <r>
      <rPr>
        <sz val="9"/>
        <color indexed="8"/>
        <rFont val="宋体"/>
        <family val="3"/>
        <charset val="134"/>
      </rPr>
      <t>、销售费用</t>
    </r>
  </si>
  <si>
    <t>3、管理费用</t>
  </si>
  <si>
    <t>4、财务费用</t>
  </si>
  <si>
    <t>5、建筑物折旧费</t>
  </si>
  <si>
    <r>
      <rPr>
        <sz val="9"/>
        <color theme="1"/>
        <rFont val="Times New Roman"/>
        <family val="1"/>
      </rPr>
      <t>6</t>
    </r>
    <r>
      <rPr>
        <sz val="9"/>
        <color theme="1"/>
        <rFont val="宋体"/>
        <family val="3"/>
        <charset val="134"/>
      </rPr>
      <t>、装修折旧费</t>
    </r>
  </si>
  <si>
    <r>
      <rPr>
        <sz val="9"/>
        <color theme="1"/>
        <rFont val="Times New Roman"/>
        <family val="1"/>
      </rPr>
      <t>7</t>
    </r>
    <r>
      <rPr>
        <sz val="9"/>
        <color theme="1"/>
        <rFont val="宋体"/>
        <family val="3"/>
        <charset val="134"/>
      </rPr>
      <t>、设备折旧费</t>
    </r>
  </si>
  <si>
    <r>
      <rPr>
        <sz val="9"/>
        <color theme="1"/>
        <rFont val="Times New Roman"/>
        <family val="1"/>
      </rPr>
      <t>8</t>
    </r>
    <r>
      <rPr>
        <sz val="9"/>
        <color indexed="8"/>
        <rFont val="宋体"/>
        <family val="3"/>
        <charset val="134"/>
      </rPr>
      <t>、物业管理成本</t>
    </r>
  </si>
  <si>
    <t>成本费用小计：</t>
  </si>
  <si>
    <t>毛利</t>
  </si>
  <si>
    <t>毛利金额</t>
  </si>
  <si>
    <t>毛利率</t>
  </si>
  <si>
    <t>税金</t>
  </si>
  <si>
    <r>
      <rPr>
        <sz val="9"/>
        <color theme="1"/>
        <rFont val="Times New Roman"/>
        <family val="1"/>
      </rPr>
      <t>1</t>
    </r>
    <r>
      <rPr>
        <sz val="9"/>
        <color indexed="8"/>
        <rFont val="宋体"/>
        <family val="3"/>
        <charset val="134"/>
      </rPr>
      <t>、缴纳增值税</t>
    </r>
  </si>
  <si>
    <t>应纳增值税</t>
  </si>
  <si>
    <t>当期留抵税额</t>
  </si>
  <si>
    <t>累计留抵税额</t>
  </si>
  <si>
    <t>当期抵扣留抵税额</t>
  </si>
  <si>
    <t>待留抵税额</t>
  </si>
  <si>
    <r>
      <rPr>
        <sz val="9"/>
        <color theme="1"/>
        <rFont val="Times New Roman"/>
        <family val="1"/>
      </rPr>
      <t>2</t>
    </r>
    <r>
      <rPr>
        <sz val="9"/>
        <color theme="1"/>
        <rFont val="宋体"/>
        <family val="3"/>
        <charset val="134"/>
      </rPr>
      <t>、税金及附加</t>
    </r>
  </si>
  <si>
    <t>2、房产税</t>
  </si>
  <si>
    <t>3、其他税金</t>
  </si>
  <si>
    <t>税金小计：</t>
  </si>
  <si>
    <t>4、缴纳所得税</t>
  </si>
  <si>
    <t>利润总额</t>
  </si>
  <si>
    <t>纳税调整额</t>
  </si>
  <si>
    <t>应纳税所得</t>
  </si>
  <si>
    <t>当期留底税额</t>
  </si>
  <si>
    <t>累计留抵弥补亏损</t>
  </si>
  <si>
    <t>当期待弥补亏损</t>
  </si>
  <si>
    <t>待留抵弥补税额</t>
  </si>
  <si>
    <t>净利润</t>
  </si>
  <si>
    <r>
      <rPr>
        <sz val="9"/>
        <color theme="1"/>
        <rFont val="Times New Roman"/>
        <family val="1"/>
      </rPr>
      <t>1</t>
    </r>
    <r>
      <rPr>
        <sz val="9"/>
        <color theme="1"/>
        <rFont val="宋体"/>
        <family val="3"/>
        <charset val="134"/>
      </rPr>
      <t>、净利润金额</t>
    </r>
  </si>
  <si>
    <t>2、销售净利率</t>
  </si>
  <si>
    <t>初始投资</t>
  </si>
  <si>
    <t>经营现金流入</t>
  </si>
  <si>
    <t>经营现金流出</t>
  </si>
  <si>
    <t>累计经营现金流量</t>
  </si>
  <si>
    <t>股东借款余额</t>
  </si>
  <si>
    <t>利率</t>
  </si>
  <si>
    <r>
      <rPr>
        <sz val="9"/>
        <color theme="1"/>
        <rFont val="Times New Roman"/>
        <family val="1"/>
      </rPr>
      <t xml:space="preserve">    </t>
    </r>
    <r>
      <rPr>
        <sz val="9"/>
        <color theme="1"/>
        <rFont val="宋体"/>
        <family val="3"/>
        <charset val="134"/>
      </rPr>
      <t>借入股东资金</t>
    </r>
  </si>
  <si>
    <r>
      <rPr>
        <b/>
        <sz val="9"/>
        <color theme="1"/>
        <rFont val="Times New Roman"/>
        <family val="1"/>
      </rPr>
      <t xml:space="preserve">    </t>
    </r>
    <r>
      <rPr>
        <sz val="9"/>
        <color theme="1"/>
        <rFont val="宋体"/>
        <family val="3"/>
        <charset val="134"/>
      </rPr>
      <t>归还股东资金</t>
    </r>
  </si>
  <si>
    <t>外部借款余额</t>
  </si>
  <si>
    <r>
      <rPr>
        <sz val="9"/>
        <color theme="1"/>
        <rFont val="Times New Roman"/>
        <family val="1"/>
      </rPr>
      <t xml:space="preserve">    </t>
    </r>
    <r>
      <rPr>
        <sz val="9"/>
        <color theme="1"/>
        <rFont val="宋体"/>
        <family val="3"/>
        <charset val="134"/>
      </rPr>
      <t>借入外部资金</t>
    </r>
  </si>
  <si>
    <r>
      <rPr>
        <b/>
        <sz val="9"/>
        <color theme="1"/>
        <rFont val="Times New Roman"/>
        <family val="1"/>
      </rPr>
      <t xml:space="preserve">    </t>
    </r>
    <r>
      <rPr>
        <sz val="9"/>
        <color theme="1"/>
        <rFont val="宋体"/>
        <family val="3"/>
        <charset val="134"/>
      </rPr>
      <t>归还外部资金</t>
    </r>
  </si>
  <si>
    <t>支付借款利息</t>
  </si>
  <si>
    <r>
      <rPr>
        <sz val="9"/>
        <color theme="1"/>
        <rFont val="Times New Roman"/>
        <family val="1"/>
      </rPr>
      <t xml:space="preserve">  </t>
    </r>
    <r>
      <rPr>
        <sz val="9"/>
        <color theme="1"/>
        <rFont val="宋体"/>
        <family val="3"/>
        <charset val="134"/>
      </rPr>
      <t>股东借款利息</t>
    </r>
  </si>
  <si>
    <r>
      <rPr>
        <sz val="9"/>
        <color theme="1"/>
        <rFont val="Times New Roman"/>
        <family val="1"/>
      </rPr>
      <t xml:space="preserve">  </t>
    </r>
    <r>
      <rPr>
        <sz val="9"/>
        <color theme="1"/>
        <rFont val="宋体"/>
        <family val="3"/>
        <charset val="134"/>
      </rPr>
      <t>外部借款利息</t>
    </r>
  </si>
  <si>
    <t>累计净现金流</t>
  </si>
  <si>
    <t>验算</t>
  </si>
  <si>
    <t>其中：自持物业</t>
  </si>
  <si>
    <t xml:space="preserve">                               业态                     
      指标</t>
  </si>
  <si>
    <t>合计</t>
  </si>
  <si>
    <t>基础信息</t>
  </si>
  <si>
    <t>占地面积（平方米）</t>
  </si>
  <si>
    <t>建筑面积（平方米）</t>
  </si>
  <si>
    <t>可售面积（平方米）</t>
  </si>
  <si>
    <t>套数/个数</t>
  </si>
  <si>
    <t>容积率</t>
  </si>
  <si>
    <t>1.保本售价</t>
  </si>
  <si>
    <t>/</t>
  </si>
  <si>
    <t>2.签约收入</t>
  </si>
  <si>
    <t>5.毛利</t>
  </si>
  <si>
    <t>6.毛利率</t>
  </si>
  <si>
    <t>11.不能退税签约净利润</t>
  </si>
  <si>
    <t>12.净利率</t>
  </si>
  <si>
    <t xml:space="preserve">  增值税退税</t>
  </si>
  <si>
    <t xml:space="preserve">  土地增值税退税</t>
  </si>
  <si>
    <t xml:space="preserve">  企业所得税退税</t>
  </si>
  <si>
    <t>能实现退税后净利润</t>
  </si>
  <si>
    <t>资产溢价</t>
  </si>
  <si>
    <t>并购贷款利息</t>
  </si>
  <si>
    <t>并购自有资金利息</t>
  </si>
  <si>
    <t>资金收益</t>
  </si>
  <si>
    <t>购买票据花费</t>
  </si>
  <si>
    <t>其他调整项目</t>
  </si>
  <si>
    <t>实际净利润</t>
  </si>
  <si>
    <t>实际净利润率</t>
  </si>
  <si>
    <t>一、项目基本信息</t>
  </si>
  <si>
    <t>货币：人民币    单方：元    总额：万元</t>
  </si>
  <si>
    <t xml:space="preserve">                   业态                     指标</t>
  </si>
  <si>
    <t>自持物业</t>
  </si>
  <si>
    <t>一期合计：</t>
  </si>
  <si>
    <t>二期合计：</t>
  </si>
  <si>
    <t>三期合计：</t>
  </si>
  <si>
    <t>四期合计：</t>
  </si>
  <si>
    <t>五期合计：</t>
  </si>
  <si>
    <t>六期合计：</t>
  </si>
  <si>
    <t>套数/个数（车位）</t>
  </si>
  <si>
    <r>
      <rPr>
        <b/>
        <sz val="10"/>
        <color theme="1"/>
        <rFont val="宋体"/>
        <family val="3"/>
        <charset val="134"/>
        <scheme val="minor"/>
      </rPr>
      <t>利润情况</t>
    </r>
    <r>
      <rPr>
        <sz val="10"/>
        <color theme="1"/>
        <rFont val="宋体"/>
        <family val="3"/>
        <charset val="134"/>
        <scheme val="minor"/>
      </rPr>
      <t>（土地建安成本比率为土地与建安成本占总成本比，费用，包括税负，比率为各费用占收入比）</t>
    </r>
  </si>
  <si>
    <t>可售单方</t>
  </si>
  <si>
    <t>总额</t>
  </si>
  <si>
    <t>单方</t>
  </si>
  <si>
    <t xml:space="preserve">4.6.1无产权车位  </t>
  </si>
  <si>
    <t>4.6.2幼儿园</t>
  </si>
  <si>
    <t>4.6.3学校</t>
  </si>
  <si>
    <t>4.7资本化财务费用</t>
  </si>
  <si>
    <t>11.不能实现退税签约净利润</t>
  </si>
  <si>
    <t>增值税退税</t>
  </si>
  <si>
    <t>土地增值税退税</t>
  </si>
  <si>
    <t>企业所得税退税</t>
  </si>
  <si>
    <r>
      <rPr>
        <b/>
        <sz val="10"/>
        <color theme="1"/>
        <rFont val="宋体"/>
        <family val="3"/>
        <charset val="134"/>
        <scheme val="minor"/>
      </rPr>
      <t>13.IRR</t>
    </r>
    <r>
      <rPr>
        <b/>
        <sz val="10"/>
        <color rgb="FFFF0000"/>
        <rFont val="宋体"/>
        <family val="3"/>
        <charset val="134"/>
        <scheme val="minor"/>
      </rPr>
      <t>（全投资口径）</t>
    </r>
  </si>
  <si>
    <t>现金流</t>
  </si>
  <si>
    <t>（货币单位：万元）</t>
  </si>
  <si>
    <t>2017年</t>
  </si>
  <si>
    <t>2018年</t>
  </si>
  <si>
    <t>2019年</t>
  </si>
  <si>
    <t>2020年</t>
  </si>
  <si>
    <t>2021年</t>
  </si>
  <si>
    <t>2022年</t>
  </si>
  <si>
    <t>2017年1季度</t>
  </si>
  <si>
    <t>2017年2季度</t>
  </si>
  <si>
    <t>2017年3季度</t>
  </si>
  <si>
    <t>2017年4季度</t>
  </si>
  <si>
    <t>2018年1季度</t>
  </si>
  <si>
    <t>2018年2季度</t>
  </si>
  <si>
    <t>2018年3季度</t>
  </si>
  <si>
    <t>2018年4季度</t>
  </si>
  <si>
    <t>2019年1季度</t>
  </si>
  <si>
    <t>2019年2季度</t>
  </si>
  <si>
    <t>2019年3季度</t>
  </si>
  <si>
    <t>2019年4季度</t>
  </si>
  <si>
    <t>2020年1季度</t>
  </si>
  <si>
    <t>2020年2季度</t>
  </si>
  <si>
    <t>2020年3季度</t>
  </si>
  <si>
    <t>2020年4季度</t>
  </si>
  <si>
    <t>2021年1季度</t>
  </si>
  <si>
    <t>2021年2季度</t>
  </si>
  <si>
    <t>2021年3季度</t>
  </si>
  <si>
    <t>2021年4季度</t>
  </si>
  <si>
    <t>2022年1季度</t>
  </si>
  <si>
    <t>2022年2季度</t>
  </si>
  <si>
    <t>2022年3季度</t>
  </si>
  <si>
    <t>2022年4季度</t>
  </si>
  <si>
    <t>2023年</t>
  </si>
  <si>
    <t>2024年及以后</t>
  </si>
  <si>
    <t>2023年1季度</t>
  </si>
  <si>
    <t>2023年2季度</t>
  </si>
  <si>
    <t>2023年3季度</t>
  </si>
  <si>
    <t>2023年4季度</t>
  </si>
  <si>
    <t>经营性现金流</t>
  </si>
  <si>
    <t xml:space="preserve">  销售回款流入</t>
  </si>
  <si>
    <t xml:space="preserve">  各项成本及费用流出</t>
  </si>
  <si>
    <t>累计经营性现金流</t>
  </si>
  <si>
    <t>融资性现金流</t>
  </si>
  <si>
    <t xml:space="preserve">  股东借款（利率：12%）</t>
  </si>
  <si>
    <t xml:space="preserve">  外部借款（利率：7.5%）</t>
  </si>
  <si>
    <t xml:space="preserve">  归还借款</t>
  </si>
  <si>
    <t xml:space="preserve">  支付付息</t>
  </si>
  <si>
    <t>累计融资性现金流</t>
  </si>
  <si>
    <t>资金缺口峰值</t>
  </si>
  <si>
    <t>二、项目审核要点与建议</t>
  </si>
  <si>
    <t>序号</t>
  </si>
  <si>
    <t>重要审核项目</t>
  </si>
  <si>
    <t>审核关键点</t>
  </si>
  <si>
    <t>是否存在问题（是/否）</t>
  </si>
  <si>
    <t>问题及改进建议</t>
  </si>
  <si>
    <t>项目参数</t>
  </si>
  <si>
    <t>准确性与合理性</t>
  </si>
  <si>
    <t>否</t>
  </si>
  <si>
    <t>重点/特殊情况说明</t>
  </si>
  <si>
    <t>1、土地获取方式、有/无票情况；
2、单方成本是否合理（与同区域项目相比）；
3、是否有公共配套、分摊方式是否合同；
4、车位情况，如何分摊；
5、财务费用融资方式、有无票、融资结构、利率变化过程；
6、费用率是否合理；
7、税务处理方面（计税方式、税率是否合理、计算是否正确）；
8、售价方面；
9、其他；</t>
  </si>
  <si>
    <t>项目规划指标</t>
  </si>
  <si>
    <t xml:space="preserve">1.输入的容积率是否符合土地协议条款；
2.是否土地面积&lt;可售面积&lt;=建筑面积；
3.根据分产品利润表各业态增值率及设计指标考量是否可增加高增值业态；
4.面积单位和个数单位是否存在不一致汇总；
5.分期分业态是否完整涵盖、车位是否区分有无产权、公配以及红线外规划指标。  
                                               </t>
  </si>
  <si>
    <t>保本售价试算</t>
  </si>
  <si>
    <t>1.准确性与合理性；                                                                                  
2.与市场价对比，考虑价格是否有提升空间。</t>
  </si>
  <si>
    <t>销售及回款</t>
  </si>
  <si>
    <t xml:space="preserve">1.初始价格与目前周边竞品的对比；                                                                 
2.对未来数据预测的合理性；
3.回款比率是否恰当合理。                                                                        
</t>
  </si>
  <si>
    <t xml:space="preserve">风险较大，目前测算已较竞品价格有较高的提升。回款当月70%，次月30%。
</t>
  </si>
  <si>
    <t>土地成本</t>
  </si>
  <si>
    <t>1.有无票据，无票成本占比是否合理，对土增税及所得税的影响有无考虑；                                                    
2.分摊是否合理；                                                                                 
3.同区域同期土地价格对比以及土地高价收购的理由；                                                        
4.收购溢价是否已考虑税后计算；
5.各期各业态单方土地成本对比是否存在异常，原因是什么；
6.按照合同土地款是否分期支付，是否要额外支付分期利息，评估分期支付和一次性支付的影响。</t>
  </si>
  <si>
    <t>工程成本支出计划与建安成本</t>
  </si>
  <si>
    <t>1.工程成本支出计划与建安成本的勾稽；                                                                     
2.是否预留5%在一年或者两年内作为质保金，承包方是否垫支导致融资成本增加；                                      
3.公共配套的分摊是否合理；                                                                            
4.单方成本的合理性以及存在的异常，可参考同区域项目跟成本部数据沟通评判，以及车位是否分摊到单方成本（用负数体现分摊）。</t>
  </si>
  <si>
    <t>是</t>
  </si>
  <si>
    <t>财务费用</t>
  </si>
  <si>
    <t>1.融资利率的合理性以及谈判改善的可能性；                                                                
2.全周期利息占融资额比例是否合理，是否出现还款周期延长的情况；还款期限合理性有无评估过；                                                 
3.无票利息是否存在，原因是什么，对土增税清算的影响有无考虑到；                                                                        
4.利息资本化和费用化是如何分配处理的；
5.股东借款和外部借款比例是如何约定的，选择财务成本最低的为最优方案。</t>
  </si>
  <si>
    <t>增值税及所得税</t>
  </si>
  <si>
    <t xml:space="preserve">1、增值税适用简易计税还是一般计税，适用税率是否正确；
2、特殊业态作为计税住所的应纳税收入有无地方政府政策，核定计征或者按市价计征，所做的测算收入、成本是否含税/不含税；
3、成本项目的扣除是否完整，有无考虑无票因素；
4、预缴增值税是否含回迁房，保障房等特殊业态；
5、所得税是否有优惠政策，是否有需作纳税调整事项； 
6、各期、全周期税负率合理与否，是否需调整。
</t>
  </si>
  <si>
    <t>土地增值税</t>
  </si>
  <si>
    <t xml:space="preserve">1、土增税清算方法的选择是否合理，是否符合当地政府规定的清算方式；
2、土增税收入、开发成本须为不含税；
3、土地成本是否为全成本（如是否包含视同销售的回迁房部分），是否考虑了无票因素；
4、资金成本有无票据，实际可抵扣利息与按5%比例计算孰高；
5、清算时考虑有无退税可能，如可能，需说明原因或列举先例；
6、各期、全周期税负率合理与否，是否需调整。
</t>
  </si>
  <si>
    <t>（分产品）签约利润</t>
  </si>
  <si>
    <t>1.项目利润率的评判以及扭亏为盈的可能性； 
2.各费用率占比的合理性以及原因分析；                                                                    
3.各业态盈利情况以及可售面积规划情况，如亏损，有无通过规划扭亏为盈的可能； 
4.各业态保本售价与销售价格的对比以及原因分析。</t>
  </si>
  <si>
    <t xml:space="preserve">1.全周期净现金流是否与签约利润表的净利润一致；
2.融资的合理性：各期融资投入与现金支出是否匹配，是否存在大量的现金结余，确保资金成本的最低；
3.经营性资金缺口峰值、累计资金投入峰值是否合理匹配，是否有充足的资金保证；  
4.回款周期以及项目开发周期与现金流是否吻合。
</t>
  </si>
  <si>
    <t>综合指标</t>
  </si>
  <si>
    <t xml:space="preserve">1.不同分期、不同业态单方成本差异原因，是否与总包单位不同有关、是否因为毛坯和精装差异、是否因为层高系数原因等；
2.某种业态单方成本比单方售价高的原因以及解决办法；
3.单方成本是否合理，有无优化空间；
4.IRR指数是否达到管理层要求。
</t>
  </si>
  <si>
    <t>项目开发计划</t>
  </si>
  <si>
    <t xml:space="preserve">1.项目开发计划节点是否合理，可与标准工期、其他项目进行横向比较；                                             
2.开盘是否符合集团要求在一年以内；                                              
3.有无对财务报表确认收入的预计时点（入伙时点）。
</t>
  </si>
  <si>
    <t>1.拿地时的地价盈亏分析；拿地后评审时的销售价格盈亏分析；开发期间的成本费用盈亏分析； 
 2.有无测算基本，盈亏平衡点以及预计价款的体现。</t>
  </si>
  <si>
    <t xml:space="preserve">总结性意见：
   </t>
  </si>
  <si>
    <t>用地面积（亩）</t>
  </si>
  <si>
    <t>作价</t>
  </si>
  <si>
    <t>评估单价（万/亩）</t>
  </si>
  <si>
    <t>无票成本</t>
  </si>
  <si>
    <t>作价契税</t>
  </si>
  <si>
    <t>评估价（万元）</t>
  </si>
  <si>
    <t>有票成本</t>
  </si>
  <si>
    <t>增容费</t>
  </si>
  <si>
    <t>有票成本（万元）</t>
  </si>
  <si>
    <t>总成本</t>
  </si>
  <si>
    <t>增容契税</t>
  </si>
  <si>
    <t>对价单价（万/亩）</t>
  </si>
  <si>
    <t>溢价</t>
  </si>
  <si>
    <t>对价（万元）</t>
  </si>
  <si>
    <t>作价交易税费</t>
  </si>
  <si>
    <t>股权交易税费</t>
  </si>
  <si>
    <t>东升38.8亩</t>
  </si>
  <si>
    <t>节点</t>
  </si>
  <si>
    <t>签署合作协议</t>
  </si>
  <si>
    <t>支付对价款（万元）</t>
  </si>
  <si>
    <t>资产交易税费（土增、增值税、所得税）</t>
  </si>
  <si>
    <t>增容费（元/平米）</t>
  </si>
  <si>
    <t>核实总对价</t>
  </si>
  <si>
    <t>股权交易税费（万元）</t>
  </si>
  <si>
    <t>综合楼面地价</t>
  </si>
  <si>
    <t>资产过户税费</t>
  </si>
  <si>
    <t>原始成本</t>
  </si>
  <si>
    <t>综合评估价</t>
  </si>
  <si>
    <t>增值税</t>
  </si>
  <si>
    <t>附加税</t>
  </si>
  <si>
    <t>土增税可扣除额</t>
  </si>
  <si>
    <t>增值额</t>
  </si>
  <si>
    <t>增值率</t>
  </si>
  <si>
    <t>所得税</t>
  </si>
  <si>
    <t>转资产</t>
  </si>
  <si>
    <t>税费合计（万元）</t>
  </si>
  <si>
    <t>土地可抵扣税票</t>
  </si>
  <si>
    <t>2008年2月契税凭证</t>
  </si>
  <si>
    <t>计税金额</t>
  </si>
  <si>
    <t>契税</t>
  </si>
  <si>
    <t>房屋面积</t>
  </si>
  <si>
    <t>房产证载面积</t>
  </si>
  <si>
    <t>项目当地基本税率情况表</t>
  </si>
  <si>
    <r>
      <rPr>
        <b/>
        <sz val="10"/>
        <color indexed="8"/>
        <rFont val="宋体"/>
        <family val="3"/>
        <charset val="134"/>
      </rPr>
      <t>税种</t>
    </r>
    <r>
      <rPr>
        <b/>
        <sz val="10"/>
        <color indexed="8"/>
        <rFont val="Times New Roman"/>
        <family val="1"/>
      </rPr>
      <t>/</t>
    </r>
    <r>
      <rPr>
        <b/>
        <sz val="10"/>
        <color indexed="8"/>
        <rFont val="宋体"/>
        <family val="3"/>
        <charset val="134"/>
      </rPr>
      <t>预交比率</t>
    </r>
  </si>
  <si>
    <t>计算基数</t>
  </si>
  <si>
    <t>本地税率</t>
  </si>
  <si>
    <t>说明</t>
  </si>
  <si>
    <t>企业所得税率</t>
  </si>
  <si>
    <t>需要根据当地实际情况修订</t>
  </si>
  <si>
    <t>商品房销售营业税及附加税率</t>
  </si>
  <si>
    <r>
      <rPr>
        <sz val="10"/>
        <rFont val="Times New Roman"/>
        <family val="1"/>
      </rPr>
      <t xml:space="preserve">2.1 </t>
    </r>
    <r>
      <rPr>
        <sz val="10"/>
        <rFont val="宋体"/>
        <family val="3"/>
        <charset val="134"/>
      </rPr>
      <t>增值税</t>
    </r>
  </si>
  <si>
    <t>商品房销售收入</t>
  </si>
  <si>
    <r>
      <rPr>
        <sz val="10"/>
        <color indexed="8"/>
        <rFont val="Times New Roman"/>
        <family val="1"/>
      </rPr>
      <t xml:space="preserve">2.2 </t>
    </r>
    <r>
      <rPr>
        <sz val="10"/>
        <color indexed="8"/>
        <rFont val="宋体"/>
        <family val="3"/>
        <charset val="134"/>
      </rPr>
      <t>城建税</t>
    </r>
  </si>
  <si>
    <t>缴纳增值税额</t>
  </si>
  <si>
    <r>
      <rPr>
        <sz val="10"/>
        <color indexed="8"/>
        <rFont val="Times New Roman"/>
        <family val="1"/>
      </rPr>
      <t xml:space="preserve">2.3 </t>
    </r>
    <r>
      <rPr>
        <sz val="10"/>
        <color indexed="8"/>
        <rFont val="宋体"/>
        <family val="3"/>
        <charset val="134"/>
      </rPr>
      <t>教育费附加</t>
    </r>
  </si>
  <si>
    <r>
      <rPr>
        <sz val="10"/>
        <color indexed="8"/>
        <rFont val="Times New Roman"/>
        <family val="1"/>
      </rPr>
      <t xml:space="preserve">2.5 </t>
    </r>
    <r>
      <rPr>
        <sz val="10"/>
        <color indexed="8"/>
        <rFont val="宋体"/>
        <family val="3"/>
        <charset val="134"/>
      </rPr>
      <t>印花税</t>
    </r>
  </si>
  <si>
    <t>销售额</t>
  </si>
  <si>
    <r>
      <rPr>
        <sz val="10"/>
        <color indexed="8"/>
        <rFont val="Times New Roman"/>
        <family val="1"/>
      </rPr>
      <t xml:space="preserve">2.6 </t>
    </r>
    <r>
      <rPr>
        <sz val="10"/>
        <color indexed="8"/>
        <rFont val="宋体"/>
        <family val="3"/>
        <charset val="134"/>
      </rPr>
      <t>堤围费</t>
    </r>
  </si>
  <si>
    <r>
      <rPr>
        <sz val="10"/>
        <color indexed="8"/>
        <rFont val="Times New Roman"/>
        <family val="1"/>
      </rPr>
      <t xml:space="preserve">2.7 </t>
    </r>
    <r>
      <rPr>
        <sz val="10"/>
        <color indexed="8"/>
        <rFont val="宋体"/>
        <family val="3"/>
        <charset val="134"/>
      </rPr>
      <t>土地教育</t>
    </r>
  </si>
  <si>
    <r>
      <rPr>
        <sz val="10"/>
        <rFont val="Times New Roman"/>
        <family val="1"/>
      </rPr>
      <t xml:space="preserve">2.8 </t>
    </r>
    <r>
      <rPr>
        <sz val="10"/>
        <rFont val="宋体"/>
        <family val="3"/>
        <charset val="134"/>
      </rPr>
      <t>价格调控</t>
    </r>
  </si>
  <si>
    <t>土地增值税预交</t>
  </si>
  <si>
    <r>
      <rPr>
        <sz val="10"/>
        <rFont val="Times New Roman"/>
        <family val="1"/>
      </rPr>
      <t xml:space="preserve">3.1 </t>
    </r>
    <r>
      <rPr>
        <sz val="10"/>
        <rFont val="宋体"/>
        <family val="3"/>
        <charset val="134"/>
      </rPr>
      <t>普通住宅</t>
    </r>
  </si>
  <si>
    <t>销售回款</t>
  </si>
  <si>
    <r>
      <rPr>
        <sz val="10"/>
        <rFont val="Times New Roman"/>
        <family val="1"/>
      </rPr>
      <t xml:space="preserve">3.2 </t>
    </r>
    <r>
      <rPr>
        <sz val="10"/>
        <rFont val="宋体"/>
        <family val="3"/>
        <charset val="134"/>
      </rPr>
      <t>非普通住宅</t>
    </r>
  </si>
  <si>
    <r>
      <rPr>
        <sz val="10"/>
        <rFont val="Times New Roman"/>
        <family val="1"/>
      </rPr>
      <t xml:space="preserve">3.3 </t>
    </r>
    <r>
      <rPr>
        <sz val="10"/>
        <rFont val="宋体"/>
        <family val="3"/>
        <charset val="134"/>
      </rPr>
      <t>其他房产（写字楼商业车位等）</t>
    </r>
  </si>
  <si>
    <t>企业所得税预计毛利率</t>
  </si>
  <si>
    <t>销售收入</t>
  </si>
  <si>
    <t>企业所得税预计税前利润率</t>
  </si>
  <si>
    <t>物业出租税率</t>
  </si>
  <si>
    <t>租赁收入</t>
  </si>
  <si>
    <r>
      <rPr>
        <sz val="10"/>
        <rFont val="Times New Roman"/>
        <family val="1"/>
      </rPr>
      <t xml:space="preserve">5.1 </t>
    </r>
    <r>
      <rPr>
        <sz val="10"/>
        <rFont val="宋体"/>
        <family val="3"/>
        <charset val="134"/>
      </rPr>
      <t>营业税</t>
    </r>
  </si>
  <si>
    <r>
      <rPr>
        <sz val="10"/>
        <color indexed="8"/>
        <rFont val="Times New Roman"/>
        <family val="1"/>
      </rPr>
      <t xml:space="preserve">5.2 </t>
    </r>
    <r>
      <rPr>
        <sz val="10"/>
        <color indexed="8"/>
        <rFont val="宋体"/>
        <family val="3"/>
        <charset val="134"/>
      </rPr>
      <t>城建税</t>
    </r>
  </si>
  <si>
    <t>缴纳营业税额</t>
  </si>
  <si>
    <r>
      <rPr>
        <sz val="10"/>
        <color indexed="8"/>
        <rFont val="Times New Roman"/>
        <family val="1"/>
      </rPr>
      <t xml:space="preserve">5.3 </t>
    </r>
    <r>
      <rPr>
        <sz val="10"/>
        <color indexed="8"/>
        <rFont val="宋体"/>
        <family val="3"/>
        <charset val="134"/>
      </rPr>
      <t>教育费附加</t>
    </r>
  </si>
  <si>
    <r>
      <rPr>
        <sz val="10"/>
        <color indexed="8"/>
        <rFont val="Times New Roman"/>
        <family val="1"/>
      </rPr>
      <t xml:space="preserve">5.4 </t>
    </r>
    <r>
      <rPr>
        <sz val="10"/>
        <color indexed="8"/>
        <rFont val="宋体"/>
        <family val="3"/>
        <charset val="134"/>
      </rPr>
      <t>印花税</t>
    </r>
  </si>
  <si>
    <r>
      <rPr>
        <sz val="10"/>
        <color indexed="8"/>
        <rFont val="Times New Roman"/>
        <family val="1"/>
      </rPr>
      <t xml:space="preserve">5.5 </t>
    </r>
    <r>
      <rPr>
        <sz val="10"/>
        <color indexed="8"/>
        <rFont val="宋体"/>
        <family val="3"/>
        <charset val="134"/>
      </rPr>
      <t>房产税</t>
    </r>
  </si>
  <si>
    <t>房产原值</t>
  </si>
  <si>
    <t>扣除比例</t>
  </si>
  <si>
    <t>6A</t>
  </si>
  <si>
    <t>酒店经营税率</t>
  </si>
  <si>
    <t>营业收入</t>
  </si>
  <si>
    <t>6B</t>
  </si>
  <si>
    <t>酒店经营税率(娱乐）</t>
  </si>
  <si>
    <r>
      <rPr>
        <sz val="10"/>
        <color indexed="8"/>
        <rFont val="Times New Roman"/>
        <family val="1"/>
      </rPr>
      <t>6.1</t>
    </r>
    <r>
      <rPr>
        <sz val="10"/>
        <rFont val="宋体"/>
        <family val="3"/>
        <charset val="134"/>
      </rPr>
      <t>营业税</t>
    </r>
  </si>
  <si>
    <r>
      <rPr>
        <sz val="10"/>
        <color indexed="14"/>
        <rFont val="Times New Roman"/>
        <family val="1"/>
      </rPr>
      <t>6.2</t>
    </r>
    <r>
      <rPr>
        <sz val="10"/>
        <color indexed="14"/>
        <rFont val="宋体"/>
        <family val="3"/>
        <charset val="134"/>
      </rPr>
      <t>营业税</t>
    </r>
    <r>
      <rPr>
        <sz val="10"/>
        <color indexed="14"/>
        <rFont val="Times New Roman"/>
        <family val="1"/>
      </rPr>
      <t>(</t>
    </r>
    <r>
      <rPr>
        <sz val="10"/>
        <color indexed="14"/>
        <rFont val="宋体"/>
        <family val="3"/>
        <charset val="134"/>
      </rPr>
      <t>娱乐）</t>
    </r>
  </si>
  <si>
    <r>
      <rPr>
        <sz val="10"/>
        <color indexed="8"/>
        <rFont val="Times New Roman"/>
        <family val="1"/>
      </rPr>
      <t>6.3</t>
    </r>
    <r>
      <rPr>
        <sz val="10"/>
        <rFont val="宋体"/>
        <family val="3"/>
        <charset val="134"/>
      </rPr>
      <t>城建税</t>
    </r>
  </si>
  <si>
    <r>
      <rPr>
        <sz val="10"/>
        <color indexed="8"/>
        <rFont val="Times New Roman"/>
        <family val="1"/>
      </rPr>
      <t>6.4</t>
    </r>
    <r>
      <rPr>
        <sz val="10"/>
        <rFont val="宋体"/>
        <family val="3"/>
        <charset val="134"/>
      </rPr>
      <t>教育费附加</t>
    </r>
  </si>
  <si>
    <r>
      <rPr>
        <sz val="10"/>
        <color indexed="8"/>
        <rFont val="Times New Roman"/>
        <family val="1"/>
      </rPr>
      <t>6.5</t>
    </r>
    <r>
      <rPr>
        <sz val="10"/>
        <rFont val="宋体"/>
        <family val="3"/>
        <charset val="134"/>
      </rPr>
      <t>地方教育费附加</t>
    </r>
  </si>
  <si>
    <r>
      <rPr>
        <sz val="10"/>
        <color indexed="8"/>
        <rFont val="Times New Roman"/>
        <family val="1"/>
      </rPr>
      <t>6.6</t>
    </r>
    <r>
      <rPr>
        <sz val="10"/>
        <color indexed="8"/>
        <rFont val="宋体"/>
        <family val="3"/>
        <charset val="134"/>
      </rPr>
      <t>房产税</t>
    </r>
  </si>
  <si>
    <r>
      <rPr>
        <sz val="10"/>
        <color indexed="8"/>
        <rFont val="Times New Roman"/>
        <family val="1"/>
      </rPr>
      <t>6.7</t>
    </r>
    <r>
      <rPr>
        <sz val="10"/>
        <rFont val="宋体"/>
        <family val="3"/>
        <charset val="134"/>
      </rPr>
      <t>价格调控基金</t>
    </r>
  </si>
  <si>
    <t>交易服务费（招拍挂）</t>
  </si>
  <si>
    <t>地价款总额</t>
  </si>
  <si>
    <t>土地或房产价格</t>
  </si>
  <si>
    <t>项目投资年度</t>
  </si>
  <si>
    <t>拿地阶段</t>
  </si>
  <si>
    <t>营销费率</t>
  </si>
  <si>
    <t>管理费率</t>
  </si>
  <si>
    <t>贷款年利率</t>
  </si>
  <si>
    <t>股权比例</t>
  </si>
  <si>
    <t>投资区域</t>
  </si>
  <si>
    <t>入伙时点</t>
  </si>
  <si>
    <t>回迁房视同销售单价</t>
  </si>
  <si>
    <t>回迁商业视同销售单价</t>
  </si>
  <si>
    <t>回迁写字楼视同销售单价</t>
  </si>
  <si>
    <t>年折现率（自有资金成本）</t>
  </si>
  <si>
    <t>季度折现率：</t>
  </si>
  <si>
    <t>土增税清算时点（1期）</t>
  </si>
  <si>
    <t>土增税清算时点（4期）</t>
  </si>
  <si>
    <t>土增税清算时点（2期）</t>
  </si>
  <si>
    <t>土增税清算时点（5期）</t>
  </si>
  <si>
    <t>土增税清算时点（3期）</t>
  </si>
  <si>
    <t>土增税清算时点（6期）</t>
  </si>
  <si>
    <t>物业配合费计算参数</t>
  </si>
  <si>
    <t>区域</t>
  </si>
  <si>
    <t>二类</t>
  </si>
  <si>
    <t>分类（档次）</t>
  </si>
  <si>
    <t>中档</t>
  </si>
  <si>
    <t>是否精装</t>
  </si>
  <si>
    <t>项目配合费标准（可根据项目所在地情况进行修改）</t>
  </si>
  <si>
    <t>销售区物管配合费标准（可根据项目所在地情况进行修改）</t>
  </si>
  <si>
    <t>面积(万m2)</t>
  </si>
  <si>
    <t>总建面</t>
  </si>
  <si>
    <t>面积（万m2）</t>
  </si>
  <si>
    <t>一类</t>
  </si>
  <si>
    <t>项目配合费(元/m2)</t>
  </si>
  <si>
    <t>高档</t>
  </si>
  <si>
    <t>低档</t>
  </si>
  <si>
    <t>销售区物管配合费(元/m2)</t>
  </si>
  <si>
    <t>物业前期开办费(元/m2)</t>
  </si>
  <si>
    <t>总物业配合费（万元）</t>
  </si>
  <si>
    <t>折算成可售或自持产品(元/m2)</t>
  </si>
  <si>
    <t>进项税计算参数</t>
  </si>
  <si>
    <t>成本项目取增值税进项发票占比</t>
  </si>
  <si>
    <r>
      <rPr>
        <sz val="10"/>
        <color theme="1"/>
        <rFont val="宋体"/>
        <family val="3"/>
        <charset val="134"/>
        <scheme val="minor"/>
      </rPr>
      <t>设计费占比</t>
    </r>
    <r>
      <rPr>
        <sz val="10"/>
        <color rgb="FFFF0000"/>
        <rFont val="宋体"/>
        <family val="3"/>
        <charset val="134"/>
        <scheme val="minor"/>
      </rPr>
      <t>（6%）</t>
    </r>
  </si>
  <si>
    <t>用于计算建造成本进项税额，各费用进项税率不同。</t>
  </si>
  <si>
    <r>
      <rPr>
        <sz val="10"/>
        <color theme="1"/>
        <rFont val="宋体"/>
        <family val="3"/>
        <charset val="134"/>
        <scheme val="minor"/>
      </rPr>
      <t>报批报建费及普通发票占比</t>
    </r>
    <r>
      <rPr>
        <sz val="10"/>
        <color rgb="FFFF0000"/>
        <rFont val="宋体"/>
        <family val="3"/>
        <charset val="134"/>
        <scheme val="minor"/>
      </rPr>
      <t>（0%）</t>
    </r>
  </si>
  <si>
    <r>
      <rPr>
        <sz val="10"/>
        <color theme="1"/>
        <rFont val="宋体"/>
        <family val="3"/>
        <charset val="134"/>
        <scheme val="minor"/>
      </rPr>
      <t>设备/材料成本占比</t>
    </r>
    <r>
      <rPr>
        <sz val="10"/>
        <color rgb="FFFF0000"/>
        <rFont val="宋体"/>
        <family val="3"/>
        <charset val="134"/>
        <scheme val="minor"/>
      </rPr>
      <t>（17%）</t>
    </r>
  </si>
  <si>
    <r>
      <rPr>
        <sz val="10"/>
        <color theme="1"/>
        <rFont val="宋体"/>
        <family val="3"/>
        <charset val="134"/>
        <scheme val="minor"/>
      </rPr>
      <t>设备/材料成本占比</t>
    </r>
    <r>
      <rPr>
        <sz val="10"/>
        <color rgb="FFFF0000"/>
        <rFont val="宋体"/>
        <family val="3"/>
        <charset val="134"/>
        <scheme val="minor"/>
      </rPr>
      <t>（16%）</t>
    </r>
  </si>
  <si>
    <r>
      <rPr>
        <sz val="10"/>
        <color theme="1"/>
        <rFont val="宋体"/>
        <family val="3"/>
        <charset val="134"/>
        <scheme val="minor"/>
      </rPr>
      <t>建安工程成本占比</t>
    </r>
    <r>
      <rPr>
        <sz val="10"/>
        <color rgb="FFFF0000"/>
        <rFont val="宋体"/>
        <family val="3"/>
        <charset val="134"/>
        <scheme val="minor"/>
      </rPr>
      <t>（11%）</t>
    </r>
  </si>
  <si>
    <r>
      <rPr>
        <sz val="10"/>
        <color theme="1"/>
        <rFont val="宋体"/>
        <family val="3"/>
        <charset val="134"/>
        <scheme val="minor"/>
      </rPr>
      <t>物业配合费占比</t>
    </r>
    <r>
      <rPr>
        <sz val="10"/>
        <color rgb="FFFF0000"/>
        <rFont val="宋体"/>
        <family val="3"/>
        <charset val="134"/>
        <scheme val="minor"/>
      </rPr>
      <t>（6%）</t>
    </r>
  </si>
  <si>
    <r>
      <rPr>
        <sz val="10"/>
        <color theme="1"/>
        <rFont val="宋体"/>
        <family val="3"/>
        <charset val="134"/>
        <scheme val="minor"/>
      </rPr>
      <t>建安工程成本占比</t>
    </r>
    <r>
      <rPr>
        <sz val="10"/>
        <color rgb="FFFF0000"/>
        <rFont val="宋体"/>
        <family val="3"/>
        <charset val="134"/>
        <scheme val="minor"/>
      </rPr>
      <t>（10%）</t>
    </r>
  </si>
  <si>
    <t>土地成本测算表</t>
  </si>
  <si>
    <t>地价</t>
  </si>
  <si>
    <t>地价付款比例</t>
  </si>
  <si>
    <t>编制部门：投资开发部</t>
  </si>
  <si>
    <t>单位：万元</t>
  </si>
  <si>
    <t>成本项目</t>
  </si>
  <si>
    <t>各项合计</t>
  </si>
  <si>
    <t>政府地价</t>
  </si>
  <si>
    <t>合作款项</t>
  </si>
  <si>
    <t>红外线市政设施</t>
  </si>
  <si>
    <t>拆迁补偿</t>
  </si>
  <si>
    <t>税费</t>
  </si>
  <si>
    <t>裁定过户价</t>
  </si>
  <si>
    <t>回迁房成本</t>
  </si>
  <si>
    <t>其他土地费用</t>
  </si>
  <si>
    <t>土地成本总计</t>
  </si>
  <si>
    <t>其中：无票地价</t>
  </si>
  <si>
    <r>
      <rPr>
        <sz val="10"/>
        <color theme="1"/>
        <rFont val="Times New Roman"/>
        <family val="1"/>
      </rPr>
      <t xml:space="preserve">             </t>
    </r>
    <r>
      <rPr>
        <sz val="10"/>
        <color theme="1"/>
        <rFont val="宋体"/>
        <family val="3"/>
        <charset val="134"/>
      </rPr>
      <t>政府开具地价票据</t>
    </r>
  </si>
  <si>
    <r>
      <rPr>
        <sz val="10"/>
        <color theme="1"/>
        <rFont val="Times New Roman"/>
        <family val="1"/>
      </rPr>
      <t xml:space="preserve">             </t>
    </r>
    <r>
      <rPr>
        <sz val="10"/>
        <color theme="1"/>
        <rFont val="宋体"/>
        <family val="3"/>
        <charset val="134"/>
      </rPr>
      <t>其他地价票据</t>
    </r>
  </si>
  <si>
    <r>
      <rPr>
        <sz val="10"/>
        <color theme="1"/>
        <rFont val="Times New Roman"/>
        <family val="1"/>
      </rPr>
      <t xml:space="preserve">             </t>
    </r>
    <r>
      <rPr>
        <sz val="10"/>
        <color theme="1"/>
        <rFont val="宋体"/>
        <family val="3"/>
        <charset val="134"/>
      </rPr>
      <t>可抵扣率</t>
    </r>
  </si>
  <si>
    <t>2.土地成本分摊</t>
  </si>
  <si>
    <t>产品</t>
  </si>
  <si>
    <t>有票土地成本</t>
  </si>
  <si>
    <t>无票土地成本</t>
  </si>
  <si>
    <t>校验：</t>
  </si>
  <si>
    <t>3.单方土地成本</t>
  </si>
  <si>
    <t>单方土地成本</t>
  </si>
  <si>
    <t>单方有票土地成本</t>
  </si>
  <si>
    <t>4.计算土地成本可抵扣销售额</t>
  </si>
  <si>
    <t>土地成本可抵扣销售额</t>
  </si>
  <si>
    <t>单方可抵扣销售额</t>
  </si>
  <si>
    <t>4.计算不含税土地成本</t>
  </si>
  <si>
    <t>土地成本可抵扣销项税</t>
  </si>
  <si>
    <t>不含税土地成本</t>
  </si>
  <si>
    <t>自持部分土地成本（含税）</t>
  </si>
  <si>
    <t>其中：有票成本</t>
  </si>
  <si>
    <t>有产权车位</t>
  </si>
  <si>
    <t>无产权车位</t>
  </si>
  <si>
    <t>保本售价测算表
方法1、使用规划求解：步骤一、加载“规划求解”，文件-选项-加载项—规划求解加载项
步骤二、使用“规划求解”，先取消保护，本表格密码123456，数据—规划求解—设置目标B23到目标值0—通过更改可变单元格，选择第六行黄色区域—点击“求解”即可；
方法2：将第三行试算收入的数据复制粘贴至第6行营业收入中，直至各业态利润为零。</t>
  </si>
  <si>
    <t>试算收入</t>
  </si>
  <si>
    <t>项  目</t>
  </si>
  <si>
    <t>各期总计</t>
  </si>
  <si>
    <t>各产品小计</t>
  </si>
  <si>
    <t>一期小计</t>
  </si>
  <si>
    <t>二期小计</t>
  </si>
  <si>
    <t>三期小计</t>
  </si>
  <si>
    <t>四期小计</t>
  </si>
  <si>
    <t>五期小计</t>
  </si>
  <si>
    <t>六期小计</t>
  </si>
  <si>
    <t>建安成本</t>
  </si>
  <si>
    <t>销售物业</t>
  </si>
  <si>
    <t>视同销售</t>
  </si>
  <si>
    <t>增值税附加</t>
  </si>
  <si>
    <t>其他销售税金</t>
  </si>
  <si>
    <t>管理费用</t>
  </si>
  <si>
    <t>营业费用</t>
  </si>
  <si>
    <t>企业所得税</t>
  </si>
  <si>
    <t>项目净利润</t>
  </si>
  <si>
    <t>收益比例</t>
  </si>
  <si>
    <t>收并购调整项</t>
  </si>
  <si>
    <t>分配利润</t>
  </si>
  <si>
    <t>可售建安（不含集团咨询费）</t>
  </si>
  <si>
    <t>所得税前利润</t>
  </si>
  <si>
    <t>税前利润比</t>
  </si>
  <si>
    <t>所得税分配比</t>
  </si>
  <si>
    <t>土地增值税测算表</t>
  </si>
  <si>
    <t>第一步：计算土地增值税</t>
  </si>
  <si>
    <t>是否是普通住宅</t>
  </si>
  <si>
    <t>分类型清算</t>
  </si>
  <si>
    <t>分期</t>
  </si>
  <si>
    <t>各产品合计</t>
  </si>
  <si>
    <t>普通住宅</t>
  </si>
  <si>
    <t>非普通住宅</t>
  </si>
  <si>
    <t>销售税金</t>
  </si>
  <si>
    <t>间接费用</t>
  </si>
  <si>
    <t>加计扣除</t>
  </si>
  <si>
    <t>扣除小计：</t>
  </si>
  <si>
    <t>适应税率</t>
  </si>
  <si>
    <t>N/A</t>
  </si>
  <si>
    <t>扣除系数</t>
  </si>
  <si>
    <t>应纳税额</t>
  </si>
  <si>
    <t>预缴税额</t>
  </si>
  <si>
    <t>分产品清算</t>
  </si>
  <si>
    <t>第二步：计算土增税现金流</t>
  </si>
  <si>
    <t>预缴税金</t>
  </si>
  <si>
    <t>产品类型</t>
  </si>
  <si>
    <t>所有产品</t>
  </si>
  <si>
    <t>清算补缴</t>
  </si>
  <si>
    <t>清算年份</t>
  </si>
  <si>
    <t>企业所得税测算表</t>
  </si>
  <si>
    <t>第一步：计算企业所得税</t>
  </si>
  <si>
    <t>项目</t>
  </si>
  <si>
    <t>收入</t>
  </si>
  <si>
    <t>成本</t>
  </si>
  <si>
    <t>销售费用</t>
  </si>
  <si>
    <t>其他扣除</t>
  </si>
  <si>
    <t>税前利润</t>
  </si>
  <si>
    <t>纳税调整</t>
  </si>
  <si>
    <t>土地无票</t>
  </si>
  <si>
    <t>利息无票</t>
  </si>
  <si>
    <t>时间：</t>
  </si>
  <si>
    <t>投资指标</t>
  </si>
  <si>
    <t>项目总计</t>
  </si>
  <si>
    <t>酒店</t>
  </si>
  <si>
    <t>自持商业</t>
  </si>
  <si>
    <t>可售物业合计</t>
  </si>
  <si>
    <t>IRR(内部收益率%)-全投资口径</t>
  </si>
  <si>
    <t>IRR(内部收益率%)-资本金口径</t>
  </si>
  <si>
    <t>ROI(投资利润率%)</t>
  </si>
  <si>
    <t>投资回收期</t>
  </si>
  <si>
    <t>NPV净现值(万元)</t>
  </si>
  <si>
    <t>权益后净利润（万元）</t>
  </si>
  <si>
    <t>销售净利润</t>
  </si>
  <si>
    <t>销售净利率(%)</t>
  </si>
  <si>
    <t>自有资金投入额（万元）</t>
  </si>
  <si>
    <t>经营活动现金流缺口峰值（万元）</t>
  </si>
  <si>
    <t>税负率(% 税金/收入)</t>
  </si>
  <si>
    <t>销售均价(元 不含车库)</t>
  </si>
  <si>
    <t>单方成本(元)</t>
  </si>
  <si>
    <t>土地单方</t>
  </si>
  <si>
    <t>建造单方(可售)</t>
  </si>
  <si>
    <t>费用单方（管理/营销/资金）</t>
  </si>
  <si>
    <t>税金单方</t>
  </si>
  <si>
    <t>附加指标</t>
  </si>
  <si>
    <t>费用率(%)</t>
  </si>
  <si>
    <t>贷款利率(%)</t>
  </si>
  <si>
    <t>贷款总额(万元)</t>
  </si>
  <si>
    <t>占地面积(m2)</t>
  </si>
  <si>
    <t>总建筑面积(m2)</t>
  </si>
  <si>
    <t>计容面积(m2)</t>
  </si>
  <si>
    <t>可售或自持面积(m2)</t>
  </si>
  <si>
    <t>售建比(%)</t>
  </si>
  <si>
    <t>车位数量(个)</t>
  </si>
  <si>
    <t>车位单价</t>
  </si>
  <si>
    <t>分产品利润测算表</t>
  </si>
  <si>
    <t>土增税退税</t>
  </si>
  <si>
    <t>所得税退税</t>
  </si>
  <si>
    <t>不能退税时净利润</t>
  </si>
  <si>
    <t>费用率</t>
  </si>
  <si>
    <t>税负率</t>
  </si>
  <si>
    <t>增值税及附加</t>
  </si>
  <si>
    <t>土增税</t>
  </si>
  <si>
    <t>资金成本率</t>
  </si>
  <si>
    <t>可售面积</t>
  </si>
  <si>
    <t>分产品销售价格</t>
  </si>
  <si>
    <t>销售单价</t>
  </si>
  <si>
    <t>保本售价</t>
  </si>
  <si>
    <t>签约利润测算表</t>
  </si>
  <si>
    <t>全周期
合计</t>
  </si>
  <si>
    <t>1季度</t>
  </si>
  <si>
    <t>2季度</t>
  </si>
  <si>
    <t>3季度</t>
  </si>
  <si>
    <t>4季度</t>
  </si>
  <si>
    <t>签约面积</t>
  </si>
  <si>
    <t>营业成本</t>
  </si>
  <si>
    <r>
      <rPr>
        <b/>
        <sz val="10"/>
        <rFont val="宋体"/>
        <family val="3"/>
        <charset val="134"/>
      </rPr>
      <t>编制部门：</t>
    </r>
  </si>
  <si>
    <r>
      <rPr>
        <b/>
        <sz val="10"/>
        <rFont val="宋体"/>
        <family val="3"/>
        <charset val="134"/>
      </rPr>
      <t>单位：万元</t>
    </r>
  </si>
  <si>
    <r>
      <rPr>
        <b/>
        <sz val="10"/>
        <rFont val="宋体"/>
        <family val="3"/>
        <charset val="134"/>
      </rPr>
      <t>项目</t>
    </r>
  </si>
  <si>
    <r>
      <rPr>
        <b/>
        <sz val="10"/>
        <rFont val="宋体"/>
        <family val="3"/>
        <charset val="134"/>
      </rPr>
      <t>项目全周期</t>
    </r>
  </si>
  <si>
    <r>
      <rPr>
        <b/>
        <sz val="10"/>
        <rFont val="宋体"/>
        <family val="3"/>
        <charset val="134"/>
      </rPr>
      <t>期初余额</t>
    </r>
  </si>
  <si>
    <r>
      <rPr>
        <b/>
        <sz val="10"/>
        <rFont val="宋体"/>
        <family val="3"/>
        <charset val="134"/>
      </rPr>
      <t>期初可动用资金余额</t>
    </r>
  </si>
  <si>
    <r>
      <rPr>
        <b/>
        <sz val="10"/>
        <rFont val="宋体"/>
        <family val="3"/>
        <charset val="134"/>
      </rPr>
      <t>签约金额</t>
    </r>
  </si>
  <si>
    <r>
      <rPr>
        <b/>
        <sz val="10"/>
        <rFont val="Times New Roman"/>
        <family val="1"/>
      </rPr>
      <t>1.</t>
    </r>
    <r>
      <rPr>
        <b/>
        <sz val="10"/>
        <rFont val="宋体"/>
        <family val="3"/>
        <charset val="134"/>
      </rPr>
      <t>销售回款</t>
    </r>
  </si>
  <si>
    <r>
      <rPr>
        <b/>
        <sz val="10"/>
        <rFont val="Times New Roman"/>
        <family val="1"/>
      </rPr>
      <t>2.</t>
    </r>
    <r>
      <rPr>
        <b/>
        <sz val="10"/>
        <rFont val="宋体"/>
        <family val="3"/>
        <charset val="134"/>
      </rPr>
      <t>成本支出</t>
    </r>
  </si>
  <si>
    <r>
      <rPr>
        <sz val="10"/>
        <rFont val="Times New Roman"/>
        <family val="1"/>
      </rPr>
      <t>2.1</t>
    </r>
    <r>
      <rPr>
        <sz val="10"/>
        <rFont val="宋体"/>
        <family val="3"/>
        <charset val="134"/>
      </rPr>
      <t>土地成本支出</t>
    </r>
  </si>
  <si>
    <r>
      <rPr>
        <sz val="10"/>
        <rFont val="Times New Roman"/>
        <family val="1"/>
      </rPr>
      <t>2.2</t>
    </r>
    <r>
      <rPr>
        <sz val="10"/>
        <rFont val="宋体"/>
        <family val="3"/>
        <charset val="134"/>
      </rPr>
      <t>工程款支出</t>
    </r>
  </si>
  <si>
    <r>
      <rPr>
        <b/>
        <sz val="10"/>
        <rFont val="Times New Roman"/>
        <family val="1"/>
      </rPr>
      <t>3.</t>
    </r>
    <r>
      <rPr>
        <b/>
        <sz val="10"/>
        <rFont val="宋体"/>
        <family val="3"/>
        <charset val="134"/>
      </rPr>
      <t>费用支出</t>
    </r>
  </si>
  <si>
    <r>
      <rPr>
        <sz val="10"/>
        <rFont val="Times New Roman"/>
        <family val="1"/>
      </rPr>
      <t>3.1</t>
    </r>
    <r>
      <rPr>
        <sz val="10"/>
        <rFont val="宋体"/>
        <family val="3"/>
        <charset val="134"/>
      </rPr>
      <t>销售费用</t>
    </r>
  </si>
  <si>
    <r>
      <rPr>
        <sz val="10"/>
        <rFont val="Times New Roman"/>
        <family val="1"/>
      </rPr>
      <t>3.2</t>
    </r>
    <r>
      <rPr>
        <sz val="10"/>
        <rFont val="宋体"/>
        <family val="3"/>
        <charset val="134"/>
      </rPr>
      <t>管理费用</t>
    </r>
  </si>
  <si>
    <r>
      <rPr>
        <b/>
        <sz val="10"/>
        <rFont val="Times New Roman"/>
        <family val="1"/>
      </rPr>
      <t>4.</t>
    </r>
    <r>
      <rPr>
        <b/>
        <sz val="10"/>
        <rFont val="宋体"/>
        <family val="3"/>
        <charset val="134"/>
      </rPr>
      <t>税金支出</t>
    </r>
  </si>
  <si>
    <r>
      <rPr>
        <b/>
        <sz val="10"/>
        <rFont val="Times New Roman"/>
        <family val="1"/>
      </rPr>
      <t>4.1</t>
    </r>
    <r>
      <rPr>
        <b/>
        <sz val="10"/>
        <rFont val="宋体"/>
        <family val="3"/>
        <charset val="134"/>
      </rPr>
      <t>当期应付税金</t>
    </r>
  </si>
  <si>
    <r>
      <rPr>
        <sz val="10"/>
        <rFont val="Times New Roman"/>
        <family val="1"/>
      </rPr>
      <t>4.1.1</t>
    </r>
    <r>
      <rPr>
        <sz val="10"/>
        <rFont val="宋体"/>
        <family val="3"/>
        <charset val="134"/>
      </rPr>
      <t>预缴增值税及附加</t>
    </r>
  </si>
  <si>
    <r>
      <rPr>
        <sz val="10"/>
        <rFont val="Times New Roman"/>
        <family val="1"/>
      </rPr>
      <t>4.1.2</t>
    </r>
    <r>
      <rPr>
        <sz val="10"/>
        <rFont val="宋体"/>
        <family val="3"/>
        <charset val="134"/>
      </rPr>
      <t>预缴土地增值税</t>
    </r>
  </si>
  <si>
    <r>
      <rPr>
        <sz val="10"/>
        <rFont val="Times New Roman"/>
        <family val="1"/>
      </rPr>
      <t>4.1.3</t>
    </r>
    <r>
      <rPr>
        <sz val="10"/>
        <rFont val="宋体"/>
        <family val="3"/>
        <charset val="134"/>
      </rPr>
      <t>预缴所得税</t>
    </r>
  </si>
  <si>
    <r>
      <rPr>
        <sz val="10"/>
        <rFont val="Times New Roman"/>
        <family val="1"/>
      </rPr>
      <t>4.1.4</t>
    </r>
    <r>
      <rPr>
        <sz val="10"/>
        <rFont val="宋体"/>
        <family val="3"/>
        <charset val="134"/>
      </rPr>
      <t>房产税</t>
    </r>
  </si>
  <si>
    <r>
      <rPr>
        <sz val="10"/>
        <rFont val="Times New Roman"/>
        <family val="1"/>
      </rPr>
      <t>4.1.5</t>
    </r>
    <r>
      <rPr>
        <sz val="10"/>
        <rFont val="宋体"/>
        <family val="3"/>
        <charset val="134"/>
      </rPr>
      <t>印花税</t>
    </r>
  </si>
  <si>
    <r>
      <rPr>
        <b/>
        <sz val="10"/>
        <rFont val="Times New Roman"/>
        <family val="1"/>
      </rPr>
      <t>4.3</t>
    </r>
    <r>
      <rPr>
        <b/>
        <sz val="10"/>
        <rFont val="宋体"/>
        <family val="3"/>
        <charset val="134"/>
      </rPr>
      <t>清算税金</t>
    </r>
  </si>
  <si>
    <r>
      <rPr>
        <sz val="10"/>
        <rFont val="Times New Roman"/>
        <family val="1"/>
      </rPr>
      <t>4.3.1</t>
    </r>
    <r>
      <rPr>
        <sz val="10"/>
        <rFont val="宋体"/>
        <family val="3"/>
        <charset val="134"/>
      </rPr>
      <t>增值税及附加清算补缴</t>
    </r>
  </si>
  <si>
    <r>
      <rPr>
        <sz val="10"/>
        <rFont val="Times New Roman"/>
        <family val="1"/>
      </rPr>
      <t>4.3.2</t>
    </r>
    <r>
      <rPr>
        <sz val="10"/>
        <rFont val="宋体"/>
        <family val="3"/>
        <charset val="134"/>
      </rPr>
      <t>土地增值税清算补缴</t>
    </r>
  </si>
  <si>
    <r>
      <rPr>
        <b/>
        <sz val="10"/>
        <rFont val="Times New Roman"/>
        <family val="1"/>
      </rPr>
      <t>5.</t>
    </r>
    <r>
      <rPr>
        <b/>
        <sz val="10"/>
        <rFont val="宋体"/>
        <family val="3"/>
        <charset val="134"/>
      </rPr>
      <t>其他净流入</t>
    </r>
  </si>
  <si>
    <r>
      <rPr>
        <sz val="10"/>
        <rFont val="Times New Roman"/>
        <family val="1"/>
      </rPr>
      <t>5.1</t>
    </r>
    <r>
      <rPr>
        <sz val="10"/>
        <rFont val="宋体"/>
        <family val="3"/>
        <charset val="134"/>
      </rPr>
      <t>物业集团</t>
    </r>
  </si>
  <si>
    <r>
      <rPr>
        <sz val="10"/>
        <rFont val="Times New Roman"/>
        <family val="1"/>
      </rPr>
      <t>5.2</t>
    </r>
    <r>
      <rPr>
        <sz val="10"/>
        <rFont val="宋体"/>
        <family val="3"/>
        <charset val="134"/>
      </rPr>
      <t>商旅集团</t>
    </r>
  </si>
  <si>
    <r>
      <rPr>
        <sz val="10"/>
        <rFont val="Times New Roman"/>
        <family val="1"/>
      </rPr>
      <t>5.3</t>
    </r>
    <r>
      <rPr>
        <sz val="10"/>
        <rFont val="宋体"/>
        <family val="3"/>
        <charset val="134"/>
      </rPr>
      <t>其他</t>
    </r>
  </si>
  <si>
    <r>
      <rPr>
        <b/>
        <sz val="10"/>
        <rFont val="宋体"/>
        <family val="3"/>
        <charset val="134"/>
      </rPr>
      <t>当期项目经营性现金流</t>
    </r>
  </si>
  <si>
    <r>
      <rPr>
        <b/>
        <sz val="10"/>
        <rFont val="宋体"/>
        <family val="3"/>
        <charset val="134"/>
      </rPr>
      <t>累计项目经营性现金流</t>
    </r>
  </si>
  <si>
    <r>
      <rPr>
        <sz val="10"/>
        <rFont val="宋体"/>
        <family val="3"/>
        <charset val="134"/>
      </rPr>
      <t>新增贷款流入</t>
    </r>
  </si>
  <si>
    <r>
      <rPr>
        <sz val="10"/>
        <rFont val="宋体"/>
        <family val="3"/>
        <charset val="134"/>
      </rPr>
      <t>偿还贷款流出</t>
    </r>
  </si>
  <si>
    <r>
      <rPr>
        <sz val="10"/>
        <rFont val="宋体"/>
        <family val="3"/>
        <charset val="134"/>
      </rPr>
      <t>财务费用（</t>
    </r>
    <r>
      <rPr>
        <sz val="10"/>
        <rFont val="Times New Roman"/>
        <family val="1"/>
      </rPr>
      <t>-</t>
    </r>
    <r>
      <rPr>
        <sz val="10"/>
        <rFont val="宋体"/>
        <family val="3"/>
        <charset val="134"/>
      </rPr>
      <t>支出</t>
    </r>
    <r>
      <rPr>
        <sz val="10"/>
        <rFont val="Times New Roman"/>
        <family val="1"/>
      </rPr>
      <t>/+</t>
    </r>
    <r>
      <rPr>
        <sz val="10"/>
        <rFont val="宋体"/>
        <family val="3"/>
        <charset val="134"/>
      </rPr>
      <t>收入）</t>
    </r>
  </si>
  <si>
    <r>
      <rPr>
        <b/>
        <sz val="10"/>
        <rFont val="宋体"/>
        <family val="3"/>
        <charset val="134"/>
      </rPr>
      <t>项目融资性资金净流入</t>
    </r>
  </si>
  <si>
    <r>
      <rPr>
        <sz val="10"/>
        <rFont val="宋体"/>
        <family val="3"/>
        <charset val="134"/>
      </rPr>
      <t>股东资本金投入</t>
    </r>
  </si>
  <si>
    <r>
      <rPr>
        <sz val="10"/>
        <rFont val="宋体"/>
        <family val="3"/>
        <charset val="134"/>
      </rPr>
      <t>集团内部往来</t>
    </r>
  </si>
  <si>
    <r>
      <rPr>
        <sz val="10"/>
        <rFont val="宋体"/>
        <family val="3"/>
        <charset val="134"/>
      </rPr>
      <t>其他外部往来</t>
    </r>
  </si>
  <si>
    <r>
      <rPr>
        <b/>
        <sz val="10"/>
        <rFont val="宋体"/>
        <family val="3"/>
        <charset val="134"/>
      </rPr>
      <t>往来及投资净流入</t>
    </r>
  </si>
  <si>
    <r>
      <rPr>
        <b/>
        <sz val="10"/>
        <rFont val="宋体"/>
        <family val="3"/>
        <charset val="134"/>
      </rPr>
      <t>当期现金净流量</t>
    </r>
  </si>
  <si>
    <r>
      <rPr>
        <b/>
        <sz val="10"/>
        <rFont val="宋体"/>
        <family val="3"/>
        <charset val="134"/>
      </rPr>
      <t>期末资金余额</t>
    </r>
  </si>
  <si>
    <r>
      <rPr>
        <b/>
        <sz val="10"/>
        <rFont val="Times New Roman"/>
        <family val="1"/>
      </rPr>
      <t>B</t>
    </r>
    <r>
      <rPr>
        <b/>
        <sz val="10"/>
        <rFont val="宋体"/>
        <family val="3"/>
        <charset val="134"/>
      </rPr>
      <t>类受限制资金</t>
    </r>
  </si>
  <si>
    <r>
      <rPr>
        <b/>
        <sz val="10"/>
        <rFont val="Times New Roman"/>
        <family val="1"/>
      </rPr>
      <t>C</t>
    </r>
    <r>
      <rPr>
        <b/>
        <sz val="10"/>
        <rFont val="宋体"/>
        <family val="3"/>
        <charset val="134"/>
      </rPr>
      <t>类不可动资金</t>
    </r>
  </si>
  <si>
    <r>
      <rPr>
        <b/>
        <sz val="10"/>
        <rFont val="Times New Roman"/>
        <family val="1"/>
      </rPr>
      <t xml:space="preserve">       </t>
    </r>
    <r>
      <rPr>
        <b/>
        <sz val="10"/>
        <rFont val="宋体"/>
        <family val="3"/>
        <charset val="134"/>
      </rPr>
      <t>其中：可动资金余额</t>
    </r>
  </si>
  <si>
    <t>校验1：</t>
  </si>
  <si>
    <t>属于我司现金流（按股权比例）</t>
  </si>
  <si>
    <t>股权溢价支出</t>
  </si>
  <si>
    <t>属于佳兆业现金流（按股权比例、扣除并购溢价等）</t>
  </si>
  <si>
    <t>并购股东公司借款余额</t>
  </si>
  <si>
    <t>借入并购股东资金</t>
  </si>
  <si>
    <t>归还并购股东资金</t>
  </si>
  <si>
    <t>并购贷借款余额</t>
  </si>
  <si>
    <t>借入并购贷</t>
  </si>
  <si>
    <t>归还并购贷</t>
  </si>
  <si>
    <t>股东并购利息</t>
  </si>
  <si>
    <t>并购贷利息</t>
  </si>
  <si>
    <t>归属我司现金净流量</t>
  </si>
  <si>
    <t>归属我司的累计现金流</t>
  </si>
  <si>
    <t>校验2：</t>
  </si>
  <si>
    <r>
      <rPr>
        <sz val="10"/>
        <color theme="1"/>
        <rFont val="宋体"/>
        <family val="3"/>
        <charset val="134"/>
      </rPr>
      <t>全投资</t>
    </r>
    <r>
      <rPr>
        <sz val="10"/>
        <color theme="1"/>
        <rFont val="Times New Roman"/>
        <family val="1"/>
      </rPr>
      <t>IRR</t>
    </r>
  </si>
  <si>
    <r>
      <rPr>
        <sz val="10"/>
        <color theme="1"/>
        <rFont val="宋体"/>
        <family val="3"/>
        <charset val="134"/>
      </rPr>
      <t>资本金</t>
    </r>
    <r>
      <rPr>
        <sz val="10"/>
        <color theme="1"/>
        <rFont val="Times New Roman"/>
        <family val="1"/>
      </rPr>
      <t>IRR</t>
    </r>
  </si>
  <si>
    <r>
      <rPr>
        <sz val="10"/>
        <color theme="1"/>
        <rFont val="宋体"/>
        <family val="3"/>
        <charset val="134"/>
      </rPr>
      <t>全投资</t>
    </r>
    <r>
      <rPr>
        <sz val="10"/>
        <color theme="1"/>
        <rFont val="Times New Roman"/>
        <family val="1"/>
      </rPr>
      <t>NPV</t>
    </r>
  </si>
  <si>
    <t>累计资本金投入</t>
  </si>
  <si>
    <t>股东投入峰值</t>
  </si>
  <si>
    <t>股东自有资金回收期</t>
  </si>
  <si>
    <t>累计资本金投入回正时间点</t>
  </si>
  <si>
    <t>股东年化回报率</t>
  </si>
  <si>
    <t>资金成本测算表</t>
  </si>
  <si>
    <t>第一步：筹资金额计算</t>
  </si>
  <si>
    <t>金额(万元)</t>
  </si>
  <si>
    <t>比例</t>
  </si>
  <si>
    <t>投资总额</t>
  </si>
  <si>
    <t>外部借款</t>
  </si>
  <si>
    <t>第二步：填写资金来源</t>
  </si>
  <si>
    <t>项目现金流量</t>
  </si>
  <si>
    <t>期限</t>
  </si>
  <si>
    <t>借入股东资金</t>
  </si>
  <si>
    <t>归还股东资金</t>
  </si>
  <si>
    <t>借入外部借款</t>
  </si>
  <si>
    <t>归还外部借款</t>
  </si>
  <si>
    <t>股东借款利息</t>
  </si>
  <si>
    <t>外部借款利息</t>
  </si>
  <si>
    <t>有票利息</t>
  </si>
  <si>
    <t>资金缺口利息</t>
  </si>
  <si>
    <t>无票利息</t>
  </si>
  <si>
    <t>填报检验</t>
  </si>
  <si>
    <t>分摊各业态资金成本</t>
  </si>
  <si>
    <t>各业态单方资金成本</t>
  </si>
  <si>
    <t>分摊各业态资金成本(有票)</t>
  </si>
  <si>
    <t>自持物业财务费用分摊（有票）</t>
  </si>
  <si>
    <t>编制部门：设计部</t>
  </si>
  <si>
    <t>用地面积(m2)</t>
  </si>
  <si>
    <t>建筑面积(m2)</t>
  </si>
  <si>
    <t>可售/自持面积(m2)</t>
  </si>
  <si>
    <t>其中：自持有面积(m2)</t>
  </si>
  <si>
    <t>计容产品</t>
  </si>
  <si>
    <t>高层</t>
  </si>
  <si>
    <t>回迁商业</t>
  </si>
  <si>
    <t>无产权公共配套</t>
  </si>
  <si>
    <t>计容产品小计：</t>
  </si>
  <si>
    <t>个数</t>
  </si>
  <si>
    <t>其中：自持(个)</t>
  </si>
  <si>
    <t>不计容产品</t>
  </si>
  <si>
    <t>有产权车库(个)</t>
  </si>
  <si>
    <t>无产权车库(个)</t>
  </si>
  <si>
    <t>其他不计容产品</t>
  </si>
  <si>
    <t>不计容产品小计：</t>
  </si>
  <si>
    <t>合    计：</t>
  </si>
  <si>
    <t>日期：</t>
  </si>
  <si>
    <t>编制：</t>
  </si>
  <si>
    <t>复核：</t>
  </si>
  <si>
    <t>审批：</t>
  </si>
  <si>
    <t>注：</t>
  </si>
  <si>
    <t>1.共用基底业态用建筑面积进行二次分摊（附如下表-分摊表）</t>
  </si>
  <si>
    <t>2.不计容但可售的非车位产品：同其他计容产品，但仅填写建筑面积、可售面积。</t>
  </si>
  <si>
    <t>3.无偿移交的保障性住房：计入公共配套的建筑面积。</t>
  </si>
  <si>
    <t>4.“小高层”指复式高层
5、自持业态单列</t>
  </si>
  <si>
    <r>
      <rPr>
        <b/>
        <sz val="12"/>
        <color theme="1"/>
        <rFont val="华文楷体"/>
        <family val="3"/>
        <charset val="134"/>
      </rPr>
      <t xml:space="preserve">  土地面积</t>
    </r>
    <r>
      <rPr>
        <b/>
        <sz val="12"/>
        <color rgb="FFFF0000"/>
        <rFont val="华文楷体"/>
        <family val="3"/>
        <charset val="134"/>
      </rPr>
      <t>第一次</t>
    </r>
    <r>
      <rPr>
        <b/>
        <sz val="12"/>
        <color theme="1"/>
        <rFont val="华文楷体"/>
        <family val="3"/>
        <charset val="134"/>
      </rPr>
      <t>分摊计算表—针对同一期不同楼栋分摊（步骤一、先填同一期待摊面积  步骤二、同一期内按业态填建筑面积 步骤三、将分摊面积填入表（设计指标表）如果还需二次分摊填入土地面积第二次分摊计算表</t>
    </r>
  </si>
  <si>
    <t>基底面积(m2)</t>
  </si>
  <si>
    <t>可售面积(m2)</t>
  </si>
  <si>
    <t>自持有面积(m2)</t>
  </si>
  <si>
    <t>基底面积</t>
  </si>
  <si>
    <t>回迁房</t>
  </si>
  <si>
    <t>待摊面积：</t>
  </si>
  <si>
    <r>
      <rPr>
        <b/>
        <sz val="12"/>
        <color theme="1"/>
        <rFont val="华文楷体"/>
        <family val="3"/>
        <charset val="134"/>
      </rPr>
      <t>土地面积</t>
    </r>
    <r>
      <rPr>
        <b/>
        <sz val="12"/>
        <color rgb="FFFF0000"/>
        <rFont val="华文楷体"/>
        <family val="3"/>
        <charset val="134"/>
      </rPr>
      <t>第二次</t>
    </r>
    <r>
      <rPr>
        <b/>
        <sz val="12"/>
        <color theme="1"/>
        <rFont val="华文楷体"/>
        <family val="3"/>
        <charset val="134"/>
      </rPr>
      <t>分摊计算表—针对同一栋不同业态（步骤一、先填同一栋待摊面积  步骤二、同一栋内业态按可售面积分摊 步骤三、将分摊面积填入上表（设计指标表）</t>
    </r>
  </si>
  <si>
    <t>建筑面积</t>
  </si>
  <si>
    <t>超高层</t>
  </si>
  <si>
    <t>小高层</t>
  </si>
  <si>
    <t>多层</t>
  </si>
  <si>
    <t>独栋别墅</t>
  </si>
  <si>
    <t>双拼别墅</t>
  </si>
  <si>
    <t>联排别墅</t>
  </si>
  <si>
    <t>叠拼别墅</t>
  </si>
  <si>
    <t>合院别墅</t>
  </si>
  <si>
    <t>保障性住房（可租）</t>
  </si>
  <si>
    <t>保障性住房（可售）</t>
  </si>
  <si>
    <t>集中商业</t>
  </si>
  <si>
    <t>SOHO/酒店式公寓</t>
  </si>
  <si>
    <t>写字楼</t>
  </si>
  <si>
    <t>公建楼栋（含可分割产权销售的产业园）</t>
  </si>
  <si>
    <t>回迁写字楼</t>
  </si>
  <si>
    <t>有产权公共配套</t>
  </si>
  <si>
    <t>可售车库/库房（面积）</t>
  </si>
  <si>
    <t>不可售车库（面积）</t>
  </si>
  <si>
    <r>
      <rPr>
        <sz val="10"/>
        <rFont val="宋体"/>
        <family val="3"/>
        <charset val="134"/>
      </rPr>
      <t>编制部门</t>
    </r>
    <r>
      <rPr>
        <sz val="10"/>
        <rFont val="华文新魏"/>
        <family val="3"/>
        <charset val="134"/>
      </rPr>
      <t>：品质管理部</t>
    </r>
  </si>
  <si>
    <t>城市</t>
  </si>
  <si>
    <t>期别</t>
  </si>
  <si>
    <t>计划</t>
  </si>
  <si>
    <t>层数</t>
  </si>
  <si>
    <t>总建筑面积
红色字体为施工证面积</t>
  </si>
  <si>
    <t>摘牌时间</t>
  </si>
  <si>
    <t>投资交底会</t>
  </si>
  <si>
    <t>项目定位</t>
  </si>
  <si>
    <t>收地入场（砌红线围墙及勘探）</t>
  </si>
  <si>
    <t>项目启动会</t>
  </si>
  <si>
    <t>建设用地规划许可证</t>
  </si>
  <si>
    <t>国有土地使用证</t>
  </si>
  <si>
    <t>方案设计(方案评审会）</t>
  </si>
  <si>
    <t>方案图报建</t>
  </si>
  <si>
    <t>项目合约规划完成</t>
  </si>
  <si>
    <t>项目目标成本录入系统</t>
  </si>
  <si>
    <t>建设工程规划许可证</t>
  </si>
  <si>
    <t>项目开工</t>
  </si>
  <si>
    <t>施工许可证</t>
  </si>
  <si>
    <t>融资首次放款</t>
  </si>
  <si>
    <t>主体开工</t>
  </si>
  <si>
    <t>预售证</t>
  </si>
  <si>
    <t>开盘</t>
  </si>
  <si>
    <t>主体封顶</t>
  </si>
  <si>
    <t>竣工验收</t>
  </si>
  <si>
    <t>毛坯入伙</t>
  </si>
  <si>
    <t>精装入伙</t>
  </si>
  <si>
    <t>结算完成时间</t>
  </si>
  <si>
    <t>备注</t>
  </si>
  <si>
    <t>时间节点</t>
  </si>
  <si>
    <t>深圳</t>
  </si>
  <si>
    <t>竣工及交付时间区分毛坯及精装</t>
  </si>
  <si>
    <t>工程成本支出计划表</t>
  </si>
  <si>
    <t>编制部门：成本部</t>
  </si>
  <si>
    <t>1.填写各期建安成本支付进度</t>
  </si>
  <si>
    <r>
      <rPr>
        <sz val="10"/>
        <color theme="1"/>
        <rFont val="Times New Roman"/>
        <family val="1"/>
      </rPr>
      <t>1</t>
    </r>
    <r>
      <rPr>
        <sz val="10"/>
        <color theme="1"/>
        <rFont val="宋体"/>
        <family val="3"/>
        <charset val="134"/>
      </rPr>
      <t>季度</t>
    </r>
  </si>
  <si>
    <r>
      <rPr>
        <sz val="10"/>
        <color theme="1"/>
        <rFont val="Times New Roman"/>
        <family val="1"/>
      </rPr>
      <t>2</t>
    </r>
    <r>
      <rPr>
        <sz val="10"/>
        <color theme="1"/>
        <rFont val="宋体"/>
        <family val="3"/>
        <charset val="134"/>
      </rPr>
      <t>季度</t>
    </r>
  </si>
  <si>
    <r>
      <rPr>
        <sz val="10"/>
        <color theme="1"/>
        <rFont val="Times New Roman"/>
        <family val="1"/>
      </rPr>
      <t>3</t>
    </r>
    <r>
      <rPr>
        <sz val="10"/>
        <color theme="1"/>
        <rFont val="宋体"/>
        <family val="3"/>
        <charset val="134"/>
      </rPr>
      <t>季度</t>
    </r>
  </si>
  <si>
    <r>
      <rPr>
        <sz val="10"/>
        <color theme="1"/>
        <rFont val="Times New Roman"/>
        <family val="1"/>
      </rPr>
      <t>4</t>
    </r>
    <r>
      <rPr>
        <sz val="10"/>
        <color theme="1"/>
        <rFont val="宋体"/>
        <family val="3"/>
        <charset val="134"/>
      </rPr>
      <t>季度</t>
    </r>
  </si>
  <si>
    <t>开发前期准备费</t>
  </si>
  <si>
    <t>主体建筑工程费</t>
  </si>
  <si>
    <t>主体精装修工程费</t>
  </si>
  <si>
    <t>主体安装工程费</t>
  </si>
  <si>
    <t>室外工程费</t>
  </si>
  <si>
    <t>配套设施费</t>
  </si>
  <si>
    <t>开发间接费</t>
  </si>
  <si>
    <t>前期物业配合费</t>
  </si>
  <si>
    <t>2.计算各期建安成本支付额度</t>
  </si>
  <si>
    <t>设置当季度签约回款率</t>
  </si>
  <si>
    <t>产   品</t>
  </si>
  <si>
    <t>各期汇总</t>
  </si>
  <si>
    <t>合计可售产品</t>
  </si>
  <si>
    <t>签约均价</t>
  </si>
  <si>
    <t>销售比例</t>
  </si>
  <si>
    <t>签约金额</t>
  </si>
  <si>
    <t>合计车位：</t>
  </si>
  <si>
    <t>单价</t>
  </si>
  <si>
    <t>金额</t>
  </si>
  <si>
    <t>回款</t>
  </si>
  <si>
    <t>一期可售产品</t>
  </si>
  <si>
    <t>一期车位：</t>
  </si>
  <si>
    <t>二期可售产品</t>
  </si>
  <si>
    <t>二期车位：</t>
  </si>
  <si>
    <t>三期可售产品</t>
  </si>
  <si>
    <t>三期车位：</t>
  </si>
  <si>
    <t>四期可售产品</t>
  </si>
  <si>
    <t>四期车位：</t>
  </si>
  <si>
    <t>五期可售产品</t>
  </si>
  <si>
    <t>五期车位：</t>
  </si>
  <si>
    <t>六期可售产品</t>
  </si>
  <si>
    <t>六期车位：</t>
  </si>
  <si>
    <t>建安成本测算表</t>
  </si>
  <si>
    <t>涉及配套设施费需另附具体分摊表</t>
  </si>
  <si>
    <t>单方
（元/m2）</t>
  </si>
  <si>
    <t>项目合计</t>
  </si>
  <si>
    <t>分摊回迁物业成本：</t>
  </si>
  <si>
    <t>业态</t>
  </si>
  <si>
    <r>
      <rPr>
        <b/>
        <sz val="10"/>
        <color theme="1"/>
        <rFont val="宋体"/>
        <family val="3"/>
        <charset val="134"/>
      </rPr>
      <t>单方
（元/m</t>
    </r>
    <r>
      <rPr>
        <b/>
        <vertAlign val="superscript"/>
        <sz val="10"/>
        <color theme="1"/>
        <rFont val="宋体"/>
        <family val="3"/>
        <charset val="134"/>
      </rPr>
      <t>2</t>
    </r>
    <r>
      <rPr>
        <b/>
        <sz val="10"/>
        <color theme="1"/>
        <rFont val="宋体"/>
        <family val="3"/>
        <charset val="134"/>
      </rPr>
      <t>）</t>
    </r>
  </si>
  <si>
    <t>建筑面积
/占地面积</t>
  </si>
  <si>
    <t>回迁物业</t>
  </si>
  <si>
    <t>各业态分摊成本</t>
  </si>
  <si>
    <t>分摊公共配套成本：</t>
  </si>
  <si>
    <t>公共配套（含无产权车位）</t>
  </si>
  <si>
    <t>计算分摊后各业态成本：</t>
  </si>
  <si>
    <t>各业态进项税额计算</t>
  </si>
  <si>
    <t>各业态进项税额</t>
  </si>
  <si>
    <t>各业态不含税成本计算</t>
  </si>
  <si>
    <t>各业态不含税成本</t>
  </si>
  <si>
    <t>自持经营资产建安成本（不含税）</t>
  </si>
  <si>
    <t>自持物业建安成本</t>
  </si>
  <si>
    <t>1.计算销售物业增值税现金流</t>
  </si>
  <si>
    <t>征收阶段</t>
  </si>
  <si>
    <r>
      <rPr>
        <b/>
        <sz val="10"/>
        <color theme="1"/>
        <rFont val="Times New Roman"/>
        <family val="1"/>
      </rPr>
      <t>1</t>
    </r>
    <r>
      <rPr>
        <b/>
        <sz val="10"/>
        <color theme="1"/>
        <rFont val="宋体"/>
        <family val="3"/>
        <charset val="134"/>
      </rPr>
      <t>季度</t>
    </r>
  </si>
  <si>
    <r>
      <rPr>
        <b/>
        <sz val="10"/>
        <color theme="1"/>
        <rFont val="Times New Roman"/>
        <family val="1"/>
      </rPr>
      <t>2</t>
    </r>
    <r>
      <rPr>
        <b/>
        <sz val="10"/>
        <color theme="1"/>
        <rFont val="宋体"/>
        <family val="3"/>
        <charset val="134"/>
      </rPr>
      <t>季度</t>
    </r>
  </si>
  <si>
    <r>
      <rPr>
        <b/>
        <sz val="10"/>
        <color theme="1"/>
        <rFont val="Times New Roman"/>
        <family val="1"/>
      </rPr>
      <t>3</t>
    </r>
    <r>
      <rPr>
        <b/>
        <sz val="10"/>
        <color theme="1"/>
        <rFont val="宋体"/>
        <family val="3"/>
        <charset val="134"/>
      </rPr>
      <t>季度</t>
    </r>
  </si>
  <si>
    <r>
      <rPr>
        <b/>
        <sz val="10"/>
        <color theme="1"/>
        <rFont val="Times New Roman"/>
        <family val="1"/>
      </rPr>
      <t>4</t>
    </r>
    <r>
      <rPr>
        <b/>
        <sz val="10"/>
        <color theme="1"/>
        <rFont val="宋体"/>
        <family val="3"/>
        <charset val="134"/>
      </rPr>
      <t>季度</t>
    </r>
  </si>
  <si>
    <t>预缴</t>
  </si>
  <si>
    <t>清算</t>
  </si>
  <si>
    <t>2.计算清算增值税现金流</t>
  </si>
  <si>
    <t>3.计算销售物业增值税附加现金流</t>
  </si>
  <si>
    <t>4.计算回迁物业视同销售物业增值税附加</t>
  </si>
  <si>
    <t>5.计算回迁物业视同销售物业增值税</t>
  </si>
  <si>
    <t>6.分摊回迁房视同销售物业增值税</t>
  </si>
  <si>
    <t>回迁房增值税及附加分摊</t>
  </si>
  <si>
    <t>7.分摊回迁房视同销售物业增值税附加</t>
  </si>
  <si>
    <t>视同销售价格(元）</t>
  </si>
  <si>
    <t>普</t>
  </si>
  <si>
    <t>非普</t>
  </si>
  <si>
    <t>两分法</t>
  </si>
  <si>
    <t>补缴税额</t>
  </si>
  <si>
    <t>三分法</t>
  </si>
  <si>
    <t>无票土地成本调整</t>
  </si>
  <si>
    <t>分类</t>
  </si>
  <si>
    <r>
      <rPr>
        <b/>
        <sz val="10"/>
        <color rgb="FFFF0000"/>
        <rFont val="宋体"/>
        <family val="3"/>
        <charset val="134"/>
      </rPr>
      <t>成本调整</t>
    </r>
    <r>
      <rPr>
        <b/>
        <sz val="10"/>
        <rFont val="宋体"/>
        <family val="3"/>
        <charset val="134"/>
      </rPr>
      <t>-调减（针对红线外成本等无法在土增税前扣除调整，</t>
    </r>
    <r>
      <rPr>
        <b/>
        <sz val="10"/>
        <color rgb="FFFF0000"/>
        <rFont val="宋体"/>
        <family val="3"/>
        <charset val="134"/>
      </rPr>
      <t>如调增为负数</t>
    </r>
    <r>
      <rPr>
        <b/>
        <sz val="10"/>
        <rFont val="宋体"/>
        <family val="3"/>
        <charset val="134"/>
      </rPr>
      <t>）</t>
    </r>
  </si>
  <si>
    <r>
      <rPr>
        <b/>
        <sz val="10"/>
        <color rgb="FFFF0000"/>
        <rFont val="宋体"/>
        <family val="3"/>
        <charset val="134"/>
      </rPr>
      <t>销售收入</t>
    </r>
    <r>
      <rPr>
        <b/>
        <sz val="10"/>
        <rFont val="宋体"/>
        <family val="3"/>
        <charset val="134"/>
      </rPr>
      <t>调整（针对视同销售调整不含税）</t>
    </r>
  </si>
  <si>
    <t>其他扣除/调整</t>
  </si>
  <si>
    <t>其他调整</t>
  </si>
  <si>
    <t>针对所得税特殊调整项目</t>
  </si>
  <si>
    <t>按应纳所得额分摊</t>
  </si>
  <si>
    <t>第二步：计算所得税现金流</t>
  </si>
  <si>
    <t>预缴方式：</t>
  </si>
  <si>
    <t>预计毛利率</t>
  </si>
  <si>
    <t>综合</t>
  </si>
  <si>
    <t>税金及附加</t>
  </si>
  <si>
    <t>预缴所得税</t>
  </si>
  <si>
    <t>补缴税金</t>
  </si>
  <si>
    <t>应纳税所得额</t>
  </si>
  <si>
    <t>调整事项</t>
  </si>
  <si>
    <t>预计毛利调增</t>
  </si>
  <si>
    <t>预计毛利调减</t>
  </si>
  <si>
    <t>利息无票调增</t>
  </si>
  <si>
    <t>亏损弥补</t>
  </si>
  <si>
    <t>当期可弥补亏损</t>
  </si>
  <si>
    <t>累计待弥补亏损</t>
  </si>
  <si>
    <t>弥补前期亏损</t>
  </si>
  <si>
    <t>待弥补亏损余额</t>
  </si>
  <si>
    <t>弥补亏损后应纳所得税额</t>
  </si>
  <si>
    <t>应纳所得税</t>
  </si>
  <si>
    <t xml:space="preserve">  地价及单价对净利润的敏感分析表（提供两种方法，根据分公司实际情况选择一种即可）</t>
  </si>
  <si>
    <t>方法一、手工单独改变量(比如地价、销售单价）：具体方法：通过变更公式栏地价或售价栏，再将公式栏数据直接复制到相应地价及售价敏感性分析数据表中</t>
  </si>
  <si>
    <t>溢价（%）</t>
  </si>
  <si>
    <t>计容楼面地价
(元/㎡)</t>
  </si>
  <si>
    <t>可售产品售价（元/㎡）</t>
  </si>
  <si>
    <t>净利润（扣除自用资金利息）</t>
  </si>
  <si>
    <t>净利润率（扣除自用资金利息）</t>
  </si>
  <si>
    <t>公式</t>
  </si>
  <si>
    <t>地价波动的敏感性分析（金额单位：万元）（测算数据包括但不限于起始地价、盈亏平衡点、盈亏平衡点（股东不计息）、可能成交价、终止价）</t>
  </si>
  <si>
    <t>起始地价</t>
  </si>
  <si>
    <t>建面</t>
  </si>
  <si>
    <t>售价的敏感性分析（金额单位：万元）</t>
  </si>
  <si>
    <t>地价（万元）</t>
  </si>
  <si>
    <t>计容楼面地价(元/㎡)</t>
  </si>
  <si>
    <t>每加500元一档增加</t>
  </si>
  <si>
    <t>方法二、模拟运算（具体方法：1、土地成本表中地价及销售及回款表中的入市价格必须链接本表数据D33、及J33数据 2、选择绿色区域，点数据-模拟分析—模拟运算表-引用行单元格选J33,列单元格选择D33-点击确定即可</t>
  </si>
  <si>
    <t>竞拍起始地价</t>
  </si>
  <si>
    <t>封顶地价</t>
  </si>
  <si>
    <t>开盘价</t>
  </si>
  <si>
    <t>计容面积</t>
  </si>
  <si>
    <t>加价幅度</t>
  </si>
  <si>
    <t>计容楼面价(元/㎡)</t>
  </si>
  <si>
    <t>溢价率</t>
  </si>
  <si>
    <t>入市价(元/平）</t>
  </si>
  <si>
    <t>解押</t>
    <phoneticPr fontId="102" type="noConversion"/>
  </si>
  <si>
    <t>过户、转让款</t>
    <phoneticPr fontId="102" type="noConversion"/>
  </si>
  <si>
    <t>增容费</t>
    <phoneticPr fontId="102" type="noConversion"/>
  </si>
  <si>
    <t>转让款</t>
    <phoneticPr fontId="102" type="noConversion"/>
  </si>
  <si>
    <t>总收入（万元）</t>
  </si>
  <si>
    <t>支出</t>
  </si>
  <si>
    <t>本版本</t>
    <phoneticPr fontId="102" type="noConversion"/>
  </si>
  <si>
    <t>上会版</t>
    <phoneticPr fontId="102" type="noConversion"/>
  </si>
  <si>
    <t>差异</t>
    <phoneticPr fontId="102" type="noConversion"/>
  </si>
  <si>
    <t>指标名称</t>
  </si>
  <si>
    <t>累计项目经营性现金流</t>
  </si>
  <si>
    <t>2026年4季度</t>
  </si>
  <si>
    <t>2026年3季度</t>
  </si>
  <si>
    <t>2026年2季度</t>
  </si>
  <si>
    <t>2026年1季度</t>
  </si>
  <si>
    <t>2025年4季度</t>
  </si>
  <si>
    <t>2025年3季度</t>
  </si>
  <si>
    <t>2025年2季度</t>
  </si>
  <si>
    <t>2025年1季度</t>
  </si>
  <si>
    <t>2024年4季度</t>
  </si>
  <si>
    <t>2024年3季度</t>
  </si>
  <si>
    <t>2024年2季度</t>
  </si>
  <si>
    <t>2024年1季度</t>
  </si>
  <si>
    <t>2016年4季度</t>
  </si>
  <si>
    <t>2016年3季度</t>
  </si>
  <si>
    <t>2016年2季度</t>
  </si>
  <si>
    <t>2016年1季度</t>
  </si>
  <si>
    <t>均价差异</t>
    <phoneticPr fontId="102" type="noConversion"/>
  </si>
  <si>
    <t>保本售价差异</t>
    <phoneticPr fontId="102" type="noConversion"/>
  </si>
  <si>
    <t>保本售价（元/㎡）</t>
    <phoneticPr fontId="102" type="noConversion"/>
  </si>
  <si>
    <t>保本收入（万元）</t>
    <phoneticPr fontId="102" type="noConversion"/>
  </si>
  <si>
    <t>保本指标</t>
  </si>
  <si>
    <t>销售净利润率</t>
    <phoneticPr fontId="102" type="noConversion"/>
  </si>
  <si>
    <t>单方净利润（元/㎡）</t>
    <phoneticPr fontId="102" type="noConversion"/>
  </si>
  <si>
    <t>净利润（万元）</t>
    <phoneticPr fontId="102" type="noConversion"/>
  </si>
  <si>
    <t>我司净利润</t>
    <phoneticPr fontId="102" type="noConversion"/>
  </si>
  <si>
    <t>项目利润</t>
    <phoneticPr fontId="102" type="noConversion"/>
  </si>
  <si>
    <t xml:space="preserve">      税金</t>
    <phoneticPr fontId="102" type="noConversion"/>
  </si>
  <si>
    <t xml:space="preserve">      销售管理费用</t>
    <phoneticPr fontId="102" type="noConversion"/>
  </si>
  <si>
    <t xml:space="preserve">      资金成本</t>
    <phoneticPr fontId="102" type="noConversion"/>
  </si>
  <si>
    <t xml:space="preserve">      建安成本</t>
    <phoneticPr fontId="102" type="noConversion"/>
  </si>
  <si>
    <t>其中：土地成本</t>
    <phoneticPr fontId="102" type="noConversion"/>
  </si>
  <si>
    <t>总支出（万元）</t>
    <phoneticPr fontId="102" type="noConversion"/>
  </si>
  <si>
    <t>销售均价（元/㎡）</t>
  </si>
  <si>
    <t>包含车位（㎡）</t>
    <phoneticPr fontId="102" type="noConversion"/>
  </si>
  <si>
    <t>可售面积</t>
    <phoneticPr fontId="102" type="noConversion"/>
  </si>
  <si>
    <t>商铺</t>
    <phoneticPr fontId="102" type="noConversion"/>
  </si>
  <si>
    <t>高层</t>
    <phoneticPr fontId="102" type="noConversion"/>
  </si>
  <si>
    <t>合计</t>
    <phoneticPr fontId="102" type="noConversion"/>
  </si>
  <si>
    <t>项目</t>
    <phoneticPr fontId="102" type="noConversion"/>
  </si>
  <si>
    <t xml:space="preserve">     其他税金</t>
    <phoneticPr fontId="103" type="noConversion"/>
  </si>
  <si>
    <t xml:space="preserve">     所得税</t>
    <phoneticPr fontId="103" type="noConversion"/>
  </si>
  <si>
    <t xml:space="preserve">     土增税</t>
    <phoneticPr fontId="103" type="noConversion"/>
  </si>
  <si>
    <t>自持部分增值税</t>
    <phoneticPr fontId="102" type="noConversion"/>
  </si>
  <si>
    <t>其中：增值税</t>
    <phoneticPr fontId="103" type="noConversion"/>
  </si>
  <si>
    <t>税金</t>
    <phoneticPr fontId="103" type="noConversion"/>
  </si>
  <si>
    <t>/</t>
    <phoneticPr fontId="103" type="noConversion"/>
  </si>
  <si>
    <t>项目公司税负率</t>
    <phoneticPr fontId="103" type="noConversion"/>
  </si>
  <si>
    <t>项目净利润率</t>
    <phoneticPr fontId="103" type="noConversion"/>
  </si>
  <si>
    <t>项目净利润</t>
    <phoneticPr fontId="103" type="noConversion"/>
  </si>
  <si>
    <t>收入</t>
    <phoneticPr fontId="103" type="noConversion"/>
  </si>
  <si>
    <t>校验</t>
    <phoneticPr fontId="103" type="noConversion"/>
  </si>
  <si>
    <t>占收入比</t>
    <phoneticPr fontId="102" type="noConversion"/>
  </si>
  <si>
    <t>回迁商业</t>
    <phoneticPr fontId="102" type="noConversion"/>
  </si>
  <si>
    <t>商铺</t>
    <phoneticPr fontId="102" type="noConversion"/>
  </si>
  <si>
    <t>高层</t>
    <phoneticPr fontId="102" type="noConversion"/>
  </si>
  <si>
    <t>指标</t>
    <phoneticPr fontId="103" type="noConversion"/>
  </si>
  <si>
    <t>自有资金利息</t>
    <phoneticPr fontId="10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</si>
</sst>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1" formatCode="_ * #,##0_ ;_ * \-#,##0_ ;_ * &quot;-&quot;_ ;_ @_ "/>
    <numFmt numFmtId="43" formatCode="_ * #,##0.00_ ;_ * \-#,##0.00_ ;_ * &quot;-&quot;??_ ;_ @_ "/>
    <numFmt numFmtId="176" formatCode="#,##0_);\(#,##0\)"/>
    <numFmt numFmtId="177" formatCode="#,##0_);[Red]\(#,##0\)"/>
    <numFmt numFmtId="178" formatCode="#,##0.00_);\(#,##0.00\)"/>
    <numFmt numFmtId="179" formatCode="0.0%"/>
    <numFmt numFmtId="180" formatCode="General&quot;年&quot;"/>
    <numFmt numFmtId="181" formatCode="#&quot;年&quot;"/>
    <numFmt numFmtId="182" formatCode="_ * #,##0_ ;_ * \-#,##0_ ;_ * &quot;-&quot;??_ ;_ @_ "/>
    <numFmt numFmtId="183" formatCode="#&quot;季度&quot;"/>
    <numFmt numFmtId="184" formatCode="\¥#,##0.00;[Red]\¥\-#,##0.00"/>
    <numFmt numFmtId="185" formatCode="#,##0.0_ "/>
    <numFmt numFmtId="186" formatCode="_ * #,##0.00000000_ ;_ * \-#,##0.00000000_ ;_ * &quot;-&quot;??_ ;_ @_ "/>
    <numFmt numFmtId="187" formatCode="_ * #,##0.00_ ;_ * \-#,##0.00_ ;_ * &quot;-&quot;_ ;_ @_ "/>
    <numFmt numFmtId="188" formatCode="0.00_ "/>
    <numFmt numFmtId="189" formatCode="0.00_);[Red]\(0.00\)"/>
    <numFmt numFmtId="190" formatCode="#,##0_ "/>
    <numFmt numFmtId="191" formatCode="yyyy&quot;年&quot;m&quot;月&quot;d&quot;日&quot;;@"/>
    <numFmt numFmtId="192" formatCode="_ * #,##0.00000_ ;_ * \-#,##0.00000_ ;_ * &quot;-&quot;??_ ;_ @_ "/>
    <numFmt numFmtId="193" formatCode="_(* #,##0.00_);_(* \(#,##0.00\);_(* &quot;-&quot;??_);_(@_)"/>
    <numFmt numFmtId="194" formatCode="0.0"/>
    <numFmt numFmtId="195" formatCode="0.0000000000_ "/>
    <numFmt numFmtId="196" formatCode="[$-F800]dddd\,\ mmmm\ dd\,\ yyyy"/>
    <numFmt numFmtId="197" formatCode="#,##0_ ;[Red]\-#,##0\ "/>
    <numFmt numFmtId="198" formatCode="_ * #,##0.0_ ;_ * \-#,##0.0_ ;_ * &quot;-&quot;??_ ;_ @_ "/>
    <numFmt numFmtId="199" formatCode="0.0000000000%"/>
    <numFmt numFmtId="200" formatCode="#,##0.00_);[Red]\(#,##0.00\)"/>
    <numFmt numFmtId="201" formatCode="0.00_ ;[Red]\-0.00\ "/>
    <numFmt numFmtId="202" formatCode="#,##0.00_ "/>
    <numFmt numFmtId="203" formatCode="0_ "/>
  </numFmts>
  <fonts count="105">
    <font>
      <sz val="11"/>
      <color theme="1"/>
      <name val="宋体"/>
      <charset val="134"/>
      <scheme val="minor"/>
    </font>
    <font>
      <sz val="10"/>
      <color theme="1"/>
      <name val="Times New Roman"/>
      <family val="1"/>
    </font>
    <font>
      <b/>
      <sz val="16"/>
      <color theme="1"/>
      <name val="宋体"/>
      <family val="3"/>
      <charset val="134"/>
    </font>
    <font>
      <b/>
      <sz val="12"/>
      <color theme="1"/>
      <name val="宋体"/>
      <family val="3"/>
      <charset val="134"/>
    </font>
    <font>
      <b/>
      <sz val="10"/>
      <color theme="1"/>
      <name val="宋体"/>
      <family val="3"/>
      <charset val="134"/>
    </font>
    <font>
      <b/>
      <sz val="10.5"/>
      <color rgb="FF000000"/>
      <name val="宋体"/>
      <family val="3"/>
      <charset val="134"/>
    </font>
    <font>
      <b/>
      <sz val="11"/>
      <color theme="1"/>
      <name val="宋体"/>
      <family val="3"/>
      <charset val="134"/>
      <scheme val="minor"/>
    </font>
    <font>
      <b/>
      <sz val="10.5"/>
      <color rgb="FFFF0000"/>
      <name val="宋体"/>
      <family val="3"/>
      <charset val="134"/>
    </font>
    <font>
      <b/>
      <sz val="11"/>
      <name val="宋体"/>
      <family val="3"/>
      <charset val="134"/>
      <scheme val="minor"/>
    </font>
    <font>
      <sz val="10.5"/>
      <color rgb="FF000000"/>
      <name val="宋体"/>
      <family val="3"/>
      <charset val="134"/>
    </font>
    <font>
      <sz val="9"/>
      <color theme="1"/>
      <name val="宋体"/>
      <family val="3"/>
      <charset val="134"/>
      <scheme val="minor"/>
    </font>
    <font>
      <sz val="10.5"/>
      <name val="宋体"/>
      <family val="3"/>
      <charset val="134"/>
    </font>
    <font>
      <b/>
      <sz val="11"/>
      <color rgb="FFFF0000"/>
      <name val="宋体"/>
      <family val="3"/>
      <charset val="134"/>
      <scheme val="minor"/>
    </font>
    <font>
      <sz val="10"/>
      <color theme="1"/>
      <name val="宋体"/>
      <family val="3"/>
      <charset val="134"/>
    </font>
    <font>
      <b/>
      <sz val="14"/>
      <color theme="1"/>
      <name val="宋体"/>
      <family val="3"/>
      <charset val="134"/>
    </font>
    <font>
      <sz val="10"/>
      <name val="Times New Roman"/>
      <family val="1"/>
    </font>
    <font>
      <u/>
      <sz val="10"/>
      <color theme="10"/>
      <name val="宋体"/>
      <family val="3"/>
      <charset val="134"/>
      <scheme val="minor"/>
    </font>
    <font>
      <b/>
      <sz val="10"/>
      <color rgb="FFFF0000"/>
      <name val="宋体"/>
      <family val="3"/>
      <charset val="134"/>
    </font>
    <font>
      <i/>
      <sz val="9"/>
      <color theme="1"/>
      <name val="宋体"/>
      <family val="3"/>
      <charset val="134"/>
    </font>
    <font>
      <i/>
      <sz val="9"/>
      <color theme="1"/>
      <name val="Times New Roman"/>
      <family val="1"/>
    </font>
    <font>
      <b/>
      <i/>
      <sz val="9"/>
      <color theme="1"/>
      <name val="宋体"/>
      <family val="3"/>
      <charset val="134"/>
    </font>
    <font>
      <sz val="10"/>
      <name val="宋体"/>
      <family val="3"/>
      <charset val="134"/>
    </font>
    <font>
      <sz val="10"/>
      <color theme="0"/>
      <name val="Times New Roman"/>
      <family val="1"/>
    </font>
    <font>
      <b/>
      <sz val="10"/>
      <name val="宋体"/>
      <family val="3"/>
      <charset val="134"/>
    </font>
    <font>
      <sz val="9"/>
      <color theme="1"/>
      <name val="宋体"/>
      <family val="3"/>
      <charset val="134"/>
    </font>
    <font>
      <sz val="9"/>
      <color theme="1"/>
      <name val="Times New Roman"/>
      <family val="1"/>
    </font>
    <font>
      <b/>
      <sz val="10"/>
      <color theme="1"/>
      <name val="Times New Roman"/>
      <family val="1"/>
    </font>
    <font>
      <sz val="10"/>
      <color theme="1"/>
      <name val="宋体"/>
      <family val="3"/>
      <charset val="134"/>
      <scheme val="minor"/>
    </font>
    <font>
      <b/>
      <i/>
      <sz val="18"/>
      <name val="Times New Roman"/>
      <family val="1"/>
    </font>
    <font>
      <b/>
      <sz val="10"/>
      <color theme="1"/>
      <name val="宋体"/>
      <family val="3"/>
      <charset val="134"/>
      <scheme val="minor"/>
    </font>
    <font>
      <b/>
      <i/>
      <sz val="18"/>
      <color theme="1"/>
      <name val="宋体"/>
      <family val="3"/>
      <charset val="134"/>
    </font>
    <font>
      <sz val="10"/>
      <color rgb="FFFF0000"/>
      <name val="宋体"/>
      <family val="3"/>
      <charset val="134"/>
    </font>
    <font>
      <sz val="10"/>
      <color theme="0"/>
      <name val="宋体"/>
      <family val="3"/>
      <charset val="134"/>
      <scheme val="minor"/>
    </font>
    <font>
      <u/>
      <sz val="11"/>
      <color theme="10"/>
      <name val="宋体"/>
      <family val="3"/>
      <charset val="134"/>
      <scheme val="minor"/>
    </font>
    <font>
      <b/>
      <sz val="18"/>
      <color theme="1"/>
      <name val="Times New Roman"/>
      <family val="1"/>
    </font>
    <font>
      <sz val="11"/>
      <color rgb="FFFF0000"/>
      <name val="宋体"/>
      <family val="3"/>
      <charset val="134"/>
      <scheme val="minor"/>
    </font>
    <font>
      <b/>
      <sz val="12"/>
      <color theme="1"/>
      <name val="华文楷体"/>
      <family val="3"/>
      <charset val="134"/>
    </font>
    <font>
      <b/>
      <sz val="12"/>
      <color rgb="FFFF0000"/>
      <name val="华文楷体"/>
      <family val="3"/>
      <charset val="134"/>
    </font>
    <font>
      <sz val="10"/>
      <color theme="2"/>
      <name val="宋体"/>
      <family val="3"/>
      <charset val="134"/>
      <scheme val="minor"/>
    </font>
    <font>
      <b/>
      <sz val="10"/>
      <name val="Times New Roman"/>
      <family val="1"/>
    </font>
    <font>
      <b/>
      <sz val="11"/>
      <color theme="1"/>
      <name val="Times New Roman"/>
      <family val="1"/>
    </font>
    <font>
      <sz val="11"/>
      <color theme="1"/>
      <name val="Times New Roman"/>
      <family val="1"/>
    </font>
    <font>
      <sz val="10"/>
      <color rgb="FFFF0000"/>
      <name val="Times New Roman"/>
      <family val="1"/>
    </font>
    <font>
      <b/>
      <sz val="16"/>
      <name val="Times New Roman"/>
      <family val="1"/>
    </font>
    <font>
      <b/>
      <sz val="10"/>
      <color rgb="FFFF0000"/>
      <name val="Times New Roman"/>
      <family val="1"/>
    </font>
    <font>
      <b/>
      <sz val="8"/>
      <name val="Times New Roman"/>
      <family val="1"/>
    </font>
    <font>
      <b/>
      <sz val="10"/>
      <color rgb="FF0000CC"/>
      <name val="Times New Roman"/>
      <family val="1"/>
    </font>
    <font>
      <sz val="8"/>
      <color theme="1"/>
      <name val="Times New Roman"/>
      <family val="1"/>
    </font>
    <font>
      <i/>
      <sz val="10"/>
      <color theme="1"/>
      <name val="Times New Roman"/>
      <family val="1"/>
    </font>
    <font>
      <b/>
      <sz val="9"/>
      <color theme="1"/>
      <name val="宋体"/>
      <family val="3"/>
      <charset val="134"/>
      <scheme val="minor"/>
    </font>
    <font>
      <sz val="12"/>
      <color theme="1"/>
      <name val="宋体"/>
      <family val="3"/>
      <charset val="134"/>
      <scheme val="minor"/>
    </font>
    <font>
      <sz val="10"/>
      <name val="宋体"/>
      <family val="3"/>
      <charset val="134"/>
      <scheme val="minor"/>
    </font>
    <font>
      <b/>
      <sz val="12"/>
      <color theme="1"/>
      <name val="宋体"/>
      <family val="3"/>
      <charset val="134"/>
      <scheme val="minor"/>
    </font>
    <font>
      <b/>
      <i/>
      <sz val="16"/>
      <color theme="1"/>
      <name val="宋体"/>
      <family val="3"/>
      <charset val="134"/>
      <scheme val="minor"/>
    </font>
    <font>
      <b/>
      <sz val="14"/>
      <color indexed="8"/>
      <name val="宋体"/>
      <family val="3"/>
      <charset val="134"/>
      <scheme val="minor"/>
    </font>
    <font>
      <sz val="10"/>
      <color indexed="8"/>
      <name val="宋体"/>
      <family val="3"/>
      <charset val="134"/>
    </font>
    <font>
      <sz val="10"/>
      <color indexed="8"/>
      <name val="Times New Roman"/>
      <family val="1"/>
    </font>
    <font>
      <sz val="12"/>
      <color indexed="8"/>
      <name val="Times New Roman"/>
      <family val="1"/>
    </font>
    <font>
      <b/>
      <sz val="10"/>
      <color indexed="8"/>
      <name val="宋体"/>
      <family val="3"/>
      <charset val="134"/>
    </font>
    <font>
      <sz val="12"/>
      <name val="Times New Roman"/>
      <family val="1"/>
    </font>
    <font>
      <sz val="11"/>
      <name val="Times New Roman"/>
      <family val="1"/>
    </font>
    <font>
      <sz val="11"/>
      <color rgb="FFFF0000"/>
      <name val="Times New Roman"/>
      <family val="1"/>
    </font>
    <font>
      <sz val="10"/>
      <color indexed="14"/>
      <name val="宋体"/>
      <family val="3"/>
      <charset val="134"/>
    </font>
    <font>
      <sz val="11"/>
      <color indexed="14"/>
      <name val="Times New Roman"/>
      <family val="1"/>
    </font>
    <font>
      <sz val="10"/>
      <color indexed="14"/>
      <name val="Times New Roman"/>
      <family val="1"/>
    </font>
    <font>
      <b/>
      <sz val="11"/>
      <color theme="0"/>
      <name val="宋体"/>
      <family val="3"/>
      <charset val="134"/>
      <scheme val="minor"/>
    </font>
    <font>
      <b/>
      <sz val="10"/>
      <name val="宋体"/>
      <family val="3"/>
      <charset val="134"/>
      <scheme val="minor"/>
    </font>
    <font>
      <b/>
      <sz val="14"/>
      <color theme="1"/>
      <name val="宋体"/>
      <family val="3"/>
      <charset val="134"/>
      <scheme val="minor"/>
    </font>
    <font>
      <sz val="14"/>
      <color theme="1"/>
      <name val="宋体"/>
      <family val="3"/>
      <charset val="134"/>
      <scheme val="minor"/>
    </font>
    <font>
      <sz val="10"/>
      <color rgb="FFFF0000"/>
      <name val="宋体"/>
      <family val="3"/>
      <charset val="134"/>
      <scheme val="minor"/>
    </font>
    <font>
      <b/>
      <sz val="10"/>
      <color rgb="FFFF0000"/>
      <name val="宋体"/>
      <family val="3"/>
      <charset val="134"/>
      <scheme val="minor"/>
    </font>
    <font>
      <sz val="10"/>
      <color theme="1"/>
      <name val="宋体"/>
      <family val="3"/>
      <charset val="134"/>
      <scheme val="major"/>
    </font>
    <font>
      <sz val="10"/>
      <color rgb="FFFF0000"/>
      <name val="宋体"/>
      <family val="3"/>
      <charset val="134"/>
      <scheme val="major"/>
    </font>
    <font>
      <sz val="10"/>
      <name val="宋体"/>
      <family val="3"/>
      <charset val="134"/>
      <scheme val="major"/>
    </font>
    <font>
      <sz val="10.5"/>
      <color rgb="FF1F497D"/>
      <name val="Calibri"/>
      <family val="2"/>
    </font>
    <font>
      <sz val="10"/>
      <color theme="1"/>
      <name val="微软雅黑"/>
      <family val="2"/>
      <charset val="134"/>
    </font>
    <font>
      <sz val="10"/>
      <color rgb="FF000000"/>
      <name val="宋体"/>
      <family val="3"/>
      <charset val="134"/>
      <scheme val="minor"/>
    </font>
    <font>
      <sz val="10"/>
      <color rgb="FF000000"/>
      <name val="Tahoma"/>
      <family val="2"/>
    </font>
    <font>
      <b/>
      <sz val="18"/>
      <color rgb="FFFF0000"/>
      <name val="微软雅黑"/>
      <family val="2"/>
      <charset val="134"/>
    </font>
    <font>
      <sz val="14"/>
      <color rgb="FF000000"/>
      <name val="微软雅黑"/>
      <family val="2"/>
      <charset val="134"/>
    </font>
    <font>
      <sz val="16"/>
      <color rgb="FF000000"/>
      <name val="Times New Roman"/>
      <family val="1"/>
    </font>
    <font>
      <sz val="10"/>
      <color rgb="FFFF0000"/>
      <name val="微软雅黑"/>
      <family val="2"/>
      <charset val="134"/>
    </font>
    <font>
      <b/>
      <sz val="9"/>
      <color theme="1"/>
      <name val="Times New Roman"/>
      <family val="1"/>
    </font>
    <font>
      <b/>
      <sz val="9"/>
      <color theme="1"/>
      <name val="宋体"/>
      <family val="3"/>
      <charset val="134"/>
    </font>
    <font>
      <b/>
      <sz val="14"/>
      <color theme="1"/>
      <name val="微软雅黑"/>
      <family val="2"/>
      <charset val="134"/>
    </font>
    <font>
      <b/>
      <sz val="10"/>
      <color theme="1"/>
      <name val="微软雅黑"/>
      <family val="2"/>
      <charset val="134"/>
    </font>
    <font>
      <b/>
      <sz val="18"/>
      <color theme="1"/>
      <name val="宋体"/>
      <family val="3"/>
      <charset val="134"/>
      <scheme val="minor"/>
    </font>
    <font>
      <b/>
      <sz val="11"/>
      <color theme="1"/>
      <name val="宋体"/>
      <family val="3"/>
      <charset val="134"/>
    </font>
    <font>
      <b/>
      <sz val="11"/>
      <color rgb="FFFF0000"/>
      <name val="宋体"/>
      <family val="3"/>
      <charset val="134"/>
    </font>
    <font>
      <sz val="11"/>
      <name val="宋体"/>
      <family val="3"/>
      <charset val="134"/>
    </font>
    <font>
      <sz val="10.5"/>
      <name val="Times New Roman"/>
      <family val="1"/>
    </font>
    <font>
      <sz val="10"/>
      <name val="仿宋_GB2312"/>
      <family val="3"/>
      <charset val="134"/>
    </font>
    <font>
      <b/>
      <sz val="11"/>
      <color theme="0"/>
      <name val="宋体"/>
      <family val="3"/>
      <charset val="134"/>
    </font>
    <font>
      <sz val="11"/>
      <color theme="1"/>
      <name val="宋体"/>
      <family val="3"/>
      <charset val="134"/>
      <scheme val="minor"/>
    </font>
    <font>
      <sz val="12"/>
      <name val="宋体"/>
      <family val="3"/>
      <charset val="134"/>
    </font>
    <font>
      <sz val="10"/>
      <name val="Arial"/>
      <family val="2"/>
    </font>
    <font>
      <b/>
      <vertAlign val="superscript"/>
      <sz val="10"/>
      <color theme="1"/>
      <name val="宋体"/>
      <family val="3"/>
      <charset val="134"/>
    </font>
    <font>
      <sz val="10"/>
      <name val="华文新魏"/>
      <family val="3"/>
      <charset val="134"/>
    </font>
    <font>
      <b/>
      <sz val="10"/>
      <color indexed="8"/>
      <name val="Times New Roman"/>
      <family val="1"/>
    </font>
    <font>
      <sz val="9"/>
      <color indexed="8"/>
      <name val="宋体"/>
      <family val="3"/>
      <charset val="134"/>
    </font>
    <font>
      <sz val="9"/>
      <color indexed="8"/>
      <name val="Times New Roman"/>
      <family val="1"/>
    </font>
    <font>
      <sz val="11"/>
      <color theme="1"/>
      <name val="宋体"/>
      <family val="3"/>
      <charset val="134"/>
      <scheme val="minor"/>
    </font>
    <font>
      <sz val="9"/>
      <name val="宋体"/>
      <family val="3"/>
      <charset val="134"/>
      <scheme val="minor"/>
    </font>
    <font>
      <sz val="9"/>
      <name val="宋体"/>
      <family val="3"/>
      <charset val="134"/>
    </font>
    <font>
      <b/>
      <sz val="9"/>
      <color indexed="81"/>
      <name val="宋体"/>
      <family val="3"/>
      <charset val="134"/>
    </font>
  </fonts>
  <fills count="32">
    <fill>
      <patternFill patternType="none"/>
    </fill>
    <fill>
      <patternFill patternType="gray125"/>
    </fill>
    <fill>
      <patternFill patternType="solid">
        <fgColor rgb="FFFFCC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9"/>
        <bgColor indexed="64"/>
      </patternFill>
    </fill>
    <fill>
      <patternFill patternType="solid">
        <fgColor theme="0" tint="-0.14993743705557422"/>
        <bgColor indexed="64"/>
      </patternFill>
    </fill>
    <fill>
      <patternFill patternType="lightGray"/>
    </fill>
    <fill>
      <patternFill patternType="solid">
        <fgColor theme="0" tint="-0.1498764000366222"/>
        <bgColor indexed="64"/>
      </patternFill>
    </fill>
    <fill>
      <patternFill patternType="solid">
        <fgColor rgb="FFFF0000"/>
        <bgColor indexed="64"/>
      </patternFill>
    </fill>
    <fill>
      <patternFill patternType="solid">
        <fgColor rgb="FFFFFF66"/>
        <bgColor indexed="64"/>
      </patternFill>
    </fill>
    <fill>
      <patternFill patternType="solid">
        <fgColor theme="0" tint="-0.249977111117893"/>
        <bgColor indexed="64"/>
      </patternFill>
    </fill>
    <fill>
      <patternFill patternType="solid">
        <fgColor rgb="FF00CCFF"/>
        <bgColor indexed="64"/>
      </patternFill>
    </fill>
    <fill>
      <patternFill patternType="solid">
        <fgColor rgb="FFFFFF99"/>
        <bgColor indexed="64"/>
      </patternFill>
    </fill>
    <fill>
      <patternFill patternType="solid">
        <fgColor rgb="FFFFC000"/>
        <bgColor indexed="64"/>
      </patternFill>
    </fill>
    <fill>
      <patternFill patternType="solid">
        <fgColor rgb="FFFFFFCC"/>
        <bgColor indexed="64"/>
      </patternFill>
    </fill>
    <fill>
      <patternFill patternType="solid">
        <fgColor rgb="FF33CCFF"/>
        <bgColor indexed="64"/>
      </patternFill>
    </fill>
    <fill>
      <patternFill patternType="solid">
        <fgColor indexed="9"/>
        <bgColor indexed="64"/>
      </patternFill>
    </fill>
    <fill>
      <patternFill patternType="solid">
        <fgColor indexed="47"/>
        <bgColor indexed="64"/>
      </patternFill>
    </fill>
    <fill>
      <patternFill patternType="solid">
        <fgColor indexed="22"/>
        <bgColor indexed="64"/>
      </patternFill>
    </fill>
    <fill>
      <patternFill patternType="solid">
        <fgColor theme="5" tint="0.79995117038483843"/>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FFFFFF"/>
        <bgColor indexed="64"/>
      </patternFill>
    </fill>
    <fill>
      <patternFill patternType="gray0625">
        <fgColor theme="3" tint="0.39988402966399123"/>
        <bgColor theme="3" tint="0.59999389629810485"/>
      </patternFill>
    </fill>
    <fill>
      <patternFill patternType="solid">
        <fgColor theme="9" tint="0.59999389629810485"/>
        <bgColor indexed="64"/>
      </patternFill>
    </fill>
    <fill>
      <patternFill patternType="solid">
        <fgColor theme="9" tint="0.39991454817346722"/>
        <bgColor indexed="64"/>
      </patternFill>
    </fill>
    <fill>
      <patternFill patternType="solid">
        <fgColor rgb="FF00B050"/>
        <bgColor indexed="64"/>
      </patternFill>
    </fill>
    <fill>
      <patternFill patternType="solid">
        <fgColor theme="9" tint="-0.249977111117893"/>
        <bgColor indexed="64"/>
      </patternFill>
    </fill>
    <fill>
      <patternFill patternType="solid">
        <fgColor theme="9" tint="0.39997558519241921"/>
        <bgColor indexed="64"/>
      </patternFill>
    </fill>
  </fills>
  <borders count="24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style="medium">
        <color auto="1"/>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hair">
        <color auto="1"/>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bottom style="thin">
        <color auto="1"/>
      </bottom>
      <diagonal/>
    </border>
    <border>
      <left style="thin">
        <color auto="1"/>
      </left>
      <right style="hair">
        <color auto="1"/>
      </right>
      <top/>
      <bottom style="thin">
        <color auto="1"/>
      </bottom>
      <diagonal/>
    </border>
    <border>
      <left style="hair">
        <color auto="1"/>
      </left>
      <right style="hair">
        <color auto="1"/>
      </right>
      <top/>
      <bottom style="thin">
        <color auto="1"/>
      </bottom>
      <diagonal/>
    </border>
    <border>
      <left style="hair">
        <color auto="1"/>
      </left>
      <right style="thin">
        <color auto="1"/>
      </right>
      <top/>
      <bottom style="thin">
        <color auto="1"/>
      </bottom>
      <diagonal/>
    </border>
    <border>
      <left style="hair">
        <color auto="1"/>
      </left>
      <right/>
      <top/>
      <bottom style="thin">
        <color auto="1"/>
      </bottom>
      <diagonal/>
    </border>
    <border>
      <left style="double">
        <color auto="1"/>
      </left>
      <right style="hair">
        <color auto="1"/>
      </right>
      <top style="thin">
        <color auto="1"/>
      </top>
      <bottom style="thin">
        <color auto="1"/>
      </bottom>
      <diagonal/>
    </border>
    <border>
      <left style="hair">
        <color auto="1"/>
      </left>
      <right style="double">
        <color auto="1"/>
      </right>
      <top style="thin">
        <color auto="1"/>
      </top>
      <bottom style="thin">
        <color auto="1"/>
      </bottom>
      <diagonal/>
    </border>
    <border>
      <left style="double">
        <color auto="1"/>
      </left>
      <right/>
      <top/>
      <bottom style="thin">
        <color auto="1"/>
      </bottom>
      <diagonal/>
    </border>
    <border>
      <left style="double">
        <color auto="1"/>
      </left>
      <right style="thin">
        <color auto="1"/>
      </right>
      <top style="thin">
        <color auto="1"/>
      </top>
      <bottom style="thin">
        <color auto="1"/>
      </bottom>
      <diagonal/>
    </border>
    <border>
      <left style="double">
        <color auto="1"/>
      </left>
      <right/>
      <top style="thin">
        <color auto="1"/>
      </top>
      <bottom style="thin">
        <color auto="1"/>
      </bottom>
      <diagonal/>
    </border>
    <border>
      <left/>
      <right style="thin">
        <color auto="1"/>
      </right>
      <top/>
      <bottom style="thin">
        <color auto="1"/>
      </bottom>
      <diagonal/>
    </border>
    <border>
      <left/>
      <right style="hair">
        <color auto="1"/>
      </right>
      <top style="thin">
        <color auto="1"/>
      </top>
      <bottom style="thin">
        <color auto="1"/>
      </bottom>
      <diagonal/>
    </border>
    <border>
      <left style="hair">
        <color auto="1"/>
      </left>
      <right/>
      <top style="thin">
        <color auto="1"/>
      </top>
      <bottom style="thin">
        <color auto="1"/>
      </bottom>
      <diagonal/>
    </border>
    <border>
      <left style="thin">
        <color auto="1"/>
      </left>
      <right/>
      <top style="thin">
        <color auto="1"/>
      </top>
      <bottom/>
      <diagonal/>
    </border>
    <border>
      <left style="thin">
        <color auto="1"/>
      </left>
      <right/>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style="hair">
        <color auto="1"/>
      </left>
      <right style="hair">
        <color auto="1"/>
      </right>
      <top/>
      <bottom style="hair">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hair">
        <color auto="1"/>
      </left>
      <right style="hair">
        <color auto="1"/>
      </right>
      <top style="hair">
        <color auto="1"/>
      </top>
      <bottom/>
      <diagonal/>
    </border>
    <border>
      <left style="thin">
        <color auto="1"/>
      </left>
      <right style="hair">
        <color auto="1"/>
      </right>
      <top style="hair">
        <color auto="1"/>
      </top>
      <bottom/>
      <diagonal/>
    </border>
    <border>
      <left style="hair">
        <color auto="1"/>
      </left>
      <right style="thin">
        <color auto="1"/>
      </right>
      <top style="hair">
        <color auto="1"/>
      </top>
      <bottom/>
      <diagonal/>
    </border>
    <border>
      <left/>
      <right/>
      <top style="thin">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right/>
      <top style="hair">
        <color auto="1"/>
      </top>
      <bottom/>
      <diagonal/>
    </border>
    <border>
      <left style="thin">
        <color auto="1"/>
      </left>
      <right/>
      <top style="hair">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style="hair">
        <color auto="1"/>
      </left>
      <right/>
      <top style="hair">
        <color auto="1"/>
      </top>
      <bottom style="thin">
        <color auto="1"/>
      </bottom>
      <diagonal/>
    </border>
    <border>
      <left/>
      <right style="hair">
        <color auto="1"/>
      </right>
      <top style="thin">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thin">
        <color auto="1"/>
      </bottom>
      <diagonal/>
    </border>
    <border>
      <left/>
      <right/>
      <top/>
      <bottom style="thin">
        <color theme="9" tint="-0.24994659260841701"/>
      </bottom>
      <diagonal/>
    </border>
    <border>
      <left style="thin">
        <color auto="1"/>
      </left>
      <right/>
      <top style="hair">
        <color auto="1"/>
      </top>
      <bottom style="thin">
        <color theme="9" tint="-0.24994659260841701"/>
      </bottom>
      <diagonal/>
    </border>
    <border>
      <left/>
      <right style="hair">
        <color auto="1"/>
      </right>
      <top style="hair">
        <color auto="1"/>
      </top>
      <bottom style="thin">
        <color theme="9" tint="-0.24994659260841701"/>
      </bottom>
      <diagonal/>
    </border>
    <border>
      <left style="thin">
        <color theme="9" tint="-0.24994659260841701"/>
      </left>
      <right style="thin">
        <color theme="9" tint="-0.24994659260841701"/>
      </right>
      <top style="thin">
        <color theme="9" tint="-0.24994659260841701"/>
      </top>
      <bottom/>
      <diagonal/>
    </border>
    <border>
      <left style="thin">
        <color theme="9" tint="-0.24994659260841701"/>
      </left>
      <right/>
      <top style="thin">
        <color theme="9" tint="-0.24994659260841701"/>
      </top>
      <bottom/>
      <diagonal/>
    </border>
    <border>
      <left/>
      <right/>
      <top style="thin">
        <color theme="9" tint="-0.24994659260841701"/>
      </top>
      <bottom/>
      <diagonal/>
    </border>
    <border>
      <left/>
      <right style="thin">
        <color auto="1"/>
      </right>
      <top style="thin">
        <color theme="9" tint="-0.24994659260841701"/>
      </top>
      <bottom/>
      <diagonal/>
    </border>
    <border>
      <left style="thin">
        <color auto="1"/>
      </left>
      <right style="hair">
        <color auto="1"/>
      </right>
      <top style="thin">
        <color theme="9" tint="-0.24994659260841701"/>
      </top>
      <bottom/>
      <diagonal/>
    </border>
    <border>
      <left style="hair">
        <color auto="1"/>
      </left>
      <right style="hair">
        <color auto="1"/>
      </right>
      <top style="thin">
        <color theme="9" tint="-0.24994659260841701"/>
      </top>
      <bottom/>
      <diagonal/>
    </border>
    <border>
      <left style="hair">
        <color auto="1"/>
      </left>
      <right style="thin">
        <color auto="1"/>
      </right>
      <top style="thin">
        <color theme="9" tint="-0.24994659260841701"/>
      </top>
      <bottom/>
      <diagonal/>
    </border>
    <border>
      <left style="thin">
        <color theme="9" tint="-0.24994659260841701"/>
      </left>
      <right style="thin">
        <color theme="9" tint="-0.24994659260841701"/>
      </right>
      <top/>
      <bottom style="thin">
        <color theme="9" tint="-0.24994659260841701"/>
      </bottom>
      <diagonal/>
    </border>
    <border>
      <left style="thin">
        <color theme="9" tint="-0.24994659260841701"/>
      </left>
      <right/>
      <top/>
      <bottom style="thin">
        <color auto="1"/>
      </bottom>
      <diagonal/>
    </border>
    <border>
      <left style="thin">
        <color theme="9" tint="-0.24994659260841701"/>
      </left>
      <right style="thin">
        <color auto="1"/>
      </right>
      <top style="thin">
        <color theme="9" tint="-0.24994659260841701"/>
      </top>
      <bottom/>
      <diagonal/>
    </border>
    <border>
      <left style="thin">
        <color theme="9" tint="-0.24994659260841701"/>
      </left>
      <right style="thin">
        <color auto="1"/>
      </right>
      <top/>
      <bottom/>
      <diagonal/>
    </border>
    <border>
      <left style="hair">
        <color auto="1"/>
      </left>
      <right style="hair">
        <color auto="1"/>
      </right>
      <top style="hair">
        <color auto="1"/>
      </top>
      <bottom style="thin">
        <color theme="9" tint="-0.24994659260841701"/>
      </bottom>
      <diagonal/>
    </border>
    <border>
      <left style="hair">
        <color auto="1"/>
      </left>
      <right style="thin">
        <color auto="1"/>
      </right>
      <top style="hair">
        <color auto="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thin">
        <color auto="1"/>
      </right>
      <top/>
      <bottom style="double">
        <color auto="1"/>
      </bottom>
      <diagonal/>
    </border>
    <border>
      <left style="thin">
        <color auto="1"/>
      </left>
      <right style="thin">
        <color auto="1"/>
      </right>
      <top style="thin">
        <color auto="1"/>
      </top>
      <bottom style="double">
        <color auto="1"/>
      </bottom>
      <diagonal/>
    </border>
    <border>
      <left style="thin">
        <color auto="1"/>
      </left>
      <right style="thin">
        <color auto="1"/>
      </right>
      <top style="hair">
        <color auto="1"/>
      </top>
      <bottom style="double">
        <color auto="1"/>
      </bottom>
      <diagonal/>
    </border>
    <border>
      <left style="thin">
        <color auto="1"/>
      </left>
      <right style="thin">
        <color auto="1"/>
      </right>
      <top style="double">
        <color auto="1"/>
      </top>
      <bottom/>
      <diagonal/>
    </border>
    <border>
      <left style="thin">
        <color auto="1"/>
      </left>
      <right style="thin">
        <color auto="1"/>
      </right>
      <top style="double">
        <color auto="1"/>
      </top>
      <bottom style="hair">
        <color auto="1"/>
      </bottom>
      <diagonal/>
    </border>
    <border>
      <left style="thin">
        <color auto="1"/>
      </left>
      <right style="hair">
        <color auto="1"/>
      </right>
      <top style="double">
        <color auto="1"/>
      </top>
      <bottom style="hair">
        <color auto="1"/>
      </bottom>
      <diagonal/>
    </border>
    <border>
      <left style="hair">
        <color auto="1"/>
      </left>
      <right style="hair">
        <color auto="1"/>
      </right>
      <top style="double">
        <color auto="1"/>
      </top>
      <bottom style="hair">
        <color auto="1"/>
      </bottom>
      <diagonal/>
    </border>
    <border>
      <left style="hair">
        <color auto="1"/>
      </left>
      <right style="thin">
        <color auto="1"/>
      </right>
      <top style="double">
        <color auto="1"/>
      </top>
      <bottom style="hair">
        <color auto="1"/>
      </bottom>
      <diagonal/>
    </border>
    <border>
      <left style="thin">
        <color auto="1"/>
      </left>
      <right style="thin">
        <color auto="1"/>
      </right>
      <top/>
      <bottom style="double">
        <color auto="1"/>
      </bottom>
      <diagonal/>
    </border>
    <border>
      <left style="medium">
        <color auto="1"/>
      </left>
      <right/>
      <top style="medium">
        <color auto="1"/>
      </top>
      <bottom/>
      <diagonal/>
    </border>
    <border>
      <left/>
      <right/>
      <top style="medium">
        <color auto="1"/>
      </top>
      <bottom/>
      <diagonal/>
    </border>
    <border>
      <left style="medium">
        <color auto="1"/>
      </left>
      <right style="thin">
        <color auto="1"/>
      </right>
      <top style="thin">
        <color auto="1"/>
      </top>
      <bottom/>
      <diagonal/>
    </border>
    <border>
      <left style="medium">
        <color auto="1"/>
      </left>
      <right style="thin">
        <color auto="1"/>
      </right>
      <top/>
      <bottom style="hair">
        <color auto="1"/>
      </bottom>
      <diagonal/>
    </border>
    <border>
      <left style="medium">
        <color auto="1"/>
      </left>
      <right/>
      <top style="hair">
        <color auto="1"/>
      </top>
      <bottom style="hair">
        <color auto="1"/>
      </bottom>
      <diagonal/>
    </border>
    <border>
      <left style="medium">
        <color auto="1"/>
      </left>
      <right/>
      <top style="hair">
        <color auto="1"/>
      </top>
      <bottom style="thin">
        <color auto="1"/>
      </bottom>
      <diagonal/>
    </border>
    <border>
      <left style="medium">
        <color auto="1"/>
      </left>
      <right/>
      <top/>
      <bottom/>
      <diagonal/>
    </border>
    <border>
      <left/>
      <right style="medium">
        <color auto="1"/>
      </right>
      <top style="medium">
        <color auto="1"/>
      </top>
      <bottom/>
      <diagonal/>
    </border>
    <border>
      <left style="hair">
        <color auto="1"/>
      </left>
      <right style="medium">
        <color auto="1"/>
      </right>
      <top style="thin">
        <color auto="1"/>
      </top>
      <bottom style="hair">
        <color auto="1"/>
      </bottom>
      <diagonal/>
    </border>
    <border>
      <left style="hair">
        <color auto="1"/>
      </left>
      <right style="medium">
        <color auto="1"/>
      </right>
      <top style="hair">
        <color auto="1"/>
      </top>
      <bottom style="hair">
        <color auto="1"/>
      </bottom>
      <diagonal/>
    </border>
    <border>
      <left style="hair">
        <color auto="1"/>
      </left>
      <right style="medium">
        <color auto="1"/>
      </right>
      <top style="hair">
        <color auto="1"/>
      </top>
      <bottom style="thin">
        <color auto="1"/>
      </bottom>
      <diagonal/>
    </border>
    <border>
      <left/>
      <right style="medium">
        <color auto="1"/>
      </right>
      <top/>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theme="9" tint="-0.24994659260841701"/>
      </left>
      <right/>
      <top/>
      <bottom/>
      <diagonal/>
    </border>
    <border>
      <left/>
      <right/>
      <top/>
      <bottom style="thin">
        <color theme="9" tint="-0.249977111117893"/>
      </bottom>
      <diagonal/>
    </border>
    <border>
      <left/>
      <right/>
      <top style="thin">
        <color theme="9" tint="-0.249977111117893"/>
      </top>
      <bottom style="thin">
        <color theme="9" tint="-0.249977111117893"/>
      </bottom>
      <diagonal/>
    </border>
    <border>
      <left/>
      <right/>
      <top style="thin">
        <color theme="9" tint="-0.249977111117893"/>
      </top>
      <bottom/>
      <diagonal/>
    </border>
    <border>
      <left style="thin">
        <color theme="9" tint="-0.249977111117893"/>
      </left>
      <right/>
      <top/>
      <bottom/>
      <diagonal/>
    </border>
    <border>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style="medium">
        <color auto="1"/>
      </left>
      <right/>
      <top/>
      <bottom style="thin">
        <color auto="1"/>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medium">
        <color auto="1"/>
      </right>
      <top style="medium">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style="thin">
        <color auto="1"/>
      </left>
      <right/>
      <top/>
      <bottom/>
      <diagonal/>
    </border>
    <border>
      <left/>
      <right style="thin">
        <color auto="1"/>
      </right>
      <top/>
      <bottom/>
      <diagonal/>
    </border>
    <border>
      <left style="hair">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ck">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hair">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thick">
        <color auto="1"/>
      </left>
      <right/>
      <top/>
      <bottom style="thin">
        <color theme="0" tint="-0.24994659260841701"/>
      </bottom>
      <diagonal/>
    </border>
    <border>
      <left style="thin">
        <color auto="1"/>
      </left>
      <right style="thin">
        <color auto="1"/>
      </right>
      <top/>
      <bottom style="thin">
        <color theme="0" tint="-0.24994659260841701"/>
      </bottom>
      <diagonal/>
    </border>
    <border>
      <left style="hair">
        <color auto="1"/>
      </left>
      <right style="hair">
        <color auto="1"/>
      </right>
      <top/>
      <bottom style="thin">
        <color theme="0" tint="-0.24994659260841701"/>
      </bottom>
      <diagonal/>
    </border>
    <border>
      <left style="hair">
        <color auto="1"/>
      </left>
      <right style="thin">
        <color auto="1"/>
      </right>
      <top/>
      <bottom style="thin">
        <color theme="0" tint="-0.24994659260841701"/>
      </bottom>
      <diagonal/>
    </border>
    <border>
      <left style="thick">
        <color auto="1"/>
      </left>
      <right/>
      <top style="thin">
        <color theme="0" tint="-0.24994659260841701"/>
      </top>
      <bottom style="thin">
        <color theme="0" tint="-0.24994659260841701"/>
      </bottom>
      <diagonal/>
    </border>
    <border>
      <left style="thin">
        <color theme="1"/>
      </left>
      <right style="thin">
        <color theme="1"/>
      </right>
      <top style="thin">
        <color theme="0" tint="-0.24994659260841701"/>
      </top>
      <bottom style="thin">
        <color theme="0" tint="-0.24994659260841701"/>
      </bottom>
      <diagonal/>
    </border>
    <border>
      <left style="hair">
        <color auto="1"/>
      </left>
      <right style="hair">
        <color auto="1"/>
      </right>
      <top style="thin">
        <color theme="0" tint="-0.24994659260841701"/>
      </top>
      <bottom style="thin">
        <color theme="0" tint="-0.24994659260841701"/>
      </bottom>
      <diagonal/>
    </border>
    <border>
      <left style="hair">
        <color auto="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ck">
        <color auto="1"/>
      </left>
      <right/>
      <top style="thin">
        <color theme="0" tint="-0.24994659260841701"/>
      </top>
      <bottom style="thick">
        <color auto="1"/>
      </bottom>
      <diagonal/>
    </border>
    <border>
      <left style="thin">
        <color auto="1"/>
      </left>
      <right style="thin">
        <color auto="1"/>
      </right>
      <top style="thin">
        <color theme="0" tint="-0.24994659260841701"/>
      </top>
      <bottom style="thick">
        <color auto="1"/>
      </bottom>
      <diagonal/>
    </border>
    <border>
      <left style="hair">
        <color auto="1"/>
      </left>
      <right style="hair">
        <color auto="1"/>
      </right>
      <top style="thin">
        <color theme="0" tint="-0.24994659260841701"/>
      </top>
      <bottom style="thick">
        <color auto="1"/>
      </bottom>
      <diagonal/>
    </border>
    <border>
      <left style="hair">
        <color auto="1"/>
      </left>
      <right style="thin">
        <color auto="1"/>
      </right>
      <top style="thin">
        <color theme="0" tint="-0.24994659260841701"/>
      </top>
      <bottom style="thick">
        <color auto="1"/>
      </bottom>
      <diagonal/>
    </border>
    <border>
      <left style="thin">
        <color auto="1"/>
      </left>
      <right style="hair">
        <color auto="1"/>
      </right>
      <top/>
      <bottom style="thin">
        <color theme="0" tint="-0.24994659260841701"/>
      </bottom>
      <diagonal/>
    </border>
    <border>
      <left style="thin">
        <color auto="1"/>
      </left>
      <right style="hair">
        <color auto="1"/>
      </right>
      <top style="thin">
        <color theme="0" tint="-0.24994659260841701"/>
      </top>
      <bottom style="thin">
        <color theme="0" tint="-0.24994659260841701"/>
      </bottom>
      <diagonal/>
    </border>
    <border>
      <left style="thin">
        <color auto="1"/>
      </left>
      <right style="hair">
        <color auto="1"/>
      </right>
      <top style="thin">
        <color theme="0" tint="-0.24994659260841701"/>
      </top>
      <bottom style="thick">
        <color auto="1"/>
      </bottom>
      <diagonal/>
    </border>
    <border>
      <left style="hair">
        <color auto="1"/>
      </left>
      <right style="thick">
        <color auto="1"/>
      </right>
      <top style="thick">
        <color auto="1"/>
      </top>
      <bottom style="thin">
        <color auto="1"/>
      </bottom>
      <diagonal/>
    </border>
    <border>
      <left style="hair">
        <color auto="1"/>
      </left>
      <right style="thick">
        <color auto="1"/>
      </right>
      <top/>
      <bottom style="thin">
        <color theme="0" tint="-0.24994659260841701"/>
      </bottom>
      <diagonal/>
    </border>
    <border>
      <left style="hair">
        <color auto="1"/>
      </left>
      <right style="thick">
        <color auto="1"/>
      </right>
      <top style="thin">
        <color theme="0" tint="-0.24994659260841701"/>
      </top>
      <bottom style="thin">
        <color theme="0" tint="-0.24994659260841701"/>
      </bottom>
      <diagonal/>
    </border>
    <border>
      <left style="hair">
        <color auto="1"/>
      </left>
      <right style="thick">
        <color auto="1"/>
      </right>
      <top style="thin">
        <color theme="0" tint="-0.24994659260841701"/>
      </top>
      <bottom style="thick">
        <color auto="1"/>
      </bottom>
      <diagonal/>
    </border>
    <border>
      <left style="medium">
        <color auto="1"/>
      </left>
      <right style="hair">
        <color auto="1"/>
      </right>
      <top style="medium">
        <color auto="1"/>
      </top>
      <bottom style="hair">
        <color auto="1"/>
      </bottom>
      <diagonal/>
    </border>
    <border>
      <left style="hair">
        <color auto="1"/>
      </left>
      <right style="double">
        <color auto="1"/>
      </right>
      <top style="medium">
        <color auto="1"/>
      </top>
      <bottom/>
      <diagonal/>
    </border>
    <border>
      <left style="double">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double">
        <color auto="1"/>
      </right>
      <top/>
      <bottom style="hair">
        <color auto="1"/>
      </bottom>
      <diagonal/>
    </border>
    <border>
      <left style="double">
        <color auto="1"/>
      </left>
      <right style="hair">
        <color auto="1"/>
      </right>
      <top style="hair">
        <color auto="1"/>
      </top>
      <bottom style="hair">
        <color auto="1"/>
      </bottom>
      <diagonal/>
    </border>
    <border>
      <left style="medium">
        <color auto="1"/>
      </left>
      <right style="hair">
        <color auto="1"/>
      </right>
      <top style="hair">
        <color auto="1"/>
      </top>
      <bottom style="medium">
        <color auto="1"/>
      </bottom>
      <diagonal/>
    </border>
    <border>
      <left style="thin">
        <color auto="1"/>
      </left>
      <right style="thin">
        <color auto="1"/>
      </right>
      <top style="hair">
        <color auto="1"/>
      </top>
      <bottom style="medium">
        <color auto="1"/>
      </bottom>
      <diagonal/>
    </border>
    <border>
      <left style="hair">
        <color auto="1"/>
      </left>
      <right style="double">
        <color auto="1"/>
      </right>
      <top style="medium">
        <color auto="1"/>
      </top>
      <bottom style="hair">
        <color auto="1"/>
      </bottom>
      <diagonal/>
    </border>
    <border>
      <left style="hair">
        <color auto="1"/>
      </left>
      <right style="double">
        <color auto="1"/>
      </right>
      <top style="hair">
        <color auto="1"/>
      </top>
      <bottom style="hair">
        <color auto="1"/>
      </bottom>
      <diagonal/>
    </border>
    <border>
      <left style="hair">
        <color auto="1"/>
      </left>
      <right style="double">
        <color auto="1"/>
      </right>
      <top style="hair">
        <color auto="1"/>
      </top>
      <bottom style="medium">
        <color auto="1"/>
      </bottom>
      <diagonal/>
    </border>
    <border>
      <left style="double">
        <color auto="1"/>
      </left>
      <right style="hair">
        <color auto="1"/>
      </right>
      <top style="hair">
        <color auto="1"/>
      </top>
      <bottom style="medium">
        <color auto="1"/>
      </bottom>
      <diagonal/>
    </border>
    <border>
      <left style="thin">
        <color auto="1"/>
      </left>
      <right style="medium">
        <color auto="1"/>
      </right>
      <top style="thin">
        <color auto="1"/>
      </top>
      <bottom style="hair">
        <color auto="1"/>
      </bottom>
      <diagonal/>
    </border>
    <border>
      <left style="thin">
        <color auto="1"/>
      </left>
      <right style="medium">
        <color auto="1"/>
      </right>
      <top style="hair">
        <color auto="1"/>
      </top>
      <bottom style="thin">
        <color auto="1"/>
      </bottom>
      <diagonal/>
    </border>
    <border>
      <left style="thin">
        <color auto="1"/>
      </left>
      <right style="medium">
        <color auto="1"/>
      </right>
      <top style="hair">
        <color auto="1"/>
      </top>
      <bottom style="medium">
        <color auto="1"/>
      </bottom>
      <diagonal/>
    </border>
    <border>
      <left style="hair">
        <color auto="1"/>
      </left>
      <right style="medium">
        <color auto="1"/>
      </right>
      <top style="medium">
        <color auto="1"/>
      </top>
      <bottom style="hair">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style="medium">
        <color auto="1"/>
      </left>
      <right style="thin">
        <color auto="1"/>
      </right>
      <top style="thin">
        <color auto="1"/>
      </top>
      <bottom style="hair">
        <color auto="1"/>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thin">
        <color auto="1"/>
      </right>
      <top/>
      <bottom style="medium">
        <color auto="1"/>
      </bottom>
      <diagonal/>
    </border>
    <border>
      <left/>
      <right style="hair">
        <color auto="1"/>
      </right>
      <top/>
      <bottom style="medium">
        <color auto="1"/>
      </bottom>
      <diagonal/>
    </border>
    <border>
      <left style="hair">
        <color auto="1"/>
      </left>
      <right/>
      <top/>
      <bottom style="hair">
        <color auto="1"/>
      </bottom>
      <diagonal/>
    </border>
    <border>
      <left style="hair">
        <color auto="1"/>
      </left>
      <right/>
      <top style="hair">
        <color auto="1"/>
      </top>
      <bottom/>
      <diagonal/>
    </border>
    <border>
      <left style="thin">
        <color auto="1"/>
      </left>
      <right style="hair">
        <color auto="1"/>
      </right>
      <top/>
      <bottom/>
      <diagonal/>
    </border>
    <border>
      <left style="hair">
        <color auto="1"/>
      </left>
      <right style="hair">
        <color auto="1"/>
      </right>
      <top/>
      <bottom/>
      <diagonal/>
    </border>
    <border>
      <left style="hair">
        <color auto="1"/>
      </left>
      <right style="medium">
        <color auto="1"/>
      </right>
      <top style="thin">
        <color auto="1"/>
      </top>
      <bottom/>
      <diagonal/>
    </border>
    <border>
      <left style="hair">
        <color auto="1"/>
      </left>
      <right style="medium">
        <color auto="1"/>
      </right>
      <top/>
      <bottom style="medium">
        <color auto="1"/>
      </bottom>
      <diagonal/>
    </border>
    <border>
      <left style="thin">
        <color auto="1"/>
      </left>
      <right/>
      <top style="hair">
        <color auto="1"/>
      </top>
      <bottom style="hair">
        <color auto="1"/>
      </bottom>
      <diagonal/>
    </border>
    <border>
      <left/>
      <right/>
      <top/>
      <bottom style="double">
        <color indexed="53"/>
      </bottom>
      <diagonal/>
    </border>
    <border>
      <left style="double">
        <color indexed="53"/>
      </left>
      <right/>
      <top style="double">
        <color indexed="53"/>
      </top>
      <bottom style="double">
        <color indexed="53"/>
      </bottom>
      <diagonal/>
    </border>
    <border>
      <left/>
      <right/>
      <top style="double">
        <color indexed="53"/>
      </top>
      <bottom style="double">
        <color indexed="53"/>
      </bottom>
      <diagonal/>
    </border>
    <border>
      <left/>
      <right style="double">
        <color indexed="53"/>
      </right>
      <top style="double">
        <color indexed="53"/>
      </top>
      <bottom style="double">
        <color indexed="53"/>
      </bottom>
      <diagonal/>
    </border>
    <border>
      <left style="double">
        <color indexed="53"/>
      </left>
      <right style="thin">
        <color indexed="53"/>
      </right>
      <top style="double">
        <color indexed="53"/>
      </top>
      <bottom style="thin">
        <color indexed="53"/>
      </bottom>
      <diagonal/>
    </border>
    <border>
      <left style="thin">
        <color indexed="53"/>
      </left>
      <right style="thin">
        <color indexed="53"/>
      </right>
      <top style="double">
        <color indexed="53"/>
      </top>
      <bottom style="thin">
        <color indexed="53"/>
      </bottom>
      <diagonal/>
    </border>
    <border>
      <left style="thin">
        <color indexed="53"/>
      </left>
      <right style="double">
        <color indexed="53"/>
      </right>
      <top style="double">
        <color indexed="53"/>
      </top>
      <bottom style="thin">
        <color indexed="53"/>
      </bottom>
      <diagonal/>
    </border>
    <border>
      <left style="double">
        <color indexed="53"/>
      </left>
      <right style="thin">
        <color indexed="53"/>
      </right>
      <top style="thin">
        <color indexed="53"/>
      </top>
      <bottom style="thin">
        <color indexed="53"/>
      </bottom>
      <diagonal/>
    </border>
    <border>
      <left style="thin">
        <color indexed="53"/>
      </left>
      <right style="thin">
        <color indexed="53"/>
      </right>
      <top style="thin">
        <color indexed="53"/>
      </top>
      <bottom style="thin">
        <color indexed="53"/>
      </bottom>
      <diagonal/>
    </border>
    <border>
      <left style="thin">
        <color indexed="53"/>
      </left>
      <right style="double">
        <color indexed="53"/>
      </right>
      <top style="thin">
        <color indexed="53"/>
      </top>
      <bottom style="thin">
        <color indexed="53"/>
      </bottom>
      <diagonal/>
    </border>
    <border>
      <left style="thin">
        <color indexed="53"/>
      </left>
      <right style="thin">
        <color indexed="53"/>
      </right>
      <top style="thin">
        <color indexed="53"/>
      </top>
      <bottom/>
      <diagonal/>
    </border>
    <border>
      <left style="thin">
        <color indexed="53"/>
      </left>
      <right style="thin">
        <color indexed="53"/>
      </right>
      <top/>
      <bottom/>
      <diagonal/>
    </border>
    <border>
      <left style="thin">
        <color indexed="53"/>
      </left>
      <right style="thin">
        <color indexed="53"/>
      </right>
      <top/>
      <bottom style="thin">
        <color indexed="53"/>
      </bottom>
      <diagonal/>
    </border>
    <border>
      <left style="thin">
        <color indexed="53"/>
      </left>
      <right style="thin">
        <color indexed="53"/>
      </right>
      <top style="thin">
        <color indexed="53"/>
      </top>
      <bottom style="double">
        <color indexed="53"/>
      </bottom>
      <diagonal/>
    </border>
    <border>
      <left style="thin">
        <color indexed="53"/>
      </left>
      <right style="double">
        <color indexed="53"/>
      </right>
      <top style="thin">
        <color indexed="53"/>
      </top>
      <bottom style="double">
        <color indexed="53"/>
      </bottom>
      <diagonal/>
    </border>
    <border>
      <left style="thin">
        <color theme="9" tint="-0.24994659260841701"/>
      </left>
      <right style="thin">
        <color theme="9" tint="-0.24994659260841701"/>
      </right>
      <top/>
      <bottom/>
      <diagonal/>
    </border>
    <border>
      <left style="thin">
        <color theme="9" tint="-0.24994659260841701"/>
      </left>
      <right/>
      <top style="thin">
        <color theme="9" tint="-0.24994659260841701"/>
      </top>
      <bottom style="thin">
        <color theme="9" tint="-0.24994659260841701"/>
      </bottom>
      <diagonal/>
    </border>
    <border>
      <left/>
      <right style="thin">
        <color theme="9" tint="-0.24994659260841701"/>
      </right>
      <top style="thin">
        <color theme="9" tint="-0.24994659260841701"/>
      </top>
      <bottom style="thin">
        <color theme="9" tint="-0.24994659260841701"/>
      </bottom>
      <diagonal/>
    </border>
    <border>
      <left/>
      <right style="thin">
        <color theme="9" tint="-0.24994659260841701"/>
      </right>
      <top style="thin">
        <color theme="9" tint="-0.24994659260841701"/>
      </top>
      <bottom/>
      <diagonal/>
    </border>
    <border>
      <left style="thin">
        <color theme="9" tint="-0.24994659260841701"/>
      </left>
      <right/>
      <top/>
      <bottom style="thin">
        <color theme="9" tint="-0.24994659260841701"/>
      </bottom>
      <diagonal/>
    </border>
    <border>
      <left style="double">
        <color theme="9" tint="-0.24994659260841701"/>
      </left>
      <right style="thin">
        <color indexed="47"/>
      </right>
      <top style="double">
        <color theme="9" tint="-0.24994659260841701"/>
      </top>
      <bottom/>
      <diagonal/>
    </border>
    <border>
      <left style="thin">
        <color indexed="47"/>
      </left>
      <right style="thin">
        <color indexed="47"/>
      </right>
      <top style="double">
        <color theme="9" tint="-0.24994659260841701"/>
      </top>
      <bottom/>
      <diagonal/>
    </border>
    <border>
      <left style="thin">
        <color indexed="47"/>
      </left>
      <right style="double">
        <color theme="9" tint="-0.24994659260841701"/>
      </right>
      <top style="double">
        <color theme="9" tint="-0.24994659260841701"/>
      </top>
      <bottom/>
      <diagonal/>
    </border>
    <border>
      <left style="double">
        <color theme="9" tint="-0.24994659260841701"/>
      </left>
      <right style="thin">
        <color indexed="47"/>
      </right>
      <top style="thin">
        <color indexed="47"/>
      </top>
      <bottom style="thin">
        <color indexed="47"/>
      </bottom>
      <diagonal/>
    </border>
    <border>
      <left style="thin">
        <color indexed="47"/>
      </left>
      <right style="thin">
        <color indexed="47"/>
      </right>
      <top style="thin">
        <color indexed="47"/>
      </top>
      <bottom style="thin">
        <color indexed="47"/>
      </bottom>
      <diagonal/>
    </border>
    <border>
      <left style="thin">
        <color indexed="47"/>
      </left>
      <right style="double">
        <color theme="9" tint="-0.24994659260841701"/>
      </right>
      <top style="thin">
        <color indexed="47"/>
      </top>
      <bottom style="thin">
        <color indexed="47"/>
      </bottom>
      <diagonal/>
    </border>
    <border>
      <left style="double">
        <color theme="9" tint="-0.24994659260841701"/>
      </left>
      <right style="thin">
        <color indexed="47"/>
      </right>
      <top style="thin">
        <color indexed="47"/>
      </top>
      <bottom style="double">
        <color theme="9" tint="-0.24994659260841701"/>
      </bottom>
      <diagonal/>
    </border>
    <border>
      <left style="thin">
        <color indexed="47"/>
      </left>
      <right style="thin">
        <color indexed="47"/>
      </right>
      <top style="thin">
        <color indexed="47"/>
      </top>
      <bottom style="double">
        <color theme="9" tint="-0.24994659260841701"/>
      </bottom>
      <diagonal/>
    </border>
    <border>
      <left style="thin">
        <color indexed="47"/>
      </left>
      <right style="double">
        <color theme="9" tint="-0.24994659260841701"/>
      </right>
      <top style="thin">
        <color indexed="47"/>
      </top>
      <bottom style="double">
        <color theme="9" tint="-0.24994659260841701"/>
      </bottom>
      <diagonal/>
    </border>
    <border>
      <left style="double">
        <color theme="9" tint="-0.24994659260841701"/>
      </left>
      <right/>
      <top style="double">
        <color theme="9" tint="-0.24994659260841701"/>
      </top>
      <bottom style="double">
        <color theme="9" tint="-0.24994659260841701"/>
      </bottom>
      <diagonal/>
    </border>
    <border>
      <left/>
      <right/>
      <top style="double">
        <color theme="9" tint="-0.24994659260841701"/>
      </top>
      <bottom style="double">
        <color theme="9" tint="-0.24994659260841701"/>
      </bottom>
      <diagonal/>
    </border>
    <border>
      <left/>
      <right style="double">
        <color theme="9" tint="-0.24994659260841701"/>
      </right>
      <top style="double">
        <color theme="9" tint="-0.24994659260841701"/>
      </top>
      <bottom style="double">
        <color theme="9" tint="-0.24994659260841701"/>
      </bottom>
      <diagonal/>
    </border>
    <border>
      <left style="double">
        <color theme="9" tint="-0.24994659260841701"/>
      </left>
      <right style="thin">
        <color indexed="47"/>
      </right>
      <top style="double">
        <color theme="9" tint="-0.24994659260841701"/>
      </top>
      <bottom style="thin">
        <color indexed="47"/>
      </bottom>
      <diagonal/>
    </border>
    <border>
      <left style="thin">
        <color indexed="47"/>
      </left>
      <right style="thin">
        <color indexed="47"/>
      </right>
      <top style="double">
        <color theme="9" tint="-0.24994659260841701"/>
      </top>
      <bottom style="thin">
        <color indexed="47"/>
      </bottom>
      <diagonal/>
    </border>
    <border>
      <left style="thin">
        <color indexed="47"/>
      </left>
      <right/>
      <top style="double">
        <color theme="9" tint="-0.24994659260841701"/>
      </top>
      <bottom/>
      <diagonal/>
    </border>
    <border>
      <left style="thin">
        <color theme="9"/>
      </left>
      <right/>
      <top style="double">
        <color theme="9"/>
      </top>
      <bottom style="double">
        <color indexed="47"/>
      </bottom>
      <diagonal/>
    </border>
    <border>
      <left/>
      <right/>
      <top style="double">
        <color theme="9"/>
      </top>
      <bottom style="double">
        <color indexed="47"/>
      </bottom>
      <diagonal/>
    </border>
    <border>
      <left style="thin">
        <color indexed="47"/>
      </left>
      <right/>
      <top style="double">
        <color indexed="47"/>
      </top>
      <bottom/>
      <diagonal/>
    </border>
    <border>
      <left style="thin">
        <color theme="9"/>
      </left>
      <right style="thin">
        <color indexed="47"/>
      </right>
      <top style="double">
        <color indexed="47"/>
      </top>
      <bottom/>
      <diagonal/>
    </border>
    <border>
      <left style="thin">
        <color indexed="47"/>
      </left>
      <right style="thin">
        <color indexed="47"/>
      </right>
      <top style="double">
        <color indexed="47"/>
      </top>
      <bottom/>
      <diagonal/>
    </border>
    <border>
      <left style="thin">
        <color indexed="47"/>
      </left>
      <right/>
      <top/>
      <bottom style="thin">
        <color indexed="47"/>
      </bottom>
      <diagonal/>
    </border>
    <border>
      <left style="thin">
        <color theme="9"/>
      </left>
      <right style="thin">
        <color indexed="47"/>
      </right>
      <top/>
      <bottom style="thin">
        <color indexed="47"/>
      </bottom>
      <diagonal/>
    </border>
    <border>
      <left style="thin">
        <color indexed="47"/>
      </left>
      <right/>
      <top style="thin">
        <color indexed="47"/>
      </top>
      <bottom style="thin">
        <color indexed="47"/>
      </bottom>
      <diagonal/>
    </border>
    <border>
      <left style="thin">
        <color theme="9"/>
      </left>
      <right style="thin">
        <color indexed="47"/>
      </right>
      <top style="thin">
        <color indexed="47"/>
      </top>
      <bottom style="thin">
        <color indexed="47"/>
      </bottom>
      <diagonal/>
    </border>
    <border>
      <left style="thin">
        <color indexed="47"/>
      </left>
      <right/>
      <top style="thin">
        <color indexed="47"/>
      </top>
      <bottom style="double">
        <color theme="9" tint="-0.24994659260841701"/>
      </bottom>
      <diagonal/>
    </border>
    <border>
      <left style="thin">
        <color theme="9"/>
      </left>
      <right style="thin">
        <color indexed="47"/>
      </right>
      <top style="thin">
        <color indexed="47"/>
      </top>
      <bottom style="double">
        <color theme="9" tint="-0.24994659260841701"/>
      </bottom>
      <diagonal/>
    </border>
    <border>
      <left/>
      <right style="double">
        <color theme="9"/>
      </right>
      <top style="double">
        <color theme="9"/>
      </top>
      <bottom style="double">
        <color indexed="47"/>
      </bottom>
      <diagonal/>
    </border>
    <border>
      <left style="thin">
        <color indexed="47"/>
      </left>
      <right style="double">
        <color theme="9"/>
      </right>
      <top style="double">
        <color indexed="47"/>
      </top>
      <bottom/>
      <diagonal/>
    </border>
    <border>
      <left style="thin">
        <color indexed="47"/>
      </left>
      <right/>
      <top style="double">
        <color indexed="47"/>
      </top>
      <bottom style="thin">
        <color indexed="47"/>
      </bottom>
      <diagonal/>
    </border>
    <border>
      <left style="thin">
        <color indexed="47"/>
      </left>
      <right style="double">
        <color theme="9"/>
      </right>
      <top style="double">
        <color indexed="47"/>
      </top>
      <bottom style="thin">
        <color indexed="47"/>
      </bottom>
      <diagonal/>
    </border>
    <border>
      <left style="thin">
        <color indexed="47"/>
      </left>
      <right style="double">
        <color theme="9"/>
      </right>
      <top style="thin">
        <color indexed="47"/>
      </top>
      <bottom style="thin">
        <color indexed="47"/>
      </bottom>
      <diagonal/>
    </border>
    <border>
      <left style="thin">
        <color indexed="47"/>
      </left>
      <right style="double">
        <color theme="9"/>
      </right>
      <top style="thin">
        <color indexed="47"/>
      </top>
      <bottom style="double">
        <color theme="9" tint="-0.249946592608417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9">
    <xf numFmtId="0" fontId="0" fillId="0" borderId="0"/>
    <xf numFmtId="0" fontId="94" fillId="0" borderId="0"/>
    <xf numFmtId="43" fontId="101" fillId="0" borderId="0" applyFont="0" applyFill="0" applyBorder="0" applyAlignment="0" applyProtection="0">
      <alignment vertical="center"/>
    </xf>
    <xf numFmtId="0" fontId="33" fillId="0" borderId="0" applyNumberFormat="0" applyFill="0" applyBorder="0" applyAlignment="0" applyProtection="0"/>
    <xf numFmtId="9" fontId="101" fillId="0" borderId="0" applyFont="0" applyFill="0" applyBorder="0" applyAlignment="0" applyProtection="0">
      <alignment vertical="center"/>
    </xf>
    <xf numFmtId="9" fontId="94" fillId="0" borderId="0" applyFont="0" applyFill="0" applyBorder="0" applyAlignment="0" applyProtection="0">
      <alignment vertical="center"/>
    </xf>
    <xf numFmtId="0" fontId="101" fillId="0" borderId="0"/>
    <xf numFmtId="9" fontId="101" fillId="0" borderId="0" applyFont="0" applyFill="0" applyBorder="0" applyAlignment="0" applyProtection="0">
      <alignment vertical="center"/>
    </xf>
    <xf numFmtId="0" fontId="95" fillId="0" borderId="0"/>
    <xf numFmtId="9" fontId="101" fillId="0" borderId="0" applyFont="0" applyFill="0" applyBorder="0" applyAlignment="0" applyProtection="0">
      <alignment vertical="center"/>
    </xf>
    <xf numFmtId="0" fontId="101" fillId="0" borderId="0"/>
    <xf numFmtId="0" fontId="94" fillId="0" borderId="0"/>
    <xf numFmtId="0" fontId="95" fillId="0" borderId="0">
      <alignment vertical="center"/>
    </xf>
    <xf numFmtId="9" fontId="101" fillId="0" borderId="0" applyFont="0" applyFill="0" applyBorder="0" applyAlignment="0" applyProtection="0">
      <alignment vertical="center"/>
    </xf>
    <xf numFmtId="9" fontId="101" fillId="0" borderId="0" applyFont="0" applyFill="0" applyBorder="0" applyAlignment="0" applyProtection="0">
      <alignment vertical="center"/>
    </xf>
    <xf numFmtId="9" fontId="101" fillId="0" borderId="0" applyFont="0" applyFill="0" applyBorder="0" applyAlignment="0" applyProtection="0">
      <alignment vertical="center"/>
    </xf>
    <xf numFmtId="0" fontId="94" fillId="0" borderId="0"/>
    <xf numFmtId="0" fontId="101" fillId="0" borderId="0"/>
    <xf numFmtId="0" fontId="101" fillId="0" borderId="0"/>
    <xf numFmtId="0" fontId="101" fillId="0" borderId="0"/>
    <xf numFmtId="0" fontId="94" fillId="0" borderId="0"/>
    <xf numFmtId="0" fontId="33" fillId="0" borderId="0" applyNumberFormat="0" applyFill="0" applyBorder="0" applyAlignment="0" applyProtection="0"/>
    <xf numFmtId="43" fontId="101" fillId="0" borderId="0" applyFont="0" applyFill="0" applyBorder="0" applyAlignment="0" applyProtection="0">
      <alignment vertical="center"/>
    </xf>
    <xf numFmtId="43" fontId="101" fillId="0" borderId="0" applyFont="0" applyFill="0" applyBorder="0" applyAlignment="0" applyProtection="0">
      <alignment vertical="center"/>
    </xf>
    <xf numFmtId="0" fontId="93" fillId="0" borderId="0"/>
    <xf numFmtId="43" fontId="93" fillId="0" borderId="0" applyFont="0" applyFill="0" applyBorder="0" applyAlignment="0" applyProtection="0">
      <alignment vertical="center"/>
    </xf>
    <xf numFmtId="43" fontId="93" fillId="0" borderId="0" applyFont="0" applyFill="0" applyBorder="0" applyAlignment="0" applyProtection="0">
      <alignment vertical="center"/>
    </xf>
    <xf numFmtId="9" fontId="93" fillId="0" borderId="0" applyFont="0" applyFill="0" applyBorder="0" applyAlignment="0" applyProtection="0">
      <alignment vertical="center"/>
    </xf>
    <xf numFmtId="9" fontId="93" fillId="0" borderId="0" applyFont="0" applyFill="0" applyBorder="0" applyAlignment="0" applyProtection="0">
      <alignment vertical="center"/>
    </xf>
  </cellStyleXfs>
  <cellXfs count="2024">
    <xf numFmtId="0" fontId="0" fillId="0" borderId="0" xfId="0"/>
    <xf numFmtId="0" fontId="1" fillId="0" borderId="0" xfId="0" applyFont="1" applyFill="1" applyProtection="1"/>
    <xf numFmtId="0" fontId="1" fillId="0" borderId="0" xfId="0" applyFont="1" applyProtection="1"/>
    <xf numFmtId="0" fontId="3" fillId="0" borderId="0" xfId="0" applyFont="1" applyAlignment="1" applyProtection="1">
      <alignment horizontal="left" wrapText="1"/>
    </xf>
    <xf numFmtId="0" fontId="4" fillId="0" borderId="0" xfId="0" applyFont="1" applyAlignment="1" applyProtection="1">
      <alignment horizontal="left" wrapText="1"/>
    </xf>
    <xf numFmtId="0" fontId="5" fillId="2" borderId="1" xfId="10" applyFont="1" applyFill="1" applyBorder="1" applyAlignment="1">
      <alignment horizontal="center" vertical="center" wrapText="1"/>
    </xf>
    <xf numFmtId="0" fontId="6" fillId="0" borderId="0" xfId="10" applyFont="1" applyAlignment="1">
      <alignment vertical="center"/>
    </xf>
    <xf numFmtId="0" fontId="6" fillId="3" borderId="0" xfId="10" applyFont="1" applyFill="1" applyAlignment="1">
      <alignment horizontal="center" vertical="center"/>
    </xf>
    <xf numFmtId="0" fontId="5" fillId="3" borderId="2" xfId="10" applyNumberFormat="1" applyFont="1" applyFill="1" applyBorder="1" applyAlignment="1">
      <alignment horizontal="center" vertical="center"/>
    </xf>
    <xf numFmtId="182" fontId="5" fillId="3" borderId="1" xfId="2" applyNumberFormat="1" applyFont="1" applyFill="1" applyBorder="1" applyAlignment="1">
      <alignment horizontal="center" vertical="center"/>
    </xf>
    <xf numFmtId="0" fontId="5" fillId="3" borderId="2" xfId="2" applyNumberFormat="1" applyFont="1" applyFill="1" applyBorder="1" applyAlignment="1">
      <alignment horizontal="center" vertical="center"/>
    </xf>
    <xf numFmtId="182" fontId="5" fillId="3" borderId="2" xfId="2" applyNumberFormat="1" applyFont="1" applyFill="1" applyBorder="1" applyAlignment="1">
      <alignment horizontal="center" vertical="center"/>
    </xf>
    <xf numFmtId="182" fontId="7" fillId="3" borderId="2" xfId="22" applyNumberFormat="1" applyFont="1" applyFill="1" applyBorder="1" applyAlignment="1">
      <alignment horizontal="center" vertical="center"/>
    </xf>
    <xf numFmtId="0" fontId="101" fillId="0" borderId="0" xfId="10" applyAlignment="1">
      <alignment vertical="center"/>
    </xf>
    <xf numFmtId="0" fontId="3" fillId="0" borderId="3" xfId="10" applyFont="1" applyBorder="1" applyAlignment="1">
      <alignment vertical="center"/>
    </xf>
    <xf numFmtId="0" fontId="6" fillId="0" borderId="3" xfId="10" applyFont="1" applyBorder="1" applyAlignment="1">
      <alignment vertical="center"/>
    </xf>
    <xf numFmtId="0" fontId="101" fillId="0" borderId="0" xfId="10" applyAlignment="1">
      <alignment horizontal="center" vertical="center"/>
    </xf>
    <xf numFmtId="0" fontId="8" fillId="0" borderId="1" xfId="10" applyFont="1" applyBorder="1" applyAlignment="1">
      <alignment horizontal="center" vertical="center"/>
    </xf>
    <xf numFmtId="182" fontId="8" fillId="0" borderId="1" xfId="2" applyNumberFormat="1" applyFont="1" applyBorder="1" applyAlignment="1">
      <alignment horizontal="left" vertical="center"/>
    </xf>
    <xf numFmtId="179" fontId="9" fillId="0" borderId="1" xfId="10" applyNumberFormat="1" applyFont="1" applyBorder="1" applyAlignment="1">
      <alignment horizontal="center" vertical="center"/>
    </xf>
    <xf numFmtId="182" fontId="9" fillId="0" borderId="1" xfId="22" applyNumberFormat="1" applyFont="1" applyBorder="1" applyAlignment="1">
      <alignment horizontal="center" vertical="center"/>
    </xf>
    <xf numFmtId="0" fontId="9" fillId="0" borderId="1" xfId="23" applyNumberFormat="1" applyFont="1" applyBorder="1" applyAlignment="1">
      <alignment horizontal="center" vertical="center"/>
    </xf>
    <xf numFmtId="182" fontId="8" fillId="0" borderId="1" xfId="23" applyNumberFormat="1" applyFont="1" applyBorder="1" applyAlignment="1">
      <alignment horizontal="center" vertical="center"/>
    </xf>
    <xf numFmtId="0" fontId="6" fillId="0" borderId="0" xfId="10" applyFont="1" applyFill="1" applyAlignment="1">
      <alignment vertical="center"/>
    </xf>
    <xf numFmtId="0" fontId="10" fillId="0" borderId="0" xfId="10" applyFont="1" applyFill="1" applyAlignment="1">
      <alignment horizontal="left" vertical="center" wrapText="1"/>
    </xf>
    <xf numFmtId="179" fontId="9" fillId="0" borderId="1" xfId="10" applyNumberFormat="1" applyFont="1" applyFill="1" applyBorder="1" applyAlignment="1">
      <alignment horizontal="center" vertical="center"/>
    </xf>
    <xf numFmtId="182" fontId="9" fillId="0" borderId="1" xfId="22" applyNumberFormat="1" applyFont="1" applyFill="1" applyBorder="1" applyAlignment="1">
      <alignment horizontal="center" vertical="center"/>
    </xf>
    <xf numFmtId="0" fontId="9" fillId="0" borderId="1" xfId="23" applyNumberFormat="1" applyFont="1" applyFill="1" applyBorder="1" applyAlignment="1">
      <alignment horizontal="center" vertical="center"/>
    </xf>
    <xf numFmtId="0" fontId="101" fillId="0" borderId="0" xfId="10" applyAlignment="1">
      <alignment horizontal="center" vertical="center" wrapText="1"/>
    </xf>
    <xf numFmtId="179" fontId="0" fillId="0" borderId="1" xfId="14" applyNumberFormat="1" applyFont="1" applyBorder="1" applyAlignment="1">
      <alignment horizontal="center" vertical="center"/>
    </xf>
    <xf numFmtId="182" fontId="0" fillId="0" borderId="1" xfId="23" applyNumberFormat="1" applyFont="1" applyBorder="1" applyAlignment="1">
      <alignment horizontal="center" vertical="center" wrapText="1"/>
    </xf>
    <xf numFmtId="182" fontId="11" fillId="0" borderId="1" xfId="22" applyNumberFormat="1" applyFont="1" applyFill="1" applyBorder="1" applyAlignment="1">
      <alignment horizontal="center" vertical="center"/>
    </xf>
    <xf numFmtId="0" fontId="101" fillId="0" borderId="0" xfId="10" applyFill="1" applyAlignment="1">
      <alignment horizontal="center" vertical="center" wrapText="1"/>
    </xf>
    <xf numFmtId="0" fontId="101" fillId="0" borderId="0" xfId="10" applyFill="1" applyAlignment="1">
      <alignment vertical="center"/>
    </xf>
    <xf numFmtId="179" fontId="12" fillId="0" borderId="1" xfId="14" applyNumberFormat="1" applyFont="1" applyFill="1" applyBorder="1" applyAlignment="1">
      <alignment horizontal="center" vertical="center"/>
    </xf>
    <xf numFmtId="182" fontId="12" fillId="0" borderId="1" xfId="23" applyNumberFormat="1" applyFont="1" applyFill="1" applyBorder="1" applyAlignment="1">
      <alignment horizontal="center" vertical="center" wrapText="1"/>
    </xf>
    <xf numFmtId="182" fontId="7" fillId="0" borderId="1" xfId="22" applyNumberFormat="1" applyFont="1" applyFill="1" applyBorder="1" applyAlignment="1">
      <alignment horizontal="center" vertical="center"/>
    </xf>
    <xf numFmtId="0" fontId="12" fillId="0" borderId="0" xfId="10" applyFont="1" applyAlignment="1">
      <alignment horizontal="right" vertical="center"/>
    </xf>
    <xf numFmtId="0" fontId="13" fillId="0" borderId="0" xfId="0" applyFont="1" applyProtection="1"/>
    <xf numFmtId="43" fontId="1" fillId="3" borderId="0" xfId="2" applyFont="1" applyFill="1" applyAlignment="1" applyProtection="1">
      <protection locked="0"/>
    </xf>
    <xf numFmtId="43" fontId="1" fillId="0" borderId="0" xfId="2" applyFont="1" applyFill="1" applyAlignment="1" applyProtection="1">
      <protection locked="0"/>
    </xf>
    <xf numFmtId="0" fontId="1" fillId="0" borderId="0" xfId="0" applyFont="1" applyFill="1" applyProtection="1">
      <protection locked="0"/>
    </xf>
    <xf numFmtId="10" fontId="1" fillId="0" borderId="0" xfId="4" applyNumberFormat="1" applyFont="1" applyFill="1" applyAlignment="1" applyProtection="1">
      <protection locked="0"/>
    </xf>
    <xf numFmtId="43" fontId="1" fillId="0" borderId="0" xfId="2" applyFont="1" applyAlignment="1" applyProtection="1"/>
    <xf numFmtId="0" fontId="4" fillId="0" borderId="0" xfId="0" applyFont="1" applyAlignment="1" applyProtection="1">
      <alignment horizontal="center"/>
    </xf>
    <xf numFmtId="0" fontId="6" fillId="0" borderId="4" xfId="0" applyFont="1" applyFill="1" applyBorder="1" applyAlignment="1" applyProtection="1">
      <alignment horizontal="center" vertical="center" wrapText="1"/>
    </xf>
    <xf numFmtId="1" fontId="0" fillId="4" borderId="1" xfId="0" applyNumberFormat="1" applyFill="1" applyBorder="1" applyAlignment="1" applyProtection="1">
      <alignment horizontal="center" vertical="center"/>
    </xf>
    <xf numFmtId="182" fontId="4" fillId="4" borderId="1" xfId="2" applyNumberFormat="1" applyFont="1" applyFill="1" applyBorder="1" applyAlignment="1" applyProtection="1">
      <alignment horizontal="center" vertical="center"/>
    </xf>
    <xf numFmtId="182" fontId="4" fillId="4" borderId="6" xfId="2" applyNumberFormat="1" applyFont="1" applyFill="1" applyBorder="1" applyAlignment="1" applyProtection="1">
      <alignment horizontal="center" vertical="center"/>
    </xf>
    <xf numFmtId="0" fontId="0" fillId="0" borderId="1" xfId="2" applyNumberFormat="1" applyFont="1" applyFill="1" applyBorder="1" applyAlignment="1" applyProtection="1"/>
    <xf numFmtId="10" fontId="1" fillId="3" borderId="0" xfId="4" applyNumberFormat="1" applyFont="1" applyFill="1" applyAlignment="1" applyProtection="1">
      <protection locked="0"/>
    </xf>
    <xf numFmtId="182" fontId="0" fillId="4" borderId="1" xfId="2" applyNumberFormat="1" applyFont="1" applyFill="1" applyBorder="1" applyAlignment="1" applyProtection="1"/>
    <xf numFmtId="182" fontId="0" fillId="4" borderId="8" xfId="2" applyNumberFormat="1" applyFont="1" applyFill="1" applyBorder="1" applyAlignment="1" applyProtection="1"/>
    <xf numFmtId="0" fontId="14" fillId="0" borderId="0" xfId="0" applyFont="1" applyAlignment="1" applyProtection="1">
      <alignment horizontal="center"/>
    </xf>
    <xf numFmtId="0" fontId="7" fillId="3" borderId="2" xfId="4" applyNumberFormat="1" applyFont="1" applyFill="1" applyBorder="1" applyAlignment="1">
      <alignment horizontal="center" vertical="center" wrapText="1"/>
    </xf>
    <xf numFmtId="43" fontId="7" fillId="3" borderId="2" xfId="2" applyFont="1" applyFill="1" applyBorder="1" applyAlignment="1">
      <alignment horizontal="center" vertical="center"/>
    </xf>
    <xf numFmtId="0" fontId="12" fillId="3" borderId="2" xfId="4" applyNumberFormat="1" applyFont="1" applyFill="1" applyBorder="1" applyAlignment="1">
      <alignment vertical="center"/>
    </xf>
    <xf numFmtId="0" fontId="12" fillId="0" borderId="0" xfId="10" applyFont="1" applyFill="1" applyAlignment="1">
      <alignment horizontal="center" vertical="center"/>
    </xf>
    <xf numFmtId="179" fontId="9" fillId="0" borderId="1" xfId="10" applyNumberFormat="1" applyFont="1" applyFill="1" applyBorder="1" applyAlignment="1">
      <alignment horizontal="center" vertical="center" wrapText="1"/>
    </xf>
    <xf numFmtId="43" fontId="9" fillId="0" borderId="1" xfId="2" applyFont="1" applyBorder="1" applyAlignment="1">
      <alignment horizontal="center" vertical="center"/>
    </xf>
    <xf numFmtId="182" fontId="0" fillId="0" borderId="1" xfId="23" applyNumberFormat="1" applyFont="1" applyBorder="1" applyAlignment="1">
      <alignment vertical="center"/>
    </xf>
    <xf numFmtId="43" fontId="9" fillId="0" borderId="2" xfId="2" applyFont="1" applyBorder="1" applyAlignment="1">
      <alignment horizontal="center" vertical="center"/>
    </xf>
    <xf numFmtId="182" fontId="0" fillId="0" borderId="2" xfId="23" applyNumberFormat="1" applyFont="1" applyBorder="1" applyAlignment="1">
      <alignment vertical="center"/>
    </xf>
    <xf numFmtId="43" fontId="7" fillId="0" borderId="2" xfId="2" applyFont="1" applyFill="1" applyBorder="1" applyAlignment="1">
      <alignment horizontal="center" vertical="center"/>
    </xf>
    <xf numFmtId="182" fontId="12" fillId="0" borderId="2" xfId="23" applyNumberFormat="1" applyFont="1" applyFill="1" applyBorder="1" applyAlignment="1">
      <alignment vertical="center"/>
    </xf>
    <xf numFmtId="0" fontId="6" fillId="0" borderId="0" xfId="10" applyFont="1" applyFill="1" applyAlignment="1">
      <alignment horizontal="center" vertical="center"/>
    </xf>
    <xf numFmtId="43" fontId="9" fillId="0" borderId="1" xfId="2" applyFont="1" applyFill="1" applyBorder="1" applyAlignment="1">
      <alignment horizontal="center" vertical="center"/>
    </xf>
    <xf numFmtId="182" fontId="0" fillId="0" borderId="1" xfId="23" applyNumberFormat="1" applyFont="1" applyFill="1" applyBorder="1" applyAlignment="1">
      <alignment vertical="center"/>
    </xf>
    <xf numFmtId="179" fontId="11" fillId="0" borderId="1" xfId="10" applyNumberFormat="1" applyFont="1" applyFill="1" applyBorder="1" applyAlignment="1">
      <alignment horizontal="center" vertical="center" wrapText="1"/>
    </xf>
    <xf numFmtId="10" fontId="11" fillId="0" borderId="1" xfId="10" applyNumberFormat="1" applyFont="1" applyFill="1" applyBorder="1" applyAlignment="1">
      <alignment horizontal="center" vertical="center"/>
    </xf>
    <xf numFmtId="179" fontId="7" fillId="0" borderId="1" xfId="10" applyNumberFormat="1" applyFont="1" applyFill="1" applyBorder="1" applyAlignment="1">
      <alignment horizontal="center" vertical="center" wrapText="1"/>
    </xf>
    <xf numFmtId="10" fontId="7" fillId="0" borderId="1" xfId="10" applyNumberFormat="1" applyFont="1" applyFill="1" applyBorder="1" applyAlignment="1">
      <alignment horizontal="center" vertical="center"/>
    </xf>
    <xf numFmtId="0" fontId="1" fillId="3" borderId="0" xfId="0" applyFont="1" applyFill="1" applyProtection="1">
      <protection locked="0"/>
    </xf>
    <xf numFmtId="182" fontId="4" fillId="4" borderId="9" xfId="2" applyNumberFormat="1" applyFont="1" applyFill="1" applyBorder="1" applyAlignment="1" applyProtection="1">
      <alignment horizontal="center" vertical="center"/>
    </xf>
    <xf numFmtId="0" fontId="1" fillId="0" borderId="0" xfId="0" applyFont="1" applyAlignment="1" applyProtection="1">
      <alignment horizontal="center" vertical="center"/>
    </xf>
    <xf numFmtId="0" fontId="1" fillId="5" borderId="0" xfId="0" applyFont="1" applyFill="1" applyAlignment="1" applyProtection="1">
      <alignment vertical="center"/>
    </xf>
    <xf numFmtId="0" fontId="15" fillId="0" borderId="0" xfId="0" applyFont="1" applyAlignment="1" applyProtection="1">
      <alignment vertical="center"/>
    </xf>
    <xf numFmtId="0" fontId="1" fillId="0" borderId="0" xfId="0" applyFont="1" applyAlignment="1" applyProtection="1">
      <alignment vertical="center"/>
    </xf>
    <xf numFmtId="0" fontId="1" fillId="0" borderId="0" xfId="0" applyFont="1" applyAlignment="1" applyProtection="1">
      <alignment vertical="center"/>
      <protection locked="0"/>
    </xf>
    <xf numFmtId="0" fontId="14" fillId="0" borderId="0" xfId="0" applyFont="1" applyAlignment="1" applyProtection="1">
      <alignment vertical="center"/>
    </xf>
    <xf numFmtId="0" fontId="16" fillId="0" borderId="0" xfId="3" applyFont="1" applyAlignment="1" applyProtection="1">
      <alignment vertical="center"/>
    </xf>
    <xf numFmtId="0" fontId="13" fillId="0" borderId="0" xfId="0" applyFont="1" applyAlignment="1" applyProtection="1">
      <alignment vertical="center"/>
    </xf>
    <xf numFmtId="0" fontId="17" fillId="0" borderId="0" xfId="0" applyFont="1" applyAlignment="1" applyProtection="1">
      <alignment vertical="center"/>
    </xf>
    <xf numFmtId="0" fontId="1" fillId="0" borderId="0" xfId="0" applyFont="1" applyAlignment="1" applyProtection="1">
      <alignment horizontal="center" vertical="center"/>
      <protection locked="0"/>
    </xf>
    <xf numFmtId="0" fontId="4" fillId="6" borderId="1" xfId="0" applyFont="1" applyFill="1" applyBorder="1" applyAlignment="1" applyProtection="1">
      <alignment horizontal="center" vertical="center"/>
    </xf>
    <xf numFmtId="0" fontId="1" fillId="5" borderId="0" xfId="0" applyFont="1" applyFill="1" applyAlignment="1" applyProtection="1">
      <alignment vertical="center"/>
      <protection locked="0"/>
    </xf>
    <xf numFmtId="0" fontId="13" fillId="7" borderId="1" xfId="0" applyFont="1" applyFill="1" applyBorder="1" applyAlignment="1" applyProtection="1">
      <alignment vertical="center"/>
    </xf>
    <xf numFmtId="43" fontId="1" fillId="7" borderId="1" xfId="2" applyFont="1" applyFill="1" applyBorder="1" applyAlignment="1" applyProtection="1">
      <alignment vertical="center"/>
    </xf>
    <xf numFmtId="0" fontId="13" fillId="5" borderId="1" xfId="0" applyFont="1" applyFill="1" applyBorder="1" applyAlignment="1" applyProtection="1">
      <alignment horizontal="left" vertical="center" indent="1"/>
    </xf>
    <xf numFmtId="43" fontId="1" fillId="5" borderId="1" xfId="2" applyFont="1" applyFill="1" applyBorder="1" applyAlignment="1" applyProtection="1">
      <alignment vertical="center"/>
    </xf>
    <xf numFmtId="41" fontId="1" fillId="8" borderId="10" xfId="0" applyNumberFormat="1" applyFont="1" applyFill="1" applyBorder="1" applyAlignment="1" applyProtection="1">
      <alignment vertical="center"/>
      <protection locked="0"/>
    </xf>
    <xf numFmtId="43" fontId="1" fillId="0" borderId="1" xfId="2" applyFont="1" applyFill="1" applyBorder="1" applyAlignment="1" applyProtection="1">
      <alignment vertical="center"/>
    </xf>
    <xf numFmtId="43" fontId="1" fillId="0" borderId="0" xfId="0" applyNumberFormat="1" applyFont="1" applyAlignment="1" applyProtection="1">
      <alignment vertical="center"/>
      <protection locked="0"/>
    </xf>
    <xf numFmtId="43" fontId="1" fillId="0" borderId="0" xfId="0" applyNumberFormat="1" applyFont="1" applyAlignment="1" applyProtection="1">
      <alignment vertical="center"/>
    </xf>
    <xf numFmtId="0" fontId="13" fillId="0" borderId="0" xfId="0" applyFont="1" applyAlignment="1" applyProtection="1">
      <alignment vertical="center"/>
      <protection locked="0"/>
    </xf>
    <xf numFmtId="182" fontId="1" fillId="0" borderId="0" xfId="2" applyNumberFormat="1" applyFont="1" applyAlignment="1" applyProtection="1">
      <alignment vertical="center"/>
      <protection locked="0"/>
    </xf>
    <xf numFmtId="182" fontId="1" fillId="0" borderId="0" xfId="2" applyNumberFormat="1" applyFont="1" applyAlignment="1" applyProtection="1">
      <alignment vertical="center"/>
    </xf>
    <xf numFmtId="43" fontId="15" fillId="0" borderId="1" xfId="2" applyFont="1" applyFill="1" applyBorder="1" applyAlignment="1" applyProtection="1">
      <alignment vertical="center"/>
    </xf>
    <xf numFmtId="43" fontId="1" fillId="7" borderId="1" xfId="2" applyFont="1" applyFill="1" applyBorder="1" applyAlignment="1" applyProtection="1">
      <alignment vertical="center"/>
      <protection locked="0"/>
    </xf>
    <xf numFmtId="43" fontId="1" fillId="3" borderId="1" xfId="2" applyFont="1" applyFill="1" applyBorder="1" applyAlignment="1" applyProtection="1">
      <alignment vertical="center"/>
      <protection locked="0"/>
    </xf>
    <xf numFmtId="0" fontId="13" fillId="9" borderId="1" xfId="0" applyFont="1" applyFill="1" applyBorder="1" applyAlignment="1" applyProtection="1">
      <alignment vertical="center"/>
    </xf>
    <xf numFmtId="43" fontId="1" fillId="9" borderId="1" xfId="2" applyFont="1" applyFill="1" applyBorder="1" applyAlignment="1" applyProtection="1">
      <alignment vertical="center"/>
    </xf>
    <xf numFmtId="43" fontId="1" fillId="0" borderId="0" xfId="0" applyNumberFormat="1" applyFont="1" applyFill="1" applyAlignment="1" applyProtection="1">
      <alignment vertical="center"/>
    </xf>
    <xf numFmtId="43" fontId="1" fillId="0" borderId="0" xfId="0" applyNumberFormat="1" applyFont="1" applyFill="1" applyAlignment="1" applyProtection="1">
      <alignment vertical="center"/>
      <protection locked="0"/>
    </xf>
    <xf numFmtId="43" fontId="1" fillId="5" borderId="0" xfId="0" applyNumberFormat="1" applyFont="1" applyFill="1" applyAlignment="1" applyProtection="1">
      <alignment vertical="center"/>
      <protection locked="0"/>
    </xf>
    <xf numFmtId="182" fontId="15" fillId="0" borderId="0" xfId="2" applyNumberFormat="1" applyFont="1" applyFill="1" applyBorder="1" applyAlignment="1" applyProtection="1">
      <alignment vertical="center"/>
    </xf>
    <xf numFmtId="0" fontId="18" fillId="7" borderId="1" xfId="0" applyFont="1" applyFill="1" applyBorder="1" applyAlignment="1" applyProtection="1">
      <alignment horizontal="left" vertical="center"/>
    </xf>
    <xf numFmtId="43" fontId="19" fillId="7" borderId="1" xfId="2" applyFont="1" applyFill="1" applyBorder="1" applyAlignment="1" applyProtection="1">
      <alignment vertical="center"/>
    </xf>
    <xf numFmtId="0" fontId="20" fillId="7" borderId="1" xfId="0" applyFont="1" applyFill="1" applyBorder="1" applyAlignment="1" applyProtection="1">
      <alignment horizontal="left" vertical="center"/>
    </xf>
    <xf numFmtId="43" fontId="1" fillId="9" borderId="1" xfId="0" applyNumberFormat="1" applyFont="1" applyFill="1" applyBorder="1" applyAlignment="1" applyProtection="1">
      <alignment vertical="center"/>
    </xf>
    <xf numFmtId="0" fontId="15" fillId="0" borderId="0" xfId="0" applyFont="1" applyAlignment="1" applyProtection="1">
      <alignment vertical="center"/>
      <protection locked="0"/>
    </xf>
    <xf numFmtId="0" fontId="21" fillId="10" borderId="0" xfId="0" applyFont="1" applyFill="1" applyAlignment="1" applyProtection="1">
      <alignment horizontal="right" vertical="center"/>
    </xf>
    <xf numFmtId="41" fontId="15" fillId="10" borderId="0" xfId="0" applyNumberFormat="1" applyFont="1" applyFill="1" applyAlignment="1" applyProtection="1">
      <alignment horizontal="center" vertical="center"/>
    </xf>
    <xf numFmtId="10" fontId="22" fillId="0" borderId="0" xfId="4" applyNumberFormat="1" applyFont="1" applyAlignment="1" applyProtection="1">
      <alignment vertical="center"/>
    </xf>
    <xf numFmtId="43" fontId="1" fillId="0" borderId="0" xfId="4" applyNumberFormat="1" applyFont="1" applyAlignment="1" applyProtection="1">
      <alignment vertical="center"/>
      <protection locked="0"/>
    </xf>
    <xf numFmtId="10" fontId="1" fillId="0" borderId="0" xfId="4" applyNumberFormat="1" applyFont="1" applyAlignment="1" applyProtection="1">
      <alignment vertical="center"/>
      <protection locked="0"/>
    </xf>
    <xf numFmtId="0" fontId="23" fillId="0" borderId="0" xfId="0" applyFont="1" applyAlignment="1" applyProtection="1">
      <alignment vertical="center"/>
    </xf>
    <xf numFmtId="0" fontId="17" fillId="5" borderId="0" xfId="0" applyFont="1" applyFill="1" applyAlignment="1" applyProtection="1">
      <alignment vertical="center"/>
    </xf>
    <xf numFmtId="0" fontId="21" fillId="10" borderId="0" xfId="0" applyFont="1" applyFill="1" applyAlignment="1" applyProtection="1">
      <alignment horizontal="left" vertical="center"/>
    </xf>
    <xf numFmtId="183" fontId="1" fillId="6" borderId="13" xfId="0" applyNumberFormat="1" applyFont="1" applyFill="1" applyBorder="1" applyAlignment="1" applyProtection="1">
      <alignment horizontal="center" vertical="center"/>
    </xf>
    <xf numFmtId="183" fontId="1" fillId="6" borderId="14" xfId="0" applyNumberFormat="1" applyFont="1" applyFill="1" applyBorder="1" applyAlignment="1" applyProtection="1">
      <alignment horizontal="center" vertical="center"/>
    </xf>
    <xf numFmtId="183" fontId="1" fillId="6" borderId="15" xfId="0" applyNumberFormat="1" applyFont="1" applyFill="1" applyBorder="1" applyAlignment="1" applyProtection="1">
      <alignment horizontal="center" vertical="center"/>
    </xf>
    <xf numFmtId="0" fontId="13" fillId="5" borderId="16" xfId="0" applyFont="1" applyFill="1" applyBorder="1" applyAlignment="1" applyProtection="1">
      <alignment horizontal="center" vertical="center"/>
    </xf>
    <xf numFmtId="43" fontId="1" fillId="5" borderId="16" xfId="0" applyNumberFormat="1" applyFont="1" applyFill="1" applyBorder="1" applyAlignment="1" applyProtection="1">
      <alignment vertical="center"/>
    </xf>
    <xf numFmtId="43" fontId="1" fillId="5" borderId="17" xfId="2" applyFont="1" applyFill="1" applyBorder="1" applyAlignment="1" applyProtection="1">
      <alignment vertical="center"/>
    </xf>
    <xf numFmtId="43" fontId="1" fillId="5" borderId="18" xfId="2" applyFont="1" applyFill="1" applyBorder="1" applyAlignment="1" applyProtection="1">
      <alignment vertical="center"/>
    </xf>
    <xf numFmtId="43" fontId="1" fillId="5" borderId="19" xfId="2" applyFont="1" applyFill="1" applyBorder="1" applyAlignment="1" applyProtection="1">
      <alignment vertical="center"/>
    </xf>
    <xf numFmtId="0" fontId="13" fillId="5" borderId="20" xfId="0" applyFont="1" applyFill="1" applyBorder="1" applyAlignment="1" applyProtection="1">
      <alignment horizontal="center" vertical="center"/>
    </xf>
    <xf numFmtId="43" fontId="1" fillId="5" borderId="20" xfId="0" applyNumberFormat="1" applyFont="1" applyFill="1" applyBorder="1" applyAlignment="1" applyProtection="1">
      <alignment vertical="center"/>
    </xf>
    <xf numFmtId="43" fontId="1" fillId="5" borderId="10" xfId="2" applyFont="1" applyFill="1" applyBorder="1" applyAlignment="1" applyProtection="1">
      <alignment vertical="center"/>
    </xf>
    <xf numFmtId="43" fontId="1" fillId="5" borderId="21" xfId="2" applyFont="1" applyFill="1" applyBorder="1" applyAlignment="1" applyProtection="1">
      <alignment vertical="center"/>
    </xf>
    <xf numFmtId="43" fontId="1" fillId="5" borderId="22" xfId="2" applyFont="1" applyFill="1" applyBorder="1" applyAlignment="1" applyProtection="1">
      <alignment vertical="center"/>
    </xf>
    <xf numFmtId="0" fontId="13" fillId="5" borderId="23" xfId="0" applyFont="1" applyFill="1" applyBorder="1" applyAlignment="1" applyProtection="1">
      <alignment horizontal="center" vertical="center"/>
    </xf>
    <xf numFmtId="43" fontId="1" fillId="5" borderId="23" xfId="0" applyNumberFormat="1" applyFont="1" applyFill="1" applyBorder="1" applyAlignment="1" applyProtection="1">
      <alignment vertical="center"/>
    </xf>
    <xf numFmtId="43" fontId="1" fillId="5" borderId="24" xfId="2" applyFont="1" applyFill="1" applyBorder="1" applyAlignment="1" applyProtection="1">
      <alignment vertical="center"/>
    </xf>
    <xf numFmtId="43" fontId="1" fillId="5" borderId="25" xfId="2" applyFont="1" applyFill="1" applyBorder="1" applyAlignment="1" applyProtection="1">
      <alignment vertical="center"/>
    </xf>
    <xf numFmtId="43" fontId="1" fillId="5" borderId="26" xfId="2" applyFont="1" applyFill="1" applyBorder="1" applyAlignment="1" applyProtection="1">
      <alignment vertical="center"/>
    </xf>
    <xf numFmtId="0" fontId="13" fillId="9" borderId="1" xfId="0" applyFont="1" applyFill="1" applyBorder="1" applyAlignment="1" applyProtection="1">
      <alignment horizontal="center" vertical="center"/>
    </xf>
    <xf numFmtId="43" fontId="1" fillId="9" borderId="13" xfId="2" applyFont="1" applyFill="1" applyBorder="1" applyAlignment="1" applyProtection="1">
      <alignment vertical="center"/>
    </xf>
    <xf numFmtId="43" fontId="1" fillId="9" borderId="14" xfId="2" applyFont="1" applyFill="1" applyBorder="1" applyAlignment="1" applyProtection="1">
      <alignment vertical="center"/>
    </xf>
    <xf numFmtId="43" fontId="1" fillId="9" borderId="15" xfId="2" applyFont="1" applyFill="1" applyBorder="1" applyAlignment="1" applyProtection="1">
      <alignment vertical="center"/>
    </xf>
    <xf numFmtId="0" fontId="4" fillId="0" borderId="0" xfId="0" applyFont="1" applyAlignment="1" applyProtection="1">
      <alignment vertical="center"/>
    </xf>
    <xf numFmtId="0" fontId="1" fillId="5" borderId="16" xfId="0" applyFont="1" applyFill="1" applyBorder="1" applyAlignment="1" applyProtection="1">
      <alignment horizontal="center" vertical="center"/>
    </xf>
    <xf numFmtId="0" fontId="1" fillId="5" borderId="20" xfId="0" applyFont="1" applyFill="1" applyBorder="1" applyAlignment="1" applyProtection="1">
      <alignment horizontal="center" vertical="center"/>
    </xf>
    <xf numFmtId="43" fontId="1" fillId="5" borderId="23" xfId="0" applyNumberFormat="1" applyFont="1" applyFill="1" applyBorder="1" applyAlignment="1" applyProtection="1">
      <alignment vertical="center"/>
      <protection locked="0"/>
    </xf>
    <xf numFmtId="0" fontId="13" fillId="5" borderId="2" xfId="0" applyFont="1" applyFill="1" applyBorder="1" applyAlignment="1" applyProtection="1">
      <alignment horizontal="center" vertical="center"/>
    </xf>
    <xf numFmtId="43" fontId="1" fillId="5" borderId="27" xfId="0" applyNumberFormat="1" applyFont="1" applyFill="1" applyBorder="1" applyAlignment="1" applyProtection="1">
      <alignment vertical="center"/>
      <protection locked="0"/>
    </xf>
    <xf numFmtId="43" fontId="1" fillId="5" borderId="28" xfId="2" applyFont="1" applyFill="1" applyBorder="1" applyAlignment="1" applyProtection="1">
      <alignment vertical="center"/>
    </xf>
    <xf numFmtId="43" fontId="1" fillId="5" borderId="29" xfId="2" applyFont="1" applyFill="1" applyBorder="1" applyAlignment="1" applyProtection="1">
      <alignment vertical="center"/>
    </xf>
    <xf numFmtId="43" fontId="1" fillId="5" borderId="30" xfId="2" applyFont="1" applyFill="1" applyBorder="1" applyAlignment="1" applyProtection="1">
      <alignment vertical="center"/>
    </xf>
    <xf numFmtId="0" fontId="13" fillId="9" borderId="1" xfId="0" applyFont="1" applyFill="1" applyBorder="1" applyAlignment="1" applyProtection="1">
      <alignment horizontal="center" vertical="center" wrapText="1"/>
    </xf>
    <xf numFmtId="43" fontId="1" fillId="9" borderId="13" xfId="2" applyFont="1" applyFill="1" applyBorder="1" applyAlignment="1" applyProtection="1">
      <alignment vertical="center"/>
      <protection locked="0"/>
    </xf>
    <xf numFmtId="43" fontId="13" fillId="3" borderId="0" xfId="0" applyNumberFormat="1" applyFont="1" applyFill="1" applyAlignment="1" applyProtection="1">
      <alignment vertical="center"/>
      <protection locked="0"/>
    </xf>
    <xf numFmtId="43" fontId="1" fillId="5" borderId="31" xfId="2" applyFont="1" applyFill="1" applyBorder="1" applyAlignment="1" applyProtection="1">
      <alignment vertical="center"/>
    </xf>
    <xf numFmtId="43" fontId="1" fillId="5" borderId="0" xfId="0" applyNumberFormat="1" applyFont="1" applyFill="1" applyAlignment="1" applyProtection="1">
      <alignment vertical="center"/>
    </xf>
    <xf numFmtId="186" fontId="1" fillId="5" borderId="0" xfId="0" applyNumberFormat="1" applyFont="1" applyFill="1" applyAlignment="1" applyProtection="1">
      <alignment vertical="center"/>
    </xf>
    <xf numFmtId="0" fontId="13" fillId="6" borderId="1" xfId="0" applyFont="1" applyFill="1" applyBorder="1" applyAlignment="1" applyProtection="1">
      <alignment vertical="center"/>
      <protection locked="0"/>
    </xf>
    <xf numFmtId="0" fontId="13" fillId="6" borderId="11" xfId="0" applyFont="1" applyFill="1" applyBorder="1" applyAlignment="1" applyProtection="1">
      <alignment horizontal="right" vertical="center"/>
    </xf>
    <xf numFmtId="0" fontId="13" fillId="11" borderId="32" xfId="0" applyFont="1" applyFill="1" applyBorder="1" applyAlignment="1" applyProtection="1">
      <alignment horizontal="center" vertical="center"/>
      <protection locked="0"/>
    </xf>
    <xf numFmtId="0" fontId="13" fillId="11" borderId="14" xfId="0" applyFont="1" applyFill="1" applyBorder="1" applyAlignment="1" applyProtection="1">
      <alignment horizontal="center" vertical="center"/>
      <protection locked="0"/>
    </xf>
    <xf numFmtId="0" fontId="1" fillId="11" borderId="14" xfId="0" applyFont="1" applyFill="1" applyBorder="1" applyAlignment="1" applyProtection="1">
      <alignment horizontal="center" vertical="center"/>
      <protection locked="0"/>
    </xf>
    <xf numFmtId="0" fontId="24" fillId="6" borderId="1" xfId="0" applyFont="1" applyFill="1" applyBorder="1" applyAlignment="1" applyProtection="1">
      <alignment horizontal="center" vertical="center"/>
    </xf>
    <xf numFmtId="0" fontId="24" fillId="6" borderId="11" xfId="0" applyFont="1" applyFill="1" applyBorder="1" applyAlignment="1" applyProtection="1">
      <alignment horizontal="center" vertical="center"/>
    </xf>
    <xf numFmtId="0" fontId="24" fillId="6" borderId="32" xfId="0" applyFont="1" applyFill="1" applyBorder="1" applyAlignment="1" applyProtection="1">
      <alignment horizontal="center" vertical="center"/>
    </xf>
    <xf numFmtId="0" fontId="24" fillId="6" borderId="14" xfId="0" applyFont="1" applyFill="1" applyBorder="1" applyAlignment="1" applyProtection="1">
      <alignment horizontal="center" vertical="center"/>
    </xf>
    <xf numFmtId="0" fontId="24" fillId="6" borderId="1" xfId="0" applyFont="1" applyFill="1" applyBorder="1" applyAlignment="1" applyProtection="1">
      <alignment vertical="center"/>
    </xf>
    <xf numFmtId="43" fontId="25" fillId="5" borderId="11" xfId="2" applyFont="1" applyFill="1" applyBorder="1" applyAlignment="1" applyProtection="1">
      <alignment vertical="center"/>
    </xf>
    <xf numFmtId="43" fontId="25" fillId="5" borderId="32" xfId="2" applyFont="1" applyFill="1" applyBorder="1" applyAlignment="1" applyProtection="1">
      <alignment vertical="center"/>
    </xf>
    <xf numFmtId="43" fontId="25" fillId="5" borderId="14" xfId="2" applyFont="1" applyFill="1" applyBorder="1" applyAlignment="1" applyProtection="1">
      <alignment vertical="center"/>
    </xf>
    <xf numFmtId="43" fontId="1" fillId="0" borderId="32" xfId="0" applyNumberFormat="1" applyFont="1" applyFill="1" applyBorder="1" applyAlignment="1" applyProtection="1">
      <alignment vertical="center"/>
    </xf>
    <xf numFmtId="43" fontId="1" fillId="0" borderId="14" xfId="0" applyNumberFormat="1" applyFont="1" applyFill="1" applyBorder="1" applyAlignment="1" applyProtection="1">
      <alignment vertical="center"/>
    </xf>
    <xf numFmtId="43" fontId="1" fillId="5" borderId="14" xfId="0" applyNumberFormat="1" applyFont="1" applyFill="1" applyBorder="1" applyAlignment="1" applyProtection="1">
      <alignment vertical="center"/>
    </xf>
    <xf numFmtId="43" fontId="25" fillId="0" borderId="32" xfId="2" applyFont="1" applyFill="1" applyBorder="1" applyAlignment="1" applyProtection="1">
      <alignment vertical="center"/>
    </xf>
    <xf numFmtId="9" fontId="25" fillId="5" borderId="11" xfId="4" applyNumberFormat="1" applyFont="1" applyFill="1" applyBorder="1" applyAlignment="1" applyProtection="1">
      <alignment vertical="center"/>
    </xf>
    <xf numFmtId="9" fontId="25" fillId="5" borderId="32" xfId="4" applyNumberFormat="1" applyFont="1" applyFill="1" applyBorder="1" applyAlignment="1" applyProtection="1">
      <alignment vertical="center"/>
    </xf>
    <xf numFmtId="9" fontId="25" fillId="5" borderId="14" xfId="4" applyNumberFormat="1" applyFont="1" applyFill="1" applyBorder="1" applyAlignment="1" applyProtection="1">
      <alignment vertical="center"/>
    </xf>
    <xf numFmtId="9" fontId="25" fillId="5" borderId="32" xfId="4" applyFont="1" applyFill="1" applyBorder="1" applyAlignment="1" applyProtection="1">
      <alignment vertical="center"/>
    </xf>
    <xf numFmtId="9" fontId="25" fillId="5" borderId="14" xfId="4" applyFont="1" applyFill="1" applyBorder="1" applyAlignment="1" applyProtection="1">
      <alignment vertical="center"/>
    </xf>
    <xf numFmtId="43" fontId="25" fillId="3" borderId="32" xfId="2" applyFont="1" applyFill="1" applyBorder="1" applyAlignment="1" applyProtection="1">
      <alignment vertical="center"/>
    </xf>
    <xf numFmtId="43" fontId="25" fillId="3" borderId="14" xfId="2" applyFont="1" applyFill="1" applyBorder="1" applyAlignment="1" applyProtection="1">
      <alignment vertical="center"/>
    </xf>
    <xf numFmtId="43" fontId="1" fillId="12" borderId="11" xfId="0" applyNumberFormat="1" applyFont="1" applyFill="1" applyBorder="1" applyAlignment="1" applyProtection="1">
      <alignment vertical="center"/>
    </xf>
    <xf numFmtId="43" fontId="1" fillId="12" borderId="32" xfId="0" applyNumberFormat="1" applyFont="1" applyFill="1" applyBorder="1" applyAlignment="1" applyProtection="1">
      <alignment vertical="center"/>
    </xf>
    <xf numFmtId="43" fontId="1" fillId="12" borderId="14" xfId="0" applyNumberFormat="1" applyFont="1" applyFill="1" applyBorder="1" applyAlignment="1" applyProtection="1">
      <alignment vertical="center"/>
    </xf>
    <xf numFmtId="0" fontId="1" fillId="11" borderId="32" xfId="0" applyFont="1" applyFill="1" applyBorder="1" applyAlignment="1" applyProtection="1">
      <alignment horizontal="center" vertical="center"/>
      <protection locked="0"/>
    </xf>
    <xf numFmtId="43" fontId="25" fillId="0" borderId="14" xfId="2" applyFont="1" applyFill="1" applyBorder="1" applyAlignment="1" applyProtection="1">
      <alignment vertical="center"/>
    </xf>
    <xf numFmtId="43" fontId="1" fillId="5" borderId="32" xfId="0" applyNumberFormat="1" applyFont="1" applyFill="1" applyBorder="1" applyAlignment="1" applyProtection="1">
      <alignment vertical="center"/>
    </xf>
    <xf numFmtId="0" fontId="1" fillId="11" borderId="33" xfId="0" applyFont="1" applyFill="1" applyBorder="1" applyAlignment="1" applyProtection="1">
      <alignment horizontal="center" vertical="center"/>
      <protection locked="0"/>
    </xf>
    <xf numFmtId="0" fontId="24" fillId="6" borderId="33" xfId="0" applyFont="1" applyFill="1" applyBorder="1" applyAlignment="1" applyProtection="1">
      <alignment horizontal="center" vertical="center"/>
    </xf>
    <xf numFmtId="0" fontId="24" fillId="6" borderId="35" xfId="0" applyFont="1" applyFill="1" applyBorder="1" applyAlignment="1" applyProtection="1">
      <alignment horizontal="center" vertical="center"/>
    </xf>
    <xf numFmtId="43" fontId="25" fillId="5" borderId="33" xfId="2" applyFont="1" applyFill="1" applyBorder="1" applyAlignment="1" applyProtection="1">
      <alignment vertical="center"/>
    </xf>
    <xf numFmtId="43" fontId="25" fillId="5" borderId="35" xfId="2" applyFont="1" applyFill="1" applyBorder="1" applyAlignment="1" applyProtection="1">
      <alignment vertical="center"/>
    </xf>
    <xf numFmtId="43" fontId="1" fillId="0" borderId="33" xfId="0" applyNumberFormat="1" applyFont="1" applyFill="1" applyBorder="1" applyAlignment="1" applyProtection="1">
      <alignment vertical="center"/>
    </xf>
    <xf numFmtId="9" fontId="25" fillId="5" borderId="33" xfId="4" applyNumberFormat="1" applyFont="1" applyFill="1" applyBorder="1" applyAlignment="1" applyProtection="1">
      <alignment vertical="center"/>
    </xf>
    <xf numFmtId="9" fontId="25" fillId="5" borderId="35" xfId="4" applyNumberFormat="1" applyFont="1" applyFill="1" applyBorder="1" applyAlignment="1" applyProtection="1">
      <alignment vertical="center"/>
    </xf>
    <xf numFmtId="9" fontId="25" fillId="5" borderId="35" xfId="4" applyFont="1" applyFill="1" applyBorder="1" applyAlignment="1" applyProtection="1">
      <alignment vertical="center"/>
    </xf>
    <xf numFmtId="9" fontId="25" fillId="5" borderId="33" xfId="4" applyFont="1" applyFill="1" applyBorder="1" applyAlignment="1" applyProtection="1">
      <alignment vertical="center"/>
    </xf>
    <xf numFmtId="43" fontId="25" fillId="5" borderId="36" xfId="2" applyFont="1" applyFill="1" applyBorder="1" applyAlignment="1" applyProtection="1">
      <alignment vertical="center"/>
    </xf>
    <xf numFmtId="43" fontId="25" fillId="0" borderId="33" xfId="2" applyFont="1" applyFill="1" applyBorder="1" applyAlignment="1" applyProtection="1">
      <alignment vertical="center"/>
    </xf>
    <xf numFmtId="43" fontId="25" fillId="3" borderId="36" xfId="2" applyFont="1" applyFill="1" applyBorder="1" applyAlignment="1" applyProtection="1">
      <alignment vertical="center"/>
    </xf>
    <xf numFmtId="43" fontId="1" fillId="12" borderId="33" xfId="0" applyNumberFormat="1" applyFont="1" applyFill="1" applyBorder="1" applyAlignment="1" applyProtection="1">
      <alignment vertical="center"/>
    </xf>
    <xf numFmtId="43" fontId="25" fillId="12" borderId="36" xfId="2" applyFont="1" applyFill="1" applyBorder="1" applyAlignment="1" applyProtection="1">
      <alignment vertical="center"/>
    </xf>
    <xf numFmtId="0" fontId="24" fillId="6" borderId="8" xfId="0" applyFont="1" applyFill="1" applyBorder="1" applyAlignment="1" applyProtection="1">
      <alignment horizontal="center" vertical="center"/>
    </xf>
    <xf numFmtId="43" fontId="25" fillId="5" borderId="8" xfId="2" applyFont="1" applyFill="1" applyBorder="1" applyAlignment="1" applyProtection="1">
      <alignment vertical="center"/>
    </xf>
    <xf numFmtId="9" fontId="25" fillId="5" borderId="8" xfId="4" applyNumberFormat="1" applyFont="1" applyFill="1" applyBorder="1" applyAlignment="1" applyProtection="1">
      <alignment vertical="center"/>
    </xf>
    <xf numFmtId="9" fontId="25" fillId="5" borderId="8" xfId="4" applyFont="1" applyFill="1" applyBorder="1" applyAlignment="1" applyProtection="1">
      <alignment vertical="center"/>
    </xf>
    <xf numFmtId="43" fontId="25" fillId="12" borderId="8" xfId="2" applyFont="1" applyFill="1" applyBorder="1" applyAlignment="1" applyProtection="1">
      <alignment vertical="center"/>
    </xf>
    <xf numFmtId="43" fontId="1" fillId="5" borderId="14" xfId="0" applyNumberFormat="1" applyFont="1" applyFill="1" applyBorder="1" applyAlignment="1" applyProtection="1">
      <alignment vertical="center"/>
      <protection locked="0"/>
    </xf>
    <xf numFmtId="43" fontId="1" fillId="5" borderId="33" xfId="0" applyNumberFormat="1" applyFont="1" applyFill="1" applyBorder="1" applyAlignment="1" applyProtection="1">
      <alignment vertical="center"/>
      <protection locked="0"/>
    </xf>
    <xf numFmtId="0" fontId="13" fillId="11" borderId="37" xfId="0" applyFont="1" applyFill="1" applyBorder="1" applyAlignment="1" applyProtection="1">
      <alignment horizontal="center" vertical="center"/>
      <protection locked="0"/>
    </xf>
    <xf numFmtId="0" fontId="13" fillId="11" borderId="0" xfId="0" applyFont="1" applyFill="1" applyBorder="1" applyAlignment="1" applyProtection="1">
      <alignment horizontal="center" vertical="center"/>
      <protection locked="0"/>
    </xf>
    <xf numFmtId="0" fontId="24" fillId="6" borderId="0" xfId="0" applyFont="1" applyFill="1" applyBorder="1" applyAlignment="1" applyProtection="1">
      <alignment horizontal="center" vertical="center"/>
    </xf>
    <xf numFmtId="43" fontId="25" fillId="5" borderId="1" xfId="2" applyFont="1" applyFill="1" applyBorder="1" applyAlignment="1" applyProtection="1">
      <alignment vertical="center"/>
    </xf>
    <xf numFmtId="43" fontId="25" fillId="5" borderId="0" xfId="2" applyFont="1" applyFill="1" applyBorder="1" applyAlignment="1" applyProtection="1">
      <alignment vertical="center"/>
    </xf>
    <xf numFmtId="9" fontId="25" fillId="5" borderId="1" xfId="4" applyNumberFormat="1" applyFont="1" applyFill="1" applyBorder="1" applyAlignment="1" applyProtection="1">
      <alignment vertical="center"/>
    </xf>
    <xf numFmtId="9" fontId="25" fillId="5" borderId="0" xfId="4" applyNumberFormat="1" applyFont="1" applyFill="1" applyBorder="1" applyAlignment="1" applyProtection="1">
      <alignment vertical="center"/>
    </xf>
    <xf numFmtId="9" fontId="25" fillId="5" borderId="1" xfId="4" applyFont="1" applyFill="1" applyBorder="1" applyAlignment="1" applyProtection="1">
      <alignment vertical="center"/>
    </xf>
    <xf numFmtId="9" fontId="25" fillId="5" borderId="0" xfId="4" applyFont="1" applyFill="1" applyBorder="1" applyAlignment="1" applyProtection="1">
      <alignment vertical="center"/>
    </xf>
    <xf numFmtId="43" fontId="25" fillId="3" borderId="1" xfId="2" applyFont="1" applyFill="1" applyBorder="1" applyAlignment="1" applyProtection="1">
      <alignment vertical="center"/>
    </xf>
    <xf numFmtId="43" fontId="25" fillId="3" borderId="8" xfId="2" applyFont="1" applyFill="1" applyBorder="1" applyAlignment="1" applyProtection="1">
      <alignment vertical="center"/>
    </xf>
    <xf numFmtId="43" fontId="25" fillId="12" borderId="1" xfId="2" applyFont="1" applyFill="1" applyBorder="1" applyAlignment="1" applyProtection="1">
      <alignment vertical="center"/>
    </xf>
    <xf numFmtId="10" fontId="1" fillId="0" borderId="0" xfId="0" applyNumberFormat="1" applyFont="1" applyAlignment="1" applyProtection="1">
      <alignment vertical="center"/>
      <protection locked="0"/>
    </xf>
    <xf numFmtId="0" fontId="13" fillId="11" borderId="8" xfId="0" applyFont="1" applyFill="1" applyBorder="1" applyAlignment="1" applyProtection="1">
      <alignment horizontal="center" vertical="center"/>
      <protection locked="0"/>
    </xf>
    <xf numFmtId="183" fontId="26" fillId="6" borderId="13" xfId="0" applyNumberFormat="1" applyFont="1" applyFill="1" applyBorder="1" applyAlignment="1" applyProtection="1">
      <alignment horizontal="center" vertical="center"/>
    </xf>
    <xf numFmtId="183" fontId="26" fillId="6" borderId="14" xfId="0" applyNumberFormat="1" applyFont="1" applyFill="1" applyBorder="1" applyAlignment="1" applyProtection="1">
      <alignment horizontal="center" vertical="center"/>
    </xf>
    <xf numFmtId="183" fontId="26" fillId="6" borderId="15" xfId="0" applyNumberFormat="1" applyFont="1" applyFill="1" applyBorder="1" applyAlignment="1" applyProtection="1">
      <alignment horizontal="center" vertical="center"/>
    </xf>
    <xf numFmtId="0" fontId="13" fillId="5" borderId="1" xfId="0" applyFont="1" applyFill="1" applyBorder="1" applyAlignment="1" applyProtection="1">
      <alignment horizontal="center" vertical="center"/>
    </xf>
    <xf numFmtId="0" fontId="13" fillId="5" borderId="1" xfId="0" applyFont="1" applyFill="1" applyBorder="1" applyAlignment="1" applyProtection="1">
      <alignment vertical="center"/>
    </xf>
    <xf numFmtId="43" fontId="1" fillId="5" borderId="1" xfId="0" applyNumberFormat="1" applyFont="1" applyFill="1" applyBorder="1" applyAlignment="1" applyProtection="1">
      <alignment vertical="center"/>
    </xf>
    <xf numFmtId="43" fontId="1" fillId="5" borderId="13" xfId="0" applyNumberFormat="1" applyFont="1" applyFill="1" applyBorder="1" applyAlignment="1" applyProtection="1">
      <alignment vertical="center"/>
    </xf>
    <xf numFmtId="43" fontId="1" fillId="5" borderId="15" xfId="0" applyNumberFormat="1" applyFont="1" applyFill="1" applyBorder="1" applyAlignment="1" applyProtection="1">
      <alignment vertical="center"/>
    </xf>
    <xf numFmtId="0" fontId="26" fillId="6" borderId="1" xfId="0" applyNumberFormat="1" applyFont="1" applyFill="1" applyBorder="1" applyAlignment="1" applyProtection="1">
      <alignment horizontal="center" vertical="center"/>
    </xf>
    <xf numFmtId="183" fontId="26" fillId="6" borderId="1" xfId="0" applyNumberFormat="1" applyFont="1" applyFill="1" applyBorder="1" applyAlignment="1" applyProtection="1">
      <alignment horizontal="center" vertical="center"/>
    </xf>
    <xf numFmtId="41" fontId="1" fillId="5" borderId="33" xfId="0" applyNumberFormat="1" applyFont="1" applyFill="1" applyBorder="1" applyAlignment="1" applyProtection="1">
      <alignment vertical="center"/>
    </xf>
    <xf numFmtId="43" fontId="25" fillId="0" borderId="33" xfId="2" applyFont="1" applyFill="1" applyBorder="1" applyAlignment="1" applyProtection="1">
      <alignment vertical="center"/>
      <protection locked="0"/>
    </xf>
    <xf numFmtId="43" fontId="1" fillId="5" borderId="33" xfId="0" applyNumberFormat="1" applyFont="1" applyFill="1" applyBorder="1" applyAlignment="1" applyProtection="1">
      <alignment vertical="center"/>
    </xf>
    <xf numFmtId="43" fontId="1" fillId="5" borderId="38" xfId="0" applyNumberFormat="1" applyFont="1" applyFill="1" applyBorder="1" applyAlignment="1" applyProtection="1">
      <alignment vertical="center"/>
    </xf>
    <xf numFmtId="0" fontId="13" fillId="5" borderId="0" xfId="0" applyFont="1" applyFill="1" applyAlignment="1" applyProtection="1">
      <alignment vertical="center"/>
    </xf>
    <xf numFmtId="0" fontId="1" fillId="5" borderId="1" xfId="0" applyFont="1" applyFill="1" applyBorder="1" applyAlignment="1" applyProtection="1">
      <alignment vertical="center"/>
    </xf>
    <xf numFmtId="43" fontId="1" fillId="5" borderId="13" xfId="2" applyFont="1" applyFill="1" applyBorder="1" applyAlignment="1" applyProtection="1">
      <alignment vertical="center"/>
    </xf>
    <xf numFmtId="43" fontId="1" fillId="5" borderId="14" xfId="2" applyFont="1" applyFill="1" applyBorder="1" applyAlignment="1" applyProtection="1">
      <alignment vertical="center"/>
    </xf>
    <xf numFmtId="43" fontId="1" fillId="5" borderId="15" xfId="2" applyFont="1" applyFill="1" applyBorder="1" applyAlignment="1" applyProtection="1">
      <alignment vertical="center"/>
    </xf>
    <xf numFmtId="0" fontId="13" fillId="10" borderId="0" xfId="0" applyFont="1" applyFill="1" applyAlignment="1" applyProtection="1">
      <alignment vertical="center"/>
    </xf>
    <xf numFmtId="43" fontId="1" fillId="10" borderId="0" xfId="0" applyNumberFormat="1" applyFont="1" applyFill="1" applyAlignment="1" applyProtection="1">
      <alignment vertical="center"/>
    </xf>
    <xf numFmtId="0" fontId="24" fillId="6" borderId="13" xfId="0" applyFont="1" applyFill="1" applyBorder="1" applyAlignment="1" applyProtection="1">
      <alignment horizontal="center" vertical="center"/>
    </xf>
    <xf numFmtId="41" fontId="1" fillId="5" borderId="13" xfId="0" applyNumberFormat="1" applyFont="1" applyFill="1" applyBorder="1" applyAlignment="1" applyProtection="1">
      <alignment vertical="center"/>
    </xf>
    <xf numFmtId="41" fontId="1" fillId="0" borderId="14" xfId="0" applyNumberFormat="1" applyFont="1" applyBorder="1" applyAlignment="1" applyProtection="1">
      <alignment vertical="center"/>
    </xf>
    <xf numFmtId="0" fontId="23" fillId="0" borderId="0" xfId="0" applyFont="1" applyFill="1" applyAlignment="1" applyProtection="1">
      <alignment vertical="center"/>
    </xf>
    <xf numFmtId="0" fontId="1" fillId="0" borderId="0" xfId="0" applyFont="1" applyFill="1" applyAlignment="1" applyProtection="1">
      <alignment vertical="center"/>
    </xf>
    <xf numFmtId="0" fontId="1" fillId="0" borderId="1" xfId="0" applyFont="1" applyFill="1" applyBorder="1" applyAlignment="1" applyProtection="1">
      <alignment vertical="center"/>
    </xf>
    <xf numFmtId="41" fontId="24" fillId="0" borderId="14" xfId="0" applyNumberFormat="1" applyFont="1" applyFill="1" applyBorder="1" applyAlignment="1" applyProtection="1">
      <alignment horizontal="center" vertical="center"/>
    </xf>
    <xf numFmtId="41" fontId="1" fillId="3" borderId="14" xfId="0" applyNumberFormat="1" applyFont="1" applyFill="1" applyBorder="1" applyAlignment="1" applyProtection="1">
      <alignment vertical="center"/>
    </xf>
    <xf numFmtId="183" fontId="1" fillId="0" borderId="0" xfId="0" applyNumberFormat="1" applyFont="1" applyAlignment="1" applyProtection="1">
      <alignment vertical="center"/>
    </xf>
    <xf numFmtId="0" fontId="24" fillId="6" borderId="39" xfId="0" applyFont="1" applyFill="1" applyBorder="1" applyAlignment="1" applyProtection="1">
      <alignment horizontal="center" vertical="center"/>
    </xf>
    <xf numFmtId="41" fontId="1" fillId="0" borderId="15" xfId="0" applyNumberFormat="1" applyFont="1" applyBorder="1" applyAlignment="1" applyProtection="1">
      <alignment vertical="center"/>
    </xf>
    <xf numFmtId="43" fontId="1" fillId="5" borderId="38" xfId="2" applyFont="1" applyFill="1" applyBorder="1" applyAlignment="1" applyProtection="1">
      <alignment vertical="center"/>
    </xf>
    <xf numFmtId="0" fontId="1" fillId="5" borderId="0" xfId="0" applyFont="1" applyFill="1" applyAlignment="1" applyProtection="1">
      <alignment horizontal="center" vertical="center"/>
    </xf>
    <xf numFmtId="0" fontId="27" fillId="0" borderId="0" xfId="0" applyFont="1" applyAlignment="1" applyProtection="1">
      <alignment vertical="center"/>
    </xf>
    <xf numFmtId="182" fontId="27" fillId="0" borderId="0" xfId="4" applyNumberFormat="1" applyFont="1" applyAlignment="1" applyProtection="1">
      <alignment vertical="center"/>
    </xf>
    <xf numFmtId="0" fontId="27" fillId="0" borderId="0" xfId="0" applyFont="1" applyFill="1" applyBorder="1" applyAlignment="1" applyProtection="1">
      <alignment vertical="center"/>
    </xf>
    <xf numFmtId="0" fontId="0" fillId="0" borderId="0" xfId="0" applyFill="1" applyBorder="1" applyProtection="1"/>
    <xf numFmtId="0" fontId="0" fillId="0" borderId="0" xfId="0" applyProtection="1"/>
    <xf numFmtId="0" fontId="28" fillId="0" borderId="0" xfId="0" applyNumberFormat="1" applyFont="1" applyAlignment="1" applyProtection="1">
      <alignment vertical="center"/>
    </xf>
    <xf numFmtId="0" fontId="16" fillId="0" borderId="0" xfId="3" applyFont="1" applyProtection="1"/>
    <xf numFmtId="0" fontId="29" fillId="0" borderId="0" xfId="0" applyFont="1" applyAlignment="1" applyProtection="1">
      <alignment vertical="center"/>
    </xf>
    <xf numFmtId="0" fontId="29" fillId="6" borderId="41" xfId="0" applyFont="1" applyFill="1" applyBorder="1" applyAlignment="1" applyProtection="1">
      <alignment horizontal="center" vertical="center"/>
    </xf>
    <xf numFmtId="183" fontId="26" fillId="6" borderId="10" xfId="0" applyNumberFormat="1" applyFont="1" applyFill="1" applyBorder="1" applyAlignment="1" applyProtection="1">
      <alignment horizontal="center" vertical="center"/>
    </xf>
    <xf numFmtId="183" fontId="26" fillId="6" borderId="21" xfId="0" applyNumberFormat="1" applyFont="1" applyFill="1" applyBorder="1" applyAlignment="1" applyProtection="1">
      <alignment horizontal="center" vertical="center"/>
    </xf>
    <xf numFmtId="183" fontId="26" fillId="6" borderId="22" xfId="0" applyNumberFormat="1" applyFont="1" applyFill="1" applyBorder="1" applyAlignment="1" applyProtection="1">
      <alignment horizontal="center" vertical="center"/>
    </xf>
    <xf numFmtId="182" fontId="27" fillId="0" borderId="43" xfId="4" applyNumberFormat="1" applyFont="1" applyBorder="1" applyAlignment="1" applyProtection="1">
      <alignment horizontal="center" vertical="center"/>
    </xf>
    <xf numFmtId="182" fontId="27" fillId="12" borderId="20" xfId="4" applyNumberFormat="1" applyFont="1" applyFill="1" applyBorder="1" applyAlignment="1" applyProtection="1">
      <alignment horizontal="center" vertical="center"/>
    </xf>
    <xf numFmtId="182" fontId="1" fillId="12" borderId="21" xfId="4" applyNumberFormat="1" applyFont="1" applyFill="1" applyBorder="1" applyAlignment="1" applyProtection="1">
      <alignment vertical="center"/>
    </xf>
    <xf numFmtId="182" fontId="1" fillId="12" borderId="10" xfId="4" applyNumberFormat="1" applyFont="1" applyFill="1" applyBorder="1" applyAlignment="1" applyProtection="1">
      <alignment vertical="center"/>
    </xf>
    <xf numFmtId="182" fontId="1" fillId="12" borderId="22" xfId="4" applyNumberFormat="1" applyFont="1" applyFill="1" applyBorder="1" applyAlignment="1" applyProtection="1">
      <alignment vertical="center"/>
    </xf>
    <xf numFmtId="182" fontId="27" fillId="0" borderId="20" xfId="4" applyNumberFormat="1" applyFont="1" applyBorder="1" applyAlignment="1" applyProtection="1">
      <alignment horizontal="center" vertical="center"/>
    </xf>
    <xf numFmtId="182" fontId="1" fillId="5" borderId="21" xfId="4" applyNumberFormat="1" applyFont="1" applyFill="1" applyBorder="1" applyAlignment="1" applyProtection="1">
      <alignment vertical="center"/>
    </xf>
    <xf numFmtId="182" fontId="1" fillId="0" borderId="10" xfId="4" applyNumberFormat="1" applyFont="1" applyFill="1" applyBorder="1" applyAlignment="1" applyProtection="1">
      <alignment vertical="center"/>
    </xf>
    <xf numFmtId="182" fontId="1" fillId="0" borderId="21" xfId="4" applyNumberFormat="1" applyFont="1" applyFill="1" applyBorder="1" applyAlignment="1" applyProtection="1">
      <alignment vertical="center"/>
    </xf>
    <xf numFmtId="182" fontId="1" fillId="0" borderId="22" xfId="4" applyNumberFormat="1" applyFont="1" applyFill="1" applyBorder="1" applyAlignment="1" applyProtection="1">
      <alignment vertical="center"/>
    </xf>
    <xf numFmtId="182" fontId="27" fillId="0" borderId="23" xfId="4" applyNumberFormat="1" applyFont="1" applyBorder="1" applyAlignment="1" applyProtection="1">
      <alignment horizontal="center" vertical="center"/>
    </xf>
    <xf numFmtId="182" fontId="1" fillId="5" borderId="23" xfId="4" applyNumberFormat="1" applyFont="1" applyFill="1" applyBorder="1" applyAlignment="1" applyProtection="1">
      <alignment vertical="center"/>
    </xf>
    <xf numFmtId="182" fontId="1" fillId="0" borderId="24" xfId="4" applyNumberFormat="1" applyFont="1" applyFill="1" applyBorder="1" applyAlignment="1" applyProtection="1">
      <alignment vertical="center"/>
    </xf>
    <xf numFmtId="182" fontId="1" fillId="0" borderId="25" xfId="4" applyNumberFormat="1" applyFont="1" applyFill="1" applyBorder="1" applyAlignment="1" applyProtection="1">
      <alignment vertical="center"/>
    </xf>
    <xf numFmtId="182" fontId="1" fillId="0" borderId="26" xfId="4" applyNumberFormat="1" applyFont="1" applyFill="1" applyBorder="1" applyAlignment="1" applyProtection="1">
      <alignment vertical="center"/>
    </xf>
    <xf numFmtId="182" fontId="27" fillId="12" borderId="16" xfId="4" applyNumberFormat="1" applyFont="1" applyFill="1" applyBorder="1" applyAlignment="1" applyProtection="1">
      <alignment horizontal="center" vertical="center"/>
    </xf>
    <xf numFmtId="182" fontId="1" fillId="12" borderId="18" xfId="4" applyNumberFormat="1" applyFont="1" applyFill="1" applyBorder="1" applyAlignment="1" applyProtection="1">
      <alignment vertical="center"/>
    </xf>
    <xf numFmtId="182" fontId="1" fillId="12" borderId="17" xfId="4" applyNumberFormat="1" applyFont="1" applyFill="1" applyBorder="1" applyAlignment="1" applyProtection="1">
      <alignment vertical="center"/>
    </xf>
    <xf numFmtId="182" fontId="1" fillId="12" borderId="19" xfId="4" applyNumberFormat="1" applyFont="1" applyFill="1" applyBorder="1" applyAlignment="1" applyProtection="1">
      <alignment vertical="center"/>
    </xf>
    <xf numFmtId="182" fontId="27" fillId="0" borderId="0" xfId="4" applyNumberFormat="1" applyFont="1" applyBorder="1" applyAlignment="1" applyProtection="1">
      <alignment horizontal="center" vertical="center"/>
    </xf>
    <xf numFmtId="182" fontId="27" fillId="10" borderId="0" xfId="4" applyNumberFormat="1" applyFont="1" applyFill="1" applyBorder="1" applyAlignment="1" applyProtection="1">
      <alignment horizontal="center" vertical="center"/>
    </xf>
    <xf numFmtId="182" fontId="1" fillId="10" borderId="0" xfId="4" applyNumberFormat="1" applyFont="1" applyFill="1" applyBorder="1" applyAlignment="1" applyProtection="1">
      <alignment vertical="center"/>
    </xf>
    <xf numFmtId="182" fontId="1" fillId="0" borderId="0" xfId="4" applyNumberFormat="1" applyFont="1" applyFill="1" applyBorder="1" applyAlignment="1" applyProtection="1">
      <alignment vertical="center"/>
    </xf>
    <xf numFmtId="182" fontId="1" fillId="5" borderId="0" xfId="4" applyNumberFormat="1" applyFont="1" applyFill="1" applyBorder="1" applyAlignment="1" applyProtection="1">
      <alignment vertical="center"/>
    </xf>
    <xf numFmtId="182" fontId="29" fillId="0" borderId="0" xfId="4" applyNumberFormat="1" applyFont="1" applyFill="1" applyBorder="1" applyAlignment="1" applyProtection="1">
      <alignment horizontal="left" vertical="center"/>
    </xf>
    <xf numFmtId="182" fontId="27" fillId="0" borderId="0" xfId="4" applyNumberFormat="1" applyFont="1" applyFill="1" applyBorder="1" applyAlignment="1" applyProtection="1">
      <alignment horizontal="center" vertical="center"/>
    </xf>
    <xf numFmtId="182" fontId="27" fillId="0" borderId="1" xfId="4" applyNumberFormat="1" applyFont="1" applyBorder="1" applyAlignment="1" applyProtection="1">
      <alignment horizontal="center" vertical="center"/>
    </xf>
    <xf numFmtId="182" fontId="27" fillId="12" borderId="42" xfId="4" applyNumberFormat="1" applyFont="1" applyFill="1" applyBorder="1" applyAlignment="1" applyProtection="1">
      <alignment horizontal="center" vertical="center"/>
    </xf>
    <xf numFmtId="182" fontId="1" fillId="12" borderId="44" xfId="4" applyNumberFormat="1" applyFont="1" applyFill="1" applyBorder="1" applyAlignment="1" applyProtection="1">
      <alignment vertical="center"/>
    </xf>
    <xf numFmtId="182" fontId="1" fillId="12" borderId="45" xfId="4" applyNumberFormat="1" applyFont="1" applyFill="1" applyBorder="1" applyAlignment="1" applyProtection="1">
      <alignment vertical="center"/>
    </xf>
    <xf numFmtId="182" fontId="1" fillId="12" borderId="46" xfId="4" applyNumberFormat="1" applyFont="1" applyFill="1" applyBorder="1" applyAlignment="1" applyProtection="1">
      <alignment vertical="center"/>
    </xf>
    <xf numFmtId="182" fontId="27" fillId="13" borderId="20" xfId="4" applyNumberFormat="1" applyFont="1" applyFill="1" applyBorder="1" applyAlignment="1" applyProtection="1">
      <alignment horizontal="left" vertical="center"/>
    </xf>
    <xf numFmtId="182" fontId="1" fillId="13" borderId="21" xfId="4" applyNumberFormat="1" applyFont="1" applyFill="1" applyBorder="1" applyAlignment="1" applyProtection="1">
      <alignment vertical="center"/>
    </xf>
    <xf numFmtId="182" fontId="1" fillId="13" borderId="10" xfId="4" applyNumberFormat="1" applyFont="1" applyFill="1" applyBorder="1" applyAlignment="1" applyProtection="1">
      <alignment vertical="center"/>
    </xf>
    <xf numFmtId="182" fontId="1" fillId="13" borderId="22" xfId="4" applyNumberFormat="1" applyFont="1" applyFill="1" applyBorder="1" applyAlignment="1" applyProtection="1">
      <alignment vertical="center"/>
    </xf>
    <xf numFmtId="182" fontId="27" fillId="0" borderId="20" xfId="4" applyNumberFormat="1" applyFont="1" applyBorder="1" applyAlignment="1" applyProtection="1">
      <alignment horizontal="left" vertical="center" indent="1"/>
    </xf>
    <xf numFmtId="179" fontId="27" fillId="0" borderId="0" xfId="4" applyNumberFormat="1" applyFont="1" applyAlignment="1" applyProtection="1">
      <alignment vertical="center"/>
    </xf>
    <xf numFmtId="182" fontId="27" fillId="13" borderId="43" xfId="4" applyNumberFormat="1" applyFont="1" applyFill="1" applyBorder="1" applyAlignment="1" applyProtection="1">
      <alignment horizontal="left" vertical="center"/>
    </xf>
    <xf numFmtId="182" fontId="1" fillId="13" borderId="47" xfId="4" applyNumberFormat="1" applyFont="1" applyFill="1" applyBorder="1" applyAlignment="1" applyProtection="1">
      <alignment vertical="center"/>
    </xf>
    <xf numFmtId="182" fontId="1" fillId="13" borderId="48" xfId="4" applyNumberFormat="1" applyFont="1" applyFill="1" applyBorder="1" applyAlignment="1" applyProtection="1">
      <alignment vertical="center"/>
    </xf>
    <xf numFmtId="182" fontId="1" fillId="13" borderId="49" xfId="4" applyNumberFormat="1" applyFont="1" applyFill="1" applyBorder="1" applyAlignment="1" applyProtection="1">
      <alignment vertical="center"/>
    </xf>
    <xf numFmtId="182" fontId="27" fillId="0" borderId="16" xfId="4" applyNumberFormat="1" applyFont="1" applyBorder="1" applyAlignment="1" applyProtection="1">
      <alignment horizontal="left" vertical="center" indent="1"/>
    </xf>
    <xf numFmtId="182" fontId="1" fillId="5" borderId="18" xfId="4" applyNumberFormat="1" applyFont="1" applyFill="1" applyBorder="1" applyAlignment="1" applyProtection="1">
      <alignment vertical="center"/>
    </xf>
    <xf numFmtId="182" fontId="1" fillId="0" borderId="17" xfId="4" applyNumberFormat="1" applyFont="1" applyFill="1" applyBorder="1" applyAlignment="1" applyProtection="1">
      <alignment vertical="center"/>
    </xf>
    <xf numFmtId="182" fontId="1" fillId="0" borderId="18" xfId="4" applyNumberFormat="1" applyFont="1" applyFill="1" applyBorder="1" applyAlignment="1" applyProtection="1">
      <alignment vertical="center"/>
    </xf>
    <xf numFmtId="182" fontId="1" fillId="0" borderId="19" xfId="4" applyNumberFormat="1" applyFont="1" applyFill="1" applyBorder="1" applyAlignment="1" applyProtection="1">
      <alignment vertical="center"/>
    </xf>
    <xf numFmtId="182" fontId="27" fillId="0" borderId="23" xfId="4" applyNumberFormat="1" applyFont="1" applyBorder="1" applyAlignment="1" applyProtection="1">
      <alignment horizontal="left" vertical="center" indent="1"/>
    </xf>
    <xf numFmtId="182" fontId="1" fillId="5" borderId="25" xfId="4" applyNumberFormat="1" applyFont="1" applyFill="1" applyBorder="1" applyAlignment="1" applyProtection="1">
      <alignment vertical="center"/>
    </xf>
    <xf numFmtId="182" fontId="27" fillId="0" borderId="50" xfId="4" applyNumberFormat="1" applyFont="1" applyBorder="1" applyAlignment="1" applyProtection="1">
      <alignment horizontal="center" vertical="center"/>
    </xf>
    <xf numFmtId="182" fontId="27" fillId="0" borderId="50" xfId="4" applyNumberFormat="1" applyFont="1" applyBorder="1" applyAlignment="1" applyProtection="1">
      <alignment horizontal="left" vertical="center" indent="1"/>
    </xf>
    <xf numFmtId="182" fontId="1" fillId="5" borderId="50" xfId="4" applyNumberFormat="1" applyFont="1" applyFill="1" applyBorder="1" applyAlignment="1" applyProtection="1">
      <alignment vertical="center"/>
    </xf>
    <xf numFmtId="182" fontId="1" fillId="0" borderId="50" xfId="4" applyNumberFormat="1" applyFont="1" applyFill="1" applyBorder="1" applyAlignment="1" applyProtection="1">
      <alignment vertical="center"/>
    </xf>
    <xf numFmtId="182" fontId="27" fillId="0" borderId="0" xfId="4" applyNumberFormat="1" applyFont="1" applyBorder="1" applyAlignment="1" applyProtection="1">
      <alignment horizontal="left" vertical="center" indent="1"/>
    </xf>
    <xf numFmtId="0" fontId="27" fillId="0" borderId="0" xfId="0" applyFont="1" applyProtection="1"/>
    <xf numFmtId="182" fontId="1" fillId="0" borderId="51" xfId="4" applyNumberFormat="1" applyFont="1" applyFill="1" applyBorder="1" applyAlignment="1" applyProtection="1">
      <alignment vertical="center"/>
    </xf>
    <xf numFmtId="182" fontId="1" fillId="0" borderId="52" xfId="4" applyNumberFormat="1" applyFont="1" applyFill="1" applyBorder="1" applyAlignment="1" applyProtection="1">
      <alignment vertical="center"/>
    </xf>
    <xf numFmtId="182" fontId="1" fillId="0" borderId="48" xfId="4" applyNumberFormat="1" applyFont="1" applyFill="1" applyBorder="1" applyAlignment="1" applyProtection="1">
      <alignment vertical="center"/>
    </xf>
    <xf numFmtId="182" fontId="1" fillId="0" borderId="47" xfId="4" applyNumberFormat="1" applyFont="1" applyFill="1" applyBorder="1" applyAlignment="1" applyProtection="1">
      <alignment vertical="center"/>
    </xf>
    <xf numFmtId="182" fontId="1" fillId="0" borderId="49" xfId="4" applyNumberFormat="1" applyFont="1" applyFill="1" applyBorder="1" applyAlignment="1" applyProtection="1">
      <alignment vertical="center"/>
    </xf>
    <xf numFmtId="182" fontId="1" fillId="5" borderId="0" xfId="4" applyNumberFormat="1" applyFont="1" applyFill="1" applyBorder="1" applyAlignment="1" applyProtection="1">
      <alignment horizontal="center" vertical="center"/>
    </xf>
    <xf numFmtId="0" fontId="0" fillId="0" borderId="50" xfId="0" applyBorder="1" applyProtection="1"/>
    <xf numFmtId="182" fontId="1" fillId="5" borderId="50" xfId="4" applyNumberFormat="1" applyFont="1" applyFill="1" applyBorder="1" applyAlignment="1" applyProtection="1">
      <alignment horizontal="center" vertical="center"/>
    </xf>
    <xf numFmtId="182" fontId="1" fillId="0" borderId="0" xfId="4" applyNumberFormat="1" applyFont="1" applyFill="1" applyBorder="1" applyAlignment="1" applyProtection="1">
      <alignment horizontal="center" vertical="center"/>
    </xf>
    <xf numFmtId="182" fontId="1" fillId="5" borderId="53" xfId="4" applyNumberFormat="1" applyFont="1" applyFill="1" applyBorder="1" applyAlignment="1" applyProtection="1">
      <alignment vertical="center"/>
    </xf>
    <xf numFmtId="182" fontId="1" fillId="5" borderId="40" xfId="4" applyNumberFormat="1" applyFont="1" applyFill="1" applyBorder="1" applyAlignment="1" applyProtection="1">
      <alignment vertical="center"/>
    </xf>
    <xf numFmtId="182" fontId="1" fillId="0" borderId="54" xfId="4" applyNumberFormat="1" applyFont="1" applyFill="1" applyBorder="1" applyAlignment="1" applyProtection="1">
      <alignment vertical="center"/>
    </xf>
    <xf numFmtId="0" fontId="29" fillId="6" borderId="1" xfId="0" applyFont="1" applyFill="1" applyBorder="1" applyAlignment="1" applyProtection="1">
      <alignment horizontal="center" vertical="center"/>
    </xf>
    <xf numFmtId="0" fontId="26" fillId="6" borderId="17" xfId="0" applyNumberFormat="1" applyFont="1" applyFill="1" applyBorder="1" applyAlignment="1" applyProtection="1">
      <alignment horizontal="center" vertical="center"/>
    </xf>
    <xf numFmtId="0" fontId="26" fillId="6" borderId="18" xfId="0" applyNumberFormat="1" applyFont="1" applyFill="1" applyBorder="1" applyAlignment="1" applyProtection="1">
      <alignment horizontal="center" vertical="center"/>
    </xf>
    <xf numFmtId="0" fontId="26" fillId="6" borderId="55" xfId="0" applyNumberFormat="1" applyFont="1" applyFill="1" applyBorder="1" applyAlignment="1" applyProtection="1">
      <alignment horizontal="center" vertical="center"/>
    </xf>
    <xf numFmtId="182" fontId="1" fillId="0" borderId="56" xfId="4" applyNumberFormat="1" applyFont="1" applyFill="1" applyBorder="1" applyAlignment="1" applyProtection="1">
      <alignment vertical="center"/>
    </xf>
    <xf numFmtId="182" fontId="1" fillId="0" borderId="57" xfId="4" applyNumberFormat="1" applyFont="1" applyFill="1" applyBorder="1" applyAlignment="1" applyProtection="1">
      <alignment vertical="center"/>
    </xf>
    <xf numFmtId="0" fontId="0" fillId="0" borderId="1" xfId="0" applyFont="1" applyBorder="1" applyAlignment="1" applyProtection="1">
      <alignment horizontal="center"/>
    </xf>
    <xf numFmtId="0" fontId="0" fillId="0" borderId="1" xfId="0" applyFont="1" applyBorder="1" applyProtection="1"/>
    <xf numFmtId="0" fontId="0" fillId="0" borderId="0" xfId="0" applyBorder="1" applyProtection="1"/>
    <xf numFmtId="182" fontId="1" fillId="3" borderId="21" xfId="4" applyNumberFormat="1" applyFont="1" applyFill="1" applyBorder="1" applyAlignment="1" applyProtection="1">
      <alignment vertical="center"/>
    </xf>
    <xf numFmtId="0" fontId="26" fillId="6" borderId="58" xfId="0" applyNumberFormat="1" applyFont="1" applyFill="1" applyBorder="1" applyAlignment="1" applyProtection="1">
      <alignment horizontal="center" vertical="center"/>
    </xf>
    <xf numFmtId="0" fontId="26" fillId="6" borderId="19" xfId="0" applyNumberFormat="1" applyFont="1" applyFill="1" applyBorder="1" applyAlignment="1" applyProtection="1">
      <alignment horizontal="center" vertical="center"/>
    </xf>
    <xf numFmtId="182" fontId="1" fillId="0" borderId="59" xfId="4" applyNumberFormat="1" applyFont="1" applyFill="1" applyBorder="1" applyAlignment="1" applyProtection="1">
      <alignment vertical="center"/>
    </xf>
    <xf numFmtId="182" fontId="1" fillId="0" borderId="60" xfId="4" applyNumberFormat="1" applyFont="1" applyFill="1" applyBorder="1" applyAlignment="1" applyProtection="1">
      <alignment vertical="center"/>
    </xf>
    <xf numFmtId="0" fontId="27" fillId="0" borderId="0" xfId="0" applyFont="1" applyFill="1" applyBorder="1" applyAlignment="1">
      <alignment vertical="center"/>
    </xf>
    <xf numFmtId="0" fontId="27" fillId="0" borderId="0" xfId="0" applyFont="1" applyAlignment="1">
      <alignment horizontal="center" vertical="center"/>
    </xf>
    <xf numFmtId="0" fontId="27" fillId="0" borderId="0" xfId="0" applyFont="1" applyAlignment="1">
      <alignment vertical="center"/>
    </xf>
    <xf numFmtId="0" fontId="27" fillId="0" borderId="0" xfId="0" applyFont="1" applyAlignment="1" applyProtection="1">
      <alignment vertical="center"/>
      <protection locked="0"/>
    </xf>
    <xf numFmtId="0" fontId="30" fillId="0" borderId="0" xfId="0" applyFont="1" applyAlignment="1" applyProtection="1">
      <alignment vertical="center"/>
    </xf>
    <xf numFmtId="0" fontId="16" fillId="0" borderId="0" xfId="3" applyFont="1" applyAlignment="1">
      <alignment vertical="center"/>
    </xf>
    <xf numFmtId="0" fontId="27" fillId="0" borderId="0" xfId="0" applyFont="1" applyFill="1" applyBorder="1" applyAlignment="1" applyProtection="1">
      <alignment vertical="center"/>
      <protection locked="0"/>
    </xf>
    <xf numFmtId="41" fontId="31" fillId="0" borderId="0" xfId="0" applyNumberFormat="1" applyFont="1" applyFill="1" applyBorder="1" applyAlignment="1" applyProtection="1">
      <alignment vertical="center"/>
      <protection locked="0"/>
    </xf>
    <xf numFmtId="41" fontId="1" fillId="0" borderId="0" xfId="0" applyNumberFormat="1" applyFont="1" applyFill="1" applyBorder="1" applyAlignment="1" applyProtection="1">
      <alignment vertical="center"/>
      <protection locked="0"/>
    </xf>
    <xf numFmtId="43" fontId="1" fillId="0" borderId="0" xfId="0" applyNumberFormat="1" applyFont="1" applyFill="1" applyBorder="1" applyAlignment="1" applyProtection="1">
      <alignment vertical="center"/>
      <protection locked="0"/>
    </xf>
    <xf numFmtId="0" fontId="27" fillId="0" borderId="0" xfId="0" applyFont="1" applyAlignment="1" applyProtection="1">
      <alignment horizontal="center" vertical="center"/>
      <protection locked="0"/>
    </xf>
    <xf numFmtId="0" fontId="29" fillId="6" borderId="13" xfId="0" applyFont="1" applyFill="1" applyBorder="1" applyAlignment="1">
      <alignment horizontal="center" vertical="center" wrapText="1"/>
    </xf>
    <xf numFmtId="0" fontId="29" fillId="6" borderId="14" xfId="0" applyFont="1" applyFill="1" applyBorder="1" applyAlignment="1">
      <alignment horizontal="center" vertical="center"/>
    </xf>
    <xf numFmtId="0" fontId="29" fillId="6" borderId="15" xfId="0" applyFont="1" applyFill="1" applyBorder="1" applyAlignment="1">
      <alignment horizontal="center" vertical="center" wrapText="1"/>
    </xf>
    <xf numFmtId="0" fontId="27" fillId="12" borderId="1" xfId="0" applyFont="1" applyFill="1" applyBorder="1" applyAlignment="1">
      <alignment vertical="center"/>
    </xf>
    <xf numFmtId="41" fontId="1" fillId="12" borderId="13" xfId="0" applyNumberFormat="1" applyFont="1" applyFill="1" applyBorder="1" applyAlignment="1">
      <alignment vertical="center"/>
    </xf>
    <xf numFmtId="41" fontId="1" fillId="12" borderId="14" xfId="0" applyNumberFormat="1" applyFont="1" applyFill="1" applyBorder="1" applyAlignment="1">
      <alignment vertical="center"/>
    </xf>
    <xf numFmtId="41" fontId="1" fillId="12" borderId="15" xfId="0" applyNumberFormat="1" applyFont="1" applyFill="1" applyBorder="1" applyAlignment="1">
      <alignment vertical="center"/>
    </xf>
    <xf numFmtId="0" fontId="27" fillId="0" borderId="1" xfId="0" applyFont="1" applyBorder="1" applyAlignment="1">
      <alignment horizontal="left" vertical="center"/>
    </xf>
    <xf numFmtId="41" fontId="1" fillId="0" borderId="13" xfId="0" applyNumberFormat="1" applyFont="1" applyFill="1" applyBorder="1" applyAlignment="1">
      <alignment vertical="center"/>
    </xf>
    <xf numFmtId="41" fontId="1" fillId="0" borderId="14" xfId="0" applyNumberFormat="1" applyFont="1" applyBorder="1" applyAlignment="1">
      <alignment vertical="center"/>
    </xf>
    <xf numFmtId="41" fontId="1" fillId="0" borderId="15" xfId="0" applyNumberFormat="1" applyFont="1" applyBorder="1" applyAlignment="1">
      <alignment vertical="center"/>
    </xf>
    <xf numFmtId="41" fontId="1" fillId="0" borderId="15" xfId="0" applyNumberFormat="1" applyFont="1" applyFill="1" applyBorder="1" applyAlignment="1">
      <alignment vertical="center"/>
    </xf>
    <xf numFmtId="189" fontId="1" fillId="14" borderId="13" xfId="0" applyNumberFormat="1" applyFont="1" applyFill="1" applyBorder="1" applyAlignment="1" applyProtection="1">
      <alignment vertical="center"/>
      <protection locked="0"/>
    </xf>
    <xf numFmtId="41" fontId="1" fillId="14" borderId="13" xfId="0" applyNumberFormat="1" applyFont="1" applyFill="1" applyBorder="1" applyAlignment="1" applyProtection="1">
      <alignment vertical="center"/>
      <protection locked="0"/>
    </xf>
    <xf numFmtId="41" fontId="27" fillId="0" borderId="0" xfId="0" applyNumberFormat="1" applyFont="1" applyAlignment="1">
      <alignment vertical="center"/>
    </xf>
    <xf numFmtId="0" fontId="29" fillId="0" borderId="0" xfId="0" applyFont="1" applyFill="1" applyBorder="1" applyAlignment="1">
      <alignment vertical="center"/>
    </xf>
    <xf numFmtId="0" fontId="29" fillId="6" borderId="39" xfId="0" applyFont="1" applyFill="1" applyBorder="1" applyAlignment="1">
      <alignment horizontal="center" vertical="center" wrapText="1"/>
    </xf>
    <xf numFmtId="0" fontId="29" fillId="6" borderId="14" xfId="0" applyFont="1" applyFill="1" applyBorder="1" applyAlignment="1">
      <alignment horizontal="center" vertical="center" wrapText="1"/>
    </xf>
    <xf numFmtId="0" fontId="27" fillId="0" borderId="16" xfId="0" applyFont="1" applyBorder="1" applyAlignment="1">
      <alignment horizontal="left" vertical="center"/>
    </xf>
    <xf numFmtId="41" fontId="1" fillId="0" borderId="17" xfId="0" applyNumberFormat="1" applyFont="1" applyFill="1" applyBorder="1" applyAlignment="1">
      <alignment vertical="center"/>
    </xf>
    <xf numFmtId="41" fontId="1" fillId="0" borderId="18" xfId="0" applyNumberFormat="1" applyFont="1" applyBorder="1" applyAlignment="1">
      <alignment vertical="center"/>
    </xf>
    <xf numFmtId="41" fontId="1" fillId="0" borderId="19" xfId="0" applyNumberFormat="1" applyFont="1" applyBorder="1" applyAlignment="1">
      <alignment vertical="center"/>
    </xf>
    <xf numFmtId="0" fontId="27" fillId="0" borderId="20" xfId="0" applyFont="1" applyBorder="1" applyAlignment="1">
      <alignment horizontal="left" vertical="center"/>
    </xf>
    <xf numFmtId="41" fontId="1" fillId="0" borderId="10" xfId="0" applyNumberFormat="1" applyFont="1" applyFill="1" applyBorder="1" applyAlignment="1">
      <alignment vertical="center"/>
    </xf>
    <xf numFmtId="41" fontId="1" fillId="0" borderId="21" xfId="0" applyNumberFormat="1" applyFont="1" applyBorder="1" applyAlignment="1">
      <alignment vertical="center"/>
    </xf>
    <xf numFmtId="41" fontId="1" fillId="0" borderId="22" xfId="0" applyNumberFormat="1" applyFont="1" applyBorder="1" applyAlignment="1">
      <alignment vertical="center"/>
    </xf>
    <xf numFmtId="0" fontId="27" fillId="0" borderId="23" xfId="0" applyFont="1" applyBorder="1" applyAlignment="1">
      <alignment horizontal="left" vertical="center"/>
    </xf>
    <xf numFmtId="41" fontId="1" fillId="0" borderId="24" xfId="0" applyNumberFormat="1" applyFont="1" applyFill="1" applyBorder="1" applyAlignment="1">
      <alignment vertical="center"/>
    </xf>
    <xf numFmtId="41" fontId="1" fillId="0" borderId="25" xfId="0" applyNumberFormat="1" applyFont="1" applyBorder="1" applyAlignment="1">
      <alignment vertical="center"/>
    </xf>
    <xf numFmtId="41" fontId="1" fillId="0" borderId="26" xfId="0" applyNumberFormat="1" applyFont="1" applyBorder="1" applyAlignment="1">
      <alignment vertical="center"/>
    </xf>
    <xf numFmtId="0" fontId="32" fillId="0" borderId="0" xfId="0" applyFont="1" applyAlignment="1">
      <alignment vertical="center"/>
    </xf>
    <xf numFmtId="0" fontId="27" fillId="0" borderId="17" xfId="0" applyFont="1" applyBorder="1" applyAlignment="1">
      <alignment horizontal="left" vertical="center"/>
    </xf>
    <xf numFmtId="41" fontId="1" fillId="0" borderId="18" xfId="0" applyNumberFormat="1" applyFont="1" applyFill="1" applyBorder="1" applyAlignment="1">
      <alignment vertical="center"/>
    </xf>
    <xf numFmtId="41" fontId="1" fillId="0" borderId="44" xfId="0" applyNumberFormat="1" applyFont="1" applyFill="1" applyBorder="1" applyAlignment="1">
      <alignment vertical="center"/>
    </xf>
    <xf numFmtId="41" fontId="1" fillId="0" borderId="46" xfId="0" applyNumberFormat="1" applyFont="1" applyBorder="1" applyAlignment="1">
      <alignment vertical="center"/>
    </xf>
    <xf numFmtId="41" fontId="1" fillId="0" borderId="45" xfId="0" applyNumberFormat="1" applyFont="1" applyFill="1" applyBorder="1" applyAlignment="1">
      <alignment vertical="center"/>
    </xf>
    <xf numFmtId="41" fontId="1" fillId="0" borderId="44" xfId="0" applyNumberFormat="1" applyFont="1" applyBorder="1" applyAlignment="1">
      <alignment vertical="center"/>
    </xf>
    <xf numFmtId="0" fontId="27" fillId="0" borderId="10" xfId="0" applyFont="1" applyBorder="1" applyAlignment="1">
      <alignment horizontal="left" vertical="center"/>
    </xf>
    <xf numFmtId="41" fontId="1" fillId="0" borderId="21" xfId="0" applyNumberFormat="1" applyFont="1" applyFill="1" applyBorder="1" applyAlignment="1">
      <alignment vertical="center"/>
    </xf>
    <xf numFmtId="0" fontId="27" fillId="0" borderId="24" xfId="0" applyFont="1" applyBorder="1" applyAlignment="1">
      <alignment horizontal="left" vertical="center"/>
    </xf>
    <xf numFmtId="41" fontId="1" fillId="0" borderId="25" xfId="0" applyNumberFormat="1" applyFont="1" applyFill="1" applyBorder="1" applyAlignment="1">
      <alignment vertical="center"/>
    </xf>
    <xf numFmtId="0" fontId="27" fillId="0" borderId="17" xfId="0" applyFont="1" applyFill="1" applyBorder="1" applyAlignment="1">
      <alignment horizontal="left" vertical="center"/>
    </xf>
    <xf numFmtId="41" fontId="1" fillId="0" borderId="46" xfId="0" applyNumberFormat="1" applyFont="1" applyFill="1" applyBorder="1" applyAlignment="1">
      <alignment vertical="center"/>
    </xf>
    <xf numFmtId="0" fontId="27" fillId="0" borderId="10" xfId="0" applyFont="1" applyFill="1" applyBorder="1" applyAlignment="1">
      <alignment horizontal="left" vertical="center"/>
    </xf>
    <xf numFmtId="0" fontId="27" fillId="0" borderId="24" xfId="0" applyFont="1" applyFill="1" applyBorder="1" applyAlignment="1">
      <alignment horizontal="left" vertical="center"/>
    </xf>
    <xf numFmtId="41" fontId="1" fillId="0" borderId="26" xfId="0" applyNumberFormat="1" applyFont="1" applyFill="1" applyBorder="1" applyAlignment="1">
      <alignment vertical="center"/>
    </xf>
    <xf numFmtId="41" fontId="1" fillId="0" borderId="48" xfId="0" applyNumberFormat="1" applyFont="1" applyFill="1" applyBorder="1" applyAlignment="1">
      <alignment vertical="center"/>
    </xf>
    <xf numFmtId="41" fontId="1" fillId="0" borderId="47" xfId="0" applyNumberFormat="1" applyFont="1" applyBorder="1" applyAlignment="1">
      <alignment vertical="center"/>
    </xf>
    <xf numFmtId="41" fontId="1" fillId="12" borderId="39" xfId="0" applyNumberFormat="1" applyFont="1" applyFill="1" applyBorder="1" applyAlignment="1">
      <alignment vertical="center"/>
    </xf>
    <xf numFmtId="41" fontId="1" fillId="12" borderId="17" xfId="0" applyNumberFormat="1" applyFont="1" applyFill="1" applyBorder="1" applyAlignment="1">
      <alignment vertical="center"/>
    </xf>
    <xf numFmtId="41" fontId="1" fillId="12" borderId="18" xfId="0" applyNumberFormat="1" applyFont="1" applyFill="1" applyBorder="1" applyAlignment="1">
      <alignment vertical="center"/>
    </xf>
    <xf numFmtId="41" fontId="1" fillId="12" borderId="19" xfId="0" applyNumberFormat="1" applyFont="1" applyFill="1" applyBorder="1" applyAlignment="1">
      <alignment vertical="center"/>
    </xf>
    <xf numFmtId="41" fontId="1" fillId="0" borderId="49" xfId="0" applyNumberFormat="1" applyFont="1" applyBorder="1" applyAlignment="1">
      <alignment vertical="center"/>
    </xf>
    <xf numFmtId="0" fontId="27" fillId="3" borderId="0" xfId="0" applyFont="1" applyFill="1" applyAlignment="1">
      <alignment horizontal="right" vertical="center"/>
    </xf>
    <xf numFmtId="41" fontId="27" fillId="3" borderId="0" xfId="0" applyNumberFormat="1" applyFont="1" applyFill="1" applyAlignment="1">
      <alignment vertical="center"/>
    </xf>
    <xf numFmtId="41" fontId="1" fillId="6" borderId="17" xfId="0" applyNumberFormat="1" applyFont="1" applyFill="1" applyBorder="1" applyAlignment="1" applyProtection="1">
      <alignment vertical="center"/>
      <protection locked="0"/>
    </xf>
    <xf numFmtId="41" fontId="26" fillId="6" borderId="18" xfId="0" applyNumberFormat="1" applyFont="1" applyFill="1" applyBorder="1" applyAlignment="1" applyProtection="1">
      <alignment horizontal="center" vertical="center"/>
    </xf>
    <xf numFmtId="41" fontId="1" fillId="6" borderId="10" xfId="0" applyNumberFormat="1" applyFont="1" applyFill="1" applyBorder="1" applyAlignment="1" applyProtection="1">
      <alignment vertical="center"/>
    </xf>
    <xf numFmtId="43" fontId="1" fillId="0" borderId="21" xfId="0" applyNumberFormat="1" applyFont="1" applyBorder="1" applyAlignment="1" applyProtection="1">
      <alignment horizontal="center" vertical="center"/>
    </xf>
    <xf numFmtId="43" fontId="1" fillId="15" borderId="21" xfId="0" applyNumberFormat="1" applyFont="1" applyFill="1" applyBorder="1" applyAlignment="1" applyProtection="1">
      <alignment horizontal="center" vertical="center"/>
    </xf>
    <xf numFmtId="41" fontId="13" fillId="6" borderId="24" xfId="0" applyNumberFormat="1" applyFont="1" applyFill="1" applyBorder="1" applyAlignment="1" applyProtection="1">
      <alignment horizontal="center" vertical="center"/>
    </xf>
    <xf numFmtId="43" fontId="1" fillId="0" borderId="25" xfId="0" applyNumberFormat="1" applyFont="1" applyBorder="1" applyAlignment="1" applyProtection="1">
      <alignment horizontal="center" vertical="center"/>
    </xf>
    <xf numFmtId="41" fontId="4" fillId="6" borderId="18" xfId="0" applyNumberFormat="1" applyFont="1" applyFill="1" applyBorder="1" applyAlignment="1" applyProtection="1">
      <alignment horizontal="center" vertical="center"/>
    </xf>
    <xf numFmtId="43" fontId="1" fillId="0" borderId="22" xfId="0" applyNumberFormat="1" applyFont="1" applyBorder="1" applyAlignment="1" applyProtection="1">
      <alignment vertical="center"/>
      <protection locked="0"/>
    </xf>
    <xf numFmtId="43" fontId="1" fillId="0" borderId="26" xfId="0" applyNumberFormat="1" applyFont="1" applyBorder="1" applyAlignment="1" applyProtection="1">
      <alignment vertical="center"/>
    </xf>
    <xf numFmtId="41" fontId="1" fillId="0" borderId="0" xfId="0" applyNumberFormat="1" applyFont="1" applyAlignment="1">
      <alignment vertical="center"/>
    </xf>
    <xf numFmtId="0" fontId="1" fillId="5" borderId="0" xfId="0" applyFont="1" applyFill="1" applyAlignment="1">
      <alignment vertical="center"/>
    </xf>
    <xf numFmtId="0" fontId="1" fillId="0" borderId="0" xfId="0" applyFont="1" applyAlignment="1">
      <alignment vertical="center"/>
    </xf>
    <xf numFmtId="0" fontId="14" fillId="5" borderId="0" xfId="0" applyFont="1" applyFill="1" applyAlignment="1">
      <alignment vertical="center"/>
    </xf>
    <xf numFmtId="0" fontId="13" fillId="5" borderId="0" xfId="0" applyFont="1" applyFill="1" applyAlignment="1">
      <alignment vertical="center"/>
    </xf>
    <xf numFmtId="0" fontId="13" fillId="0" borderId="0" xfId="0" applyFont="1" applyAlignment="1">
      <alignment horizontal="right" vertical="center"/>
    </xf>
    <xf numFmtId="183" fontId="13" fillId="6" borderId="13" xfId="0" applyNumberFormat="1" applyFont="1" applyFill="1" applyBorder="1" applyAlignment="1">
      <alignment horizontal="center" vertical="center"/>
    </xf>
    <xf numFmtId="183" fontId="13" fillId="6" borderId="14" xfId="0" applyNumberFormat="1" applyFont="1" applyFill="1" applyBorder="1" applyAlignment="1">
      <alignment horizontal="center" vertical="center"/>
    </xf>
    <xf numFmtId="183" fontId="13" fillId="6" borderId="15" xfId="0" applyNumberFormat="1" applyFont="1" applyFill="1" applyBorder="1" applyAlignment="1">
      <alignment horizontal="center" vertical="center"/>
    </xf>
    <xf numFmtId="0" fontId="13" fillId="9" borderId="16" xfId="0" applyFont="1" applyFill="1" applyBorder="1" applyAlignment="1">
      <alignment vertical="center"/>
    </xf>
    <xf numFmtId="41" fontId="1" fillId="9" borderId="16" xfId="2" applyNumberFormat="1" applyFont="1" applyFill="1" applyBorder="1" applyAlignment="1">
      <alignment vertical="center"/>
    </xf>
    <xf numFmtId="41" fontId="1" fillId="9" borderId="17" xfId="2" applyNumberFormat="1" applyFont="1" applyFill="1" applyBorder="1" applyAlignment="1">
      <alignment vertical="center"/>
    </xf>
    <xf numFmtId="41" fontId="1" fillId="9" borderId="18" xfId="2" applyNumberFormat="1" applyFont="1" applyFill="1" applyBorder="1" applyAlignment="1">
      <alignment vertical="center"/>
    </xf>
    <xf numFmtId="41" fontId="1" fillId="9" borderId="19" xfId="2" applyNumberFormat="1" applyFont="1" applyFill="1" applyBorder="1" applyAlignment="1">
      <alignment vertical="center"/>
    </xf>
    <xf numFmtId="0" fontId="13" fillId="9" borderId="20" xfId="0" applyFont="1" applyFill="1" applyBorder="1" applyAlignment="1">
      <alignment vertical="center"/>
    </xf>
    <xf numFmtId="9" fontId="1" fillId="9" borderId="20" xfId="4" applyFont="1" applyFill="1" applyBorder="1" applyAlignment="1">
      <alignment vertical="center"/>
    </xf>
    <xf numFmtId="9" fontId="1" fillId="9" borderId="10" xfId="4" applyFont="1" applyFill="1" applyBorder="1" applyAlignment="1">
      <alignment vertical="center"/>
    </xf>
    <xf numFmtId="9" fontId="1" fillId="9" borderId="21" xfId="4" applyFont="1" applyFill="1" applyBorder="1" applyAlignment="1">
      <alignment vertical="center"/>
    </xf>
    <xf numFmtId="9" fontId="1" fillId="9" borderId="22" xfId="4" applyFont="1" applyFill="1" applyBorder="1" applyAlignment="1">
      <alignment vertical="center"/>
    </xf>
    <xf numFmtId="41" fontId="1" fillId="9" borderId="20" xfId="2" applyNumberFormat="1" applyFont="1" applyFill="1" applyBorder="1" applyAlignment="1">
      <alignment vertical="center"/>
    </xf>
    <xf numFmtId="41" fontId="1" fillId="9" borderId="10" xfId="0" applyNumberFormat="1" applyFont="1" applyFill="1" applyBorder="1" applyAlignment="1">
      <alignment vertical="center"/>
    </xf>
    <xf numFmtId="41" fontId="1" fillId="9" borderId="21" xfId="0" applyNumberFormat="1" applyFont="1" applyFill="1" applyBorder="1" applyAlignment="1">
      <alignment vertical="center"/>
    </xf>
    <xf numFmtId="41" fontId="1" fillId="9" borderId="22" xfId="0" applyNumberFormat="1" applyFont="1" applyFill="1" applyBorder="1" applyAlignment="1">
      <alignment vertical="center"/>
    </xf>
    <xf numFmtId="0" fontId="13" fillId="9" borderId="23" xfId="0" applyFont="1" applyFill="1" applyBorder="1" applyAlignment="1">
      <alignment vertical="center"/>
    </xf>
    <xf numFmtId="41" fontId="1" fillId="9" borderId="23" xfId="2" applyNumberFormat="1" applyFont="1" applyFill="1" applyBorder="1" applyAlignment="1">
      <alignment vertical="center"/>
    </xf>
    <xf numFmtId="0" fontId="13" fillId="9" borderId="42" xfId="0" applyFont="1" applyFill="1" applyBorder="1" applyAlignment="1">
      <alignment vertical="center"/>
    </xf>
    <xf numFmtId="41" fontId="1" fillId="9" borderId="17" xfId="2" applyNumberFormat="1" applyFont="1" applyFill="1" applyBorder="1" applyAlignment="1" applyProtection="1">
      <alignment vertical="center"/>
      <protection locked="0"/>
    </xf>
    <xf numFmtId="41" fontId="1" fillId="9" borderId="18" xfId="2" applyNumberFormat="1" applyFont="1" applyFill="1" applyBorder="1" applyAlignment="1" applyProtection="1">
      <alignment vertical="center"/>
      <protection locked="0"/>
    </xf>
    <xf numFmtId="41" fontId="1" fillId="9" borderId="19" xfId="2" applyNumberFormat="1" applyFont="1" applyFill="1" applyBorder="1" applyAlignment="1" applyProtection="1">
      <alignment vertical="center"/>
      <protection locked="0"/>
    </xf>
    <xf numFmtId="41" fontId="1" fillId="9" borderId="24" xfId="0" applyNumberFormat="1" applyFont="1" applyFill="1" applyBorder="1" applyAlignment="1">
      <alignment vertical="center"/>
    </xf>
    <xf numFmtId="41" fontId="1" fillId="9" borderId="25" xfId="0" applyNumberFormat="1" applyFont="1" applyFill="1" applyBorder="1" applyAlignment="1">
      <alignment vertical="center"/>
    </xf>
    <xf numFmtId="41" fontId="1" fillId="9" borderId="26" xfId="0" applyNumberFormat="1" applyFont="1" applyFill="1" applyBorder="1" applyAlignment="1">
      <alignment vertical="center"/>
    </xf>
    <xf numFmtId="0" fontId="13" fillId="5" borderId="42" xfId="0" applyFont="1" applyFill="1" applyBorder="1" applyAlignment="1">
      <alignment vertical="center"/>
    </xf>
    <xf numFmtId="41" fontId="1" fillId="0" borderId="16" xfId="2" applyNumberFormat="1" applyFont="1" applyFill="1" applyBorder="1" applyAlignment="1">
      <alignment vertical="center"/>
    </xf>
    <xf numFmtId="41" fontId="1" fillId="0" borderId="17" xfId="2" applyNumberFormat="1" applyFont="1" applyFill="1" applyBorder="1" applyAlignment="1">
      <alignment vertical="center"/>
    </xf>
    <xf numFmtId="41" fontId="1" fillId="0" borderId="18" xfId="2" applyNumberFormat="1" applyFont="1" applyFill="1" applyBorder="1" applyAlignment="1">
      <alignment vertical="center"/>
    </xf>
    <xf numFmtId="41" fontId="1" fillId="0" borderId="19" xfId="2" applyNumberFormat="1" applyFont="1" applyFill="1" applyBorder="1" applyAlignment="1">
      <alignment vertical="center"/>
    </xf>
    <xf numFmtId="0" fontId="13" fillId="5" borderId="20" xfId="0" applyFont="1" applyFill="1" applyBorder="1" applyAlignment="1">
      <alignment vertical="center"/>
    </xf>
    <xf numFmtId="9" fontId="1" fillId="0" borderId="20" xfId="4" applyFont="1" applyFill="1" applyBorder="1" applyAlignment="1">
      <alignment vertical="center"/>
    </xf>
    <xf numFmtId="9" fontId="1" fillId="0" borderId="10" xfId="4" applyFont="1" applyFill="1" applyBorder="1" applyAlignment="1">
      <alignment vertical="center"/>
    </xf>
    <xf numFmtId="9" fontId="1" fillId="0" borderId="21" xfId="4" applyFont="1" applyFill="1" applyBorder="1" applyAlignment="1">
      <alignment vertical="center"/>
    </xf>
    <xf numFmtId="9" fontId="1" fillId="0" borderId="22" xfId="4" applyFont="1" applyFill="1" applyBorder="1" applyAlignment="1">
      <alignment vertical="center"/>
    </xf>
    <xf numFmtId="41" fontId="1" fillId="0" borderId="20" xfId="2" applyNumberFormat="1" applyFont="1" applyFill="1" applyBorder="1" applyAlignment="1">
      <alignment vertical="center"/>
    </xf>
    <xf numFmtId="41" fontId="1" fillId="0" borderId="22" xfId="0" applyNumberFormat="1" applyFont="1" applyFill="1" applyBorder="1" applyAlignment="1">
      <alignment vertical="center"/>
    </xf>
    <xf numFmtId="41" fontId="1" fillId="0" borderId="23" xfId="2" applyNumberFormat="1" applyFont="1" applyFill="1" applyBorder="1" applyAlignment="1">
      <alignment vertical="center"/>
    </xf>
    <xf numFmtId="0" fontId="1" fillId="0" borderId="18" xfId="0" applyFont="1" applyBorder="1" applyAlignment="1" applyProtection="1">
      <alignment vertical="center"/>
    </xf>
    <xf numFmtId="9" fontId="1" fillId="3" borderId="75" xfId="4" applyFont="1" applyFill="1" applyBorder="1" applyAlignment="1" applyProtection="1">
      <alignment vertical="center"/>
      <protection locked="0"/>
    </xf>
    <xf numFmtId="0" fontId="1" fillId="0" borderId="19" xfId="0" applyFont="1" applyBorder="1" applyAlignment="1" applyProtection="1">
      <alignment vertical="center"/>
    </xf>
    <xf numFmtId="9" fontId="1" fillId="3" borderId="76" xfId="4" applyFont="1" applyFill="1" applyBorder="1" applyAlignment="1" applyProtection="1">
      <alignment vertical="center"/>
      <protection locked="0"/>
    </xf>
    <xf numFmtId="41" fontId="1" fillId="0" borderId="0" xfId="0" applyNumberFormat="1" applyFont="1" applyAlignment="1" applyProtection="1">
      <alignment vertical="center"/>
      <protection locked="0"/>
    </xf>
    <xf numFmtId="0" fontId="13" fillId="5" borderId="43" xfId="0" applyFont="1" applyFill="1" applyBorder="1" applyAlignment="1">
      <alignment vertical="center"/>
    </xf>
    <xf numFmtId="41" fontId="1" fillId="3" borderId="17" xfId="2" applyNumberFormat="1" applyFont="1" applyFill="1" applyBorder="1" applyAlignment="1" applyProtection="1">
      <alignment vertical="center"/>
      <protection locked="0"/>
    </xf>
    <xf numFmtId="41" fontId="1" fillId="3" borderId="18" xfId="2" applyNumberFormat="1" applyFont="1" applyFill="1" applyBorder="1" applyAlignment="1" applyProtection="1">
      <alignment vertical="center"/>
      <protection locked="0"/>
    </xf>
    <xf numFmtId="41" fontId="1" fillId="3" borderId="19" xfId="2" applyNumberFormat="1" applyFont="1" applyFill="1" applyBorder="1" applyAlignment="1" applyProtection="1">
      <alignment vertical="center"/>
      <protection locked="0"/>
    </xf>
    <xf numFmtId="9" fontId="1" fillId="11" borderId="10" xfId="9" applyFont="1" applyFill="1" applyBorder="1" applyAlignment="1" applyProtection="1">
      <alignment vertical="center"/>
      <protection locked="0"/>
    </xf>
    <xf numFmtId="9" fontId="1" fillId="11" borderId="21" xfId="9" applyFont="1" applyFill="1" applyBorder="1" applyAlignment="1" applyProtection="1">
      <alignment vertical="center"/>
      <protection locked="0"/>
    </xf>
    <xf numFmtId="9" fontId="1" fillId="11" borderId="22" xfId="9" applyFont="1" applyFill="1" applyBorder="1" applyAlignment="1" applyProtection="1">
      <alignment vertical="center"/>
      <protection locked="0"/>
    </xf>
    <xf numFmtId="10" fontId="1" fillId="0" borderId="20" xfId="4" applyNumberFormat="1" applyFont="1" applyFill="1" applyBorder="1" applyAlignment="1">
      <alignment vertical="center"/>
    </xf>
    <xf numFmtId="9" fontId="1" fillId="3" borderId="10" xfId="4" applyFont="1" applyFill="1" applyBorder="1" applyAlignment="1" applyProtection="1">
      <alignment vertical="center"/>
      <protection locked="0"/>
    </xf>
    <xf numFmtId="9" fontId="1" fillId="3" borderId="21" xfId="4" applyFont="1" applyFill="1" applyBorder="1" applyAlignment="1" applyProtection="1">
      <alignment vertical="center"/>
      <protection locked="0"/>
    </xf>
    <xf numFmtId="9" fontId="1" fillId="3" borderId="22" xfId="4" applyFont="1" applyFill="1" applyBorder="1" applyAlignment="1" applyProtection="1">
      <alignment vertical="center"/>
      <protection locked="0"/>
    </xf>
    <xf numFmtId="9" fontId="1" fillId="11" borderId="21" xfId="9" applyNumberFormat="1" applyFont="1" applyFill="1" applyBorder="1" applyAlignment="1" applyProtection="1">
      <alignment vertical="center"/>
      <protection locked="0"/>
    </xf>
    <xf numFmtId="9" fontId="1" fillId="11" borderId="22" xfId="9" applyNumberFormat="1" applyFont="1" applyFill="1" applyBorder="1" applyAlignment="1" applyProtection="1">
      <alignment vertical="center"/>
      <protection locked="0"/>
    </xf>
    <xf numFmtId="43" fontId="1" fillId="0" borderId="26" xfId="0" applyNumberFormat="1" applyFont="1" applyFill="1" applyBorder="1" applyAlignment="1">
      <alignment vertical="center"/>
    </xf>
    <xf numFmtId="9" fontId="1" fillId="3" borderId="10" xfId="4" applyNumberFormat="1" applyFont="1" applyFill="1" applyBorder="1" applyAlignment="1" applyProtection="1">
      <alignment vertical="center"/>
      <protection locked="0"/>
    </xf>
    <xf numFmtId="43" fontId="1" fillId="3" borderId="77" xfId="2" applyFont="1" applyFill="1" applyBorder="1" applyAlignment="1" applyProtection="1">
      <protection locked="0"/>
    </xf>
    <xf numFmtId="9" fontId="1" fillId="3" borderId="77" xfId="2" applyNumberFormat="1" applyFont="1" applyFill="1" applyBorder="1" applyAlignment="1" applyProtection="1">
      <protection locked="0"/>
    </xf>
    <xf numFmtId="9" fontId="1" fillId="11" borderId="21" xfId="4" applyFont="1" applyFill="1" applyBorder="1" applyAlignment="1" applyProtection="1">
      <alignment vertical="center"/>
      <protection locked="0"/>
    </xf>
    <xf numFmtId="10" fontId="1" fillId="3" borderId="77" xfId="4" applyNumberFormat="1" applyFont="1" applyFill="1" applyBorder="1" applyAlignment="1" applyProtection="1">
      <alignment horizontal="center" vertical="center"/>
      <protection locked="0"/>
    </xf>
    <xf numFmtId="9" fontId="1" fillId="11" borderId="22" xfId="4" applyFont="1" applyFill="1" applyBorder="1" applyAlignment="1" applyProtection="1">
      <alignment vertical="center"/>
      <protection locked="0"/>
    </xf>
    <xf numFmtId="9" fontId="1" fillId="11" borderId="10" xfId="4" applyFont="1" applyFill="1" applyBorder="1" applyAlignment="1" applyProtection="1">
      <alignment vertical="center"/>
      <protection locked="0"/>
    </xf>
    <xf numFmtId="9" fontId="1" fillId="3" borderId="10" xfId="9" applyFont="1" applyFill="1" applyBorder="1" applyAlignment="1" applyProtection="1">
      <alignment vertical="center"/>
      <protection locked="0"/>
    </xf>
    <xf numFmtId="9" fontId="1" fillId="3" borderId="21" xfId="9" applyFont="1" applyFill="1" applyBorder="1" applyAlignment="1" applyProtection="1">
      <alignment vertical="center"/>
      <protection locked="0"/>
    </xf>
    <xf numFmtId="9" fontId="1" fillId="3" borderId="22" xfId="9" applyFont="1" applyFill="1" applyBorder="1" applyAlignment="1" applyProtection="1">
      <alignment vertical="center"/>
      <protection locked="0"/>
    </xf>
    <xf numFmtId="0" fontId="13" fillId="5" borderId="80" xfId="0" applyFont="1" applyFill="1" applyBorder="1" applyAlignment="1">
      <alignment vertical="center"/>
    </xf>
    <xf numFmtId="41" fontId="1" fillId="0" borderId="80" xfId="2" applyNumberFormat="1" applyFont="1" applyFill="1" applyBorder="1" applyAlignment="1">
      <alignment vertical="center"/>
    </xf>
    <xf numFmtId="0" fontId="13" fillId="9" borderId="82" xfId="0" applyFont="1" applyFill="1" applyBorder="1" applyAlignment="1">
      <alignment vertical="center"/>
    </xf>
    <xf numFmtId="41" fontId="1" fillId="9" borderId="82" xfId="2" applyNumberFormat="1" applyFont="1" applyFill="1" applyBorder="1" applyAlignment="1">
      <alignment vertical="center"/>
    </xf>
    <xf numFmtId="41" fontId="1" fillId="9" borderId="83" xfId="2" applyNumberFormat="1" applyFont="1" applyFill="1" applyBorder="1" applyAlignment="1">
      <alignment vertical="center"/>
    </xf>
    <xf numFmtId="41" fontId="1" fillId="9" borderId="84" xfId="2" applyNumberFormat="1" applyFont="1" applyFill="1" applyBorder="1" applyAlignment="1">
      <alignment vertical="center"/>
    </xf>
    <xf numFmtId="41" fontId="1" fillId="9" borderId="85" xfId="2" applyNumberFormat="1" applyFont="1" applyFill="1" applyBorder="1" applyAlignment="1">
      <alignment vertical="center"/>
    </xf>
    <xf numFmtId="41" fontId="1" fillId="14" borderId="17" xfId="2" applyNumberFormat="1" applyFont="1" applyFill="1" applyBorder="1" applyAlignment="1" applyProtection="1">
      <alignment vertical="center"/>
      <protection locked="0"/>
    </xf>
    <xf numFmtId="41" fontId="1" fillId="14" borderId="18" xfId="2" applyNumberFormat="1" applyFont="1" applyFill="1" applyBorder="1" applyAlignment="1" applyProtection="1">
      <alignment vertical="center"/>
      <protection locked="0"/>
    </xf>
    <xf numFmtId="41" fontId="1" fillId="14" borderId="19" xfId="2" applyNumberFormat="1" applyFont="1" applyFill="1" applyBorder="1" applyAlignment="1" applyProtection="1">
      <alignment vertical="center"/>
      <protection locked="0"/>
    </xf>
    <xf numFmtId="0" fontId="13" fillId="5" borderId="23" xfId="0" applyFont="1" applyFill="1" applyBorder="1" applyAlignment="1">
      <alignment vertical="center"/>
    </xf>
    <xf numFmtId="43" fontId="1" fillId="14" borderId="19" xfId="2" applyNumberFormat="1" applyFont="1" applyFill="1" applyBorder="1" applyAlignment="1" applyProtection="1">
      <alignment vertical="center"/>
      <protection locked="0"/>
    </xf>
    <xf numFmtId="9" fontId="1" fillId="0" borderId="20" xfId="4" applyNumberFormat="1" applyFont="1" applyFill="1" applyBorder="1" applyAlignment="1">
      <alignment vertical="center"/>
    </xf>
    <xf numFmtId="0" fontId="13" fillId="10" borderId="0" xfId="0" applyFont="1" applyFill="1" applyAlignment="1">
      <alignment vertical="center"/>
    </xf>
    <xf numFmtId="41" fontId="1" fillId="10" borderId="0" xfId="0" applyNumberFormat="1" applyFont="1" applyFill="1" applyAlignment="1">
      <alignment vertical="center"/>
    </xf>
    <xf numFmtId="181" fontId="1" fillId="0" borderId="0" xfId="0" applyNumberFormat="1" applyFont="1" applyAlignment="1">
      <alignment vertical="center"/>
    </xf>
    <xf numFmtId="0" fontId="27" fillId="0" borderId="0" xfId="0" applyFont="1" applyFill="1" applyAlignment="1">
      <alignment vertical="center"/>
    </xf>
    <xf numFmtId="182" fontId="27" fillId="0" borderId="0" xfId="4" applyNumberFormat="1" applyFont="1" applyAlignment="1">
      <alignment vertical="center"/>
    </xf>
    <xf numFmtId="0" fontId="33" fillId="0" borderId="0" xfId="3" applyAlignment="1">
      <alignment vertical="center"/>
    </xf>
    <xf numFmtId="0" fontId="29" fillId="0" borderId="0" xfId="0" applyFont="1" applyAlignment="1">
      <alignment vertical="center"/>
    </xf>
    <xf numFmtId="0" fontId="29" fillId="0" borderId="87" xfId="0" applyFont="1" applyBorder="1" applyAlignment="1">
      <alignment vertical="center"/>
    </xf>
    <xf numFmtId="0" fontId="27" fillId="0" borderId="88" xfId="0" applyFont="1" applyBorder="1" applyAlignment="1" applyProtection="1">
      <alignment vertical="center"/>
      <protection locked="0"/>
    </xf>
    <xf numFmtId="183" fontId="1" fillId="6" borderId="10" xfId="0" applyNumberFormat="1" applyFont="1" applyFill="1" applyBorder="1" applyAlignment="1" applyProtection="1">
      <alignment horizontal="center" vertical="center"/>
    </xf>
    <xf numFmtId="183" fontId="1" fillId="6" borderId="21" xfId="0" applyNumberFormat="1" applyFont="1" applyFill="1" applyBorder="1" applyAlignment="1" applyProtection="1">
      <alignment horizontal="center" vertical="center"/>
    </xf>
    <xf numFmtId="183" fontId="1" fillId="6" borderId="22" xfId="0" applyNumberFormat="1" applyFont="1" applyFill="1" applyBorder="1" applyAlignment="1" applyProtection="1">
      <alignment horizontal="center" vertical="center"/>
    </xf>
    <xf numFmtId="0" fontId="27" fillId="6" borderId="91" xfId="0" applyFont="1" applyFill="1" applyBorder="1" applyAlignment="1">
      <alignment horizontal="left" vertical="center"/>
    </xf>
    <xf numFmtId="9" fontId="1" fillId="11" borderId="10" xfId="9" applyNumberFormat="1" applyFont="1" applyFill="1" applyBorder="1" applyAlignment="1" applyProtection="1">
      <alignment vertical="center"/>
      <protection locked="0"/>
    </xf>
    <xf numFmtId="0" fontId="27" fillId="6" borderId="92" xfId="0" applyFont="1" applyFill="1" applyBorder="1" applyAlignment="1">
      <alignment horizontal="left" vertical="center"/>
    </xf>
    <xf numFmtId="9" fontId="1" fillId="11" borderId="24" xfId="9" applyNumberFormat="1" applyFont="1" applyFill="1" applyBorder="1" applyAlignment="1" applyProtection="1">
      <alignment vertical="center"/>
      <protection locked="0"/>
    </xf>
    <xf numFmtId="9" fontId="1" fillId="11" borderId="25" xfId="9" applyNumberFormat="1" applyFont="1" applyFill="1" applyBorder="1" applyAlignment="1" applyProtection="1">
      <alignment vertical="center"/>
      <protection locked="0"/>
    </xf>
    <xf numFmtId="0" fontId="29" fillId="0" borderId="93" xfId="0" applyFont="1" applyBorder="1" applyAlignment="1">
      <alignment vertical="center"/>
    </xf>
    <xf numFmtId="0" fontId="27" fillId="0" borderId="0" xfId="0" applyFont="1" applyBorder="1" applyAlignment="1" applyProtection="1">
      <alignment vertical="center"/>
      <protection locked="0"/>
    </xf>
    <xf numFmtId="9" fontId="1" fillId="11" borderId="10" xfId="4" applyNumberFormat="1" applyFont="1" applyFill="1" applyBorder="1" applyAlignment="1" applyProtection="1">
      <alignment vertical="center"/>
      <protection locked="0"/>
    </xf>
    <xf numFmtId="9" fontId="1" fillId="11" borderId="21" xfId="4" applyNumberFormat="1" applyFont="1" applyFill="1" applyBorder="1" applyAlignment="1" applyProtection="1">
      <alignment vertical="center"/>
      <protection locked="0"/>
    </xf>
    <xf numFmtId="9" fontId="1" fillId="11" borderId="22" xfId="4" applyNumberFormat="1" applyFont="1" applyFill="1" applyBorder="1" applyAlignment="1" applyProtection="1">
      <alignment vertical="center"/>
      <protection locked="0"/>
    </xf>
    <xf numFmtId="9" fontId="1" fillId="11" borderId="24" xfId="4" applyNumberFormat="1" applyFont="1" applyFill="1" applyBorder="1" applyAlignment="1" applyProtection="1">
      <alignment vertical="center"/>
      <protection locked="0"/>
    </xf>
    <xf numFmtId="9" fontId="1" fillId="11" borderId="25" xfId="4" applyNumberFormat="1" applyFont="1" applyFill="1" applyBorder="1" applyAlignment="1" applyProtection="1">
      <alignment vertical="center"/>
      <protection locked="0"/>
    </xf>
    <xf numFmtId="9" fontId="1" fillId="11" borderId="26" xfId="4" applyNumberFormat="1" applyFont="1" applyFill="1" applyBorder="1" applyAlignment="1" applyProtection="1">
      <alignment vertical="center"/>
      <protection locked="0"/>
    </xf>
    <xf numFmtId="9" fontId="1" fillId="11" borderId="26" xfId="9" applyNumberFormat="1" applyFont="1" applyFill="1" applyBorder="1" applyAlignment="1" applyProtection="1">
      <alignment vertical="center"/>
      <protection locked="0"/>
    </xf>
    <xf numFmtId="0" fontId="27" fillId="0" borderId="94" xfId="0" applyFont="1" applyBorder="1" applyAlignment="1" applyProtection="1">
      <alignment vertical="center"/>
      <protection locked="0"/>
    </xf>
    <xf numFmtId="183" fontId="1" fillId="6" borderId="96" xfId="0" applyNumberFormat="1" applyFont="1" applyFill="1" applyBorder="1" applyAlignment="1" applyProtection="1">
      <alignment horizontal="center" vertical="center"/>
    </xf>
    <xf numFmtId="9" fontId="1" fillId="11" borderId="96" xfId="4" applyNumberFormat="1" applyFont="1" applyFill="1" applyBorder="1" applyAlignment="1" applyProtection="1">
      <alignment vertical="center"/>
      <protection locked="0"/>
    </xf>
    <xf numFmtId="9" fontId="27" fillId="0" borderId="0" xfId="0" applyNumberFormat="1" applyFont="1" applyAlignment="1" applyProtection="1">
      <alignment vertical="center"/>
      <protection locked="0"/>
    </xf>
    <xf numFmtId="9" fontId="1" fillId="11" borderId="97" xfId="4" applyNumberFormat="1" applyFont="1" applyFill="1" applyBorder="1" applyAlignment="1" applyProtection="1">
      <alignment vertical="center"/>
      <protection locked="0"/>
    </xf>
    <xf numFmtId="0" fontId="27" fillId="0" borderId="98" xfId="0" applyFont="1" applyBorder="1" applyAlignment="1" applyProtection="1">
      <alignment vertical="center"/>
      <protection locked="0"/>
    </xf>
    <xf numFmtId="0" fontId="27" fillId="6" borderId="99" xfId="0" applyFont="1" applyFill="1" applyBorder="1" applyAlignment="1">
      <alignment horizontal="left" vertical="center"/>
    </xf>
    <xf numFmtId="9" fontId="1" fillId="11" borderId="100" xfId="4" applyNumberFormat="1" applyFont="1" applyFill="1" applyBorder="1" applyAlignment="1" applyProtection="1">
      <alignment vertical="center"/>
      <protection locked="0"/>
    </xf>
    <xf numFmtId="9" fontId="1" fillId="11" borderId="101" xfId="4" applyNumberFormat="1" applyFont="1" applyFill="1" applyBorder="1" applyAlignment="1" applyProtection="1">
      <alignment vertical="center"/>
      <protection locked="0"/>
    </xf>
    <xf numFmtId="9" fontId="1" fillId="11" borderId="102" xfId="4" applyNumberFormat="1" applyFont="1" applyFill="1" applyBorder="1" applyAlignment="1" applyProtection="1">
      <alignment vertical="center"/>
      <protection locked="0"/>
    </xf>
    <xf numFmtId="0" fontId="27" fillId="0" borderId="0" xfId="0" applyFont="1" applyFill="1" applyAlignment="1" applyProtection="1">
      <alignment vertical="center"/>
      <protection locked="0"/>
    </xf>
    <xf numFmtId="0" fontId="27" fillId="0" borderId="0" xfId="0" applyFont="1" applyFill="1" applyBorder="1" applyAlignment="1" applyProtection="1">
      <alignment horizontal="left" vertical="center"/>
      <protection locked="0"/>
    </xf>
    <xf numFmtId="9" fontId="1" fillId="0" borderId="0" xfId="4" applyNumberFormat="1" applyFont="1" applyFill="1" applyBorder="1" applyAlignment="1" applyProtection="1">
      <alignment vertical="center"/>
      <protection locked="0"/>
    </xf>
    <xf numFmtId="182" fontId="27" fillId="0" borderId="0" xfId="4" applyNumberFormat="1" applyFont="1" applyAlignment="1" applyProtection="1">
      <alignment vertical="center"/>
      <protection locked="0"/>
    </xf>
    <xf numFmtId="182" fontId="27" fillId="6" borderId="20" xfId="4" applyNumberFormat="1" applyFont="1" applyFill="1" applyBorder="1" applyAlignment="1">
      <alignment horizontal="center" vertical="center"/>
    </xf>
    <xf numFmtId="182" fontId="1" fillId="5" borderId="21" xfId="4" applyNumberFormat="1" applyFont="1" applyFill="1" applyBorder="1" applyAlignment="1" applyProtection="1">
      <alignment vertical="center"/>
      <protection locked="0"/>
    </xf>
    <xf numFmtId="182" fontId="1" fillId="0" borderId="10" xfId="4" applyNumberFormat="1" applyFont="1" applyFill="1" applyBorder="1" applyAlignment="1" applyProtection="1">
      <alignment vertical="center"/>
      <protection locked="0"/>
    </xf>
    <xf numFmtId="182" fontId="1" fillId="0" borderId="21" xfId="4" applyNumberFormat="1" applyFont="1" applyFill="1" applyBorder="1" applyAlignment="1" applyProtection="1">
      <alignment vertical="center"/>
      <protection locked="0"/>
    </xf>
    <xf numFmtId="182" fontId="1" fillId="0" borderId="22" xfId="4" applyNumberFormat="1" applyFont="1" applyFill="1" applyBorder="1" applyAlignment="1" applyProtection="1">
      <alignment vertical="center"/>
      <protection locked="0"/>
    </xf>
    <xf numFmtId="182" fontId="27" fillId="6" borderId="23" xfId="4" applyNumberFormat="1" applyFont="1" applyFill="1" applyBorder="1" applyAlignment="1">
      <alignment horizontal="center" vertical="center"/>
    </xf>
    <xf numFmtId="182" fontId="1" fillId="5" borderId="23" xfId="4" applyNumberFormat="1" applyFont="1" applyFill="1" applyBorder="1" applyAlignment="1" applyProtection="1">
      <alignment vertical="center"/>
      <protection locked="0"/>
    </xf>
    <xf numFmtId="182" fontId="1" fillId="0" borderId="24" xfId="4" applyNumberFormat="1" applyFont="1" applyFill="1" applyBorder="1" applyAlignment="1" applyProtection="1">
      <alignment vertical="center"/>
      <protection locked="0"/>
    </xf>
    <xf numFmtId="182" fontId="1" fillId="0" borderId="25" xfId="4" applyNumberFormat="1" applyFont="1" applyFill="1" applyBorder="1" applyAlignment="1" applyProtection="1">
      <alignment vertical="center"/>
      <protection locked="0"/>
    </xf>
    <xf numFmtId="182" fontId="1" fillId="0" borderId="26" xfId="4" applyNumberFormat="1" applyFont="1" applyFill="1" applyBorder="1" applyAlignment="1" applyProtection="1">
      <alignment vertical="center"/>
      <protection locked="0"/>
    </xf>
    <xf numFmtId="182" fontId="27" fillId="12" borderId="23" xfId="4" applyNumberFormat="1" applyFont="1" applyFill="1" applyBorder="1" applyAlignment="1">
      <alignment vertical="center"/>
    </xf>
    <xf numFmtId="182" fontId="1" fillId="12" borderId="23" xfId="4" applyNumberFormat="1" applyFont="1" applyFill="1" applyBorder="1" applyAlignment="1" applyProtection="1">
      <alignment vertical="center"/>
      <protection locked="0"/>
    </xf>
    <xf numFmtId="182" fontId="1" fillId="12" borderId="24" xfId="4" applyNumberFormat="1" applyFont="1" applyFill="1" applyBorder="1" applyAlignment="1" applyProtection="1">
      <alignment vertical="center"/>
      <protection locked="0"/>
    </xf>
    <xf numFmtId="182" fontId="1" fillId="12" borderId="25" xfId="4" applyNumberFormat="1" applyFont="1" applyFill="1" applyBorder="1" applyAlignment="1" applyProtection="1">
      <alignment vertical="center"/>
      <protection locked="0"/>
    </xf>
    <xf numFmtId="182" fontId="1" fillId="12" borderId="26" xfId="4" applyNumberFormat="1" applyFont="1" applyFill="1" applyBorder="1" applyAlignment="1" applyProtection="1">
      <alignment vertical="center"/>
      <protection locked="0"/>
    </xf>
    <xf numFmtId="0" fontId="0" fillId="0" borderId="0" xfId="0" applyProtection="1">
      <protection locked="0"/>
    </xf>
    <xf numFmtId="182" fontId="27" fillId="10" borderId="50" xfId="4" applyNumberFormat="1" applyFont="1" applyFill="1" applyBorder="1" applyAlignment="1">
      <alignment horizontal="right" vertical="center"/>
    </xf>
    <xf numFmtId="41" fontId="1" fillId="10" borderId="50" xfId="4" applyNumberFormat="1" applyFont="1" applyFill="1" applyBorder="1" applyAlignment="1" applyProtection="1">
      <alignment vertical="center"/>
      <protection locked="0"/>
    </xf>
    <xf numFmtId="9" fontId="1" fillId="11" borderId="103" xfId="4" applyNumberFormat="1" applyFont="1" applyFill="1" applyBorder="1" applyAlignment="1" applyProtection="1">
      <alignment vertical="center"/>
      <protection locked="0"/>
    </xf>
    <xf numFmtId="0" fontId="15" fillId="0" borderId="0" xfId="8" applyFont="1" applyBorder="1" applyAlignment="1" applyProtection="1">
      <alignment vertical="center"/>
    </xf>
    <xf numFmtId="0" fontId="15" fillId="5" borderId="0" xfId="8" applyFont="1" applyFill="1" applyBorder="1" applyAlignment="1" applyProtection="1">
      <alignment vertical="center"/>
    </xf>
    <xf numFmtId="0" fontId="15" fillId="5" borderId="0" xfId="8" applyNumberFormat="1" applyFont="1" applyFill="1" applyBorder="1" applyAlignment="1" applyProtection="1">
      <alignment vertical="center"/>
    </xf>
    <xf numFmtId="0" fontId="0" fillId="0" borderId="0" xfId="0" applyAlignment="1" applyProtection="1">
      <alignment vertical="center"/>
    </xf>
    <xf numFmtId="41" fontId="0" fillId="0" borderId="0" xfId="0" applyNumberFormat="1" applyAlignment="1" applyProtection="1">
      <alignment vertical="center"/>
    </xf>
    <xf numFmtId="0" fontId="34" fillId="0" borderId="0" xfId="0" applyFont="1" applyAlignment="1" applyProtection="1">
      <alignment vertical="center"/>
    </xf>
    <xf numFmtId="0" fontId="34" fillId="0" borderId="0" xfId="0" applyFont="1" applyAlignment="1" applyProtection="1">
      <alignment vertical="center"/>
      <protection locked="0"/>
    </xf>
    <xf numFmtId="0" fontId="33" fillId="0" borderId="0" xfId="3" applyAlignment="1" applyProtection="1">
      <alignment vertical="center"/>
    </xf>
    <xf numFmtId="0" fontId="15" fillId="0" borderId="0" xfId="8" applyFont="1" applyAlignment="1" applyProtection="1">
      <alignment vertical="center"/>
    </xf>
    <xf numFmtId="0" fontId="15" fillId="0" borderId="0" xfId="8" applyFont="1" applyAlignment="1" applyProtection="1">
      <alignment vertical="center"/>
      <protection locked="0"/>
    </xf>
    <xf numFmtId="0" fontId="15" fillId="0" borderId="0" xfId="8" applyFont="1" applyBorder="1" applyAlignment="1" applyProtection="1">
      <alignment vertical="center"/>
      <protection locked="0"/>
    </xf>
    <xf numFmtId="193" fontId="23" fillId="6" borderId="1" xfId="8" applyNumberFormat="1" applyFont="1" applyFill="1" applyBorder="1" applyAlignment="1" applyProtection="1">
      <alignment vertical="center" wrapText="1"/>
    </xf>
    <xf numFmtId="193" fontId="23" fillId="6" borderId="1" xfId="8" applyNumberFormat="1" applyFont="1" applyFill="1" applyBorder="1" applyAlignment="1" applyProtection="1">
      <alignment horizontal="center" vertical="center" wrapText="1"/>
    </xf>
    <xf numFmtId="41" fontId="23" fillId="6" borderId="1" xfId="8" applyNumberFormat="1" applyFont="1" applyFill="1" applyBorder="1" applyAlignment="1" applyProtection="1">
      <alignment horizontal="center" vertical="center" wrapText="1"/>
    </xf>
    <xf numFmtId="0" fontId="21" fillId="5" borderId="104" xfId="8" applyNumberFormat="1" applyFont="1" applyFill="1" applyBorder="1" applyAlignment="1" applyProtection="1">
      <alignment vertical="center" wrapText="1"/>
    </xf>
    <xf numFmtId="0" fontId="21" fillId="5" borderId="2" xfId="8" applyNumberFormat="1" applyFont="1" applyFill="1" applyBorder="1" applyAlignment="1" applyProtection="1">
      <alignment horizontal="center" vertical="center" wrapText="1"/>
      <protection locked="0"/>
    </xf>
    <xf numFmtId="41" fontId="21" fillId="5" borderId="2" xfId="8" applyNumberFormat="1" applyFont="1" applyFill="1" applyBorder="1" applyAlignment="1" applyProtection="1">
      <alignment horizontal="center" vertical="center" wrapText="1"/>
      <protection locked="0"/>
    </xf>
    <xf numFmtId="0" fontId="21" fillId="5" borderId="2" xfId="8" applyNumberFormat="1" applyFont="1" applyFill="1" applyBorder="1" applyAlignment="1" applyProtection="1">
      <alignment horizontal="center" vertical="center" wrapText="1"/>
    </xf>
    <xf numFmtId="0" fontId="21" fillId="5" borderId="1" xfId="8" applyNumberFormat="1" applyFont="1" applyFill="1" applyBorder="1" applyAlignment="1" applyProtection="1">
      <alignment horizontal="left" vertical="center"/>
    </xf>
    <xf numFmtId="0" fontId="21" fillId="5" borderId="1" xfId="8" applyNumberFormat="1" applyFont="1" applyFill="1" applyBorder="1" applyAlignment="1" applyProtection="1">
      <alignment horizontal="center" vertical="center"/>
    </xf>
    <xf numFmtId="0" fontId="21" fillId="11" borderId="1" xfId="8" applyNumberFormat="1" applyFont="1" applyFill="1" applyBorder="1" applyAlignment="1" applyProtection="1">
      <alignment horizontal="left" vertical="center"/>
      <protection locked="0"/>
    </xf>
    <xf numFmtId="41" fontId="21" fillId="5" borderId="1" xfId="8" applyNumberFormat="1" applyFont="1" applyFill="1" applyBorder="1" applyAlignment="1" applyProtection="1">
      <alignment horizontal="center" vertical="center"/>
    </xf>
    <xf numFmtId="14" fontId="21" fillId="11" borderId="1" xfId="12" applyNumberFormat="1" applyFont="1" applyFill="1" applyBorder="1" applyAlignment="1" applyProtection="1">
      <alignment horizontal="center" vertical="center"/>
      <protection locked="0"/>
    </xf>
    <xf numFmtId="0" fontId="21" fillId="5" borderId="105" xfId="8" applyNumberFormat="1" applyFont="1" applyFill="1" applyBorder="1" applyAlignment="1" applyProtection="1">
      <alignment horizontal="left" vertical="center"/>
      <protection locked="0"/>
    </xf>
    <xf numFmtId="0" fontId="21" fillId="5" borderId="105" xfId="8" applyNumberFormat="1" applyFont="1" applyFill="1" applyBorder="1" applyAlignment="1" applyProtection="1">
      <alignment horizontal="center" vertical="center"/>
      <protection locked="0"/>
    </xf>
    <xf numFmtId="0" fontId="21" fillId="5" borderId="0" xfId="8" applyNumberFormat="1" applyFont="1" applyFill="1" applyBorder="1" applyAlignment="1" applyProtection="1">
      <alignment horizontal="left" vertical="center"/>
      <protection locked="0"/>
    </xf>
    <xf numFmtId="41" fontId="21" fillId="5" borderId="0" xfId="8" applyNumberFormat="1" applyFont="1" applyFill="1" applyBorder="1" applyAlignment="1" applyProtection="1">
      <alignment horizontal="left" vertical="center"/>
      <protection locked="0"/>
    </xf>
    <xf numFmtId="14" fontId="21" fillId="5" borderId="0" xfId="8" applyNumberFormat="1" applyFont="1" applyFill="1" applyBorder="1" applyAlignment="1" applyProtection="1">
      <alignment horizontal="left" vertical="center"/>
      <protection locked="0"/>
    </xf>
    <xf numFmtId="0" fontId="21" fillId="5" borderId="106" xfId="8" applyNumberFormat="1" applyFont="1" applyFill="1" applyBorder="1" applyAlignment="1" applyProtection="1">
      <alignment horizontal="left" vertical="center"/>
      <protection locked="0"/>
    </xf>
    <xf numFmtId="0" fontId="21" fillId="5" borderId="106" xfId="8" applyNumberFormat="1" applyFont="1" applyFill="1" applyBorder="1" applyAlignment="1" applyProtection="1">
      <alignment horizontal="center" vertical="center"/>
      <protection locked="0"/>
    </xf>
    <xf numFmtId="0" fontId="21" fillId="5" borderId="107" xfId="8" applyNumberFormat="1" applyFont="1" applyFill="1" applyBorder="1" applyAlignment="1" applyProtection="1">
      <alignment horizontal="left" vertical="center"/>
      <protection locked="0"/>
    </xf>
    <xf numFmtId="41" fontId="21" fillId="5" borderId="107" xfId="8" applyNumberFormat="1" applyFont="1" applyFill="1" applyBorder="1" applyAlignment="1" applyProtection="1">
      <alignment horizontal="left" vertical="center"/>
      <protection locked="0"/>
    </xf>
    <xf numFmtId="14" fontId="21" fillId="5" borderId="107" xfId="8" applyNumberFormat="1" applyFont="1" applyFill="1" applyBorder="1" applyAlignment="1" applyProtection="1">
      <alignment horizontal="left" vertical="center"/>
      <protection locked="0"/>
    </xf>
    <xf numFmtId="14" fontId="21" fillId="11" borderId="1" xfId="8" applyNumberFormat="1" applyFont="1" applyFill="1" applyBorder="1" applyAlignment="1" applyProtection="1">
      <alignment horizontal="center" vertical="center"/>
      <protection locked="0"/>
    </xf>
    <xf numFmtId="0" fontId="21" fillId="5" borderId="12" xfId="8" applyNumberFormat="1" applyFont="1" applyFill="1" applyBorder="1" applyAlignment="1" applyProtection="1">
      <alignment horizontal="left" vertical="center"/>
      <protection locked="0"/>
    </xf>
    <xf numFmtId="0" fontId="0" fillId="0" borderId="0" xfId="0" applyAlignment="1" applyProtection="1">
      <alignment vertical="center"/>
      <protection locked="0"/>
    </xf>
    <xf numFmtId="14" fontId="21" fillId="5" borderId="105" xfId="8" applyNumberFormat="1" applyFont="1" applyFill="1" applyBorder="1" applyAlignment="1" applyProtection="1">
      <alignment horizontal="left" vertical="center"/>
      <protection locked="0"/>
    </xf>
    <xf numFmtId="14" fontId="15" fillId="5" borderId="105" xfId="8" applyNumberFormat="1" applyFont="1" applyFill="1" applyBorder="1" applyAlignment="1" applyProtection="1">
      <alignment horizontal="center" vertical="center"/>
      <protection locked="0"/>
    </xf>
    <xf numFmtId="14" fontId="15" fillId="5" borderId="0" xfId="8" applyNumberFormat="1" applyFont="1" applyFill="1" applyBorder="1" applyAlignment="1" applyProtection="1">
      <alignment horizontal="center" vertical="center"/>
      <protection locked="0"/>
    </xf>
    <xf numFmtId="14" fontId="21" fillId="5" borderId="106" xfId="8" applyNumberFormat="1" applyFont="1" applyFill="1" applyBorder="1" applyAlignment="1" applyProtection="1">
      <alignment horizontal="left" vertical="center"/>
      <protection locked="0"/>
    </xf>
    <xf numFmtId="14" fontId="15" fillId="5" borderId="106" xfId="8" applyNumberFormat="1" applyFont="1" applyFill="1" applyBorder="1" applyAlignment="1" applyProtection="1">
      <alignment horizontal="center" vertical="center"/>
      <protection locked="0"/>
    </xf>
    <xf numFmtId="14" fontId="15" fillId="5" borderId="107" xfId="8" applyNumberFormat="1" applyFont="1" applyFill="1" applyBorder="1" applyAlignment="1" applyProtection="1">
      <alignment horizontal="center" vertical="center"/>
      <protection locked="0"/>
    </xf>
    <xf numFmtId="14" fontId="15" fillId="11" borderId="1" xfId="8" applyNumberFormat="1" applyFont="1" applyFill="1" applyBorder="1" applyAlignment="1" applyProtection="1">
      <alignment horizontal="center" vertical="center"/>
      <protection locked="0"/>
    </xf>
    <xf numFmtId="14" fontId="0" fillId="0" borderId="0" xfId="0" applyNumberFormat="1" applyAlignment="1" applyProtection="1">
      <alignment vertical="center"/>
      <protection locked="0"/>
    </xf>
    <xf numFmtId="14" fontId="15" fillId="11" borderId="1" xfId="12" applyNumberFormat="1" applyFont="1" applyFill="1" applyBorder="1" applyAlignment="1" applyProtection="1">
      <alignment horizontal="center" vertical="center"/>
      <protection locked="0"/>
    </xf>
    <xf numFmtId="0" fontId="15" fillId="5" borderId="0" xfId="8" applyFont="1" applyFill="1" applyBorder="1" applyAlignment="1" applyProtection="1">
      <alignment vertical="center"/>
      <protection locked="0"/>
    </xf>
    <xf numFmtId="0" fontId="15" fillId="5" borderId="0" xfId="8" applyNumberFormat="1" applyFont="1" applyFill="1" applyBorder="1" applyAlignment="1" applyProtection="1">
      <alignment vertical="center"/>
      <protection locked="0"/>
    </xf>
    <xf numFmtId="0" fontId="15" fillId="11" borderId="1" xfId="8" applyFont="1" applyFill="1" applyBorder="1" applyAlignment="1" applyProtection="1">
      <alignment horizontal="center" vertical="center"/>
      <protection locked="0"/>
    </xf>
    <xf numFmtId="14" fontId="15" fillId="0" borderId="0" xfId="8" applyNumberFormat="1" applyFont="1" applyBorder="1" applyAlignment="1" applyProtection="1">
      <alignment vertical="center"/>
    </xf>
    <xf numFmtId="0" fontId="15" fillId="0" borderId="108" xfId="8" applyFont="1" applyBorder="1" applyAlignment="1" applyProtection="1">
      <alignment vertical="center"/>
      <protection locked="0"/>
    </xf>
    <xf numFmtId="0" fontId="15" fillId="0" borderId="0" xfId="8" applyFont="1" applyBorder="1" applyAlignment="1" applyProtection="1">
      <alignment horizontal="center" vertical="center"/>
    </xf>
    <xf numFmtId="41" fontId="0" fillId="0" borderId="0" xfId="0" applyNumberFormat="1" applyAlignment="1" applyProtection="1">
      <alignment vertical="center"/>
      <protection locked="0"/>
    </xf>
    <xf numFmtId="0" fontId="35" fillId="0" borderId="0" xfId="0" applyFont="1" applyAlignment="1" applyProtection="1">
      <alignment vertical="center"/>
    </xf>
    <xf numFmtId="0" fontId="0" fillId="0" borderId="0" xfId="0" applyFill="1" applyProtection="1"/>
    <xf numFmtId="0" fontId="13" fillId="0" borderId="0" xfId="0" applyFont="1" applyAlignment="1" applyProtection="1">
      <alignment horizontal="right" vertical="center"/>
      <protection locked="0"/>
    </xf>
    <xf numFmtId="191" fontId="1" fillId="0" borderId="0" xfId="0" applyNumberFormat="1" applyFont="1" applyAlignment="1" applyProtection="1">
      <alignment horizontal="left" vertical="center"/>
      <protection locked="0"/>
    </xf>
    <xf numFmtId="0" fontId="13" fillId="6" borderId="1" xfId="0" applyFont="1" applyFill="1" applyBorder="1" applyAlignment="1" applyProtection="1">
      <alignment horizontal="center" vertical="center"/>
    </xf>
    <xf numFmtId="0" fontId="13" fillId="6" borderId="13" xfId="0" applyFont="1" applyFill="1" applyBorder="1" applyAlignment="1" applyProtection="1">
      <alignment horizontal="center" vertical="center"/>
    </xf>
    <xf numFmtId="0" fontId="13" fillId="6" borderId="14" xfId="0" applyFont="1" applyFill="1" applyBorder="1" applyAlignment="1" applyProtection="1">
      <alignment horizontal="center" vertical="center"/>
    </xf>
    <xf numFmtId="182" fontId="13" fillId="11" borderId="13" xfId="2" applyNumberFormat="1" applyFont="1" applyFill="1" applyBorder="1" applyAlignment="1" applyProtection="1">
      <alignment vertical="center"/>
      <protection locked="0"/>
    </xf>
    <xf numFmtId="182" fontId="1" fillId="5" borderId="1" xfId="2" applyNumberFormat="1" applyFont="1" applyFill="1" applyBorder="1" applyAlignment="1" applyProtection="1">
      <alignment vertical="center"/>
    </xf>
    <xf numFmtId="182" fontId="1" fillId="11" borderId="14" xfId="2" applyNumberFormat="1" applyFont="1" applyFill="1" applyBorder="1" applyAlignment="1" applyProtection="1">
      <alignment vertical="center"/>
      <protection locked="0"/>
    </xf>
    <xf numFmtId="182" fontId="1" fillId="11" borderId="13" xfId="2" applyNumberFormat="1" applyFont="1" applyFill="1" applyBorder="1" applyAlignment="1" applyProtection="1">
      <alignment vertical="center"/>
      <protection locked="0"/>
    </xf>
    <xf numFmtId="182" fontId="1" fillId="11" borderId="14" xfId="2" applyNumberFormat="1" applyFont="1" applyFill="1" applyBorder="1" applyAlignment="1" applyProtection="1">
      <alignment vertical="center" wrapText="1"/>
      <protection locked="0"/>
    </xf>
    <xf numFmtId="182" fontId="13" fillId="0" borderId="13" xfId="2" applyNumberFormat="1" applyFont="1" applyFill="1" applyBorder="1" applyAlignment="1" applyProtection="1">
      <alignment vertical="center"/>
      <protection locked="0"/>
    </xf>
    <xf numFmtId="182" fontId="13" fillId="5" borderId="13" xfId="2" applyNumberFormat="1" applyFont="1" applyFill="1" applyBorder="1" applyAlignment="1" applyProtection="1">
      <alignment vertical="center"/>
    </xf>
    <xf numFmtId="0" fontId="13" fillId="12" borderId="115" xfId="0" applyFont="1" applyFill="1" applyBorder="1" applyAlignment="1" applyProtection="1">
      <alignment vertical="center"/>
    </xf>
    <xf numFmtId="0" fontId="1" fillId="12" borderId="1" xfId="0" applyFont="1" applyFill="1" applyBorder="1" applyAlignment="1" applyProtection="1">
      <alignment vertical="center"/>
      <protection locked="0"/>
    </xf>
    <xf numFmtId="182" fontId="1" fillId="12" borderId="1" xfId="2" applyNumberFormat="1" applyFont="1" applyFill="1" applyBorder="1" applyAlignment="1" applyProtection="1">
      <alignment vertical="center"/>
    </xf>
    <xf numFmtId="182" fontId="1" fillId="12" borderId="13" xfId="2" applyNumberFormat="1" applyFont="1" applyFill="1" applyBorder="1" applyAlignment="1" applyProtection="1">
      <alignment vertical="center"/>
    </xf>
    <xf numFmtId="182" fontId="1" fillId="12" borderId="14" xfId="2" applyNumberFormat="1" applyFont="1" applyFill="1" applyBorder="1" applyAlignment="1" applyProtection="1">
      <alignment vertical="center"/>
    </xf>
    <xf numFmtId="0" fontId="13" fillId="6" borderId="115"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3" fillId="5" borderId="115" xfId="0" applyFont="1" applyFill="1" applyBorder="1" applyAlignment="1" applyProtection="1">
      <alignment horizontal="left" vertical="center"/>
      <protection locked="0"/>
    </xf>
    <xf numFmtId="182" fontId="1" fillId="5" borderId="1" xfId="2" applyNumberFormat="1" applyFont="1" applyFill="1" applyBorder="1" applyAlignment="1" applyProtection="1">
      <alignment vertical="center"/>
      <protection locked="0"/>
    </xf>
    <xf numFmtId="182" fontId="1" fillId="11" borderId="13" xfId="0" applyNumberFormat="1" applyFont="1" applyFill="1" applyBorder="1" applyAlignment="1" applyProtection="1">
      <alignment vertical="center"/>
      <protection locked="0"/>
    </xf>
    <xf numFmtId="182" fontId="1" fillId="11" borderId="14" xfId="0" applyNumberFormat="1" applyFont="1" applyFill="1" applyBorder="1" applyAlignment="1" applyProtection="1">
      <alignment vertical="center"/>
      <protection locked="0"/>
    </xf>
    <xf numFmtId="0" fontId="13" fillId="12" borderId="116" xfId="0" applyFont="1" applyFill="1" applyBorder="1" applyAlignment="1" applyProtection="1">
      <alignment horizontal="center" vertical="center"/>
      <protection locked="0"/>
    </xf>
    <xf numFmtId="0" fontId="13" fillId="12" borderId="117" xfId="0" applyFont="1" applyFill="1" applyBorder="1" applyAlignment="1" applyProtection="1">
      <alignment horizontal="center" vertical="center"/>
      <protection locked="0"/>
    </xf>
    <xf numFmtId="182" fontId="1" fillId="12" borderId="117" xfId="0" applyNumberFormat="1" applyFont="1" applyFill="1" applyBorder="1" applyAlignment="1" applyProtection="1">
      <alignment vertical="center"/>
    </xf>
    <xf numFmtId="182" fontId="1" fillId="12" borderId="118" xfId="0" applyNumberFormat="1" applyFont="1" applyFill="1" applyBorder="1" applyAlignment="1" applyProtection="1">
      <alignment vertical="center"/>
    </xf>
    <xf numFmtId="182" fontId="1" fillId="12" borderId="119" xfId="0" applyNumberFormat="1" applyFont="1" applyFill="1" applyBorder="1" applyAlignment="1" applyProtection="1">
      <alignment vertical="center"/>
    </xf>
    <xf numFmtId="0" fontId="13" fillId="0" borderId="0" xfId="0" applyFont="1" applyAlignment="1" applyProtection="1">
      <alignment horizontal="right" vertical="center"/>
    </xf>
    <xf numFmtId="191" fontId="1" fillId="0" borderId="0" xfId="0" applyNumberFormat="1" applyFont="1" applyAlignment="1" applyProtection="1">
      <alignment horizontal="left" vertical="center"/>
    </xf>
    <xf numFmtId="0" fontId="36" fillId="0" borderId="0" xfId="0" applyFont="1" applyAlignment="1" applyProtection="1">
      <alignment vertical="center"/>
    </xf>
    <xf numFmtId="0" fontId="37" fillId="0" borderId="0" xfId="0" applyFont="1" applyAlignment="1" applyProtection="1">
      <alignment vertical="center"/>
    </xf>
    <xf numFmtId="0" fontId="22" fillId="0" borderId="0" xfId="0" applyFont="1" applyAlignment="1" applyProtection="1">
      <alignment vertical="center"/>
    </xf>
    <xf numFmtId="43" fontId="13" fillId="6" borderId="13" xfId="2" applyFont="1" applyFill="1" applyBorder="1" applyAlignment="1" applyProtection="1">
      <alignment horizontal="center" vertical="center"/>
    </xf>
    <xf numFmtId="43" fontId="1" fillId="8" borderId="27" xfId="0" applyNumberFormat="1" applyFont="1" applyFill="1" applyBorder="1" applyAlignment="1" applyProtection="1">
      <alignment vertical="center"/>
      <protection locked="0"/>
    </xf>
    <xf numFmtId="43" fontId="1" fillId="0" borderId="13" xfId="2" applyFont="1" applyFill="1" applyBorder="1" applyAlignment="1" applyProtection="1">
      <alignment vertical="center"/>
    </xf>
    <xf numFmtId="43" fontId="1" fillId="11" borderId="14" xfId="2" applyFont="1" applyFill="1" applyBorder="1" applyAlignment="1" applyProtection="1">
      <alignment vertical="center"/>
      <protection locked="0"/>
    </xf>
    <xf numFmtId="182" fontId="1" fillId="5" borderId="13" xfId="2" applyNumberFormat="1" applyFont="1" applyFill="1" applyBorder="1" applyAlignment="1" applyProtection="1">
      <alignment vertical="center"/>
    </xf>
    <xf numFmtId="0" fontId="3" fillId="0" borderId="115" xfId="0" applyFont="1" applyFill="1" applyBorder="1" applyAlignment="1" applyProtection="1">
      <alignment vertical="center"/>
    </xf>
    <xf numFmtId="182" fontId="1" fillId="0" borderId="1" xfId="2" applyNumberFormat="1" applyFont="1" applyFill="1" applyBorder="1" applyAlignment="1" applyProtection="1">
      <alignment vertical="center"/>
    </xf>
    <xf numFmtId="43" fontId="1" fillId="3" borderId="14" xfId="2" applyFont="1" applyFill="1" applyBorder="1" applyAlignment="1" applyProtection="1">
      <alignment vertical="center"/>
      <protection locked="0"/>
    </xf>
    <xf numFmtId="43" fontId="1" fillId="0" borderId="14" xfId="2" applyFont="1" applyFill="1" applyBorder="1" applyAlignment="1" applyProtection="1">
      <alignment vertical="center"/>
    </xf>
    <xf numFmtId="0" fontId="13" fillId="6" borderId="15" xfId="0" applyFont="1" applyFill="1" applyBorder="1" applyAlignment="1" applyProtection="1">
      <alignment horizontal="center" vertical="center"/>
    </xf>
    <xf numFmtId="43" fontId="1" fillId="11" borderId="14" xfId="2" applyNumberFormat="1" applyFont="1" applyFill="1" applyBorder="1" applyAlignment="1" applyProtection="1">
      <alignment vertical="center"/>
      <protection locked="0"/>
    </xf>
    <xf numFmtId="182" fontId="1" fillId="11" borderId="15" xfId="2" applyNumberFormat="1" applyFont="1" applyFill="1" applyBorder="1" applyAlignment="1" applyProtection="1">
      <alignment vertical="center"/>
      <protection locked="0"/>
    </xf>
    <xf numFmtId="182" fontId="1" fillId="12" borderId="15" xfId="2" applyNumberFormat="1" applyFont="1" applyFill="1" applyBorder="1" applyAlignment="1" applyProtection="1">
      <alignment vertical="center"/>
    </xf>
    <xf numFmtId="182" fontId="1" fillId="11" borderId="15" xfId="0" applyNumberFormat="1" applyFont="1" applyFill="1" applyBorder="1" applyAlignment="1" applyProtection="1">
      <alignment vertical="center"/>
      <protection locked="0"/>
    </xf>
    <xf numFmtId="182" fontId="1" fillId="12" borderId="120" xfId="0" applyNumberFormat="1" applyFont="1" applyFill="1" applyBorder="1" applyAlignment="1" applyProtection="1">
      <alignment vertical="center"/>
    </xf>
    <xf numFmtId="43" fontId="1" fillId="3" borderId="13" xfId="2" applyFont="1" applyFill="1" applyBorder="1" applyAlignment="1" applyProtection="1">
      <alignment vertical="center"/>
      <protection locked="0"/>
    </xf>
    <xf numFmtId="43" fontId="13" fillId="6" borderId="13" xfId="0" applyNumberFormat="1" applyFont="1" applyFill="1" applyBorder="1" applyAlignment="1" applyProtection="1">
      <alignment horizontal="center" vertical="center"/>
    </xf>
    <xf numFmtId="0" fontId="22" fillId="0" borderId="0" xfId="0" applyFont="1" applyAlignment="1" applyProtection="1">
      <alignment vertical="center"/>
      <protection locked="0"/>
    </xf>
    <xf numFmtId="0" fontId="13" fillId="6" borderId="122" xfId="0" applyFont="1" applyFill="1" applyBorder="1" applyAlignment="1" applyProtection="1">
      <alignment horizontal="center" vertical="center"/>
    </xf>
    <xf numFmtId="0" fontId="22" fillId="0" borderId="0" xfId="0" applyFont="1" applyAlignment="1" applyProtection="1">
      <alignment horizontal="center" vertical="center"/>
      <protection locked="0"/>
    </xf>
    <xf numFmtId="182" fontId="1" fillId="11" borderId="122" xfId="2" applyNumberFormat="1" applyFont="1" applyFill="1" applyBorder="1" applyAlignment="1" applyProtection="1">
      <alignment vertical="center"/>
      <protection locked="0"/>
    </xf>
    <xf numFmtId="182" fontId="1" fillId="12" borderId="122" xfId="2" applyNumberFormat="1" applyFont="1" applyFill="1" applyBorder="1" applyAlignment="1" applyProtection="1">
      <alignment vertical="center"/>
    </xf>
    <xf numFmtId="182" fontId="1" fillId="12" borderId="123" xfId="0" applyNumberFormat="1" applyFont="1" applyFill="1" applyBorder="1" applyAlignment="1" applyProtection="1">
      <alignment vertical="center"/>
    </xf>
    <xf numFmtId="0" fontId="22" fillId="0" borderId="0" xfId="0" applyFont="1" applyFill="1" applyAlignment="1" applyProtection="1">
      <alignment vertical="center"/>
    </xf>
    <xf numFmtId="182" fontId="1" fillId="0" borderId="0" xfId="0" applyNumberFormat="1" applyFont="1" applyAlignment="1" applyProtection="1">
      <alignment vertical="center"/>
      <protection locked="0"/>
    </xf>
    <xf numFmtId="0" fontId="38" fillId="0" borderId="0" xfId="0" applyFont="1" applyBorder="1" applyAlignment="1">
      <alignment horizontal="left"/>
    </xf>
    <xf numFmtId="0" fontId="38" fillId="0" borderId="0" xfId="0" applyFont="1" applyFill="1" applyBorder="1" applyAlignment="1">
      <alignment horizontal="left"/>
    </xf>
    <xf numFmtId="0" fontId="1" fillId="0" borderId="0" xfId="0" applyFont="1" applyFill="1" applyBorder="1" applyAlignment="1" applyProtection="1">
      <alignment vertical="center"/>
    </xf>
    <xf numFmtId="0" fontId="1" fillId="0" borderId="0" xfId="0" applyFont="1" applyAlignment="1" applyProtection="1">
      <alignment horizontal="center" vertical="center" wrapText="1"/>
    </xf>
    <xf numFmtId="0" fontId="1" fillId="6" borderId="1" xfId="0" applyFont="1" applyFill="1" applyBorder="1" applyAlignment="1" applyProtection="1">
      <alignment horizontal="center" vertical="center"/>
    </xf>
    <xf numFmtId="43" fontId="1" fillId="0" borderId="1" xfId="0" applyNumberFormat="1" applyFont="1" applyFill="1" applyBorder="1" applyAlignment="1" applyProtection="1">
      <alignment vertical="center"/>
    </xf>
    <xf numFmtId="10" fontId="1" fillId="0" borderId="1" xfId="4" applyNumberFormat="1" applyFont="1" applyFill="1" applyBorder="1" applyAlignment="1" applyProtection="1">
      <alignment vertical="center"/>
    </xf>
    <xf numFmtId="0" fontId="13" fillId="0" borderId="1" xfId="0" applyFont="1" applyFill="1" applyBorder="1" applyAlignment="1" applyProtection="1">
      <alignment vertical="center"/>
    </xf>
    <xf numFmtId="10" fontId="1" fillId="0" borderId="0" xfId="4" applyNumberFormat="1" applyFont="1" applyAlignment="1" applyProtection="1">
      <alignment vertical="center"/>
    </xf>
    <xf numFmtId="192" fontId="1" fillId="0" borderId="0" xfId="0" applyNumberFormat="1" applyFont="1" applyAlignment="1" applyProtection="1">
      <alignment vertical="center"/>
    </xf>
    <xf numFmtId="0" fontId="4" fillId="6" borderId="124" xfId="0" applyFont="1" applyFill="1" applyBorder="1" applyAlignment="1" applyProtection="1">
      <alignment horizontal="center" vertical="center"/>
    </xf>
    <xf numFmtId="0" fontId="13" fillId="0" borderId="115" xfId="0" applyFont="1" applyFill="1" applyBorder="1" applyAlignment="1" applyProtection="1">
      <alignment vertical="center"/>
    </xf>
    <xf numFmtId="43" fontId="1" fillId="8" borderId="40" xfId="0" applyNumberFormat="1" applyFont="1" applyFill="1" applyBorder="1" applyAlignment="1" applyProtection="1">
      <alignment vertical="center"/>
    </xf>
    <xf numFmtId="43" fontId="1" fillId="8" borderId="5" xfId="0" applyNumberFormat="1" applyFont="1" applyFill="1" applyBorder="1" applyAlignment="1" applyProtection="1">
      <alignment vertical="center"/>
    </xf>
    <xf numFmtId="182" fontId="1" fillId="0" borderId="13" xfId="2" applyNumberFormat="1" applyFont="1" applyFill="1" applyBorder="1" applyAlignment="1" applyProtection="1">
      <alignment vertical="center"/>
    </xf>
    <xf numFmtId="182" fontId="1" fillId="0" borderId="14" xfId="2" applyNumberFormat="1" applyFont="1" applyFill="1" applyBorder="1" applyAlignment="1" applyProtection="1">
      <alignment vertical="center"/>
    </xf>
    <xf numFmtId="43" fontId="1" fillId="8" borderId="27" xfId="0" applyNumberFormat="1" applyFont="1" applyFill="1" applyBorder="1" applyAlignment="1" applyProtection="1">
      <alignment vertical="center"/>
    </xf>
    <xf numFmtId="43" fontId="1" fillId="8" borderId="37" xfId="0" applyNumberFormat="1" applyFont="1" applyFill="1" applyBorder="1" applyAlignment="1" applyProtection="1">
      <alignment vertical="center"/>
    </xf>
    <xf numFmtId="0" fontId="13" fillId="0" borderId="115" xfId="0" applyFont="1" applyFill="1" applyBorder="1" applyAlignment="1" applyProtection="1">
      <alignment horizontal="left" vertical="center" indent="1"/>
    </xf>
    <xf numFmtId="9" fontId="1" fillId="5" borderId="1" xfId="0" applyNumberFormat="1" applyFont="1" applyFill="1" applyBorder="1" applyAlignment="1" applyProtection="1">
      <alignment vertical="center"/>
    </xf>
    <xf numFmtId="183" fontId="1" fillId="11" borderId="1" xfId="4" applyNumberFormat="1" applyFont="1" applyFill="1" applyBorder="1" applyAlignment="1" applyProtection="1">
      <alignment vertical="center"/>
      <protection locked="0"/>
    </xf>
    <xf numFmtId="182" fontId="1" fillId="3" borderId="13" xfId="2" applyNumberFormat="1" applyFont="1" applyFill="1" applyBorder="1" applyAlignment="1" applyProtection="1">
      <alignment vertical="center"/>
      <protection locked="0"/>
    </xf>
    <xf numFmtId="182" fontId="1" fillId="3" borderId="14" xfId="2" applyNumberFormat="1" applyFont="1" applyFill="1" applyBorder="1" applyAlignment="1" applyProtection="1">
      <alignment vertical="center"/>
      <protection locked="0"/>
    </xf>
    <xf numFmtId="43" fontId="1" fillId="8" borderId="5" xfId="0" applyNumberFormat="1" applyFont="1" applyFill="1" applyBorder="1" applyAlignment="1" applyProtection="1">
      <alignment vertical="center"/>
      <protection locked="0"/>
    </xf>
    <xf numFmtId="9" fontId="1" fillId="11" borderId="1" xfId="0" applyNumberFormat="1" applyFont="1" applyFill="1" applyBorder="1" applyAlignment="1" applyProtection="1">
      <alignment vertical="center"/>
      <protection locked="0"/>
    </xf>
    <xf numFmtId="43" fontId="1" fillId="8" borderId="127" xfId="0" applyNumberFormat="1" applyFont="1" applyFill="1" applyBorder="1" applyAlignment="1" applyProtection="1">
      <alignment vertical="center"/>
    </xf>
    <xf numFmtId="43" fontId="1" fillId="8" borderId="128" xfId="0" applyNumberFormat="1" applyFont="1" applyFill="1" applyBorder="1" applyAlignment="1" applyProtection="1">
      <alignment vertical="center"/>
    </xf>
    <xf numFmtId="0" fontId="13" fillId="12" borderId="116" xfId="0" applyFont="1" applyFill="1" applyBorder="1" applyAlignment="1" applyProtection="1">
      <alignment vertical="center"/>
    </xf>
    <xf numFmtId="43" fontId="1" fillId="12" borderId="117" xfId="0" applyNumberFormat="1" applyFont="1" applyFill="1" applyBorder="1" applyAlignment="1" applyProtection="1">
      <alignment vertical="center"/>
    </xf>
    <xf numFmtId="43" fontId="1" fillId="12" borderId="1" xfId="0" applyNumberFormat="1" applyFont="1" applyFill="1" applyBorder="1" applyAlignment="1" applyProtection="1">
      <alignment vertical="center"/>
    </xf>
    <xf numFmtId="182" fontId="1" fillId="12" borderId="118" xfId="2" applyNumberFormat="1" applyFont="1" applyFill="1" applyBorder="1" applyAlignment="1" applyProtection="1">
      <alignment vertical="center"/>
    </xf>
    <xf numFmtId="182" fontId="1" fillId="12" borderId="119" xfId="2" applyNumberFormat="1" applyFont="1" applyFill="1" applyBorder="1" applyAlignment="1" applyProtection="1">
      <alignment vertical="center"/>
    </xf>
    <xf numFmtId="0" fontId="13" fillId="0" borderId="0" xfId="0" applyFont="1" applyFill="1" applyBorder="1" applyAlignment="1" applyProtection="1">
      <alignment vertical="center"/>
    </xf>
    <xf numFmtId="43" fontId="1" fillId="3" borderId="0" xfId="0" applyNumberFormat="1" applyFont="1" applyFill="1" applyBorder="1" applyAlignment="1" applyProtection="1">
      <alignment vertical="center"/>
      <protection locked="0"/>
    </xf>
    <xf numFmtId="43" fontId="1" fillId="4" borderId="0" xfId="2" applyFont="1" applyFill="1" applyBorder="1" applyAlignment="1" applyProtection="1">
      <alignment vertical="center"/>
    </xf>
    <xf numFmtId="43" fontId="1" fillId="0" borderId="0" xfId="2" applyFont="1" applyFill="1" applyBorder="1" applyAlignment="1" applyProtection="1">
      <alignment vertical="center"/>
    </xf>
    <xf numFmtId="43" fontId="1" fillId="0" borderId="0" xfId="0" applyNumberFormat="1" applyFont="1" applyFill="1" applyBorder="1" applyAlignment="1" applyProtection="1">
      <alignment vertical="center"/>
    </xf>
    <xf numFmtId="0" fontId="23" fillId="10" borderId="0" xfId="0" applyFont="1" applyFill="1" applyBorder="1" applyAlignment="1" applyProtection="1">
      <alignment vertical="center"/>
    </xf>
    <xf numFmtId="43" fontId="39" fillId="10" borderId="0" xfId="0" applyNumberFormat="1" applyFont="1" applyFill="1" applyBorder="1" applyAlignment="1" applyProtection="1">
      <alignment vertical="center"/>
    </xf>
    <xf numFmtId="0" fontId="4" fillId="6" borderId="1" xfId="0" applyFont="1" applyFill="1" applyBorder="1" applyAlignment="1" applyProtection="1">
      <alignment horizontal="center" vertical="center" wrapText="1"/>
    </xf>
    <xf numFmtId="0" fontId="13" fillId="12" borderId="1" xfId="0" applyFont="1" applyFill="1" applyBorder="1" applyAlignment="1" applyProtection="1">
      <alignment horizontal="center" vertical="center"/>
    </xf>
    <xf numFmtId="43" fontId="1" fillId="12" borderId="1" xfId="2" applyFont="1" applyFill="1" applyBorder="1" applyAlignment="1" applyProtection="1">
      <alignment vertical="center"/>
    </xf>
    <xf numFmtId="41" fontId="1" fillId="6" borderId="17" xfId="0" applyNumberFormat="1" applyFont="1" applyFill="1" applyBorder="1" applyAlignment="1" applyProtection="1">
      <alignment vertical="center"/>
    </xf>
    <xf numFmtId="41" fontId="1" fillId="0" borderId="44" xfId="0" applyNumberFormat="1" applyFont="1" applyBorder="1" applyAlignment="1" applyProtection="1">
      <alignment vertical="center"/>
    </xf>
    <xf numFmtId="41" fontId="1" fillId="0" borderId="44" xfId="0" applyNumberFormat="1" applyFont="1" applyFill="1" applyBorder="1" applyAlignment="1" applyProtection="1">
      <alignment vertical="center"/>
    </xf>
    <xf numFmtId="182" fontId="1" fillId="0" borderId="15" xfId="2" applyNumberFormat="1" applyFont="1" applyFill="1" applyBorder="1" applyAlignment="1" applyProtection="1">
      <alignment vertical="center"/>
    </xf>
    <xf numFmtId="182" fontId="1" fillId="3" borderId="15" xfId="2" applyNumberFormat="1" applyFont="1" applyFill="1" applyBorder="1" applyAlignment="1" applyProtection="1">
      <alignment vertical="center"/>
      <protection locked="0"/>
    </xf>
    <xf numFmtId="182" fontId="1" fillId="12" borderId="120" xfId="2" applyNumberFormat="1" applyFont="1" applyFill="1" applyBorder="1" applyAlignment="1" applyProtection="1">
      <alignment vertical="center"/>
    </xf>
    <xf numFmtId="183" fontId="26" fillId="6" borderId="122" xfId="0" applyNumberFormat="1" applyFont="1" applyFill="1" applyBorder="1" applyAlignment="1" applyProtection="1">
      <alignment horizontal="center" vertical="center"/>
    </xf>
    <xf numFmtId="182" fontId="1" fillId="0" borderId="122" xfId="2" applyNumberFormat="1" applyFont="1" applyFill="1" applyBorder="1" applyAlignment="1" applyProtection="1">
      <alignment vertical="center"/>
    </xf>
    <xf numFmtId="182" fontId="1" fillId="3" borderId="122" xfId="2" applyNumberFormat="1" applyFont="1" applyFill="1" applyBorder="1" applyAlignment="1" applyProtection="1">
      <alignment vertical="center"/>
      <protection locked="0"/>
    </xf>
    <xf numFmtId="182" fontId="1" fillId="12" borderId="123" xfId="2" applyNumberFormat="1" applyFont="1" applyFill="1" applyBorder="1" applyAlignment="1" applyProtection="1">
      <alignment vertical="center"/>
    </xf>
    <xf numFmtId="41" fontId="1" fillId="0" borderId="10" xfId="0" applyNumberFormat="1" applyFont="1" applyFill="1" applyBorder="1" applyAlignment="1" applyProtection="1">
      <alignment vertical="center"/>
    </xf>
    <xf numFmtId="41" fontId="26" fillId="6" borderId="10" xfId="0" applyNumberFormat="1" applyFont="1" applyFill="1" applyBorder="1" applyAlignment="1" applyProtection="1">
      <alignment vertical="center"/>
    </xf>
    <xf numFmtId="0" fontId="40" fillId="0" borderId="0" xfId="0" applyFont="1" applyAlignment="1" applyProtection="1">
      <alignment vertical="center"/>
    </xf>
    <xf numFmtId="0" fontId="41" fillId="0" borderId="0" xfId="0" applyFont="1" applyAlignment="1" applyProtection="1">
      <alignment vertical="center" wrapText="1"/>
    </xf>
    <xf numFmtId="0" fontId="40" fillId="0" borderId="0" xfId="0" applyFont="1" applyFill="1" applyAlignment="1" applyProtection="1">
      <alignment vertical="center"/>
    </xf>
    <xf numFmtId="0" fontId="41" fillId="0" borderId="0" xfId="0" applyFont="1" applyFill="1" applyAlignment="1" applyProtection="1">
      <alignment vertical="center"/>
    </xf>
    <xf numFmtId="0" fontId="41" fillId="16" borderId="0" xfId="0" applyFont="1" applyFill="1" applyAlignment="1" applyProtection="1">
      <alignment vertical="center"/>
    </xf>
    <xf numFmtId="0" fontId="1" fillId="0" borderId="0" xfId="0" applyNumberFormat="1" applyFont="1" applyAlignment="1" applyProtection="1">
      <alignment vertical="center"/>
    </xf>
    <xf numFmtId="41" fontId="1" fillId="0" borderId="0" xfId="0" applyNumberFormat="1" applyFont="1" applyAlignment="1" applyProtection="1">
      <alignment vertical="center"/>
    </xf>
    <xf numFmtId="0" fontId="41" fillId="0" borderId="0" xfId="0" applyFont="1" applyAlignment="1" applyProtection="1">
      <alignment vertical="center"/>
    </xf>
    <xf numFmtId="0" fontId="42" fillId="0" borderId="0" xfId="0" applyFont="1" applyFill="1" applyAlignment="1" applyProtection="1">
      <alignment vertical="center"/>
      <protection locked="0"/>
    </xf>
    <xf numFmtId="41" fontId="43" fillId="0" borderId="0" xfId="0" applyNumberFormat="1" applyFont="1" applyAlignment="1" applyProtection="1">
      <alignment vertical="center"/>
      <protection locked="0"/>
    </xf>
    <xf numFmtId="0" fontId="16" fillId="0" borderId="0" xfId="3" applyFont="1" applyAlignment="1" applyProtection="1">
      <alignment horizontal="left" vertical="center"/>
      <protection locked="0"/>
    </xf>
    <xf numFmtId="0" fontId="41" fillId="0" borderId="0" xfId="0" applyFont="1" applyAlignment="1" applyProtection="1">
      <alignment vertical="center"/>
      <protection locked="0"/>
    </xf>
    <xf numFmtId="0" fontId="44" fillId="0" borderId="0" xfId="0" applyFont="1" applyFill="1" applyAlignment="1" applyProtection="1">
      <alignment vertical="center"/>
      <protection locked="0"/>
    </xf>
    <xf numFmtId="0" fontId="39" fillId="0" borderId="0" xfId="20" applyNumberFormat="1" applyFont="1" applyFill="1" applyAlignment="1" applyProtection="1">
      <alignment vertical="center"/>
      <protection locked="0"/>
    </xf>
    <xf numFmtId="41" fontId="39" fillId="0" borderId="0" xfId="20" applyNumberFormat="1" applyFont="1" applyFill="1" applyAlignment="1" applyProtection="1">
      <alignment vertical="center"/>
    </xf>
    <xf numFmtId="182" fontId="45" fillId="0" borderId="0" xfId="20" applyNumberFormat="1" applyFont="1" applyFill="1" applyAlignment="1" applyProtection="1">
      <alignment vertical="center"/>
      <protection locked="0"/>
    </xf>
    <xf numFmtId="0" fontId="1" fillId="0" borderId="0" xfId="0" applyFont="1" applyFill="1" applyAlignment="1" applyProtection="1">
      <alignment vertical="center" wrapText="1"/>
      <protection locked="0"/>
    </xf>
    <xf numFmtId="2" fontId="39" fillId="6" borderId="131" xfId="16" applyNumberFormat="1" applyFont="1" applyFill="1" applyBorder="1" applyAlignment="1" applyProtection="1">
      <alignment horizontal="center" vertical="center" wrapText="1"/>
    </xf>
    <xf numFmtId="41" fontId="39" fillId="6" borderId="132" xfId="16" applyNumberFormat="1" applyFont="1" applyFill="1" applyBorder="1" applyAlignment="1" applyProtection="1">
      <alignment horizontal="center" vertical="center" wrapText="1"/>
    </xf>
    <xf numFmtId="180" fontId="39" fillId="6" borderId="132" xfId="16" applyNumberFormat="1" applyFont="1" applyFill="1" applyBorder="1" applyAlignment="1" applyProtection="1">
      <alignment horizontal="center" vertical="center" wrapText="1"/>
    </xf>
    <xf numFmtId="57" fontId="39" fillId="6" borderId="133" xfId="16" applyNumberFormat="1" applyFont="1" applyFill="1" applyBorder="1" applyAlignment="1" applyProtection="1">
      <alignment horizontal="center" vertical="center" wrapText="1"/>
    </xf>
    <xf numFmtId="57" fontId="39" fillId="6" borderId="134" xfId="16" applyNumberFormat="1" applyFont="1" applyFill="1" applyBorder="1" applyAlignment="1" applyProtection="1">
      <alignment horizontal="center" vertical="center" wrapText="1"/>
    </xf>
    <xf numFmtId="0" fontId="1" fillId="0" borderId="0" xfId="0" applyFont="1" applyFill="1" applyAlignment="1" applyProtection="1">
      <alignment vertical="center"/>
      <protection locked="0"/>
    </xf>
    <xf numFmtId="0" fontId="39" fillId="17" borderId="135" xfId="20" applyNumberFormat="1" applyFont="1" applyFill="1" applyBorder="1" applyAlignment="1" applyProtection="1">
      <alignment horizontal="left" vertical="center"/>
    </xf>
    <xf numFmtId="41" fontId="39" fillId="11" borderId="136" xfId="20" applyNumberFormat="1" applyFont="1" applyFill="1" applyBorder="1" applyAlignment="1" applyProtection="1">
      <alignment horizontal="left" vertical="center"/>
      <protection locked="0"/>
    </xf>
    <xf numFmtId="182" fontId="26" fillId="17" borderId="136" xfId="2" applyNumberFormat="1" applyFont="1" applyFill="1" applyBorder="1" applyProtection="1">
      <alignment vertical="center"/>
    </xf>
    <xf numFmtId="182" fontId="26" fillId="0" borderId="137" xfId="2" applyNumberFormat="1" applyFont="1" applyFill="1" applyBorder="1" applyProtection="1">
      <alignment vertical="center"/>
    </xf>
    <xf numFmtId="182" fontId="26" fillId="0" borderId="138" xfId="2" applyNumberFormat="1" applyFont="1" applyFill="1" applyBorder="1" applyProtection="1">
      <alignment vertical="center"/>
    </xf>
    <xf numFmtId="41" fontId="39" fillId="17" borderId="136" xfId="20" applyNumberFormat="1" applyFont="1" applyFill="1" applyBorder="1" applyAlignment="1" applyProtection="1">
      <alignment horizontal="left" vertical="center"/>
    </xf>
    <xf numFmtId="182" fontId="26" fillId="17" borderId="137" xfId="2" applyNumberFormat="1" applyFont="1" applyFill="1" applyBorder="1" applyProtection="1">
      <alignment vertical="center"/>
    </xf>
    <xf numFmtId="182" fontId="26" fillId="17" borderId="138" xfId="2" applyNumberFormat="1" applyFont="1" applyFill="1" applyBorder="1" applyProtection="1">
      <alignment vertical="center"/>
    </xf>
    <xf numFmtId="0" fontId="26" fillId="0" borderId="0" xfId="0" applyFont="1" applyFill="1" applyAlignment="1" applyProtection="1">
      <alignment vertical="center"/>
      <protection locked="0"/>
    </xf>
    <xf numFmtId="0" fontId="39" fillId="17" borderId="139" xfId="20" applyNumberFormat="1" applyFont="1" applyFill="1" applyBorder="1" applyAlignment="1" applyProtection="1">
      <alignment horizontal="left" vertical="center" indent="1"/>
    </xf>
    <xf numFmtId="41" fontId="26" fillId="17" borderId="140" xfId="2" applyNumberFormat="1" applyFont="1" applyFill="1" applyBorder="1" applyProtection="1">
      <alignment vertical="center"/>
    </xf>
    <xf numFmtId="182" fontId="26" fillId="17" borderId="141" xfId="2" applyNumberFormat="1" applyFont="1" applyFill="1" applyBorder="1" applyProtection="1">
      <alignment vertical="center"/>
    </xf>
    <xf numFmtId="182" fontId="26" fillId="17" borderId="142" xfId="2" applyNumberFormat="1" applyFont="1" applyFill="1" applyBorder="1" applyProtection="1">
      <alignment vertical="center"/>
    </xf>
    <xf numFmtId="0" fontId="15" fillId="0" borderId="139" xfId="20" applyNumberFormat="1" applyFont="1" applyFill="1" applyBorder="1" applyAlignment="1" applyProtection="1">
      <alignment horizontal="left" vertical="center" indent="2"/>
    </xf>
    <xf numFmtId="182" fontId="1" fillId="0" borderId="141" xfId="2" applyNumberFormat="1" applyFont="1" applyFill="1" applyBorder="1" applyProtection="1">
      <alignment vertical="center"/>
    </xf>
    <xf numFmtId="182" fontId="1" fillId="0" borderId="142" xfId="2" applyNumberFormat="1" applyFont="1" applyFill="1" applyBorder="1" applyProtection="1">
      <alignment vertical="center"/>
    </xf>
    <xf numFmtId="182" fontId="1" fillId="5" borderId="141" xfId="2" applyNumberFormat="1" applyFont="1" applyFill="1" applyBorder="1" applyProtection="1">
      <alignment vertical="center"/>
    </xf>
    <xf numFmtId="182" fontId="1" fillId="5" borderId="142" xfId="2" applyNumberFormat="1" applyFont="1" applyFill="1" applyBorder="1" applyProtection="1">
      <alignment vertical="center"/>
    </xf>
    <xf numFmtId="41" fontId="39" fillId="17" borderId="136" xfId="20" applyNumberFormat="1" applyFont="1" applyFill="1" applyBorder="1" applyAlignment="1" applyProtection="1">
      <alignment horizontal="left" vertical="center" indent="1"/>
    </xf>
    <xf numFmtId="0" fontId="39" fillId="13" borderId="139" xfId="20" applyNumberFormat="1" applyFont="1" applyFill="1" applyBorder="1" applyAlignment="1" applyProtection="1">
      <alignment horizontal="left" vertical="center" indent="2"/>
    </xf>
    <xf numFmtId="41" fontId="39" fillId="13" borderId="136" xfId="20" applyNumberFormat="1" applyFont="1" applyFill="1" applyBorder="1" applyAlignment="1" applyProtection="1">
      <alignment horizontal="left" vertical="center" indent="1"/>
    </xf>
    <xf numFmtId="182" fontId="26" fillId="13" borderId="136" xfId="2" applyNumberFormat="1" applyFont="1" applyFill="1" applyBorder="1" applyProtection="1">
      <alignment vertical="center"/>
    </xf>
    <xf numFmtId="182" fontId="26" fillId="13" borderId="141" xfId="2" applyNumberFormat="1" applyFont="1" applyFill="1" applyBorder="1" applyProtection="1">
      <alignment vertical="center"/>
    </xf>
    <xf numFmtId="182" fontId="26" fillId="13" borderId="142" xfId="2" applyNumberFormat="1" applyFont="1" applyFill="1" applyBorder="1" applyProtection="1">
      <alignment vertical="center"/>
    </xf>
    <xf numFmtId="0" fontId="15" fillId="0" borderId="139" xfId="20" applyNumberFormat="1" applyFont="1" applyFill="1" applyBorder="1" applyAlignment="1" applyProtection="1">
      <alignment horizontal="left" vertical="center" indent="3"/>
    </xf>
    <xf numFmtId="0" fontId="41" fillId="0" borderId="0" xfId="0" applyFont="1" applyFill="1" applyAlignment="1" applyProtection="1">
      <alignment vertical="center"/>
      <protection locked="0"/>
    </xf>
    <xf numFmtId="182" fontId="1" fillId="0" borderId="141" xfId="2" applyNumberFormat="1" applyFont="1" applyFill="1" applyBorder="1" applyProtection="1">
      <alignment vertical="center"/>
      <protection locked="0"/>
    </xf>
    <xf numFmtId="182" fontId="1" fillId="0" borderId="142" xfId="2" applyNumberFormat="1" applyFont="1" applyFill="1" applyBorder="1" applyProtection="1">
      <alignment vertical="center"/>
      <protection locked="0"/>
    </xf>
    <xf numFmtId="182" fontId="1" fillId="3" borderId="141" xfId="2" applyNumberFormat="1" applyFont="1" applyFill="1" applyBorder="1" applyProtection="1">
      <alignment vertical="center"/>
    </xf>
    <xf numFmtId="182" fontId="1" fillId="3" borderId="142" xfId="2" applyNumberFormat="1" applyFont="1" applyFill="1" applyBorder="1" applyProtection="1">
      <alignment vertical="center"/>
    </xf>
    <xf numFmtId="41" fontId="15" fillId="13" borderId="136" xfId="20" applyNumberFormat="1" applyFont="1" applyFill="1" applyBorder="1" applyAlignment="1" applyProtection="1">
      <alignment horizontal="left" vertical="center" indent="2"/>
    </xf>
    <xf numFmtId="182" fontId="1" fillId="13" borderId="141" xfId="2" applyNumberFormat="1" applyFont="1" applyFill="1" applyBorder="1" applyProtection="1">
      <alignment vertical="center"/>
    </xf>
    <xf numFmtId="182" fontId="1" fillId="13" borderId="142" xfId="2" applyNumberFormat="1" applyFont="1" applyFill="1" applyBorder="1" applyProtection="1">
      <alignment vertical="center"/>
    </xf>
    <xf numFmtId="0" fontId="40" fillId="0" borderId="0" xfId="0" applyFont="1" applyFill="1" applyAlignment="1" applyProtection="1">
      <alignment vertical="center"/>
      <protection locked="0"/>
    </xf>
    <xf numFmtId="41" fontId="26" fillId="17" borderId="143" xfId="2" applyNumberFormat="1" applyFont="1" applyFill="1" applyBorder="1" applyProtection="1">
      <alignment vertical="center"/>
    </xf>
    <xf numFmtId="182" fontId="1" fillId="11" borderId="141" xfId="2" applyNumberFormat="1" applyFont="1" applyFill="1" applyBorder="1" applyProtection="1">
      <alignment vertical="center"/>
      <protection locked="0"/>
    </xf>
    <xf numFmtId="182" fontId="1" fillId="11" borderId="142" xfId="2" applyNumberFormat="1" applyFont="1" applyFill="1" applyBorder="1" applyProtection="1">
      <alignment vertical="center"/>
      <protection locked="0"/>
    </xf>
    <xf numFmtId="182" fontId="40" fillId="0" borderId="0" xfId="0" applyNumberFormat="1" applyFont="1" applyFill="1" applyAlignment="1" applyProtection="1">
      <alignment vertical="center"/>
      <protection locked="0"/>
    </xf>
    <xf numFmtId="0" fontId="39" fillId="17" borderId="139" xfId="20" applyNumberFormat="1" applyFont="1" applyFill="1" applyBorder="1" applyAlignment="1" applyProtection="1">
      <alignment horizontal="left" vertical="center"/>
    </xf>
    <xf numFmtId="41" fontId="39" fillId="17" borderId="143" xfId="20" applyNumberFormat="1" applyFont="1" applyFill="1" applyBorder="1" applyAlignment="1" applyProtection="1">
      <alignment horizontal="left" vertical="center"/>
    </xf>
    <xf numFmtId="182" fontId="26" fillId="17" borderId="143" xfId="2" applyNumberFormat="1" applyFont="1" applyFill="1" applyBorder="1" applyProtection="1">
      <alignment vertical="center"/>
    </xf>
    <xf numFmtId="0" fontId="15" fillId="0" borderId="139" xfId="20" applyNumberFormat="1" applyFont="1" applyFill="1" applyBorder="1" applyAlignment="1" applyProtection="1">
      <alignment horizontal="left" vertical="center" indent="1"/>
    </xf>
    <xf numFmtId="0" fontId="15" fillId="0" borderId="139" xfId="20" applyNumberFormat="1" applyFont="1" applyFill="1" applyBorder="1" applyAlignment="1" applyProtection="1">
      <alignment horizontal="left" vertical="center"/>
    </xf>
    <xf numFmtId="182" fontId="26" fillId="11" borderId="141" xfId="2" applyNumberFormat="1" applyFont="1" applyFill="1" applyBorder="1" applyProtection="1">
      <alignment vertical="center"/>
      <protection locked="0"/>
    </xf>
    <xf numFmtId="182" fontId="26" fillId="11" borderId="142" xfId="2" applyNumberFormat="1" applyFont="1" applyFill="1" applyBorder="1" applyProtection="1">
      <alignment vertical="center"/>
      <protection locked="0"/>
    </xf>
    <xf numFmtId="0" fontId="46" fillId="0" borderId="0" xfId="0" applyFont="1" applyFill="1" applyAlignment="1" applyProtection="1">
      <alignment vertical="center"/>
      <protection locked="0"/>
    </xf>
    <xf numFmtId="0" fontId="39" fillId="17" borderId="144" xfId="20" applyNumberFormat="1" applyFont="1" applyFill="1" applyBorder="1" applyAlignment="1" applyProtection="1">
      <alignment horizontal="left" vertical="center"/>
    </xf>
    <xf numFmtId="41" fontId="39" fillId="17" borderId="145" xfId="20" applyNumberFormat="1" applyFont="1" applyFill="1" applyBorder="1" applyAlignment="1" applyProtection="1">
      <alignment horizontal="left" vertical="center"/>
    </xf>
    <xf numFmtId="182" fontId="26" fillId="17" borderId="145" xfId="2" applyNumberFormat="1" applyFont="1" applyFill="1" applyBorder="1" applyProtection="1">
      <alignment vertical="center"/>
    </xf>
    <xf numFmtId="182" fontId="26" fillId="17" borderId="146" xfId="2" applyNumberFormat="1" applyFont="1" applyFill="1" applyBorder="1" applyProtection="1">
      <alignment vertical="center"/>
    </xf>
    <xf numFmtId="182" fontId="26" fillId="17" borderId="147" xfId="2" applyNumberFormat="1" applyFont="1" applyFill="1" applyBorder="1" applyProtection="1">
      <alignment vertical="center"/>
    </xf>
    <xf numFmtId="0" fontId="13" fillId="10" borderId="0" xfId="0" applyNumberFormat="1" applyFont="1" applyFill="1" applyAlignment="1" applyProtection="1">
      <alignment horizontal="right" vertical="center"/>
    </xf>
    <xf numFmtId="41" fontId="1" fillId="10" borderId="0" xfId="0" applyNumberFormat="1" applyFont="1" applyFill="1" applyAlignment="1" applyProtection="1">
      <alignment vertical="center"/>
    </xf>
    <xf numFmtId="182" fontId="47" fillId="0" borderId="0" xfId="0" applyNumberFormat="1" applyFont="1" applyAlignment="1" applyProtection="1">
      <alignment vertical="center"/>
      <protection locked="0"/>
    </xf>
    <xf numFmtId="0" fontId="23" fillId="17" borderId="139" xfId="20" applyNumberFormat="1" applyFont="1" applyFill="1" applyBorder="1" applyAlignment="1" applyProtection="1">
      <alignment horizontal="left" vertical="center"/>
    </xf>
    <xf numFmtId="182" fontId="1" fillId="3" borderId="141" xfId="2" applyNumberFormat="1" applyFont="1" applyFill="1" applyBorder="1" applyProtection="1">
      <alignment vertical="center"/>
      <protection locked="0"/>
    </xf>
    <xf numFmtId="9" fontId="1" fillId="3" borderId="1" xfId="0" applyNumberFormat="1" applyFont="1" applyFill="1" applyBorder="1" applyAlignment="1" applyProtection="1">
      <alignment vertical="center"/>
      <protection locked="0"/>
    </xf>
    <xf numFmtId="9" fontId="1" fillId="3" borderId="1" xfId="0" applyNumberFormat="1" applyFont="1" applyFill="1" applyBorder="1" applyAlignment="1" applyProtection="1">
      <alignment vertical="center"/>
    </xf>
    <xf numFmtId="43" fontId="1" fillId="12" borderId="4" xfId="0" applyNumberFormat="1" applyFont="1" applyFill="1" applyBorder="1" applyAlignment="1" applyProtection="1">
      <alignment vertical="center"/>
    </xf>
    <xf numFmtId="0" fontId="1" fillId="0" borderId="0" xfId="0" applyNumberFormat="1" applyFont="1" applyAlignment="1" applyProtection="1">
      <alignment vertical="center"/>
      <protection locked="0"/>
    </xf>
    <xf numFmtId="14" fontId="41" fillId="0" borderId="0" xfId="0" applyNumberFormat="1" applyFont="1" applyAlignment="1" applyProtection="1">
      <alignment vertical="center"/>
      <protection locked="0"/>
    </xf>
    <xf numFmtId="10" fontId="1" fillId="0" borderId="0" xfId="7" applyNumberFormat="1" applyFont="1" applyAlignment="1" applyProtection="1">
      <alignment vertical="center"/>
    </xf>
    <xf numFmtId="0" fontId="1" fillId="0" borderId="0" xfId="0" applyNumberFormat="1" applyFont="1" applyFill="1" applyAlignment="1" applyProtection="1">
      <alignment vertical="center"/>
      <protection locked="0"/>
    </xf>
    <xf numFmtId="41" fontId="1" fillId="0" borderId="0" xfId="0" applyNumberFormat="1" applyFont="1" applyFill="1" applyAlignment="1" applyProtection="1">
      <alignment vertical="center"/>
    </xf>
    <xf numFmtId="182" fontId="1" fillId="0" borderId="0" xfId="0" applyNumberFormat="1" applyFont="1" applyAlignment="1" applyProtection="1">
      <alignment vertical="center"/>
    </xf>
    <xf numFmtId="41" fontId="13" fillId="0" borderId="0" xfId="0" applyNumberFormat="1" applyFont="1" applyFill="1" applyAlignment="1" applyProtection="1">
      <alignment vertical="center"/>
    </xf>
    <xf numFmtId="182" fontId="1" fillId="0" borderId="0" xfId="0" applyNumberFormat="1" applyFont="1" applyFill="1" applyAlignment="1" applyProtection="1">
      <alignment vertical="center"/>
    </xf>
    <xf numFmtId="182" fontId="26" fillId="0" borderId="148" xfId="2" applyNumberFormat="1" applyFont="1" applyFill="1" applyBorder="1" applyProtection="1">
      <alignment vertical="center"/>
    </xf>
    <xf numFmtId="182" fontId="26" fillId="17" borderId="148" xfId="2" applyNumberFormat="1" applyFont="1" applyFill="1" applyBorder="1" applyProtection="1">
      <alignment vertical="center"/>
    </xf>
    <xf numFmtId="182" fontId="26" fillId="17" borderId="149" xfId="2" applyNumberFormat="1" applyFont="1" applyFill="1" applyBorder="1" applyProtection="1">
      <alignment vertical="center"/>
    </xf>
    <xf numFmtId="182" fontId="1" fillId="0" borderId="149" xfId="2" applyNumberFormat="1" applyFont="1" applyFill="1" applyBorder="1" applyProtection="1">
      <alignment vertical="center"/>
    </xf>
    <xf numFmtId="182" fontId="26" fillId="13" borderId="149" xfId="2" applyNumberFormat="1" applyFont="1" applyFill="1" applyBorder="1" applyProtection="1">
      <alignment vertical="center"/>
    </xf>
    <xf numFmtId="182" fontId="1" fillId="5" borderId="149" xfId="2" applyNumberFormat="1" applyFont="1" applyFill="1" applyBorder="1" applyProtection="1">
      <alignment vertical="center"/>
    </xf>
    <xf numFmtId="182" fontId="1" fillId="0" borderId="149" xfId="2" applyNumberFormat="1" applyFont="1" applyFill="1" applyBorder="1" applyProtection="1">
      <alignment vertical="center"/>
      <protection locked="0"/>
    </xf>
    <xf numFmtId="182" fontId="1" fillId="3" borderId="149" xfId="2" applyNumberFormat="1" applyFont="1" applyFill="1" applyBorder="1" applyProtection="1">
      <alignment vertical="center"/>
    </xf>
    <xf numFmtId="182" fontId="1" fillId="13" borderId="149" xfId="2" applyNumberFormat="1" applyFont="1" applyFill="1" applyBorder="1" applyProtection="1">
      <alignment vertical="center"/>
    </xf>
    <xf numFmtId="182" fontId="1" fillId="11" borderId="149" xfId="2" applyNumberFormat="1" applyFont="1" applyFill="1" applyBorder="1" applyProtection="1">
      <alignment vertical="center"/>
      <protection locked="0"/>
    </xf>
    <xf numFmtId="182" fontId="26" fillId="11" borderId="149" xfId="2" applyNumberFormat="1" applyFont="1" applyFill="1" applyBorder="1" applyProtection="1">
      <alignment vertical="center"/>
      <protection locked="0"/>
    </xf>
    <xf numFmtId="182" fontId="26" fillId="17" borderId="150" xfId="2" applyNumberFormat="1" applyFont="1" applyFill="1" applyBorder="1" applyProtection="1">
      <alignment vertical="center"/>
    </xf>
    <xf numFmtId="182" fontId="47" fillId="0" borderId="1" xfId="0" applyNumberFormat="1" applyFont="1" applyBorder="1" applyAlignment="1" applyProtection="1">
      <alignment vertical="center"/>
      <protection locked="0"/>
    </xf>
    <xf numFmtId="0" fontId="40" fillId="0" borderId="0" xfId="0" applyFont="1" applyAlignment="1" applyProtection="1">
      <alignment vertical="center"/>
      <protection locked="0"/>
    </xf>
    <xf numFmtId="57" fontId="39" fillId="6" borderId="151" xfId="16" applyNumberFormat="1" applyFont="1" applyFill="1" applyBorder="1" applyAlignment="1" applyProtection="1">
      <alignment horizontal="center" vertical="center" wrapText="1"/>
    </xf>
    <xf numFmtId="0" fontId="41" fillId="0" borderId="0" xfId="0" applyFont="1" applyAlignment="1" applyProtection="1">
      <alignment vertical="center" wrapText="1"/>
      <protection locked="0"/>
    </xf>
    <xf numFmtId="182" fontId="26" fillId="0" borderId="152" xfId="2" applyNumberFormat="1" applyFont="1" applyFill="1" applyBorder="1" applyProtection="1">
      <alignment vertical="center"/>
    </xf>
    <xf numFmtId="182" fontId="26" fillId="17" borderId="152" xfId="2" applyNumberFormat="1" applyFont="1" applyFill="1" applyBorder="1" applyProtection="1">
      <alignment vertical="center"/>
    </xf>
    <xf numFmtId="182" fontId="26" fillId="17" borderId="153" xfId="2" applyNumberFormat="1" applyFont="1" applyFill="1" applyBorder="1" applyProtection="1">
      <alignment vertical="center"/>
    </xf>
    <xf numFmtId="182" fontId="1" fillId="0" borderId="153" xfId="2" applyNumberFormat="1" applyFont="1" applyFill="1" applyBorder="1" applyProtection="1">
      <alignment vertical="center"/>
    </xf>
    <xf numFmtId="182" fontId="1" fillId="5" borderId="153" xfId="2" applyNumberFormat="1" applyFont="1" applyFill="1" applyBorder="1" applyProtection="1">
      <alignment vertical="center"/>
    </xf>
    <xf numFmtId="182" fontId="26" fillId="13" borderId="153" xfId="2" applyNumberFormat="1" applyFont="1" applyFill="1" applyBorder="1" applyProtection="1">
      <alignment vertical="center"/>
    </xf>
    <xf numFmtId="182" fontId="1" fillId="0" borderId="153" xfId="2" applyNumberFormat="1" applyFont="1" applyFill="1" applyBorder="1" applyProtection="1">
      <alignment vertical="center"/>
      <protection locked="0"/>
    </xf>
    <xf numFmtId="182" fontId="1" fillId="3" borderId="153" xfId="2" applyNumberFormat="1" applyFont="1" applyFill="1" applyBorder="1" applyProtection="1">
      <alignment vertical="center"/>
    </xf>
    <xf numFmtId="182" fontId="1" fillId="13" borderId="153" xfId="2" applyNumberFormat="1" applyFont="1" applyFill="1" applyBorder="1" applyProtection="1">
      <alignment vertical="center"/>
    </xf>
    <xf numFmtId="182" fontId="1" fillId="11" borderId="153" xfId="2" applyNumberFormat="1" applyFont="1" applyFill="1" applyBorder="1" applyProtection="1">
      <alignment vertical="center"/>
      <protection locked="0"/>
    </xf>
    <xf numFmtId="0" fontId="41" fillId="16" borderId="0" xfId="0" applyFont="1" applyFill="1" applyAlignment="1" applyProtection="1">
      <alignment vertical="center"/>
      <protection locked="0"/>
    </xf>
    <xf numFmtId="182" fontId="26" fillId="11" borderId="153" xfId="2" applyNumberFormat="1" applyFont="1" applyFill="1" applyBorder="1" applyProtection="1">
      <alignment vertical="center"/>
      <protection locked="0"/>
    </xf>
    <xf numFmtId="182" fontId="26" fillId="17" borderId="154" xfId="2" applyNumberFormat="1" applyFont="1" applyFill="1" applyBorder="1" applyProtection="1">
      <alignment vertical="center"/>
    </xf>
    <xf numFmtId="41" fontId="4" fillId="0" borderId="1" xfId="0" applyNumberFormat="1" applyFont="1" applyBorder="1" applyAlignment="1" applyProtection="1">
      <alignment vertical="center"/>
    </xf>
    <xf numFmtId="43" fontId="40" fillId="0" borderId="1" xfId="2" applyFont="1" applyBorder="1" applyAlignment="1" applyProtection="1">
      <alignment vertical="center"/>
    </xf>
    <xf numFmtId="43" fontId="4" fillId="0" borderId="1" xfId="2" applyFont="1" applyBorder="1" applyAlignment="1" applyProtection="1">
      <alignment horizontal="left" vertical="center" wrapText="1"/>
    </xf>
    <xf numFmtId="179" fontId="40" fillId="0" borderId="1" xfId="0" applyNumberFormat="1" applyFont="1" applyBorder="1" applyAlignment="1" applyProtection="1">
      <alignment vertical="center"/>
    </xf>
    <xf numFmtId="0" fontId="4" fillId="6" borderId="161" xfId="0" applyFont="1" applyFill="1" applyBorder="1" applyAlignment="1" applyProtection="1">
      <alignment horizontal="center" vertical="center"/>
    </xf>
    <xf numFmtId="0" fontId="4" fillId="6" borderId="21" xfId="0" applyFont="1" applyFill="1" applyBorder="1" applyAlignment="1" applyProtection="1">
      <alignment horizontal="center" vertical="center"/>
    </xf>
    <xf numFmtId="0" fontId="4" fillId="0" borderId="159" xfId="0" applyFont="1" applyFill="1" applyBorder="1" applyAlignment="1" applyProtection="1">
      <alignment horizontal="left" vertical="center"/>
    </xf>
    <xf numFmtId="182" fontId="26" fillId="0" borderId="21" xfId="0" applyNumberFormat="1" applyFont="1" applyFill="1" applyBorder="1" applyAlignment="1" applyProtection="1">
      <alignment vertical="center"/>
    </xf>
    <xf numFmtId="182" fontId="26" fillId="0" borderId="161" xfId="0" applyNumberFormat="1" applyFont="1" applyFill="1" applyBorder="1" applyAlignment="1" applyProtection="1">
      <alignment vertical="center"/>
    </xf>
    <xf numFmtId="182" fontId="26" fillId="0" borderId="21" xfId="2" applyNumberFormat="1" applyFont="1" applyFill="1" applyBorder="1" applyAlignment="1" applyProtection="1">
      <alignment vertical="center"/>
    </xf>
    <xf numFmtId="0" fontId="13" fillId="9" borderId="159" xfId="0" applyFont="1" applyFill="1" applyBorder="1" applyAlignment="1" applyProtection="1">
      <alignment horizontal="left" vertical="center" indent="1"/>
    </xf>
    <xf numFmtId="182" fontId="1" fillId="9" borderId="21" xfId="0" applyNumberFormat="1" applyFont="1" applyFill="1" applyBorder="1" applyAlignment="1" applyProtection="1">
      <alignment vertical="center"/>
    </xf>
    <xf numFmtId="182" fontId="1" fillId="9" borderId="161" xfId="0" applyNumberFormat="1" applyFont="1" applyFill="1" applyBorder="1" applyAlignment="1" applyProtection="1">
      <alignment vertical="center"/>
    </xf>
    <xf numFmtId="182" fontId="1" fillId="9" borderId="21" xfId="2" applyNumberFormat="1" applyFont="1" applyFill="1" applyBorder="1" applyAlignment="1" applyProtection="1">
      <alignment vertical="center"/>
    </xf>
    <xf numFmtId="0" fontId="13" fillId="5" borderId="159" xfId="0" applyFont="1" applyFill="1" applyBorder="1" applyAlignment="1" applyProtection="1">
      <alignment horizontal="left" vertical="center" indent="2"/>
    </xf>
    <xf numFmtId="182" fontId="1" fillId="0" borderId="21" xfId="0" applyNumberFormat="1" applyFont="1" applyBorder="1" applyAlignment="1" applyProtection="1">
      <alignment vertical="center"/>
    </xf>
    <xf numFmtId="182" fontId="1" fillId="0" borderId="161" xfId="0" applyNumberFormat="1" applyFont="1" applyBorder="1" applyAlignment="1" applyProtection="1">
      <alignment vertical="center"/>
    </xf>
    <xf numFmtId="182" fontId="1" fillId="0" borderId="21" xfId="2" applyNumberFormat="1" applyFont="1" applyBorder="1" applyAlignment="1" applyProtection="1">
      <alignment vertical="center"/>
    </xf>
    <xf numFmtId="0" fontId="13" fillId="5" borderId="159" xfId="0" applyFont="1" applyFill="1" applyBorder="1" applyAlignment="1" applyProtection="1">
      <alignment horizontal="left" vertical="center" indent="1"/>
    </xf>
    <xf numFmtId="0" fontId="13" fillId="0" borderId="159" xfId="0" applyFont="1" applyFill="1" applyBorder="1" applyAlignment="1" applyProtection="1">
      <alignment horizontal="left" vertical="center" indent="1"/>
    </xf>
    <xf numFmtId="182" fontId="1" fillId="0" borderId="161" xfId="0" applyNumberFormat="1" applyFont="1" applyFill="1" applyBorder="1" applyAlignment="1" applyProtection="1">
      <alignment vertical="center"/>
    </xf>
    <xf numFmtId="182" fontId="1" fillId="0" borderId="21" xfId="0" applyNumberFormat="1" applyFont="1" applyFill="1" applyBorder="1" applyAlignment="1" applyProtection="1">
      <alignment vertical="center"/>
    </xf>
    <xf numFmtId="0" fontId="4" fillId="9" borderId="159" xfId="0" applyFont="1" applyFill="1" applyBorder="1" applyAlignment="1" applyProtection="1">
      <alignment horizontal="left" vertical="center"/>
    </xf>
    <xf numFmtId="182" fontId="26" fillId="9" borderId="21" xfId="0" applyNumberFormat="1" applyFont="1" applyFill="1" applyBorder="1" applyAlignment="1" applyProtection="1">
      <alignment vertical="center"/>
    </xf>
    <xf numFmtId="182" fontId="26" fillId="9" borderId="161" xfId="0" applyNumberFormat="1" applyFont="1" applyFill="1" applyBorder="1" applyAlignment="1" applyProtection="1">
      <alignment vertical="center"/>
    </xf>
    <xf numFmtId="0" fontId="4" fillId="5" borderId="159" xfId="0" applyFont="1" applyFill="1" applyBorder="1" applyAlignment="1" applyProtection="1">
      <alignment horizontal="left" vertical="center"/>
    </xf>
    <xf numFmtId="182" fontId="26" fillId="0" borderId="21" xfId="0" applyNumberFormat="1" applyFont="1" applyBorder="1" applyAlignment="1" applyProtection="1">
      <alignment vertical="center"/>
    </xf>
    <xf numFmtId="182" fontId="26" fillId="0" borderId="161" xfId="0" applyNumberFormat="1" applyFont="1" applyBorder="1" applyAlignment="1" applyProtection="1">
      <alignment vertical="center"/>
    </xf>
    <xf numFmtId="182" fontId="26" fillId="0" borderId="21" xfId="2" applyNumberFormat="1" applyFont="1" applyBorder="1" applyAlignment="1" applyProtection="1">
      <alignment vertical="center"/>
    </xf>
    <xf numFmtId="182" fontId="26" fillId="9" borderId="21" xfId="2" applyNumberFormat="1" applyFont="1" applyFill="1" applyBorder="1" applyAlignment="1" applyProtection="1">
      <alignment vertical="center"/>
    </xf>
    <xf numFmtId="10" fontId="26" fillId="9" borderId="21" xfId="4" applyNumberFormat="1" applyFont="1" applyFill="1" applyBorder="1" applyAlignment="1" applyProtection="1">
      <alignment vertical="center"/>
    </xf>
    <xf numFmtId="10" fontId="26" fillId="9" borderId="161" xfId="4" applyNumberFormat="1" applyFont="1" applyFill="1" applyBorder="1" applyAlignment="1" applyProtection="1">
      <alignment vertical="center"/>
    </xf>
    <xf numFmtId="0" fontId="13" fillId="5" borderId="159" xfId="0" applyFont="1" applyFill="1" applyBorder="1" applyAlignment="1" applyProtection="1">
      <alignment horizontal="left" vertical="center"/>
    </xf>
    <xf numFmtId="10" fontId="1" fillId="0" borderId="21" xfId="4" applyNumberFormat="1" applyFont="1" applyBorder="1" applyAlignment="1" applyProtection="1">
      <alignment vertical="center"/>
    </xf>
    <xf numFmtId="10" fontId="1" fillId="0" borderId="161" xfId="4" applyNumberFormat="1" applyFont="1" applyBorder="1" applyAlignment="1" applyProtection="1">
      <alignment vertical="center"/>
    </xf>
    <xf numFmtId="0" fontId="24" fillId="10" borderId="93" xfId="0" applyFont="1" applyFill="1" applyBorder="1" applyAlignment="1" applyProtection="1">
      <alignment horizontal="right" vertical="center" indent="1"/>
    </xf>
    <xf numFmtId="41" fontId="27" fillId="10" borderId="53" xfId="0" applyNumberFormat="1" applyFont="1" applyFill="1" applyBorder="1" applyAlignment="1">
      <alignment vertical="center"/>
    </xf>
    <xf numFmtId="182" fontId="0" fillId="0" borderId="0" xfId="0" applyNumberFormat="1"/>
    <xf numFmtId="182" fontId="0" fillId="0" borderId="0" xfId="0" applyNumberFormat="1" applyFont="1"/>
    <xf numFmtId="0" fontId="19" fillId="0" borderId="0" xfId="0" applyFont="1" applyFill="1" applyAlignment="1" applyProtection="1">
      <alignment vertical="center"/>
    </xf>
    <xf numFmtId="0" fontId="19" fillId="0" borderId="0" xfId="0" applyFont="1" applyAlignment="1" applyProtection="1">
      <alignment vertical="center"/>
    </xf>
    <xf numFmtId="43" fontId="1" fillId="0" borderId="0" xfId="2" applyFont="1" applyAlignment="1" applyProtection="1">
      <alignment vertical="center"/>
    </xf>
    <xf numFmtId="0" fontId="13" fillId="6" borderId="159" xfId="0" applyFont="1" applyFill="1" applyBorder="1" applyAlignment="1" applyProtection="1">
      <alignment horizontal="left" vertical="center"/>
    </xf>
    <xf numFmtId="182" fontId="19" fillId="0" borderId="21" xfId="0" applyNumberFormat="1" applyFont="1" applyFill="1" applyBorder="1" applyAlignment="1" applyProtection="1">
      <alignment vertical="center"/>
    </xf>
    <xf numFmtId="0" fontId="18" fillId="6" borderId="159" xfId="0" applyFont="1" applyFill="1" applyBorder="1" applyAlignment="1" applyProtection="1">
      <alignment horizontal="left" vertical="center" indent="1"/>
    </xf>
    <xf numFmtId="182" fontId="19" fillId="13" borderId="21" xfId="0" applyNumberFormat="1" applyFont="1" applyFill="1" applyBorder="1" applyAlignment="1" applyProtection="1">
      <alignment vertical="center"/>
    </xf>
    <xf numFmtId="182" fontId="1" fillId="12" borderId="21" xfId="0" applyNumberFormat="1" applyFont="1" applyFill="1" applyBorder="1" applyAlignment="1" applyProtection="1">
      <alignment vertical="center"/>
    </xf>
    <xf numFmtId="10" fontId="1" fillId="12" borderId="21" xfId="4" applyNumberFormat="1" applyFont="1" applyFill="1" applyBorder="1" applyAlignment="1" applyProtection="1">
      <alignment vertical="center"/>
    </xf>
    <xf numFmtId="182" fontId="1" fillId="8" borderId="21" xfId="0" applyNumberFormat="1" applyFont="1" applyFill="1" applyBorder="1" applyAlignment="1" applyProtection="1">
      <alignment vertical="center"/>
    </xf>
    <xf numFmtId="0" fontId="17" fillId="6" borderId="159" xfId="0" applyFont="1" applyFill="1" applyBorder="1" applyAlignment="1" applyProtection="1">
      <alignment horizontal="left" vertical="center"/>
    </xf>
    <xf numFmtId="10" fontId="19" fillId="13" borderId="21" xfId="4" applyNumberFormat="1" applyFont="1" applyFill="1" applyBorder="1" applyAlignment="1" applyProtection="1">
      <alignment vertical="center"/>
    </xf>
    <xf numFmtId="0" fontId="13" fillId="6" borderId="162" xfId="0" applyFont="1" applyFill="1" applyBorder="1" applyAlignment="1" applyProtection="1">
      <alignment horizontal="left" vertical="center"/>
    </xf>
    <xf numFmtId="182" fontId="1" fillId="0" borderId="101" xfId="2" applyNumberFormat="1" applyFont="1" applyBorder="1" applyAlignment="1" applyProtection="1">
      <alignment vertical="center"/>
    </xf>
    <xf numFmtId="0" fontId="1" fillId="0" borderId="0" xfId="0" applyFont="1" applyBorder="1" applyAlignment="1" applyProtection="1">
      <alignment vertical="center"/>
    </xf>
    <xf numFmtId="182" fontId="1" fillId="0" borderId="0" xfId="2" applyNumberFormat="1" applyFont="1" applyBorder="1" applyAlignment="1" applyProtection="1">
      <alignment vertical="center"/>
    </xf>
    <xf numFmtId="0" fontId="13" fillId="10" borderId="0" xfId="0" applyFont="1" applyFill="1" applyBorder="1" applyAlignment="1" applyProtection="1">
      <alignment vertical="center"/>
    </xf>
    <xf numFmtId="182" fontId="1" fillId="10" borderId="0" xfId="2" applyNumberFormat="1" applyFont="1" applyFill="1" applyBorder="1" applyAlignment="1" applyProtection="1">
      <alignment vertical="center"/>
    </xf>
    <xf numFmtId="0" fontId="0" fillId="0" borderId="0" xfId="0" applyAlignment="1">
      <alignment vertical="center"/>
    </xf>
    <xf numFmtId="0" fontId="4" fillId="6" borderId="9" xfId="0" applyFont="1" applyFill="1" applyBorder="1" applyAlignment="1" applyProtection="1">
      <alignment horizontal="center" vertical="center" wrapText="1"/>
    </xf>
    <xf numFmtId="0" fontId="13" fillId="6" borderId="16" xfId="0" applyFont="1" applyFill="1" applyBorder="1" applyAlignment="1" applyProtection="1">
      <alignment horizontal="left" vertical="center"/>
    </xf>
    <xf numFmtId="41" fontId="1" fillId="5" borderId="16" xfId="2" applyNumberFormat="1" applyFont="1" applyFill="1" applyBorder="1" applyAlignment="1" applyProtection="1">
      <alignment horizontal="center" vertical="center"/>
    </xf>
    <xf numFmtId="0" fontId="13" fillId="6" borderId="23" xfId="0" applyFont="1" applyFill="1" applyBorder="1" applyAlignment="1" applyProtection="1">
      <alignment horizontal="left" vertical="center"/>
    </xf>
    <xf numFmtId="41" fontId="1" fillId="5" borderId="23" xfId="2" applyNumberFormat="1" applyFont="1" applyFill="1" applyBorder="1" applyAlignment="1" applyProtection="1">
      <alignment horizontal="center" vertical="center"/>
    </xf>
    <xf numFmtId="0" fontId="13" fillId="6" borderId="163" xfId="0" applyFont="1" applyFill="1" applyBorder="1" applyAlignment="1" applyProtection="1">
      <alignment horizontal="left" vertical="center"/>
    </xf>
    <xf numFmtId="41" fontId="1" fillId="5" borderId="163" xfId="2" applyNumberFormat="1" applyFont="1" applyFill="1" applyBorder="1" applyAlignment="1" applyProtection="1">
      <alignment horizontal="center" vertical="center"/>
    </xf>
    <xf numFmtId="0" fontId="4" fillId="6" borderId="21" xfId="0" applyFont="1" applyFill="1" applyBorder="1" applyAlignment="1" applyProtection="1">
      <alignment horizontal="left" vertical="center"/>
    </xf>
    <xf numFmtId="0" fontId="4" fillId="6" borderId="165" xfId="0" applyFont="1" applyFill="1" applyBorder="1" applyAlignment="1" applyProtection="1">
      <alignment horizontal="left" vertical="center"/>
    </xf>
    <xf numFmtId="0" fontId="4" fillId="6" borderId="161" xfId="0" applyFont="1" applyFill="1" applyBorder="1" applyAlignment="1" applyProtection="1">
      <alignment horizontal="left" vertical="center"/>
    </xf>
    <xf numFmtId="182" fontId="1" fillId="0" borderId="165" xfId="0" applyNumberFormat="1" applyFont="1" applyBorder="1" applyAlignment="1" applyProtection="1">
      <alignment vertical="center"/>
    </xf>
    <xf numFmtId="182" fontId="1" fillId="0" borderId="165" xfId="0" applyNumberFormat="1" applyFont="1" applyFill="1" applyBorder="1" applyAlignment="1" applyProtection="1">
      <alignment vertical="center"/>
    </xf>
    <xf numFmtId="182" fontId="1" fillId="0" borderId="21" xfId="2" applyNumberFormat="1" applyFont="1" applyFill="1" applyBorder="1" applyAlignment="1" applyProtection="1">
      <alignment vertical="center"/>
    </xf>
    <xf numFmtId="182" fontId="19" fillId="0" borderId="165" xfId="0" applyNumberFormat="1" applyFont="1" applyFill="1" applyBorder="1" applyAlignment="1" applyProtection="1">
      <alignment vertical="center"/>
    </xf>
    <xf numFmtId="182" fontId="48" fillId="0" borderId="161" xfId="0" applyNumberFormat="1" applyFont="1" applyFill="1" applyBorder="1" applyAlignment="1" applyProtection="1">
      <alignment vertical="center"/>
    </xf>
    <xf numFmtId="182" fontId="19" fillId="0" borderId="21" xfId="2" applyNumberFormat="1" applyFont="1" applyFill="1" applyBorder="1" applyAlignment="1" applyProtection="1">
      <alignment vertical="center"/>
    </xf>
    <xf numFmtId="182" fontId="19" fillId="13" borderId="165" xfId="0" applyNumberFormat="1" applyFont="1" applyFill="1" applyBorder="1" applyAlignment="1" applyProtection="1">
      <alignment vertical="center"/>
    </xf>
    <xf numFmtId="182" fontId="48" fillId="13" borderId="161" xfId="0" applyNumberFormat="1" applyFont="1" applyFill="1" applyBorder="1" applyAlignment="1" applyProtection="1">
      <alignment vertical="center"/>
    </xf>
    <xf numFmtId="182" fontId="19" fillId="13" borderId="21" xfId="2" applyNumberFormat="1" applyFont="1" applyFill="1" applyBorder="1" applyAlignment="1" applyProtection="1">
      <alignment vertical="center"/>
    </xf>
    <xf numFmtId="182" fontId="1" fillId="12" borderId="165" xfId="0" applyNumberFormat="1" applyFont="1" applyFill="1" applyBorder="1" applyAlignment="1" applyProtection="1">
      <alignment vertical="center"/>
    </xf>
    <xf numFmtId="182" fontId="1" fillId="12" borderId="161" xfId="0" applyNumberFormat="1" applyFont="1" applyFill="1" applyBorder="1" applyAlignment="1" applyProtection="1">
      <alignment vertical="center"/>
    </xf>
    <xf numFmtId="182" fontId="1" fillId="12" borderId="21" xfId="2" applyNumberFormat="1" applyFont="1" applyFill="1" applyBorder="1" applyAlignment="1" applyProtection="1">
      <alignment vertical="center"/>
    </xf>
    <xf numFmtId="10" fontId="1" fillId="12" borderId="165" xfId="4" applyNumberFormat="1" applyFont="1" applyFill="1" applyBorder="1" applyAlignment="1" applyProtection="1">
      <alignment vertical="center"/>
    </xf>
    <xf numFmtId="10" fontId="1" fillId="12" borderId="161" xfId="4" applyNumberFormat="1" applyFont="1" applyFill="1" applyBorder="1" applyAlignment="1" applyProtection="1">
      <alignment vertical="center"/>
    </xf>
    <xf numFmtId="182" fontId="1" fillId="8" borderId="165" xfId="0" applyNumberFormat="1" applyFont="1" applyFill="1" applyBorder="1" applyAlignment="1" applyProtection="1">
      <alignment vertical="center"/>
    </xf>
    <xf numFmtId="182" fontId="1" fillId="8" borderId="21" xfId="2" applyNumberFormat="1" applyFont="1" applyFill="1" applyBorder="1" applyAlignment="1" applyProtection="1">
      <alignment vertical="center"/>
    </xf>
    <xf numFmtId="10" fontId="1" fillId="0" borderId="165" xfId="4" applyNumberFormat="1" applyFont="1" applyBorder="1" applyAlignment="1" applyProtection="1">
      <alignment vertical="center"/>
    </xf>
    <xf numFmtId="10" fontId="19" fillId="13" borderId="165" xfId="4" applyNumberFormat="1" applyFont="1" applyFill="1" applyBorder="1" applyAlignment="1" applyProtection="1">
      <alignment vertical="center"/>
    </xf>
    <xf numFmtId="10" fontId="1" fillId="13" borderId="161" xfId="4" applyNumberFormat="1" applyFont="1" applyFill="1" applyBorder="1" applyAlignment="1" applyProtection="1">
      <alignment vertical="center"/>
    </xf>
    <xf numFmtId="10" fontId="1" fillId="13" borderId="21" xfId="4" applyNumberFormat="1" applyFont="1" applyFill="1" applyBorder="1" applyAlignment="1" applyProtection="1">
      <alignment vertical="center"/>
    </xf>
    <xf numFmtId="182" fontId="1" fillId="0" borderId="166" xfId="2" applyNumberFormat="1" applyFont="1" applyBorder="1" applyAlignment="1" applyProtection="1">
      <alignment vertical="center"/>
    </xf>
    <xf numFmtId="182" fontId="1" fillId="0" borderId="167" xfId="2" applyNumberFormat="1" applyFont="1" applyBorder="1" applyAlignment="1" applyProtection="1">
      <alignment vertical="center"/>
    </xf>
    <xf numFmtId="10" fontId="1" fillId="0" borderId="0" xfId="4" applyNumberFormat="1" applyFont="1" applyBorder="1" applyAlignment="1" applyProtection="1">
      <alignment vertical="center"/>
    </xf>
    <xf numFmtId="182" fontId="1" fillId="0" borderId="0" xfId="4" applyNumberFormat="1" applyFont="1" applyBorder="1" applyAlignment="1" applyProtection="1">
      <alignment vertical="center"/>
    </xf>
    <xf numFmtId="0" fontId="4" fillId="6" borderId="130" xfId="0" applyFont="1" applyFill="1" applyBorder="1" applyAlignment="1" applyProtection="1">
      <alignment horizontal="center" vertical="center"/>
    </xf>
    <xf numFmtId="41" fontId="1" fillId="5" borderId="168" xfId="2" applyNumberFormat="1" applyFont="1" applyFill="1" applyBorder="1" applyAlignment="1" applyProtection="1">
      <alignment horizontal="center" vertical="center"/>
    </xf>
    <xf numFmtId="41" fontId="1" fillId="5" borderId="169" xfId="2" applyNumberFormat="1" applyFont="1" applyFill="1" applyBorder="1" applyAlignment="1" applyProtection="1">
      <alignment horizontal="center" vertical="center"/>
    </xf>
    <xf numFmtId="41" fontId="1" fillId="5" borderId="170" xfId="2" applyNumberFormat="1" applyFont="1" applyFill="1" applyBorder="1" applyAlignment="1" applyProtection="1">
      <alignment horizontal="center" vertical="center"/>
    </xf>
    <xf numFmtId="182" fontId="1" fillId="0" borderId="165" xfId="2" applyNumberFormat="1" applyFont="1" applyBorder="1" applyAlignment="1" applyProtection="1">
      <alignment vertical="center"/>
    </xf>
    <xf numFmtId="182" fontId="1" fillId="0" borderId="161" xfId="2" applyNumberFormat="1" applyFont="1" applyBorder="1" applyAlignment="1" applyProtection="1">
      <alignment vertical="center"/>
    </xf>
    <xf numFmtId="182" fontId="1" fillId="0" borderId="165" xfId="2" applyNumberFormat="1" applyFont="1" applyFill="1" applyBorder="1" applyAlignment="1" applyProtection="1">
      <alignment vertical="center"/>
    </xf>
    <xf numFmtId="182" fontId="1" fillId="0" borderId="161" xfId="2" applyNumberFormat="1" applyFont="1" applyFill="1" applyBorder="1" applyAlignment="1" applyProtection="1">
      <alignment vertical="center"/>
    </xf>
    <xf numFmtId="182" fontId="19" fillId="0" borderId="165" xfId="2" applyNumberFormat="1" applyFont="1" applyFill="1" applyBorder="1" applyAlignment="1" applyProtection="1">
      <alignment vertical="center"/>
    </xf>
    <xf numFmtId="182" fontId="19" fillId="0" borderId="161" xfId="2" applyNumberFormat="1" applyFont="1" applyFill="1" applyBorder="1" applyAlignment="1" applyProtection="1">
      <alignment vertical="center"/>
    </xf>
    <xf numFmtId="182" fontId="19" fillId="13" borderId="165" xfId="2" applyNumberFormat="1" applyFont="1" applyFill="1" applyBorder="1" applyAlignment="1" applyProtection="1">
      <alignment vertical="center"/>
    </xf>
    <xf numFmtId="182" fontId="19" fillId="13" borderId="161" xfId="2" applyNumberFormat="1" applyFont="1" applyFill="1" applyBorder="1" applyAlignment="1" applyProtection="1">
      <alignment vertical="center"/>
    </xf>
    <xf numFmtId="43" fontId="1" fillId="0" borderId="21" xfId="2" applyNumberFormat="1" applyFont="1" applyBorder="1" applyAlignment="1" applyProtection="1">
      <alignment vertical="center"/>
    </xf>
    <xf numFmtId="182" fontId="1" fillId="12" borderId="165" xfId="2" applyNumberFormat="1" applyFont="1" applyFill="1" applyBorder="1" applyAlignment="1" applyProtection="1">
      <alignment vertical="center"/>
    </xf>
    <xf numFmtId="182" fontId="1" fillId="8" borderId="165" xfId="2" applyNumberFormat="1" applyFont="1" applyFill="1" applyBorder="1" applyAlignment="1" applyProtection="1">
      <alignment vertical="center"/>
    </xf>
    <xf numFmtId="10" fontId="1" fillId="13" borderId="165" xfId="4" applyNumberFormat="1" applyFont="1" applyFill="1" applyBorder="1" applyAlignment="1" applyProtection="1">
      <alignment vertical="center"/>
    </xf>
    <xf numFmtId="182" fontId="1" fillId="0" borderId="96" xfId="2" applyNumberFormat="1" applyFont="1" applyBorder="1" applyAlignment="1" applyProtection="1">
      <alignment vertical="center"/>
    </xf>
    <xf numFmtId="182" fontId="1" fillId="0" borderId="96" xfId="0" applyNumberFormat="1" applyFont="1" applyBorder="1" applyAlignment="1" applyProtection="1">
      <alignment vertical="center"/>
    </xf>
    <xf numFmtId="182" fontId="1" fillId="0" borderId="96" xfId="2" applyNumberFormat="1" applyFont="1" applyFill="1" applyBorder="1" applyAlignment="1" applyProtection="1">
      <alignment vertical="center"/>
    </xf>
    <xf numFmtId="182" fontId="19" fillId="0" borderId="96" xfId="2" applyNumberFormat="1" applyFont="1" applyFill="1" applyBorder="1" applyAlignment="1" applyProtection="1">
      <alignment vertical="center"/>
    </xf>
    <xf numFmtId="182" fontId="19" fillId="13" borderId="96" xfId="2" applyNumberFormat="1" applyFont="1" applyFill="1" applyBorder="1" applyAlignment="1" applyProtection="1">
      <alignment vertical="center"/>
    </xf>
    <xf numFmtId="10" fontId="1" fillId="12" borderId="96" xfId="4" applyNumberFormat="1" applyFont="1" applyFill="1" applyBorder="1" applyAlignment="1" applyProtection="1">
      <alignment vertical="center"/>
    </xf>
    <xf numFmtId="182" fontId="1" fillId="8" borderId="56" xfId="2" applyNumberFormat="1" applyFont="1" applyFill="1" applyBorder="1" applyAlignment="1" applyProtection="1">
      <alignment vertical="center"/>
    </xf>
    <xf numFmtId="10" fontId="1" fillId="0" borderId="96" xfId="4" applyNumberFormat="1" applyFont="1" applyBorder="1" applyAlignment="1" applyProtection="1">
      <alignment vertical="center"/>
    </xf>
    <xf numFmtId="10" fontId="1" fillId="13" borderId="56" xfId="4" applyNumberFormat="1" applyFont="1" applyFill="1" applyBorder="1" applyAlignment="1" applyProtection="1">
      <alignment vertical="center"/>
    </xf>
    <xf numFmtId="182" fontId="1" fillId="0" borderId="103" xfId="2" applyNumberFormat="1" applyFont="1" applyBorder="1" applyAlignment="1" applyProtection="1">
      <alignment vertical="center"/>
    </xf>
    <xf numFmtId="0" fontId="4" fillId="6" borderId="96" xfId="0" applyFont="1" applyFill="1" applyBorder="1" applyAlignment="1" applyProtection="1">
      <alignment horizontal="left" vertical="center"/>
    </xf>
    <xf numFmtId="182" fontId="1" fillId="12" borderId="96" xfId="2" applyNumberFormat="1" applyFont="1" applyFill="1" applyBorder="1" applyAlignment="1" applyProtection="1">
      <alignment vertical="center"/>
    </xf>
    <xf numFmtId="10" fontId="1" fillId="13" borderId="96" xfId="4" applyNumberFormat="1" applyFont="1" applyFill="1" applyBorder="1" applyAlignment="1" applyProtection="1">
      <alignment vertical="center"/>
    </xf>
    <xf numFmtId="0" fontId="26" fillId="0" borderId="0" xfId="0" applyFont="1" applyAlignment="1">
      <alignment vertical="center"/>
    </xf>
    <xf numFmtId="0" fontId="34" fillId="0" borderId="0" xfId="0" applyFont="1" applyAlignment="1">
      <alignment horizontal="left" vertical="top"/>
    </xf>
    <xf numFmtId="0" fontId="13" fillId="5" borderId="0" xfId="0" applyFont="1" applyFill="1" applyAlignment="1" applyProtection="1">
      <alignment vertical="center"/>
      <protection locked="0"/>
    </xf>
    <xf numFmtId="0" fontId="29" fillId="5" borderId="0" xfId="0" applyFont="1" applyFill="1" applyBorder="1" applyAlignment="1" applyProtection="1">
      <alignment vertical="center"/>
      <protection locked="0"/>
    </xf>
    <xf numFmtId="0" fontId="29" fillId="6" borderId="8" xfId="0" applyFont="1" applyFill="1" applyBorder="1" applyAlignment="1" applyProtection="1">
      <alignment vertical="center"/>
    </xf>
    <xf numFmtId="0" fontId="49" fillId="6" borderId="1" xfId="0" applyFont="1" applyFill="1" applyBorder="1" applyAlignment="1" applyProtection="1">
      <alignment horizontal="center" vertical="center"/>
    </xf>
    <xf numFmtId="177" fontId="29" fillId="6" borderId="1" xfId="0" applyNumberFormat="1" applyFont="1" applyFill="1" applyBorder="1" applyAlignment="1" applyProtection="1">
      <alignment horizontal="center" vertical="center"/>
    </xf>
    <xf numFmtId="0" fontId="29" fillId="5" borderId="127" xfId="0" applyFont="1" applyFill="1" applyBorder="1" applyAlignment="1" applyProtection="1">
      <alignment vertical="center"/>
      <protection locked="0"/>
    </xf>
    <xf numFmtId="0" fontId="29" fillId="5" borderId="12" xfId="0" applyFont="1" applyFill="1" applyBorder="1" applyAlignment="1" applyProtection="1">
      <alignment vertical="center"/>
    </xf>
    <xf numFmtId="0" fontId="50" fillId="5" borderId="0" xfId="0" applyFont="1" applyFill="1" applyBorder="1" applyAlignment="1" applyProtection="1">
      <alignment vertical="center"/>
      <protection locked="0"/>
    </xf>
    <xf numFmtId="0" fontId="27" fillId="5" borderId="1" xfId="0" applyFont="1" applyFill="1" applyBorder="1" applyAlignment="1" applyProtection="1">
      <alignment vertical="center"/>
    </xf>
    <xf numFmtId="179" fontId="1" fillId="0" borderId="1" xfId="4" applyNumberFormat="1" applyFont="1" applyBorder="1" applyAlignment="1" applyProtection="1">
      <alignment vertical="center"/>
    </xf>
    <xf numFmtId="9" fontId="1" fillId="0" borderId="13" xfId="4" applyFont="1" applyBorder="1" applyAlignment="1" applyProtection="1">
      <alignment vertical="center"/>
      <protection locked="0"/>
    </xf>
    <xf numFmtId="9" fontId="1" fillId="0" borderId="15" xfId="4" applyFont="1" applyBorder="1" applyAlignment="1" applyProtection="1">
      <alignment vertical="center"/>
      <protection locked="0"/>
    </xf>
    <xf numFmtId="179" fontId="1" fillId="6" borderId="1" xfId="4" applyNumberFormat="1" applyFont="1" applyFill="1" applyBorder="1" applyAlignment="1" applyProtection="1">
      <alignment vertical="center"/>
    </xf>
    <xf numFmtId="9" fontId="22" fillId="8" borderId="13" xfId="4" applyFont="1" applyFill="1" applyBorder="1" applyAlignment="1" applyProtection="1">
      <alignment vertical="center"/>
      <protection locked="0"/>
    </xf>
    <xf numFmtId="9" fontId="22" fillId="8" borderId="14" xfId="4" applyFont="1" applyFill="1" applyBorder="1" applyAlignment="1" applyProtection="1">
      <alignment vertical="center"/>
      <protection locked="0"/>
    </xf>
    <xf numFmtId="179" fontId="15" fillId="0" borderId="13" xfId="4" applyNumberFormat="1" applyFont="1" applyBorder="1" applyAlignment="1" applyProtection="1">
      <alignment vertical="center"/>
    </xf>
    <xf numFmtId="179" fontId="15" fillId="0" borderId="14" xfId="4" applyNumberFormat="1" applyFont="1" applyBorder="1" applyAlignment="1" applyProtection="1">
      <alignment vertical="center"/>
    </xf>
    <xf numFmtId="9" fontId="1" fillId="0" borderId="1" xfId="4" applyFont="1" applyBorder="1" applyAlignment="1" applyProtection="1">
      <alignment vertical="center"/>
      <protection locked="0"/>
    </xf>
    <xf numFmtId="9" fontId="1" fillId="6" borderId="1" xfId="4" applyFont="1" applyFill="1" applyBorder="1" applyAlignment="1" applyProtection="1">
      <alignment vertical="center"/>
      <protection locked="0"/>
    </xf>
    <xf numFmtId="9" fontId="22" fillId="0" borderId="13" xfId="4" applyFont="1" applyBorder="1" applyAlignment="1" applyProtection="1">
      <alignment vertical="center"/>
      <protection locked="0"/>
    </xf>
    <xf numFmtId="9" fontId="22" fillId="0" borderId="14" xfId="4" applyFont="1" applyBorder="1" applyAlignment="1" applyProtection="1">
      <alignment vertical="center"/>
      <protection locked="0"/>
    </xf>
    <xf numFmtId="41" fontId="1" fillId="0" borderId="1" xfId="4" applyNumberFormat="1" applyFont="1" applyBorder="1" applyAlignment="1" applyProtection="1">
      <alignment vertical="center"/>
    </xf>
    <xf numFmtId="41" fontId="1" fillId="0" borderId="13" xfId="4" applyNumberFormat="1" applyFont="1" applyBorder="1" applyAlignment="1" applyProtection="1">
      <alignment vertical="center"/>
      <protection locked="0"/>
    </xf>
    <xf numFmtId="41" fontId="1" fillId="0" borderId="15" xfId="4" applyNumberFormat="1" applyFont="1" applyBorder="1" applyAlignment="1" applyProtection="1">
      <alignment vertical="center"/>
      <protection locked="0"/>
    </xf>
    <xf numFmtId="41" fontId="1" fillId="6" borderId="1" xfId="4" applyNumberFormat="1" applyFont="1" applyFill="1" applyBorder="1" applyAlignment="1" applyProtection="1">
      <alignment vertical="center"/>
    </xf>
    <xf numFmtId="0" fontId="27" fillId="5" borderId="1" xfId="0" applyFont="1" applyFill="1" applyBorder="1" applyAlignment="1" applyProtection="1">
      <alignment horizontal="left" vertical="center"/>
    </xf>
    <xf numFmtId="182" fontId="1" fillId="0" borderId="1" xfId="4" applyNumberFormat="1" applyFont="1" applyBorder="1" applyAlignment="1" applyProtection="1">
      <alignment vertical="center"/>
    </xf>
    <xf numFmtId="182" fontId="1" fillId="0" borderId="13" xfId="4" applyNumberFormat="1" applyFont="1" applyBorder="1" applyAlignment="1" applyProtection="1">
      <alignment vertical="center"/>
      <protection locked="0"/>
    </xf>
    <xf numFmtId="182" fontId="1" fillId="0" borderId="15" xfId="4" applyNumberFormat="1" applyFont="1" applyBorder="1" applyAlignment="1" applyProtection="1">
      <alignment vertical="center"/>
      <protection locked="0"/>
    </xf>
    <xf numFmtId="182" fontId="1" fillId="6" borderId="1" xfId="4" applyNumberFormat="1" applyFont="1" applyFill="1" applyBorder="1" applyAlignment="1" applyProtection="1">
      <alignment vertical="center"/>
    </xf>
    <xf numFmtId="182" fontId="15" fillId="0" borderId="13" xfId="4" applyNumberFormat="1" applyFont="1" applyBorder="1" applyAlignment="1" applyProtection="1">
      <alignment vertical="center"/>
    </xf>
    <xf numFmtId="182" fontId="15" fillId="0" borderId="14" xfId="4" applyNumberFormat="1" applyFont="1" applyBorder="1" applyAlignment="1" applyProtection="1">
      <alignment vertical="center"/>
    </xf>
    <xf numFmtId="0" fontId="27" fillId="13" borderId="1" xfId="0" applyFont="1" applyFill="1" applyBorder="1" applyAlignment="1" applyProtection="1">
      <alignment vertical="center"/>
    </xf>
    <xf numFmtId="182" fontId="15" fillId="13" borderId="1" xfId="4" applyNumberFormat="1" applyFont="1" applyFill="1" applyBorder="1" applyAlignment="1" applyProtection="1">
      <alignment vertical="center"/>
    </xf>
    <xf numFmtId="182" fontId="15" fillId="13" borderId="13" xfId="4" applyNumberFormat="1" applyFont="1" applyFill="1" applyBorder="1" applyAlignment="1" applyProtection="1">
      <alignment vertical="center"/>
    </xf>
    <xf numFmtId="182" fontId="15" fillId="13" borderId="15" xfId="4" applyNumberFormat="1" applyFont="1" applyFill="1" applyBorder="1" applyAlignment="1" applyProtection="1">
      <alignment vertical="center"/>
    </xf>
    <xf numFmtId="182" fontId="15" fillId="13" borderId="14" xfId="4" applyNumberFormat="1" applyFont="1" applyFill="1" applyBorder="1" applyAlignment="1" applyProtection="1">
      <alignment vertical="center"/>
    </xf>
    <xf numFmtId="0" fontId="27" fillId="5" borderId="1" xfId="0" applyFont="1" applyFill="1" applyBorder="1" applyAlignment="1" applyProtection="1">
      <alignment horizontal="left" vertical="center" indent="1"/>
    </xf>
    <xf numFmtId="182" fontId="15" fillId="0" borderId="1" xfId="4" applyNumberFormat="1" applyFont="1" applyBorder="1" applyAlignment="1" applyProtection="1">
      <alignment vertical="center"/>
    </xf>
    <xf numFmtId="182" fontId="1" fillId="0" borderId="13" xfId="4" applyNumberFormat="1" applyFont="1" applyFill="1" applyBorder="1" applyAlignment="1" applyProtection="1">
      <alignment vertical="center"/>
      <protection locked="0"/>
    </xf>
    <xf numFmtId="182" fontId="1" fillId="0" borderId="15" xfId="4" applyNumberFormat="1" applyFont="1" applyFill="1" applyBorder="1" applyAlignment="1" applyProtection="1">
      <alignment vertical="center"/>
      <protection locked="0"/>
    </xf>
    <xf numFmtId="0" fontId="51" fillId="13" borderId="1" xfId="0" applyFont="1" applyFill="1" applyBorder="1" applyAlignment="1" applyProtection="1">
      <alignment vertical="center"/>
    </xf>
    <xf numFmtId="179" fontId="15" fillId="13" borderId="1" xfId="4" applyNumberFormat="1" applyFont="1" applyFill="1" applyBorder="1" applyAlignment="1" applyProtection="1">
      <alignment vertical="center"/>
    </xf>
    <xf numFmtId="179" fontId="15" fillId="13" borderId="13" xfId="4" applyNumberFormat="1" applyFont="1" applyFill="1" applyBorder="1" applyAlignment="1" applyProtection="1">
      <alignment vertical="center"/>
    </xf>
    <xf numFmtId="179" fontId="15" fillId="13" borderId="15" xfId="4" applyNumberFormat="1" applyFont="1" applyFill="1" applyBorder="1" applyAlignment="1" applyProtection="1">
      <alignment vertical="center"/>
    </xf>
    <xf numFmtId="179" fontId="15" fillId="6" borderId="1" xfId="4" applyNumberFormat="1" applyFont="1" applyFill="1" applyBorder="1" applyAlignment="1" applyProtection="1">
      <alignment vertical="center"/>
    </xf>
    <xf numFmtId="179" fontId="15" fillId="13" borderId="14" xfId="4" applyNumberFormat="1" applyFont="1" applyFill="1" applyBorder="1" applyAlignment="1" applyProtection="1">
      <alignment vertical="center"/>
    </xf>
    <xf numFmtId="179" fontId="1" fillId="0" borderId="1" xfId="4" applyNumberFormat="1" applyFont="1" applyFill="1" applyBorder="1" applyAlignment="1" applyProtection="1">
      <alignment vertical="center"/>
    </xf>
    <xf numFmtId="179" fontId="1" fillId="0" borderId="13" xfId="4" applyNumberFormat="1" applyFont="1" applyFill="1" applyBorder="1" applyAlignment="1" applyProtection="1">
      <alignment vertical="center"/>
    </xf>
    <xf numFmtId="179" fontId="1" fillId="0" borderId="15" xfId="4" applyNumberFormat="1" applyFont="1" applyFill="1" applyBorder="1" applyAlignment="1" applyProtection="1">
      <alignment vertical="center"/>
    </xf>
    <xf numFmtId="179" fontId="1" fillId="0" borderId="14" xfId="4" applyNumberFormat="1" applyFont="1" applyFill="1" applyBorder="1" applyAlignment="1" applyProtection="1">
      <alignment vertical="center"/>
    </xf>
    <xf numFmtId="0" fontId="52" fillId="5" borderId="0" xfId="0" applyFont="1" applyFill="1" applyBorder="1" applyAlignment="1" applyProtection="1">
      <alignment vertical="center"/>
      <protection locked="0"/>
    </xf>
    <xf numFmtId="0" fontId="29" fillId="5" borderId="0" xfId="0" applyFont="1" applyFill="1" applyBorder="1" applyAlignment="1" applyProtection="1">
      <alignment horizontal="left" vertical="center" indent="1"/>
      <protection locked="0"/>
    </xf>
    <xf numFmtId="179" fontId="26" fillId="5" borderId="50" xfId="4" applyNumberFormat="1" applyFont="1" applyFill="1" applyBorder="1" applyAlignment="1" applyProtection="1">
      <alignment vertical="center"/>
      <protection locked="0"/>
    </xf>
    <xf numFmtId="0" fontId="29" fillId="5" borderId="27" xfId="0" applyFont="1" applyFill="1" applyBorder="1" applyAlignment="1" applyProtection="1">
      <alignment vertical="center"/>
      <protection locked="0"/>
    </xf>
    <xf numFmtId="0" fontId="29" fillId="5" borderId="3" xfId="0" applyFont="1" applyFill="1" applyBorder="1" applyAlignment="1" applyProtection="1">
      <alignment vertical="center"/>
    </xf>
    <xf numFmtId="0" fontId="50" fillId="5" borderId="4" xfId="0" applyFont="1" applyFill="1" applyBorder="1" applyAlignment="1" applyProtection="1">
      <alignment vertical="center"/>
      <protection locked="0"/>
    </xf>
    <xf numFmtId="0" fontId="50" fillId="5" borderId="7" xfId="0" applyFont="1" applyFill="1" applyBorder="1" applyAlignment="1" applyProtection="1">
      <alignment vertical="center"/>
      <protection locked="0"/>
    </xf>
    <xf numFmtId="179" fontId="1" fillId="0" borderId="13" xfId="4" applyNumberFormat="1" applyFont="1" applyFill="1" applyBorder="1" applyAlignment="1" applyProtection="1">
      <alignment vertical="center"/>
      <protection locked="0"/>
    </xf>
    <xf numFmtId="179" fontId="1" fillId="0" borderId="15" xfId="4" applyNumberFormat="1" applyFont="1" applyFill="1" applyBorder="1" applyAlignment="1" applyProtection="1">
      <alignment vertical="center"/>
      <protection locked="0"/>
    </xf>
    <xf numFmtId="41" fontId="1" fillId="13" borderId="1" xfId="2" applyNumberFormat="1" applyFont="1" applyFill="1" applyBorder="1" applyAlignment="1" applyProtection="1">
      <alignment vertical="center"/>
    </xf>
    <xf numFmtId="41" fontId="1" fillId="13" borderId="13" xfId="2" applyNumberFormat="1" applyFont="1" applyFill="1" applyBorder="1" applyAlignment="1" applyProtection="1">
      <alignment vertical="center"/>
      <protection locked="0"/>
    </xf>
    <xf numFmtId="41" fontId="1" fillId="13" borderId="15" xfId="2" applyNumberFormat="1" applyFont="1" applyFill="1" applyBorder="1" applyAlignment="1" applyProtection="1">
      <alignment vertical="center"/>
      <protection locked="0"/>
    </xf>
    <xf numFmtId="41" fontId="1" fillId="6" borderId="1" xfId="2" applyNumberFormat="1" applyFont="1" applyFill="1" applyBorder="1" applyAlignment="1" applyProtection="1">
      <alignment vertical="center"/>
    </xf>
    <xf numFmtId="41" fontId="1" fillId="13" borderId="13" xfId="2" applyNumberFormat="1" applyFont="1" applyFill="1" applyBorder="1" applyAlignment="1" applyProtection="1">
      <alignment vertical="center"/>
    </xf>
    <xf numFmtId="41" fontId="1" fillId="13" borderId="14" xfId="2" applyNumberFormat="1" applyFont="1" applyFill="1" applyBorder="1" applyAlignment="1" applyProtection="1">
      <alignment vertical="center"/>
    </xf>
    <xf numFmtId="0" fontId="27" fillId="5" borderId="1" xfId="0" applyFont="1" applyFill="1" applyBorder="1" applyAlignment="1" applyProtection="1">
      <alignment horizontal="left" vertical="center" wrapText="1" indent="1"/>
    </xf>
    <xf numFmtId="41" fontId="1" fillId="0" borderId="1" xfId="2" applyNumberFormat="1" applyFont="1" applyFill="1" applyBorder="1" applyAlignment="1" applyProtection="1">
      <alignment vertical="center"/>
    </xf>
    <xf numFmtId="177" fontId="1" fillId="0" borderId="13" xfId="2" applyNumberFormat="1" applyFont="1" applyFill="1" applyBorder="1" applyAlignment="1" applyProtection="1">
      <alignment horizontal="right" vertical="center"/>
      <protection locked="0"/>
    </xf>
    <xf numFmtId="177" fontId="1" fillId="0" borderId="15" xfId="2" applyNumberFormat="1" applyFont="1" applyFill="1" applyBorder="1" applyAlignment="1" applyProtection="1">
      <alignment horizontal="right" vertical="center"/>
      <protection locked="0"/>
    </xf>
    <xf numFmtId="177" fontId="1" fillId="6" borderId="1" xfId="2" applyNumberFormat="1" applyFont="1" applyFill="1" applyBorder="1" applyAlignment="1" applyProtection="1">
      <alignment horizontal="right" vertical="center"/>
    </xf>
    <xf numFmtId="41" fontId="1" fillId="0" borderId="13" xfId="2" applyNumberFormat="1" applyFont="1" applyFill="1" applyBorder="1" applyAlignment="1" applyProtection="1">
      <alignment vertical="center"/>
    </xf>
    <xf numFmtId="41" fontId="1" fillId="0" borderId="14" xfId="2" applyNumberFormat="1" applyFont="1" applyFill="1" applyBorder="1" applyAlignment="1" applyProtection="1">
      <alignment vertical="center"/>
    </xf>
    <xf numFmtId="9" fontId="22" fillId="8" borderId="15" xfId="4" applyFont="1" applyFill="1" applyBorder="1" applyAlignment="1" applyProtection="1">
      <alignment vertical="center"/>
      <protection locked="0"/>
    </xf>
    <xf numFmtId="179" fontId="15" fillId="0" borderId="15" xfId="4" applyNumberFormat="1" applyFont="1" applyBorder="1" applyAlignment="1" applyProtection="1">
      <alignment vertical="center"/>
    </xf>
    <xf numFmtId="0" fontId="22" fillId="0" borderId="15" xfId="0" applyFont="1" applyBorder="1" applyAlignment="1" applyProtection="1">
      <alignment vertical="center"/>
      <protection locked="0"/>
    </xf>
    <xf numFmtId="182" fontId="15" fillId="0" borderId="15" xfId="4" applyNumberFormat="1" applyFont="1" applyBorder="1" applyAlignment="1" applyProtection="1">
      <alignment vertical="center"/>
    </xf>
    <xf numFmtId="41" fontId="1" fillId="13" borderId="15" xfId="2" applyNumberFormat="1" applyFont="1" applyFill="1" applyBorder="1" applyAlignment="1" applyProtection="1">
      <alignment vertical="center"/>
    </xf>
    <xf numFmtId="41" fontId="1" fillId="0" borderId="15" xfId="2" applyNumberFormat="1" applyFont="1" applyFill="1" applyBorder="1" applyAlignment="1" applyProtection="1">
      <alignment vertical="center"/>
    </xf>
    <xf numFmtId="0" fontId="27" fillId="13" borderId="1" xfId="0" applyFont="1" applyFill="1" applyBorder="1" applyAlignment="1" applyProtection="1">
      <alignment vertical="center" wrapText="1"/>
    </xf>
    <xf numFmtId="41" fontId="1" fillId="6" borderId="1" xfId="2" applyNumberFormat="1" applyFont="1" applyFill="1" applyBorder="1" applyAlignment="1" applyProtection="1">
      <alignment horizontal="right" vertical="center"/>
    </xf>
    <xf numFmtId="0" fontId="27" fillId="13" borderId="1" xfId="0" applyFont="1" applyFill="1" applyBorder="1" applyAlignment="1" applyProtection="1">
      <alignment horizontal="left" vertical="center" wrapText="1" indent="1"/>
    </xf>
    <xf numFmtId="177" fontId="1" fillId="13" borderId="1" xfId="2" applyNumberFormat="1" applyFont="1" applyFill="1" applyBorder="1" applyAlignment="1" applyProtection="1">
      <alignment horizontal="right" vertical="center"/>
    </xf>
    <xf numFmtId="177" fontId="1" fillId="13" borderId="13" xfId="2" applyNumberFormat="1" applyFont="1" applyFill="1" applyBorder="1" applyAlignment="1" applyProtection="1">
      <alignment horizontal="right" vertical="center"/>
      <protection locked="0"/>
    </xf>
    <xf numFmtId="177" fontId="1" fillId="13" borderId="15" xfId="2" applyNumberFormat="1" applyFont="1" applyFill="1" applyBorder="1" applyAlignment="1" applyProtection="1">
      <alignment horizontal="right" vertical="center"/>
      <protection locked="0"/>
    </xf>
    <xf numFmtId="0" fontId="27" fillId="5" borderId="1" xfId="0" applyFont="1" applyFill="1" applyBorder="1" applyAlignment="1" applyProtection="1">
      <alignment horizontal="left" vertical="center" wrapText="1" indent="2"/>
    </xf>
    <xf numFmtId="41" fontId="1" fillId="13" borderId="14" xfId="2" applyNumberFormat="1" applyFont="1" applyFill="1" applyBorder="1" applyAlignment="1" applyProtection="1">
      <alignment vertical="center"/>
      <protection locked="0"/>
    </xf>
    <xf numFmtId="43" fontId="1" fillId="0" borderId="0" xfId="0" applyNumberFormat="1" applyFont="1" applyAlignment="1">
      <alignment vertical="center"/>
    </xf>
    <xf numFmtId="0" fontId="27" fillId="5" borderId="50" xfId="0" applyFont="1" applyFill="1" applyBorder="1" applyAlignment="1" applyProtection="1">
      <alignment horizontal="left" vertical="center" wrapText="1" indent="2"/>
      <protection locked="0"/>
    </xf>
    <xf numFmtId="41" fontId="1" fillId="0" borderId="50" xfId="2" applyNumberFormat="1" applyFont="1" applyFill="1" applyBorder="1" applyAlignment="1" applyProtection="1">
      <alignment vertical="center"/>
      <protection locked="0"/>
    </xf>
    <xf numFmtId="177" fontId="1" fillId="0" borderId="50" xfId="2" applyNumberFormat="1" applyFont="1" applyFill="1" applyBorder="1" applyAlignment="1" applyProtection="1">
      <alignment horizontal="right" vertical="center"/>
      <protection locked="0"/>
    </xf>
    <xf numFmtId="0" fontId="50" fillId="5" borderId="128" xfId="0" applyFont="1" applyFill="1" applyBorder="1" applyAlignment="1" applyProtection="1">
      <alignment vertical="center"/>
      <protection locked="0"/>
    </xf>
    <xf numFmtId="179" fontId="1" fillId="0" borderId="13" xfId="4" applyNumberFormat="1" applyFont="1" applyBorder="1" applyAlignment="1" applyProtection="1">
      <alignment vertical="center"/>
      <protection locked="0"/>
    </xf>
    <xf numFmtId="179" fontId="1" fillId="0" borderId="15" xfId="4" applyNumberFormat="1" applyFont="1" applyBorder="1" applyAlignment="1" applyProtection="1">
      <alignment vertical="center"/>
      <protection locked="0"/>
    </xf>
    <xf numFmtId="10" fontId="1" fillId="5" borderId="1" xfId="0" applyNumberFormat="1" applyFont="1" applyFill="1" applyBorder="1" applyAlignment="1" applyProtection="1">
      <alignment vertical="center"/>
    </xf>
    <xf numFmtId="10" fontId="1" fillId="5" borderId="13" xfId="0" applyNumberFormat="1" applyFont="1" applyFill="1" applyBorder="1" applyAlignment="1" applyProtection="1">
      <alignment vertical="center"/>
      <protection locked="0"/>
    </xf>
    <xf numFmtId="10" fontId="1" fillId="5" borderId="15" xfId="0" applyNumberFormat="1" applyFont="1" applyFill="1" applyBorder="1" applyAlignment="1" applyProtection="1">
      <alignment vertical="center"/>
      <protection locked="0"/>
    </xf>
    <xf numFmtId="10" fontId="1" fillId="6" borderId="1" xfId="0" applyNumberFormat="1" applyFont="1" applyFill="1" applyBorder="1" applyAlignment="1" applyProtection="1">
      <alignment vertical="center"/>
    </xf>
    <xf numFmtId="10" fontId="1" fillId="5" borderId="13" xfId="0" applyNumberFormat="1" applyFont="1" applyFill="1" applyBorder="1" applyAlignment="1" applyProtection="1">
      <alignment vertical="center"/>
    </xf>
    <xf numFmtId="10" fontId="1" fillId="5" borderId="14" xfId="0" applyNumberFormat="1" applyFont="1" applyFill="1" applyBorder="1" applyAlignment="1" applyProtection="1">
      <alignment vertical="center"/>
    </xf>
    <xf numFmtId="176" fontId="1" fillId="5" borderId="1" xfId="2" applyNumberFormat="1" applyFont="1" applyFill="1" applyBorder="1" applyAlignment="1" applyProtection="1">
      <alignment horizontal="right" vertical="center"/>
    </xf>
    <xf numFmtId="176" fontId="1" fillId="5" borderId="13" xfId="2" applyNumberFormat="1" applyFont="1" applyFill="1" applyBorder="1" applyAlignment="1" applyProtection="1">
      <alignment horizontal="right" vertical="center"/>
      <protection locked="0"/>
    </xf>
    <xf numFmtId="176" fontId="1" fillId="5" borderId="15" xfId="2" applyNumberFormat="1" applyFont="1" applyFill="1" applyBorder="1" applyAlignment="1" applyProtection="1">
      <alignment horizontal="right" vertical="center"/>
      <protection locked="0"/>
    </xf>
    <xf numFmtId="176" fontId="1" fillId="6" borderId="1" xfId="2" applyNumberFormat="1" applyFont="1" applyFill="1" applyBorder="1" applyAlignment="1" applyProtection="1">
      <alignment horizontal="right" vertical="center"/>
    </xf>
    <xf numFmtId="176" fontId="1" fillId="5" borderId="13" xfId="2" applyNumberFormat="1" applyFont="1" applyFill="1" applyBorder="1" applyAlignment="1" applyProtection="1">
      <alignment horizontal="right" vertical="center"/>
    </xf>
    <xf numFmtId="176" fontId="1" fillId="5" borderId="14" xfId="2" applyNumberFormat="1" applyFont="1" applyFill="1" applyBorder="1" applyAlignment="1" applyProtection="1">
      <alignment horizontal="right" vertical="center"/>
    </xf>
    <xf numFmtId="10" fontId="1" fillId="5" borderId="1" xfId="4" applyNumberFormat="1" applyFont="1" applyFill="1" applyBorder="1" applyAlignment="1" applyProtection="1">
      <alignment horizontal="right" vertical="center"/>
    </xf>
    <xf numFmtId="10" fontId="1" fillId="5" borderId="13" xfId="4" applyNumberFormat="1" applyFont="1" applyFill="1" applyBorder="1" applyAlignment="1" applyProtection="1">
      <alignment horizontal="right" vertical="center"/>
    </xf>
    <xf numFmtId="10" fontId="1" fillId="5" borderId="15" xfId="4" applyNumberFormat="1" applyFont="1" applyFill="1" applyBorder="1" applyAlignment="1" applyProtection="1">
      <alignment horizontal="right" vertical="center"/>
    </xf>
    <xf numFmtId="10" fontId="1" fillId="6" borderId="1" xfId="4" applyNumberFormat="1" applyFont="1" applyFill="1" applyBorder="1" applyAlignment="1" applyProtection="1">
      <alignment horizontal="right" vertical="center"/>
    </xf>
    <xf numFmtId="10" fontId="1" fillId="5" borderId="14" xfId="4" applyNumberFormat="1" applyFont="1" applyFill="1" applyBorder="1" applyAlignment="1" applyProtection="1">
      <alignment horizontal="right" vertical="center"/>
    </xf>
    <xf numFmtId="0" fontId="27" fillId="5" borderId="128" xfId="0" applyFont="1" applyFill="1" applyBorder="1" applyAlignment="1" applyProtection="1">
      <alignment vertical="center"/>
      <protection locked="0"/>
    </xf>
    <xf numFmtId="178" fontId="1" fillId="5" borderId="1" xfId="2" applyNumberFormat="1" applyFont="1" applyFill="1" applyBorder="1" applyAlignment="1" applyProtection="1">
      <alignment horizontal="right" vertical="center"/>
    </xf>
    <xf numFmtId="178" fontId="1" fillId="5" borderId="13" xfId="2" applyNumberFormat="1" applyFont="1" applyFill="1" applyBorder="1" applyAlignment="1" applyProtection="1">
      <alignment horizontal="right" vertical="center"/>
    </xf>
    <xf numFmtId="178" fontId="1" fillId="5" borderId="15" xfId="2" applyNumberFormat="1" applyFont="1" applyFill="1" applyBorder="1" applyAlignment="1" applyProtection="1">
      <alignment horizontal="right" vertical="center"/>
    </xf>
    <xf numFmtId="178" fontId="1" fillId="6" borderId="1" xfId="2" applyNumberFormat="1" applyFont="1" applyFill="1" applyBorder="1" applyAlignment="1" applyProtection="1">
      <alignment horizontal="right" vertical="center"/>
    </xf>
    <xf numFmtId="178" fontId="1" fillId="5" borderId="14" xfId="2" applyNumberFormat="1" applyFont="1" applyFill="1" applyBorder="1" applyAlignment="1" applyProtection="1">
      <alignment horizontal="right" vertical="center"/>
    </xf>
    <xf numFmtId="178" fontId="1" fillId="5" borderId="13" xfId="2" applyNumberFormat="1" applyFont="1" applyFill="1" applyBorder="1" applyAlignment="1" applyProtection="1">
      <alignment horizontal="right" vertical="center"/>
      <protection locked="0"/>
    </xf>
    <xf numFmtId="178" fontId="1" fillId="5" borderId="15" xfId="2" applyNumberFormat="1" applyFont="1" applyFill="1" applyBorder="1" applyAlignment="1" applyProtection="1">
      <alignment horizontal="right" vertical="center"/>
      <protection locked="0"/>
    </xf>
    <xf numFmtId="0" fontId="27" fillId="5" borderId="0" xfId="0" applyFont="1" applyFill="1" applyAlignment="1" applyProtection="1">
      <alignment vertical="center"/>
      <protection locked="0"/>
    </xf>
    <xf numFmtId="176" fontId="1" fillId="0" borderId="0" xfId="0" applyNumberFormat="1" applyFont="1" applyAlignment="1" applyProtection="1">
      <alignment vertical="center"/>
      <protection locked="0"/>
    </xf>
    <xf numFmtId="177" fontId="1" fillId="0" borderId="0" xfId="0" applyNumberFormat="1" applyFont="1" applyAlignment="1" applyProtection="1">
      <alignment vertical="center"/>
      <protection locked="0"/>
    </xf>
    <xf numFmtId="43" fontId="1" fillId="0" borderId="0" xfId="2" applyFont="1" applyAlignment="1" applyProtection="1">
      <alignment vertical="center"/>
      <protection locked="0"/>
    </xf>
    <xf numFmtId="9" fontId="1" fillId="0" borderId="0" xfId="0" applyNumberFormat="1" applyFont="1" applyAlignment="1" applyProtection="1">
      <alignment vertical="center"/>
      <protection locked="0"/>
    </xf>
    <xf numFmtId="10" fontId="1" fillId="5" borderId="15" xfId="0" applyNumberFormat="1" applyFont="1" applyFill="1" applyBorder="1" applyAlignment="1" applyProtection="1">
      <alignment vertical="center"/>
    </xf>
    <xf numFmtId="176" fontId="1" fillId="5" borderId="15" xfId="2" applyNumberFormat="1" applyFont="1" applyFill="1" applyBorder="1" applyAlignment="1" applyProtection="1">
      <alignment horizontal="right" vertical="center"/>
    </xf>
    <xf numFmtId="43" fontId="1" fillId="11" borderId="1" xfId="2" applyFont="1" applyFill="1" applyBorder="1" applyAlignment="1" applyProtection="1">
      <alignment vertical="center"/>
    </xf>
    <xf numFmtId="0" fontId="18" fillId="9" borderId="1" xfId="0" applyFont="1" applyFill="1" applyBorder="1" applyAlignment="1" applyProtection="1">
      <alignment horizontal="left" vertical="center"/>
    </xf>
    <xf numFmtId="43" fontId="19" fillId="9" borderId="1" xfId="2" applyFont="1" applyFill="1" applyBorder="1" applyAlignment="1" applyProtection="1">
      <alignment vertical="center"/>
    </xf>
    <xf numFmtId="0" fontId="18" fillId="5" borderId="1" xfId="0" applyFont="1" applyFill="1" applyBorder="1" applyAlignment="1" applyProtection="1">
      <alignment horizontal="left" vertical="center"/>
    </xf>
    <xf numFmtId="43" fontId="1" fillId="0" borderId="0" xfId="4" applyNumberFormat="1" applyFont="1" applyAlignment="1" applyProtection="1">
      <alignment vertical="center"/>
    </xf>
    <xf numFmtId="0" fontId="13" fillId="6" borderId="1" xfId="0" applyFont="1" applyFill="1" applyBorder="1" applyAlignment="1" applyProtection="1">
      <alignment vertical="center"/>
    </xf>
    <xf numFmtId="0" fontId="1" fillId="11" borderId="32" xfId="0" applyFont="1" applyFill="1" applyBorder="1" applyAlignment="1" applyProtection="1">
      <alignment horizontal="center" vertical="center"/>
    </xf>
    <xf numFmtId="0" fontId="1" fillId="11" borderId="14" xfId="0" applyFont="1" applyFill="1" applyBorder="1" applyAlignment="1" applyProtection="1">
      <alignment horizontal="center" vertical="center"/>
    </xf>
    <xf numFmtId="43" fontId="25" fillId="12" borderId="11" xfId="2" applyFont="1" applyFill="1" applyBorder="1" applyAlignment="1" applyProtection="1">
      <alignment vertical="center"/>
    </xf>
    <xf numFmtId="43" fontId="25" fillId="12" borderId="32" xfId="2" applyFont="1" applyFill="1" applyBorder="1" applyAlignment="1" applyProtection="1">
      <alignment vertical="center"/>
    </xf>
    <xf numFmtId="43" fontId="25" fillId="12" borderId="14" xfId="2" applyFont="1" applyFill="1" applyBorder="1" applyAlignment="1" applyProtection="1">
      <alignment vertical="center"/>
    </xf>
    <xf numFmtId="43" fontId="1" fillId="0" borderId="11" xfId="0" applyNumberFormat="1" applyFont="1" applyBorder="1" applyAlignment="1" applyProtection="1">
      <alignment vertical="center"/>
    </xf>
    <xf numFmtId="43" fontId="1" fillId="0" borderId="32" xfId="0" applyNumberFormat="1" applyFont="1" applyBorder="1" applyAlignment="1" applyProtection="1">
      <alignment vertical="center"/>
    </xf>
    <xf numFmtId="43" fontId="1" fillId="0" borderId="14" xfId="0" applyNumberFormat="1" applyFont="1" applyBorder="1" applyAlignment="1" applyProtection="1">
      <alignment vertical="center"/>
    </xf>
    <xf numFmtId="0" fontId="1" fillId="11" borderId="33" xfId="0" applyFont="1" applyFill="1" applyBorder="1" applyAlignment="1" applyProtection="1">
      <alignment horizontal="center" vertical="center"/>
    </xf>
    <xf numFmtId="43" fontId="25" fillId="12" borderId="33" xfId="2" applyFont="1" applyFill="1" applyBorder="1" applyAlignment="1" applyProtection="1">
      <alignment vertical="center"/>
    </xf>
    <xf numFmtId="43" fontId="1" fillId="0" borderId="33" xfId="0" applyNumberFormat="1" applyFont="1" applyBorder="1" applyAlignment="1" applyProtection="1">
      <alignment vertical="center"/>
    </xf>
    <xf numFmtId="43" fontId="25" fillId="12" borderId="35" xfId="2" applyFont="1" applyFill="1" applyBorder="1" applyAlignment="1" applyProtection="1">
      <alignment vertical="center"/>
    </xf>
    <xf numFmtId="0" fontId="13" fillId="11" borderId="3" xfId="0" applyFont="1" applyFill="1" applyBorder="1" applyAlignment="1" applyProtection="1">
      <alignment horizontal="center" vertical="center"/>
    </xf>
    <xf numFmtId="10" fontId="1" fillId="0" borderId="0" xfId="0" applyNumberFormat="1" applyFont="1" applyAlignment="1" applyProtection="1">
      <alignment vertical="center"/>
    </xf>
    <xf numFmtId="0" fontId="13" fillId="11" borderId="8" xfId="0" applyFont="1" applyFill="1" applyBorder="1" applyAlignment="1" applyProtection="1">
      <alignment horizontal="center" vertical="center"/>
    </xf>
    <xf numFmtId="9" fontId="1" fillId="0" borderId="0" xfId="4" applyFont="1" applyAlignment="1" applyProtection="1">
      <alignment vertical="center"/>
    </xf>
    <xf numFmtId="0" fontId="18" fillId="0" borderId="159" xfId="0" applyFont="1" applyFill="1" applyBorder="1" applyAlignment="1" applyProtection="1">
      <alignment horizontal="left" vertical="center" indent="1"/>
    </xf>
    <xf numFmtId="9" fontId="13" fillId="6" borderId="159" xfId="4" applyFont="1" applyFill="1" applyBorder="1" applyAlignment="1" applyProtection="1">
      <alignment horizontal="left" vertical="center"/>
    </xf>
    <xf numFmtId="9" fontId="1" fillId="12" borderId="21" xfId="4" applyFont="1" applyFill="1" applyBorder="1" applyAlignment="1" applyProtection="1">
      <alignment vertical="center"/>
    </xf>
    <xf numFmtId="43" fontId="1" fillId="12" borderId="21" xfId="0" applyNumberFormat="1" applyFont="1" applyFill="1" applyBorder="1" applyAlignment="1" applyProtection="1">
      <alignment vertical="center"/>
    </xf>
    <xf numFmtId="0" fontId="13" fillId="10" borderId="0" xfId="0" applyFont="1" applyFill="1" applyBorder="1" applyAlignment="1" applyProtection="1">
      <alignment horizontal="right" vertical="center"/>
    </xf>
    <xf numFmtId="43" fontId="13" fillId="0" borderId="0" xfId="0" applyNumberFormat="1" applyFont="1" applyAlignment="1" applyProtection="1">
      <alignment vertical="center"/>
    </xf>
    <xf numFmtId="182" fontId="1" fillId="11" borderId="21" xfId="2" applyNumberFormat="1" applyFont="1" applyFill="1" applyBorder="1" applyAlignment="1" applyProtection="1">
      <alignment vertical="center"/>
      <protection locked="0"/>
    </xf>
    <xf numFmtId="182" fontId="1" fillId="0" borderId="21" xfId="2" applyNumberFormat="1" applyFont="1" applyFill="1" applyBorder="1" applyAlignment="1" applyProtection="1">
      <alignment vertical="center"/>
      <protection locked="0"/>
    </xf>
    <xf numFmtId="182" fontId="1" fillId="11" borderId="165" xfId="2" applyNumberFormat="1" applyFont="1" applyFill="1" applyBorder="1" applyAlignment="1" applyProtection="1">
      <alignment vertical="center"/>
      <protection locked="0"/>
    </xf>
    <xf numFmtId="182" fontId="1" fillId="3" borderId="21" xfId="2" applyNumberFormat="1" applyFont="1" applyFill="1" applyBorder="1" applyAlignment="1" applyProtection="1">
      <alignment vertical="center"/>
      <protection locked="0"/>
    </xf>
    <xf numFmtId="182" fontId="1" fillId="3" borderId="165" xfId="2" applyNumberFormat="1" applyFont="1" applyFill="1" applyBorder="1" applyAlignment="1" applyProtection="1">
      <alignment vertical="center"/>
      <protection locked="0"/>
    </xf>
    <xf numFmtId="182" fontId="1" fillId="3" borderId="96" xfId="2" applyNumberFormat="1" applyFont="1" applyFill="1" applyBorder="1" applyAlignment="1" applyProtection="1">
      <alignment vertical="center"/>
      <protection locked="0"/>
    </xf>
    <xf numFmtId="182" fontId="1" fillId="12" borderId="56" xfId="2" applyNumberFormat="1" applyFont="1" applyFill="1" applyBorder="1" applyAlignment="1" applyProtection="1">
      <alignment vertical="center"/>
    </xf>
    <xf numFmtId="43" fontId="42" fillId="3" borderId="21" xfId="2" applyFont="1" applyFill="1" applyBorder="1" applyAlignment="1" applyProtection="1">
      <protection locked="0"/>
    </xf>
    <xf numFmtId="0" fontId="4" fillId="0" borderId="0" xfId="0" applyFont="1" applyAlignment="1" applyProtection="1">
      <alignment vertical="center"/>
      <protection locked="0"/>
    </xf>
    <xf numFmtId="0" fontId="1" fillId="3" borderId="0" xfId="0" applyFont="1" applyFill="1" applyAlignment="1" applyProtection="1">
      <alignment vertical="center"/>
      <protection locked="0"/>
    </xf>
    <xf numFmtId="9" fontId="1" fillId="3" borderId="0" xfId="0" applyNumberFormat="1" applyFont="1" applyFill="1" applyAlignment="1" applyProtection="1">
      <alignment vertical="center"/>
      <protection locked="0"/>
    </xf>
    <xf numFmtId="183" fontId="26" fillId="6" borderId="172" xfId="0" applyNumberFormat="1" applyFont="1" applyFill="1" applyBorder="1" applyAlignment="1" applyProtection="1">
      <alignment horizontal="center" vertical="center"/>
    </xf>
    <xf numFmtId="183" fontId="26" fillId="6" borderId="173" xfId="0" applyNumberFormat="1" applyFont="1" applyFill="1" applyBorder="1" applyAlignment="1" applyProtection="1">
      <alignment horizontal="center" vertical="center"/>
    </xf>
    <xf numFmtId="183" fontId="26" fillId="6" borderId="174" xfId="0" applyNumberFormat="1" applyFont="1" applyFill="1" applyBorder="1" applyAlignment="1" applyProtection="1">
      <alignment horizontal="center" vertical="center"/>
    </xf>
    <xf numFmtId="0" fontId="13" fillId="6" borderId="175" xfId="0" applyFont="1" applyFill="1" applyBorder="1" applyAlignment="1" applyProtection="1">
      <alignment vertical="center"/>
    </xf>
    <xf numFmtId="41" fontId="1" fillId="0" borderId="16" xfId="2" applyNumberFormat="1" applyFont="1" applyFill="1" applyBorder="1" applyAlignment="1" applyProtection="1">
      <alignment vertical="center"/>
    </xf>
    <xf numFmtId="41" fontId="1" fillId="0" borderId="10" xfId="2" applyNumberFormat="1" applyFont="1" applyFill="1" applyBorder="1" applyAlignment="1" applyProtection="1">
      <alignment vertical="center"/>
    </xf>
    <xf numFmtId="0" fontId="1" fillId="6" borderId="176" xfId="0" applyFont="1" applyFill="1" applyBorder="1" applyAlignment="1" applyProtection="1">
      <alignment vertical="center"/>
    </xf>
    <xf numFmtId="41" fontId="1" fillId="0" borderId="20" xfId="2" applyNumberFormat="1" applyFont="1" applyFill="1" applyBorder="1" applyAlignment="1" applyProtection="1">
      <alignment vertical="center"/>
    </xf>
    <xf numFmtId="41" fontId="1" fillId="11" borderId="10" xfId="2" applyNumberFormat="1" applyFont="1" applyFill="1" applyBorder="1" applyAlignment="1" applyProtection="1">
      <alignment vertical="center"/>
      <protection locked="0"/>
    </xf>
    <xf numFmtId="43" fontId="1" fillId="3" borderId="21" xfId="2" applyFont="1" applyFill="1" applyBorder="1" applyAlignment="1" applyProtection="1">
      <protection locked="0"/>
    </xf>
    <xf numFmtId="43" fontId="1" fillId="3" borderId="22" xfId="2" applyFont="1" applyFill="1" applyBorder="1" applyAlignment="1" applyProtection="1">
      <protection locked="0"/>
    </xf>
    <xf numFmtId="43" fontId="1" fillId="3" borderId="10" xfId="2" applyFont="1" applyFill="1" applyBorder="1" applyAlignment="1" applyProtection="1">
      <protection locked="0"/>
    </xf>
    <xf numFmtId="43" fontId="1" fillId="0" borderId="10" xfId="2" applyFont="1" applyFill="1" applyBorder="1" applyAlignment="1" applyProtection="1"/>
    <xf numFmtId="43" fontId="1" fillId="0" borderId="21" xfId="2" applyFont="1" applyFill="1" applyBorder="1" applyAlignment="1" applyProtection="1"/>
    <xf numFmtId="43" fontId="1" fillId="0" borderId="22" xfId="2" applyFont="1" applyFill="1" applyBorder="1" applyAlignment="1" applyProtection="1"/>
    <xf numFmtId="0" fontId="13" fillId="6" borderId="176" xfId="0" applyFont="1" applyFill="1" applyBorder="1" applyAlignment="1" applyProtection="1">
      <alignment vertical="center"/>
    </xf>
    <xf numFmtId="43" fontId="1" fillId="3" borderId="24" xfId="2" applyFont="1" applyFill="1" applyBorder="1" applyAlignment="1" applyProtection="1">
      <protection locked="0"/>
    </xf>
    <xf numFmtId="43" fontId="1" fillId="3" borderId="25" xfId="2" applyFont="1" applyFill="1" applyBorder="1" applyAlignment="1" applyProtection="1">
      <protection locked="0"/>
    </xf>
    <xf numFmtId="43" fontId="1" fillId="3" borderId="26" xfId="2" applyFont="1" applyFill="1" applyBorder="1" applyAlignment="1" applyProtection="1">
      <protection locked="0"/>
    </xf>
    <xf numFmtId="0" fontId="1" fillId="12" borderId="177" xfId="0" applyFont="1" applyFill="1" applyBorder="1" applyAlignment="1" applyProtection="1">
      <alignment vertical="center"/>
    </xf>
    <xf numFmtId="41" fontId="1" fillId="12" borderId="163" xfId="2" applyNumberFormat="1" applyFont="1" applyFill="1" applyBorder="1" applyAlignment="1" applyProtection="1">
      <alignment vertical="center"/>
    </xf>
    <xf numFmtId="41" fontId="1" fillId="12" borderId="178" xfId="2" applyNumberFormat="1" applyFont="1" applyFill="1" applyBorder="1" applyAlignment="1" applyProtection="1">
      <alignment vertical="center"/>
    </xf>
    <xf numFmtId="41" fontId="1" fillId="12" borderId="179" xfId="2" applyNumberFormat="1" applyFont="1" applyFill="1" applyBorder="1" applyAlignment="1" applyProtection="1">
      <alignment vertical="center"/>
    </xf>
    <xf numFmtId="41" fontId="1" fillId="12" borderId="180" xfId="2" applyNumberFormat="1" applyFont="1" applyFill="1" applyBorder="1" applyAlignment="1" applyProtection="1">
      <alignment vertical="center"/>
    </xf>
    <xf numFmtId="41" fontId="1" fillId="12" borderId="181" xfId="2" applyNumberFormat="1" applyFont="1" applyFill="1" applyBorder="1" applyAlignment="1" applyProtection="1">
      <alignment vertical="center"/>
    </xf>
    <xf numFmtId="0" fontId="1" fillId="6" borderId="0" xfId="0" applyFont="1" applyFill="1" applyAlignment="1" applyProtection="1">
      <alignment vertical="center"/>
    </xf>
    <xf numFmtId="43" fontId="1" fillId="6" borderId="0" xfId="2" applyFont="1" applyFill="1" applyAlignment="1" applyProtection="1">
      <alignment vertical="center"/>
    </xf>
    <xf numFmtId="43" fontId="1" fillId="3" borderId="0" xfId="0" applyNumberFormat="1" applyFont="1" applyFill="1" applyAlignment="1" applyProtection="1">
      <alignment vertical="center"/>
      <protection locked="0"/>
    </xf>
    <xf numFmtId="10" fontId="1" fillId="6" borderId="0" xfId="4" applyNumberFormat="1" applyFont="1" applyFill="1" applyAlignment="1" applyProtection="1">
      <alignment vertical="center"/>
    </xf>
    <xf numFmtId="9" fontId="1" fillId="0" borderId="0" xfId="4" applyFont="1" applyAlignment="1" applyProtection="1">
      <alignment vertical="center"/>
      <protection locked="0"/>
    </xf>
    <xf numFmtId="41" fontId="26" fillId="6" borderId="40" xfId="0" applyNumberFormat="1" applyFont="1" applyFill="1" applyBorder="1" applyAlignment="1" applyProtection="1">
      <alignment horizontal="center" vertical="center"/>
      <protection locked="0"/>
    </xf>
    <xf numFmtId="41" fontId="26" fillId="6" borderId="2" xfId="0" applyNumberFormat="1" applyFont="1" applyFill="1" applyBorder="1" applyAlignment="1" applyProtection="1">
      <alignment horizontal="center" vertical="center"/>
    </xf>
    <xf numFmtId="41" fontId="26" fillId="6" borderId="13" xfId="0" applyNumberFormat="1" applyFont="1" applyFill="1" applyBorder="1" applyAlignment="1" applyProtection="1">
      <alignment horizontal="center" vertical="center"/>
    </xf>
    <xf numFmtId="41" fontId="26" fillId="6" borderId="14" xfId="0" applyNumberFormat="1" applyFont="1" applyFill="1" applyBorder="1" applyAlignment="1" applyProtection="1">
      <alignment horizontal="center" vertical="center"/>
    </xf>
    <xf numFmtId="41" fontId="1" fillId="6" borderId="16" xfId="0" applyNumberFormat="1" applyFont="1" applyFill="1" applyBorder="1" applyAlignment="1" applyProtection="1">
      <alignment vertical="center"/>
    </xf>
    <xf numFmtId="41" fontId="1" fillId="0" borderId="16" xfId="0" applyNumberFormat="1" applyFont="1" applyBorder="1" applyAlignment="1" applyProtection="1">
      <alignment vertical="center"/>
    </xf>
    <xf numFmtId="182" fontId="1" fillId="0" borderId="45" xfId="0" applyNumberFormat="1" applyFont="1" applyBorder="1" applyAlignment="1" applyProtection="1">
      <alignment vertical="center"/>
    </xf>
    <xf numFmtId="182" fontId="1" fillId="0" borderId="44" xfId="0" applyNumberFormat="1" applyFont="1" applyBorder="1" applyAlignment="1" applyProtection="1">
      <alignment vertical="center"/>
    </xf>
    <xf numFmtId="41" fontId="1" fillId="0" borderId="182" xfId="0" applyNumberFormat="1" applyFont="1" applyBorder="1" applyAlignment="1" applyProtection="1">
      <alignment vertical="center"/>
    </xf>
    <xf numFmtId="41" fontId="1" fillId="6" borderId="20" xfId="0" applyNumberFormat="1" applyFont="1" applyFill="1" applyBorder="1" applyAlignment="1" applyProtection="1">
      <alignment vertical="center"/>
    </xf>
    <xf numFmtId="41" fontId="1" fillId="0" borderId="20" xfId="0" applyNumberFormat="1" applyFont="1" applyBorder="1" applyAlignment="1" applyProtection="1">
      <alignment vertical="center"/>
    </xf>
    <xf numFmtId="41" fontId="1" fillId="0" borderId="56" xfId="0" applyNumberFormat="1" applyFont="1" applyBorder="1" applyAlignment="1" applyProtection="1">
      <alignment vertical="center"/>
    </xf>
    <xf numFmtId="41" fontId="1" fillId="8" borderId="21" xfId="0" applyNumberFormat="1" applyFont="1" applyFill="1" applyBorder="1" applyAlignment="1" applyProtection="1">
      <alignment vertical="center"/>
      <protection locked="0"/>
    </xf>
    <xf numFmtId="41" fontId="1" fillId="8" borderId="56" xfId="0" applyNumberFormat="1" applyFont="1" applyFill="1" applyBorder="1" applyAlignment="1" applyProtection="1">
      <alignment vertical="center"/>
      <protection locked="0"/>
    </xf>
    <xf numFmtId="41" fontId="1" fillId="6" borderId="23" xfId="0" applyNumberFormat="1" applyFont="1" applyFill="1" applyBorder="1" applyAlignment="1" applyProtection="1">
      <alignment vertical="center"/>
    </xf>
    <xf numFmtId="41" fontId="1" fillId="0" borderId="23" xfId="0" applyNumberFormat="1" applyFont="1" applyBorder="1" applyAlignment="1" applyProtection="1">
      <alignment vertical="center"/>
    </xf>
    <xf numFmtId="41" fontId="1" fillId="8" borderId="48" xfId="0" applyNumberFormat="1" applyFont="1" applyFill="1" applyBorder="1" applyAlignment="1" applyProtection="1">
      <alignment vertical="center"/>
      <protection locked="0"/>
    </xf>
    <xf numFmtId="41" fontId="1" fillId="8" borderId="47" xfId="0" applyNumberFormat="1" applyFont="1" applyFill="1" applyBorder="1" applyAlignment="1" applyProtection="1">
      <alignment vertical="center"/>
      <protection locked="0"/>
    </xf>
    <xf numFmtId="41" fontId="1" fillId="8" borderId="183" xfId="0" applyNumberFormat="1" applyFont="1" applyFill="1" applyBorder="1" applyAlignment="1" applyProtection="1">
      <alignment vertical="center"/>
      <protection locked="0"/>
    </xf>
    <xf numFmtId="41" fontId="4" fillId="12" borderId="2" xfId="0" applyNumberFormat="1" applyFont="1" applyFill="1" applyBorder="1" applyAlignment="1" applyProtection="1">
      <alignment horizontal="center" vertical="center"/>
    </xf>
    <xf numFmtId="41" fontId="26" fillId="12" borderId="2" xfId="0" applyNumberFormat="1" applyFont="1" applyFill="1" applyBorder="1" applyAlignment="1" applyProtection="1">
      <alignment horizontal="center" vertical="center"/>
    </xf>
    <xf numFmtId="41" fontId="26" fillId="12" borderId="13" xfId="0" applyNumberFormat="1" applyFont="1" applyFill="1" applyBorder="1" applyAlignment="1" applyProtection="1">
      <alignment horizontal="center" vertical="center"/>
    </xf>
    <xf numFmtId="41" fontId="26" fillId="12" borderId="14" xfId="0" applyNumberFormat="1" applyFont="1" applyFill="1" applyBorder="1" applyAlignment="1" applyProtection="1">
      <alignment horizontal="center" vertical="center"/>
    </xf>
    <xf numFmtId="0" fontId="13" fillId="10" borderId="0" xfId="0" applyFont="1" applyFill="1" applyAlignment="1" applyProtection="1">
      <alignment horizontal="right" vertical="center"/>
    </xf>
    <xf numFmtId="182" fontId="1" fillId="0" borderId="16" xfId="0" applyNumberFormat="1" applyFont="1" applyBorder="1" applyAlignment="1" applyProtection="1">
      <alignment vertical="center"/>
    </xf>
    <xf numFmtId="41" fontId="1" fillId="6" borderId="43" xfId="0" applyNumberFormat="1" applyFont="1" applyFill="1" applyBorder="1" applyAlignment="1" applyProtection="1">
      <alignment vertical="center"/>
    </xf>
    <xf numFmtId="41" fontId="1" fillId="0" borderId="43" xfId="0" applyNumberFormat="1" applyFont="1" applyBorder="1" applyAlignment="1" applyProtection="1">
      <alignment vertical="center"/>
    </xf>
    <xf numFmtId="182" fontId="1" fillId="0" borderId="184" xfId="0" applyNumberFormat="1" applyFont="1" applyBorder="1" applyAlignment="1" applyProtection="1">
      <alignment vertical="center"/>
    </xf>
    <xf numFmtId="41" fontId="1" fillId="0" borderId="185" xfId="0" applyNumberFormat="1" applyFont="1" applyBorder="1" applyAlignment="1" applyProtection="1">
      <alignment vertical="center"/>
    </xf>
    <xf numFmtId="182" fontId="1" fillId="0" borderId="185" xfId="0" applyNumberFormat="1" applyFont="1" applyBorder="1" applyAlignment="1" applyProtection="1">
      <alignment vertical="center"/>
    </xf>
    <xf numFmtId="41" fontId="1" fillId="0" borderId="183" xfId="0" applyNumberFormat="1" applyFont="1" applyBorder="1" applyAlignment="1" applyProtection="1">
      <alignment vertical="center"/>
    </xf>
    <xf numFmtId="41" fontId="4" fillId="12" borderId="1" xfId="0" applyNumberFormat="1" applyFont="1" applyFill="1" applyBorder="1" applyAlignment="1" applyProtection="1">
      <alignment horizontal="center" vertical="center"/>
    </xf>
    <xf numFmtId="41" fontId="26" fillId="12" borderId="1" xfId="0" applyNumberFormat="1" applyFont="1" applyFill="1" applyBorder="1" applyAlignment="1" applyProtection="1">
      <alignment horizontal="center" vertical="center"/>
    </xf>
    <xf numFmtId="182" fontId="26" fillId="12" borderId="13" xfId="0" applyNumberFormat="1" applyFont="1" applyFill="1" applyBorder="1" applyAlignment="1" applyProtection="1">
      <alignment horizontal="center" vertical="center"/>
    </xf>
    <xf numFmtId="41" fontId="4" fillId="6" borderId="15" xfId="0" applyNumberFormat="1" applyFont="1" applyFill="1" applyBorder="1" applyAlignment="1" applyProtection="1">
      <alignment horizontal="center" vertical="center"/>
    </xf>
    <xf numFmtId="41" fontId="1" fillId="0" borderId="19" xfId="0" applyNumberFormat="1" applyFont="1" applyBorder="1" applyAlignment="1" applyProtection="1">
      <alignment vertical="center"/>
    </xf>
    <xf numFmtId="41" fontId="1" fillId="0" borderId="45" xfId="0" applyNumberFormat="1" applyFont="1" applyBorder="1" applyAlignment="1" applyProtection="1">
      <alignment vertical="center"/>
    </xf>
    <xf numFmtId="41" fontId="1" fillId="0" borderId="22" xfId="0" applyNumberFormat="1" applyFont="1" applyBorder="1" applyAlignment="1" applyProtection="1">
      <alignment vertical="center"/>
    </xf>
    <xf numFmtId="41" fontId="1" fillId="8" borderId="22" xfId="0" applyNumberFormat="1" applyFont="1" applyFill="1" applyBorder="1" applyAlignment="1" applyProtection="1">
      <alignment vertical="center"/>
      <protection locked="0"/>
    </xf>
    <xf numFmtId="41" fontId="1" fillId="8" borderId="26" xfId="0" applyNumberFormat="1" applyFont="1" applyFill="1" applyBorder="1" applyAlignment="1" applyProtection="1">
      <alignment vertical="center"/>
      <protection locked="0"/>
    </xf>
    <xf numFmtId="41" fontId="26" fillId="12" borderId="15" xfId="0" applyNumberFormat="1" applyFont="1" applyFill="1" applyBorder="1" applyAlignment="1" applyProtection="1">
      <alignment horizontal="center" vertical="center"/>
    </xf>
    <xf numFmtId="182" fontId="26" fillId="12" borderId="2" xfId="0" applyNumberFormat="1" applyFont="1" applyFill="1" applyBorder="1" applyAlignment="1" applyProtection="1">
      <alignment horizontal="center" vertical="center"/>
    </xf>
    <xf numFmtId="41" fontId="1" fillId="0" borderId="49" xfId="0" applyNumberFormat="1" applyFont="1" applyBorder="1" applyAlignment="1" applyProtection="1">
      <alignment vertical="center"/>
    </xf>
    <xf numFmtId="41" fontId="1" fillId="0" borderId="184" xfId="0" applyNumberFormat="1" applyFont="1" applyBorder="1" applyAlignment="1" applyProtection="1">
      <alignment vertical="center"/>
    </xf>
    <xf numFmtId="182" fontId="26" fillId="12" borderId="1" xfId="0" applyNumberFormat="1" applyFont="1" applyFill="1" applyBorder="1" applyAlignment="1" applyProtection="1">
      <alignment horizontal="center" vertical="center"/>
    </xf>
    <xf numFmtId="183" fontId="26" fillId="6" borderId="186" xfId="0" applyNumberFormat="1" applyFont="1" applyFill="1" applyBorder="1" applyAlignment="1" applyProtection="1">
      <alignment horizontal="center" vertical="center"/>
    </xf>
    <xf numFmtId="43" fontId="1" fillId="3" borderId="96" xfId="2" applyFont="1" applyFill="1" applyBorder="1" applyAlignment="1" applyProtection="1">
      <protection locked="0"/>
    </xf>
    <xf numFmtId="43" fontId="1" fillId="0" borderId="96" xfId="2" applyFont="1" applyFill="1" applyBorder="1" applyAlignment="1" applyProtection="1"/>
    <xf numFmtId="43" fontId="1" fillId="3" borderId="97" xfId="2" applyFont="1" applyFill="1" applyBorder="1" applyAlignment="1" applyProtection="1">
      <protection locked="0"/>
    </xf>
    <xf numFmtId="41" fontId="1" fillId="12" borderId="187" xfId="2" applyNumberFormat="1" applyFont="1" applyFill="1" applyBorder="1" applyAlignment="1" applyProtection="1">
      <alignment vertical="center"/>
    </xf>
    <xf numFmtId="182" fontId="1" fillId="15" borderId="45" xfId="0" applyNumberFormat="1" applyFont="1" applyFill="1" applyBorder="1" applyAlignment="1" applyProtection="1">
      <alignment vertical="center"/>
    </xf>
    <xf numFmtId="41" fontId="13" fillId="6" borderId="10" xfId="0" applyNumberFormat="1" applyFont="1" applyFill="1" applyBorder="1" applyAlignment="1" applyProtection="1">
      <alignment vertical="center"/>
    </xf>
    <xf numFmtId="41" fontId="4" fillId="6" borderId="55" xfId="0" applyNumberFormat="1" applyFont="1" applyFill="1" applyBorder="1" applyAlignment="1" applyProtection="1">
      <alignment horizontal="center" vertical="center"/>
    </xf>
    <xf numFmtId="41" fontId="1" fillId="8" borderId="188" xfId="0" applyNumberFormat="1" applyFont="1" applyFill="1" applyBorder="1" applyAlignment="1" applyProtection="1">
      <alignment vertical="center"/>
      <protection locked="0"/>
    </xf>
    <xf numFmtId="0" fontId="0" fillId="0" borderId="0" xfId="0" applyBorder="1" applyAlignment="1">
      <alignment vertical="center"/>
    </xf>
    <xf numFmtId="0" fontId="0" fillId="0" borderId="0" xfId="0" applyAlignment="1">
      <alignment horizontal="center" vertical="center"/>
    </xf>
    <xf numFmtId="0" fontId="53" fillId="0" borderId="0" xfId="0" applyFont="1" applyAlignment="1">
      <alignment vertical="center"/>
    </xf>
    <xf numFmtId="191" fontId="1" fillId="3" borderId="0" xfId="0" applyNumberFormat="1" applyFont="1" applyFill="1" applyAlignment="1" applyProtection="1">
      <alignment horizontal="center" vertical="center"/>
    </xf>
    <xf numFmtId="191" fontId="1" fillId="0" borderId="0" xfId="0" applyNumberFormat="1" applyFont="1" applyFill="1" applyAlignment="1" applyProtection="1">
      <alignment horizontal="center" vertical="center"/>
      <protection locked="0"/>
    </xf>
    <xf numFmtId="0" fontId="27" fillId="3" borderId="1" xfId="0" applyFont="1" applyFill="1" applyBorder="1" applyAlignment="1" applyProtection="1">
      <alignment horizontal="center" vertical="center"/>
      <protection locked="0"/>
    </xf>
    <xf numFmtId="179" fontId="27" fillId="0" borderId="1" xfId="0" applyNumberFormat="1" applyFont="1" applyFill="1" applyBorder="1" applyAlignment="1" applyProtection="1">
      <alignment horizontal="center" vertical="center"/>
      <protection locked="0"/>
    </xf>
    <xf numFmtId="9" fontId="27" fillId="0" borderId="1" xfId="0" applyNumberFormat="1" applyFont="1" applyFill="1" applyBorder="1" applyAlignment="1">
      <alignment horizontal="center" vertical="center"/>
    </xf>
    <xf numFmtId="9" fontId="27" fillId="3" borderId="1" xfId="0" applyNumberFormat="1" applyFont="1" applyFill="1" applyBorder="1" applyAlignment="1" applyProtection="1">
      <alignment horizontal="center" vertical="center"/>
      <protection locked="0"/>
    </xf>
    <xf numFmtId="0" fontId="15" fillId="5" borderId="1" xfId="12" applyNumberFormat="1" applyFont="1" applyFill="1" applyBorder="1" applyAlignment="1" applyProtection="1">
      <alignment horizontal="center" vertical="center"/>
    </xf>
    <xf numFmtId="14" fontId="32" fillId="0" borderId="0" xfId="0" applyNumberFormat="1" applyFont="1" applyAlignment="1">
      <alignment horizontal="center" vertical="center"/>
    </xf>
    <xf numFmtId="0" fontId="32" fillId="0" borderId="0" xfId="0" applyFont="1" applyAlignment="1">
      <alignment horizontal="center" vertical="center"/>
    </xf>
    <xf numFmtId="41" fontId="27" fillId="0" borderId="1" xfId="0" applyNumberFormat="1" applyFont="1" applyFill="1" applyBorder="1" applyAlignment="1" applyProtection="1">
      <alignment horizontal="center" vertical="center"/>
    </xf>
    <xf numFmtId="0" fontId="13" fillId="0" borderId="1" xfId="0" applyFont="1" applyFill="1" applyBorder="1" applyAlignment="1" applyProtection="1">
      <alignment vertical="center" shrinkToFit="1"/>
    </xf>
    <xf numFmtId="179" fontId="27" fillId="0" borderId="1" xfId="4" applyNumberFormat="1" applyFont="1" applyFill="1" applyBorder="1" applyAlignment="1">
      <alignment horizontal="center" vertical="center"/>
    </xf>
    <xf numFmtId="179" fontId="15" fillId="5" borderId="1" xfId="4" applyNumberFormat="1" applyFont="1" applyFill="1" applyBorder="1" applyAlignment="1" applyProtection="1">
      <alignment horizontal="center" vertical="center"/>
    </xf>
    <xf numFmtId="14" fontId="27" fillId="0" borderId="0" xfId="0" applyNumberFormat="1" applyFont="1" applyAlignment="1" applyProtection="1">
      <alignment horizontal="center" vertical="center"/>
      <protection locked="0"/>
    </xf>
    <xf numFmtId="181" fontId="27" fillId="3" borderId="1" xfId="0" applyNumberFormat="1" applyFont="1" applyFill="1" applyBorder="1" applyAlignment="1" applyProtection="1">
      <alignment horizontal="center" vertical="center"/>
      <protection locked="0"/>
    </xf>
    <xf numFmtId="0" fontId="13" fillId="0" borderId="0" xfId="0" applyFont="1" applyFill="1" applyBorder="1" applyAlignment="1" applyProtection="1">
      <alignment vertical="center"/>
      <protection locked="0"/>
    </xf>
    <xf numFmtId="0" fontId="0" fillId="0" borderId="0" xfId="0" applyBorder="1" applyAlignment="1" applyProtection="1">
      <alignment vertical="center"/>
      <protection locked="0"/>
    </xf>
    <xf numFmtId="0" fontId="29" fillId="0" borderId="0" xfId="0" applyFont="1" applyBorder="1"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0" borderId="127" xfId="0" applyBorder="1" applyAlignment="1" applyProtection="1">
      <alignment vertical="center"/>
      <protection locked="0"/>
    </xf>
    <xf numFmtId="0" fontId="0" fillId="0" borderId="0" xfId="0" applyBorder="1" applyAlignment="1" applyProtection="1">
      <alignment horizontal="center" vertical="center"/>
      <protection locked="0"/>
    </xf>
    <xf numFmtId="0" fontId="0" fillId="0" borderId="0" xfId="0" applyAlignment="1" applyProtection="1">
      <alignment horizontal="center" vertical="center"/>
      <protection locked="0"/>
    </xf>
    <xf numFmtId="0" fontId="17" fillId="0" borderId="0" xfId="0" applyFont="1" applyBorder="1" applyAlignment="1" applyProtection="1">
      <alignment horizontal="left" vertical="center"/>
    </xf>
    <xf numFmtId="0" fontId="1" fillId="0" borderId="0" xfId="0" applyFont="1" applyBorder="1" applyAlignment="1" applyProtection="1">
      <alignment horizontal="center" vertical="center"/>
      <protection locked="0"/>
    </xf>
    <xf numFmtId="43" fontId="1" fillId="0" borderId="1" xfId="2" applyNumberFormat="1" applyFont="1" applyFill="1" applyBorder="1" applyAlignment="1" applyProtection="1">
      <alignment vertical="center"/>
    </xf>
    <xf numFmtId="0" fontId="35" fillId="0" borderId="127" xfId="0" applyFont="1" applyBorder="1" applyAlignment="1" applyProtection="1">
      <alignment horizontal="center" vertical="center"/>
      <protection locked="0"/>
    </xf>
    <xf numFmtId="0" fontId="13" fillId="0" borderId="1" xfId="0" applyFont="1" applyBorder="1" applyAlignment="1" applyProtection="1">
      <alignment horizontal="center" vertical="center"/>
    </xf>
    <xf numFmtId="0" fontId="1" fillId="0" borderId="0" xfId="0" applyFont="1" applyBorder="1" applyAlignment="1" applyProtection="1">
      <alignment horizontal="left" vertical="center"/>
      <protection locked="0"/>
    </xf>
    <xf numFmtId="0" fontId="1" fillId="0" borderId="1" xfId="0" applyFont="1" applyBorder="1" applyAlignment="1" applyProtection="1">
      <alignment horizontal="center" vertical="center"/>
    </xf>
    <xf numFmtId="0" fontId="13" fillId="0" borderId="0" xfId="0" applyFont="1" applyAlignment="1" applyProtection="1">
      <alignment horizontal="left" vertical="center"/>
      <protection locked="0"/>
    </xf>
    <xf numFmtId="0" fontId="1" fillId="0" borderId="0" xfId="0" applyFont="1" applyAlignment="1" applyProtection="1">
      <alignment horizontal="left" vertical="center"/>
      <protection locked="0"/>
    </xf>
    <xf numFmtId="0" fontId="21" fillId="0" borderId="1" xfId="0" applyFont="1" applyFill="1" applyBorder="1" applyAlignment="1" applyProtection="1">
      <alignment vertical="center"/>
    </xf>
    <xf numFmtId="43" fontId="15" fillId="0" borderId="1" xfId="2" applyNumberFormat="1" applyFont="1" applyFill="1" applyBorder="1" applyAlignment="1" applyProtection="1">
      <alignment vertical="center"/>
    </xf>
    <xf numFmtId="0" fontId="0" fillId="0" borderId="50" xfId="0" applyBorder="1" applyAlignment="1" applyProtection="1">
      <alignment vertical="center"/>
      <protection locked="0"/>
    </xf>
    <xf numFmtId="0" fontId="29" fillId="0" borderId="0" xfId="0" applyFont="1" applyBorder="1" applyAlignment="1">
      <alignment vertical="center"/>
    </xf>
    <xf numFmtId="0" fontId="29" fillId="0" borderId="0" xfId="0" applyFont="1" applyFill="1" applyBorder="1" applyAlignment="1" applyProtection="1">
      <alignment vertical="center"/>
      <protection locked="0"/>
    </xf>
    <xf numFmtId="9" fontId="0" fillId="0" borderId="0" xfId="0" applyNumberFormat="1" applyFill="1" applyBorder="1" applyAlignment="1" applyProtection="1">
      <alignment horizontal="center" vertical="center"/>
      <protection locked="0"/>
    </xf>
    <xf numFmtId="0" fontId="29" fillId="0" borderId="1" xfId="0" applyFont="1" applyBorder="1" applyAlignment="1">
      <alignment horizontal="center" vertical="center"/>
    </xf>
    <xf numFmtId="0" fontId="27" fillId="0" borderId="1" xfId="0" applyFont="1" applyBorder="1" applyAlignment="1">
      <alignment horizontal="center" vertical="center"/>
    </xf>
    <xf numFmtId="0" fontId="27" fillId="0" borderId="2" xfId="0" applyFont="1" applyBorder="1" applyAlignment="1">
      <alignment horizontal="left" vertical="center"/>
    </xf>
    <xf numFmtId="10" fontId="27" fillId="3" borderId="2" xfId="4" applyNumberFormat="1" applyFont="1" applyFill="1" applyBorder="1" applyAlignment="1" applyProtection="1">
      <alignment horizontal="center" vertical="center"/>
    </xf>
    <xf numFmtId="10" fontId="27" fillId="0" borderId="2" xfId="0" applyNumberFormat="1" applyFont="1" applyFill="1" applyBorder="1" applyAlignment="1">
      <alignment horizontal="center" vertical="center"/>
    </xf>
    <xf numFmtId="10" fontId="27" fillId="0" borderId="2" xfId="4" applyNumberFormat="1" applyFont="1" applyFill="1" applyBorder="1" applyAlignment="1" applyProtection="1">
      <alignment horizontal="center" vertical="center"/>
    </xf>
    <xf numFmtId="0" fontId="35" fillId="0" borderId="0" xfId="0" applyFont="1" applyAlignment="1">
      <alignment vertical="center"/>
    </xf>
    <xf numFmtId="0" fontId="16" fillId="18" borderId="189" xfId="3" applyFont="1" applyFill="1" applyBorder="1" applyAlignment="1" applyProtection="1">
      <alignment horizontal="right" vertical="center" wrapText="1"/>
    </xf>
    <xf numFmtId="0" fontId="21" fillId="18" borderId="190" xfId="8" applyFont="1" applyFill="1" applyBorder="1" applyAlignment="1" applyProtection="1">
      <alignment horizontal="left"/>
    </xf>
    <xf numFmtId="0" fontId="55" fillId="18" borderId="191" xfId="8" applyFont="1" applyFill="1" applyBorder="1" applyAlignment="1" applyProtection="1">
      <alignment horizontal="left"/>
      <protection locked="0"/>
    </xf>
    <xf numFmtId="0" fontId="56" fillId="18" borderId="191" xfId="8" applyFont="1" applyFill="1" applyBorder="1" applyAlignment="1" applyProtection="1">
      <alignment horizontal="center"/>
      <protection locked="0"/>
    </xf>
    <xf numFmtId="0" fontId="57" fillId="18" borderId="192" xfId="16" applyFont="1" applyFill="1" applyBorder="1" applyProtection="1">
      <protection locked="0"/>
    </xf>
    <xf numFmtId="0" fontId="58" fillId="19" borderId="193" xfId="16" applyFont="1" applyFill="1" applyBorder="1" applyAlignment="1" applyProtection="1">
      <alignment horizontal="left"/>
    </xf>
    <xf numFmtId="0" fontId="58" fillId="19" borderId="194" xfId="16" applyFont="1" applyFill="1" applyBorder="1" applyAlignment="1" applyProtection="1">
      <alignment horizontal="left"/>
    </xf>
    <xf numFmtId="0" fontId="58" fillId="19" borderId="195" xfId="16" applyFont="1" applyFill="1" applyBorder="1" applyAlignment="1" applyProtection="1">
      <alignment horizontal="left"/>
    </xf>
    <xf numFmtId="0" fontId="59" fillId="20" borderId="196" xfId="8" applyFont="1" applyFill="1" applyBorder="1" applyAlignment="1" applyProtection="1">
      <alignment horizontal="center"/>
    </xf>
    <xf numFmtId="0" fontId="21" fillId="20" borderId="197" xfId="8" applyFont="1" applyFill="1" applyBorder="1" applyProtection="1"/>
    <xf numFmtId="10" fontId="60" fillId="3" borderId="197" xfId="5" applyNumberFormat="1" applyFont="1" applyFill="1" applyBorder="1" applyAlignment="1" applyProtection="1">
      <protection locked="0"/>
    </xf>
    <xf numFmtId="0" fontId="21" fillId="20" borderId="198" xfId="8" applyFont="1" applyFill="1" applyBorder="1" applyAlignment="1" applyProtection="1">
      <alignment horizontal="center" vertical="center" wrapText="1"/>
    </xf>
    <xf numFmtId="0" fontId="15" fillId="20" borderId="197" xfId="8" applyFont="1" applyFill="1" applyBorder="1" applyProtection="1">
      <protection locked="0"/>
    </xf>
    <xf numFmtId="10" fontId="60" fillId="10" borderId="197" xfId="5" applyNumberFormat="1" applyFont="1" applyFill="1" applyBorder="1" applyAlignment="1" applyProtection="1"/>
    <xf numFmtId="0" fontId="15" fillId="20" borderId="198" xfId="8" applyFont="1" applyFill="1" applyBorder="1" applyAlignment="1" applyProtection="1">
      <alignment horizontal="center" vertical="center" wrapText="1"/>
      <protection locked="0"/>
    </xf>
    <xf numFmtId="0" fontId="59" fillId="0" borderId="196" xfId="8" applyFont="1" applyBorder="1" applyAlignment="1" applyProtection="1">
      <alignment horizontal="center"/>
      <protection locked="0"/>
    </xf>
    <xf numFmtId="0" fontId="15" fillId="0" borderId="197" xfId="8" applyFont="1" applyBorder="1" applyProtection="1"/>
    <xf numFmtId="0" fontId="21" fillId="0" borderId="197" xfId="8" applyFont="1" applyBorder="1" applyProtection="1"/>
    <xf numFmtId="10" fontId="60" fillId="0" borderId="197" xfId="5" applyNumberFormat="1" applyFont="1" applyFill="1" applyBorder="1" applyAlignment="1" applyProtection="1"/>
    <xf numFmtId="0" fontId="21" fillId="0" borderId="198" xfId="8" applyFont="1" applyBorder="1" applyAlignment="1" applyProtection="1">
      <alignment horizontal="center" vertical="center" wrapText="1"/>
    </xf>
    <xf numFmtId="41" fontId="1" fillId="0" borderId="0" xfId="0" applyNumberFormat="1" applyFont="1" applyProtection="1"/>
    <xf numFmtId="0" fontId="21" fillId="0" borderId="197" xfId="8" applyFont="1" applyBorder="1" applyAlignment="1" applyProtection="1">
      <alignment horizontal="left" indent="1"/>
    </xf>
    <xf numFmtId="0" fontId="21" fillId="0" borderId="197" xfId="8" applyFont="1" applyBorder="1" applyProtection="1">
      <protection locked="0"/>
    </xf>
    <xf numFmtId="10" fontId="15" fillId="0" borderId="197" xfId="4" applyNumberFormat="1" applyFont="1" applyFill="1" applyBorder="1" applyAlignment="1" applyProtection="1"/>
    <xf numFmtId="0" fontId="21" fillId="0" borderId="198" xfId="8" applyFont="1" applyBorder="1" applyAlignment="1" applyProtection="1">
      <alignment horizontal="center" vertical="center" wrapText="1"/>
      <protection locked="0"/>
    </xf>
    <xf numFmtId="0" fontId="56" fillId="0" borderId="197" xfId="1" applyFont="1" applyFill="1" applyBorder="1" applyAlignment="1" applyProtection="1">
      <alignment vertical="center"/>
    </xf>
    <xf numFmtId="10" fontId="61" fillId="3" borderId="197" xfId="5" applyNumberFormat="1" applyFont="1" applyFill="1" applyBorder="1" applyAlignment="1" applyProtection="1">
      <protection locked="0"/>
    </xf>
    <xf numFmtId="0" fontId="15" fillId="0" borderId="197" xfId="8" applyFont="1" applyBorder="1" applyAlignment="1" applyProtection="1"/>
    <xf numFmtId="0" fontId="59" fillId="20" borderId="196" xfId="8" applyFont="1" applyFill="1" applyBorder="1" applyAlignment="1" applyProtection="1">
      <alignment horizontal="center"/>
      <protection locked="0"/>
    </xf>
    <xf numFmtId="0" fontId="15" fillId="20" borderId="198" xfId="8" applyFont="1" applyFill="1" applyBorder="1" applyAlignment="1" applyProtection="1">
      <alignment horizontal="center" vertical="center" wrapText="1"/>
    </xf>
    <xf numFmtId="0" fontId="62" fillId="20" borderId="197" xfId="8" applyFont="1" applyFill="1" applyBorder="1" applyProtection="1"/>
    <xf numFmtId="10" fontId="63" fillId="0" borderId="197" xfId="5" applyNumberFormat="1" applyFont="1" applyFill="1" applyBorder="1" applyAlignment="1" applyProtection="1"/>
    <xf numFmtId="0" fontId="64" fillId="20" borderId="198" xfId="8" applyFont="1" applyFill="1" applyBorder="1" applyAlignment="1" applyProtection="1">
      <alignment horizontal="center" vertical="center" wrapText="1"/>
    </xf>
    <xf numFmtId="0" fontId="64" fillId="0" borderId="197" xfId="1" applyFont="1" applyFill="1" applyBorder="1" applyAlignment="1" applyProtection="1">
      <alignment vertical="center"/>
    </xf>
    <xf numFmtId="0" fontId="62" fillId="0" borderId="197" xfId="8" applyFont="1" applyBorder="1" applyProtection="1"/>
    <xf numFmtId="10" fontId="63" fillId="3" borderId="197" xfId="5" applyNumberFormat="1" applyFont="1" applyFill="1" applyBorder="1" applyAlignment="1" applyProtection="1">
      <protection locked="0"/>
    </xf>
    <xf numFmtId="0" fontId="62" fillId="0" borderId="198" xfId="8" applyFont="1" applyBorder="1" applyAlignment="1" applyProtection="1">
      <alignment horizontal="center" vertical="center" wrapText="1"/>
    </xf>
    <xf numFmtId="0" fontId="59" fillId="20" borderId="202" xfId="8" applyFont="1" applyFill="1" applyBorder="1" applyAlignment="1" applyProtection="1">
      <alignment horizontal="center"/>
    </xf>
    <xf numFmtId="0" fontId="55" fillId="20" borderId="202" xfId="1" applyFont="1" applyFill="1" applyBorder="1" applyAlignment="1" applyProtection="1">
      <alignment vertical="center"/>
    </xf>
    <xf numFmtId="0" fontId="21" fillId="20" borderId="202" xfId="8" applyFont="1" applyFill="1" applyBorder="1" applyProtection="1"/>
    <xf numFmtId="10" fontId="60" fillId="3" borderId="202" xfId="5" applyNumberFormat="1" applyFont="1" applyFill="1" applyBorder="1" applyAlignment="1" applyProtection="1">
      <protection locked="0"/>
    </xf>
    <xf numFmtId="0" fontId="21" fillId="20" borderId="203" xfId="8" applyFont="1" applyFill="1" applyBorder="1" applyAlignment="1" applyProtection="1">
      <alignment horizontal="center" vertical="center" wrapText="1"/>
    </xf>
    <xf numFmtId="0" fontId="1" fillId="0" borderId="0" xfId="0" applyFont="1" applyProtection="1">
      <protection locked="0"/>
    </xf>
    <xf numFmtId="0" fontId="101" fillId="0" borderId="0" xfId="6"/>
    <xf numFmtId="0" fontId="101" fillId="0" borderId="0" xfId="6" applyAlignment="1">
      <alignment horizontal="center"/>
    </xf>
    <xf numFmtId="0" fontId="101" fillId="0" borderId="12" xfId="6" applyBorder="1"/>
    <xf numFmtId="2" fontId="101" fillId="0" borderId="12" xfId="6" applyNumberFormat="1" applyBorder="1" applyAlignment="1">
      <alignment horizontal="center"/>
    </xf>
    <xf numFmtId="0" fontId="101" fillId="0" borderId="12" xfId="6" applyBorder="1" applyAlignment="1">
      <alignment horizontal="center"/>
    </xf>
    <xf numFmtId="37" fontId="101" fillId="0" borderId="0" xfId="6" applyNumberFormat="1" applyAlignment="1">
      <alignment horizontal="center"/>
    </xf>
    <xf numFmtId="43" fontId="101" fillId="0" borderId="0" xfId="6" applyNumberFormat="1" applyAlignment="1">
      <alignment horizontal="center"/>
    </xf>
    <xf numFmtId="0" fontId="6" fillId="0" borderId="0" xfId="6" applyFont="1" applyAlignment="1">
      <alignment horizontal="right"/>
    </xf>
    <xf numFmtId="37" fontId="6" fillId="0" borderId="0" xfId="6" applyNumberFormat="1" applyFont="1" applyAlignment="1">
      <alignment horizontal="center"/>
    </xf>
    <xf numFmtId="0" fontId="101" fillId="3" borderId="12" xfId="6" applyFill="1" applyBorder="1" applyAlignment="1">
      <alignment horizontal="center"/>
    </xf>
    <xf numFmtId="0" fontId="101" fillId="22" borderId="12" xfId="6" applyFill="1" applyBorder="1"/>
    <xf numFmtId="57" fontId="101" fillId="22" borderId="12" xfId="6" applyNumberFormat="1" applyFill="1" applyBorder="1" applyAlignment="1">
      <alignment horizontal="center"/>
    </xf>
    <xf numFmtId="9" fontId="101" fillId="0" borderId="12" xfId="6" applyNumberFormat="1" applyBorder="1" applyAlignment="1">
      <alignment horizontal="center" vertical="center"/>
    </xf>
    <xf numFmtId="194" fontId="101" fillId="0" borderId="12" xfId="6" applyNumberFormat="1" applyBorder="1" applyAlignment="1">
      <alignment horizontal="center"/>
    </xf>
    <xf numFmtId="0" fontId="101" fillId="23" borderId="12" xfId="6" applyFill="1" applyBorder="1"/>
    <xf numFmtId="0" fontId="101" fillId="23" borderId="12" xfId="6" applyFill="1" applyBorder="1" applyAlignment="1">
      <alignment horizontal="center"/>
    </xf>
    <xf numFmtId="37" fontId="101" fillId="23" borderId="12" xfId="6" applyNumberFormat="1" applyFill="1" applyBorder="1" applyAlignment="1">
      <alignment horizontal="center"/>
    </xf>
    <xf numFmtId="0" fontId="101" fillId="3" borderId="0" xfId="6" applyFill="1" applyAlignment="1">
      <alignment horizontal="right"/>
    </xf>
    <xf numFmtId="1" fontId="101" fillId="0" borderId="12" xfId="6" applyNumberFormat="1" applyBorder="1" applyAlignment="1">
      <alignment horizontal="center"/>
    </xf>
    <xf numFmtId="185" fontId="101" fillId="0" borderId="0" xfId="6" applyNumberFormat="1" applyAlignment="1">
      <alignment horizontal="center"/>
    </xf>
    <xf numFmtId="195" fontId="101" fillId="0" borderId="0" xfId="6" applyNumberFormat="1" applyAlignment="1">
      <alignment horizontal="center"/>
    </xf>
    <xf numFmtId="0" fontId="101" fillId="0" borderId="8" xfId="6" applyBorder="1" applyAlignment="1">
      <alignment horizontal="center" vertical="center"/>
    </xf>
    <xf numFmtId="0" fontId="101" fillId="0" borderId="1" xfId="6" applyBorder="1" applyAlignment="1">
      <alignment horizontal="center" vertical="center"/>
    </xf>
    <xf numFmtId="0" fontId="101" fillId="0" borderId="1" xfId="6" applyBorder="1" applyAlignment="1">
      <alignment vertical="center"/>
    </xf>
    <xf numFmtId="2" fontId="101" fillId="0" borderId="1" xfId="6" applyNumberFormat="1" applyBorder="1" applyAlignment="1">
      <alignment horizontal="center" vertical="center"/>
    </xf>
    <xf numFmtId="2" fontId="101" fillId="3" borderId="1" xfId="6" applyNumberFormat="1" applyFill="1" applyBorder="1" applyAlignment="1">
      <alignment horizontal="center" vertical="center"/>
    </xf>
    <xf numFmtId="188" fontId="101" fillId="0" borderId="1" xfId="6" applyNumberFormat="1" applyBorder="1" applyAlignment="1">
      <alignment horizontal="center" vertical="center"/>
    </xf>
    <xf numFmtId="0" fontId="65" fillId="24" borderId="12" xfId="6" applyFont="1" applyFill="1" applyBorder="1" applyAlignment="1">
      <alignment horizontal="center"/>
    </xf>
    <xf numFmtId="1" fontId="65" fillId="24" borderId="12" xfId="6" applyNumberFormat="1" applyFont="1" applyFill="1" applyBorder="1" applyAlignment="1">
      <alignment horizontal="center"/>
    </xf>
    <xf numFmtId="0" fontId="101" fillId="23" borderId="12" xfId="6" applyFill="1" applyBorder="1" applyAlignment="1">
      <alignment horizontal="center" vertical="center"/>
    </xf>
    <xf numFmtId="2" fontId="101" fillId="0" borderId="0" xfId="6" applyNumberFormat="1"/>
    <xf numFmtId="188" fontId="101" fillId="0" borderId="0" xfId="6" applyNumberFormat="1"/>
    <xf numFmtId="37" fontId="101" fillId="0" borderId="0" xfId="6" applyNumberFormat="1"/>
    <xf numFmtId="1" fontId="101" fillId="0" borderId="0" xfId="6" applyNumberFormat="1"/>
    <xf numFmtId="2" fontId="6" fillId="0" borderId="0" xfId="6" applyNumberFormat="1" applyFont="1"/>
    <xf numFmtId="43" fontId="101" fillId="3" borderId="0" xfId="6" applyNumberFormat="1" applyFill="1"/>
    <xf numFmtId="43" fontId="101" fillId="0" borderId="0" xfId="6" applyNumberFormat="1"/>
    <xf numFmtId="182" fontId="101" fillId="3" borderId="0" xfId="6" applyNumberFormat="1" applyFill="1" applyAlignment="1">
      <alignment horizontal="center"/>
    </xf>
    <xf numFmtId="10" fontId="0" fillId="0" borderId="1" xfId="7" applyNumberFormat="1" applyFont="1" applyBorder="1" applyAlignment="1">
      <alignment horizontal="center" vertical="center"/>
    </xf>
    <xf numFmtId="0" fontId="29" fillId="25" borderId="0" xfId="19" applyFont="1" applyFill="1" applyAlignment="1" applyProtection="1">
      <alignment vertical="center"/>
    </xf>
    <xf numFmtId="0" fontId="29" fillId="25" borderId="0" xfId="19" applyFont="1" applyFill="1" applyBorder="1" applyAlignment="1" applyProtection="1">
      <alignment vertical="center"/>
    </xf>
    <xf numFmtId="0" fontId="29" fillId="25" borderId="44" xfId="19" applyFont="1" applyFill="1" applyBorder="1" applyAlignment="1" applyProtection="1">
      <alignment vertical="center" wrapText="1"/>
    </xf>
    <xf numFmtId="0" fontId="29" fillId="25" borderId="21" xfId="19" applyFont="1" applyFill="1" applyBorder="1" applyAlignment="1" applyProtection="1">
      <alignment vertical="center"/>
    </xf>
    <xf numFmtId="0" fontId="29" fillId="25" borderId="21" xfId="19" applyFont="1" applyFill="1" applyBorder="1" applyAlignment="1" applyProtection="1">
      <alignment horizontal="center" vertical="center"/>
    </xf>
    <xf numFmtId="0" fontId="29" fillId="25" borderId="47" xfId="19" applyFont="1" applyFill="1" applyBorder="1" applyAlignment="1" applyProtection="1">
      <alignment vertical="center"/>
    </xf>
    <xf numFmtId="0" fontId="66" fillId="25" borderId="21" xfId="19" applyFont="1" applyFill="1" applyBorder="1" applyAlignment="1" applyProtection="1">
      <alignment vertical="center"/>
    </xf>
    <xf numFmtId="0" fontId="27" fillId="0" borderId="21" xfId="19" applyFont="1" applyFill="1" applyBorder="1" applyAlignment="1" applyProtection="1">
      <alignment vertical="center"/>
    </xf>
    <xf numFmtId="0" fontId="29" fillId="0" borderId="21" xfId="19" applyFont="1" applyFill="1" applyBorder="1" applyAlignment="1" applyProtection="1">
      <alignment vertical="center"/>
    </xf>
    <xf numFmtId="0" fontId="29" fillId="0" borderId="47" xfId="19" applyFont="1" applyFill="1" applyBorder="1" applyAlignment="1" applyProtection="1">
      <alignment vertical="center"/>
    </xf>
    <xf numFmtId="0" fontId="29" fillId="0" borderId="0" xfId="19" applyFont="1" applyFill="1" applyBorder="1" applyAlignment="1" applyProtection="1">
      <alignment vertical="center"/>
    </xf>
    <xf numFmtId="0" fontId="27" fillId="0" borderId="0" xfId="19" applyFont="1" applyFill="1" applyAlignment="1" applyProtection="1">
      <alignment vertical="center"/>
    </xf>
    <xf numFmtId="0" fontId="27" fillId="0" borderId="0" xfId="19" applyFont="1" applyFill="1" applyAlignment="1" applyProtection="1">
      <alignment horizontal="left" vertical="center"/>
    </xf>
    <xf numFmtId="0" fontId="27" fillId="0" borderId="0" xfId="19" applyFont="1" applyAlignment="1" applyProtection="1">
      <alignment vertical="center"/>
    </xf>
    <xf numFmtId="0" fontId="27" fillId="25" borderId="0" xfId="19" applyFont="1" applyFill="1" applyAlignment="1" applyProtection="1">
      <alignment vertical="center"/>
    </xf>
    <xf numFmtId="0" fontId="27" fillId="25" borderId="0" xfId="19" applyFont="1" applyFill="1" applyBorder="1" applyAlignment="1" applyProtection="1">
      <alignment vertical="center"/>
    </xf>
    <xf numFmtId="0" fontId="67" fillId="25" borderId="0" xfId="19" applyFont="1" applyFill="1" applyBorder="1" applyAlignment="1" applyProtection="1">
      <alignment vertical="center"/>
    </xf>
    <xf numFmtId="0" fontId="68" fillId="0" borderId="0" xfId="19" applyFont="1" applyBorder="1" applyAlignment="1" applyProtection="1">
      <alignment vertical="center"/>
    </xf>
    <xf numFmtId="0" fontId="29" fillId="25" borderId="0" xfId="19" applyFont="1" applyFill="1" applyBorder="1" applyAlignment="1" applyProtection="1">
      <alignment horizontal="center" vertical="center"/>
    </xf>
    <xf numFmtId="41" fontId="29" fillId="0" borderId="1" xfId="19" applyNumberFormat="1" applyFont="1" applyFill="1" applyBorder="1" applyAlignment="1" applyProtection="1">
      <alignment horizontal="left" vertical="center"/>
    </xf>
    <xf numFmtId="0" fontId="29" fillId="25" borderId="1" xfId="19" applyFont="1" applyFill="1" applyBorder="1" applyAlignment="1" applyProtection="1">
      <alignment horizontal="left" vertical="center" wrapText="1"/>
    </xf>
    <xf numFmtId="0" fontId="27" fillId="25" borderId="1" xfId="19" applyFont="1" applyFill="1" applyBorder="1" applyAlignment="1" applyProtection="1">
      <alignment horizontal="left" vertical="center"/>
    </xf>
    <xf numFmtId="41" fontId="29" fillId="25" borderId="1" xfId="19" applyNumberFormat="1" applyFont="1" applyFill="1" applyBorder="1" applyAlignment="1" applyProtection="1">
      <alignment vertical="center"/>
    </xf>
    <xf numFmtId="0" fontId="69" fillId="25" borderId="1" xfId="19" applyFont="1" applyFill="1" applyBorder="1" applyAlignment="1" applyProtection="1">
      <alignment horizontal="left" vertical="center"/>
    </xf>
    <xf numFmtId="0" fontId="27" fillId="25" borderId="1" xfId="19" applyFont="1" applyFill="1" applyBorder="1" applyAlignment="1" applyProtection="1">
      <alignment horizontal="center" vertical="center"/>
    </xf>
    <xf numFmtId="41" fontId="29" fillId="25" borderId="1" xfId="19" applyNumberFormat="1" applyFont="1" applyFill="1" applyBorder="1" applyAlignment="1" applyProtection="1">
      <alignment horizontal="center" vertical="center"/>
    </xf>
    <xf numFmtId="0" fontId="29" fillId="25" borderId="1" xfId="19" applyFont="1" applyFill="1" applyBorder="1" applyAlignment="1" applyProtection="1">
      <alignment horizontal="left" vertical="center"/>
    </xf>
    <xf numFmtId="182" fontId="29" fillId="25" borderId="1" xfId="23" applyNumberFormat="1" applyFont="1" applyFill="1" applyBorder="1" applyAlignment="1" applyProtection="1">
      <alignment vertical="center"/>
    </xf>
    <xf numFmtId="41" fontId="29" fillId="12" borderId="1" xfId="19" applyNumberFormat="1" applyFont="1" applyFill="1" applyBorder="1" applyAlignment="1" applyProtection="1">
      <alignment vertical="center"/>
    </xf>
    <xf numFmtId="41" fontId="29" fillId="0" borderId="1" xfId="19" applyNumberFormat="1" applyFont="1" applyFill="1" applyBorder="1" applyAlignment="1" applyProtection="1">
      <alignment vertical="center"/>
    </xf>
    <xf numFmtId="0" fontId="29" fillId="12" borderId="1" xfId="19" applyFont="1" applyFill="1" applyBorder="1" applyAlignment="1" applyProtection="1">
      <alignment vertical="center"/>
    </xf>
    <xf numFmtId="41" fontId="27" fillId="12" borderId="1" xfId="19" applyNumberFormat="1" applyFont="1" applyFill="1" applyBorder="1" applyAlignment="1" applyProtection="1">
      <alignment vertical="center"/>
    </xf>
    <xf numFmtId="41" fontId="29" fillId="12" borderId="1" xfId="19" applyNumberFormat="1" applyFont="1" applyFill="1" applyBorder="1" applyAlignment="1" applyProtection="1">
      <alignment horizontal="center" vertical="center"/>
    </xf>
    <xf numFmtId="41" fontId="27" fillId="12" borderId="1" xfId="19" applyNumberFormat="1" applyFont="1" applyFill="1" applyBorder="1" applyAlignment="1" applyProtection="1">
      <alignment horizontal="center" vertical="center"/>
    </xf>
    <xf numFmtId="182" fontId="27" fillId="12" borderId="1" xfId="19" applyNumberFormat="1" applyFont="1" applyFill="1" applyBorder="1" applyAlignment="1" applyProtection="1">
      <alignment horizontal="center" vertical="center"/>
    </xf>
    <xf numFmtId="0" fontId="29" fillId="25" borderId="1" xfId="19" applyFont="1" applyFill="1" applyBorder="1" applyAlignment="1" applyProtection="1">
      <alignment horizontal="center" vertical="center" wrapText="1"/>
    </xf>
    <xf numFmtId="0" fontId="29" fillId="4" borderId="1" xfId="19" applyFont="1" applyFill="1" applyBorder="1" applyAlignment="1" applyProtection="1">
      <alignment horizontal="left" vertical="center" wrapText="1"/>
    </xf>
    <xf numFmtId="0" fontId="29" fillId="0" borderId="1" xfId="19" applyFont="1" applyFill="1" applyBorder="1" applyAlignment="1" applyProtection="1">
      <alignment horizontal="left" vertical="center" wrapText="1"/>
    </xf>
    <xf numFmtId="41" fontId="27" fillId="0" borderId="1" xfId="19" applyNumberFormat="1" applyFont="1" applyFill="1" applyBorder="1" applyAlignment="1" applyProtection="1">
      <alignment horizontal="center" vertical="center"/>
    </xf>
    <xf numFmtId="41" fontId="27" fillId="0" borderId="1" xfId="19" applyNumberFormat="1" applyFont="1" applyFill="1" applyBorder="1" applyAlignment="1" applyProtection="1">
      <alignment vertical="center"/>
    </xf>
    <xf numFmtId="0" fontId="29" fillId="7" borderId="1" xfId="19" applyFont="1" applyFill="1" applyBorder="1" applyAlignment="1" applyProtection="1">
      <alignment horizontal="left" vertical="center" wrapText="1"/>
    </xf>
    <xf numFmtId="41" fontId="70" fillId="7" borderId="1" xfId="19" applyNumberFormat="1" applyFont="1" applyFill="1" applyBorder="1" applyAlignment="1" applyProtection="1">
      <alignment vertical="center"/>
    </xf>
    <xf numFmtId="179" fontId="70" fillId="7" borderId="1" xfId="14" applyNumberFormat="1" applyFont="1" applyFill="1" applyBorder="1" applyAlignment="1" applyProtection="1">
      <alignment vertical="center"/>
    </xf>
    <xf numFmtId="198" fontId="27" fillId="25" borderId="1" xfId="23" applyNumberFormat="1" applyFont="1" applyFill="1" applyBorder="1" applyAlignment="1" applyProtection="1">
      <alignment horizontal="center" vertical="center"/>
    </xf>
    <xf numFmtId="182" fontId="29" fillId="3" borderId="1" xfId="23" applyNumberFormat="1" applyFont="1" applyFill="1" applyBorder="1" applyAlignment="1" applyProtection="1">
      <alignment vertical="center"/>
    </xf>
    <xf numFmtId="41" fontId="29" fillId="3" borderId="1" xfId="19" applyNumberFormat="1" applyFont="1" applyFill="1" applyBorder="1" applyAlignment="1" applyProtection="1">
      <alignment vertical="center"/>
    </xf>
    <xf numFmtId="198" fontId="29" fillId="0" borderId="1" xfId="19" applyNumberFormat="1" applyFont="1" applyFill="1" applyBorder="1" applyAlignment="1" applyProtection="1">
      <alignment vertical="center"/>
    </xf>
    <xf numFmtId="0" fontId="27" fillId="25" borderId="1" xfId="19" applyFont="1" applyFill="1" applyBorder="1" applyAlignment="1" applyProtection="1">
      <alignment horizontal="left" vertical="center" wrapText="1"/>
    </xf>
    <xf numFmtId="179" fontId="29" fillId="25" borderId="1" xfId="14" applyNumberFormat="1" applyFont="1" applyFill="1" applyBorder="1" applyAlignment="1" applyProtection="1">
      <alignment horizontal="right" vertical="center"/>
    </xf>
    <xf numFmtId="179" fontId="29" fillId="12" borderId="1" xfId="14" applyNumberFormat="1" applyFont="1" applyFill="1" applyBorder="1" applyAlignment="1" applyProtection="1">
      <alignment horizontal="right" vertical="center"/>
    </xf>
    <xf numFmtId="0" fontId="29" fillId="0" borderId="1" xfId="19" applyFont="1" applyFill="1" applyBorder="1" applyAlignment="1" applyProtection="1">
      <alignment horizontal="center" vertical="center" wrapText="1"/>
    </xf>
    <xf numFmtId="0" fontId="29" fillId="27" borderId="1" xfId="19" applyFont="1" applyFill="1" applyBorder="1" applyAlignment="1" applyProtection="1">
      <alignment horizontal="left" vertical="center" wrapText="1"/>
    </xf>
    <xf numFmtId="0" fontId="51" fillId="25" borderId="1" xfId="19" applyFont="1" applyFill="1" applyBorder="1" applyAlignment="1" applyProtection="1">
      <alignment horizontal="center" vertical="center" wrapText="1"/>
    </xf>
    <xf numFmtId="57" fontId="51" fillId="25" borderId="1" xfId="19" applyNumberFormat="1" applyFont="1" applyFill="1" applyBorder="1" applyAlignment="1" applyProtection="1">
      <alignment horizontal="center" vertical="center" wrapText="1"/>
    </xf>
    <xf numFmtId="0" fontId="27" fillId="0" borderId="1" xfId="19" applyFont="1" applyFill="1" applyBorder="1" applyAlignment="1" applyProtection="1">
      <alignment horizontal="left" vertical="center" wrapText="1"/>
    </xf>
    <xf numFmtId="41" fontId="27" fillId="0" borderId="1" xfId="19" applyNumberFormat="1" applyFont="1" applyFill="1" applyBorder="1" applyAlignment="1" applyProtection="1">
      <alignment vertical="center" wrapText="1"/>
    </xf>
    <xf numFmtId="41" fontId="27" fillId="25" borderId="1" xfId="19" applyNumberFormat="1" applyFont="1" applyFill="1" applyBorder="1" applyAlignment="1" applyProtection="1">
      <alignment vertical="center"/>
    </xf>
    <xf numFmtId="0" fontId="70" fillId="25" borderId="1" xfId="19" applyFont="1" applyFill="1" applyBorder="1" applyAlignment="1" applyProtection="1">
      <alignment vertical="center" wrapText="1"/>
    </xf>
    <xf numFmtId="41" fontId="29" fillId="25" borderId="1" xfId="19" applyNumberFormat="1" applyFont="1" applyFill="1" applyBorder="1" applyAlignment="1" applyProtection="1">
      <alignment vertical="center" wrapText="1"/>
    </xf>
    <xf numFmtId="41" fontId="29" fillId="0" borderId="1" xfId="19" applyNumberFormat="1" applyFont="1" applyFill="1" applyBorder="1" applyAlignment="1" applyProtection="1">
      <alignment vertical="center" wrapText="1"/>
    </xf>
    <xf numFmtId="0" fontId="69" fillId="0" borderId="1" xfId="19" applyFont="1" applyFill="1" applyBorder="1" applyAlignment="1" applyProtection="1">
      <alignment horizontal="left" vertical="center" wrapText="1"/>
    </xf>
    <xf numFmtId="0" fontId="70" fillId="25" borderId="1" xfId="19" applyFont="1" applyFill="1" applyBorder="1" applyAlignment="1" applyProtection="1">
      <alignment horizontal="left" vertical="center" wrapText="1"/>
    </xf>
    <xf numFmtId="0" fontId="29" fillId="0" borderId="7" xfId="19" applyFont="1" applyFill="1" applyBorder="1" applyAlignment="1" applyProtection="1">
      <alignment vertical="center"/>
    </xf>
    <xf numFmtId="0" fontId="29" fillId="0" borderId="127" xfId="19" applyFont="1" applyFill="1" applyBorder="1" applyAlignment="1" applyProtection="1">
      <alignment horizontal="center" vertical="center"/>
    </xf>
    <xf numFmtId="41" fontId="29" fillId="0" borderId="0" xfId="19" applyNumberFormat="1" applyFont="1" applyFill="1" applyBorder="1" applyAlignment="1" applyProtection="1">
      <alignment vertical="center"/>
    </xf>
    <xf numFmtId="0" fontId="27" fillId="0" borderId="0" xfId="19" applyFont="1" applyFill="1" applyBorder="1" applyAlignment="1" applyProtection="1">
      <alignment vertical="center"/>
    </xf>
    <xf numFmtId="0" fontId="29" fillId="0" borderId="1" xfId="19" applyFont="1" applyFill="1" applyBorder="1" applyAlignment="1" applyProtection="1">
      <alignment horizontal="center" vertical="center"/>
    </xf>
    <xf numFmtId="0" fontId="29" fillId="0" borderId="1" xfId="19" applyFont="1" applyFill="1" applyBorder="1" applyAlignment="1" applyProtection="1">
      <alignment vertical="center" wrapText="1"/>
    </xf>
    <xf numFmtId="0" fontId="27" fillId="0" borderId="1" xfId="19" applyFont="1" applyFill="1" applyBorder="1" applyAlignment="1" applyProtection="1">
      <alignment horizontal="left" vertical="center"/>
    </xf>
    <xf numFmtId="0" fontId="71" fillId="0" borderId="1" xfId="19" applyFont="1" applyFill="1" applyBorder="1" applyAlignment="1" applyProtection="1">
      <alignment horizontal="left" vertical="center"/>
    </xf>
    <xf numFmtId="0" fontId="71" fillId="0" borderId="1" xfId="19" applyFont="1" applyFill="1" applyBorder="1" applyAlignment="1" applyProtection="1">
      <alignment horizontal="left" vertical="center" wrapText="1"/>
    </xf>
    <xf numFmtId="0" fontId="72" fillId="0" borderId="1" xfId="19" applyFont="1" applyFill="1" applyBorder="1" applyAlignment="1" applyProtection="1">
      <alignment horizontal="left" vertical="center"/>
    </xf>
    <xf numFmtId="0" fontId="71" fillId="0" borderId="1" xfId="19" applyFont="1" applyFill="1" applyBorder="1" applyAlignment="1" applyProtection="1">
      <alignment horizontal="center" vertical="center" wrapText="1"/>
    </xf>
    <xf numFmtId="0" fontId="67" fillId="0" borderId="0" xfId="19" applyFont="1" applyBorder="1" applyAlignment="1" applyProtection="1">
      <alignment vertical="center"/>
    </xf>
    <xf numFmtId="0" fontId="27" fillId="0" borderId="1" xfId="19" applyFont="1" applyFill="1" applyBorder="1" applyAlignment="1" applyProtection="1">
      <alignment vertical="center"/>
    </xf>
    <xf numFmtId="182" fontId="29" fillId="0" borderId="1" xfId="19" applyNumberFormat="1" applyFont="1" applyFill="1" applyBorder="1" applyAlignment="1" applyProtection="1">
      <alignment vertical="center"/>
    </xf>
    <xf numFmtId="9" fontId="29" fillId="0" borderId="1" xfId="14" applyFont="1" applyFill="1" applyBorder="1" applyAlignment="1" applyProtection="1">
      <alignment vertical="center"/>
    </xf>
    <xf numFmtId="9" fontId="29" fillId="25" borderId="1" xfId="14" applyFont="1" applyFill="1" applyBorder="1" applyAlignment="1" applyProtection="1">
      <alignment vertical="center"/>
    </xf>
    <xf numFmtId="0" fontId="29" fillId="0" borderId="0" xfId="19" applyFont="1" applyFill="1" applyBorder="1" applyAlignment="1" applyProtection="1">
      <alignment horizontal="center" vertical="center"/>
    </xf>
    <xf numFmtId="43" fontId="29" fillId="0" borderId="1" xfId="19" applyNumberFormat="1" applyFont="1" applyFill="1" applyBorder="1" applyAlignment="1" applyProtection="1">
      <alignment vertical="center"/>
    </xf>
    <xf numFmtId="41" fontId="27" fillId="25" borderId="1" xfId="19" applyNumberFormat="1" applyFont="1" applyFill="1" applyBorder="1" applyAlignment="1" applyProtection="1">
      <alignment vertical="center" wrapText="1"/>
    </xf>
    <xf numFmtId="0" fontId="71" fillId="0" borderId="1" xfId="19" applyFont="1" applyFill="1" applyBorder="1" applyAlignment="1" applyProtection="1">
      <alignment vertical="center" wrapText="1"/>
    </xf>
    <xf numFmtId="0" fontId="71" fillId="0" borderId="0" xfId="19" applyFont="1" applyFill="1" applyBorder="1" applyAlignment="1" applyProtection="1">
      <alignment horizontal="center" vertical="center" wrapText="1"/>
    </xf>
    <xf numFmtId="0" fontId="71" fillId="0" borderId="0" xfId="19" applyFont="1" applyFill="1" applyBorder="1" applyAlignment="1" applyProtection="1">
      <alignment vertical="center" wrapText="1"/>
    </xf>
    <xf numFmtId="0" fontId="27" fillId="0" borderId="0" xfId="19" applyFont="1" applyFill="1" applyBorder="1" applyAlignment="1" applyProtection="1">
      <alignment horizontal="left" vertical="center"/>
    </xf>
    <xf numFmtId="41" fontId="27" fillId="0" borderId="4" xfId="19" applyNumberFormat="1" applyFont="1" applyFill="1" applyBorder="1" applyAlignment="1" applyProtection="1">
      <alignment horizontal="center" vertical="center"/>
    </xf>
    <xf numFmtId="41" fontId="29" fillId="25" borderId="4" xfId="19" applyNumberFormat="1" applyFont="1" applyFill="1" applyBorder="1" applyAlignment="1" applyProtection="1">
      <alignment vertical="center" wrapText="1"/>
    </xf>
    <xf numFmtId="0" fontId="70" fillId="0" borderId="0" xfId="19" applyFont="1" applyFill="1" applyBorder="1" applyAlignment="1" applyProtection="1">
      <alignment vertical="center"/>
    </xf>
    <xf numFmtId="0" fontId="69" fillId="0" borderId="0" xfId="19" applyFont="1" applyFill="1" applyAlignment="1" applyProtection="1">
      <alignment vertical="center"/>
    </xf>
    <xf numFmtId="0" fontId="74" fillId="0" borderId="0" xfId="19" applyFont="1" applyAlignment="1" applyProtection="1">
      <alignment horizontal="left" vertical="center"/>
    </xf>
    <xf numFmtId="0" fontId="27" fillId="0" borderId="0" xfId="19" applyFont="1" applyFill="1" applyAlignment="1" applyProtection="1">
      <alignment horizontal="center" vertical="center"/>
    </xf>
    <xf numFmtId="0" fontId="75" fillId="0" borderId="0" xfId="19" applyFont="1" applyFill="1" applyProtection="1"/>
    <xf numFmtId="0" fontId="74" fillId="0" borderId="0" xfId="19" applyFont="1" applyAlignment="1" applyProtection="1">
      <alignment horizontal="left"/>
    </xf>
    <xf numFmtId="0" fontId="69" fillId="0" borderId="0" xfId="19" applyFont="1" applyFill="1" applyAlignment="1" applyProtection="1">
      <alignment horizontal="center" vertical="center"/>
    </xf>
    <xf numFmtId="0" fontId="70" fillId="0" borderId="0" xfId="19" applyFont="1" applyFill="1" applyAlignment="1" applyProtection="1">
      <alignment vertical="center"/>
    </xf>
    <xf numFmtId="198" fontId="27" fillId="0" borderId="0" xfId="23" applyNumberFormat="1" applyFont="1" applyFill="1" applyAlignment="1" applyProtection="1">
      <alignment horizontal="center" vertical="center"/>
    </xf>
    <xf numFmtId="198" fontId="27" fillId="0" borderId="0" xfId="23" applyNumberFormat="1" applyFont="1" applyFill="1" applyAlignment="1" applyProtection="1">
      <alignment vertical="center"/>
    </xf>
    <xf numFmtId="0" fontId="76" fillId="0" borderId="0" xfId="19" applyFont="1" applyProtection="1"/>
    <xf numFmtId="0" fontId="77" fillId="0" borderId="0" xfId="19" applyFont="1" applyProtection="1"/>
    <xf numFmtId="0" fontId="78" fillId="0" borderId="0" xfId="19" applyFont="1" applyAlignment="1" applyProtection="1">
      <alignment horizontal="left" vertical="center" readingOrder="1"/>
    </xf>
    <xf numFmtId="0" fontId="79" fillId="0" borderId="0" xfId="19" applyFont="1" applyAlignment="1" applyProtection="1">
      <alignment horizontal="center" vertical="center" readingOrder="1"/>
    </xf>
    <xf numFmtId="0" fontId="80" fillId="0" borderId="0" xfId="19" applyFont="1" applyAlignment="1" applyProtection="1">
      <alignment horizontal="left" vertical="center" readingOrder="1"/>
    </xf>
    <xf numFmtId="0" fontId="81" fillId="0" borderId="0" xfId="19" applyFont="1" applyFill="1" applyProtection="1"/>
    <xf numFmtId="0" fontId="72" fillId="0" borderId="1" xfId="19" applyFont="1" applyFill="1" applyBorder="1" applyAlignment="1" applyProtection="1">
      <alignment horizontal="center" vertical="center" wrapText="1"/>
    </xf>
    <xf numFmtId="0" fontId="29" fillId="0" borderId="0" xfId="19" applyFont="1" applyFill="1" applyBorder="1" applyAlignment="1" applyProtection="1">
      <alignment vertical="top" wrapText="1"/>
    </xf>
    <xf numFmtId="182" fontId="0" fillId="0" borderId="0" xfId="2" applyNumberFormat="1" applyFont="1" applyAlignment="1" applyProtection="1"/>
    <xf numFmtId="182" fontId="27" fillId="0" borderId="11" xfId="2" applyNumberFormat="1" applyFont="1" applyFill="1" applyBorder="1" applyAlignment="1" applyProtection="1">
      <alignment horizontal="center" vertical="center"/>
    </xf>
    <xf numFmtId="43" fontId="27" fillId="0" borderId="11" xfId="2" applyNumberFormat="1" applyFont="1" applyFill="1" applyBorder="1" applyAlignment="1" applyProtection="1">
      <alignment horizontal="center" vertical="center"/>
    </xf>
    <xf numFmtId="182" fontId="27" fillId="3" borderId="11" xfId="2" applyNumberFormat="1" applyFont="1" applyFill="1" applyBorder="1" applyAlignment="1" applyProtection="1">
      <alignment horizontal="center" vertical="center"/>
    </xf>
    <xf numFmtId="10" fontId="27" fillId="0" borderId="11" xfId="4" applyNumberFormat="1" applyFont="1" applyFill="1" applyBorder="1" applyAlignment="1" applyProtection="1">
      <alignment horizontal="center" vertical="center"/>
    </xf>
    <xf numFmtId="182" fontId="29" fillId="15" borderId="1" xfId="2" applyNumberFormat="1" applyFont="1" applyFill="1" applyBorder="1" applyAlignment="1" applyProtection="1">
      <alignment horizontal="center" vertical="center"/>
    </xf>
    <xf numFmtId="182" fontId="29" fillId="0" borderId="50" xfId="2" applyNumberFormat="1" applyFont="1" applyFill="1" applyBorder="1" applyAlignment="1" applyProtection="1">
      <alignment horizontal="center" vertical="center"/>
    </xf>
    <xf numFmtId="197" fontId="29" fillId="0" borderId="40" xfId="23" applyNumberFormat="1" applyFont="1" applyFill="1" applyBorder="1" applyAlignment="1" applyProtection="1">
      <alignment vertical="center"/>
    </xf>
    <xf numFmtId="197" fontId="29" fillId="0" borderId="50" xfId="23" applyNumberFormat="1" applyFont="1" applyFill="1" applyBorder="1" applyAlignment="1" applyProtection="1">
      <alignment vertical="center"/>
    </xf>
    <xf numFmtId="182" fontId="29" fillId="0" borderId="0" xfId="2" applyNumberFormat="1" applyFont="1" applyFill="1" applyBorder="1" applyAlignment="1" applyProtection="1">
      <alignment horizontal="center" vertical="center"/>
    </xf>
    <xf numFmtId="197" fontId="29" fillId="0" borderId="127" xfId="23" applyNumberFormat="1" applyFont="1" applyFill="1" applyBorder="1" applyAlignment="1" applyProtection="1">
      <alignment vertical="center"/>
    </xf>
    <xf numFmtId="197" fontId="29" fillId="0" borderId="0" xfId="23" applyNumberFormat="1" applyFont="1" applyFill="1" applyBorder="1" applyAlignment="1" applyProtection="1">
      <alignment vertical="center"/>
    </xf>
    <xf numFmtId="182" fontId="29" fillId="0" borderId="127" xfId="2" applyNumberFormat="1" applyFont="1" applyFill="1" applyBorder="1" applyAlignment="1" applyProtection="1">
      <alignment horizontal="center" vertical="center"/>
    </xf>
    <xf numFmtId="41" fontId="29" fillId="0" borderId="127" xfId="19" applyNumberFormat="1" applyFont="1" applyFill="1" applyBorder="1" applyAlignment="1" applyProtection="1">
      <alignment vertical="center"/>
    </xf>
    <xf numFmtId="182" fontId="0" fillId="0" borderId="0" xfId="2" applyNumberFormat="1" applyFont="1" applyFill="1" applyAlignment="1" applyProtection="1"/>
    <xf numFmtId="197" fontId="0" fillId="0" borderId="0" xfId="0" applyNumberFormat="1" applyProtection="1"/>
    <xf numFmtId="10" fontId="1" fillId="0" borderId="0" xfId="14" applyNumberFormat="1" applyFont="1" applyFill="1" applyAlignment="1" applyProtection="1"/>
    <xf numFmtId="43" fontId="1" fillId="0" borderId="0" xfId="22" applyFont="1" applyFill="1" applyAlignment="1" applyProtection="1"/>
    <xf numFmtId="0" fontId="1" fillId="0" borderId="0" xfId="17" applyFont="1" applyFill="1" applyProtection="1"/>
    <xf numFmtId="0" fontId="14" fillId="0" borderId="0" xfId="17" applyFont="1" applyFill="1" applyProtection="1"/>
    <xf numFmtId="0" fontId="17" fillId="0" borderId="0" xfId="17" applyFont="1" applyFill="1" applyProtection="1"/>
    <xf numFmtId="0" fontId="1" fillId="0" borderId="0" xfId="17" applyFont="1" applyFill="1" applyAlignment="1" applyProtection="1">
      <alignment horizontal="left"/>
    </xf>
    <xf numFmtId="181" fontId="1" fillId="0" borderId="77" xfId="17" applyNumberFormat="1" applyFont="1" applyFill="1" applyBorder="1" applyAlignment="1" applyProtection="1">
      <alignment horizontal="center"/>
    </xf>
    <xf numFmtId="183" fontId="1" fillId="0" borderId="77" xfId="17" applyNumberFormat="1" applyFont="1" applyFill="1" applyBorder="1" applyAlignment="1" applyProtection="1">
      <alignment horizontal="center"/>
    </xf>
    <xf numFmtId="0" fontId="25" fillId="0" borderId="77" xfId="17" applyFont="1" applyFill="1" applyBorder="1" applyAlignment="1" applyProtection="1">
      <alignment vertical="center"/>
    </xf>
    <xf numFmtId="43" fontId="25" fillId="0" borderId="77" xfId="22" applyFont="1" applyFill="1" applyBorder="1" applyProtection="1">
      <alignment vertical="center"/>
    </xf>
    <xf numFmtId="188" fontId="1" fillId="0" borderId="77" xfId="14" applyNumberFormat="1" applyFont="1" applyFill="1" applyBorder="1" applyAlignment="1" applyProtection="1"/>
    <xf numFmtId="10" fontId="25" fillId="0" borderId="77" xfId="14" applyNumberFormat="1" applyFont="1" applyFill="1" applyBorder="1" applyProtection="1">
      <alignment vertical="center"/>
    </xf>
    <xf numFmtId="43" fontId="1" fillId="0" borderId="77" xfId="14" applyNumberFormat="1" applyFont="1" applyFill="1" applyBorder="1" applyAlignment="1" applyProtection="1"/>
    <xf numFmtId="188" fontId="1" fillId="0" borderId="77" xfId="17" applyNumberFormat="1" applyFont="1" applyFill="1" applyBorder="1" applyProtection="1"/>
    <xf numFmtId="0" fontId="1" fillId="0" borderId="77" xfId="14" applyNumberFormat="1" applyFont="1" applyFill="1" applyBorder="1" applyAlignment="1" applyProtection="1"/>
    <xf numFmtId="10" fontId="1" fillId="0" borderId="77" xfId="14" applyNumberFormat="1" applyFont="1" applyFill="1" applyBorder="1" applyAlignment="1" applyProtection="1"/>
    <xf numFmtId="201" fontId="1" fillId="0" borderId="77" xfId="22" applyNumberFormat="1" applyFont="1" applyFill="1" applyBorder="1" applyAlignment="1" applyProtection="1"/>
    <xf numFmtId="201" fontId="1" fillId="0" borderId="77" xfId="17" applyNumberFormat="1" applyFont="1" applyFill="1" applyBorder="1" applyProtection="1"/>
    <xf numFmtId="0" fontId="24" fillId="29" borderId="77" xfId="17" applyFont="1" applyFill="1" applyBorder="1" applyAlignment="1" applyProtection="1">
      <alignment vertical="center"/>
    </xf>
    <xf numFmtId="43" fontId="1" fillId="29" borderId="77" xfId="22" applyFont="1" applyFill="1" applyBorder="1" applyAlignment="1" applyProtection="1"/>
    <xf numFmtId="188" fontId="1" fillId="0" borderId="77" xfId="22" applyNumberFormat="1" applyFont="1" applyFill="1" applyBorder="1" applyAlignment="1" applyProtection="1"/>
    <xf numFmtId="43" fontId="1" fillId="0" borderId="77" xfId="22" applyFont="1" applyFill="1" applyBorder="1" applyAlignment="1" applyProtection="1"/>
    <xf numFmtId="0" fontId="24" fillId="0" borderId="77" xfId="17" applyFont="1" applyFill="1" applyBorder="1" applyAlignment="1" applyProtection="1">
      <alignment vertical="center"/>
    </xf>
    <xf numFmtId="43" fontId="1" fillId="0" borderId="77" xfId="17" applyNumberFormat="1" applyFont="1" applyFill="1" applyBorder="1" applyProtection="1"/>
    <xf numFmtId="188" fontId="1" fillId="29" borderId="77" xfId="17" applyNumberFormat="1" applyFont="1" applyFill="1" applyBorder="1" applyProtection="1"/>
    <xf numFmtId="0" fontId="25" fillId="29" borderId="77" xfId="17" applyFont="1" applyFill="1" applyBorder="1" applyAlignment="1" applyProtection="1">
      <alignment vertical="center"/>
      <protection locked="0"/>
    </xf>
    <xf numFmtId="43" fontId="25" fillId="0" borderId="77" xfId="22" applyFont="1" applyFill="1" applyBorder="1" applyProtection="1">
      <alignment vertical="center"/>
      <protection locked="0"/>
    </xf>
    <xf numFmtId="188" fontId="1" fillId="0" borderId="77" xfId="17" applyNumberFormat="1" applyFont="1" applyFill="1" applyBorder="1" applyProtection="1">
      <protection locked="0"/>
    </xf>
    <xf numFmtId="188" fontId="15" fillId="0" borderId="77" xfId="17" applyNumberFormat="1" applyFont="1" applyFill="1" applyBorder="1" applyProtection="1"/>
    <xf numFmtId="43" fontId="25" fillId="30" borderId="77" xfId="22" applyFont="1" applyFill="1" applyBorder="1" applyProtection="1">
      <alignment vertical="center"/>
    </xf>
    <xf numFmtId="188" fontId="25" fillId="0" borderId="77" xfId="22" applyNumberFormat="1" applyFont="1" applyFill="1" applyBorder="1" applyProtection="1">
      <alignment vertical="center"/>
    </xf>
    <xf numFmtId="188" fontId="25" fillId="0" borderId="77" xfId="14" applyNumberFormat="1" applyFont="1" applyFill="1" applyBorder="1" applyProtection="1">
      <alignment vertical="center"/>
    </xf>
    <xf numFmtId="0" fontId="1" fillId="0" borderId="77" xfId="17" applyFont="1" applyFill="1" applyBorder="1" applyProtection="1"/>
    <xf numFmtId="43" fontId="1" fillId="29" borderId="77" xfId="17" applyNumberFormat="1" applyFont="1" applyFill="1" applyBorder="1" applyProtection="1"/>
    <xf numFmtId="0" fontId="83" fillId="0" borderId="1" xfId="17" applyFont="1" applyFill="1" applyBorder="1" applyAlignment="1" applyProtection="1">
      <alignment horizontal="left" vertical="center"/>
    </xf>
    <xf numFmtId="0" fontId="83" fillId="0" borderId="1" xfId="17" applyFont="1" applyFill="1" applyBorder="1" applyAlignment="1" applyProtection="1">
      <alignment horizontal="center" vertical="center"/>
    </xf>
    <xf numFmtId="43" fontId="25" fillId="0" borderId="206" xfId="22" applyFont="1" applyFill="1" applyBorder="1" applyProtection="1">
      <alignment vertical="center"/>
    </xf>
    <xf numFmtId="0" fontId="25" fillId="0" borderId="1" xfId="17" applyFont="1" applyFill="1" applyBorder="1" applyAlignment="1" applyProtection="1">
      <alignment horizontal="left" vertical="center"/>
    </xf>
    <xf numFmtId="43" fontId="1" fillId="3" borderId="77" xfId="2" applyFont="1" applyFill="1" applyBorder="1" applyAlignment="1" applyProtection="1"/>
    <xf numFmtId="0" fontId="82" fillId="0" borderId="1" xfId="17" applyFont="1" applyFill="1" applyBorder="1" applyAlignment="1" applyProtection="1">
      <alignment horizontal="left" vertical="center"/>
    </xf>
    <xf numFmtId="0" fontId="82" fillId="0" borderId="4" xfId="17" applyFont="1" applyFill="1" applyBorder="1" applyAlignment="1" applyProtection="1">
      <alignment horizontal="left" vertical="center"/>
    </xf>
    <xf numFmtId="43" fontId="1" fillId="3" borderId="64" xfId="2" applyFont="1" applyFill="1" applyBorder="1" applyAlignment="1" applyProtection="1"/>
    <xf numFmtId="0" fontId="25" fillId="0" borderId="0" xfId="17" applyFont="1" applyFill="1" applyBorder="1" applyAlignment="1" applyProtection="1">
      <alignment horizontal="center" vertical="center"/>
    </xf>
    <xf numFmtId="43" fontId="1" fillId="3" borderId="1" xfId="2" applyFont="1" applyFill="1" applyBorder="1" applyAlignment="1" applyProtection="1"/>
    <xf numFmtId="43" fontId="1" fillId="0" borderId="1" xfId="17" applyNumberFormat="1" applyFont="1" applyFill="1" applyBorder="1" applyProtection="1"/>
    <xf numFmtId="0" fontId="25" fillId="0" borderId="4" xfId="17" applyFont="1" applyFill="1" applyBorder="1" applyAlignment="1" applyProtection="1">
      <alignment horizontal="left" vertical="center"/>
    </xf>
    <xf numFmtId="9" fontId="25" fillId="3" borderId="4" xfId="17" applyNumberFormat="1" applyFont="1" applyFill="1" applyBorder="1" applyAlignment="1" applyProtection="1">
      <alignment horizontal="center" vertical="center"/>
    </xf>
    <xf numFmtId="43" fontId="25" fillId="0" borderId="207" xfId="22" applyFont="1" applyFill="1" applyBorder="1" applyProtection="1">
      <alignment vertical="center"/>
    </xf>
    <xf numFmtId="43" fontId="1" fillId="0" borderId="4" xfId="17" applyNumberFormat="1" applyFont="1" applyFill="1" applyBorder="1" applyProtection="1"/>
    <xf numFmtId="9" fontId="25" fillId="3" borderId="1" xfId="17" applyNumberFormat="1" applyFont="1" applyFill="1" applyBorder="1" applyAlignment="1" applyProtection="1">
      <alignment horizontal="center" vertical="center"/>
    </xf>
    <xf numFmtId="43" fontId="25" fillId="0" borderId="1" xfId="22" applyFont="1" applyFill="1" applyBorder="1" applyProtection="1">
      <alignment vertical="center"/>
    </xf>
    <xf numFmtId="0" fontId="1" fillId="0" borderId="1" xfId="17" applyFont="1" applyFill="1" applyBorder="1" applyProtection="1"/>
    <xf numFmtId="0" fontId="13" fillId="0" borderId="0" xfId="17" applyFont="1" applyFill="1" applyProtection="1"/>
    <xf numFmtId="43" fontId="15" fillId="10" borderId="0" xfId="2" applyFont="1" applyFill="1" applyAlignment="1" applyProtection="1"/>
    <xf numFmtId="183" fontId="1" fillId="0" borderId="205" xfId="17" applyNumberFormat="1" applyFont="1" applyFill="1" applyBorder="1" applyAlignment="1" applyProtection="1">
      <alignment horizontal="center"/>
    </xf>
    <xf numFmtId="188" fontId="1" fillId="0" borderId="205" xfId="14" applyNumberFormat="1" applyFont="1" applyFill="1" applyBorder="1" applyAlignment="1" applyProtection="1"/>
    <xf numFmtId="0" fontId="1" fillId="0" borderId="205" xfId="14" applyNumberFormat="1" applyFont="1" applyFill="1" applyBorder="1" applyAlignment="1" applyProtection="1"/>
    <xf numFmtId="10" fontId="1" fillId="0" borderId="205" xfId="14" applyNumberFormat="1" applyFont="1" applyFill="1" applyBorder="1" applyAlignment="1" applyProtection="1"/>
    <xf numFmtId="43" fontId="1" fillId="0" borderId="205" xfId="22" applyFont="1" applyFill="1" applyBorder="1" applyAlignment="1" applyProtection="1"/>
    <xf numFmtId="0" fontId="1" fillId="0" borderId="205" xfId="17" applyFont="1" applyFill="1" applyBorder="1" applyProtection="1"/>
    <xf numFmtId="43" fontId="1" fillId="29" borderId="205" xfId="22" applyFont="1" applyFill="1" applyBorder="1" applyAlignment="1" applyProtection="1"/>
    <xf numFmtId="43" fontId="1" fillId="0" borderId="205" xfId="17" applyNumberFormat="1" applyFont="1" applyFill="1" applyBorder="1" applyProtection="1"/>
    <xf numFmtId="201" fontId="1" fillId="0" borderId="205" xfId="17" applyNumberFormat="1" applyFont="1" applyFill="1" applyBorder="1" applyProtection="1"/>
    <xf numFmtId="201" fontId="1" fillId="0" borderId="77" xfId="17" applyNumberFormat="1" applyFont="1" applyFill="1" applyBorder="1" applyProtection="1">
      <protection locked="0"/>
    </xf>
    <xf numFmtId="0" fontId="1" fillId="0" borderId="77" xfId="17" applyFont="1" applyFill="1" applyBorder="1" applyProtection="1">
      <protection locked="0"/>
    </xf>
    <xf numFmtId="0" fontId="1" fillId="0" borderId="205" xfId="17" applyFont="1" applyFill="1" applyBorder="1" applyProtection="1">
      <protection locked="0"/>
    </xf>
    <xf numFmtId="201" fontId="15" fillId="0" borderId="77" xfId="17" applyNumberFormat="1" applyFont="1" applyFill="1" applyBorder="1" applyProtection="1"/>
    <xf numFmtId="201" fontId="15" fillId="0" borderId="205" xfId="17" applyNumberFormat="1" applyFont="1" applyFill="1" applyBorder="1" applyProtection="1"/>
    <xf numFmtId="43" fontId="25" fillId="0" borderId="205" xfId="22" applyFont="1" applyFill="1" applyBorder="1" applyProtection="1">
      <alignment vertical="center"/>
    </xf>
    <xf numFmtId="10" fontId="25" fillId="0" borderId="205" xfId="14" applyNumberFormat="1" applyFont="1" applyFill="1" applyBorder="1" applyProtection="1">
      <alignment vertical="center"/>
    </xf>
    <xf numFmtId="43" fontId="1" fillId="3" borderId="205" xfId="2" applyFont="1" applyFill="1" applyBorder="1" applyAlignment="1" applyProtection="1"/>
    <xf numFmtId="43" fontId="1" fillId="3" borderId="65" xfId="2" applyFont="1" applyFill="1" applyBorder="1" applyAlignment="1" applyProtection="1"/>
    <xf numFmtId="0" fontId="1" fillId="3" borderId="1" xfId="17" applyFont="1" applyFill="1" applyBorder="1" applyProtection="1"/>
    <xf numFmtId="181" fontId="1" fillId="0" borderId="0" xfId="17" applyNumberFormat="1" applyFont="1" applyFill="1" applyBorder="1" applyAlignment="1" applyProtection="1">
      <alignment horizontal="center"/>
    </xf>
    <xf numFmtId="0" fontId="56" fillId="0" borderId="0" xfId="17" applyFont="1" applyFill="1" applyBorder="1" applyProtection="1"/>
    <xf numFmtId="10" fontId="1" fillId="0" borderId="0" xfId="14" applyNumberFormat="1" applyFont="1" applyFill="1" applyBorder="1" applyAlignment="1" applyProtection="1"/>
    <xf numFmtId="0" fontId="1" fillId="0" borderId="0" xfId="17" applyFont="1" applyFill="1" applyBorder="1" applyProtection="1"/>
    <xf numFmtId="43" fontId="1" fillId="0" borderId="0" xfId="22" applyFont="1" applyFill="1" applyBorder="1" applyAlignment="1" applyProtection="1"/>
    <xf numFmtId="10" fontId="1" fillId="0" borderId="0" xfId="22" applyNumberFormat="1" applyFont="1" applyFill="1" applyBorder="1" applyAlignment="1" applyProtection="1"/>
    <xf numFmtId="43" fontId="1" fillId="0" borderId="0" xfId="17" applyNumberFormat="1" applyFont="1" applyFill="1" applyBorder="1" applyProtection="1"/>
    <xf numFmtId="10" fontId="25" fillId="0" borderId="0" xfId="14" applyNumberFormat="1" applyFont="1" applyFill="1" applyBorder="1" applyProtection="1">
      <alignment vertical="center"/>
    </xf>
    <xf numFmtId="43" fontId="1" fillId="0" borderId="0" xfId="22" applyNumberFormat="1" applyFont="1" applyFill="1" applyBorder="1" applyAlignment="1" applyProtection="1"/>
    <xf numFmtId="184" fontId="1" fillId="0" borderId="0" xfId="17" applyNumberFormat="1" applyFont="1" applyFill="1" applyBorder="1" applyProtection="1"/>
    <xf numFmtId="0" fontId="75" fillId="5" borderId="0" xfId="0" applyFont="1" applyFill="1" applyAlignment="1" applyProtection="1">
      <alignment vertical="center"/>
      <protection locked="0"/>
    </xf>
    <xf numFmtId="0" fontId="75" fillId="0" borderId="0" xfId="0" applyFont="1" applyFill="1" applyAlignment="1" applyProtection="1">
      <alignment vertical="center"/>
      <protection locked="0"/>
    </xf>
    <xf numFmtId="0" fontId="84" fillId="5" borderId="0" xfId="0" applyFont="1" applyFill="1" applyAlignment="1" applyProtection="1">
      <alignment horizontal="center" vertical="center"/>
      <protection locked="0"/>
    </xf>
    <xf numFmtId="0" fontId="85" fillId="0" borderId="0" xfId="0" applyFont="1" applyFill="1" applyAlignment="1" applyProtection="1">
      <alignment vertical="center"/>
      <protection locked="0"/>
    </xf>
    <xf numFmtId="0" fontId="29" fillId="0" borderId="0" xfId="0" applyFont="1" applyFill="1" applyAlignment="1" applyProtection="1">
      <alignment vertical="center"/>
      <protection locked="0"/>
    </xf>
    <xf numFmtId="0" fontId="75" fillId="0" borderId="1" xfId="0" applyFont="1" applyFill="1" applyBorder="1" applyAlignment="1" applyProtection="1">
      <alignment vertical="center"/>
      <protection locked="0"/>
    </xf>
    <xf numFmtId="0" fontId="75" fillId="3" borderId="1" xfId="0" applyFont="1" applyFill="1" applyBorder="1" applyAlignment="1" applyProtection="1">
      <alignment vertical="center"/>
      <protection locked="0"/>
    </xf>
    <xf numFmtId="196" fontId="75" fillId="3" borderId="1" xfId="23" applyNumberFormat="1" applyFont="1" applyFill="1" applyBorder="1" applyAlignment="1" applyProtection="1">
      <alignment vertical="center"/>
      <protection locked="0"/>
    </xf>
    <xf numFmtId="43" fontId="75" fillId="0" borderId="1" xfId="2" applyFont="1" applyFill="1" applyBorder="1" applyAlignment="1" applyProtection="1">
      <alignment vertical="center"/>
      <protection locked="0"/>
    </xf>
    <xf numFmtId="43" fontId="75" fillId="0" borderId="1" xfId="23" applyFont="1" applyFill="1" applyBorder="1" applyAlignment="1" applyProtection="1">
      <alignment vertical="center"/>
      <protection locked="0"/>
    </xf>
    <xf numFmtId="43" fontId="75" fillId="5" borderId="0" xfId="0" applyNumberFormat="1" applyFont="1" applyFill="1" applyAlignment="1" applyProtection="1">
      <alignment vertical="center"/>
      <protection locked="0"/>
    </xf>
    <xf numFmtId="181" fontId="1" fillId="0" borderId="1" xfId="17" applyNumberFormat="1" applyFont="1" applyFill="1" applyBorder="1" applyProtection="1"/>
    <xf numFmtId="9" fontId="75" fillId="3" borderId="1" xfId="14" applyFont="1" applyFill="1" applyBorder="1" applyAlignment="1" applyProtection="1">
      <alignment vertical="center"/>
      <protection locked="0"/>
    </xf>
    <xf numFmtId="10" fontId="75" fillId="3" borderId="1" xfId="14" applyNumberFormat="1" applyFont="1" applyFill="1" applyBorder="1" applyAlignment="1" applyProtection="1">
      <alignment vertical="center"/>
      <protection locked="0"/>
    </xf>
    <xf numFmtId="43" fontId="75" fillId="3" borderId="1" xfId="23" applyFont="1" applyFill="1" applyBorder="1" applyAlignment="1" applyProtection="1">
      <alignment vertical="center"/>
      <protection locked="0"/>
    </xf>
    <xf numFmtId="181" fontId="15" fillId="0" borderId="1" xfId="17" applyNumberFormat="1" applyFont="1" applyFill="1" applyBorder="1" applyProtection="1"/>
    <xf numFmtId="0" fontId="75" fillId="5" borderId="0" xfId="0" applyNumberFormat="1" applyFont="1" applyFill="1" applyAlignment="1" applyProtection="1">
      <alignment vertical="center"/>
      <protection locked="0"/>
    </xf>
    <xf numFmtId="9" fontId="75" fillId="3" borderId="1" xfId="0" applyNumberFormat="1" applyFont="1" applyFill="1" applyBorder="1" applyAlignment="1" applyProtection="1">
      <alignment vertical="center"/>
      <protection locked="0"/>
    </xf>
    <xf numFmtId="10" fontId="75" fillId="3" borderId="1" xfId="0" applyNumberFormat="1" applyFont="1" applyFill="1" applyBorder="1" applyAlignment="1" applyProtection="1">
      <alignment vertical="center"/>
      <protection locked="0"/>
    </xf>
    <xf numFmtId="191" fontId="1" fillId="0" borderId="0" xfId="0" applyNumberFormat="1" applyFont="1" applyFill="1" applyAlignment="1" applyProtection="1">
      <alignment horizontal="center" vertical="center"/>
    </xf>
    <xf numFmtId="0" fontId="0" fillId="0" borderId="0" xfId="0" applyNumberFormat="1"/>
    <xf numFmtId="202" fontId="27" fillId="3" borderId="1" xfId="2" applyNumberFormat="1" applyFont="1" applyFill="1" applyBorder="1" applyAlignment="1" applyProtection="1">
      <alignment horizontal="center" vertical="center"/>
      <protection locked="0"/>
    </xf>
    <xf numFmtId="0" fontId="13" fillId="0" borderId="4" xfId="0" applyFont="1" applyFill="1" applyBorder="1" applyAlignment="1" applyProtection="1">
      <alignment vertical="center"/>
    </xf>
    <xf numFmtId="0" fontId="27" fillId="0" borderId="4" xfId="0" applyFont="1" applyFill="1" applyBorder="1" applyAlignment="1" applyProtection="1">
      <alignment vertical="center"/>
      <protection locked="0"/>
    </xf>
    <xf numFmtId="10" fontId="27" fillId="3" borderId="1" xfId="0" applyNumberFormat="1" applyFont="1" applyFill="1" applyBorder="1" applyAlignment="1" applyProtection="1">
      <alignment horizontal="center" vertical="center"/>
      <protection locked="0"/>
    </xf>
    <xf numFmtId="202" fontId="27" fillId="0" borderId="1" xfId="2" applyNumberFormat="1" applyFont="1" applyFill="1" applyBorder="1" applyAlignment="1" applyProtection="1">
      <alignment horizontal="center" vertical="center"/>
    </xf>
    <xf numFmtId="190" fontId="27" fillId="0" borderId="1" xfId="0" applyNumberFormat="1" applyFont="1" applyFill="1" applyBorder="1" applyAlignment="1">
      <alignment horizontal="center" vertical="center"/>
    </xf>
    <xf numFmtId="0" fontId="27" fillId="3" borderId="11" xfId="0" applyFont="1" applyFill="1" applyBorder="1" applyAlignment="1" applyProtection="1">
      <alignment horizontal="center" vertical="center"/>
      <protection locked="0"/>
    </xf>
    <xf numFmtId="0" fontId="13" fillId="0" borderId="127" xfId="0" applyFont="1" applyFill="1" applyBorder="1" applyAlignment="1" applyProtection="1">
      <alignment vertical="center" shrinkToFit="1"/>
    </xf>
    <xf numFmtId="190" fontId="27" fillId="3" borderId="1" xfId="2" applyNumberFormat="1" applyFont="1" applyFill="1" applyBorder="1" applyAlignment="1" applyProtection="1">
      <alignment horizontal="center" vertical="center"/>
      <protection locked="0"/>
    </xf>
    <xf numFmtId="0" fontId="13" fillId="0" borderId="0" xfId="0" applyFont="1" applyFill="1" applyBorder="1" applyAlignment="1" applyProtection="1">
      <alignment vertical="center" shrinkToFit="1"/>
    </xf>
    <xf numFmtId="0" fontId="13" fillId="0" borderId="1" xfId="0" applyFont="1" applyFill="1" applyBorder="1" applyAlignment="1" applyProtection="1">
      <alignment horizontal="center" vertical="center"/>
    </xf>
    <xf numFmtId="179" fontId="21" fillId="5" borderId="2" xfId="4" applyNumberFormat="1" applyFont="1" applyFill="1" applyBorder="1" applyAlignment="1" applyProtection="1">
      <alignment horizontal="center" vertical="center"/>
    </xf>
    <xf numFmtId="179" fontId="21" fillId="5" borderId="1" xfId="4" applyNumberFormat="1" applyFont="1" applyFill="1" applyBorder="1" applyAlignment="1" applyProtection="1">
      <alignment horizontal="center" vertical="center"/>
    </xf>
    <xf numFmtId="202" fontId="27" fillId="3" borderId="1" xfId="0" applyNumberFormat="1" applyFont="1" applyFill="1" applyBorder="1" applyAlignment="1" applyProtection="1">
      <alignment horizontal="center" vertical="center"/>
      <protection locked="0"/>
    </xf>
    <xf numFmtId="0" fontId="0" fillId="0" borderId="0" xfId="0" applyAlignment="1">
      <alignment horizontal="left" vertical="center" wrapText="1"/>
    </xf>
    <xf numFmtId="0" fontId="0" fillId="0" borderId="3" xfId="0" applyFont="1" applyBorder="1" applyAlignment="1">
      <alignment horizontal="left" vertical="center"/>
    </xf>
    <xf numFmtId="0" fontId="0" fillId="11" borderId="3" xfId="0" applyFont="1" applyFill="1" applyBorder="1" applyAlignment="1" applyProtection="1">
      <alignment horizontal="left" vertical="center"/>
      <protection locked="0"/>
    </xf>
    <xf numFmtId="0" fontId="0" fillId="0" borderId="3" xfId="0" applyFont="1" applyBorder="1" applyAlignment="1">
      <alignment horizontal="right" vertical="center"/>
    </xf>
    <xf numFmtId="0" fontId="6" fillId="6" borderId="1" xfId="0" applyFont="1" applyFill="1" applyBorder="1" applyAlignment="1">
      <alignment horizontal="center" vertical="center"/>
    </xf>
    <xf numFmtId="0" fontId="0" fillId="3" borderId="1" xfId="0" applyFont="1" applyFill="1" applyBorder="1" applyAlignment="1">
      <alignment horizontal="center" vertical="center"/>
    </xf>
    <xf numFmtId="0" fontId="16" fillId="0" borderId="1" xfId="3" applyFont="1" applyBorder="1" applyAlignment="1">
      <alignment vertical="center"/>
    </xf>
    <xf numFmtId="0" fontId="27" fillId="0" borderId="1" xfId="0" applyFont="1" applyBorder="1" applyAlignment="1">
      <alignment horizontal="left" vertical="center" wrapText="1"/>
    </xf>
    <xf numFmtId="0" fontId="27" fillId="0" borderId="1" xfId="0" applyFont="1" applyBorder="1" applyAlignment="1" applyProtection="1">
      <alignment horizontal="left" vertical="center" wrapText="1"/>
      <protection locked="0"/>
    </xf>
    <xf numFmtId="0" fontId="0" fillId="0" borderId="1" xfId="0" applyBorder="1" applyAlignment="1">
      <alignment horizontal="center" vertical="center"/>
    </xf>
    <xf numFmtId="0" fontId="0" fillId="0" borderId="1" xfId="0" applyFont="1" applyBorder="1" applyAlignment="1">
      <alignment horizontal="left" vertical="center"/>
    </xf>
    <xf numFmtId="0" fontId="0" fillId="0" borderId="1" xfId="0" applyBorder="1" applyAlignment="1">
      <alignment vertical="center"/>
    </xf>
    <xf numFmtId="0" fontId="0" fillId="0" borderId="1" xfId="0" applyFont="1" applyBorder="1" applyAlignment="1">
      <alignment vertical="center"/>
    </xf>
    <xf numFmtId="0" fontId="0" fillId="0" borderId="1" xfId="0" applyFont="1" applyBorder="1" applyAlignment="1">
      <alignment vertical="center" wrapText="1"/>
    </xf>
    <xf numFmtId="0" fontId="33" fillId="0" borderId="1" xfId="3" applyBorder="1"/>
    <xf numFmtId="0" fontId="27" fillId="0" borderId="0" xfId="0" applyFont="1" applyBorder="1" applyAlignment="1">
      <alignment horizontal="center" vertical="center"/>
    </xf>
    <xf numFmtId="0" fontId="16" fillId="0" borderId="0" xfId="3" applyFont="1" applyBorder="1" applyAlignment="1">
      <alignment vertical="center"/>
    </xf>
    <xf numFmtId="0" fontId="69" fillId="0" borderId="0" xfId="0" applyFont="1" applyAlignment="1">
      <alignment horizontal="left" vertical="center"/>
    </xf>
    <xf numFmtId="0" fontId="69" fillId="0" borderId="0" xfId="0" applyFont="1" applyAlignment="1">
      <alignment vertical="center"/>
    </xf>
    <xf numFmtId="0" fontId="0" fillId="3" borderId="1" xfId="0" applyFont="1" applyFill="1"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horizontal="left" vertical="center" wrapText="1"/>
    </xf>
    <xf numFmtId="0" fontId="0" fillId="0" borderId="0" xfId="0" applyFill="1" applyAlignment="1">
      <alignment vertical="center"/>
    </xf>
    <xf numFmtId="0" fontId="51" fillId="0" borderId="1" xfId="0" applyFont="1" applyBorder="1" applyAlignment="1">
      <alignment horizontal="left" vertical="center" wrapText="1"/>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87" fillId="0" borderId="0" xfId="0" applyFont="1" applyAlignment="1" applyProtection="1">
      <alignment vertical="center"/>
    </xf>
    <xf numFmtId="0" fontId="88" fillId="0" borderId="0" xfId="0" applyFont="1" applyAlignment="1" applyProtection="1">
      <alignment vertical="center"/>
    </xf>
    <xf numFmtId="0" fontId="89" fillId="19" borderId="210" xfId="0" applyFont="1" applyFill="1" applyBorder="1" applyAlignment="1" applyProtection="1">
      <alignment horizontal="center" vertical="center"/>
    </xf>
    <xf numFmtId="0" fontId="89" fillId="19" borderId="211" xfId="0" applyFont="1" applyFill="1" applyBorder="1" applyAlignment="1" applyProtection="1">
      <alignment horizontal="center" vertical="center"/>
    </xf>
    <xf numFmtId="10" fontId="11" fillId="9" borderId="212" xfId="5" applyNumberFormat="1" applyFont="1" applyFill="1" applyBorder="1" applyAlignment="1" applyProtection="1">
      <alignment horizontal="left" vertical="center"/>
    </xf>
    <xf numFmtId="10" fontId="11" fillId="9" borderId="213" xfId="5" applyNumberFormat="1" applyFont="1" applyFill="1" applyBorder="1" applyAlignment="1" applyProtection="1">
      <alignment horizontal="left" vertical="center"/>
    </xf>
    <xf numFmtId="10" fontId="11" fillId="9" borderId="214" xfId="5" applyNumberFormat="1" applyFont="1" applyFill="1" applyBorder="1" applyAlignment="1" applyProtection="1">
      <alignment horizontal="left" vertical="center"/>
    </xf>
    <xf numFmtId="10" fontId="11" fillId="0" borderId="212" xfId="5" applyNumberFormat="1" applyFont="1" applyBorder="1" applyAlignment="1" applyProtection="1">
      <alignment horizontal="center" vertical="center"/>
    </xf>
    <xf numFmtId="10" fontId="11" fillId="0" borderId="213" xfId="5" applyNumberFormat="1" applyFont="1" applyBorder="1" applyAlignment="1" applyProtection="1">
      <alignment horizontal="left" vertical="center"/>
    </xf>
    <xf numFmtId="9" fontId="90" fillId="0" borderId="213" xfId="5" applyFont="1" applyBorder="1" applyAlignment="1" applyProtection="1">
      <alignment horizontal="center" vertical="center"/>
    </xf>
    <xf numFmtId="9" fontId="90" fillId="0" borderId="214" xfId="5" applyFont="1" applyBorder="1" applyAlignment="1" applyProtection="1">
      <alignment horizontal="center" vertical="center"/>
    </xf>
    <xf numFmtId="10" fontId="11" fillId="0" borderId="215" xfId="5" applyNumberFormat="1" applyFont="1" applyBorder="1" applyAlignment="1" applyProtection="1">
      <alignment horizontal="center" vertical="center"/>
    </xf>
    <xf numFmtId="10" fontId="11" fillId="0" borderId="216" xfId="5" applyNumberFormat="1" applyFont="1" applyBorder="1" applyAlignment="1" applyProtection="1">
      <alignment horizontal="left" vertical="center"/>
    </xf>
    <xf numFmtId="9" fontId="90" fillId="0" borderId="216" xfId="5" applyFont="1" applyBorder="1" applyAlignment="1" applyProtection="1">
      <alignment horizontal="center" vertical="center"/>
    </xf>
    <xf numFmtId="9" fontId="90" fillId="0" borderId="217" xfId="5" applyFont="1" applyBorder="1" applyAlignment="1" applyProtection="1">
      <alignment horizontal="center" vertical="center"/>
    </xf>
    <xf numFmtId="10" fontId="11" fillId="0" borderId="0" xfId="5" applyNumberFormat="1" applyFont="1" applyBorder="1" applyAlignment="1" applyProtection="1">
      <alignment horizontal="center" vertical="center"/>
    </xf>
    <xf numFmtId="9" fontId="90" fillId="0" borderId="0" xfId="5" applyFont="1" applyBorder="1" applyAlignment="1" applyProtection="1">
      <alignment horizontal="center" vertical="center"/>
    </xf>
    <xf numFmtId="0" fontId="89" fillId="19" borderId="223" xfId="0" applyFont="1" applyFill="1" applyBorder="1" applyAlignment="1" applyProtection="1">
      <alignment horizontal="center" vertical="center"/>
    </xf>
    <xf numFmtId="0" fontId="89" fillId="19" borderId="226" xfId="0" applyFont="1" applyFill="1" applyBorder="1" applyAlignment="1" applyProtection="1">
      <alignment horizontal="center" vertical="center"/>
    </xf>
    <xf numFmtId="0" fontId="89" fillId="19" borderId="228" xfId="0" applyFont="1" applyFill="1" applyBorder="1" applyAlignment="1" applyProtection="1">
      <alignment horizontal="center" vertical="center"/>
    </xf>
    <xf numFmtId="0" fontId="92" fillId="0" borderId="0" xfId="0" applyFont="1" applyAlignment="1" applyProtection="1">
      <alignment vertical="center"/>
    </xf>
    <xf numFmtId="10" fontId="11" fillId="9" borderId="212" xfId="5" applyNumberFormat="1" applyFont="1" applyFill="1" applyBorder="1" applyAlignment="1" applyProtection="1">
      <alignment vertical="center"/>
    </xf>
    <xf numFmtId="10" fontId="41" fillId="9" borderId="231" xfId="4" applyNumberFormat="1" applyFont="1" applyFill="1" applyBorder="1" applyAlignment="1" applyProtection="1">
      <alignment horizontal="center" vertical="center"/>
    </xf>
    <xf numFmtId="10" fontId="41" fillId="9" borderId="232" xfId="4" applyNumberFormat="1" applyFont="1" applyFill="1" applyBorder="1" applyAlignment="1" applyProtection="1">
      <alignment horizontal="center" vertical="center"/>
    </xf>
    <xf numFmtId="10" fontId="41" fillId="9" borderId="213" xfId="4" applyNumberFormat="1" applyFont="1" applyFill="1" applyBorder="1" applyAlignment="1" applyProtection="1">
      <alignment horizontal="center" vertical="center"/>
    </xf>
    <xf numFmtId="10" fontId="41" fillId="0" borderId="231" xfId="4" applyNumberFormat="1" applyFont="1" applyBorder="1" applyAlignment="1" applyProtection="1">
      <alignment horizontal="center" vertical="center"/>
    </xf>
    <xf numFmtId="10" fontId="41" fillId="0" borderId="232" xfId="4" applyNumberFormat="1" applyFont="1" applyBorder="1" applyAlignment="1" applyProtection="1">
      <alignment horizontal="center" vertical="center"/>
    </xf>
    <xf numFmtId="10" fontId="41" fillId="8" borderId="213" xfId="4" applyNumberFormat="1" applyFont="1" applyFill="1" applyBorder="1" applyAlignment="1" applyProtection="1">
      <alignment horizontal="center" vertical="center"/>
    </xf>
    <xf numFmtId="10" fontId="41" fillId="0" borderId="213" xfId="4" applyNumberFormat="1" applyFont="1" applyBorder="1" applyAlignment="1" applyProtection="1">
      <alignment horizontal="center" vertical="center"/>
    </xf>
    <xf numFmtId="10" fontId="41" fillId="0" borderId="233" xfId="4" applyNumberFormat="1" applyFont="1" applyBorder="1" applyAlignment="1" applyProtection="1">
      <alignment horizontal="center" vertical="center"/>
    </xf>
    <xf numFmtId="10" fontId="41" fillId="0" borderId="234" xfId="4" applyNumberFormat="1" applyFont="1" applyBorder="1" applyAlignment="1" applyProtection="1">
      <alignment horizontal="center" vertical="center"/>
    </xf>
    <xf numFmtId="10" fontId="41" fillId="0" borderId="216" xfId="4" applyNumberFormat="1" applyFont="1" applyBorder="1" applyAlignment="1" applyProtection="1">
      <alignment horizontal="center" vertical="center"/>
    </xf>
    <xf numFmtId="0" fontId="89" fillId="19" borderId="236" xfId="0" applyFont="1" applyFill="1" applyBorder="1" applyAlignment="1" applyProtection="1">
      <alignment horizontal="center" vertical="center"/>
    </xf>
    <xf numFmtId="0" fontId="89" fillId="19" borderId="237" xfId="0" applyFont="1" applyFill="1" applyBorder="1" applyAlignment="1" applyProtection="1">
      <alignment horizontal="center" vertical="center"/>
    </xf>
    <xf numFmtId="0" fontId="89" fillId="19" borderId="238" xfId="0" applyFont="1" applyFill="1" applyBorder="1" applyAlignment="1" applyProtection="1">
      <alignment horizontal="center" vertical="center"/>
    </xf>
    <xf numFmtId="10" fontId="41" fillId="9" borderId="239" xfId="4" applyNumberFormat="1" applyFont="1" applyFill="1" applyBorder="1" applyAlignment="1" applyProtection="1">
      <alignment horizontal="center" vertical="center"/>
    </xf>
    <xf numFmtId="10" fontId="41" fillId="8" borderId="231" xfId="4" applyNumberFormat="1" applyFont="1" applyFill="1" applyBorder="1" applyAlignment="1" applyProtection="1">
      <alignment horizontal="center" vertical="center"/>
    </xf>
    <xf numFmtId="10" fontId="41" fillId="8" borderId="239" xfId="4" applyNumberFormat="1" applyFont="1" applyFill="1" applyBorder="1" applyAlignment="1" applyProtection="1">
      <alignment horizontal="center" vertical="center"/>
    </xf>
    <xf numFmtId="10" fontId="41" fillId="0" borderId="239" xfId="4" applyNumberFormat="1" applyFont="1" applyFill="1" applyBorder="1" applyAlignment="1" applyProtection="1">
      <alignment horizontal="center" vertical="center"/>
    </xf>
    <xf numFmtId="10" fontId="41" fillId="0" borderId="240" xfId="4" applyNumberFormat="1" applyFont="1" applyFill="1" applyBorder="1" applyAlignment="1" applyProtection="1">
      <alignment horizontal="center" vertical="center"/>
    </xf>
    <xf numFmtId="43" fontId="0" fillId="0" borderId="0" xfId="0" applyNumberFormat="1"/>
    <xf numFmtId="184" fontId="0" fillId="0" borderId="0" xfId="0" applyNumberFormat="1"/>
    <xf numFmtId="199" fontId="0" fillId="0" borderId="0" xfId="0" applyNumberFormat="1"/>
    <xf numFmtId="2" fontId="0" fillId="0" borderId="0" xfId="0" applyNumberFormat="1"/>
    <xf numFmtId="0" fontId="101" fillId="0" borderId="12" xfId="6" applyBorder="1" applyAlignment="1">
      <alignment horizontal="center"/>
    </xf>
    <xf numFmtId="0" fontId="93" fillId="0" borderId="12" xfId="6" applyFont="1" applyBorder="1" applyAlignment="1">
      <alignment horizontal="center" vertical="center" wrapText="1"/>
    </xf>
    <xf numFmtId="0" fontId="93" fillId="0" borderId="12" xfId="6" applyFont="1" applyBorder="1" applyAlignment="1">
      <alignment horizontal="center" vertical="center"/>
    </xf>
    <xf numFmtId="0" fontId="93" fillId="0" borderId="12" xfId="6" applyFont="1" applyBorder="1" applyAlignment="1">
      <alignment horizontal="center"/>
    </xf>
    <xf numFmtId="203" fontId="101" fillId="23" borderId="12" xfId="6" applyNumberFormat="1" applyFill="1" applyBorder="1" applyAlignment="1">
      <alignment horizontal="center"/>
    </xf>
    <xf numFmtId="57" fontId="101" fillId="0" borderId="0" xfId="6" applyNumberFormat="1" applyAlignment="1">
      <alignment horizontal="center"/>
    </xf>
    <xf numFmtId="9" fontId="93" fillId="0" borderId="12" xfId="6" applyNumberFormat="1" applyFont="1" applyBorder="1" applyAlignment="1">
      <alignment horizontal="center" vertical="center"/>
    </xf>
    <xf numFmtId="0" fontId="27" fillId="0" borderId="0" xfId="24" applyFont="1"/>
    <xf numFmtId="182" fontId="0" fillId="0" borderId="0" xfId="26" applyNumberFormat="1" applyFont="1" applyAlignment="1">
      <alignment horizontal="left"/>
    </xf>
    <xf numFmtId="182" fontId="27" fillId="0" borderId="0" xfId="26" applyNumberFormat="1" applyFont="1" applyBorder="1" applyAlignment="1">
      <alignment horizontal="left"/>
    </xf>
    <xf numFmtId="182" fontId="27" fillId="0" borderId="0" xfId="26" applyNumberFormat="1" applyFont="1" applyFill="1" applyBorder="1" applyAlignment="1">
      <alignment horizontal="left"/>
    </xf>
    <xf numFmtId="182" fontId="27" fillId="0" borderId="241" xfId="26" applyNumberFormat="1" applyFont="1" applyBorder="1" applyAlignment="1">
      <alignment horizontal="left"/>
    </xf>
    <xf numFmtId="182" fontId="27" fillId="0" borderId="241" xfId="26" applyNumberFormat="1" applyFont="1" applyFill="1" applyBorder="1" applyAlignment="1">
      <alignment horizontal="left"/>
    </xf>
    <xf numFmtId="182" fontId="0" fillId="0" borderId="0" xfId="26" applyNumberFormat="1" applyFont="1" applyAlignment="1">
      <alignment horizontal="center" vertical="center" wrapText="1"/>
    </xf>
    <xf numFmtId="182" fontId="27" fillId="0" borderId="241" xfId="26" applyNumberFormat="1" applyFont="1" applyBorder="1" applyAlignment="1">
      <alignment horizontal="center" vertical="center" wrapText="1"/>
    </xf>
    <xf numFmtId="182" fontId="27" fillId="31" borderId="241" xfId="26" applyNumberFormat="1" applyFont="1" applyFill="1" applyBorder="1" applyAlignment="1">
      <alignment horizontal="center" vertical="center" wrapText="1"/>
    </xf>
    <xf numFmtId="182" fontId="27" fillId="0" borderId="241" xfId="26" applyNumberFormat="1" applyFont="1" applyFill="1" applyBorder="1" applyAlignment="1">
      <alignment horizontal="center" vertical="center" wrapText="1"/>
    </xf>
    <xf numFmtId="43" fontId="27" fillId="0" borderId="0" xfId="26" applyFont="1" applyAlignment="1"/>
    <xf numFmtId="182" fontId="27" fillId="0" borderId="0" xfId="28" applyNumberFormat="1" applyFont="1" applyAlignment="1"/>
    <xf numFmtId="182" fontId="27" fillId="0" borderId="241" xfId="24" applyNumberFormat="1" applyFont="1" applyFill="1" applyBorder="1"/>
    <xf numFmtId="182" fontId="27" fillId="0" borderId="241" xfId="24" applyNumberFormat="1" applyFont="1" applyBorder="1"/>
    <xf numFmtId="0" fontId="27" fillId="0" borderId="241" xfId="24" applyFont="1" applyBorder="1"/>
    <xf numFmtId="43" fontId="27" fillId="0" borderId="0" xfId="24" applyNumberFormat="1" applyFont="1"/>
    <xf numFmtId="10" fontId="27" fillId="0" borderId="241" xfId="28" applyNumberFormat="1" applyFont="1" applyBorder="1" applyAlignment="1"/>
    <xf numFmtId="182" fontId="27" fillId="0" borderId="241" xfId="26" applyNumberFormat="1" applyFont="1" applyBorder="1" applyAlignment="1"/>
    <xf numFmtId="182" fontId="27" fillId="0" borderId="241" xfId="26" applyNumberFormat="1" applyFont="1" applyFill="1" applyBorder="1" applyAlignment="1"/>
    <xf numFmtId="182" fontId="27" fillId="0" borderId="241" xfId="28" applyNumberFormat="1" applyFont="1" applyBorder="1" applyAlignment="1"/>
    <xf numFmtId="182" fontId="27" fillId="0" borderId="0" xfId="26" applyNumberFormat="1" applyFont="1" applyAlignment="1"/>
    <xf numFmtId="0" fontId="29" fillId="0" borderId="241" xfId="24" applyFont="1" applyBorder="1" applyAlignment="1">
      <alignment horizontal="center" vertical="center"/>
    </xf>
    <xf numFmtId="0" fontId="29" fillId="5" borderId="241" xfId="24" applyFont="1" applyFill="1" applyBorder="1" applyAlignment="1">
      <alignment horizontal="center" vertical="center" wrapText="1"/>
    </xf>
    <xf numFmtId="0" fontId="29" fillId="0" borderId="241" xfId="24" applyFont="1" applyBorder="1"/>
    <xf numFmtId="182" fontId="27" fillId="0" borderId="241" xfId="26" applyNumberFormat="1" applyFont="1" applyFill="1" applyBorder="1" applyAlignment="1">
      <alignment horizontal="left" vertical="center"/>
    </xf>
    <xf numFmtId="10" fontId="27" fillId="0" borderId="241" xfId="28" applyNumberFormat="1" applyFont="1" applyFill="1" applyBorder="1" applyAlignment="1">
      <alignment horizontal="center" vertical="center"/>
    </xf>
    <xf numFmtId="182" fontId="27" fillId="0" borderId="241" xfId="26" applyNumberFormat="1" applyFont="1" applyFill="1" applyBorder="1" applyAlignment="1">
      <alignment vertical="center"/>
    </xf>
    <xf numFmtId="0" fontId="27" fillId="0" borderId="241" xfId="24" applyFont="1" applyFill="1" applyBorder="1" applyAlignment="1">
      <alignment horizontal="left" vertical="center"/>
    </xf>
    <xf numFmtId="0" fontId="29" fillId="0" borderId="241" xfId="24" applyFont="1" applyFill="1" applyBorder="1" applyAlignment="1">
      <alignment horizontal="left" vertical="center"/>
    </xf>
    <xf numFmtId="10" fontId="27" fillId="0" borderId="241" xfId="28" applyNumberFormat="1" applyFont="1" applyFill="1" applyBorder="1" applyAlignment="1">
      <alignment vertical="center"/>
    </xf>
    <xf numFmtId="0" fontId="29" fillId="31" borderId="241" xfId="24" applyFont="1" applyFill="1" applyBorder="1" applyAlignment="1">
      <alignment horizontal="center" vertical="center"/>
    </xf>
    <xf numFmtId="0" fontId="29" fillId="31" borderId="241" xfId="24" applyFont="1" applyFill="1" applyBorder="1" applyAlignment="1">
      <alignment horizontal="center" vertical="center" wrapText="1"/>
    </xf>
    <xf numFmtId="182" fontId="41" fillId="0" borderId="0" xfId="0" applyNumberFormat="1" applyFont="1" applyAlignment="1" applyProtection="1">
      <alignment vertical="center"/>
      <protection locked="0"/>
    </xf>
    <xf numFmtId="0" fontId="89" fillId="19" borderId="209" xfId="0" applyFont="1" applyFill="1" applyBorder="1" applyAlignment="1" applyProtection="1">
      <alignment horizontal="center" vertical="center"/>
    </xf>
    <xf numFmtId="0" fontId="60" fillId="19" borderId="210" xfId="0" applyFont="1" applyFill="1" applyBorder="1" applyAlignment="1" applyProtection="1">
      <alignment horizontal="center" vertical="center"/>
    </xf>
    <xf numFmtId="0" fontId="91" fillId="0" borderId="218" xfId="0" applyFont="1" applyBorder="1" applyAlignment="1" applyProtection="1">
      <alignment horizontal="left" vertical="center" wrapText="1"/>
    </xf>
    <xf numFmtId="0" fontId="15" fillId="0" borderId="219" xfId="0" applyFont="1" applyBorder="1" applyAlignment="1" applyProtection="1">
      <alignment horizontal="left" vertical="center" wrapText="1"/>
    </xf>
    <xf numFmtId="0" fontId="15" fillId="0" borderId="220" xfId="0" applyFont="1" applyBorder="1" applyAlignment="1" applyProtection="1">
      <alignment horizontal="left" vertical="center" wrapText="1"/>
    </xf>
    <xf numFmtId="0" fontId="89" fillId="19" borderId="224" xfId="0" applyFont="1" applyFill="1" applyBorder="1" applyAlignment="1" applyProtection="1">
      <alignment horizontal="center" vertical="center"/>
    </xf>
    <xf numFmtId="0" fontId="89" fillId="19" borderId="225" xfId="0" applyFont="1" applyFill="1" applyBorder="1" applyAlignment="1" applyProtection="1">
      <alignment horizontal="center" vertical="center"/>
    </xf>
    <xf numFmtId="0" fontId="89" fillId="19" borderId="235" xfId="0" applyFont="1" applyFill="1" applyBorder="1" applyAlignment="1" applyProtection="1">
      <alignment horizontal="center" vertical="center"/>
    </xf>
    <xf numFmtId="0" fontId="89" fillId="19" borderId="226" xfId="0" applyFont="1" applyFill="1" applyBorder="1" applyAlignment="1" applyProtection="1">
      <alignment horizontal="center" vertical="center"/>
    </xf>
    <xf numFmtId="0" fontId="89" fillId="19" borderId="229" xfId="0" applyFont="1" applyFill="1" applyBorder="1" applyAlignment="1" applyProtection="1">
      <alignment horizontal="center" vertical="center"/>
    </xf>
    <xf numFmtId="0" fontId="89" fillId="19" borderId="227" xfId="0" applyFont="1" applyFill="1" applyBorder="1" applyAlignment="1" applyProtection="1">
      <alignment horizontal="center" vertical="center"/>
    </xf>
    <xf numFmtId="0" fontId="89" fillId="19" borderId="230" xfId="0" applyFont="1" applyFill="1" applyBorder="1" applyAlignment="1" applyProtection="1">
      <alignment horizontal="center" vertical="center"/>
    </xf>
    <xf numFmtId="0" fontId="89" fillId="19" borderId="221" xfId="0" applyFont="1" applyFill="1" applyBorder="1" applyAlignment="1" applyProtection="1">
      <alignment horizontal="center" vertical="center"/>
    </xf>
    <xf numFmtId="0" fontId="89" fillId="19" borderId="222" xfId="0" applyFont="1" applyFill="1" applyBorder="1" applyAlignment="1" applyProtection="1">
      <alignment horizontal="center" vertical="center"/>
    </xf>
    <xf numFmtId="0" fontId="89" fillId="19" borderId="212" xfId="0" applyFont="1" applyFill="1" applyBorder="1" applyAlignment="1" applyProtection="1">
      <alignment horizontal="center" vertical="center"/>
    </xf>
    <xf numFmtId="0" fontId="89" fillId="19" borderId="213" xfId="0" applyFont="1" applyFill="1" applyBorder="1" applyAlignment="1" applyProtection="1">
      <alignment horizontal="center" vertical="center"/>
    </xf>
    <xf numFmtId="0" fontId="86" fillId="0" borderId="0" xfId="0" applyFont="1" applyBorder="1" applyAlignment="1">
      <alignment horizontal="center" vertical="center"/>
    </xf>
    <xf numFmtId="0" fontId="29" fillId="0" borderId="4" xfId="24" applyFont="1" applyBorder="1" applyAlignment="1">
      <alignment horizontal="center" vertical="center"/>
    </xf>
    <xf numFmtId="0" fontId="29" fillId="0" borderId="242" xfId="24" applyFont="1" applyBorder="1" applyAlignment="1">
      <alignment horizontal="center" vertical="center"/>
    </xf>
    <xf numFmtId="0" fontId="29" fillId="0" borderId="7" xfId="24" applyFont="1" applyBorder="1" applyAlignment="1">
      <alignment horizontal="center" vertical="center"/>
    </xf>
    <xf numFmtId="0" fontId="0" fillId="0" borderId="1" xfId="0" applyFont="1" applyBorder="1" applyAlignment="1">
      <alignment horizontal="center" vertical="center" wrapText="1"/>
    </xf>
    <xf numFmtId="0" fontId="13" fillId="0" borderId="11" xfId="0" applyFont="1" applyFill="1" applyBorder="1" applyAlignment="1" applyProtection="1">
      <alignment horizontal="left" vertical="center"/>
    </xf>
    <xf numFmtId="0" fontId="13" fillId="0" borderId="12" xfId="0" applyFont="1" applyFill="1" applyBorder="1" applyAlignment="1" applyProtection="1">
      <alignment horizontal="left" vertical="center"/>
    </xf>
    <xf numFmtId="0" fontId="13" fillId="0" borderId="8" xfId="0" applyFont="1" applyFill="1" applyBorder="1" applyAlignment="1" applyProtection="1">
      <alignment horizontal="left" vertical="center"/>
    </xf>
    <xf numFmtId="0" fontId="84" fillId="5" borderId="0" xfId="0" applyFont="1" applyFill="1" applyAlignment="1" applyProtection="1">
      <alignment horizontal="center" vertical="center"/>
      <protection locked="0"/>
    </xf>
    <xf numFmtId="181" fontId="1" fillId="0" borderId="77" xfId="17" applyNumberFormat="1" applyFont="1" applyFill="1" applyBorder="1" applyAlignment="1" applyProtection="1">
      <alignment horizontal="center"/>
    </xf>
    <xf numFmtId="0" fontId="82" fillId="0" borderId="205" xfId="17" applyFont="1" applyFill="1" applyBorder="1" applyAlignment="1" applyProtection="1">
      <alignment horizontal="left" vertical="center"/>
    </xf>
    <xf numFmtId="0" fontId="82" fillId="0" borderId="206" xfId="17" applyFont="1" applyFill="1" applyBorder="1" applyAlignment="1" applyProtection="1">
      <alignment horizontal="left" vertical="center"/>
    </xf>
    <xf numFmtId="0" fontId="83" fillId="0" borderId="205" xfId="17" applyFont="1" applyFill="1" applyBorder="1" applyAlignment="1" applyProtection="1">
      <alignment horizontal="left" vertical="center"/>
    </xf>
    <xf numFmtId="0" fontId="82" fillId="0" borderId="65" xfId="17" applyFont="1" applyFill="1" applyBorder="1" applyAlignment="1" applyProtection="1">
      <alignment horizontal="left" vertical="center"/>
    </xf>
    <xf numFmtId="0" fontId="82" fillId="0" borderId="207" xfId="17" applyFont="1" applyFill="1" applyBorder="1" applyAlignment="1" applyProtection="1">
      <alignment horizontal="left" vertical="center"/>
    </xf>
    <xf numFmtId="0" fontId="24" fillId="0" borderId="77" xfId="17" applyFont="1" applyFill="1" applyBorder="1" applyAlignment="1" applyProtection="1">
      <alignment horizontal="center" vertical="center"/>
    </xf>
    <xf numFmtId="0" fontId="25" fillId="0" borderId="64" xfId="17" applyFont="1" applyFill="1" applyBorder="1" applyAlignment="1" applyProtection="1">
      <alignment horizontal="center" vertical="center"/>
    </xf>
    <xf numFmtId="0" fontId="25" fillId="0" borderId="204" xfId="17" applyFont="1" applyFill="1" applyBorder="1" applyAlignment="1" applyProtection="1">
      <alignment horizontal="center" vertical="center"/>
    </xf>
    <xf numFmtId="0" fontId="25" fillId="0" borderId="104" xfId="17" applyFont="1" applyFill="1" applyBorder="1" applyAlignment="1" applyProtection="1">
      <alignment horizontal="center" vertical="center"/>
    </xf>
    <xf numFmtId="0" fontId="25" fillId="0" borderId="208" xfId="17" applyFont="1" applyFill="1" applyBorder="1" applyAlignment="1" applyProtection="1">
      <alignment horizontal="center" vertical="center"/>
    </xf>
    <xf numFmtId="0" fontId="24" fillId="0" borderId="64" xfId="17" applyFont="1" applyFill="1" applyBorder="1" applyAlignment="1" applyProtection="1">
      <alignment horizontal="center" vertical="center"/>
    </xf>
    <xf numFmtId="0" fontId="25" fillId="0" borderId="71" xfId="17" applyFont="1" applyFill="1" applyBorder="1" applyAlignment="1" applyProtection="1">
      <alignment horizontal="center" vertical="center"/>
    </xf>
    <xf numFmtId="0" fontId="24" fillId="0" borderId="204" xfId="17" applyFont="1" applyFill="1" applyBorder="1" applyAlignment="1" applyProtection="1">
      <alignment horizontal="center" vertical="center"/>
    </xf>
    <xf numFmtId="0" fontId="24" fillId="0" borderId="71" xfId="17" applyFont="1" applyFill="1" applyBorder="1" applyAlignment="1" applyProtection="1">
      <alignment horizontal="center" vertical="center"/>
    </xf>
    <xf numFmtId="0" fontId="29" fillId="26" borderId="1" xfId="19" applyFont="1" applyFill="1" applyBorder="1" applyAlignment="1" applyProtection="1">
      <alignment horizontal="center" vertical="center"/>
    </xf>
    <xf numFmtId="0" fontId="27" fillId="0" borderId="1" xfId="19" applyFont="1" applyBorder="1" applyAlignment="1" applyProtection="1">
      <alignment horizontal="center" vertical="center"/>
    </xf>
    <xf numFmtId="0" fontId="29" fillId="26" borderId="1" xfId="19" applyFont="1" applyFill="1" applyBorder="1" applyAlignment="1" applyProtection="1">
      <alignment horizontal="left" vertical="center" wrapText="1"/>
    </xf>
    <xf numFmtId="0" fontId="29" fillId="26" borderId="1" xfId="19" applyFont="1" applyFill="1" applyBorder="1" applyAlignment="1" applyProtection="1">
      <alignment horizontal="center" vertical="center" wrapText="1"/>
    </xf>
    <xf numFmtId="0" fontId="27" fillId="0" borderId="1" xfId="19" applyFont="1" applyBorder="1" applyAlignment="1" applyProtection="1">
      <alignment horizontal="center" vertical="center" wrapText="1"/>
    </xf>
    <xf numFmtId="177" fontId="29" fillId="25" borderId="1" xfId="19" applyNumberFormat="1" applyFont="1" applyFill="1" applyBorder="1" applyAlignment="1" applyProtection="1">
      <alignment horizontal="center" vertical="center"/>
    </xf>
    <xf numFmtId="177" fontId="27" fillId="0" borderId="1" xfId="19" applyNumberFormat="1" applyFont="1" applyBorder="1" applyAlignment="1" applyProtection="1">
      <alignment horizontal="center" vertical="center"/>
    </xf>
    <xf numFmtId="177" fontId="27" fillId="0" borderId="1" xfId="19" applyNumberFormat="1" applyFont="1" applyFill="1" applyBorder="1" applyAlignment="1" applyProtection="1">
      <alignment horizontal="center" vertical="center"/>
    </xf>
    <xf numFmtId="0" fontId="29" fillId="28" borderId="40" xfId="19" applyFont="1" applyFill="1" applyBorder="1" applyAlignment="1" applyProtection="1">
      <alignment horizontal="center" vertical="center"/>
    </xf>
    <xf numFmtId="0" fontId="29" fillId="28" borderId="5" xfId="19" applyFont="1" applyFill="1" applyBorder="1" applyAlignment="1" applyProtection="1">
      <alignment horizontal="center" vertical="center"/>
    </xf>
    <xf numFmtId="0" fontId="29" fillId="28" borderId="27" xfId="19" applyFont="1" applyFill="1" applyBorder="1" applyAlignment="1" applyProtection="1">
      <alignment horizontal="center" vertical="center"/>
    </xf>
    <xf numFmtId="0" fontId="29" fillId="28" borderId="37" xfId="19" applyFont="1" applyFill="1" applyBorder="1" applyAlignment="1" applyProtection="1">
      <alignment horizontal="center" vertical="center"/>
    </xf>
    <xf numFmtId="0" fontId="29" fillId="26" borderId="40" xfId="19" applyFont="1" applyFill="1" applyBorder="1" applyAlignment="1" applyProtection="1">
      <alignment horizontal="center" vertical="center"/>
    </xf>
    <xf numFmtId="0" fontId="29" fillId="26" borderId="5" xfId="19" applyFont="1" applyFill="1" applyBorder="1" applyAlignment="1" applyProtection="1">
      <alignment horizontal="center" vertical="center"/>
    </xf>
    <xf numFmtId="0" fontId="29" fillId="26" borderId="27" xfId="19" applyFont="1" applyFill="1" applyBorder="1" applyAlignment="1" applyProtection="1">
      <alignment horizontal="center" vertical="center"/>
    </xf>
    <xf numFmtId="0" fontId="29" fillId="26" borderId="37" xfId="19" applyFont="1" applyFill="1" applyBorder="1" applyAlignment="1" applyProtection="1">
      <alignment horizontal="center" vertical="center"/>
    </xf>
    <xf numFmtId="200" fontId="29" fillId="25" borderId="1" xfId="19" applyNumberFormat="1" applyFont="1" applyFill="1" applyBorder="1" applyAlignment="1" applyProtection="1">
      <alignment horizontal="center" vertical="center"/>
    </xf>
    <xf numFmtId="200" fontId="27" fillId="0" borderId="1" xfId="19" applyNumberFormat="1" applyFont="1" applyBorder="1" applyAlignment="1" applyProtection="1">
      <alignment horizontal="center" vertical="center"/>
    </xf>
    <xf numFmtId="200" fontId="27" fillId="0" borderId="11" xfId="19" applyNumberFormat="1" applyFont="1" applyFill="1" applyBorder="1" applyAlignment="1" applyProtection="1">
      <alignment horizontal="center" vertical="center"/>
    </xf>
    <xf numFmtId="200" fontId="27" fillId="0" borderId="8" xfId="19" applyNumberFormat="1" applyFont="1" applyFill="1" applyBorder="1" applyAlignment="1" applyProtection="1">
      <alignment horizontal="center" vertical="center"/>
    </xf>
    <xf numFmtId="200" fontId="27" fillId="0" borderId="1" xfId="19" applyNumberFormat="1" applyFont="1" applyFill="1" applyBorder="1" applyAlignment="1" applyProtection="1">
      <alignment horizontal="center" vertical="center"/>
    </xf>
    <xf numFmtId="177" fontId="29" fillId="25" borderId="11" xfId="23" applyNumberFormat="1" applyFont="1" applyFill="1" applyBorder="1" applyAlignment="1" applyProtection="1">
      <alignment horizontal="center" vertical="center"/>
    </xf>
    <xf numFmtId="177" fontId="29" fillId="25" borderId="8" xfId="23" applyNumberFormat="1" applyFont="1" applyFill="1" applyBorder="1" applyAlignment="1" applyProtection="1">
      <alignment horizontal="center" vertical="center"/>
    </xf>
    <xf numFmtId="177" fontId="27" fillId="0" borderId="11" xfId="19" applyNumberFormat="1" applyFont="1" applyFill="1" applyBorder="1" applyAlignment="1" applyProtection="1">
      <alignment horizontal="center" vertical="center"/>
    </xf>
    <xf numFmtId="177" fontId="27" fillId="0" borderId="8" xfId="19" applyNumberFormat="1" applyFont="1" applyFill="1" applyBorder="1" applyAlignment="1" applyProtection="1">
      <alignment horizontal="center" vertical="center"/>
    </xf>
    <xf numFmtId="190" fontId="70" fillId="0" borderId="11" xfId="19" applyNumberFormat="1" applyFont="1" applyFill="1" applyBorder="1" applyAlignment="1" applyProtection="1">
      <alignment horizontal="center" vertical="center"/>
    </xf>
    <xf numFmtId="190" fontId="70" fillId="0" borderId="8" xfId="19" applyNumberFormat="1" applyFont="1" applyFill="1" applyBorder="1" applyAlignment="1" applyProtection="1">
      <alignment horizontal="center" vertical="center"/>
    </xf>
    <xf numFmtId="179" fontId="70" fillId="7" borderId="11" xfId="14" applyNumberFormat="1" applyFont="1" applyFill="1" applyBorder="1" applyAlignment="1" applyProtection="1">
      <alignment horizontal="center" vertical="center"/>
    </xf>
    <xf numFmtId="179" fontId="70" fillId="7" borderId="8" xfId="14" applyNumberFormat="1" applyFont="1" applyFill="1" applyBorder="1" applyAlignment="1" applyProtection="1">
      <alignment horizontal="center" vertical="center"/>
    </xf>
    <xf numFmtId="179" fontId="70" fillId="0" borderId="11" xfId="14" applyNumberFormat="1" applyFont="1" applyFill="1" applyBorder="1" applyAlignment="1" applyProtection="1">
      <alignment horizontal="center" vertical="center"/>
    </xf>
    <xf numFmtId="179" fontId="70" fillId="0" borderId="8" xfId="14" applyNumberFormat="1" applyFont="1" applyFill="1" applyBorder="1" applyAlignment="1" applyProtection="1">
      <alignment horizontal="center" vertical="center"/>
    </xf>
    <xf numFmtId="177" fontId="27" fillId="0" borderId="11" xfId="23" applyNumberFormat="1" applyFont="1" applyFill="1" applyBorder="1" applyAlignment="1" applyProtection="1">
      <alignment horizontal="center" vertical="center"/>
    </xf>
    <xf numFmtId="177" fontId="27" fillId="0" borderId="8" xfId="23" applyNumberFormat="1" applyFont="1" applyFill="1" applyBorder="1" applyAlignment="1" applyProtection="1">
      <alignment horizontal="center" vertical="center"/>
    </xf>
    <xf numFmtId="179" fontId="29" fillId="25" borderId="1" xfId="14" applyNumberFormat="1" applyFont="1" applyFill="1" applyBorder="1" applyAlignment="1" applyProtection="1">
      <alignment horizontal="center" vertical="center"/>
    </xf>
    <xf numFmtId="179" fontId="29" fillId="0" borderId="11" xfId="14" applyNumberFormat="1" applyFont="1" applyFill="1" applyBorder="1" applyAlignment="1" applyProtection="1">
      <alignment horizontal="center" vertical="center"/>
    </xf>
    <xf numFmtId="179" fontId="29" fillId="0" borderId="8" xfId="14" applyNumberFormat="1" applyFont="1" applyFill="1" applyBorder="1" applyAlignment="1" applyProtection="1">
      <alignment horizontal="center" vertical="center"/>
    </xf>
    <xf numFmtId="197" fontId="29" fillId="0" borderId="1" xfId="23" applyNumberFormat="1" applyFont="1" applyFill="1" applyBorder="1" applyAlignment="1" applyProtection="1">
      <alignment horizontal="center" vertical="center"/>
    </xf>
    <xf numFmtId="197" fontId="29" fillId="15" borderId="1" xfId="23" applyNumberFormat="1" applyFont="1" applyFill="1" applyBorder="1" applyAlignment="1" applyProtection="1">
      <alignment horizontal="center" vertical="center"/>
    </xf>
    <xf numFmtId="197" fontId="29" fillId="0" borderId="11" xfId="23" applyNumberFormat="1" applyFont="1" applyFill="1" applyBorder="1" applyAlignment="1" applyProtection="1">
      <alignment horizontal="center" vertical="center"/>
    </xf>
    <xf numFmtId="197" fontId="29" fillId="0" borderId="8" xfId="23" applyNumberFormat="1" applyFont="1" applyFill="1" applyBorder="1" applyAlignment="1" applyProtection="1">
      <alignment horizontal="center" vertical="center"/>
    </xf>
    <xf numFmtId="10" fontId="29" fillId="15" borderId="1" xfId="4" applyNumberFormat="1" applyFont="1" applyFill="1" applyBorder="1" applyAlignment="1" applyProtection="1">
      <alignment horizontal="center" vertical="center"/>
    </xf>
    <xf numFmtId="0" fontId="29" fillId="25" borderId="1" xfId="19" applyFont="1" applyFill="1" applyBorder="1" applyAlignment="1" applyProtection="1">
      <alignment horizontal="left" vertical="center" wrapText="1"/>
    </xf>
    <xf numFmtId="0" fontId="27" fillId="0" borderId="1" xfId="19" applyFont="1" applyBorder="1" applyAlignment="1" applyProtection="1">
      <alignment vertical="center" wrapText="1"/>
    </xf>
    <xf numFmtId="182" fontId="29" fillId="28" borderId="40" xfId="2" applyNumberFormat="1" applyFont="1" applyFill="1" applyBorder="1" applyAlignment="1" applyProtection="1">
      <alignment horizontal="center" vertical="center"/>
    </xf>
    <xf numFmtId="182" fontId="29" fillId="28" borderId="27" xfId="2" applyNumberFormat="1" applyFont="1" applyFill="1" applyBorder="1" applyAlignment="1" applyProtection="1">
      <alignment horizontal="center" vertical="center"/>
    </xf>
    <xf numFmtId="197" fontId="29" fillId="3" borderId="11" xfId="23" applyNumberFormat="1" applyFont="1" applyFill="1" applyBorder="1" applyAlignment="1" applyProtection="1">
      <alignment horizontal="center" vertical="center"/>
    </xf>
    <xf numFmtId="197" fontId="29" fillId="3" borderId="8" xfId="23" applyNumberFormat="1" applyFont="1" applyFill="1" applyBorder="1" applyAlignment="1" applyProtection="1">
      <alignment horizontal="center" vertical="center"/>
    </xf>
    <xf numFmtId="0" fontId="29" fillId="28" borderId="1" xfId="19" applyFont="1" applyFill="1" applyBorder="1" applyAlignment="1" applyProtection="1">
      <alignment horizontal="center" vertical="center"/>
    </xf>
    <xf numFmtId="41" fontId="29" fillId="0" borderId="1" xfId="19" applyNumberFormat="1" applyFont="1" applyFill="1" applyBorder="1" applyAlignment="1" applyProtection="1">
      <alignment horizontal="left" vertical="center"/>
    </xf>
    <xf numFmtId="0" fontId="29" fillId="0" borderId="1" xfId="19" applyFont="1" applyFill="1" applyBorder="1" applyAlignment="1" applyProtection="1">
      <alignment vertical="center"/>
    </xf>
    <xf numFmtId="0" fontId="27" fillId="0" borderId="1" xfId="19" applyFont="1" applyFill="1" applyBorder="1" applyAlignment="1" applyProtection="1">
      <alignment vertical="center"/>
    </xf>
    <xf numFmtId="41" fontId="29" fillId="0" borderId="11" xfId="19" applyNumberFormat="1" applyFont="1" applyFill="1" applyBorder="1" applyAlignment="1" applyProtection="1">
      <alignment horizontal="left" vertical="center"/>
    </xf>
    <xf numFmtId="41" fontId="29" fillId="0" borderId="8" xfId="19" applyNumberFormat="1" applyFont="1" applyFill="1" applyBorder="1" applyAlignment="1" applyProtection="1">
      <alignment horizontal="left" vertical="center"/>
    </xf>
    <xf numFmtId="41" fontId="29" fillId="25" borderId="1" xfId="19" applyNumberFormat="1" applyFont="1" applyFill="1" applyBorder="1" applyAlignment="1" applyProtection="1">
      <alignment vertical="center"/>
    </xf>
    <xf numFmtId="0" fontId="27" fillId="0" borderId="1" xfId="19" applyFont="1" applyBorder="1" applyAlignment="1" applyProtection="1">
      <alignment vertical="center"/>
    </xf>
    <xf numFmtId="41" fontId="29" fillId="25" borderId="11" xfId="19" applyNumberFormat="1" applyFont="1" applyFill="1" applyBorder="1" applyAlignment="1" applyProtection="1">
      <alignment horizontal="center" vertical="center"/>
    </xf>
    <xf numFmtId="41" fontId="29" fillId="25" borderId="8" xfId="19" applyNumberFormat="1" applyFont="1" applyFill="1" applyBorder="1" applyAlignment="1" applyProtection="1">
      <alignment horizontal="center" vertical="center"/>
    </xf>
    <xf numFmtId="41" fontId="29" fillId="0" borderId="11" xfId="19" applyNumberFormat="1" applyFont="1" applyFill="1" applyBorder="1" applyAlignment="1" applyProtection="1">
      <alignment horizontal="center" vertical="center"/>
    </xf>
    <xf numFmtId="41" fontId="29" fillId="0" borderId="8" xfId="19" applyNumberFormat="1" applyFont="1" applyFill="1" applyBorder="1" applyAlignment="1" applyProtection="1">
      <alignment horizontal="center" vertical="center"/>
    </xf>
    <xf numFmtId="187" fontId="29" fillId="25" borderId="1" xfId="19" applyNumberFormat="1" applyFont="1" applyFill="1" applyBorder="1" applyAlignment="1" applyProtection="1">
      <alignment vertical="center"/>
    </xf>
    <xf numFmtId="187" fontId="27" fillId="0" borderId="1" xfId="19" applyNumberFormat="1" applyFont="1" applyBorder="1" applyAlignment="1" applyProtection="1">
      <alignment vertical="center"/>
    </xf>
    <xf numFmtId="43" fontId="29" fillId="25" borderId="1" xfId="23" applyFont="1" applyFill="1" applyBorder="1" applyAlignment="1" applyProtection="1">
      <alignment horizontal="left" vertical="center"/>
    </xf>
    <xf numFmtId="43" fontId="27" fillId="0" borderId="1" xfId="23" applyFont="1" applyBorder="1" applyAlignment="1" applyProtection="1">
      <alignment vertical="center"/>
    </xf>
    <xf numFmtId="43" fontId="29" fillId="25" borderId="1" xfId="23" applyFont="1" applyFill="1" applyBorder="1" applyAlignment="1" applyProtection="1">
      <alignment horizontal="right" vertical="center"/>
    </xf>
    <xf numFmtId="43" fontId="27" fillId="0" borderId="1" xfId="23" applyFont="1" applyBorder="1" applyAlignment="1" applyProtection="1">
      <alignment horizontal="right" vertical="center"/>
    </xf>
    <xf numFmtId="197" fontId="29" fillId="0" borderId="12" xfId="23" applyNumberFormat="1" applyFont="1" applyFill="1" applyBorder="1" applyAlignment="1" applyProtection="1">
      <alignment horizontal="center" vertical="center"/>
    </xf>
    <xf numFmtId="197" fontId="29" fillId="15" borderId="11" xfId="23" applyNumberFormat="1" applyFont="1" applyFill="1" applyBorder="1" applyAlignment="1" applyProtection="1">
      <alignment horizontal="center" vertical="center"/>
    </xf>
    <xf numFmtId="197" fontId="29" fillId="15" borderId="12" xfId="23" applyNumberFormat="1" applyFont="1" applyFill="1" applyBorder="1" applyAlignment="1" applyProtection="1">
      <alignment horizontal="center" vertical="center"/>
    </xf>
    <xf numFmtId="197" fontId="29" fillId="15" borderId="8" xfId="23" applyNumberFormat="1" applyFont="1" applyFill="1" applyBorder="1" applyAlignment="1" applyProtection="1">
      <alignment horizontal="center" vertical="center"/>
    </xf>
    <xf numFmtId="179" fontId="29" fillId="25" borderId="11" xfId="19" applyNumberFormat="1" applyFont="1" applyFill="1" applyBorder="1" applyAlignment="1" applyProtection="1">
      <alignment horizontal="center" vertical="center"/>
    </xf>
    <xf numFmtId="179" fontId="29" fillId="25" borderId="12" xfId="19" applyNumberFormat="1" applyFont="1" applyFill="1" applyBorder="1" applyAlignment="1" applyProtection="1">
      <alignment horizontal="center" vertical="center"/>
    </xf>
    <xf numFmtId="179" fontId="29" fillId="25" borderId="8" xfId="19" applyNumberFormat="1" applyFont="1" applyFill="1" applyBorder="1" applyAlignment="1" applyProtection="1">
      <alignment horizontal="center" vertical="center"/>
    </xf>
    <xf numFmtId="197" fontId="29" fillId="25" borderId="11" xfId="19" applyNumberFormat="1" applyFont="1" applyFill="1" applyBorder="1" applyAlignment="1" applyProtection="1">
      <alignment horizontal="center" vertical="center" wrapText="1"/>
    </xf>
    <xf numFmtId="197" fontId="29" fillId="25" borderId="12" xfId="19" applyNumberFormat="1" applyFont="1" applyFill="1" applyBorder="1" applyAlignment="1" applyProtection="1">
      <alignment horizontal="center" vertical="center" wrapText="1"/>
    </xf>
    <xf numFmtId="197" fontId="29" fillId="25" borderId="8" xfId="19" applyNumberFormat="1" applyFont="1" applyFill="1" applyBorder="1" applyAlignment="1" applyProtection="1">
      <alignment horizontal="center" vertical="center" wrapText="1"/>
    </xf>
    <xf numFmtId="0" fontId="29" fillId="0" borderId="1" xfId="19" applyFont="1" applyFill="1" applyBorder="1" applyAlignment="1" applyProtection="1">
      <alignment horizontal="center" vertical="center" wrapText="1"/>
    </xf>
    <xf numFmtId="0" fontId="71" fillId="0" borderId="1" xfId="19" applyFont="1" applyFill="1" applyBorder="1" applyAlignment="1" applyProtection="1">
      <alignment horizontal="left" vertical="center" wrapText="1"/>
    </xf>
    <xf numFmtId="0" fontId="72" fillId="0" borderId="1" xfId="19" applyFont="1" applyFill="1" applyBorder="1" applyAlignment="1" applyProtection="1">
      <alignment horizontal="left" vertical="center" wrapText="1"/>
    </xf>
    <xf numFmtId="0" fontId="71" fillId="0" borderId="1" xfId="19" applyFont="1" applyFill="1" applyBorder="1" applyAlignment="1" applyProtection="1">
      <alignment horizontal="left" vertical="center" wrapText="1"/>
      <protection locked="0"/>
    </xf>
    <xf numFmtId="0" fontId="73" fillId="0" borderId="1" xfId="19" applyFont="1" applyFill="1" applyBorder="1" applyAlignment="1" applyProtection="1">
      <alignment horizontal="left" vertical="center" wrapText="1"/>
    </xf>
    <xf numFmtId="0" fontId="29" fillId="0" borderId="1" xfId="19" applyFont="1" applyFill="1" applyBorder="1" applyAlignment="1" applyProtection="1">
      <alignment horizontal="left" vertical="center" wrapText="1"/>
    </xf>
    <xf numFmtId="0" fontId="101" fillId="0" borderId="12" xfId="6" applyBorder="1" applyAlignment="1">
      <alignment horizontal="center"/>
    </xf>
    <xf numFmtId="0" fontId="101" fillId="21" borderId="50" xfId="6" applyFill="1" applyBorder="1" applyAlignment="1">
      <alignment horizontal="center" vertical="center"/>
    </xf>
    <xf numFmtId="0" fontId="101" fillId="21" borderId="0" xfId="6" applyFill="1" applyBorder="1" applyAlignment="1">
      <alignment horizontal="center" vertical="center"/>
    </xf>
    <xf numFmtId="0" fontId="101" fillId="21" borderId="3" xfId="6" applyFill="1" applyBorder="1" applyAlignment="1">
      <alignment horizontal="center" vertical="center"/>
    </xf>
    <xf numFmtId="31" fontId="101" fillId="23" borderId="50" xfId="6" applyNumberFormat="1" applyFill="1" applyBorder="1" applyAlignment="1">
      <alignment horizontal="center" vertical="center"/>
    </xf>
    <xf numFmtId="31" fontId="101" fillId="23" borderId="0" xfId="6" applyNumberFormat="1" applyFill="1" applyBorder="1" applyAlignment="1">
      <alignment horizontal="center" vertical="center"/>
    </xf>
    <xf numFmtId="31" fontId="101" fillId="23" borderId="3" xfId="6" applyNumberFormat="1" applyFill="1" applyBorder="1" applyAlignment="1">
      <alignment horizontal="center" vertical="center"/>
    </xf>
    <xf numFmtId="0" fontId="54" fillId="18" borderId="189" xfId="8" applyFont="1" applyFill="1" applyBorder="1" applyAlignment="1" applyProtection="1">
      <alignment horizontal="left" vertical="center" wrapText="1"/>
      <protection locked="0"/>
    </xf>
    <xf numFmtId="0" fontId="56" fillId="0" borderId="199" xfId="1" applyFont="1" applyFill="1" applyBorder="1" applyAlignment="1" applyProtection="1">
      <alignment horizontal="left" vertical="center"/>
      <protection locked="0"/>
    </xf>
    <xf numFmtId="0" fontId="56" fillId="0" borderId="200" xfId="1" applyFont="1" applyFill="1" applyBorder="1" applyAlignment="1" applyProtection="1">
      <alignment horizontal="left" vertical="center"/>
      <protection locked="0"/>
    </xf>
    <xf numFmtId="0" fontId="56" fillId="0" borderId="201" xfId="1" applyFont="1" applyFill="1" applyBorder="1" applyAlignment="1" applyProtection="1">
      <alignment horizontal="left" vertical="center"/>
      <protection locked="0"/>
    </xf>
    <xf numFmtId="0" fontId="13" fillId="0" borderId="1" xfId="0" applyFont="1" applyBorder="1" applyAlignment="1" applyProtection="1">
      <alignment horizontal="center" vertical="center"/>
    </xf>
    <xf numFmtId="0" fontId="13" fillId="0" borderId="4" xfId="0" applyFont="1" applyBorder="1" applyAlignment="1" applyProtection="1">
      <alignment horizontal="center" vertical="center"/>
    </xf>
    <xf numFmtId="0" fontId="13" fillId="0" borderId="2" xfId="0" applyFont="1" applyBorder="1" applyAlignment="1" applyProtection="1">
      <alignment horizontal="center" vertical="center"/>
    </xf>
    <xf numFmtId="0" fontId="14" fillId="0" borderId="0" xfId="0" applyFont="1" applyAlignment="1" applyProtection="1">
      <alignment horizontal="center" vertical="center"/>
    </xf>
    <xf numFmtId="181" fontId="26" fillId="6" borderId="125" xfId="0" applyNumberFormat="1" applyFont="1" applyFill="1" applyBorder="1" applyAlignment="1" applyProtection="1">
      <alignment horizontal="center" vertical="center"/>
      <protection locked="0"/>
    </xf>
    <xf numFmtId="181" fontId="26" fillId="6" borderId="126" xfId="0" applyNumberFormat="1" applyFont="1" applyFill="1" applyBorder="1" applyAlignment="1" applyProtection="1">
      <alignment horizontal="center" vertical="center"/>
      <protection locked="0"/>
    </xf>
    <xf numFmtId="181" fontId="26" fillId="6" borderId="129" xfId="0" applyNumberFormat="1" applyFont="1" applyFill="1" applyBorder="1" applyAlignment="1" applyProtection="1">
      <alignment horizontal="center" vertical="center"/>
      <protection locked="0"/>
    </xf>
    <xf numFmtId="181" fontId="26" fillId="6" borderId="6" xfId="0" applyNumberFormat="1" applyFont="1" applyFill="1" applyBorder="1" applyAlignment="1" applyProtection="1">
      <alignment horizontal="center" vertical="center"/>
      <protection locked="0"/>
    </xf>
    <xf numFmtId="181" fontId="26" fillId="6" borderId="124" xfId="0" applyNumberFormat="1" applyFont="1" applyFill="1" applyBorder="1" applyAlignment="1" applyProtection="1">
      <alignment horizontal="center" vertical="center"/>
      <protection locked="0"/>
    </xf>
    <xf numFmtId="181" fontId="26" fillId="6" borderId="130" xfId="0" applyNumberFormat="1" applyFont="1" applyFill="1" applyBorder="1" applyAlignment="1" applyProtection="1">
      <alignment horizontal="center" vertical="center"/>
      <protection locked="0"/>
    </xf>
    <xf numFmtId="41" fontId="4" fillId="6" borderId="12" xfId="0" applyNumberFormat="1" applyFont="1" applyFill="1" applyBorder="1" applyAlignment="1" applyProtection="1">
      <alignment horizontal="center" vertical="center"/>
      <protection locked="0"/>
    </xf>
    <xf numFmtId="41" fontId="4" fillId="6" borderId="8" xfId="0" applyNumberFormat="1" applyFont="1" applyFill="1" applyBorder="1" applyAlignment="1" applyProtection="1">
      <alignment horizontal="center" vertical="center"/>
      <protection locked="0"/>
    </xf>
    <xf numFmtId="0" fontId="26" fillId="6" borderId="9" xfId="0" applyFont="1" applyFill="1" applyBorder="1" applyAlignment="1" applyProtection="1">
      <alignment horizontal="left" vertical="center"/>
      <protection locked="0"/>
    </xf>
    <xf numFmtId="0" fontId="26" fillId="6" borderId="115" xfId="0" applyFont="1" applyFill="1" applyBorder="1" applyAlignment="1" applyProtection="1">
      <alignment horizontal="left" vertical="center"/>
      <protection locked="0"/>
    </xf>
    <xf numFmtId="41" fontId="26" fillId="6" borderId="4" xfId="0" applyNumberFormat="1" applyFont="1" applyFill="1" applyBorder="1" applyAlignment="1" applyProtection="1">
      <alignment horizontal="center" vertical="center"/>
      <protection locked="0"/>
    </xf>
    <xf numFmtId="41" fontId="26" fillId="6" borderId="2" xfId="0" applyNumberFormat="1" applyFont="1" applyFill="1" applyBorder="1" applyAlignment="1" applyProtection="1">
      <alignment horizontal="center" vertical="center"/>
      <protection locked="0"/>
    </xf>
    <xf numFmtId="0" fontId="4" fillId="6" borderId="124" xfId="0" applyFont="1" applyFill="1" applyBorder="1" applyAlignment="1" applyProtection="1">
      <alignment horizontal="center" vertical="center"/>
      <protection locked="0"/>
    </xf>
    <xf numFmtId="0" fontId="4" fillId="6" borderId="1" xfId="0" applyFont="1" applyFill="1" applyBorder="1" applyAlignment="1" applyProtection="1">
      <alignment horizontal="center" vertical="center"/>
      <protection locked="0"/>
    </xf>
    <xf numFmtId="0" fontId="4" fillId="6" borderId="157" xfId="0" applyFont="1" applyFill="1" applyBorder="1" applyAlignment="1" applyProtection="1">
      <alignment horizontal="center" vertical="center"/>
    </xf>
    <xf numFmtId="0" fontId="4" fillId="6" borderId="158" xfId="0" applyFont="1" applyFill="1" applyBorder="1" applyAlignment="1" applyProtection="1">
      <alignment horizontal="center" vertical="center"/>
    </xf>
    <xf numFmtId="0" fontId="4" fillId="6" borderId="164" xfId="0" applyFont="1" applyFill="1" applyBorder="1" applyAlignment="1" applyProtection="1">
      <alignment horizontal="center" vertical="center"/>
    </xf>
    <xf numFmtId="0" fontId="4" fillId="6" borderId="171" xfId="0" applyFont="1" applyFill="1" applyBorder="1" applyAlignment="1" applyProtection="1">
      <alignment horizontal="center" vertical="center"/>
    </xf>
    <xf numFmtId="0" fontId="4" fillId="6" borderId="155" xfId="0" applyFont="1" applyFill="1" applyBorder="1" applyAlignment="1" applyProtection="1">
      <alignment horizontal="center" vertical="center"/>
    </xf>
    <xf numFmtId="0" fontId="4" fillId="6" borderId="159" xfId="0" applyFont="1" applyFill="1" applyBorder="1" applyAlignment="1" applyProtection="1">
      <alignment horizontal="center" vertical="center"/>
    </xf>
    <xf numFmtId="0" fontId="14" fillId="0" borderId="0" xfId="0" applyFont="1" applyAlignment="1" applyProtection="1">
      <alignment vertical="center" wrapText="1"/>
    </xf>
    <xf numFmtId="0" fontId="14" fillId="0" borderId="0" xfId="0" applyFont="1" applyAlignment="1" applyProtection="1">
      <alignment vertical="center"/>
    </xf>
    <xf numFmtId="0" fontId="13" fillId="6" borderId="34" xfId="0" applyFont="1" applyFill="1" applyBorder="1" applyAlignment="1" applyProtection="1">
      <alignment horizontal="center" vertical="center"/>
    </xf>
    <xf numFmtId="0" fontId="13" fillId="6" borderId="3" xfId="0" applyFont="1" applyFill="1" applyBorder="1" applyAlignment="1" applyProtection="1">
      <alignment horizontal="center" vertical="center"/>
    </xf>
    <xf numFmtId="0" fontId="13" fillId="6" borderId="35" xfId="0" applyFont="1" applyFill="1" applyBorder="1" applyAlignment="1" applyProtection="1">
      <alignment horizontal="center" vertical="center"/>
    </xf>
    <xf numFmtId="0" fontId="13" fillId="6" borderId="1" xfId="0" applyFont="1" applyFill="1" applyBorder="1" applyAlignment="1" applyProtection="1">
      <alignment horizontal="center" vertical="center"/>
    </xf>
    <xf numFmtId="0" fontId="13" fillId="6" borderId="8" xfId="0" applyFont="1" applyFill="1" applyBorder="1" applyAlignment="1" applyProtection="1">
      <alignment horizontal="center" vertical="center"/>
    </xf>
    <xf numFmtId="181" fontId="26" fillId="6" borderId="1" xfId="0" applyNumberFormat="1" applyFont="1" applyFill="1" applyBorder="1" applyAlignment="1" applyProtection="1">
      <alignment horizontal="center" vertical="center"/>
    </xf>
    <xf numFmtId="0" fontId="24" fillId="6" borderId="1" xfId="0" applyFont="1" applyFill="1" applyBorder="1" applyAlignment="1" applyProtection="1">
      <alignment horizontal="center" vertical="center"/>
    </xf>
    <xf numFmtId="0" fontId="4" fillId="6" borderId="1" xfId="0" applyFont="1" applyFill="1" applyBorder="1" applyAlignment="1" applyProtection="1">
      <alignment horizontal="center" vertical="center"/>
    </xf>
    <xf numFmtId="0" fontId="26" fillId="6" borderId="1" xfId="0" applyFont="1" applyFill="1" applyBorder="1" applyAlignment="1" applyProtection="1">
      <alignment horizontal="center" vertical="center"/>
    </xf>
    <xf numFmtId="191" fontId="1" fillId="0" borderId="0" xfId="0" applyNumberFormat="1" applyFont="1" applyBorder="1" applyAlignment="1" applyProtection="1">
      <alignment horizontal="left" vertical="center"/>
      <protection locked="0"/>
    </xf>
    <xf numFmtId="0" fontId="50" fillId="5" borderId="12" xfId="0" applyFont="1" applyFill="1" applyBorder="1" applyAlignment="1" applyProtection="1">
      <alignment horizontal="center" vertical="center"/>
      <protection locked="0"/>
    </xf>
    <xf numFmtId="0" fontId="27" fillId="5" borderId="3" xfId="0" applyFont="1" applyFill="1" applyBorder="1" applyAlignment="1" applyProtection="1">
      <alignment horizontal="center" vertical="center"/>
      <protection locked="0"/>
    </xf>
    <xf numFmtId="176" fontId="1" fillId="5" borderId="13" xfId="2" applyNumberFormat="1" applyFont="1" applyFill="1" applyBorder="1" applyAlignment="1" applyProtection="1">
      <alignment horizontal="center" vertical="center"/>
      <protection locked="0"/>
    </xf>
    <xf numFmtId="176" fontId="1" fillId="5" borderId="15" xfId="2" applyNumberFormat="1" applyFont="1" applyFill="1" applyBorder="1" applyAlignment="1" applyProtection="1">
      <alignment horizontal="center" vertical="center"/>
      <protection locked="0"/>
    </xf>
    <xf numFmtId="0" fontId="13" fillId="6" borderId="115" xfId="0" applyFont="1" applyFill="1" applyBorder="1" applyAlignment="1" applyProtection="1">
      <alignment horizontal="center" vertical="center"/>
    </xf>
    <xf numFmtId="0" fontId="13" fillId="6" borderId="116" xfId="0" applyFont="1" applyFill="1" applyBorder="1" applyAlignment="1" applyProtection="1">
      <alignment horizontal="center" vertical="center"/>
    </xf>
    <xf numFmtId="180" fontId="4" fillId="6" borderId="157" xfId="0" applyNumberFormat="1" applyFont="1" applyFill="1" applyBorder="1" applyAlignment="1" applyProtection="1">
      <alignment horizontal="center" vertical="center"/>
    </xf>
    <xf numFmtId="180" fontId="4" fillId="6" borderId="158" xfId="0" applyNumberFormat="1" applyFont="1" applyFill="1" applyBorder="1" applyAlignment="1" applyProtection="1">
      <alignment horizontal="center" vertical="center"/>
    </xf>
    <xf numFmtId="0" fontId="4" fillId="6" borderId="156" xfId="0" applyFont="1" applyFill="1" applyBorder="1" applyAlignment="1" applyProtection="1">
      <alignment horizontal="center" vertical="center" wrapText="1"/>
    </xf>
    <xf numFmtId="0" fontId="4" fillId="6" borderId="160" xfId="0" applyFont="1" applyFill="1" applyBorder="1" applyAlignment="1" applyProtection="1">
      <alignment horizontal="center" vertical="center"/>
    </xf>
    <xf numFmtId="181" fontId="26" fillId="6" borderId="124" xfId="0" applyNumberFormat="1" applyFont="1" applyFill="1" applyBorder="1" applyAlignment="1" applyProtection="1">
      <alignment horizontal="center" vertical="center"/>
    </xf>
    <xf numFmtId="181" fontId="26" fillId="6" borderId="130" xfId="0" applyNumberFormat="1" applyFont="1" applyFill="1" applyBorder="1" applyAlignment="1" applyProtection="1">
      <alignment horizontal="center" vertical="center"/>
    </xf>
    <xf numFmtId="0" fontId="4" fillId="6" borderId="9" xfId="0" applyFont="1" applyFill="1" applyBorder="1" applyAlignment="1" applyProtection="1">
      <alignment horizontal="center" vertical="center"/>
    </xf>
    <xf numFmtId="0" fontId="4" fillId="6" borderId="115" xfId="0" applyFont="1" applyFill="1" applyBorder="1" applyAlignment="1" applyProtection="1">
      <alignment horizontal="center" vertical="center"/>
    </xf>
    <xf numFmtId="0" fontId="4" fillId="6" borderId="124" xfId="0" applyFont="1" applyFill="1" applyBorder="1" applyAlignment="1" applyProtection="1">
      <alignment horizontal="center" vertical="center"/>
    </xf>
    <xf numFmtId="43" fontId="13" fillId="0" borderId="0" xfId="0" applyNumberFormat="1" applyFont="1" applyFill="1" applyBorder="1" applyAlignment="1" applyProtection="1">
      <alignment horizontal="center" vertical="center" wrapText="1"/>
    </xf>
    <xf numFmtId="181" fontId="26" fillId="6" borderId="125" xfId="0" applyNumberFormat="1" applyFont="1" applyFill="1" applyBorder="1" applyAlignment="1" applyProtection="1">
      <alignment horizontal="center" vertical="center"/>
    </xf>
    <xf numFmtId="181" fontId="26" fillId="6" borderId="126" xfId="0" applyNumberFormat="1" applyFont="1" applyFill="1" applyBorder="1" applyAlignment="1" applyProtection="1">
      <alignment horizontal="center" vertical="center"/>
    </xf>
    <xf numFmtId="181" fontId="26" fillId="6" borderId="129" xfId="0" applyNumberFormat="1" applyFont="1" applyFill="1" applyBorder="1" applyAlignment="1" applyProtection="1">
      <alignment horizontal="center" vertical="center"/>
    </xf>
    <xf numFmtId="0" fontId="13" fillId="6" borderId="110" xfId="0" applyFont="1" applyFill="1" applyBorder="1" applyAlignment="1" applyProtection="1">
      <alignment horizontal="center" vertical="center"/>
      <protection locked="0"/>
    </xf>
    <xf numFmtId="0" fontId="13" fillId="6" borderId="111" xfId="0" applyFont="1" applyFill="1" applyBorder="1" applyAlignment="1" applyProtection="1">
      <alignment horizontal="center" vertical="center"/>
      <protection locked="0"/>
    </xf>
    <xf numFmtId="0" fontId="13" fillId="6" borderId="6" xfId="0" applyFont="1" applyFill="1" applyBorder="1" applyAlignment="1" applyProtection="1">
      <alignment horizontal="center" vertical="center"/>
      <protection locked="0"/>
    </xf>
    <xf numFmtId="0" fontId="13" fillId="6" borderId="121" xfId="0" applyFont="1" applyFill="1" applyBorder="1" applyAlignment="1" applyProtection="1">
      <alignment horizontal="center" vertical="center"/>
      <protection locked="0"/>
    </xf>
    <xf numFmtId="0" fontId="36" fillId="0" borderId="0" xfId="0" applyFont="1" applyAlignment="1" applyProtection="1">
      <alignment vertical="center" wrapText="1"/>
    </xf>
    <xf numFmtId="0" fontId="36" fillId="0" borderId="0" xfId="0" applyFont="1" applyAlignment="1" applyProtection="1">
      <alignment vertical="center"/>
    </xf>
    <xf numFmtId="0" fontId="13" fillId="6" borderId="110" xfId="0" applyFont="1" applyFill="1" applyBorder="1" applyAlignment="1" applyProtection="1">
      <alignment horizontal="center" vertical="center"/>
    </xf>
    <xf numFmtId="0" fontId="13" fillId="6" borderId="111" xfId="0" applyFont="1" applyFill="1" applyBorder="1" applyAlignment="1" applyProtection="1">
      <alignment horizontal="center" vertical="center"/>
    </xf>
    <xf numFmtId="0" fontId="13" fillId="6" borderId="6" xfId="0" applyFont="1" applyFill="1" applyBorder="1" applyAlignment="1" applyProtection="1">
      <alignment horizontal="center" vertical="center"/>
    </xf>
    <xf numFmtId="0" fontId="13" fillId="6" borderId="121" xfId="0" applyFont="1" applyFill="1" applyBorder="1" applyAlignment="1" applyProtection="1">
      <alignment horizontal="center" vertical="center"/>
    </xf>
    <xf numFmtId="0" fontId="13" fillId="6" borderId="87" xfId="0" applyFont="1" applyFill="1" applyBorder="1" applyAlignment="1" applyProtection="1">
      <alignment horizontal="center" vertical="center"/>
      <protection locked="0"/>
    </xf>
    <xf numFmtId="0" fontId="13" fillId="6" borderId="109" xfId="0" applyFont="1" applyFill="1" applyBorder="1" applyAlignment="1" applyProtection="1">
      <alignment horizontal="center" vertical="center"/>
      <protection locked="0"/>
    </xf>
    <xf numFmtId="0" fontId="13" fillId="6" borderId="112" xfId="0" applyFont="1" applyFill="1" applyBorder="1" applyAlignment="1" applyProtection="1">
      <alignment horizontal="center" vertical="center"/>
      <protection locked="0"/>
    </xf>
    <xf numFmtId="0" fontId="13" fillId="6" borderId="37" xfId="0" applyFont="1" applyFill="1" applyBorder="1" applyAlignment="1" applyProtection="1">
      <alignment horizontal="center" vertical="center"/>
      <protection locked="0"/>
    </xf>
    <xf numFmtId="0" fontId="13" fillId="6" borderId="89" xfId="0" applyFont="1" applyFill="1" applyBorder="1" applyAlignment="1" applyProtection="1">
      <alignment horizontal="center" vertical="center"/>
      <protection locked="0"/>
    </xf>
    <xf numFmtId="0" fontId="13" fillId="6" borderId="113" xfId="0" applyFont="1" applyFill="1" applyBorder="1" applyAlignment="1" applyProtection="1">
      <alignment horizontal="center" vertical="center"/>
      <protection locked="0"/>
    </xf>
    <xf numFmtId="0" fontId="13" fillId="6" borderId="114" xfId="0" applyFont="1" applyFill="1" applyBorder="1" applyAlignment="1" applyProtection="1">
      <alignment horizontal="center" vertical="center"/>
      <protection locked="0"/>
    </xf>
    <xf numFmtId="0" fontId="13" fillId="6" borderId="89" xfId="0" applyFont="1" applyFill="1" applyBorder="1" applyAlignment="1" applyProtection="1">
      <alignment horizontal="center" vertical="center"/>
    </xf>
    <xf numFmtId="0" fontId="13" fillId="6" borderId="113" xfId="0" applyFont="1" applyFill="1" applyBorder="1" applyAlignment="1" applyProtection="1">
      <alignment horizontal="center" vertical="center"/>
    </xf>
    <xf numFmtId="0" fontId="13" fillId="6" borderId="114" xfId="0" applyFont="1" applyFill="1" applyBorder="1" applyAlignment="1" applyProtection="1">
      <alignment horizontal="center" vertical="center"/>
    </xf>
    <xf numFmtId="0" fontId="13" fillId="6" borderId="87" xfId="0" applyFont="1" applyFill="1" applyBorder="1" applyAlignment="1" applyProtection="1">
      <alignment horizontal="center" vertical="center"/>
    </xf>
    <xf numFmtId="0" fontId="13" fillId="6" borderId="109" xfId="0" applyFont="1" applyFill="1" applyBorder="1" applyAlignment="1" applyProtection="1">
      <alignment horizontal="center" vertical="center"/>
    </xf>
    <xf numFmtId="0" fontId="13" fillId="6" borderId="112" xfId="0" applyFont="1" applyFill="1" applyBorder="1" applyAlignment="1" applyProtection="1">
      <alignment horizontal="center" vertical="center"/>
    </xf>
    <xf numFmtId="0" fontId="13" fillId="6" borderId="37" xfId="0" applyFont="1" applyFill="1" applyBorder="1" applyAlignment="1" applyProtection="1">
      <alignment horizontal="center" vertical="center"/>
    </xf>
    <xf numFmtId="0" fontId="21" fillId="5" borderId="4" xfId="8" applyFont="1" applyFill="1" applyBorder="1" applyAlignment="1" applyProtection="1">
      <alignment horizontal="center" vertical="center" wrapText="1"/>
      <protection locked="0"/>
    </xf>
    <xf numFmtId="0" fontId="21" fillId="5" borderId="7" xfId="8" applyFont="1" applyFill="1" applyBorder="1" applyAlignment="1" applyProtection="1">
      <alignment horizontal="center" vertical="center" wrapText="1"/>
      <protection locked="0"/>
    </xf>
    <xf numFmtId="0" fontId="21" fillId="5" borderId="2" xfId="8" applyFont="1" applyFill="1" applyBorder="1" applyAlignment="1" applyProtection="1">
      <alignment horizontal="center" vertical="center" wrapText="1"/>
      <protection locked="0"/>
    </xf>
    <xf numFmtId="0" fontId="21" fillId="5" borderId="8" xfId="8" applyNumberFormat="1" applyFont="1" applyFill="1" applyBorder="1" applyAlignment="1" applyProtection="1">
      <alignment horizontal="left" vertical="center"/>
      <protection locked="0"/>
    </xf>
    <xf numFmtId="181" fontId="1" fillId="6" borderId="17" xfId="0" applyNumberFormat="1" applyFont="1" applyFill="1" applyBorder="1" applyAlignment="1" applyProtection="1">
      <alignment horizontal="center" vertical="center"/>
      <protection locked="0"/>
    </xf>
    <xf numFmtId="181" fontId="1" fillId="6" borderId="18" xfId="0" applyNumberFormat="1" applyFont="1" applyFill="1" applyBorder="1" applyAlignment="1" applyProtection="1">
      <alignment horizontal="center" vertical="center"/>
      <protection locked="0"/>
    </xf>
    <xf numFmtId="181" fontId="1" fillId="6" borderId="19" xfId="0" applyNumberFormat="1" applyFont="1" applyFill="1" applyBorder="1" applyAlignment="1" applyProtection="1">
      <alignment horizontal="center" vertical="center"/>
      <protection locked="0"/>
    </xf>
    <xf numFmtId="181" fontId="1" fillId="6" borderId="95" xfId="0" applyNumberFormat="1" applyFont="1" applyFill="1" applyBorder="1" applyAlignment="1" applyProtection="1">
      <alignment horizontal="center" vertical="center"/>
      <protection locked="0"/>
    </xf>
    <xf numFmtId="181" fontId="1" fillId="6" borderId="58" xfId="0" applyNumberFormat="1" applyFont="1" applyFill="1" applyBorder="1" applyAlignment="1" applyProtection="1">
      <alignment horizontal="center" vertical="center"/>
      <protection locked="0"/>
    </xf>
    <xf numFmtId="181" fontId="1" fillId="6" borderId="55" xfId="0" applyNumberFormat="1" applyFont="1" applyFill="1" applyBorder="1" applyAlignment="1" applyProtection="1">
      <alignment horizontal="center" vertical="center"/>
      <protection locked="0"/>
    </xf>
    <xf numFmtId="0" fontId="27" fillId="6" borderId="89" xfId="0" applyFont="1" applyFill="1" applyBorder="1" applyAlignment="1" applyProtection="1">
      <alignment horizontal="center" vertical="center"/>
      <protection locked="0"/>
    </xf>
    <xf numFmtId="0" fontId="27" fillId="6" borderId="90" xfId="0" applyFont="1" applyFill="1" applyBorder="1" applyAlignment="1" applyProtection="1">
      <alignment horizontal="center" vertical="center"/>
      <protection locked="0"/>
    </xf>
    <xf numFmtId="0" fontId="27" fillId="6" borderId="40" xfId="0" applyFont="1" applyFill="1" applyBorder="1" applyAlignment="1" applyProtection="1">
      <alignment horizontal="center" vertical="center"/>
      <protection locked="0"/>
    </xf>
    <xf numFmtId="0" fontId="27" fillId="6" borderId="41" xfId="0" applyFont="1" applyFill="1" applyBorder="1" applyAlignment="1" applyProtection="1">
      <alignment horizontal="center" vertical="center"/>
      <protection locked="0"/>
    </xf>
    <xf numFmtId="0" fontId="27" fillId="6" borderId="4" xfId="0" applyFont="1" applyFill="1" applyBorder="1" applyAlignment="1" applyProtection="1">
      <alignment horizontal="center" vertical="center"/>
      <protection locked="0"/>
    </xf>
    <xf numFmtId="0" fontId="27" fillId="6" borderId="42" xfId="0" applyFont="1" applyFill="1" applyBorder="1" applyAlignment="1" applyProtection="1">
      <alignment horizontal="center" vertical="center"/>
      <protection locked="0"/>
    </xf>
    <xf numFmtId="0" fontId="13" fillId="0" borderId="51" xfId="0" applyFont="1" applyBorder="1" applyAlignment="1" applyProtection="1">
      <alignment horizontal="center" vertical="center"/>
      <protection locked="0"/>
    </xf>
    <xf numFmtId="0" fontId="1" fillId="0" borderId="58" xfId="0" applyFont="1" applyBorder="1" applyAlignment="1" applyProtection="1">
      <alignment horizontal="center" vertical="center"/>
      <protection locked="0"/>
    </xf>
    <xf numFmtId="191" fontId="1" fillId="0" borderId="61" xfId="0" applyNumberFormat="1" applyFont="1" applyBorder="1" applyAlignment="1" applyProtection="1">
      <alignment horizontal="left" vertical="center"/>
      <protection locked="0"/>
    </xf>
    <xf numFmtId="0" fontId="31" fillId="0" borderId="62" xfId="0" applyFont="1" applyBorder="1" applyAlignment="1" applyProtection="1">
      <alignment horizontal="center" vertical="center"/>
      <protection locked="0"/>
    </xf>
    <xf numFmtId="0" fontId="31" fillId="0" borderId="63" xfId="0" applyFont="1" applyBorder="1" applyAlignment="1" applyProtection="1">
      <alignment horizontal="center" vertical="center"/>
      <protection locked="0"/>
    </xf>
    <xf numFmtId="181" fontId="13" fillId="6" borderId="68" xfId="0" applyNumberFormat="1" applyFont="1" applyFill="1" applyBorder="1" applyAlignment="1" applyProtection="1">
      <alignment horizontal="center" vertical="center"/>
      <protection locked="0"/>
    </xf>
    <xf numFmtId="181" fontId="13" fillId="6" borderId="69" xfId="0" applyNumberFormat="1" applyFont="1" applyFill="1" applyBorder="1" applyAlignment="1" applyProtection="1">
      <alignment horizontal="center" vertical="center"/>
      <protection locked="0"/>
    </xf>
    <xf numFmtId="181" fontId="13" fillId="6" borderId="70" xfId="0" applyNumberFormat="1" applyFont="1" applyFill="1" applyBorder="1" applyAlignment="1" applyProtection="1">
      <alignment horizontal="center" vertical="center"/>
      <protection locked="0"/>
    </xf>
    <xf numFmtId="0" fontId="13" fillId="6" borderId="64" xfId="0" applyFont="1" applyFill="1" applyBorder="1" applyAlignment="1" applyProtection="1">
      <alignment horizontal="center" vertical="center"/>
      <protection locked="0"/>
    </xf>
    <xf numFmtId="0" fontId="13" fillId="6" borderId="71" xfId="0" applyFont="1" applyFill="1" applyBorder="1" applyAlignment="1" applyProtection="1">
      <alignment horizontal="center" vertical="center"/>
      <protection locked="0"/>
    </xf>
    <xf numFmtId="0" fontId="13" fillId="6" borderId="73" xfId="0" applyFont="1" applyFill="1" applyBorder="1" applyAlignment="1" applyProtection="1">
      <alignment horizontal="center" vertical="center"/>
      <protection locked="0"/>
    </xf>
    <xf numFmtId="0" fontId="13" fillId="6" borderId="74" xfId="0" applyFont="1" applyFill="1" applyBorder="1" applyAlignment="1" applyProtection="1">
      <alignment horizontal="center" vertical="center"/>
      <protection locked="0"/>
    </xf>
    <xf numFmtId="0" fontId="13" fillId="6" borderId="78" xfId="0" applyFont="1" applyFill="1" applyBorder="1" applyAlignment="1" applyProtection="1">
      <alignment horizontal="center" vertical="center"/>
      <protection locked="0"/>
    </xf>
    <xf numFmtId="0" fontId="13" fillId="6" borderId="81" xfId="0" applyFont="1" applyFill="1" applyBorder="1" applyAlignment="1" applyProtection="1">
      <alignment horizontal="center" vertical="center"/>
      <protection locked="0"/>
    </xf>
    <xf numFmtId="0" fontId="13" fillId="6" borderId="7" xfId="0" applyFont="1" applyFill="1" applyBorder="1" applyAlignment="1" applyProtection="1">
      <alignment horizontal="center" vertical="center"/>
      <protection locked="0"/>
    </xf>
    <xf numFmtId="0" fontId="13" fillId="6" borderId="86" xfId="0" applyFont="1" applyFill="1" applyBorder="1" applyAlignment="1" applyProtection="1">
      <alignment horizontal="center" vertical="center"/>
      <protection locked="0"/>
    </xf>
    <xf numFmtId="0" fontId="1" fillId="5" borderId="1" xfId="0" applyFont="1" applyFill="1" applyBorder="1" applyAlignment="1" applyProtection="1">
      <alignment horizontal="left" vertical="center"/>
      <protection locked="0"/>
    </xf>
    <xf numFmtId="0" fontId="1" fillId="5" borderId="79" xfId="0" applyFont="1" applyFill="1" applyBorder="1" applyAlignment="1" applyProtection="1">
      <alignment horizontal="left" vertical="center"/>
      <protection locked="0"/>
    </xf>
    <xf numFmtId="0" fontId="13" fillId="9" borderId="81" xfId="0" applyFont="1" applyFill="1" applyBorder="1" applyAlignment="1" applyProtection="1">
      <alignment horizontal="left" vertical="center"/>
      <protection locked="0"/>
    </xf>
    <xf numFmtId="0" fontId="13" fillId="9" borderId="7" xfId="0" applyFont="1" applyFill="1" applyBorder="1" applyAlignment="1" applyProtection="1">
      <alignment horizontal="left" vertical="center"/>
      <protection locked="0"/>
    </xf>
    <xf numFmtId="0" fontId="13" fillId="9" borderId="2" xfId="0" applyFont="1" applyFill="1" applyBorder="1" applyAlignment="1" applyProtection="1">
      <alignment horizontal="left" vertical="center"/>
      <protection locked="0"/>
    </xf>
    <xf numFmtId="0" fontId="13" fillId="9" borderId="4" xfId="0" applyFont="1" applyFill="1" applyBorder="1" applyAlignment="1" applyProtection="1">
      <alignment horizontal="left" vertical="center"/>
      <protection locked="0"/>
    </xf>
    <xf numFmtId="0" fontId="13" fillId="6" borderId="2" xfId="0" applyFont="1" applyFill="1" applyBorder="1" applyAlignment="1" applyProtection="1">
      <alignment horizontal="center" vertical="center"/>
      <protection locked="0"/>
    </xf>
    <xf numFmtId="0" fontId="13" fillId="9" borderId="1" xfId="0" applyFont="1" applyFill="1" applyBorder="1" applyAlignment="1" applyProtection="1">
      <alignment horizontal="left" vertical="center"/>
      <protection locked="0"/>
    </xf>
    <xf numFmtId="0" fontId="1" fillId="9" borderId="1" xfId="0" applyFont="1" applyFill="1" applyBorder="1" applyAlignment="1" applyProtection="1">
      <alignment horizontal="left" vertical="center"/>
      <protection locked="0"/>
    </xf>
    <xf numFmtId="0" fontId="13" fillId="6" borderId="65" xfId="0" applyFont="1" applyFill="1" applyBorder="1" applyAlignment="1" applyProtection="1">
      <alignment horizontal="center" vertical="center"/>
      <protection locked="0"/>
    </xf>
    <xf numFmtId="0" fontId="13" fillId="6" borderId="66" xfId="0" applyFont="1" applyFill="1" applyBorder="1" applyAlignment="1" applyProtection="1">
      <alignment horizontal="center" vertical="center"/>
      <protection locked="0"/>
    </xf>
    <xf numFmtId="0" fontId="13" fillId="6" borderId="67" xfId="0" applyFont="1" applyFill="1" applyBorder="1" applyAlignment="1" applyProtection="1">
      <alignment horizontal="center" vertical="center"/>
      <protection locked="0"/>
    </xf>
    <xf numFmtId="0" fontId="13" fillId="6" borderId="72" xfId="0" applyFont="1" applyFill="1" applyBorder="1" applyAlignment="1" applyProtection="1">
      <alignment horizontal="center" vertical="center"/>
      <protection locked="0"/>
    </xf>
    <xf numFmtId="0" fontId="13" fillId="6" borderId="3" xfId="0" applyFont="1" applyFill="1" applyBorder="1" applyAlignment="1" applyProtection="1">
      <alignment horizontal="center" vertical="center"/>
      <protection locked="0"/>
    </xf>
    <xf numFmtId="0" fontId="29" fillId="6" borderId="13" xfId="0" applyFont="1" applyFill="1" applyBorder="1" applyAlignment="1" applyProtection="1">
      <alignment horizontal="center" vertical="center"/>
      <protection locked="0"/>
    </xf>
    <xf numFmtId="0" fontId="29" fillId="6" borderId="14" xfId="0" applyFont="1" applyFill="1" applyBorder="1" applyAlignment="1" applyProtection="1">
      <alignment horizontal="center" vertical="center"/>
      <protection locked="0"/>
    </xf>
    <xf numFmtId="0" fontId="29" fillId="6" borderId="15" xfId="0" applyFont="1" applyFill="1" applyBorder="1" applyAlignment="1" applyProtection="1">
      <alignment horizontal="center" vertical="center"/>
      <protection locked="0"/>
    </xf>
    <xf numFmtId="0" fontId="29" fillId="6" borderId="11" xfId="0" applyFont="1" applyFill="1" applyBorder="1" applyAlignment="1" applyProtection="1">
      <alignment horizontal="center" vertical="center"/>
      <protection locked="0"/>
    </xf>
    <xf numFmtId="0" fontId="29" fillId="6" borderId="12" xfId="0" applyFont="1" applyFill="1" applyBorder="1" applyAlignment="1" applyProtection="1">
      <alignment horizontal="center" vertical="center"/>
      <protection locked="0"/>
    </xf>
    <xf numFmtId="0" fontId="29" fillId="6" borderId="8" xfId="0" applyFont="1" applyFill="1" applyBorder="1" applyAlignment="1" applyProtection="1">
      <alignment horizontal="center" vertical="center"/>
      <protection locked="0"/>
    </xf>
    <xf numFmtId="0" fontId="29" fillId="6" borderId="4" xfId="0" applyFont="1" applyFill="1" applyBorder="1" applyAlignment="1" applyProtection="1">
      <alignment horizontal="center" vertical="center"/>
      <protection locked="0"/>
    </xf>
    <xf numFmtId="0" fontId="29" fillId="6" borderId="2" xfId="0" applyFont="1" applyFill="1" applyBorder="1" applyAlignment="1" applyProtection="1">
      <alignment horizontal="center" vertical="center"/>
      <protection locked="0"/>
    </xf>
    <xf numFmtId="181" fontId="26" fillId="6" borderId="17" xfId="0" applyNumberFormat="1" applyFont="1" applyFill="1" applyBorder="1" applyAlignment="1" applyProtection="1">
      <alignment horizontal="center" vertical="center"/>
    </xf>
    <xf numFmtId="181" fontId="26" fillId="6" borderId="18" xfId="0" applyNumberFormat="1" applyFont="1" applyFill="1" applyBorder="1" applyAlignment="1" applyProtection="1">
      <alignment horizontal="center" vertical="center"/>
    </xf>
    <xf numFmtId="181" fontId="26" fillId="6" borderId="19" xfId="0" applyNumberFormat="1" applyFont="1" applyFill="1" applyBorder="1" applyAlignment="1" applyProtection="1">
      <alignment horizontal="center" vertical="center"/>
    </xf>
    <xf numFmtId="182" fontId="27" fillId="0" borderId="43" xfId="4" applyNumberFormat="1" applyFont="1" applyBorder="1" applyAlignment="1" applyProtection="1">
      <alignment horizontal="center" vertical="center"/>
    </xf>
    <xf numFmtId="182" fontId="27" fillId="0" borderId="7" xfId="4" applyNumberFormat="1" applyFont="1" applyBorder="1" applyAlignment="1" applyProtection="1">
      <alignment horizontal="center" vertical="center"/>
    </xf>
    <xf numFmtId="182" fontId="27" fillId="0" borderId="2" xfId="4" applyNumberFormat="1" applyFont="1" applyBorder="1" applyAlignment="1" applyProtection="1">
      <alignment horizontal="center" vertical="center"/>
    </xf>
    <xf numFmtId="182" fontId="27" fillId="0" borderId="4" xfId="4" applyNumberFormat="1" applyFont="1" applyBorder="1" applyAlignment="1" applyProtection="1">
      <alignment horizontal="center" vertical="center"/>
    </xf>
    <xf numFmtId="0" fontId="29" fillId="6" borderId="40" xfId="0" applyFont="1" applyFill="1" applyBorder="1" applyAlignment="1" applyProtection="1">
      <alignment horizontal="center" vertical="center"/>
    </xf>
    <xf numFmtId="0" fontId="29" fillId="6" borderId="41" xfId="0" applyFont="1" applyFill="1" applyBorder="1" applyAlignment="1" applyProtection="1">
      <alignment horizontal="center" vertical="center"/>
    </xf>
    <xf numFmtId="182" fontId="27" fillId="0" borderId="1" xfId="4" applyNumberFormat="1" applyFont="1" applyBorder="1" applyAlignment="1" applyProtection="1">
      <alignment horizontal="center" vertical="center"/>
    </xf>
    <xf numFmtId="182" fontId="1" fillId="5" borderId="4" xfId="4" applyNumberFormat="1" applyFont="1" applyFill="1" applyBorder="1" applyAlignment="1" applyProtection="1">
      <alignment horizontal="center" vertical="center"/>
    </xf>
    <xf numFmtId="182" fontId="1" fillId="5" borderId="2" xfId="4" applyNumberFormat="1" applyFont="1" applyFill="1" applyBorder="1" applyAlignment="1" applyProtection="1">
      <alignment horizontal="center" vertical="center"/>
    </xf>
    <xf numFmtId="182" fontId="27" fillId="0" borderId="43" xfId="4" applyNumberFormat="1" applyFont="1" applyBorder="1" applyAlignment="1" applyProtection="1">
      <alignment horizontal="center" vertical="center" wrapText="1"/>
    </xf>
    <xf numFmtId="182" fontId="27" fillId="0" borderId="7" xfId="4" applyNumberFormat="1" applyFont="1" applyBorder="1" applyAlignment="1" applyProtection="1">
      <alignment horizontal="center" vertical="center" wrapText="1"/>
    </xf>
    <xf numFmtId="182" fontId="27" fillId="0" borderId="2" xfId="4" applyNumberFormat="1" applyFont="1" applyBorder="1" applyAlignment="1" applyProtection="1">
      <alignment horizontal="center" vertical="center" wrapText="1"/>
    </xf>
    <xf numFmtId="182" fontId="27" fillId="0" borderId="1" xfId="4" applyNumberFormat="1" applyFont="1" applyBorder="1" applyAlignment="1" applyProtection="1">
      <alignment horizontal="center" vertical="center" wrapText="1"/>
    </xf>
    <xf numFmtId="0" fontId="29" fillId="6" borderId="4" xfId="0" applyFont="1" applyFill="1" applyBorder="1" applyAlignment="1" applyProtection="1">
      <alignment horizontal="center" vertical="center"/>
    </xf>
    <xf numFmtId="0" fontId="29" fillId="6" borderId="42" xfId="0" applyFont="1" applyFill="1" applyBorder="1" applyAlignment="1" applyProtection="1">
      <alignment horizontal="center" vertical="center"/>
    </xf>
    <xf numFmtId="0" fontId="13" fillId="6" borderId="34" xfId="0" applyFont="1" applyFill="1" applyBorder="1" applyAlignment="1" applyProtection="1">
      <alignment horizontal="center" vertical="center"/>
      <protection locked="0"/>
    </xf>
    <xf numFmtId="0" fontId="13" fillId="6" borderId="35" xfId="0" applyFont="1" applyFill="1" applyBorder="1" applyAlignment="1" applyProtection="1">
      <alignment horizontal="center" vertical="center"/>
      <protection locked="0"/>
    </xf>
    <xf numFmtId="0" fontId="13" fillId="6" borderId="1" xfId="0" applyFont="1" applyFill="1" applyBorder="1" applyAlignment="1" applyProtection="1">
      <alignment horizontal="center" vertical="center"/>
      <protection locked="0"/>
    </xf>
    <xf numFmtId="0" fontId="13" fillId="6" borderId="8" xfId="0" applyFont="1" applyFill="1" applyBorder="1" applyAlignment="1" applyProtection="1">
      <alignment horizontal="center" vertical="center"/>
      <protection locked="0"/>
    </xf>
    <xf numFmtId="181" fontId="26" fillId="6" borderId="1" xfId="0" applyNumberFormat="1" applyFont="1" applyFill="1" applyBorder="1" applyAlignment="1" applyProtection="1">
      <alignment horizontal="center" vertical="center"/>
      <protection locked="0"/>
    </xf>
    <xf numFmtId="181" fontId="26" fillId="6" borderId="11" xfId="0" applyNumberFormat="1" applyFont="1" applyFill="1" applyBorder="1" applyAlignment="1" applyProtection="1">
      <alignment horizontal="center" vertical="center"/>
      <protection locked="0"/>
    </xf>
    <xf numFmtId="181" fontId="26" fillId="6" borderId="12" xfId="0" applyNumberFormat="1" applyFont="1" applyFill="1" applyBorder="1" applyAlignment="1" applyProtection="1">
      <alignment horizontal="center" vertical="center"/>
      <protection locked="0"/>
    </xf>
    <xf numFmtId="181" fontId="26" fillId="6" borderId="8" xfId="0" applyNumberFormat="1" applyFont="1" applyFill="1" applyBorder="1" applyAlignment="1" applyProtection="1">
      <alignment horizontal="center" vertical="center"/>
      <protection locked="0"/>
    </xf>
    <xf numFmtId="0" fontId="24" fillId="6" borderId="1" xfId="0" applyFont="1" applyFill="1" applyBorder="1" applyAlignment="1" applyProtection="1">
      <alignment horizontal="center" vertical="center"/>
      <protection locked="0"/>
    </xf>
    <xf numFmtId="0" fontId="24" fillId="6" borderId="4" xfId="0" applyFont="1" applyFill="1" applyBorder="1" applyAlignment="1" applyProtection="1">
      <alignment horizontal="center" vertical="center"/>
      <protection locked="0"/>
    </xf>
    <xf numFmtId="0" fontId="24" fillId="6" borderId="7" xfId="0" applyFont="1" applyFill="1" applyBorder="1" applyAlignment="1" applyProtection="1">
      <alignment horizontal="center" vertical="center"/>
      <protection locked="0"/>
    </xf>
    <xf numFmtId="0" fontId="24" fillId="6" borderId="2" xfId="0" applyFont="1" applyFill="1" applyBorder="1" applyAlignment="1" applyProtection="1">
      <alignment horizontal="center" vertical="center"/>
      <protection locked="0"/>
    </xf>
    <xf numFmtId="0" fontId="26" fillId="6" borderId="1" xfId="0" applyFont="1" applyFill="1" applyBorder="1" applyAlignment="1" applyProtection="1">
      <alignment horizontal="center" vertical="center"/>
      <protection locked="0"/>
    </xf>
    <xf numFmtId="181" fontId="1" fillId="6" borderId="11" xfId="0" applyNumberFormat="1" applyFont="1" applyFill="1" applyBorder="1" applyAlignment="1" applyProtection="1">
      <alignment horizontal="center" vertical="center"/>
      <protection locked="0"/>
    </xf>
    <xf numFmtId="181" fontId="1" fillId="6" borderId="12" xfId="0" applyNumberFormat="1" applyFont="1" applyFill="1" applyBorder="1" applyAlignment="1" applyProtection="1">
      <alignment horizontal="center" vertical="center"/>
      <protection locked="0"/>
    </xf>
    <xf numFmtId="181" fontId="1" fillId="6" borderId="8" xfId="0" applyNumberFormat="1" applyFont="1" applyFill="1" applyBorder="1" applyAlignment="1" applyProtection="1">
      <alignment horizontal="center" vertical="center"/>
      <protection locked="0"/>
    </xf>
    <xf numFmtId="0" fontId="13" fillId="0" borderId="4" xfId="0" applyFont="1" applyFill="1" applyBorder="1" applyAlignment="1" applyProtection="1">
      <alignment horizontal="center" vertical="center"/>
      <protection locked="0"/>
    </xf>
    <xf numFmtId="0" fontId="13" fillId="0" borderId="7" xfId="0" applyFont="1" applyFill="1" applyBorder="1" applyAlignment="1" applyProtection="1">
      <alignment horizontal="center" vertical="center"/>
      <protection locked="0"/>
    </xf>
    <xf numFmtId="0" fontId="13" fillId="0" borderId="2" xfId="0" applyFont="1" applyFill="1" applyBorder="1" applyAlignment="1" applyProtection="1">
      <alignment horizontal="center" vertical="center"/>
      <protection locked="0"/>
    </xf>
    <xf numFmtId="0" fontId="13" fillId="6" borderId="4" xfId="0" applyFont="1" applyFill="1" applyBorder="1" applyAlignment="1" applyProtection="1">
      <alignment horizontal="center" vertical="center"/>
      <protection locked="0"/>
    </xf>
    <xf numFmtId="0" fontId="15" fillId="6" borderId="1" xfId="0" applyFont="1" applyFill="1" applyBorder="1" applyAlignment="1" applyProtection="1">
      <alignment horizontal="center" vertical="center"/>
      <protection locked="0"/>
    </xf>
    <xf numFmtId="181" fontId="1" fillId="6" borderId="1" xfId="0" applyNumberFormat="1" applyFont="1" applyFill="1" applyBorder="1" applyAlignment="1" applyProtection="1">
      <alignment horizontal="center" vertical="center"/>
      <protection locked="0"/>
    </xf>
    <xf numFmtId="0" fontId="1" fillId="6" borderId="4" xfId="0" applyFont="1" applyFill="1" applyBorder="1" applyAlignment="1" applyProtection="1">
      <alignment horizontal="center" vertical="center"/>
      <protection locked="0"/>
    </xf>
    <xf numFmtId="0" fontId="1" fillId="6" borderId="2" xfId="0" applyFont="1" applyFill="1" applyBorder="1" applyAlignment="1" applyProtection="1">
      <alignment horizontal="center" vertical="center"/>
      <protection locked="0"/>
    </xf>
    <xf numFmtId="0" fontId="13" fillId="5" borderId="4" xfId="0" applyFont="1" applyFill="1" applyBorder="1" applyAlignment="1" applyProtection="1">
      <alignment horizontal="center" vertical="center"/>
      <protection locked="0"/>
    </xf>
    <xf numFmtId="0" fontId="13" fillId="5" borderId="7" xfId="0" applyFont="1" applyFill="1" applyBorder="1" applyAlignment="1" applyProtection="1">
      <alignment horizontal="center" vertical="center"/>
      <protection locked="0"/>
    </xf>
    <xf numFmtId="0" fontId="2" fillId="0" borderId="0" xfId="0" applyFont="1" applyAlignment="1" applyProtection="1">
      <alignment horizontal="left"/>
    </xf>
    <xf numFmtId="0" fontId="3" fillId="0" borderId="0" xfId="0" applyFont="1" applyAlignment="1" applyProtection="1">
      <alignment horizontal="left" wrapText="1"/>
    </xf>
    <xf numFmtId="0" fontId="6" fillId="0" borderId="5" xfId="0" applyFont="1" applyFill="1" applyBorder="1" applyAlignment="1" applyProtection="1">
      <alignment horizontal="center" vertical="center"/>
    </xf>
    <xf numFmtId="0" fontId="6" fillId="0" borderId="1" xfId="0" applyFont="1" applyFill="1" applyBorder="1" applyAlignment="1" applyProtection="1">
      <alignment horizontal="center" vertical="center"/>
    </xf>
    <xf numFmtId="0" fontId="0" fillId="0" borderId="4" xfId="0" applyFont="1" applyFill="1" applyBorder="1" applyAlignment="1" applyProtection="1">
      <alignment horizontal="center" vertical="center" wrapText="1"/>
    </xf>
    <xf numFmtId="0" fontId="0" fillId="0" borderId="7" xfId="0" applyFont="1" applyFill="1" applyBorder="1" applyAlignment="1" applyProtection="1">
      <alignment horizontal="center" vertical="center" wrapText="1"/>
    </xf>
    <xf numFmtId="0" fontId="0" fillId="0" borderId="2" xfId="0" applyFont="1" applyFill="1" applyBorder="1" applyAlignment="1" applyProtection="1">
      <alignment horizontal="center" vertical="center" wrapText="1"/>
    </xf>
    <xf numFmtId="0" fontId="0" fillId="0" borderId="4" xfId="0" applyFont="1" applyFill="1" applyBorder="1" applyAlignment="1" applyProtection="1">
      <alignment wrapText="1"/>
    </xf>
    <xf numFmtId="0" fontId="0" fillId="0" borderId="2" xfId="0" applyFont="1" applyFill="1" applyBorder="1" applyAlignment="1" applyProtection="1">
      <alignment wrapText="1"/>
    </xf>
  </cellXfs>
  <cellStyles count="29">
    <cellStyle name="0,0_x000d__x000a_NA_x000d__x000a_" xfId="8"/>
    <cellStyle name="0,0_x000d__x000a_NA_x000d__x000a_ 2" xfId="12"/>
    <cellStyle name="百分比" xfId="4" builtinId="5"/>
    <cellStyle name="百分比 2" xfId="5"/>
    <cellStyle name="百分比 2 2" xfId="7"/>
    <cellStyle name="百分比 3" xfId="14"/>
    <cellStyle name="百分比 3 2" xfId="28"/>
    <cellStyle name="百分比 4" xfId="27"/>
    <cellStyle name="百分比 5" xfId="9"/>
    <cellStyle name="百分比 5 2" xfId="13"/>
    <cellStyle name="百分比 5 3" xfId="15"/>
    <cellStyle name="常规" xfId="0" builtinId="0"/>
    <cellStyle name="常规 2" xfId="16"/>
    <cellStyle name="常规 2 2" xfId="11"/>
    <cellStyle name="常规 3" xfId="17"/>
    <cellStyle name="常规 3 2" xfId="10"/>
    <cellStyle name="常规 3 3" xfId="24"/>
    <cellStyle name="常规 4" xfId="18"/>
    <cellStyle name="常规 5" xfId="19"/>
    <cellStyle name="常规 5 2" xfId="6"/>
    <cellStyle name="常规_东二环测算" xfId="1"/>
    <cellStyle name="常规_现金流" xfId="20"/>
    <cellStyle name="超链接" xfId="3" builtinId="8"/>
    <cellStyle name="超链接 2" xfId="21"/>
    <cellStyle name="千位分隔" xfId="2" builtinId="3"/>
    <cellStyle name="千位分隔 2" xfId="22"/>
    <cellStyle name="千位分隔 3" xfId="23"/>
    <cellStyle name="千位分隔 3 2" xfId="26"/>
    <cellStyle name="千位分隔 4" xfId="25"/>
  </cellStyles>
  <dxfs count="118">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2"/>
  <colors>
    <mruColors>
      <color rgb="FFFFFF66"/>
      <color rgb="FF00CCFF"/>
      <color rgb="FF00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3.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13662729658792669"/>
          <c:y val="0.1348080201315042"/>
          <c:w val="0.65595596571199211"/>
          <c:h val="0.83509916930486794"/>
        </c:manualLayout>
      </c:layout>
      <c:lineChart>
        <c:grouping val="standard"/>
        <c:varyColors val="0"/>
        <c:ser>
          <c:idx val="0"/>
          <c:order val="0"/>
          <c:tx>
            <c:v>经营性现金流（万元）</c:v>
          </c:tx>
          <c:dLbls>
            <c:dLbl>
              <c:idx val="1"/>
              <c:layout>
                <c:manualLayout>
                  <c:x val="-1.1514104778353483E-2"/>
                  <c:y val="-4.0465345096109939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4.6056419113413537E-3"/>
                  <c:y val="-1.6186138038444001E-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4.6056419113413962E-3"/>
                  <c:y val="-2.4279207057666011E-2"/>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2.3028209556706972E-3"/>
                  <c:y val="2.8325741567276956E-2"/>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6.9345140605385647E-17"/>
                  <c:y val="4.1237113402061855E-2"/>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3.7825059101654858E-3"/>
                  <c:y val="4.1237113402061855E-2"/>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'2现金流分析'!$G$1:$N$1</c:f>
              <c:numCache>
                <c:formatCode>General"年"</c:formatCode>
                <c:ptCount val="8"/>
                <c:pt idx="0">
                  <c:v>2018</c:v>
                </c:pt>
                <c:pt idx="1">
                  <c:v>2019</c:v>
                </c:pt>
                <c:pt idx="2">
                  <c:v>2020</c:v>
                </c:pt>
                <c:pt idx="3">
                  <c:v>2021</c:v>
                </c:pt>
                <c:pt idx="4">
                  <c:v>2022</c:v>
                </c:pt>
                <c:pt idx="5">
                  <c:v>2023</c:v>
                </c:pt>
                <c:pt idx="6">
                  <c:v>2024</c:v>
                </c:pt>
                <c:pt idx="7">
                  <c:v>2025</c:v>
                </c:pt>
              </c:numCache>
            </c:numRef>
          </c:cat>
          <c:val>
            <c:numRef>
              <c:f>'2现金流分析'!$G$2:$N$2</c:f>
              <c:numCache>
                <c:formatCode>_ * #,##0_ ;_ * \-#,##0_ ;_ * "-"??_ ;_ @_ </c:formatCode>
                <c:ptCount val="8"/>
                <c:pt idx="0">
                  <c:v>-33442.233565158538</c:v>
                </c:pt>
                <c:pt idx="1">
                  <c:v>14087.006307837917</c:v>
                </c:pt>
                <c:pt idx="2">
                  <c:v>9780.3015829221731</c:v>
                </c:pt>
                <c:pt idx="3">
                  <c:v>5624.1048223111247</c:v>
                </c:pt>
                <c:pt idx="4">
                  <c:v>4141.9639023111249</c:v>
                </c:pt>
                <c:pt idx="5">
                  <c:v>4141.9639023111249</c:v>
                </c:pt>
                <c:pt idx="6">
                  <c:v>4141.9639023111249</c:v>
                </c:pt>
                <c:pt idx="7">
                  <c:v>4141.9639023111249</c:v>
                </c:pt>
              </c:numCache>
            </c:numRef>
          </c:val>
          <c:smooth val="0"/>
        </c:ser>
        <c:dLbls>
          <c:showLegendKey val="0"/>
          <c:showVal val="0"/>
          <c:showCatName val="0"/>
          <c:showSerName val="0"/>
          <c:showPercent val="0"/>
          <c:showBubbleSize val="0"/>
        </c:dLbls>
        <c:marker val="1"/>
        <c:smooth val="0"/>
        <c:axId val="57412096"/>
        <c:axId val="57412656"/>
      </c:lineChart>
      <c:catAx>
        <c:axId val="57412096"/>
        <c:scaling>
          <c:orientation val="minMax"/>
        </c:scaling>
        <c:delete val="0"/>
        <c:axPos val="b"/>
        <c:numFmt formatCode="General&quot;年&quot;" sourceLinked="1"/>
        <c:majorTickMark val="out"/>
        <c:minorTickMark val="none"/>
        <c:tickLblPos val="nextTo"/>
        <c:crossAx val="57412656"/>
        <c:crosses val="autoZero"/>
        <c:auto val="1"/>
        <c:lblAlgn val="ctr"/>
        <c:lblOffset val="100"/>
        <c:noMultiLvlLbl val="0"/>
      </c:catAx>
      <c:valAx>
        <c:axId val="57412656"/>
        <c:scaling>
          <c:orientation val="minMax"/>
        </c:scaling>
        <c:delete val="0"/>
        <c:axPos val="l"/>
        <c:majorGridlines/>
        <c:numFmt formatCode="_ * #,##0_ ;_ * \-#,##0_ ;_ * &quot;-&quot;??_ ;_ @_ " sourceLinked="1"/>
        <c:majorTickMark val="out"/>
        <c:minorTickMark val="none"/>
        <c:tickLblPos val="nextTo"/>
        <c:crossAx val="57412096"/>
        <c:crosses val="autoZero"/>
        <c:crossBetween val="between"/>
      </c:valAx>
      <c:spPr>
        <a:solidFill>
          <a:schemeClr val="accent6">
            <a:lumMod val="20000"/>
            <a:lumOff val="80000"/>
          </a:schemeClr>
        </a:solidFill>
      </c:spPr>
    </c:plotArea>
    <c:legend>
      <c:legendPos val="r"/>
      <c:layout>
        <c:manualLayout>
          <c:xMode val="edge"/>
          <c:yMode val="edge"/>
          <c:x val="0.7995271867612288"/>
          <c:y val="0.49367183483507876"/>
          <c:w val="0.20047281323877067"/>
          <c:h val="6.2140595827583404E-2"/>
        </c:manualLayout>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drawings/_rels/drawing1.xml.rels><?xml version="1.0" encoding="UTF-8" standalone="yes"?>
<Relationships xmlns="http://schemas.openxmlformats.org/package/2006/relationships"><Relationship Id="rId1" Type="http://schemas.openxmlformats.org/officeDocument/2006/relationships/hyperlink" Target="#&#32034;&#24341;!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766445</xdr:colOff>
      <xdr:row>0</xdr:row>
      <xdr:rowOff>38100</xdr:rowOff>
    </xdr:from>
    <xdr:to>
      <xdr:col>4</xdr:col>
      <xdr:colOff>200025</xdr:colOff>
      <xdr:row>1</xdr:row>
      <xdr:rowOff>104775</xdr:rowOff>
    </xdr:to>
    <xdr:sp macro="" textlink="">
      <xdr:nvSpPr>
        <xdr:cNvPr id="2" name="圆角矩形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645285" y="38100"/>
          <a:ext cx="817245" cy="28765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zh-CN" altLang="en-US" sz="1100" b="1">
              <a:solidFill>
                <a:srgbClr val="FF0000"/>
              </a:solidFill>
            </a:rPr>
            <a:t>表格索引</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2</xdr:row>
      <xdr:rowOff>152400</xdr:rowOff>
    </xdr:from>
    <xdr:to>
      <xdr:col>13</xdr:col>
      <xdr:colOff>552450</xdr:colOff>
      <xdr:row>23</xdr:row>
      <xdr:rowOff>85725</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3</xdr:row>
      <xdr:rowOff>19050</xdr:rowOff>
    </xdr:from>
    <xdr:to>
      <xdr:col>2</xdr:col>
      <xdr:colOff>19050</xdr:colOff>
      <xdr:row>4</xdr:row>
      <xdr:rowOff>0</xdr:rowOff>
    </xdr:to>
    <xdr:cxnSp macro="">
      <xdr:nvCxnSpPr>
        <xdr:cNvPr id="3" name="直接连接符 2">
          <a:extLst>
            <a:ext uri="{FF2B5EF4-FFF2-40B4-BE49-F238E27FC236}">
              <a16:creationId xmlns="" xmlns:a16="http://schemas.microsoft.com/office/drawing/2014/main" id="{00000000-0008-0000-0800-000003000000}"/>
            </a:ext>
          </a:extLst>
        </xdr:cNvPr>
        <xdr:cNvCxnSpPr/>
      </xdr:nvCxnSpPr>
      <xdr:spPr>
        <a:xfrm>
          <a:off x="19050" y="567690"/>
          <a:ext cx="2225675" cy="3048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3</xdr:row>
      <xdr:rowOff>19050</xdr:rowOff>
    </xdr:from>
    <xdr:to>
      <xdr:col>2</xdr:col>
      <xdr:colOff>19050</xdr:colOff>
      <xdr:row>4</xdr:row>
      <xdr:rowOff>0</xdr:rowOff>
    </xdr:to>
    <xdr:cxnSp macro="">
      <xdr:nvCxnSpPr>
        <xdr:cNvPr id="2" name="直接连接符 1">
          <a:extLst>
            <a:ext uri="{FF2B5EF4-FFF2-40B4-BE49-F238E27FC236}">
              <a16:creationId xmlns="" xmlns:a16="http://schemas.microsoft.com/office/drawing/2014/main" id="{00000000-0008-0000-0900-000002000000}"/>
            </a:ext>
          </a:extLst>
        </xdr:cNvPr>
        <xdr:cNvCxnSpPr/>
      </xdr:nvCxnSpPr>
      <xdr:spPr>
        <a:xfrm>
          <a:off x="19050" y="819150"/>
          <a:ext cx="2346960" cy="32385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xieshuiqing/AppData/Local/Microsoft/Windows/Temporary%20Internet%20Files/Content.Outlook/RWBOQWNA/&#33258;&#25345;&#27979;&#31639;&#349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yangzhikai/Desktop/7&#26376;6&#26085;&#35774;&#35745;&#37096;&#21516;&#20107;&#35843;&#25972;&#25351;&#26631;/&#19996;&#21319;38.8&#20137;&#27979;&#31639;&#35843;&#25972;20180702/&#38468;&#20214;1-&#25237;&#36164;&#27979;&#31639;&#22686;&#20540;&#31246;&#29256;2%203&#29256;&#36866;&#29992;&#20110;&#25910;&#24182;&#36141;&#65288;&#19996;&#21319;38.8&#20137;&#65289;20180702V4&#8212;&#35843;&#25972;&#23545;&#2021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xieshuiqing/AppData/Local/Microsoft/Windows/Temporary%20Internet%20Files/Content.Outlook/RWBOQWNA/&#20851;&#20110;&#21457;&#24067;&#25237;&#36164;&#27979;&#31639;&#27169;&#26495;2.0&#30340;&#36890;&#30693;-&#37038;&#20214;&#21457;&#36865;/&#25237;&#36164;&#27979;&#31639;&#22686;&#20540;&#31246;&#29256;-2.0&#65288;&#36866;&#29992;&#20110;&#25307;&#25293;&#25346;&#39033;&#30446;&#6528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输入条件"/>
      <sheetName val="测算表"/>
      <sheetName val="Sheet1"/>
      <sheetName val="Sheet3"/>
    </sheetNames>
    <sheetDataSet>
      <sheetData sheetId="0">
        <row r="3">
          <cell r="C3" t="str">
            <v>商铺</v>
          </cell>
        </row>
      </sheetData>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盈利指标"/>
      <sheetName val="更新框架"/>
      <sheetName val="目录"/>
      <sheetName val="收并购参数设置"/>
      <sheetName val="自持参数设置"/>
      <sheetName val="自持利润及现金流量表"/>
      <sheetName val="收并购及自持输出表"/>
      <sheetName val="支付对价及节点"/>
      <sheetName val="12.土地成本表"/>
      <sheetName val="敏感性分析"/>
      <sheetName val="15.土地增值税"/>
      <sheetName val="单项指标"/>
      <sheetName val="综合表"/>
      <sheetName val="Sheet9"/>
      <sheetName val="2.税率表"/>
      <sheetName val="1.参数设置"/>
      <sheetName val="3.保本售价试算"/>
      <sheetName val="Sheet3"/>
      <sheetName val="Sheet4"/>
      <sheetName val="4.综合指标表"/>
      <sheetName val="5.分产品利润表"/>
      <sheetName val="6.签约利润表"/>
      <sheetName val="13.建安成本表"/>
      <sheetName val="7.现金流量表"/>
      <sheetName val="2.3会计利润表"/>
      <sheetName val="17.财务费用测算表"/>
      <sheetName val="11.销售及回款表"/>
      <sheetName val="8.项目规划指标表"/>
      <sheetName val="9.项目开发计划表"/>
      <sheetName val="10.工程成本支出表"/>
      <sheetName val="14.增值税计算表"/>
      <sheetName val="Sheet2"/>
      <sheetName val="Sheet5"/>
      <sheetName val="16.所得税计算表"/>
      <sheetName val="Sheet6"/>
      <sheetName val="18、敏感性分析"/>
      <sheetName val="Sheet7"/>
    </sheetNames>
    <sheetDataSet>
      <sheetData sheetId="0"/>
      <sheetData sheetId="1"/>
      <sheetData sheetId="2"/>
      <sheetData sheetId="3"/>
      <sheetData sheetId="4"/>
      <sheetData sheetId="5"/>
      <sheetData sheetId="6"/>
      <sheetData sheetId="7"/>
      <sheetData sheetId="8"/>
      <sheetData sheetId="9">
        <row r="1">
          <cell r="D1">
            <v>19458.626472</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盈利指标"/>
      <sheetName val="更新框架"/>
      <sheetName val="目录"/>
      <sheetName val="1.参数设置"/>
      <sheetName val="2.税率表"/>
      <sheetName val="3.保本售价试算"/>
      <sheetName val="Sheet3"/>
      <sheetName val="Sheet4"/>
      <sheetName val="综合分析表(汇报）"/>
      <sheetName val="4.综合指标表"/>
      <sheetName val="5.分产品利润表"/>
      <sheetName val="6.签约利润表"/>
      <sheetName val="7.现金流量表"/>
      <sheetName val="2.3会计利润表"/>
      <sheetName val="8.项目规划指标表"/>
      <sheetName val="9.项目开发计划表"/>
      <sheetName val="10.工程成本支出表"/>
      <sheetName val="11.销售及回款表"/>
      <sheetName val="13.建安成本表"/>
      <sheetName val="12.土地成本表"/>
      <sheetName val="14.增值税计算表"/>
      <sheetName val="15.土地增值税"/>
      <sheetName val="Sheet2"/>
      <sheetName val="Sheet5"/>
      <sheetName val="16.所得税计算表"/>
      <sheetName val="17.财务费用测算表"/>
      <sheetName val="18、敏感性分析"/>
      <sheetName val="Sheet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46">
          <cell r="E46">
            <v>0</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1:F20"/>
  <sheetViews>
    <sheetView workbookViewId="0">
      <selection activeCell="G20" sqref="G20"/>
    </sheetView>
  </sheetViews>
  <sheetFormatPr defaultColWidth="9" defaultRowHeight="13.5"/>
  <cols>
    <col min="3" max="3" width="24.25" customWidth="1"/>
    <col min="6" max="6" width="9.5" customWidth="1"/>
    <col min="7" max="7" width="29.5" customWidth="1"/>
  </cols>
  <sheetData>
    <row r="11" spans="3:6">
      <c r="C11" s="1662"/>
    </row>
    <row r="12" spans="3:6">
      <c r="C12" s="1663">
        <f>NPV(2%,D13:F13)</f>
        <v>84.809010109234009</v>
      </c>
      <c r="D12" s="1662">
        <f>-C13*(1+$C$14)</f>
        <v>96.548938460562979</v>
      </c>
      <c r="E12" s="1662">
        <f>D12*(1+$C$14)</f>
        <v>93.216975178615783</v>
      </c>
      <c r="F12" s="1662">
        <f>E12*(1+$C$14)</f>
        <v>90.000000000000028</v>
      </c>
    </row>
    <row r="13" spans="3:6">
      <c r="C13" s="1662">
        <v>-100</v>
      </c>
      <c r="D13" s="1662">
        <v>0</v>
      </c>
      <c r="E13" s="1662">
        <v>0</v>
      </c>
      <c r="F13" s="1662">
        <v>90</v>
      </c>
    </row>
    <row r="14" spans="3:6">
      <c r="C14" s="1664">
        <f>IRR(C13:F13)</f>
        <v>-3.451061539437017E-2</v>
      </c>
    </row>
    <row r="17" spans="3:6">
      <c r="C17">
        <v>-100</v>
      </c>
      <c r="D17">
        <v>0</v>
      </c>
      <c r="E17">
        <v>0</v>
      </c>
      <c r="F17" s="1665">
        <v>110</v>
      </c>
    </row>
    <row r="18" spans="3:6">
      <c r="C18">
        <v>50</v>
      </c>
      <c r="D18">
        <f>-$C$18*($C$14+0.005)</f>
        <v>1.4755307697185085</v>
      </c>
      <c r="E18">
        <f>-$C$18*($C$14+0.005)</f>
        <v>1.4755307697185085</v>
      </c>
      <c r="F18">
        <f>-$C$18*($C$14+0.005)-50</f>
        <v>-48.52446923028149</v>
      </c>
    </row>
    <row r="19" spans="3:6">
      <c r="C19">
        <f t="shared" ref="C19:F19" si="0">C17+C18</f>
        <v>-50</v>
      </c>
      <c r="D19">
        <f t="shared" si="0"/>
        <v>1.4755307697185085</v>
      </c>
      <c r="E19">
        <f t="shared" si="0"/>
        <v>1.4755307697185085</v>
      </c>
      <c r="F19">
        <f t="shared" si="0"/>
        <v>61.47553076971851</v>
      </c>
    </row>
    <row r="20" spans="3:6">
      <c r="C20" s="1664">
        <f>IRR(C19:F19)</f>
        <v>9.0492431629288772E-2</v>
      </c>
    </row>
  </sheetData>
  <phoneticPr fontId="102"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9"/>
  <sheetViews>
    <sheetView showGridLines="0" workbookViewId="0">
      <selection activeCell="C29" sqref="C29"/>
    </sheetView>
  </sheetViews>
  <sheetFormatPr defaultColWidth="9" defaultRowHeight="13.5"/>
  <cols>
    <col min="1" max="1" width="2.5" style="260" customWidth="1"/>
    <col min="2" max="2" width="10.125" style="260" customWidth="1"/>
    <col min="3" max="3" width="11.125" style="260" customWidth="1"/>
    <col min="4" max="16384" width="9" style="260"/>
  </cols>
  <sheetData>
    <row r="1" spans="1:15" ht="18.75">
      <c r="A1" s="79" t="s">
        <v>0</v>
      </c>
      <c r="B1" s="77"/>
      <c r="C1" s="77"/>
      <c r="D1" s="77"/>
      <c r="E1" s="77"/>
      <c r="F1" s="77"/>
      <c r="G1" s="77"/>
      <c r="H1" s="77"/>
      <c r="I1" s="77"/>
      <c r="J1" s="77"/>
      <c r="K1" s="77"/>
      <c r="L1" s="77"/>
      <c r="M1" s="77"/>
      <c r="N1" s="77"/>
      <c r="O1" s="77"/>
    </row>
    <row r="2" spans="1:15" ht="15">
      <c r="A2" s="1622"/>
      <c r="B2" s="743"/>
      <c r="C2" s="743"/>
      <c r="D2" s="743"/>
      <c r="E2" s="743"/>
      <c r="F2" s="743"/>
      <c r="G2" s="743"/>
      <c r="H2" s="743"/>
      <c r="I2" s="743"/>
      <c r="J2" s="743"/>
      <c r="K2" s="743"/>
      <c r="L2" s="743"/>
      <c r="M2" s="743"/>
      <c r="N2" s="743"/>
      <c r="O2" s="743"/>
    </row>
    <row r="3" spans="1:15" ht="15">
      <c r="A3" s="1623" t="s">
        <v>1</v>
      </c>
      <c r="B3" s="743"/>
      <c r="C3" s="743"/>
      <c r="D3" s="743"/>
      <c r="E3" s="743"/>
      <c r="F3" s="743"/>
      <c r="G3" s="743"/>
      <c r="H3" s="743"/>
      <c r="I3" s="743"/>
      <c r="J3" s="743"/>
      <c r="K3" s="743"/>
      <c r="L3" s="743"/>
      <c r="M3" s="743"/>
      <c r="N3" s="743"/>
      <c r="O3" s="743"/>
    </row>
    <row r="4" spans="1:15" ht="15">
      <c r="A4" s="1622"/>
      <c r="B4" s="1706" t="s">
        <v>2</v>
      </c>
      <c r="C4" s="1707"/>
      <c r="D4" s="1624" t="s">
        <v>3</v>
      </c>
      <c r="E4" s="1624" t="s">
        <v>4</v>
      </c>
      <c r="F4" s="1624" t="s">
        <v>5</v>
      </c>
      <c r="G4" s="1625" t="s">
        <v>6</v>
      </c>
      <c r="H4" s="743"/>
      <c r="I4" s="743"/>
      <c r="J4" s="743"/>
      <c r="K4" s="743"/>
      <c r="L4" s="743"/>
      <c r="M4" s="743"/>
      <c r="N4" s="743"/>
      <c r="O4" s="743"/>
    </row>
    <row r="5" spans="1:15" ht="15">
      <c r="A5" s="1622"/>
      <c r="B5" s="1626" t="s">
        <v>7</v>
      </c>
      <c r="C5" s="1627"/>
      <c r="D5" s="1627"/>
      <c r="E5" s="1627"/>
      <c r="F5" s="1627"/>
      <c r="G5" s="1628"/>
      <c r="H5" s="743"/>
      <c r="I5" s="743"/>
      <c r="J5" s="743"/>
      <c r="K5" s="743"/>
      <c r="L5" s="743"/>
      <c r="M5" s="743"/>
      <c r="N5" s="743"/>
      <c r="O5" s="743"/>
    </row>
    <row r="6" spans="1:15" ht="15">
      <c r="A6" s="1622"/>
      <c r="B6" s="1629" t="s">
        <v>8</v>
      </c>
      <c r="C6" s="1630" t="s">
        <v>9</v>
      </c>
      <c r="D6" s="1631">
        <v>0.15</v>
      </c>
      <c r="E6" s="1631">
        <v>0.15</v>
      </c>
      <c r="F6" s="1631">
        <v>0.13</v>
      </c>
      <c r="G6" s="1632">
        <v>0.11</v>
      </c>
      <c r="H6" s="743"/>
      <c r="I6" s="743"/>
      <c r="J6" s="743"/>
      <c r="K6" s="743"/>
      <c r="L6" s="743"/>
      <c r="M6" s="743"/>
      <c r="N6" s="743"/>
      <c r="O6" s="743"/>
    </row>
    <row r="7" spans="1:15" ht="15">
      <c r="A7" s="1622"/>
      <c r="B7" s="1629" t="s">
        <v>10</v>
      </c>
      <c r="C7" s="1630" t="s">
        <v>11</v>
      </c>
      <c r="D7" s="1631">
        <v>0.3</v>
      </c>
      <c r="E7" s="1631">
        <v>0.3</v>
      </c>
      <c r="F7" s="1631">
        <v>0.28000000000000003</v>
      </c>
      <c r="G7" s="1632">
        <v>0.26</v>
      </c>
      <c r="H7" s="743"/>
      <c r="I7" s="743"/>
      <c r="J7" s="743"/>
      <c r="K7" s="743"/>
      <c r="L7" s="743"/>
      <c r="M7" s="743"/>
      <c r="N7" s="743"/>
      <c r="O7" s="743"/>
    </row>
    <row r="8" spans="1:15" ht="15">
      <c r="A8" s="1622"/>
      <c r="B8" s="1633" t="s">
        <v>12</v>
      </c>
      <c r="C8" s="1634" t="s">
        <v>13</v>
      </c>
      <c r="D8" s="1635">
        <v>0.15</v>
      </c>
      <c r="E8" s="1635">
        <v>0.15</v>
      </c>
      <c r="F8" s="1635">
        <v>0.13</v>
      </c>
      <c r="G8" s="1636">
        <v>0.11</v>
      </c>
      <c r="H8" s="743"/>
      <c r="I8" s="743"/>
      <c r="J8" s="743"/>
      <c r="K8" s="743"/>
      <c r="L8" s="743"/>
      <c r="M8" s="743"/>
      <c r="N8" s="743"/>
      <c r="O8" s="743"/>
    </row>
    <row r="9" spans="1:15" ht="15">
      <c r="A9" s="1622"/>
      <c r="B9" s="1637"/>
      <c r="C9" s="1637"/>
      <c r="D9" s="1638"/>
      <c r="E9" s="1638"/>
      <c r="F9" s="1638"/>
      <c r="G9" s="1638"/>
      <c r="H9" s="743"/>
      <c r="I9" s="743"/>
      <c r="J9" s="743"/>
      <c r="K9" s="743"/>
      <c r="L9" s="743"/>
      <c r="M9" s="743"/>
      <c r="N9" s="743"/>
      <c r="O9" s="743"/>
    </row>
    <row r="10" spans="1:15" ht="99.75" customHeight="1">
      <c r="A10" s="1622"/>
      <c r="B10" s="1708" t="s">
        <v>14</v>
      </c>
      <c r="C10" s="1709"/>
      <c r="D10" s="1709"/>
      <c r="E10" s="1709"/>
      <c r="F10" s="1709"/>
      <c r="G10" s="1710"/>
      <c r="H10" s="743"/>
      <c r="I10" s="743"/>
      <c r="J10" s="743"/>
      <c r="K10" s="743"/>
      <c r="L10" s="743"/>
      <c r="M10" s="743"/>
      <c r="N10" s="743"/>
      <c r="O10" s="743"/>
    </row>
    <row r="11" spans="1:15" ht="15">
      <c r="A11" s="1622"/>
      <c r="B11" s="743"/>
      <c r="C11" s="743"/>
      <c r="D11" s="743"/>
      <c r="E11" s="743"/>
      <c r="F11" s="743"/>
      <c r="G11" s="743"/>
      <c r="H11" s="743"/>
      <c r="I11" s="743"/>
      <c r="J11" s="743"/>
      <c r="K11" s="743"/>
      <c r="L11" s="743"/>
      <c r="M11" s="743"/>
      <c r="N11" s="743"/>
      <c r="O11" s="743"/>
    </row>
    <row r="12" spans="1:15" ht="15">
      <c r="A12" s="1623" t="s">
        <v>15</v>
      </c>
      <c r="B12" s="743"/>
      <c r="C12" s="743"/>
      <c r="D12" s="743"/>
      <c r="E12" s="743"/>
      <c r="F12" s="743"/>
      <c r="G12" s="743"/>
      <c r="H12" s="743"/>
      <c r="I12" s="743"/>
      <c r="J12" s="743"/>
      <c r="K12" s="743"/>
      <c r="L12" s="743"/>
      <c r="M12" s="743"/>
      <c r="N12" s="743"/>
      <c r="O12" s="743"/>
    </row>
    <row r="13" spans="1:15">
      <c r="A13" s="1622"/>
      <c r="B13" s="1718" t="s">
        <v>2</v>
      </c>
      <c r="C13" s="1719"/>
      <c r="D13" s="1639" t="s">
        <v>16</v>
      </c>
      <c r="E13" s="1711" t="s">
        <v>17</v>
      </c>
      <c r="F13" s="1712"/>
      <c r="G13" s="1712"/>
      <c r="H13" s="1712"/>
      <c r="I13" s="1712"/>
      <c r="J13" s="1712"/>
      <c r="K13" s="1713"/>
    </row>
    <row r="14" spans="1:15">
      <c r="A14" s="1622"/>
      <c r="B14" s="1720"/>
      <c r="C14" s="1721"/>
      <c r="D14" s="1714" t="str">
        <f>'1.参数设置'!C7</f>
        <v>二类区域</v>
      </c>
      <c r="E14" s="1716" t="s">
        <v>18</v>
      </c>
      <c r="F14" s="1641" t="s">
        <v>19</v>
      </c>
      <c r="G14" s="1641" t="s">
        <v>20</v>
      </c>
      <c r="H14" s="1641" t="s">
        <v>21</v>
      </c>
      <c r="I14" s="1641" t="s">
        <v>22</v>
      </c>
      <c r="J14" s="1640" t="s">
        <v>23</v>
      </c>
      <c r="K14" s="1654" t="s">
        <v>24</v>
      </c>
    </row>
    <row r="15" spans="1:15">
      <c r="A15" s="1622"/>
      <c r="B15" s="1720"/>
      <c r="C15" s="1721"/>
      <c r="D15" s="1715"/>
      <c r="E15" s="1717"/>
      <c r="F15" s="1641" t="str">
        <f t="shared" ref="F15:K15" ca="1" si="0">IF(SUM(F17:F19)&lt;&gt;0,"","N/A")</f>
        <v/>
      </c>
      <c r="G15" s="1641" t="str">
        <f t="shared" ca="1" si="0"/>
        <v>N/A</v>
      </c>
      <c r="H15" s="1641" t="str">
        <f t="shared" ca="1" si="0"/>
        <v>N/A</v>
      </c>
      <c r="I15" s="1641" t="str">
        <f t="shared" ca="1" si="0"/>
        <v>N/A</v>
      </c>
      <c r="J15" s="1655" t="str">
        <f t="shared" ca="1" si="0"/>
        <v>N/A</v>
      </c>
      <c r="K15" s="1656" t="str">
        <f t="shared" ca="1" si="0"/>
        <v>N/A</v>
      </c>
    </row>
    <row r="16" spans="1:15" ht="17.25" customHeight="1">
      <c r="A16" s="1642">
        <v>2</v>
      </c>
      <c r="B16" s="1643" t="s">
        <v>7</v>
      </c>
      <c r="C16" s="1627"/>
      <c r="D16" s="1644"/>
      <c r="E16" s="1645"/>
      <c r="F16" s="1646"/>
      <c r="G16" s="1646"/>
      <c r="H16" s="1646"/>
      <c r="I16" s="1646"/>
      <c r="J16" s="1644"/>
      <c r="K16" s="1657"/>
    </row>
    <row r="17" spans="1:11" ht="19.5" customHeight="1">
      <c r="A17" s="1642">
        <v>3</v>
      </c>
      <c r="B17" s="1629" t="s">
        <v>8</v>
      </c>
      <c r="C17" s="1630" t="s">
        <v>9</v>
      </c>
      <c r="D17" s="1647">
        <f>HLOOKUP($D$14,$E$4:$G$8,A17,FALSE)</f>
        <v>0.13</v>
      </c>
      <c r="E17" s="1648">
        <f>'4.综合指标表'!C5</f>
        <v>0</v>
      </c>
      <c r="F17" s="1649"/>
      <c r="G17" s="1649"/>
      <c r="H17" s="1649"/>
      <c r="I17" s="1649"/>
      <c r="J17" s="1658"/>
      <c r="K17" s="1659"/>
    </row>
    <row r="18" spans="1:11" ht="19.5" customHeight="1">
      <c r="A18" s="1642">
        <v>4</v>
      </c>
      <c r="B18" s="1629" t="s">
        <v>10</v>
      </c>
      <c r="C18" s="1630" t="s">
        <v>11</v>
      </c>
      <c r="D18" s="1647">
        <f>HLOOKUP($D$14,$E$4:$G$8,A18,FALSE)</f>
        <v>0.28000000000000003</v>
      </c>
      <c r="E18" s="1648">
        <f>IFERROR(('16.所得税计算表'!C6-'16.所得税计算表'!C19-'16.所得税计算表'!C32-'16.所得税计算表'!C45)/'16.所得税计算表'!C6,0)</f>
        <v>0.46760621475289171</v>
      </c>
      <c r="F18" s="1650">
        <f>IFERROR(('16.所得税计算表'!D6-'16.所得税计算表'!D19-'16.所得税计算表'!D32-'16.所得税计算表'!D45)/'16.所得税计算表'!D6,0)</f>
        <v>0.46760621475289171</v>
      </c>
      <c r="G18" s="1650">
        <f>IFERROR(('16.所得税计算表'!E6-'16.所得税计算表'!E19-'16.所得税计算表'!E32-'16.所得税计算表'!E45)/'16.所得税计算表'!E6,0)</f>
        <v>0</v>
      </c>
      <c r="H18" s="1650">
        <f>IFERROR(('16.所得税计算表'!F6-'16.所得税计算表'!F19-'16.所得税计算表'!F32-'16.所得税计算表'!F45)/'16.所得税计算表'!F6,0)</f>
        <v>0</v>
      </c>
      <c r="I18" s="1650">
        <f>IFERROR(('16.所得税计算表'!G6-'16.所得税计算表'!G19-'16.所得税计算表'!G32-'16.所得税计算表'!G45)/'16.所得税计算表'!G6,0)</f>
        <v>0</v>
      </c>
      <c r="J18" s="1647">
        <f>IFERROR(('16.所得税计算表'!H6-'16.所得税计算表'!H19-'16.所得税计算表'!H32-'16.所得税计算表'!H45)/'16.所得税计算表'!H6,0)</f>
        <v>0</v>
      </c>
      <c r="K18" s="1660">
        <f>IFERROR(('16.所得税计算表'!I6-'16.所得税计算表'!I19-'16.所得税计算表'!I32-'16.所得税计算表'!I45)/'16.所得税计算表'!I6,0)</f>
        <v>0</v>
      </c>
    </row>
    <row r="19" spans="1:11" ht="19.5" customHeight="1">
      <c r="A19" s="1642">
        <v>5</v>
      </c>
      <c r="B19" s="1633" t="s">
        <v>12</v>
      </c>
      <c r="C19" s="1634" t="s">
        <v>13</v>
      </c>
      <c r="D19" s="1651">
        <f>HLOOKUP($D$14,$E$4:$G$8,A19,FALSE)</f>
        <v>0.13</v>
      </c>
      <c r="E19" s="1652">
        <f ca="1">'4.综合指标表'!C37</f>
        <v>0.20609606238129011</v>
      </c>
      <c r="F19" s="1653">
        <f ca="1">'4.综合指标表'!G37</f>
        <v>0.20609606238129011</v>
      </c>
      <c r="G19" s="1653">
        <f ca="1">'4.综合指标表'!H37</f>
        <v>0</v>
      </c>
      <c r="H19" s="1653">
        <f ca="1">'4.综合指标表'!I37</f>
        <v>0</v>
      </c>
      <c r="I19" s="1653">
        <f ca="1">'4.综合指标表'!J37</f>
        <v>0</v>
      </c>
      <c r="J19" s="1651">
        <f ca="1">'4.综合指标表'!K37</f>
        <v>0</v>
      </c>
      <c r="K19" s="1661">
        <f ca="1">'4.综合指标表'!L37</f>
        <v>0</v>
      </c>
    </row>
  </sheetData>
  <protectedRanges>
    <protectedRange sqref="F15:K15" name="区域1"/>
  </protectedRanges>
  <mergeCells count="6">
    <mergeCell ref="B4:C4"/>
    <mergeCell ref="B10:G10"/>
    <mergeCell ref="E13:K13"/>
    <mergeCell ref="D14:D15"/>
    <mergeCell ref="E14:E15"/>
    <mergeCell ref="B13:C15"/>
  </mergeCells>
  <phoneticPr fontId="102" type="noConversion"/>
  <conditionalFormatting sqref="I17:J17">
    <cfRule type="cellIs" dxfId="117" priority="1" stopIfTrue="1" operator="lessThan">
      <formula>$D17</formula>
    </cfRule>
  </conditionalFormatting>
  <conditionalFormatting sqref="K17">
    <cfRule type="cellIs" dxfId="116" priority="2" stopIfTrue="1" operator="lessThan">
      <formula>$D17</formula>
    </cfRule>
  </conditionalFormatting>
  <conditionalFormatting sqref="I18:J18">
    <cfRule type="cellIs" dxfId="115" priority="3" stopIfTrue="1" operator="lessThan">
      <formula>$D18</formula>
    </cfRule>
  </conditionalFormatting>
  <conditionalFormatting sqref="K18">
    <cfRule type="cellIs" dxfId="114" priority="4" stopIfTrue="1" operator="lessThan">
      <formula>$D18</formula>
    </cfRule>
  </conditionalFormatting>
  <conditionalFormatting sqref="I19:J19">
    <cfRule type="cellIs" dxfId="113" priority="5" stopIfTrue="1" operator="lessThan">
      <formula>$D$19</formula>
    </cfRule>
  </conditionalFormatting>
  <conditionalFormatting sqref="K19">
    <cfRule type="cellIs" dxfId="112" priority="6" stopIfTrue="1" operator="lessThan">
      <formula>$D$19</formula>
    </cfRule>
  </conditionalFormatting>
  <pageMargins left="0.69930555555555596" right="0.69930555555555596"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I39"/>
  <sheetViews>
    <sheetView showGridLines="0" workbookViewId="0">
      <pane xSplit="3" ySplit="3" topLeftCell="D16" activePane="bottomRight" state="frozen"/>
      <selection pane="topRight"/>
      <selection pane="bottomLeft"/>
      <selection pane="bottomRight" activeCell="G20" sqref="G20"/>
    </sheetView>
  </sheetViews>
  <sheetFormatPr defaultColWidth="9" defaultRowHeight="13.5"/>
  <cols>
    <col min="1" max="1" width="3" style="912" customWidth="1"/>
    <col min="2" max="2" width="9" style="1228" customWidth="1"/>
    <col min="3" max="3" width="16.875" style="912" customWidth="1"/>
    <col min="4" max="4" width="10.375" style="1228" customWidth="1"/>
    <col min="5" max="5" width="12.875" style="1228" hidden="1" customWidth="1"/>
    <col min="6" max="6" width="30.125" style="912" customWidth="1"/>
    <col min="7" max="7" width="51.25" style="912" customWidth="1"/>
    <col min="8" max="16384" width="9" style="912"/>
  </cols>
  <sheetData>
    <row r="1" spans="2:8" ht="33" customHeight="1">
      <c r="B1" s="1722" t="str">
        <f>C2&amp;"投资测算表编制目录"</f>
        <v>投资测算表编制目录</v>
      </c>
      <c r="C1" s="1722"/>
      <c r="D1" s="1722"/>
      <c r="E1" s="1722"/>
      <c r="F1" s="1722"/>
    </row>
    <row r="2" spans="2:8" ht="21.75" customHeight="1">
      <c r="B2" s="1596" t="s">
        <v>25</v>
      </c>
      <c r="C2" s="1597"/>
      <c r="D2" s="1598"/>
      <c r="E2" s="1598"/>
      <c r="G2" s="1617"/>
    </row>
    <row r="3" spans="2:8" s="1228" customFormat="1" ht="17.25" customHeight="1">
      <c r="B3" s="1599" t="s">
        <v>26</v>
      </c>
      <c r="C3" s="1599" t="s">
        <v>27</v>
      </c>
      <c r="D3" s="1599" t="s">
        <v>28</v>
      </c>
      <c r="E3" s="1599" t="s">
        <v>29</v>
      </c>
      <c r="F3" s="1599" t="s">
        <v>30</v>
      </c>
      <c r="G3" s="1599" t="s">
        <v>31</v>
      </c>
    </row>
    <row r="4" spans="2:8" s="1228" customFormat="1" ht="48" customHeight="1">
      <c r="B4" s="1268">
        <v>1</v>
      </c>
      <c r="C4" s="1601" t="s">
        <v>32</v>
      </c>
      <c r="D4" s="1268" t="s">
        <v>33</v>
      </c>
      <c r="E4" s="1268" t="s">
        <v>34</v>
      </c>
      <c r="F4" s="1602" t="s">
        <v>35</v>
      </c>
      <c r="G4" s="1618" t="s">
        <v>36</v>
      </c>
      <c r="H4" s="1619" t="s">
        <v>37</v>
      </c>
    </row>
    <row r="5" spans="2:8" s="1228" customFormat="1" ht="24" customHeight="1">
      <c r="B5" s="1268">
        <v>2</v>
      </c>
      <c r="C5" s="1601" t="s">
        <v>38</v>
      </c>
      <c r="D5" s="1268" t="s">
        <v>33</v>
      </c>
      <c r="E5" s="1268" t="s">
        <v>34</v>
      </c>
      <c r="F5" s="1602" t="s">
        <v>39</v>
      </c>
      <c r="G5" s="1602" t="s">
        <v>40</v>
      </c>
    </row>
    <row r="6" spans="2:8" s="1228" customFormat="1" ht="50.25" customHeight="1">
      <c r="B6" s="1268">
        <v>3</v>
      </c>
      <c r="C6" s="1601" t="s">
        <v>41</v>
      </c>
      <c r="D6" s="1268" t="s">
        <v>33</v>
      </c>
      <c r="E6" s="1268" t="str">
        <f ca="1">IF(AND('3.保本售价试算'!B30&gt;-0.5,'3.保本售价试算'!B30&lt;0.5),"ok","数据有误")</f>
        <v>ok</v>
      </c>
      <c r="F6" s="1602" t="s">
        <v>42</v>
      </c>
      <c r="G6" s="1602" t="s">
        <v>43</v>
      </c>
      <c r="H6" s="1620" t="s">
        <v>44</v>
      </c>
    </row>
    <row r="7" spans="2:8" s="1228" customFormat="1" ht="18" customHeight="1">
      <c r="B7" s="1268">
        <v>4</v>
      </c>
      <c r="C7" s="1601" t="s">
        <v>45</v>
      </c>
      <c r="D7" s="1268" t="s">
        <v>46</v>
      </c>
      <c r="E7" s="1268" t="s">
        <v>34</v>
      </c>
      <c r="F7" s="1602" t="s">
        <v>34</v>
      </c>
      <c r="G7" s="1618" t="s">
        <v>47</v>
      </c>
    </row>
    <row r="8" spans="2:8" s="1228" customFormat="1" ht="18" customHeight="1">
      <c r="B8" s="1268">
        <v>5</v>
      </c>
      <c r="C8" s="1601" t="s">
        <v>48</v>
      </c>
      <c r="D8" s="1268" t="s">
        <v>46</v>
      </c>
      <c r="E8" s="1268" t="str">
        <f ca="1">IF(AND('5.分产品利润表'!B40&gt;-0.1,'5.分产品利润表'!B40&lt;0.1),"ok","数据有误")</f>
        <v>ok</v>
      </c>
      <c r="F8" s="1602" t="s">
        <v>34</v>
      </c>
      <c r="G8" s="1602" t="s">
        <v>49</v>
      </c>
      <c r="H8" s="1620" t="s">
        <v>44</v>
      </c>
    </row>
    <row r="9" spans="2:8" s="1228" customFormat="1" ht="18" customHeight="1">
      <c r="B9" s="1268">
        <v>6</v>
      </c>
      <c r="C9" s="1601" t="s">
        <v>50</v>
      </c>
      <c r="D9" s="1268" t="s">
        <v>46</v>
      </c>
      <c r="E9" s="1268" t="str">
        <f ca="1">IF(AND('6.签约利润表'!B353&gt;-0.1,'6.签约利润表'!B353&lt;0.1),"ok","数据有误")</f>
        <v>ok</v>
      </c>
      <c r="F9" s="1602" t="s">
        <v>34</v>
      </c>
      <c r="G9" s="1602" t="s">
        <v>51</v>
      </c>
    </row>
    <row r="10" spans="2:8" ht="18" customHeight="1">
      <c r="B10" s="1268">
        <v>7</v>
      </c>
      <c r="C10" s="1601" t="s">
        <v>52</v>
      </c>
      <c r="D10" s="1268" t="s">
        <v>46</v>
      </c>
      <c r="E10" s="1268" t="str">
        <f ca="1">IF(AND('7.现金流量表'!C43&gt;-0.1,'7.现金流量表'!C43&lt;0.1),"ok","数据有误")</f>
        <v>ok</v>
      </c>
      <c r="F10" s="1602" t="s">
        <v>34</v>
      </c>
      <c r="G10" s="1602"/>
      <c r="H10" s="1621" t="s">
        <v>44</v>
      </c>
    </row>
    <row r="11" spans="2:8" ht="33.75" customHeight="1">
      <c r="B11" s="1268">
        <v>8</v>
      </c>
      <c r="C11" s="1601" t="s">
        <v>53</v>
      </c>
      <c r="D11" s="1268" t="s">
        <v>54</v>
      </c>
      <c r="E11" s="1268" t="s">
        <v>34</v>
      </c>
      <c r="F11" s="1602" t="s">
        <v>55</v>
      </c>
      <c r="G11" s="1602" t="s">
        <v>40</v>
      </c>
      <c r="H11" s="1621" t="s">
        <v>44</v>
      </c>
    </row>
    <row r="12" spans="2:8" ht="30" customHeight="1">
      <c r="B12" s="1268">
        <v>9</v>
      </c>
      <c r="C12" s="1601" t="s">
        <v>56</v>
      </c>
      <c r="D12" s="1268" t="s">
        <v>57</v>
      </c>
      <c r="E12" s="1268" t="s">
        <v>34</v>
      </c>
      <c r="F12" s="1602" t="s">
        <v>58</v>
      </c>
      <c r="G12" s="1602" t="s">
        <v>40</v>
      </c>
      <c r="H12" s="1621" t="s">
        <v>44</v>
      </c>
    </row>
    <row r="13" spans="2:8" ht="35.25" customHeight="1">
      <c r="B13" s="1268">
        <v>10</v>
      </c>
      <c r="C13" s="1601" t="s">
        <v>59</v>
      </c>
      <c r="D13" s="1268" t="s">
        <v>60</v>
      </c>
      <c r="E13" s="1268" t="str">
        <f>IF(AND('10.工程成本支出表'!C81&gt;-0.1,'10.工程成本支出表'!C81&lt;0.1),"ok","数据有误")</f>
        <v>ok</v>
      </c>
      <c r="F13" s="1602" t="s">
        <v>61</v>
      </c>
      <c r="G13" s="1602" t="s">
        <v>40</v>
      </c>
      <c r="H13" s="1621" t="s">
        <v>44</v>
      </c>
    </row>
    <row r="14" spans="2:8" ht="31.5" customHeight="1">
      <c r="B14" s="1268">
        <v>11</v>
      </c>
      <c r="C14" s="1601" t="s">
        <v>62</v>
      </c>
      <c r="D14" s="1268" t="s">
        <v>63</v>
      </c>
      <c r="E14" s="1268" t="str">
        <f>IF(AND('11.销售及回款表'!C495&gt;-0.1,'11.销售及回款表'!C495&lt;0.1),"ok","数据有误")</f>
        <v>ok</v>
      </c>
      <c r="F14" s="1602" t="s">
        <v>64</v>
      </c>
      <c r="G14" s="1602" t="s">
        <v>40</v>
      </c>
      <c r="H14" s="1621" t="s">
        <v>44</v>
      </c>
    </row>
    <row r="15" spans="2:8" ht="45.75" customHeight="1">
      <c r="B15" s="1268">
        <v>12</v>
      </c>
      <c r="C15" s="1601" t="s">
        <v>65</v>
      </c>
      <c r="D15" s="1268" t="s">
        <v>66</v>
      </c>
      <c r="E15" s="1268" t="str">
        <f>IF(AND(('12.土地成本表'!C38+'12.土地成本表'!C68+'12.土地成本表'!C83)&gt;-0.1,('12.土地成本表'!C38+'12.土地成本表'!C68+'12.土地成本表'!C83)&lt;0.1),"ok","数据有误")</f>
        <v>ok</v>
      </c>
      <c r="F15" s="1602" t="s">
        <v>67</v>
      </c>
      <c r="G15" s="1618" t="s">
        <v>68</v>
      </c>
    </row>
    <row r="16" spans="2:8" ht="39" customHeight="1">
      <c r="B16" s="1268">
        <v>13</v>
      </c>
      <c r="C16" s="1601" t="s">
        <v>69</v>
      </c>
      <c r="D16" s="1268" t="s">
        <v>60</v>
      </c>
      <c r="E16" s="1268" t="str">
        <f>IF(AND('13.建安成本表'!C226&gt;-0.1,'13.建安成本表'!C226&lt;0.1),"ok","数据有误")</f>
        <v>ok</v>
      </c>
      <c r="F16" s="1602" t="s">
        <v>70</v>
      </c>
      <c r="G16" s="1602" t="s">
        <v>40</v>
      </c>
      <c r="H16" s="1621" t="s">
        <v>44</v>
      </c>
    </row>
    <row r="17" spans="2:9" ht="18" customHeight="1">
      <c r="B17" s="1268">
        <v>14</v>
      </c>
      <c r="C17" s="1601" t="s">
        <v>71</v>
      </c>
      <c r="D17" s="1268" t="s">
        <v>46</v>
      </c>
      <c r="E17" s="1268" t="str">
        <f>IF(AND('14.增值税计算表'!D27&gt;-0.1,'14.增值税计算表'!D27&lt;0.1),"ok","数据有误")</f>
        <v>ok</v>
      </c>
      <c r="F17" s="1602"/>
      <c r="G17" s="1602" t="s">
        <v>72</v>
      </c>
      <c r="H17" s="1621" t="s">
        <v>44</v>
      </c>
    </row>
    <row r="18" spans="2:9" ht="96" customHeight="1">
      <c r="B18" s="1268">
        <v>15</v>
      </c>
      <c r="C18" s="1601" t="s">
        <v>73</v>
      </c>
      <c r="D18" s="1268" t="s">
        <v>33</v>
      </c>
      <c r="E18" s="1268" t="str">
        <f ca="1">IF(AND('15.土地增值税'!C135&gt;-0.1,'15.土地增值税'!C135&lt;0.1),"ok","数据有误")</f>
        <v>ok</v>
      </c>
      <c r="F18" s="1602" t="s">
        <v>74</v>
      </c>
      <c r="G18" s="1602" t="s">
        <v>75</v>
      </c>
      <c r="H18" s="1602" t="s">
        <v>76</v>
      </c>
      <c r="I18" s="1621"/>
    </row>
    <row r="19" spans="2:9" ht="35.25" customHeight="1">
      <c r="B19" s="1268">
        <v>16</v>
      </c>
      <c r="C19" s="1601" t="s">
        <v>77</v>
      </c>
      <c r="D19" s="1268" t="s">
        <v>33</v>
      </c>
      <c r="E19" s="1268" t="str">
        <f ca="1">IF(AND(('16.所得税计算表'!C214+'16.所得税计算表'!C255)&gt;-0.1,('16.所得税计算表'!C214+'16.所得税计算表'!C255)&lt;0.1),"ok","数据有误")</f>
        <v>ok</v>
      </c>
      <c r="F19" s="1602" t="s">
        <v>78</v>
      </c>
      <c r="G19" s="1618" t="s">
        <v>79</v>
      </c>
      <c r="H19" s="1621" t="s">
        <v>44</v>
      </c>
    </row>
    <row r="20" spans="2:9" ht="48" customHeight="1">
      <c r="B20" s="1268">
        <v>17</v>
      </c>
      <c r="C20" s="1601" t="s">
        <v>80</v>
      </c>
      <c r="D20" s="1268" t="s">
        <v>33</v>
      </c>
      <c r="E20" s="1268" t="str">
        <f ca="1">IF('17.财务费用测算表'!C27=0,"OK","数据有误")</f>
        <v>OK</v>
      </c>
      <c r="F20" s="1602" t="s">
        <v>81</v>
      </c>
      <c r="G20" s="1602" t="s">
        <v>82</v>
      </c>
      <c r="H20" s="1621" t="s">
        <v>44</v>
      </c>
    </row>
    <row r="21" spans="2:9" ht="30.75" customHeight="1">
      <c r="B21" s="1268">
        <v>18</v>
      </c>
      <c r="C21" s="1601" t="s">
        <v>83</v>
      </c>
      <c r="D21" s="1268" t="s">
        <v>46</v>
      </c>
      <c r="E21" s="1268"/>
      <c r="F21" s="1606"/>
      <c r="G21" s="1606" t="s">
        <v>84</v>
      </c>
      <c r="H21" s="1621" t="s">
        <v>44</v>
      </c>
    </row>
    <row r="22" spans="2:9">
      <c r="B22" s="1612" t="s">
        <v>85</v>
      </c>
    </row>
    <row r="23" spans="2:9">
      <c r="B23" s="1613" t="s">
        <v>86</v>
      </c>
    </row>
    <row r="24" spans="2:9">
      <c r="B24" s="1613" t="s">
        <v>87</v>
      </c>
    </row>
    <row r="31" spans="2:9">
      <c r="B31" s="912"/>
      <c r="D31" s="912"/>
      <c r="E31" s="912"/>
    </row>
    <row r="32" spans="2:9">
      <c r="B32" s="912"/>
      <c r="D32" s="912"/>
      <c r="E32" s="912"/>
    </row>
    <row r="33" spans="2:5">
      <c r="B33" s="912"/>
      <c r="D33" s="912"/>
      <c r="E33" s="912"/>
    </row>
    <row r="34" spans="2:5">
      <c r="B34" s="912"/>
      <c r="D34" s="912"/>
      <c r="E34" s="912"/>
    </row>
    <row r="35" spans="2:5">
      <c r="B35" s="912"/>
      <c r="D35" s="912"/>
      <c r="E35" s="912"/>
    </row>
    <row r="36" spans="2:5">
      <c r="B36" s="912"/>
      <c r="D36" s="912"/>
      <c r="E36" s="912"/>
    </row>
    <row r="37" spans="2:5">
      <c r="B37" s="912"/>
      <c r="D37" s="912"/>
      <c r="E37" s="912"/>
    </row>
    <row r="38" spans="2:5">
      <c r="B38" s="912"/>
      <c r="D38" s="912"/>
      <c r="E38" s="912"/>
    </row>
    <row r="39" spans="2:5">
      <c r="B39" s="912"/>
      <c r="D39" s="912"/>
      <c r="E39" s="912"/>
    </row>
  </sheetData>
  <mergeCells count="1">
    <mergeCell ref="B1:F1"/>
  </mergeCells>
  <phoneticPr fontId="102" type="noConversion"/>
  <hyperlinks>
    <hyperlink ref="C7" location="'4.综合指标表'!A1" display="综合指标表"/>
    <hyperlink ref="C8" location="'5.分产品利润表'!A1" display="分产品利润表"/>
    <hyperlink ref="C10" location="'7.现金流量表'!A1" display="现金流量表"/>
    <hyperlink ref="C11" location="'8.项目规划指标表'!A1" display="项目规划指标表"/>
    <hyperlink ref="C12" location="'9.项目开发计划表'!A1" display="项目开发计划表"/>
    <hyperlink ref="C13" location="'10.工程成本支出表'!A1" display="工程成本支出表"/>
    <hyperlink ref="C14" location="'11.销售及回款表'!A1" display="销售及回款表"/>
    <hyperlink ref="C16" location="'13.建安成本表'!A1" display="建安成本表"/>
    <hyperlink ref="C15" location="'12.土地成本表'!A1" display="土地成本表"/>
    <hyperlink ref="C20" location="'17.财务费用测算表'!A1" display="财务费用测算表"/>
    <hyperlink ref="C17" location="'14.增值税计算表'!A1" display="增值税计算表"/>
    <hyperlink ref="C18" location="'15.土地增值税'!A1" display="土地增值税计算表"/>
    <hyperlink ref="C19" location="'16.所得税计算表'!A1" display="所得税计算表"/>
    <hyperlink ref="C9" location="'6.签约利润表'!A1" display="年度签约利润表"/>
    <hyperlink ref="C4" location="'1.参数设置'!A1" display="基本参数设置表"/>
    <hyperlink ref="C5" location="'2.税率表'!A1" display="税率表"/>
    <hyperlink ref="C6" location="'3.保本售价试算'!A1" display="保本售价试算表"/>
  </hyperlinks>
  <pageMargins left="0.69930555555555596" right="0.69930555555555596" top="0.75" bottom="0.75" header="0.3" footer="0.3"/>
  <pageSetup paperSize="9" scale="74"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
  <sheetViews>
    <sheetView workbookViewId="0">
      <selection activeCell="H26" sqref="H26"/>
    </sheetView>
  </sheetViews>
  <sheetFormatPr defaultColWidth="9" defaultRowHeight="12"/>
  <cols>
    <col min="1" max="1" width="13.375" style="1673" customWidth="1"/>
    <col min="2" max="3" width="12.25" style="1673" customWidth="1"/>
    <col min="4" max="4" width="12.25" style="1673" hidden="1" customWidth="1"/>
    <col min="5" max="7" width="12.25" style="1673" customWidth="1"/>
    <col min="8" max="8" width="16.625" style="1673" customWidth="1"/>
    <col min="9" max="9" width="9.125" style="1673" bestFit="1" customWidth="1"/>
    <col min="10" max="10" width="9.5" style="1673" customWidth="1"/>
    <col min="11" max="12" width="9.125" style="1673" bestFit="1" customWidth="1"/>
    <col min="13" max="13" width="14" style="1673" bestFit="1" customWidth="1"/>
    <col min="14" max="14" width="10.5" style="1673" bestFit="1" customWidth="1"/>
    <col min="15" max="15" width="11.25" style="1673" customWidth="1"/>
    <col min="16" max="16384" width="9" style="1673"/>
  </cols>
  <sheetData>
    <row r="1" spans="1:9" ht="24">
      <c r="A1" s="1703" t="s">
        <v>1056</v>
      </c>
      <c r="B1" s="1704" t="s">
        <v>1055</v>
      </c>
      <c r="C1" s="1704" t="s">
        <v>1054</v>
      </c>
      <c r="D1" s="1704" t="s">
        <v>1053</v>
      </c>
      <c r="E1" s="1704" t="str">
        <f>'5.分产品利润表'!M5</f>
        <v>有产权车库(个)</v>
      </c>
      <c r="F1" s="1704" t="s">
        <v>251</v>
      </c>
      <c r="G1" s="1703" t="s">
        <v>1052</v>
      </c>
      <c r="H1" s="1673" t="s">
        <v>1051</v>
      </c>
    </row>
    <row r="2" spans="1:9">
      <c r="A2" s="1700" t="s">
        <v>1050</v>
      </c>
      <c r="B2" s="1699">
        <f>'5.分产品利润表'!C6</f>
        <v>87130.794959999999</v>
      </c>
      <c r="C2" s="1699">
        <f>'5.分产品利润表'!D6</f>
        <v>8736</v>
      </c>
      <c r="D2" s="1699">
        <f>'5.分产品利润表'!E6</f>
        <v>0</v>
      </c>
      <c r="E2" s="1699">
        <f>'5.分产品利润表'!M6</f>
        <v>4726.3999999999996</v>
      </c>
      <c r="F2" s="1697">
        <f>B2+C2+D2+E2</f>
        <v>100593.19495999999</v>
      </c>
      <c r="G2" s="1698">
        <f>F2/$F$2</f>
        <v>1</v>
      </c>
      <c r="H2" s="1683">
        <f>F2-'5.分产品利润表'!B6</f>
        <v>0</v>
      </c>
    </row>
    <row r="3" spans="1:9">
      <c r="A3" s="1700" t="s">
        <v>1049</v>
      </c>
      <c r="B3" s="1699">
        <f ca="1">'5.分产品利润表'!C20</f>
        <v>20110.113175562554</v>
      </c>
      <c r="C3" s="1699">
        <f ca="1">'5.分产品利润表'!D20</f>
        <v>-1102.0594979695686</v>
      </c>
      <c r="D3" s="1699">
        <f ca="1">'5.分产品利润表'!E20</f>
        <v>0</v>
      </c>
      <c r="E3" s="1699">
        <f ca="1">'5.分产品利润表'!M20</f>
        <v>1723.8077060164524</v>
      </c>
      <c r="F3" s="1697">
        <f ca="1">'5.分产品利润表'!B20</f>
        <v>20731.861383609437</v>
      </c>
      <c r="G3" s="1698">
        <f ca="1">F3/$F$2</f>
        <v>0.20609606238129011</v>
      </c>
      <c r="H3" s="1683">
        <f ca="1">F3-'5.分产品利润表'!B25</f>
        <v>0</v>
      </c>
    </row>
    <row r="4" spans="1:9">
      <c r="A4" s="1700" t="s">
        <v>1048</v>
      </c>
      <c r="B4" s="1702">
        <f ca="1">B3/B2</f>
        <v>0.23080373804456511</v>
      </c>
      <c r="C4" s="1702">
        <f ca="1">C3/C2</f>
        <v>-0.12615149930970337</v>
      </c>
      <c r="D4" s="1702" t="e">
        <f ca="1">D3/D2</f>
        <v>#DIV/0!</v>
      </c>
      <c r="E4" s="1702">
        <f ca="1">E3/E2</f>
        <v>0.36471896285046812</v>
      </c>
      <c r="F4" s="1702">
        <f ca="1">F3/F2</f>
        <v>0.20609606238129011</v>
      </c>
      <c r="G4" s="1698" t="s">
        <v>1046</v>
      </c>
      <c r="H4" s="1683"/>
    </row>
    <row r="5" spans="1:9">
      <c r="A5" s="1700" t="s">
        <v>1047</v>
      </c>
      <c r="B5" s="1702">
        <f ca="1">B6/B2</f>
        <v>0.25077411872440641</v>
      </c>
      <c r="C5" s="1702">
        <f ca="1">C6/C2</f>
        <v>7.3886732337003075E-3</v>
      </c>
      <c r="D5" s="1702" t="e">
        <f ca="1">D6/D2</f>
        <v>#DIV/0!</v>
      </c>
      <c r="E5" s="1702">
        <f ca="1">E6/E2</f>
        <v>0.18360712572025592</v>
      </c>
      <c r="F5" s="1702">
        <f ca="1">F6/F2</f>
        <v>0.22648148810944949</v>
      </c>
      <c r="G5" s="1698" t="s">
        <v>1046</v>
      </c>
      <c r="H5" s="1683"/>
    </row>
    <row r="6" spans="1:9">
      <c r="A6" s="1701" t="s">
        <v>1045</v>
      </c>
      <c r="B6" s="1699">
        <f ca="1">B7+B8+B9+B10</f>
        <v>21850.148319850952</v>
      </c>
      <c r="C6" s="1699">
        <f ca="1">C7+C8+C9+C10</f>
        <v>64.547449369605886</v>
      </c>
      <c r="D6" s="1699">
        <f ca="1">D7+D8+D9+D10</f>
        <v>0</v>
      </c>
      <c r="E6" s="1699">
        <f ca="1">E7+E8+E9+E10</f>
        <v>867.80071900421751</v>
      </c>
      <c r="F6" s="1699">
        <f ca="1">F7+F8+F9+F10</f>
        <v>22782.496488224773</v>
      </c>
      <c r="G6" s="1698">
        <f ca="1">F6/$F$2</f>
        <v>0.22648148810944949</v>
      </c>
      <c r="H6" s="1683">
        <f ca="1">F6-'3利润分产品'!C10</f>
        <v>0</v>
      </c>
    </row>
    <row r="7" spans="1:9">
      <c r="A7" s="1700" t="s">
        <v>1044</v>
      </c>
      <c r="B7" s="1699">
        <f>'5.分产品利润表'!C10</f>
        <v>4968.7485496089339</v>
      </c>
      <c r="C7" s="1699">
        <f>'5.分产品利润表'!D10</f>
        <v>344.99443936646009</v>
      </c>
      <c r="D7" s="1699">
        <f>'5.分产品利润表'!E10</f>
        <v>0</v>
      </c>
      <c r="E7" s="1699">
        <f>'5.分产品利润表'!M10</f>
        <v>259.37885165629638</v>
      </c>
      <c r="F7" s="1697">
        <f t="shared" ref="F7:F13" si="0">B7+C7+D7+E7</f>
        <v>5573.1218406316902</v>
      </c>
      <c r="G7" s="1698">
        <f>F7/$F$2</f>
        <v>5.5402573134771128E-2</v>
      </c>
      <c r="H7" s="1683">
        <f>F7-'5.分产品利润表'!B10</f>
        <v>0</v>
      </c>
      <c r="I7" s="1673" t="s">
        <v>1043</v>
      </c>
    </row>
    <row r="8" spans="1:9">
      <c r="A8" s="1700" t="s">
        <v>1042</v>
      </c>
      <c r="B8" s="1699">
        <f ca="1">'5.分产品利润表'!C15</f>
        <v>9523.1454048467731</v>
      </c>
      <c r="C8" s="1699">
        <f ca="1">'5.分产品利润表'!D15</f>
        <v>0</v>
      </c>
      <c r="D8" s="1699">
        <f ca="1">'5.分产品利润表'!E15</f>
        <v>0</v>
      </c>
      <c r="E8" s="1699">
        <f ca="1">'5.分产品利润表'!M15</f>
        <v>0</v>
      </c>
      <c r="F8" s="1697">
        <f t="shared" ca="1" si="0"/>
        <v>9523.1454048467731</v>
      </c>
      <c r="G8" s="1698">
        <f ca="1">F8/$F$2</f>
        <v>9.4669877108820022E-2</v>
      </c>
      <c r="H8" s="1683">
        <f ca="1">F8-'5.分产品利润表'!B15</f>
        <v>0</v>
      </c>
    </row>
    <row r="9" spans="1:9">
      <c r="A9" s="1700" t="s">
        <v>1041</v>
      </c>
      <c r="B9" s="1699">
        <f ca="1">'5.分产品利润表'!C19</f>
        <v>6831.9619439090311</v>
      </c>
      <c r="C9" s="1699">
        <f ca="1">'5.分产品利润表'!D19</f>
        <v>-333.21467788739028</v>
      </c>
      <c r="D9" s="1699">
        <f ca="1">'5.分产品利润表'!E19</f>
        <v>0</v>
      </c>
      <c r="E9" s="1699">
        <f ca="1">'5.分产品利润表'!M19</f>
        <v>579.87319518150287</v>
      </c>
      <c r="F9" s="1697">
        <f t="shared" ca="1" si="0"/>
        <v>7078.6204612031433</v>
      </c>
      <c r="G9" s="1698">
        <f ca="1">F9/$F$2</f>
        <v>7.0368780552381258E-2</v>
      </c>
      <c r="H9" s="1683">
        <f ca="1">F9-'5.分产品利润表'!B19</f>
        <v>0</v>
      </c>
    </row>
    <row r="10" spans="1:9">
      <c r="A10" s="1700" t="s">
        <v>1040</v>
      </c>
      <c r="B10" s="1699">
        <f>'5.分产品利润表'!C14+'5.分产品利润表'!C13</f>
        <v>526.29242148621495</v>
      </c>
      <c r="C10" s="1699">
        <f>'5.分产品利润表'!D13+'5.分产品利润表'!D14</f>
        <v>52.767687890536074</v>
      </c>
      <c r="D10" s="1699">
        <f>'5.分产品利润表'!E14+'5.分产品利润表'!E13</f>
        <v>0</v>
      </c>
      <c r="E10" s="1699">
        <f>'5.分产品利润表'!M13+'5.分产品利润表'!M14</f>
        <v>28.548672166418232</v>
      </c>
      <c r="F10" s="1697">
        <f t="shared" si="0"/>
        <v>607.60878154316924</v>
      </c>
      <c r="G10" s="1698">
        <f>F10/$F$2</f>
        <v>6.0402573134771152E-3</v>
      </c>
      <c r="H10" s="1683">
        <f>F10-'5.分产品利润表'!B13-'5.分产品利润表'!B14</f>
        <v>5.6843418860808015E-14</v>
      </c>
    </row>
    <row r="11" spans="1:9" hidden="1">
      <c r="F11" s="1697">
        <f t="shared" si="0"/>
        <v>0</v>
      </c>
    </row>
    <row r="12" spans="1:9" hidden="1">
      <c r="F12" s="1697">
        <f t="shared" si="0"/>
        <v>0</v>
      </c>
    </row>
    <row r="13" spans="1:9" hidden="1">
      <c r="F13" s="1697">
        <f t="shared" si="0"/>
        <v>0</v>
      </c>
    </row>
  </sheetData>
  <phoneticPr fontId="10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
  <sheetViews>
    <sheetView workbookViewId="0">
      <selection activeCell="D8" sqref="D8"/>
    </sheetView>
  </sheetViews>
  <sheetFormatPr defaultColWidth="9" defaultRowHeight="12"/>
  <cols>
    <col min="1" max="1" width="17.125" style="1673" customWidth="1"/>
    <col min="2" max="2" width="16.875" style="1673" customWidth="1"/>
    <col min="3" max="5" width="12.625" style="1673" customWidth="1"/>
    <col min="6" max="6" width="12.375" style="1673" hidden="1" customWidth="1"/>
    <col min="7" max="7" width="11.5" style="1673" hidden="1" customWidth="1"/>
    <col min="8" max="8" width="12.625" style="1673" customWidth="1"/>
    <col min="9" max="9" width="19.125" style="1673" bestFit="1" customWidth="1"/>
    <col min="10" max="10" width="12.75" style="1673" bestFit="1" customWidth="1"/>
    <col min="11" max="16384" width="9" style="1673"/>
  </cols>
  <sheetData>
    <row r="1" spans="1:10" ht="24">
      <c r="A1" s="1694" t="s">
        <v>999</v>
      </c>
      <c r="B1" s="1696" t="s">
        <v>1039</v>
      </c>
      <c r="C1" s="1696" t="s">
        <v>1038</v>
      </c>
      <c r="D1" s="1695" t="s">
        <v>1037</v>
      </c>
      <c r="E1" s="1695" t="s">
        <v>1036</v>
      </c>
      <c r="F1" s="1695" t="str">
        <f>'5.分产品利润表'!E5</f>
        <v>回迁商业</v>
      </c>
      <c r="G1" s="1695" t="str">
        <f>'5.分产品利润表'!L5</f>
        <v>自持物业</v>
      </c>
      <c r="H1" s="1695" t="str">
        <f>'5.分产品利润表'!M5</f>
        <v>有产权车库(个)</v>
      </c>
    </row>
    <row r="2" spans="1:10">
      <c r="A2" s="1694" t="s">
        <v>1035</v>
      </c>
      <c r="B2" s="1687" t="s">
        <v>1034</v>
      </c>
      <c r="C2" s="1686">
        <f>D2+E2+F2+G2+'8.项目规划指标表'!D18</f>
        <v>65226</v>
      </c>
      <c r="D2" s="1685">
        <f>'8.项目规划指标表'!E5</f>
        <v>56100</v>
      </c>
      <c r="E2" s="1685">
        <f>'8.项目规划指标表'!E6</f>
        <v>3640</v>
      </c>
      <c r="F2" s="1685">
        <f>'8.项目规划指标表'!E7</f>
        <v>0</v>
      </c>
      <c r="G2" s="1685">
        <f>'8.项目规划指标表'!E14</f>
        <v>0</v>
      </c>
      <c r="H2" s="1685">
        <f>'8.项目规划指标表'!E18</f>
        <v>422</v>
      </c>
    </row>
    <row r="3" spans="1:10">
      <c r="A3" s="1723" t="s">
        <v>621</v>
      </c>
      <c r="B3" s="1687" t="s">
        <v>1033</v>
      </c>
      <c r="C3" s="1686">
        <f t="shared" ref="C3:H3" si="0">C4/C2*10000</f>
        <v>15422.254156318031</v>
      </c>
      <c r="D3" s="1686">
        <f t="shared" si="0"/>
        <v>15531.335999999999</v>
      </c>
      <c r="E3" s="1686">
        <f t="shared" si="0"/>
        <v>24000</v>
      </c>
      <c r="F3" s="1686" t="e">
        <f t="shared" si="0"/>
        <v>#DIV/0!</v>
      </c>
      <c r="G3" s="1686" t="e">
        <f t="shared" si="0"/>
        <v>#DIV/0!</v>
      </c>
      <c r="H3" s="1686">
        <f t="shared" si="0"/>
        <v>112000</v>
      </c>
    </row>
    <row r="4" spans="1:10">
      <c r="A4" s="1724"/>
      <c r="B4" s="1687" t="s">
        <v>994</v>
      </c>
      <c r="C4" s="1686">
        <f>'5.分产品利润表'!B6</f>
        <v>100593.19495999999</v>
      </c>
      <c r="D4" s="1685">
        <f>'5.分产品利润表'!C6</f>
        <v>87130.794959999999</v>
      </c>
      <c r="E4" s="1685">
        <f>'5.分产品利润表'!D6</f>
        <v>8736</v>
      </c>
      <c r="F4" s="1685">
        <f>'5.分产品利润表'!E6</f>
        <v>0</v>
      </c>
      <c r="G4" s="1685"/>
      <c r="H4" s="1685">
        <f>'5.分产品利润表'!M6</f>
        <v>4726.3999999999996</v>
      </c>
    </row>
    <row r="5" spans="1:10">
      <c r="A5" s="1723" t="s">
        <v>995</v>
      </c>
      <c r="B5" s="1687" t="s">
        <v>1032</v>
      </c>
      <c r="C5" s="1686">
        <f t="shared" ref="C5:H5" ca="1" si="1">C6+C7+C8+C9+C10</f>
        <v>79861.333576390563</v>
      </c>
      <c r="D5" s="1686">
        <f t="shared" ca="1" si="1"/>
        <v>67020.681784437445</v>
      </c>
      <c r="E5" s="1686">
        <f t="shared" ca="1" si="1"/>
        <v>9838.0594979695688</v>
      </c>
      <c r="F5" s="1686">
        <f t="shared" ca="1" si="1"/>
        <v>0</v>
      </c>
      <c r="G5" s="1686">
        <f t="shared" ca="1" si="1"/>
        <v>0</v>
      </c>
      <c r="H5" s="1686">
        <f t="shared" ca="1" si="1"/>
        <v>3002.5922939835473</v>
      </c>
      <c r="I5" s="1688"/>
    </row>
    <row r="6" spans="1:10">
      <c r="A6" s="1725"/>
      <c r="B6" s="1687" t="s">
        <v>1031</v>
      </c>
      <c r="C6" s="1686">
        <f>D6+E6+H6+F6+G6</f>
        <v>20460.111314965787</v>
      </c>
      <c r="D6" s="1685">
        <f>'5.分产品利润表'!C7</f>
        <v>13253.890298521339</v>
      </c>
      <c r="E6" s="1685">
        <f>'5.分产品利润表'!D7</f>
        <v>7206.2210164444468</v>
      </c>
      <c r="F6" s="1685">
        <f>'5.分产品利润表'!E7</f>
        <v>0</v>
      </c>
      <c r="G6" s="1685">
        <f>'5.分产品利润表'!L7</f>
        <v>0</v>
      </c>
      <c r="H6" s="1685">
        <f>'5.分产品利润表'!M7</f>
        <v>0</v>
      </c>
    </row>
    <row r="7" spans="1:10">
      <c r="A7" s="1725"/>
      <c r="B7" s="1687" t="s">
        <v>1030</v>
      </c>
      <c r="C7" s="1686">
        <f>D7+E7+H7+F7+G7</f>
        <v>31190.531999999999</v>
      </c>
      <c r="D7" s="1685">
        <f>'5.分产品利润表'!C8</f>
        <v>27209.326191199023</v>
      </c>
      <c r="E7" s="1685">
        <f>'5.分产品利润表'!D8</f>
        <v>2113.0962088009774</v>
      </c>
      <c r="F7" s="1685">
        <f>'5.分产品利润表'!E8</f>
        <v>0</v>
      </c>
      <c r="G7" s="1685">
        <f>'5.分产品利润表'!L8</f>
        <v>0</v>
      </c>
      <c r="H7" s="1685">
        <f>'5.分产品利润表'!M8</f>
        <v>1868.1096</v>
      </c>
    </row>
    <row r="8" spans="1:10">
      <c r="A8" s="1725"/>
      <c r="B8" s="1687" t="s">
        <v>1029</v>
      </c>
      <c r="C8" s="1686">
        <f ca="1">D8+E8+H8+F8+G8</f>
        <v>901.5</v>
      </c>
      <c r="D8" s="1685">
        <f ca="1">'5.分产品利润表'!C18</f>
        <v>786.4312016661313</v>
      </c>
      <c r="E8" s="1685">
        <f ca="1">'5.分产品利润表'!D18</f>
        <v>61.074823354538523</v>
      </c>
      <c r="F8" s="1685">
        <f>'5.分产品利润表'!E18</f>
        <v>0</v>
      </c>
      <c r="G8" s="1685">
        <f ca="1">'5.分产品利润表'!L18</f>
        <v>0</v>
      </c>
      <c r="H8" s="1685">
        <f ca="1">'5.分产品利润表'!M18</f>
        <v>53.993974979330268</v>
      </c>
      <c r="I8" s="1693"/>
      <c r="J8" s="1693"/>
    </row>
    <row r="9" spans="1:10">
      <c r="A9" s="1725"/>
      <c r="B9" s="1687" t="s">
        <v>1028</v>
      </c>
      <c r="C9" s="1686">
        <f>D9+E9+H9+F9+G9</f>
        <v>4526.6937732000006</v>
      </c>
      <c r="D9" s="1685">
        <f>'5.分产品利润表'!C16+'5.分产品利润表'!C17</f>
        <v>3920.8857732000001</v>
      </c>
      <c r="E9" s="1685">
        <f>'5.分产品利润表'!D16+'5.分产品利润表'!D17</f>
        <v>393.12</v>
      </c>
      <c r="F9" s="1685">
        <f>'5.分产品利润表'!E16+'5.分产品利润表'!E17</f>
        <v>0</v>
      </c>
      <c r="G9" s="1685"/>
      <c r="H9" s="1685">
        <f>'5.分产品利润表'!M16+'5.分产品利润表'!M17</f>
        <v>212.68799999999999</v>
      </c>
    </row>
    <row r="10" spans="1:10">
      <c r="A10" s="1724"/>
      <c r="B10" s="1687" t="s">
        <v>1027</v>
      </c>
      <c r="C10" s="1686">
        <f ca="1">D10+E10+H10+F10+G10</f>
        <v>22782.496488224777</v>
      </c>
      <c r="D10" s="1685">
        <f ca="1">'5.分产品利润表'!C10+'5.分产品利润表'!C13+'5.分产品利润表'!C14+'5.分产品利润表'!C15+'5.分产品利润表'!C19</f>
        <v>21850.148319850952</v>
      </c>
      <c r="E10" s="1685">
        <f ca="1">'5.分产品利润表'!D10+'5.分产品利润表'!D13+'5.分产品利润表'!D14+'5.分产品利润表'!D15+'5.分产品利润表'!D19</f>
        <v>64.547449369605886</v>
      </c>
      <c r="F10" s="1685">
        <f ca="1">'5.分产品利润表'!E10+'5.分产品利润表'!E13+'5.分产品利润表'!E14+'5.分产品利润表'!E15+'5.分产品利润表'!E19</f>
        <v>0</v>
      </c>
      <c r="G10" s="1685">
        <f>'5.分产品利润表'!L10</f>
        <v>0</v>
      </c>
      <c r="H10" s="1685">
        <f ca="1">'5.分产品利润表'!M10+'5.分产品利润表'!M13+'5.分产品利润表'!M14+'5.分产品利润表'!M15+'5.分产品利润表'!M19</f>
        <v>867.8007190042174</v>
      </c>
    </row>
    <row r="11" spans="1:10">
      <c r="A11" s="1723" t="s">
        <v>1026</v>
      </c>
      <c r="B11" s="1687" t="s">
        <v>1024</v>
      </c>
      <c r="C11" s="1686">
        <f ca="1">D11+E11+F11+H11-G10</f>
        <v>20731.861383609437</v>
      </c>
      <c r="D11" s="1686">
        <f ca="1">D4-D5</f>
        <v>20110.113175562554</v>
      </c>
      <c r="E11" s="1686">
        <f ca="1">E4-E5</f>
        <v>-1102.0594979695688</v>
      </c>
      <c r="F11" s="1686">
        <f ca="1">F4-F5</f>
        <v>0</v>
      </c>
      <c r="G11" s="1686"/>
      <c r="H11" s="1686">
        <f ca="1">H4-H5</f>
        <v>1723.8077060164524</v>
      </c>
    </row>
    <row r="12" spans="1:10">
      <c r="A12" s="1725"/>
      <c r="B12" s="1687" t="s">
        <v>1023</v>
      </c>
      <c r="C12" s="1686">
        <f ca="1">C11/C2*10000</f>
        <v>3178.465854660632</v>
      </c>
      <c r="D12" s="1686">
        <f ca="1">D11/D2*10000</f>
        <v>3584.6904056261237</v>
      </c>
      <c r="E12" s="1686">
        <f ca="1">E11/E2*10000</f>
        <v>-3027.6359834328814</v>
      </c>
      <c r="F12" s="1686" t="e">
        <f ca="1">F11/F2*10000</f>
        <v>#DIV/0!</v>
      </c>
      <c r="G12" s="1686"/>
      <c r="H12" s="1686">
        <f ca="1">H11/H2*10000</f>
        <v>40848.523839252426</v>
      </c>
    </row>
    <row r="13" spans="1:10">
      <c r="A13" s="1724"/>
      <c r="B13" s="1687" t="s">
        <v>1022</v>
      </c>
      <c r="C13" s="1689">
        <f ca="1">C11/C4</f>
        <v>0.20609606238129011</v>
      </c>
      <c r="D13" s="1689">
        <f ca="1">D11/D4</f>
        <v>0.23080373804456511</v>
      </c>
      <c r="E13" s="1689">
        <f ca="1">E11/E4</f>
        <v>-0.1261514993097034</v>
      </c>
      <c r="F13" s="1689" t="e">
        <f ca="1">F11/F4</f>
        <v>#DIV/0!</v>
      </c>
      <c r="G13" s="1689"/>
      <c r="H13" s="1689">
        <f ca="1">H11/H4</f>
        <v>0.36471896285046812</v>
      </c>
    </row>
    <row r="14" spans="1:10">
      <c r="A14" s="1723" t="s">
        <v>1025</v>
      </c>
      <c r="B14" s="1687" t="s">
        <v>1024</v>
      </c>
      <c r="C14" s="1692">
        <f ca="1">收并购及自持输出表!C39</f>
        <v>1005.4639023111195</v>
      </c>
      <c r="D14" s="1691">
        <f ca="1">(D11-'3.保本售价试算'!C22)-'3.保本售价试算'!C23</f>
        <v>7331.0746110646269</v>
      </c>
      <c r="E14" s="1691">
        <f ca="1">(E11-'3.保本售价试算'!D22)-'3.保本售价试算'!D23</f>
        <v>-8049.8907112351608</v>
      </c>
      <c r="F14" s="1691">
        <f ca="1">(F11-'3.保本售价试算'!E22)*0.8-'3.保本售价试算'!E23</f>
        <v>0</v>
      </c>
      <c r="G14" s="1691"/>
      <c r="H14" s="1691">
        <f ca="1">H11</f>
        <v>1723.8077060164524</v>
      </c>
      <c r="I14" s="1683">
        <f ca="1">SUM(D14:H14)-C14</f>
        <v>-0.47229646520099777</v>
      </c>
    </row>
    <row r="15" spans="1:10">
      <c r="A15" s="1725"/>
      <c r="B15" s="1687" t="s">
        <v>1023</v>
      </c>
      <c r="C15" s="1690">
        <f ca="1">C14/C2*10000</f>
        <v>154.15078378424545</v>
      </c>
      <c r="D15" s="1690">
        <f ca="1">D14/D2*10000</f>
        <v>1306.7869181933381</v>
      </c>
      <c r="E15" s="1690">
        <f ca="1">E14/E2*10000</f>
        <v>-22115.084371525165</v>
      </c>
      <c r="F15" s="1690" t="e">
        <f ca="1">F14/F2*10000</f>
        <v>#DIV/0!</v>
      </c>
      <c r="G15" s="1690"/>
      <c r="H15" s="1690">
        <f ca="1">H14/H2*10000</f>
        <v>40848.523839252426</v>
      </c>
    </row>
    <row r="16" spans="1:10">
      <c r="A16" s="1724"/>
      <c r="B16" s="1687" t="s">
        <v>1022</v>
      </c>
      <c r="C16" s="1689">
        <f ca="1">C14/C4</f>
        <v>9.9953471277150849E-3</v>
      </c>
      <c r="D16" s="1689">
        <f ca="1">D14/D4</f>
        <v>8.4138732057135207E-2</v>
      </c>
      <c r="E16" s="1689">
        <f ca="1">E14/E4</f>
        <v>-0.92146184881354865</v>
      </c>
      <c r="F16" s="1689" t="e">
        <f ca="1">F14/F4</f>
        <v>#DIV/0!</v>
      </c>
      <c r="G16" s="1689"/>
      <c r="H16" s="1689">
        <f ca="1">H14/H4</f>
        <v>0.36471896285046812</v>
      </c>
    </row>
    <row r="17" spans="1:9">
      <c r="A17" s="1723" t="s">
        <v>1021</v>
      </c>
      <c r="B17" s="1687" t="s">
        <v>1020</v>
      </c>
      <c r="C17" s="1686">
        <f>D17+E17+F17+G17+H17</f>
        <v>95988.878167238086</v>
      </c>
      <c r="D17" s="1685">
        <f>'3.保本售价试算'!C6</f>
        <v>68903.392517487999</v>
      </c>
      <c r="E17" s="1685">
        <f>'3.保本售价试算'!D6</f>
        <v>24677.772020684588</v>
      </c>
      <c r="F17" s="1685">
        <f>'3.保本售价试算'!E6</f>
        <v>0</v>
      </c>
      <c r="G17" s="1685"/>
      <c r="H17" s="1685">
        <f>'3.保本售价试算'!M6</f>
        <v>2407.7136290655026</v>
      </c>
      <c r="I17" s="1688"/>
    </row>
    <row r="18" spans="1:9">
      <c r="A18" s="1724"/>
      <c r="B18" s="1687" t="s">
        <v>1019</v>
      </c>
      <c r="C18" s="1686">
        <f>C17/C2*10000</f>
        <v>14716.352093833453</v>
      </c>
      <c r="D18" s="1685">
        <f>D17/D2*10000</f>
        <v>12282.244655523706</v>
      </c>
      <c r="E18" s="1685">
        <f>E17/E2*10000</f>
        <v>67796.076979902718</v>
      </c>
      <c r="F18" s="1685" t="e">
        <f>F17/F2*10000</f>
        <v>#DIV/0!</v>
      </c>
      <c r="G18" s="1685"/>
      <c r="H18" s="1685">
        <f>H17/H2*10000</f>
        <v>57054.825333305751</v>
      </c>
    </row>
    <row r="21" spans="1:9">
      <c r="C21" s="1684" t="e">
        <f ca="1">C14-#REF!</f>
        <v>#REF!</v>
      </c>
      <c r="D21" s="1683">
        <f ca="1">D11-'5.分产品利润表'!C20</f>
        <v>0</v>
      </c>
      <c r="E21" s="1683">
        <f ca="1">E11-'5.分产品利润表'!D20</f>
        <v>0</v>
      </c>
      <c r="F21" s="1683">
        <f ca="1">F11-'5.分产品利润表'!E20</f>
        <v>0</v>
      </c>
      <c r="G21" s="1683"/>
      <c r="H21" s="1683">
        <f ca="1">H11-'5.分产品利润表'!M20</f>
        <v>0</v>
      </c>
    </row>
    <row r="24" spans="1:9">
      <c r="C24" s="1673" t="s">
        <v>1018</v>
      </c>
      <c r="D24" s="1683">
        <f>D18-E18</f>
        <v>-55513.832324379015</v>
      </c>
    </row>
    <row r="25" spans="1:9">
      <c r="C25" s="1673" t="s">
        <v>1017</v>
      </c>
      <c r="D25" s="1683">
        <f>D3-E3</f>
        <v>-8468.6640000000007</v>
      </c>
    </row>
  </sheetData>
  <mergeCells count="5">
    <mergeCell ref="A3:A4"/>
    <mergeCell ref="A5:A10"/>
    <mergeCell ref="A11:A13"/>
    <mergeCell ref="A14:A16"/>
    <mergeCell ref="A17:A18"/>
  </mergeCells>
  <phoneticPr fontId="10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3"/>
  <sheetViews>
    <sheetView workbookViewId="0">
      <selection activeCell="AL13" sqref="AL13"/>
    </sheetView>
  </sheetViews>
  <sheetFormatPr defaultColWidth="9" defaultRowHeight="13.5"/>
  <cols>
    <col min="1" max="1" width="20.25" style="1674" customWidth="1"/>
    <col min="2" max="6" width="0" style="1674" hidden="1" customWidth="1"/>
    <col min="7" max="14" width="8.75" style="1674" customWidth="1"/>
    <col min="15" max="16" width="11.25" style="1674" hidden="1" customWidth="1"/>
    <col min="17" max="18" width="12.25" style="1674" hidden="1" customWidth="1"/>
    <col min="19" max="37" width="11.25" style="1674" hidden="1" customWidth="1"/>
    <col min="38" max="16384" width="9" style="1674"/>
  </cols>
  <sheetData>
    <row r="1" spans="1:37" s="1679" customFormat="1" ht="24.75" thickTop="1">
      <c r="A1" s="755" t="s">
        <v>620</v>
      </c>
      <c r="B1" s="1682">
        <v>2016</v>
      </c>
      <c r="C1" s="1682" t="s">
        <v>1016</v>
      </c>
      <c r="D1" s="1682" t="s">
        <v>1015</v>
      </c>
      <c r="E1" s="1682" t="s">
        <v>1014</v>
      </c>
      <c r="F1" s="1682" t="s">
        <v>1013</v>
      </c>
      <c r="G1" s="755">
        <v>2018</v>
      </c>
      <c r="H1" s="755">
        <v>2019</v>
      </c>
      <c r="I1" s="755">
        <v>2020</v>
      </c>
      <c r="J1" s="755">
        <v>2021</v>
      </c>
      <c r="K1" s="755">
        <v>2022</v>
      </c>
      <c r="L1" s="755">
        <v>2023</v>
      </c>
      <c r="M1" s="755">
        <v>2024</v>
      </c>
      <c r="N1" s="755">
        <v>2025</v>
      </c>
      <c r="O1" s="1681" t="s">
        <v>321</v>
      </c>
      <c r="P1" s="1681" t="s">
        <v>322</v>
      </c>
      <c r="Q1" s="1681" t="s">
        <v>323</v>
      </c>
      <c r="R1" s="1681" t="s">
        <v>324</v>
      </c>
      <c r="S1" s="1680" t="s">
        <v>335</v>
      </c>
      <c r="T1" s="1680" t="s">
        <v>336</v>
      </c>
      <c r="U1" s="1680" t="s">
        <v>337</v>
      </c>
      <c r="V1" s="1680" t="s">
        <v>338</v>
      </c>
      <c r="W1" s="1680">
        <v>2024</v>
      </c>
      <c r="X1" s="1680" t="s">
        <v>1012</v>
      </c>
      <c r="Y1" s="1680" t="s">
        <v>1011</v>
      </c>
      <c r="Z1" s="1680" t="s">
        <v>1010</v>
      </c>
      <c r="AA1" s="1680" t="s">
        <v>1009</v>
      </c>
      <c r="AB1" s="1680">
        <v>2025</v>
      </c>
      <c r="AC1" s="1680" t="s">
        <v>1008</v>
      </c>
      <c r="AD1" s="1680" t="s">
        <v>1007</v>
      </c>
      <c r="AE1" s="1680" t="s">
        <v>1006</v>
      </c>
      <c r="AF1" s="1680" t="s">
        <v>1005</v>
      </c>
      <c r="AG1" s="1680">
        <v>2026</v>
      </c>
      <c r="AH1" s="1680" t="s">
        <v>1004</v>
      </c>
      <c r="AI1" s="1680" t="s">
        <v>1003</v>
      </c>
      <c r="AJ1" s="1680" t="s">
        <v>1002</v>
      </c>
      <c r="AK1" s="1680" t="s">
        <v>1001</v>
      </c>
    </row>
    <row r="2" spans="1:37" ht="26.25" customHeight="1">
      <c r="A2" s="1678" t="s">
        <v>1000</v>
      </c>
      <c r="B2" s="1678"/>
      <c r="C2" s="1678"/>
      <c r="D2" s="1678"/>
      <c r="E2" s="1678"/>
      <c r="F2" s="1678"/>
      <c r="G2" s="1678">
        <f ca="1">'7.现金流量表（项目经营性）'!D29</f>
        <v>-33442.233565158538</v>
      </c>
      <c r="H2" s="1678">
        <f ca="1">'7.现金流量表（项目经营性）'!I29</f>
        <v>14087.006307837917</v>
      </c>
      <c r="I2" s="1678">
        <f ca="1">'7.现金流量表（项目经营性）'!N29</f>
        <v>9780.3015829221731</v>
      </c>
      <c r="J2" s="1678">
        <f ca="1">'7.现金流量表（项目经营性）'!S29</f>
        <v>5624.1048223111247</v>
      </c>
      <c r="K2" s="1678">
        <f ca="1">'7.现金流量表（项目经营性）'!X29</f>
        <v>4141.9639023111249</v>
      </c>
      <c r="L2" s="1678">
        <f ca="1">'7.现金流量表（项目经营性）'!AC29</f>
        <v>4141.9639023111249</v>
      </c>
      <c r="M2" s="1678">
        <f ca="1">'7.现金流量表（项目经营性）'!AH29</f>
        <v>4141.9639023111249</v>
      </c>
      <c r="N2" s="1678">
        <f ca="1">'7.现金流量表（项目经营性）'!AM29</f>
        <v>4141.9639023111249</v>
      </c>
      <c r="O2" s="1677">
        <v>21832.237365231409</v>
      </c>
      <c r="P2" s="1677">
        <v>23460.318901117371</v>
      </c>
      <c r="Q2" s="1677">
        <v>32740.742832379103</v>
      </c>
      <c r="R2" s="1677">
        <v>18215.68294948875</v>
      </c>
      <c r="S2" s="1677">
        <v>0</v>
      </c>
      <c r="T2" s="1677">
        <v>0</v>
      </c>
      <c r="U2" s="1677">
        <v>0</v>
      </c>
      <c r="V2" s="1677">
        <v>0</v>
      </c>
      <c r="W2" s="1677">
        <v>0</v>
      </c>
      <c r="X2" s="1677">
        <v>0</v>
      </c>
      <c r="Y2" s="1677">
        <v>0</v>
      </c>
      <c r="Z2" s="1677">
        <v>0</v>
      </c>
      <c r="AA2" s="1677">
        <v>0</v>
      </c>
      <c r="AB2" s="1677">
        <v>0</v>
      </c>
      <c r="AC2" s="1677">
        <v>0</v>
      </c>
      <c r="AD2" s="1677">
        <v>0</v>
      </c>
      <c r="AE2" s="1677">
        <v>0</v>
      </c>
      <c r="AF2" s="1677">
        <v>0</v>
      </c>
      <c r="AG2" s="1677">
        <v>0</v>
      </c>
      <c r="AH2" s="1677">
        <v>0</v>
      </c>
      <c r="AI2" s="1677">
        <v>0</v>
      </c>
      <c r="AJ2" s="1677">
        <v>0</v>
      </c>
      <c r="AK2" s="1677">
        <v>0</v>
      </c>
    </row>
    <row r="3" spans="1:37" ht="26.25" customHeight="1">
      <c r="A3" s="1676"/>
      <c r="B3" s="1676"/>
      <c r="C3" s="1676"/>
      <c r="D3" s="1676"/>
      <c r="E3" s="1676"/>
      <c r="F3" s="1676"/>
      <c r="G3" s="1676"/>
      <c r="H3" s="1676"/>
      <c r="I3" s="1676"/>
      <c r="J3" s="1676"/>
      <c r="K3" s="1676"/>
      <c r="L3" s="1676"/>
      <c r="M3" s="1676"/>
      <c r="N3" s="1676"/>
      <c r="O3" s="1675"/>
      <c r="P3" s="1675"/>
      <c r="Q3" s="1675"/>
      <c r="R3" s="1675"/>
      <c r="S3" s="1675"/>
      <c r="T3" s="1675"/>
      <c r="U3" s="1675"/>
      <c r="V3" s="1675"/>
      <c r="W3" s="1675"/>
      <c r="X3" s="1675"/>
      <c r="Y3" s="1675"/>
      <c r="Z3" s="1675"/>
      <c r="AA3" s="1675"/>
      <c r="AB3" s="1675"/>
      <c r="AC3" s="1675"/>
      <c r="AD3" s="1675"/>
      <c r="AE3" s="1675"/>
      <c r="AF3" s="1675"/>
      <c r="AG3" s="1675"/>
      <c r="AH3" s="1675"/>
      <c r="AI3" s="1675"/>
      <c r="AJ3" s="1675"/>
      <c r="AK3" s="1675"/>
    </row>
  </sheetData>
  <phoneticPr fontId="102"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40"/>
  <sheetViews>
    <sheetView showGridLines="0" tabSelected="1" workbookViewId="0">
      <pane xSplit="3" ySplit="3" topLeftCell="D4" activePane="bottomRight" state="frozen"/>
      <selection pane="topRight"/>
      <selection pane="bottomLeft"/>
      <selection pane="bottomRight" activeCell="F10" sqref="F10"/>
    </sheetView>
  </sheetViews>
  <sheetFormatPr defaultColWidth="9" defaultRowHeight="13.5"/>
  <cols>
    <col min="1" max="1" width="7.375" style="912" customWidth="1"/>
    <col min="2" max="2" width="9" style="1228" customWidth="1"/>
    <col min="3" max="3" width="16.875" style="912" customWidth="1"/>
    <col min="4" max="4" width="10.375" style="1228" customWidth="1"/>
    <col min="5" max="5" width="11" style="1228" customWidth="1"/>
    <col min="6" max="6" width="41.125" style="912" customWidth="1"/>
    <col min="7" max="7" width="27.625" style="912" customWidth="1"/>
    <col min="8" max="8" width="27.125" style="912" customWidth="1"/>
    <col min="9" max="9" width="39.125" style="1595" customWidth="1"/>
    <col min="10" max="10" width="34.625" style="912" customWidth="1"/>
    <col min="11" max="16384" width="9" style="912"/>
  </cols>
  <sheetData>
    <row r="1" spans="2:10" ht="33" customHeight="1">
      <c r="B1" s="1722" t="str">
        <f>C2&amp;"投资测算表编制目录"</f>
        <v>投资测算表编制目录</v>
      </c>
      <c r="C1" s="1722"/>
      <c r="D1" s="1722"/>
      <c r="E1" s="1722"/>
      <c r="F1" s="1722"/>
    </row>
    <row r="2" spans="2:10" ht="21.75" customHeight="1">
      <c r="B2" s="1596" t="s">
        <v>25</v>
      </c>
      <c r="C2" s="1597"/>
      <c r="D2" s="1598"/>
      <c r="E2" s="1598"/>
    </row>
    <row r="3" spans="2:10" s="1228" customFormat="1" ht="17.25" customHeight="1">
      <c r="B3" s="1599" t="s">
        <v>26</v>
      </c>
      <c r="C3" s="1599" t="s">
        <v>27</v>
      </c>
      <c r="D3" s="1599" t="s">
        <v>28</v>
      </c>
      <c r="E3" s="1599" t="s">
        <v>29</v>
      </c>
      <c r="F3" s="1599" t="s">
        <v>30</v>
      </c>
      <c r="G3" s="1600" t="s">
        <v>88</v>
      </c>
      <c r="H3" s="1600" t="s">
        <v>89</v>
      </c>
      <c r="I3" s="1614" t="s">
        <v>90</v>
      </c>
      <c r="J3" s="1614" t="s">
        <v>91</v>
      </c>
    </row>
    <row r="4" spans="2:10" s="1228" customFormat="1" ht="81.75" customHeight="1">
      <c r="B4" s="1268">
        <v>1</v>
      </c>
      <c r="C4" s="1601" t="s">
        <v>32</v>
      </c>
      <c r="D4" s="1268" t="s">
        <v>33</v>
      </c>
      <c r="E4" s="1268" t="s">
        <v>34</v>
      </c>
      <c r="F4" s="1602" t="s">
        <v>35</v>
      </c>
      <c r="G4" s="1603" t="s">
        <v>92</v>
      </c>
      <c r="H4" s="1604"/>
      <c r="I4" s="1615" t="s">
        <v>93</v>
      </c>
      <c r="J4" s="1726" t="s">
        <v>94</v>
      </c>
    </row>
    <row r="5" spans="2:10" s="1228" customFormat="1" ht="24" customHeight="1">
      <c r="B5" s="1268">
        <v>2</v>
      </c>
      <c r="C5" s="1601" t="s">
        <v>38</v>
      </c>
      <c r="D5" s="1268" t="s">
        <v>33</v>
      </c>
      <c r="E5" s="1268" t="s">
        <v>34</v>
      </c>
      <c r="F5" s="1602" t="s">
        <v>39</v>
      </c>
      <c r="G5" s="1603" t="s">
        <v>40</v>
      </c>
      <c r="H5" s="1604"/>
      <c r="I5" s="1615" t="s">
        <v>95</v>
      </c>
      <c r="J5" s="1726"/>
    </row>
    <row r="6" spans="2:10" s="1228" customFormat="1" ht="35.25" customHeight="1">
      <c r="B6" s="1268">
        <v>3</v>
      </c>
      <c r="C6" s="1601" t="s">
        <v>41</v>
      </c>
      <c r="D6" s="1268" t="s">
        <v>33</v>
      </c>
      <c r="E6" s="1268" t="str">
        <f ca="1">IF(AND('3.保本售价试算'!B30&gt;-0.5,'3.保本售价试算'!B30&lt;0.5),"ok","数据有误")</f>
        <v>ok</v>
      </c>
      <c r="F6" s="1602" t="s">
        <v>42</v>
      </c>
      <c r="G6" s="1603" t="s">
        <v>96</v>
      </c>
      <c r="H6" s="1605" t="s">
        <v>97</v>
      </c>
      <c r="I6" s="1615" t="s">
        <v>98</v>
      </c>
      <c r="J6" s="1726"/>
    </row>
    <row r="7" spans="2:10" s="1228" customFormat="1" ht="31.5" customHeight="1">
      <c r="B7" s="1268">
        <v>4</v>
      </c>
      <c r="C7" s="1601" t="s">
        <v>45</v>
      </c>
      <c r="D7" s="1268" t="s">
        <v>46</v>
      </c>
      <c r="E7" s="1268" t="s">
        <v>34</v>
      </c>
      <c r="F7" s="1602" t="s">
        <v>34</v>
      </c>
      <c r="G7" s="1603" t="s">
        <v>99</v>
      </c>
      <c r="H7" s="1604"/>
      <c r="I7" s="1616"/>
      <c r="J7" s="1726"/>
    </row>
    <row r="8" spans="2:10" s="1228" customFormat="1" ht="30.75" customHeight="1">
      <c r="B8" s="1268">
        <v>5</v>
      </c>
      <c r="C8" s="1601" t="s">
        <v>48</v>
      </c>
      <c r="D8" s="1268" t="s">
        <v>46</v>
      </c>
      <c r="E8" s="1268" t="str">
        <f ca="1">IF(AND('5.分产品利润表'!B40&gt;-0.1,'5.分产品利润表'!B40&lt;0.1),"ok","数据有误")</f>
        <v>ok</v>
      </c>
      <c r="F8" s="1602" t="s">
        <v>34</v>
      </c>
      <c r="G8" s="1603" t="s">
        <v>100</v>
      </c>
      <c r="H8" s="1604"/>
      <c r="I8" s="1616"/>
      <c r="J8" s="1726"/>
    </row>
    <row r="9" spans="2:10" s="1228" customFormat="1" ht="18" customHeight="1">
      <c r="B9" s="1268">
        <v>6</v>
      </c>
      <c r="C9" s="1601" t="s">
        <v>50</v>
      </c>
      <c r="D9" s="1268" t="s">
        <v>46</v>
      </c>
      <c r="E9" s="1268" t="str">
        <f ca="1">IF(AND('6.签约利润表'!B353&gt;-0.1,'6.签约利润表'!B353&lt;0.1),"ok","数据有误")</f>
        <v>ok</v>
      </c>
      <c r="F9" s="1602" t="s">
        <v>34</v>
      </c>
      <c r="G9" s="1603" t="s">
        <v>40</v>
      </c>
      <c r="H9" s="1604"/>
      <c r="I9" s="1616"/>
      <c r="J9" s="1726"/>
    </row>
    <row r="10" spans="2:10" ht="18" customHeight="1">
      <c r="B10" s="1268">
        <v>7</v>
      </c>
      <c r="C10" s="1601" t="s">
        <v>52</v>
      </c>
      <c r="D10" s="1268" t="s">
        <v>46</v>
      </c>
      <c r="E10" s="1268" t="str">
        <f ca="1">IF(AND('7.现金流量表'!C43&gt;-0.1,'7.现金流量表'!C43&lt;0.1),"ok","数据有误")</f>
        <v>ok</v>
      </c>
      <c r="F10" s="1602" t="s">
        <v>34</v>
      </c>
      <c r="G10" s="1603" t="s">
        <v>40</v>
      </c>
      <c r="H10" s="1606"/>
      <c r="I10" s="1616"/>
      <c r="J10" s="1726"/>
    </row>
    <row r="11" spans="2:10" ht="33.75" customHeight="1">
      <c r="B11" s="1268">
        <v>8</v>
      </c>
      <c r="C11" s="1601" t="s">
        <v>53</v>
      </c>
      <c r="D11" s="1268" t="s">
        <v>54</v>
      </c>
      <c r="E11" s="1268" t="s">
        <v>34</v>
      </c>
      <c r="F11" s="1602" t="s">
        <v>55</v>
      </c>
      <c r="G11" s="1603" t="s">
        <v>40</v>
      </c>
      <c r="H11" s="1607" t="s">
        <v>101</v>
      </c>
      <c r="I11" s="1615" t="s">
        <v>98</v>
      </c>
      <c r="J11" s="1726"/>
    </row>
    <row r="12" spans="2:10" ht="30" customHeight="1">
      <c r="B12" s="1268">
        <v>9</v>
      </c>
      <c r="C12" s="1601" t="s">
        <v>56</v>
      </c>
      <c r="D12" s="1268" t="s">
        <v>57</v>
      </c>
      <c r="E12" s="1268" t="s">
        <v>34</v>
      </c>
      <c r="F12" s="1602" t="s">
        <v>58</v>
      </c>
      <c r="G12" s="1603" t="s">
        <v>40</v>
      </c>
      <c r="H12" s="1606"/>
      <c r="I12" s="1615" t="s">
        <v>102</v>
      </c>
      <c r="J12" s="1726"/>
    </row>
    <row r="13" spans="2:10" ht="35.25" customHeight="1">
      <c r="B13" s="1268">
        <v>10</v>
      </c>
      <c r="C13" s="1601" t="s">
        <v>59</v>
      </c>
      <c r="D13" s="1268" t="s">
        <v>60</v>
      </c>
      <c r="E13" s="1268" t="str">
        <f>IF(AND('10.工程成本支出表'!C81&gt;-0.1,'10.工程成本支出表'!C81&lt;0.1),"ok","数据有误")</f>
        <v>ok</v>
      </c>
      <c r="F13" s="1602" t="s">
        <v>61</v>
      </c>
      <c r="G13" s="1603" t="s">
        <v>40</v>
      </c>
      <c r="H13" s="1606"/>
      <c r="I13" s="1616"/>
      <c r="J13" s="1726"/>
    </row>
    <row r="14" spans="2:10" ht="31.5" customHeight="1">
      <c r="B14" s="1268">
        <v>11</v>
      </c>
      <c r="C14" s="1601" t="s">
        <v>62</v>
      </c>
      <c r="D14" s="1268" t="s">
        <v>63</v>
      </c>
      <c r="E14" s="1268" t="str">
        <f>IF(AND('11.销售及回款表'!C495&gt;-0.1,'11.销售及回款表'!C495&lt;0.1),"ok","数据有误")</f>
        <v>ok</v>
      </c>
      <c r="F14" s="1602" t="s">
        <v>64</v>
      </c>
      <c r="G14" s="1603" t="s">
        <v>103</v>
      </c>
      <c r="H14" s="1606"/>
      <c r="I14" s="1616"/>
      <c r="J14" s="1726"/>
    </row>
    <row r="15" spans="2:10" ht="33.75" customHeight="1">
      <c r="B15" s="1268">
        <v>12</v>
      </c>
      <c r="C15" s="1601" t="s">
        <v>65</v>
      </c>
      <c r="D15" s="1268" t="s">
        <v>66</v>
      </c>
      <c r="E15" s="1268" t="str">
        <f>IF(AND(('12.土地成本表'!C38+'12.土地成本表'!C68+'12.土地成本表'!C83)&gt;-0.1,('12.土地成本表'!C38+'12.土地成本表'!C68+'12.土地成本表'!C83)&lt;0.1),"ok","数据有误")</f>
        <v>ok</v>
      </c>
      <c r="F15" s="1602" t="s">
        <v>67</v>
      </c>
      <c r="G15" s="1603" t="s">
        <v>104</v>
      </c>
      <c r="H15" s="1607" t="s">
        <v>105</v>
      </c>
      <c r="I15" s="1615" t="s">
        <v>106</v>
      </c>
      <c r="J15" s="1726"/>
    </row>
    <row r="16" spans="2:10" ht="50.25" customHeight="1">
      <c r="B16" s="1268">
        <v>13</v>
      </c>
      <c r="C16" s="1601" t="s">
        <v>69</v>
      </c>
      <c r="D16" s="1268" t="s">
        <v>60</v>
      </c>
      <c r="E16" s="1268" t="str">
        <f>IF(AND('13.建安成本表'!C226&gt;-0.1,'13.建安成本表'!C226&lt;0.1),"ok","数据有误")</f>
        <v>ok</v>
      </c>
      <c r="F16" s="1602" t="s">
        <v>70</v>
      </c>
      <c r="G16" s="1603" t="s">
        <v>40</v>
      </c>
      <c r="H16" s="1607" t="s">
        <v>105</v>
      </c>
      <c r="I16" s="1615" t="s">
        <v>107</v>
      </c>
      <c r="J16" s="1726"/>
    </row>
    <row r="17" spans="2:10" ht="42" customHeight="1">
      <c r="B17" s="1268">
        <v>14</v>
      </c>
      <c r="C17" s="1601" t="s">
        <v>71</v>
      </c>
      <c r="D17" s="1268" t="s">
        <v>46</v>
      </c>
      <c r="E17" s="1268" t="str">
        <f>IF(AND('14.增值税计算表'!D27&gt;-0.1,'14.增值税计算表'!D27&lt;0.1),"ok","数据有误")</f>
        <v>ok</v>
      </c>
      <c r="F17" s="1602"/>
      <c r="G17" s="1603" t="s">
        <v>108</v>
      </c>
      <c r="H17" s="1606"/>
      <c r="I17" s="1616"/>
      <c r="J17" s="1726"/>
    </row>
    <row r="18" spans="2:10" ht="89.25" customHeight="1">
      <c r="B18" s="1268">
        <v>15</v>
      </c>
      <c r="C18" s="1601" t="s">
        <v>73</v>
      </c>
      <c r="D18" s="1268" t="s">
        <v>33</v>
      </c>
      <c r="E18" s="1268" t="str">
        <f ca="1">IF(AND('15.土地增值税'!C135&gt;-0.1,'15.土地增值税'!C135&lt;0.1),"ok","数据有误")</f>
        <v>ok</v>
      </c>
      <c r="F18" s="1602" t="s">
        <v>74</v>
      </c>
      <c r="G18" s="1603" t="s">
        <v>109</v>
      </c>
      <c r="H18" s="1603" t="s">
        <v>110</v>
      </c>
      <c r="I18" s="1616"/>
      <c r="J18" s="1726"/>
    </row>
    <row r="19" spans="2:10" ht="55.5" customHeight="1">
      <c r="B19" s="1268">
        <v>16</v>
      </c>
      <c r="C19" s="1601" t="s">
        <v>77</v>
      </c>
      <c r="D19" s="1268" t="s">
        <v>33</v>
      </c>
      <c r="E19" s="1268" t="str">
        <f ca="1">IF(AND(('16.所得税计算表'!C214+'16.所得税计算表'!C255)&gt;-0.1,('16.所得税计算表'!C214+'16.所得税计算表'!C255)&lt;0.1),"ok","数据有误")</f>
        <v>ok</v>
      </c>
      <c r="F19" s="1602" t="s">
        <v>78</v>
      </c>
      <c r="G19" s="1603" t="s">
        <v>111</v>
      </c>
      <c r="H19" s="1608" t="s">
        <v>112</v>
      </c>
      <c r="I19" s="1616"/>
      <c r="J19" s="1726"/>
    </row>
    <row r="20" spans="2:10" ht="48" customHeight="1">
      <c r="B20" s="1268">
        <v>17</v>
      </c>
      <c r="C20" s="1609" t="s">
        <v>80</v>
      </c>
      <c r="D20" s="1268" t="s">
        <v>33</v>
      </c>
      <c r="E20" s="1268" t="str">
        <f ca="1">IF('17.财务费用测算表'!C27=0,"OK","数据有误")</f>
        <v>OK</v>
      </c>
      <c r="F20" s="1602" t="s">
        <v>81</v>
      </c>
      <c r="G20" s="1603" t="s">
        <v>113</v>
      </c>
      <c r="H20" s="1603" t="s">
        <v>114</v>
      </c>
      <c r="I20" s="1616"/>
      <c r="J20" s="1726"/>
    </row>
    <row r="21" spans="2:10" ht="72" customHeight="1">
      <c r="B21" s="1268">
        <v>18</v>
      </c>
      <c r="C21" s="1601" t="s">
        <v>83</v>
      </c>
      <c r="D21" s="1268" t="s">
        <v>33</v>
      </c>
      <c r="E21" s="1268" t="s">
        <v>34</v>
      </c>
      <c r="F21" s="1602"/>
      <c r="G21" s="1603" t="s">
        <v>115</v>
      </c>
      <c r="H21" s="1603" t="s">
        <v>116</v>
      </c>
      <c r="I21" s="1616"/>
      <c r="J21" s="1726"/>
    </row>
    <row r="22" spans="2:10">
      <c r="B22" s="1610"/>
      <c r="C22" s="1611"/>
      <c r="D22" s="1610"/>
      <c r="E22" s="1610"/>
    </row>
    <row r="23" spans="2:10">
      <c r="B23" s="1612" t="s">
        <v>85</v>
      </c>
    </row>
    <row r="24" spans="2:10">
      <c r="B24" s="1613" t="s">
        <v>86</v>
      </c>
    </row>
    <row r="25" spans="2:10">
      <c r="B25" s="1613" t="s">
        <v>87</v>
      </c>
    </row>
    <row r="32" spans="2:10">
      <c r="B32" s="912"/>
      <c r="D32" s="912"/>
      <c r="E32" s="912"/>
    </row>
    <row r="33" spans="2:5">
      <c r="B33" s="912"/>
      <c r="D33" s="912"/>
      <c r="E33" s="912"/>
    </row>
    <row r="34" spans="2:5">
      <c r="B34" s="912"/>
      <c r="D34" s="912"/>
      <c r="E34" s="912"/>
    </row>
    <row r="35" spans="2:5">
      <c r="B35" s="912"/>
      <c r="D35" s="912"/>
      <c r="E35" s="912"/>
    </row>
    <row r="36" spans="2:5">
      <c r="B36" s="912"/>
      <c r="D36" s="912"/>
      <c r="E36" s="912"/>
    </row>
    <row r="37" spans="2:5">
      <c r="B37" s="912"/>
      <c r="D37" s="912"/>
      <c r="E37" s="912"/>
    </row>
    <row r="38" spans="2:5">
      <c r="B38" s="912"/>
      <c r="D38" s="912"/>
      <c r="E38" s="912"/>
    </row>
    <row r="39" spans="2:5">
      <c r="B39" s="912"/>
      <c r="D39" s="912"/>
      <c r="E39" s="912"/>
    </row>
    <row r="40" spans="2:5">
      <c r="B40" s="912"/>
      <c r="D40" s="912"/>
      <c r="E40" s="912"/>
    </row>
  </sheetData>
  <sheetProtection formatCells="0" formatColumns="0" formatRows="0"/>
  <mergeCells count="2">
    <mergeCell ref="B1:F1"/>
    <mergeCell ref="J4:J21"/>
  </mergeCells>
  <phoneticPr fontId="102" type="noConversion"/>
  <hyperlinks>
    <hyperlink ref="C7" location="'4.综合指标表'!A1" display="综合指标表"/>
    <hyperlink ref="C8" location="'5.分产品利润表'!A1" display="分产品利润表"/>
    <hyperlink ref="C10" location="'7.现金流量表'!A1" display="现金流量表"/>
    <hyperlink ref="C11" location="'8.项目规划指标表'!A1" display="项目规划指标表"/>
    <hyperlink ref="C12" location="'9.项目开发计划表'!A1" display="项目开发计划表"/>
    <hyperlink ref="C13" location="'10.工程成本支出表'!A1" display="工程成本支出表"/>
    <hyperlink ref="C14" location="'11.销售及回款表'!A1" display="销售及回款表"/>
    <hyperlink ref="C16" location="'13.建安成本表'!A1" display="建安成本表"/>
    <hyperlink ref="C15" location="'12.土地成本表'!A1" display="土地成本表"/>
    <hyperlink ref="C17" location="'14.增值税计算表'!A1" display="增值税计算表"/>
    <hyperlink ref="C18" location="'15.土地增值税'!A1" display="土地增值税计算表"/>
    <hyperlink ref="C19" location="'16.所得税计算表'!A1" display="所得税计算表"/>
    <hyperlink ref="C9" location="'6.签约利润表'!A1" display="年度签约利润表"/>
    <hyperlink ref="C4" location="'1.参数设置'!A1" display="基本参数设置表"/>
    <hyperlink ref="C5" location="'2.税率表'!A1" display="税率表"/>
    <hyperlink ref="C6" location="'3.保本售价试算'!A1" display="保本售价试算表"/>
    <hyperlink ref="C20" location="'17.财务费用测算表'!A1" display="财务费用测算表"/>
  </hyperlinks>
  <pageMargins left="0.69930555555555596" right="0.69930555555555596"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P22"/>
  <sheetViews>
    <sheetView workbookViewId="0">
      <selection activeCell="D14" sqref="D14"/>
    </sheetView>
  </sheetViews>
  <sheetFormatPr defaultColWidth="9" defaultRowHeight="13.5"/>
  <cols>
    <col min="2" max="2" width="22.5" customWidth="1"/>
    <col min="3" max="6" width="17.75" customWidth="1"/>
    <col min="7" max="7" width="16.125" customWidth="1"/>
  </cols>
  <sheetData>
    <row r="1" spans="2:16" ht="20.25">
      <c r="B1" s="1229" t="str">
        <f>"项目"&amp;'1.参数设置'!E4&amp;"收并购参数设置表"</f>
        <v>项目拿地阶段收并购参数设置表</v>
      </c>
      <c r="C1" s="605"/>
      <c r="D1" s="605"/>
      <c r="E1" s="353" t="s">
        <v>117</v>
      </c>
      <c r="F1" s="605"/>
    </row>
    <row r="2" spans="2:16" ht="24.75" customHeight="1">
      <c r="B2" s="350" t="s">
        <v>118</v>
      </c>
      <c r="C2" s="605"/>
      <c r="D2" s="350" t="s">
        <v>119</v>
      </c>
      <c r="E2" s="1579">
        <f>'1.参数设置'!E2</f>
        <v>43210</v>
      </c>
      <c r="F2" s="605"/>
    </row>
    <row r="3" spans="2:16" ht="24.75" customHeight="1">
      <c r="B3" s="517" t="s">
        <v>120</v>
      </c>
      <c r="C3" s="605"/>
      <c r="D3" s="351"/>
      <c r="E3" s="1231"/>
      <c r="F3" s="605"/>
      <c r="H3" s="1580"/>
      <c r="I3" s="1580"/>
      <c r="J3" s="1580"/>
      <c r="K3" s="1580"/>
      <c r="L3" s="1580"/>
      <c r="M3" s="1580"/>
      <c r="N3" s="1580"/>
      <c r="O3" s="1580"/>
      <c r="P3" s="1580"/>
    </row>
    <row r="4" spans="2:16" ht="24.75" customHeight="1">
      <c r="B4" s="689" t="s">
        <v>121</v>
      </c>
      <c r="C4" s="1581"/>
      <c r="D4" s="1582" t="s">
        <v>122</v>
      </c>
      <c r="E4" s="1583" t="str">
        <f>'1.参数设置'!E4</f>
        <v>拿地阶段</v>
      </c>
      <c r="F4" s="605"/>
      <c r="H4" s="1580"/>
      <c r="I4" s="1580"/>
      <c r="J4" s="1580"/>
      <c r="K4" s="1580"/>
      <c r="L4" s="1580"/>
      <c r="M4" s="1580"/>
      <c r="N4" s="1580"/>
      <c r="O4" s="1580"/>
      <c r="P4" s="1580"/>
    </row>
    <row r="5" spans="2:16" ht="24.75" customHeight="1">
      <c r="B5" s="689" t="s">
        <v>123</v>
      </c>
      <c r="C5" s="1232"/>
      <c r="D5" s="689" t="s">
        <v>124</v>
      </c>
      <c r="E5" s="1581"/>
      <c r="F5" s="605"/>
      <c r="H5" s="1580"/>
      <c r="I5" s="1580"/>
      <c r="J5" s="1580"/>
      <c r="K5" s="1580"/>
      <c r="L5" s="1580"/>
      <c r="M5" s="1580"/>
      <c r="N5" s="1580"/>
      <c r="O5" s="1580"/>
      <c r="P5" s="1580"/>
    </row>
    <row r="6" spans="2:16" ht="24.75" customHeight="1">
      <c r="B6" s="689" t="s">
        <v>125</v>
      </c>
      <c r="C6" s="1584"/>
      <c r="D6" s="689" t="s">
        <v>126</v>
      </c>
      <c r="E6" s="1585">
        <f>SUM(C20:F20)</f>
        <v>0</v>
      </c>
      <c r="F6" s="605"/>
      <c r="H6" s="1580"/>
      <c r="I6" s="1580"/>
      <c r="J6" s="1580"/>
      <c r="K6" s="1580"/>
      <c r="L6" s="1580"/>
      <c r="M6" s="1580"/>
      <c r="N6" s="1580"/>
      <c r="O6" s="1580"/>
      <c r="P6" s="1580"/>
    </row>
    <row r="7" spans="2:16" ht="24.75" customHeight="1">
      <c r="B7" s="689" t="s">
        <v>127</v>
      </c>
      <c r="C7" s="1586">
        <f>IF(C5="股权收购",C4-E5*C6,C4-C6*E5-E6*C6)</f>
        <v>0</v>
      </c>
      <c r="D7" s="689" t="s">
        <v>128</v>
      </c>
      <c r="E7" s="1232"/>
      <c r="F7" s="605"/>
      <c r="H7" s="1580"/>
      <c r="I7" s="1580"/>
      <c r="J7" s="1580"/>
      <c r="K7" s="1580"/>
      <c r="L7" s="1580"/>
      <c r="M7" s="1580"/>
      <c r="N7" s="1580"/>
      <c r="O7" s="1580"/>
      <c r="P7" s="1580"/>
    </row>
    <row r="8" spans="2:16" ht="24.75" customHeight="1">
      <c r="B8" s="689" t="s">
        <v>129</v>
      </c>
      <c r="C8" s="1584">
        <v>1</v>
      </c>
      <c r="D8" s="689" t="s">
        <v>130</v>
      </c>
      <c r="E8" s="1232"/>
      <c r="F8" s="1237"/>
      <c r="H8" s="1580"/>
      <c r="I8" s="1580"/>
      <c r="J8" s="1580"/>
      <c r="K8" s="1580"/>
      <c r="L8" s="1580"/>
      <c r="M8" s="1580"/>
      <c r="N8" s="1580"/>
      <c r="O8" s="1580"/>
      <c r="P8" s="1580"/>
    </row>
    <row r="9" spans="2:16" ht="24.75" customHeight="1">
      <c r="B9" s="689" t="s">
        <v>131</v>
      </c>
      <c r="C9" s="1235"/>
      <c r="D9" s="689" t="s">
        <v>132</v>
      </c>
      <c r="E9" s="1235"/>
      <c r="F9" s="1237"/>
      <c r="H9" s="1580"/>
      <c r="I9" s="1580"/>
      <c r="J9" s="1580"/>
      <c r="K9" s="1580"/>
      <c r="L9" s="1580"/>
      <c r="M9" s="1580"/>
      <c r="N9" s="1580"/>
      <c r="O9" s="1580"/>
      <c r="P9" s="1580"/>
    </row>
    <row r="10" spans="2:16" ht="24.75" customHeight="1">
      <c r="B10" s="1727" t="s">
        <v>133</v>
      </c>
      <c r="C10" s="1728"/>
      <c r="D10" s="1728"/>
      <c r="E10" s="1729"/>
      <c r="F10" s="1237"/>
      <c r="H10" s="1580"/>
      <c r="I10" s="1580"/>
      <c r="J10" s="1580"/>
      <c r="K10" s="1580"/>
      <c r="L10" s="1580"/>
      <c r="M10" s="1580"/>
      <c r="N10" s="1580"/>
      <c r="O10" s="1580"/>
      <c r="P10" s="1580"/>
    </row>
    <row r="11" spans="2:16" ht="24.75" customHeight="1">
      <c r="B11" s="689" t="s">
        <v>134</v>
      </c>
      <c r="C11" s="1581"/>
      <c r="D11" s="689" t="s">
        <v>135</v>
      </c>
      <c r="E11" s="1587"/>
      <c r="F11" s="1588"/>
      <c r="H11" s="1580"/>
      <c r="I11" s="1580"/>
      <c r="J11" s="1580"/>
      <c r="K11" s="1580"/>
      <c r="L11" s="1580"/>
      <c r="M11" s="1580"/>
      <c r="N11" s="1580"/>
      <c r="O11" s="1580"/>
      <c r="P11" s="1580"/>
    </row>
    <row r="12" spans="2:16" ht="24.75" customHeight="1">
      <c r="B12" s="689" t="s">
        <v>136</v>
      </c>
      <c r="C12" s="1581"/>
      <c r="D12" s="689" t="s">
        <v>135</v>
      </c>
      <c r="E12" s="1587"/>
      <c r="F12" s="1588"/>
      <c r="H12" s="1580"/>
      <c r="I12" s="1580"/>
      <c r="J12" s="1580"/>
      <c r="K12" s="1580"/>
      <c r="L12" s="1580"/>
      <c r="M12" s="1580"/>
      <c r="N12" s="1580"/>
      <c r="O12" s="1580"/>
      <c r="P12" s="1580"/>
    </row>
    <row r="13" spans="2:16" ht="24.75" customHeight="1">
      <c r="B13" s="689" t="s">
        <v>137</v>
      </c>
      <c r="C13" s="1581"/>
      <c r="D13" s="689" t="s">
        <v>135</v>
      </c>
      <c r="E13" s="1587"/>
      <c r="F13" s="1588"/>
      <c r="H13" s="1580"/>
      <c r="I13" s="1580"/>
      <c r="J13" s="1580"/>
      <c r="K13" s="1580"/>
      <c r="L13" s="1580"/>
      <c r="M13" s="1580"/>
      <c r="N13" s="1580"/>
      <c r="O13" s="1580"/>
      <c r="P13" s="1580"/>
    </row>
    <row r="14" spans="2:16" ht="24.75" customHeight="1">
      <c r="B14" s="689" t="s">
        <v>138</v>
      </c>
      <c r="C14" s="1584"/>
      <c r="D14" s="689" t="s">
        <v>139</v>
      </c>
      <c r="E14" s="1584"/>
      <c r="F14" s="1588"/>
      <c r="H14" s="1580"/>
      <c r="I14" s="1580"/>
      <c r="J14" s="1580"/>
      <c r="K14" s="1580"/>
      <c r="L14" s="1580"/>
      <c r="M14" s="1580"/>
      <c r="N14" s="1580"/>
      <c r="O14" s="1580"/>
      <c r="P14" s="1580"/>
    </row>
    <row r="15" spans="2:16" ht="24.75" customHeight="1">
      <c r="B15" s="689" t="s">
        <v>140</v>
      </c>
      <c r="C15" s="1589"/>
      <c r="D15" s="689" t="s">
        <v>141</v>
      </c>
      <c r="E15" s="1589"/>
      <c r="F15" s="1588"/>
      <c r="H15" s="1580"/>
      <c r="I15" s="1580"/>
      <c r="J15" s="1580"/>
      <c r="K15" s="1580"/>
      <c r="L15" s="1580"/>
      <c r="M15" s="1580"/>
      <c r="N15" s="1580"/>
      <c r="O15" s="1580"/>
      <c r="P15" s="1580"/>
    </row>
    <row r="16" spans="2:16" ht="24.75" customHeight="1">
      <c r="B16" s="1727" t="s">
        <v>142</v>
      </c>
      <c r="C16" s="1728"/>
      <c r="D16" s="1728"/>
      <c r="E16" s="1729"/>
      <c r="F16" s="1590"/>
      <c r="H16" s="1580"/>
      <c r="I16" s="1580"/>
      <c r="J16" s="1580"/>
      <c r="K16" s="1580"/>
      <c r="L16" s="1580"/>
      <c r="M16" s="1580"/>
      <c r="N16" s="1580"/>
      <c r="O16" s="1580"/>
      <c r="P16" s="1580"/>
    </row>
    <row r="17" spans="2:16" ht="24.75" customHeight="1">
      <c r="B17" s="689" t="s">
        <v>143</v>
      </c>
      <c r="C17" s="1581"/>
      <c r="D17" s="689" t="s">
        <v>144</v>
      </c>
      <c r="E17" s="1584"/>
      <c r="F17" s="1588"/>
      <c r="H17" s="1580"/>
      <c r="I17" s="1580"/>
      <c r="J17" s="1580"/>
      <c r="K17" s="1580"/>
      <c r="L17" s="1580"/>
      <c r="M17" s="1580"/>
      <c r="N17" s="1580"/>
      <c r="O17" s="1580"/>
      <c r="P17" s="1580"/>
    </row>
    <row r="18" spans="2:16" ht="24.75" customHeight="1">
      <c r="B18" s="689" t="s">
        <v>145</v>
      </c>
      <c r="C18" s="1589"/>
      <c r="D18" s="689" t="s">
        <v>146</v>
      </c>
      <c r="E18" s="1584"/>
      <c r="F18" s="1588"/>
      <c r="H18" s="1580"/>
      <c r="I18" s="1580"/>
      <c r="J18" s="1580"/>
      <c r="K18" s="1580"/>
      <c r="L18" s="1580"/>
      <c r="M18" s="1580"/>
      <c r="N18" s="1580"/>
      <c r="O18" s="1580"/>
      <c r="P18" s="1580"/>
    </row>
    <row r="19" spans="2:16" ht="24.75" customHeight="1">
      <c r="B19" s="689" t="s">
        <v>147</v>
      </c>
      <c r="C19" s="1241" t="s">
        <v>148</v>
      </c>
      <c r="D19" s="1591" t="s">
        <v>149</v>
      </c>
      <c r="E19" s="1592" t="s">
        <v>150</v>
      </c>
      <c r="F19" s="1593" t="s">
        <v>151</v>
      </c>
      <c r="H19" s="1580"/>
      <c r="I19" s="1580"/>
      <c r="J19" s="1580"/>
      <c r="K19" s="1580"/>
      <c r="L19" s="1580"/>
      <c r="M19" s="1580"/>
      <c r="N19" s="1580"/>
      <c r="O19" s="1580"/>
      <c r="P19" s="1580"/>
    </row>
    <row r="20" spans="2:16" ht="24.75" customHeight="1">
      <c r="B20" s="689" t="s">
        <v>152</v>
      </c>
      <c r="C20" s="1594"/>
      <c r="D20" s="1594"/>
      <c r="E20" s="1594"/>
      <c r="F20" s="1594"/>
      <c r="H20" s="1580"/>
      <c r="I20" s="1580"/>
      <c r="J20" s="1580"/>
      <c r="K20" s="1580"/>
      <c r="L20" s="1580"/>
      <c r="M20" s="1580"/>
      <c r="N20" s="1580"/>
      <c r="O20" s="1580"/>
      <c r="P20" s="1580"/>
    </row>
    <row r="21" spans="2:16" ht="24.75" customHeight="1">
      <c r="B21" s="689" t="s">
        <v>153</v>
      </c>
      <c r="C21" s="1241" t="s">
        <v>154</v>
      </c>
      <c r="D21" s="1591" t="s">
        <v>155</v>
      </c>
      <c r="E21" s="1592" t="s">
        <v>156</v>
      </c>
      <c r="F21" s="1592" t="s">
        <v>157</v>
      </c>
      <c r="H21" s="1580"/>
      <c r="I21" s="1580"/>
      <c r="J21" s="1580"/>
      <c r="K21" s="1580"/>
      <c r="L21" s="1580"/>
      <c r="M21" s="1580"/>
      <c r="N21" s="1580"/>
      <c r="O21" s="1580"/>
      <c r="P21" s="1580"/>
    </row>
    <row r="22" spans="2:16" ht="24.75" customHeight="1">
      <c r="B22" s="689" t="s">
        <v>152</v>
      </c>
      <c r="C22" s="1594"/>
      <c r="D22" s="1594"/>
      <c r="E22" s="1594"/>
      <c r="F22" s="1594"/>
      <c r="H22" s="1580"/>
      <c r="I22" s="1580"/>
      <c r="J22" s="1580"/>
      <c r="K22" s="1580"/>
      <c r="L22" s="1580"/>
      <c r="M22" s="1580"/>
      <c r="N22" s="1580"/>
      <c r="O22" s="1580"/>
      <c r="P22" s="1580"/>
    </row>
  </sheetData>
  <sheetProtection formatCells="0" formatColumns="0" formatRows="0" autoFilter="0"/>
  <protectedRanges>
    <protectedRange sqref="E2:E3" name="区域1_1"/>
  </protectedRanges>
  <mergeCells count="2">
    <mergeCell ref="B10:E10"/>
    <mergeCell ref="B16:E16"/>
  </mergeCells>
  <phoneticPr fontId="102" type="noConversion"/>
  <dataValidations count="3">
    <dataValidation type="list" allowBlank="1" showInputMessage="1" showErrorMessage="1" sqref="E4">
      <formula1>"拿地阶段,启动会阶段,方案初案阶段,方案定案阶段,施工图阶段"</formula1>
    </dataValidation>
    <dataValidation type="list" allowBlank="1" showInputMessage="1" showErrorMessage="1" sqref="C5">
      <formula1>"股权收购,股权+债权,合作开发"</formula1>
    </dataValidation>
    <dataValidation type="list" allowBlank="1" showInputMessage="1" showErrorMessage="1" sqref="E7:E8 E11:E13">
      <formula1>"是,否"</formula1>
    </dataValidation>
  </dataValidations>
  <hyperlinks>
    <hyperlink ref="E1" location="目录!A1" display="返回目录"/>
  </hyperlinks>
  <pageMargins left="0.69930555555555596" right="0.69930555555555596" top="0.75" bottom="0.75" header="0.3" footer="0.3"/>
  <ignoredErrors>
    <ignoredError sqref="E4"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95"/>
  <sheetViews>
    <sheetView workbookViewId="0">
      <selection activeCell="C27" sqref="C27"/>
    </sheetView>
  </sheetViews>
  <sheetFormatPr defaultColWidth="8.875" defaultRowHeight="16.5"/>
  <cols>
    <col min="1" max="1" width="2.125" style="1560" customWidth="1"/>
    <col min="2" max="2" width="24.375" style="1561" customWidth="1"/>
    <col min="3" max="3" width="19.75" style="1560" customWidth="1"/>
    <col min="4" max="4" width="20.125" style="1560" customWidth="1"/>
    <col min="5" max="5" width="14.5" style="1560" customWidth="1"/>
    <col min="6" max="6" width="14.5" style="1560" hidden="1" customWidth="1"/>
    <col min="7" max="10" width="9.625" style="1560" customWidth="1"/>
    <col min="11" max="16384" width="8.875" style="1560"/>
  </cols>
  <sheetData>
    <row r="1" spans="1:6" ht="21">
      <c r="A1" s="1730" t="str">
        <f>C2&amp;("自持部分测算输入条件")</f>
        <v>0自持部分测算输入条件</v>
      </c>
      <c r="B1" s="1730"/>
      <c r="C1" s="1730"/>
      <c r="D1" s="1562"/>
      <c r="E1" s="1562"/>
    </row>
    <row r="2" spans="1:6">
      <c r="B2" s="1563" t="s">
        <v>25</v>
      </c>
      <c r="C2" s="1564">
        <f>目录!C2</f>
        <v>0</v>
      </c>
    </row>
    <row r="3" spans="1:6">
      <c r="B3" s="1565" t="s">
        <v>158</v>
      </c>
      <c r="C3" s="1566"/>
      <c r="F3" s="1560" t="s">
        <v>159</v>
      </c>
    </row>
    <row r="4" spans="1:6">
      <c r="B4" s="1565" t="s">
        <v>160</v>
      </c>
      <c r="C4" s="1567"/>
    </row>
    <row r="5" spans="1:6">
      <c r="B5" s="1565" t="s">
        <v>161</v>
      </c>
      <c r="C5" s="1568">
        <f>'8.项目规划指标表'!F14</f>
        <v>0</v>
      </c>
    </row>
    <row r="6" spans="1:6">
      <c r="B6" s="1565" t="s">
        <v>162</v>
      </c>
      <c r="C6" s="1568">
        <f ca="1">'5.分产品利润表'!L7+'5.分产品利润表'!L8+'5.分产品利润表'!L10+'5.分产品利润表'!L18</f>
        <v>0</v>
      </c>
    </row>
    <row r="7" spans="1:6" ht="18.75" customHeight="1">
      <c r="B7" s="1565" t="s">
        <v>163</v>
      </c>
      <c r="C7" s="1569">
        <f ca="1">'12.土地成本表'!Q34+'17.财务费用测算表'!M36-'17.财务费用测算表'!M57</f>
        <v>0</v>
      </c>
      <c r="D7" s="1570"/>
      <c r="F7" s="1560" t="s">
        <v>164</v>
      </c>
    </row>
    <row r="8" spans="1:6">
      <c r="B8" s="1565" t="s">
        <v>165</v>
      </c>
      <c r="C8" s="1571">
        <v>30</v>
      </c>
    </row>
    <row r="9" spans="1:6">
      <c r="B9" s="1565" t="s">
        <v>166</v>
      </c>
      <c r="C9" s="1572">
        <v>0</v>
      </c>
    </row>
    <row r="10" spans="1:6">
      <c r="B10" s="1565" t="s">
        <v>167</v>
      </c>
      <c r="C10" s="1573">
        <f>(1-C9)/C8/4</f>
        <v>8.3333333333333332E-3</v>
      </c>
    </row>
    <row r="11" spans="1:6">
      <c r="B11" s="1565" t="s">
        <v>168</v>
      </c>
      <c r="C11" s="1574"/>
    </row>
    <row r="12" spans="1:6">
      <c r="B12" s="1565" t="s">
        <v>169</v>
      </c>
      <c r="C12" s="1574"/>
    </row>
    <row r="13" spans="1:6">
      <c r="B13" s="1565" t="s">
        <v>170</v>
      </c>
      <c r="C13" s="1575">
        <v>10</v>
      </c>
    </row>
    <row r="14" spans="1:6">
      <c r="B14" s="1565" t="s">
        <v>171</v>
      </c>
      <c r="C14" s="1573">
        <f>1/C13/4</f>
        <v>2.5000000000000001E-2</v>
      </c>
    </row>
    <row r="15" spans="1:6">
      <c r="B15" s="1565" t="s">
        <v>172</v>
      </c>
      <c r="C15" s="1574"/>
      <c r="D15" s="1576"/>
    </row>
    <row r="16" spans="1:6">
      <c r="B16" s="1565" t="s">
        <v>173</v>
      </c>
      <c r="C16" s="1577"/>
      <c r="D16" s="1576"/>
    </row>
    <row r="17" spans="2:4">
      <c r="B17" s="1565" t="s">
        <v>174</v>
      </c>
      <c r="C17" s="1577"/>
      <c r="D17" s="1576"/>
    </row>
    <row r="18" spans="2:4">
      <c r="B18" s="1565" t="s">
        <v>175</v>
      </c>
      <c r="C18" s="1574"/>
      <c r="D18" s="1576"/>
    </row>
    <row r="19" spans="2:4">
      <c r="B19" s="1565" t="s">
        <v>176</v>
      </c>
      <c r="C19" s="1577">
        <v>0.01</v>
      </c>
      <c r="D19" s="1576"/>
    </row>
    <row r="20" spans="2:4">
      <c r="B20" s="1565" t="s">
        <v>177</v>
      </c>
      <c r="C20" s="1577">
        <v>0.15</v>
      </c>
      <c r="D20" s="1576"/>
    </row>
    <row r="21" spans="2:4">
      <c r="B21" s="1565" t="s">
        <v>178</v>
      </c>
      <c r="C21" s="1578">
        <v>3.5000000000000003E-2</v>
      </c>
      <c r="D21" s="1576"/>
    </row>
    <row r="22" spans="2:4">
      <c r="B22" s="1565" t="s">
        <v>179</v>
      </c>
      <c r="C22" s="1578">
        <v>0.05</v>
      </c>
      <c r="D22" s="1576"/>
    </row>
    <row r="23" spans="2:4">
      <c r="B23" s="1560"/>
    </row>
    <row r="24" spans="2:4">
      <c r="B24" s="1560"/>
    </row>
    <row r="25" spans="2:4">
      <c r="B25" s="1560"/>
    </row>
    <row r="26" spans="2:4">
      <c r="B26" s="1560"/>
    </row>
    <row r="27" spans="2:4">
      <c r="B27" s="1560"/>
    </row>
    <row r="28" spans="2:4">
      <c r="B28" s="1560"/>
    </row>
    <row r="29" spans="2:4">
      <c r="B29" s="1560"/>
    </row>
    <row r="30" spans="2:4">
      <c r="B30" s="1560"/>
    </row>
    <row r="31" spans="2:4">
      <c r="B31" s="1560"/>
    </row>
    <row r="32" spans="2:4">
      <c r="B32" s="1560"/>
    </row>
    <row r="33" spans="2:2">
      <c r="B33" s="1560"/>
    </row>
    <row r="34" spans="2:2">
      <c r="B34" s="1560"/>
    </row>
    <row r="35" spans="2:2">
      <c r="B35" s="1560"/>
    </row>
    <row r="36" spans="2:2">
      <c r="B36" s="1560"/>
    </row>
    <row r="37" spans="2:2">
      <c r="B37" s="1560"/>
    </row>
    <row r="38" spans="2:2">
      <c r="B38" s="1560"/>
    </row>
    <row r="39" spans="2:2">
      <c r="B39" s="1560"/>
    </row>
    <row r="40" spans="2:2">
      <c r="B40" s="1560"/>
    </row>
    <row r="41" spans="2:2">
      <c r="B41" s="1560"/>
    </row>
    <row r="42" spans="2:2">
      <c r="B42" s="1560"/>
    </row>
    <row r="43" spans="2:2">
      <c r="B43" s="1560"/>
    </row>
    <row r="44" spans="2:2">
      <c r="B44" s="1560"/>
    </row>
    <row r="45" spans="2:2">
      <c r="B45" s="1560"/>
    </row>
    <row r="46" spans="2:2">
      <c r="B46" s="1560"/>
    </row>
    <row r="47" spans="2:2">
      <c r="B47" s="1560"/>
    </row>
    <row r="48" spans="2:2">
      <c r="B48" s="1560"/>
    </row>
    <row r="49" spans="2:2">
      <c r="B49" s="1560"/>
    </row>
    <row r="50" spans="2:2">
      <c r="B50" s="1560"/>
    </row>
    <row r="51" spans="2:2">
      <c r="B51" s="1560"/>
    </row>
    <row r="52" spans="2:2">
      <c r="B52" s="1560"/>
    </row>
    <row r="53" spans="2:2">
      <c r="B53" s="1560"/>
    </row>
    <row r="54" spans="2:2">
      <c r="B54" s="1560"/>
    </row>
    <row r="55" spans="2:2">
      <c r="B55" s="1560"/>
    </row>
    <row r="56" spans="2:2">
      <c r="B56" s="1560"/>
    </row>
    <row r="57" spans="2:2">
      <c r="B57" s="1560"/>
    </row>
    <row r="58" spans="2:2">
      <c r="B58" s="1560"/>
    </row>
    <row r="59" spans="2:2">
      <c r="B59" s="1560"/>
    </row>
    <row r="60" spans="2:2">
      <c r="B60" s="1560"/>
    </row>
    <row r="61" spans="2:2">
      <c r="B61" s="1560"/>
    </row>
    <row r="62" spans="2:2">
      <c r="B62" s="1560"/>
    </row>
    <row r="63" spans="2:2">
      <c r="B63" s="1560"/>
    </row>
    <row r="64" spans="2:2">
      <c r="B64" s="1560"/>
    </row>
    <row r="65" spans="2:2">
      <c r="B65" s="1560"/>
    </row>
    <row r="66" spans="2:2">
      <c r="B66" s="1560"/>
    </row>
    <row r="67" spans="2:2">
      <c r="B67" s="1560"/>
    </row>
    <row r="68" spans="2:2">
      <c r="B68" s="1560"/>
    </row>
    <row r="69" spans="2:2">
      <c r="B69" s="1560"/>
    </row>
    <row r="70" spans="2:2">
      <c r="B70" s="1560"/>
    </row>
    <row r="71" spans="2:2">
      <c r="B71" s="1560"/>
    </row>
    <row r="72" spans="2:2">
      <c r="B72" s="1560"/>
    </row>
    <row r="73" spans="2:2">
      <c r="B73" s="1560"/>
    </row>
    <row r="74" spans="2:2">
      <c r="B74" s="1560"/>
    </row>
    <row r="75" spans="2:2">
      <c r="B75" s="1560"/>
    </row>
    <row r="76" spans="2:2">
      <c r="B76" s="1560"/>
    </row>
    <row r="77" spans="2:2">
      <c r="B77" s="1560"/>
    </row>
    <row r="78" spans="2:2">
      <c r="B78" s="1560"/>
    </row>
    <row r="79" spans="2:2">
      <c r="B79" s="1560"/>
    </row>
    <row r="80" spans="2:2">
      <c r="B80" s="1560"/>
    </row>
    <row r="81" spans="2:2">
      <c r="B81" s="1560"/>
    </row>
    <row r="82" spans="2:2">
      <c r="B82" s="1560"/>
    </row>
    <row r="83" spans="2:2">
      <c r="B83" s="1560"/>
    </row>
    <row r="84" spans="2:2">
      <c r="B84" s="1560"/>
    </row>
    <row r="85" spans="2:2">
      <c r="B85" s="1560"/>
    </row>
    <row r="86" spans="2:2">
      <c r="B86" s="1560"/>
    </row>
    <row r="87" spans="2:2">
      <c r="B87" s="1560"/>
    </row>
    <row r="88" spans="2:2">
      <c r="B88" s="1560"/>
    </row>
    <row r="89" spans="2:2">
      <c r="B89" s="1560"/>
    </row>
    <row r="90" spans="2:2">
      <c r="B90" s="1560"/>
    </row>
    <row r="91" spans="2:2">
      <c r="B91" s="1560"/>
    </row>
    <row r="92" spans="2:2">
      <c r="B92" s="1560"/>
    </row>
    <row r="93" spans="2:2">
      <c r="B93" s="1560"/>
    </row>
    <row r="94" spans="2:2">
      <c r="B94" s="1560"/>
    </row>
    <row r="95" spans="2:2">
      <c r="B95" s="1560"/>
    </row>
    <row r="96" spans="2:2">
      <c r="B96" s="1560"/>
    </row>
    <row r="97" spans="2:2">
      <c r="B97" s="1560"/>
    </row>
    <row r="98" spans="2:2">
      <c r="B98" s="1560"/>
    </row>
    <row r="99" spans="2:2">
      <c r="B99" s="1560"/>
    </row>
    <row r="100" spans="2:2">
      <c r="B100" s="1560"/>
    </row>
    <row r="101" spans="2:2">
      <c r="B101" s="1560"/>
    </row>
    <row r="102" spans="2:2">
      <c r="B102" s="1560"/>
    </row>
    <row r="103" spans="2:2">
      <c r="B103" s="1560"/>
    </row>
    <row r="104" spans="2:2">
      <c r="B104" s="1560"/>
    </row>
    <row r="105" spans="2:2">
      <c r="B105" s="1560"/>
    </row>
    <row r="106" spans="2:2">
      <c r="B106" s="1560"/>
    </row>
    <row r="107" spans="2:2">
      <c r="B107" s="1560"/>
    </row>
    <row r="108" spans="2:2">
      <c r="B108" s="1560"/>
    </row>
    <row r="109" spans="2:2">
      <c r="B109" s="1560"/>
    </row>
    <row r="110" spans="2:2">
      <c r="B110" s="1560"/>
    </row>
    <row r="111" spans="2:2">
      <c r="B111" s="1560"/>
    </row>
    <row r="112" spans="2:2">
      <c r="B112" s="1560"/>
    </row>
    <row r="113" spans="2:2">
      <c r="B113" s="1560"/>
    </row>
    <row r="114" spans="2:2">
      <c r="B114" s="1560"/>
    </row>
    <row r="115" spans="2:2">
      <c r="B115" s="1560"/>
    </row>
    <row r="116" spans="2:2">
      <c r="B116" s="1560"/>
    </row>
    <row r="117" spans="2:2">
      <c r="B117" s="1560"/>
    </row>
    <row r="118" spans="2:2">
      <c r="B118" s="1560"/>
    </row>
    <row r="119" spans="2:2">
      <c r="B119" s="1560"/>
    </row>
    <row r="120" spans="2:2">
      <c r="B120" s="1560"/>
    </row>
    <row r="121" spans="2:2">
      <c r="B121" s="1560"/>
    </row>
    <row r="122" spans="2:2">
      <c r="B122" s="1560"/>
    </row>
    <row r="123" spans="2:2">
      <c r="B123" s="1560"/>
    </row>
    <row r="124" spans="2:2">
      <c r="B124" s="1560"/>
    </row>
    <row r="125" spans="2:2">
      <c r="B125" s="1560"/>
    </row>
    <row r="126" spans="2:2">
      <c r="B126" s="1560"/>
    </row>
    <row r="127" spans="2:2">
      <c r="B127" s="1560"/>
    </row>
    <row r="128" spans="2:2">
      <c r="B128" s="1560"/>
    </row>
    <row r="129" spans="2:2">
      <c r="B129" s="1560"/>
    </row>
    <row r="130" spans="2:2">
      <c r="B130" s="1560"/>
    </row>
    <row r="131" spans="2:2">
      <c r="B131" s="1560"/>
    </row>
    <row r="132" spans="2:2">
      <c r="B132" s="1560"/>
    </row>
    <row r="133" spans="2:2">
      <c r="B133" s="1560"/>
    </row>
    <row r="134" spans="2:2">
      <c r="B134" s="1560"/>
    </row>
    <row r="135" spans="2:2">
      <c r="B135" s="1560"/>
    </row>
    <row r="136" spans="2:2">
      <c r="B136" s="1560"/>
    </row>
    <row r="137" spans="2:2">
      <c r="B137" s="1560"/>
    </row>
    <row r="138" spans="2:2">
      <c r="B138" s="1560"/>
    </row>
    <row r="139" spans="2:2">
      <c r="B139" s="1560"/>
    </row>
    <row r="140" spans="2:2">
      <c r="B140" s="1560"/>
    </row>
    <row r="141" spans="2:2">
      <c r="B141" s="1560"/>
    </row>
    <row r="142" spans="2:2">
      <c r="B142" s="1560"/>
    </row>
    <row r="143" spans="2:2">
      <c r="B143" s="1560"/>
    </row>
    <row r="144" spans="2:2">
      <c r="B144" s="1560"/>
    </row>
    <row r="145" spans="2:2">
      <c r="B145" s="1560"/>
    </row>
    <row r="146" spans="2:2">
      <c r="B146" s="1560"/>
    </row>
    <row r="147" spans="2:2">
      <c r="B147" s="1560"/>
    </row>
    <row r="148" spans="2:2">
      <c r="B148" s="1560"/>
    </row>
    <row r="149" spans="2:2">
      <c r="B149" s="1560"/>
    </row>
    <row r="150" spans="2:2">
      <c r="B150" s="1560"/>
    </row>
    <row r="151" spans="2:2">
      <c r="B151" s="1560"/>
    </row>
    <row r="152" spans="2:2">
      <c r="B152" s="1560"/>
    </row>
    <row r="153" spans="2:2">
      <c r="B153" s="1560"/>
    </row>
    <row r="154" spans="2:2">
      <c r="B154" s="1560"/>
    </row>
    <row r="155" spans="2:2">
      <c r="B155" s="1560"/>
    </row>
    <row r="156" spans="2:2">
      <c r="B156" s="1560"/>
    </row>
    <row r="157" spans="2:2">
      <c r="B157" s="1560"/>
    </row>
    <row r="158" spans="2:2">
      <c r="B158" s="1560"/>
    </row>
    <row r="159" spans="2:2">
      <c r="B159" s="1560"/>
    </row>
    <row r="160" spans="2:2">
      <c r="B160" s="1560"/>
    </row>
    <row r="161" spans="2:2">
      <c r="B161" s="1560"/>
    </row>
    <row r="162" spans="2:2">
      <c r="B162" s="1560"/>
    </row>
    <row r="163" spans="2:2">
      <c r="B163" s="1560"/>
    </row>
    <row r="164" spans="2:2">
      <c r="B164" s="1560"/>
    </row>
    <row r="165" spans="2:2">
      <c r="B165" s="1560"/>
    </row>
    <row r="166" spans="2:2">
      <c r="B166" s="1560"/>
    </row>
    <row r="167" spans="2:2">
      <c r="B167" s="1560"/>
    </row>
    <row r="168" spans="2:2">
      <c r="B168" s="1560"/>
    </row>
    <row r="169" spans="2:2">
      <c r="B169" s="1560"/>
    </row>
    <row r="170" spans="2:2">
      <c r="B170" s="1560"/>
    </row>
    <row r="171" spans="2:2">
      <c r="B171" s="1560"/>
    </row>
    <row r="172" spans="2:2">
      <c r="B172" s="1560"/>
    </row>
    <row r="173" spans="2:2">
      <c r="B173" s="1560"/>
    </row>
    <row r="174" spans="2:2">
      <c r="B174" s="1560"/>
    </row>
    <row r="175" spans="2:2">
      <c r="B175" s="1560"/>
    </row>
    <row r="176" spans="2:2">
      <c r="B176" s="1560"/>
    </row>
    <row r="177" spans="2:2">
      <c r="B177" s="1560"/>
    </row>
    <row r="178" spans="2:2">
      <c r="B178" s="1560"/>
    </row>
    <row r="179" spans="2:2">
      <c r="B179" s="1560"/>
    </row>
    <row r="180" spans="2:2">
      <c r="B180" s="1560"/>
    </row>
    <row r="181" spans="2:2">
      <c r="B181" s="1560"/>
    </row>
    <row r="182" spans="2:2">
      <c r="B182" s="1560"/>
    </row>
    <row r="183" spans="2:2">
      <c r="B183" s="1560"/>
    </row>
    <row r="184" spans="2:2">
      <c r="B184" s="1560"/>
    </row>
    <row r="185" spans="2:2">
      <c r="B185" s="1560"/>
    </row>
    <row r="186" spans="2:2">
      <c r="B186" s="1560"/>
    </row>
    <row r="187" spans="2:2">
      <c r="B187" s="1560"/>
    </row>
    <row r="188" spans="2:2">
      <c r="B188" s="1560"/>
    </row>
    <row r="189" spans="2:2">
      <c r="B189" s="1560"/>
    </row>
    <row r="190" spans="2:2">
      <c r="B190" s="1560"/>
    </row>
    <row r="191" spans="2:2">
      <c r="B191" s="1560"/>
    </row>
    <row r="192" spans="2:2">
      <c r="B192" s="1560"/>
    </row>
    <row r="193" spans="2:2">
      <c r="B193" s="1560"/>
    </row>
    <row r="194" spans="2:2">
      <c r="B194" s="1560"/>
    </row>
    <row r="195" spans="2:2">
      <c r="B195" s="1560"/>
    </row>
  </sheetData>
  <mergeCells count="1">
    <mergeCell ref="A1:C1"/>
  </mergeCells>
  <phoneticPr fontId="102" type="noConversion"/>
  <pageMargins left="0.69930555555555596" right="0.69930555555555596"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M62"/>
  <sheetViews>
    <sheetView zoomScale="110" zoomScaleNormal="110" workbookViewId="0">
      <pane xSplit="7" ySplit="5" topLeftCell="H42" activePane="bottomRight" state="frozen"/>
      <selection pane="topRight"/>
      <selection pane="bottomLeft"/>
      <selection pane="bottomRight" activeCell="E43" sqref="E43"/>
    </sheetView>
  </sheetViews>
  <sheetFormatPr defaultColWidth="9" defaultRowHeight="12.75"/>
  <cols>
    <col min="1" max="1" width="5.125" style="1479" customWidth="1"/>
    <col min="2" max="2" width="13.125" style="1479" customWidth="1"/>
    <col min="3" max="3" width="15.25" style="1479" customWidth="1"/>
    <col min="4" max="4" width="11.5" style="1479" customWidth="1"/>
    <col min="5" max="5" width="11.125" style="1479" customWidth="1"/>
    <col min="6" max="6" width="10.875" style="1479" customWidth="1"/>
    <col min="7" max="7" width="10.75" style="1479" customWidth="1"/>
    <col min="8" max="9" width="10.5" style="1479" customWidth="1"/>
    <col min="10" max="10" width="10.125" style="1479" customWidth="1"/>
    <col min="11" max="11" width="11.25" style="1479" customWidth="1"/>
    <col min="12" max="12" width="9.375" style="1479" customWidth="1"/>
    <col min="13" max="169" width="9" style="1479" customWidth="1"/>
    <col min="170" max="223" width="9" style="1479"/>
    <col min="224" max="224" width="7.5" style="1479" customWidth="1"/>
    <col min="225" max="225" width="11.5" style="1479" customWidth="1"/>
    <col min="226" max="226" width="15.25" style="1479" customWidth="1"/>
    <col min="227" max="227" width="11.5" style="1479" customWidth="1"/>
    <col min="228" max="228" width="11.125" style="1479" customWidth="1"/>
    <col min="229" max="229" width="10.875" style="1479" customWidth="1"/>
    <col min="230" max="230" width="10.75" style="1479" customWidth="1"/>
    <col min="231" max="232" width="10.5" style="1479" customWidth="1"/>
    <col min="233" max="233" width="10.125" style="1479" customWidth="1"/>
    <col min="234" max="234" width="11.25" style="1479" customWidth="1"/>
    <col min="235" max="235" width="9.375" style="1479" customWidth="1"/>
    <col min="236" max="397" width="9" style="1479" customWidth="1"/>
    <col min="398" max="479" width="9" style="1479"/>
    <col min="480" max="480" width="7.5" style="1479" customWidth="1"/>
    <col min="481" max="481" width="11.5" style="1479" customWidth="1"/>
    <col min="482" max="482" width="15.25" style="1479" customWidth="1"/>
    <col min="483" max="483" width="11.5" style="1479" customWidth="1"/>
    <col min="484" max="484" width="11.125" style="1479" customWidth="1"/>
    <col min="485" max="485" width="10.875" style="1479" customWidth="1"/>
    <col min="486" max="486" width="10.75" style="1479" customWidth="1"/>
    <col min="487" max="488" width="10.5" style="1479" customWidth="1"/>
    <col min="489" max="489" width="10.125" style="1479" customWidth="1"/>
    <col min="490" max="490" width="11.25" style="1479" customWidth="1"/>
    <col min="491" max="491" width="9.375" style="1479" customWidth="1"/>
    <col min="492" max="653" width="9" style="1479" customWidth="1"/>
    <col min="654" max="735" width="9" style="1479"/>
    <col min="736" max="736" width="7.5" style="1479" customWidth="1"/>
    <col min="737" max="737" width="11.5" style="1479" customWidth="1"/>
    <col min="738" max="738" width="15.25" style="1479" customWidth="1"/>
    <col min="739" max="739" width="11.5" style="1479" customWidth="1"/>
    <col min="740" max="740" width="11.125" style="1479" customWidth="1"/>
    <col min="741" max="741" width="10.875" style="1479" customWidth="1"/>
    <col min="742" max="742" width="10.75" style="1479" customWidth="1"/>
    <col min="743" max="744" width="10.5" style="1479" customWidth="1"/>
    <col min="745" max="745" width="10.125" style="1479" customWidth="1"/>
    <col min="746" max="746" width="11.25" style="1479" customWidth="1"/>
    <col min="747" max="747" width="9.375" style="1479" customWidth="1"/>
    <col min="748" max="909" width="9" style="1479" customWidth="1"/>
    <col min="910" max="991" width="9" style="1479"/>
    <col min="992" max="992" width="7.5" style="1479" customWidth="1"/>
    <col min="993" max="993" width="11.5" style="1479" customWidth="1"/>
    <col min="994" max="994" width="15.25" style="1479" customWidth="1"/>
    <col min="995" max="995" width="11.5" style="1479" customWidth="1"/>
    <col min="996" max="996" width="11.125" style="1479" customWidth="1"/>
    <col min="997" max="997" width="10.875" style="1479" customWidth="1"/>
    <col min="998" max="998" width="10.75" style="1479" customWidth="1"/>
    <col min="999" max="1000" width="10.5" style="1479" customWidth="1"/>
    <col min="1001" max="1001" width="10.125" style="1479" customWidth="1"/>
    <col min="1002" max="1002" width="11.25" style="1479" customWidth="1"/>
    <col min="1003" max="1003" width="9.375" style="1479" customWidth="1"/>
    <col min="1004" max="1165" width="9" style="1479" customWidth="1"/>
    <col min="1166" max="1247" width="9" style="1479"/>
    <col min="1248" max="1248" width="7.5" style="1479" customWidth="1"/>
    <col min="1249" max="1249" width="11.5" style="1479" customWidth="1"/>
    <col min="1250" max="1250" width="15.25" style="1479" customWidth="1"/>
    <col min="1251" max="1251" width="11.5" style="1479" customWidth="1"/>
    <col min="1252" max="1252" width="11.125" style="1479" customWidth="1"/>
    <col min="1253" max="1253" width="10.875" style="1479" customWidth="1"/>
    <col min="1254" max="1254" width="10.75" style="1479" customWidth="1"/>
    <col min="1255" max="1256" width="10.5" style="1479" customWidth="1"/>
    <col min="1257" max="1257" width="10.125" style="1479" customWidth="1"/>
    <col min="1258" max="1258" width="11.25" style="1479" customWidth="1"/>
    <col min="1259" max="1259" width="9.375" style="1479" customWidth="1"/>
    <col min="1260" max="1421" width="9" style="1479" customWidth="1"/>
    <col min="1422" max="1503" width="9" style="1479"/>
    <col min="1504" max="1504" width="7.5" style="1479" customWidth="1"/>
    <col min="1505" max="1505" width="11.5" style="1479" customWidth="1"/>
    <col min="1506" max="1506" width="15.25" style="1479" customWidth="1"/>
    <col min="1507" max="1507" width="11.5" style="1479" customWidth="1"/>
    <col min="1508" max="1508" width="11.125" style="1479" customWidth="1"/>
    <col min="1509" max="1509" width="10.875" style="1479" customWidth="1"/>
    <col min="1510" max="1510" width="10.75" style="1479" customWidth="1"/>
    <col min="1511" max="1512" width="10.5" style="1479" customWidth="1"/>
    <col min="1513" max="1513" width="10.125" style="1479" customWidth="1"/>
    <col min="1514" max="1514" width="11.25" style="1479" customWidth="1"/>
    <col min="1515" max="1515" width="9.375" style="1479" customWidth="1"/>
    <col min="1516" max="1677" width="9" style="1479" customWidth="1"/>
    <col min="1678" max="1759" width="9" style="1479"/>
    <col min="1760" max="1760" width="7.5" style="1479" customWidth="1"/>
    <col min="1761" max="1761" width="11.5" style="1479" customWidth="1"/>
    <col min="1762" max="1762" width="15.25" style="1479" customWidth="1"/>
    <col min="1763" max="1763" width="11.5" style="1479" customWidth="1"/>
    <col min="1764" max="1764" width="11.125" style="1479" customWidth="1"/>
    <col min="1765" max="1765" width="10.875" style="1479" customWidth="1"/>
    <col min="1766" max="1766" width="10.75" style="1479" customWidth="1"/>
    <col min="1767" max="1768" width="10.5" style="1479" customWidth="1"/>
    <col min="1769" max="1769" width="10.125" style="1479" customWidth="1"/>
    <col min="1770" max="1770" width="11.25" style="1479" customWidth="1"/>
    <col min="1771" max="1771" width="9.375" style="1479" customWidth="1"/>
    <col min="1772" max="1933" width="9" style="1479" customWidth="1"/>
    <col min="1934" max="2015" width="9" style="1479"/>
    <col min="2016" max="2016" width="7.5" style="1479" customWidth="1"/>
    <col min="2017" max="2017" width="11.5" style="1479" customWidth="1"/>
    <col min="2018" max="2018" width="15.25" style="1479" customWidth="1"/>
    <col min="2019" max="2019" width="11.5" style="1479" customWidth="1"/>
    <col min="2020" max="2020" width="11.125" style="1479" customWidth="1"/>
    <col min="2021" max="2021" width="10.875" style="1479" customWidth="1"/>
    <col min="2022" max="2022" width="10.75" style="1479" customWidth="1"/>
    <col min="2023" max="2024" width="10.5" style="1479" customWidth="1"/>
    <col min="2025" max="2025" width="10.125" style="1479" customWidth="1"/>
    <col min="2026" max="2026" width="11.25" style="1479" customWidth="1"/>
    <col min="2027" max="2027" width="9.375" style="1479" customWidth="1"/>
    <col min="2028" max="2189" width="9" style="1479" customWidth="1"/>
    <col min="2190" max="2271" width="9" style="1479"/>
    <col min="2272" max="2272" width="7.5" style="1479" customWidth="1"/>
    <col min="2273" max="2273" width="11.5" style="1479" customWidth="1"/>
    <col min="2274" max="2274" width="15.25" style="1479" customWidth="1"/>
    <col min="2275" max="2275" width="11.5" style="1479" customWidth="1"/>
    <col min="2276" max="2276" width="11.125" style="1479" customWidth="1"/>
    <col min="2277" max="2277" width="10.875" style="1479" customWidth="1"/>
    <col min="2278" max="2278" width="10.75" style="1479" customWidth="1"/>
    <col min="2279" max="2280" width="10.5" style="1479" customWidth="1"/>
    <col min="2281" max="2281" width="10.125" style="1479" customWidth="1"/>
    <col min="2282" max="2282" width="11.25" style="1479" customWidth="1"/>
    <col min="2283" max="2283" width="9.375" style="1479" customWidth="1"/>
    <col min="2284" max="2445" width="9" style="1479" customWidth="1"/>
    <col min="2446" max="2527" width="9" style="1479"/>
    <col min="2528" max="2528" width="7.5" style="1479" customWidth="1"/>
    <col min="2529" max="2529" width="11.5" style="1479" customWidth="1"/>
    <col min="2530" max="2530" width="15.25" style="1479" customWidth="1"/>
    <col min="2531" max="2531" width="11.5" style="1479" customWidth="1"/>
    <col min="2532" max="2532" width="11.125" style="1479" customWidth="1"/>
    <col min="2533" max="2533" width="10.875" style="1479" customWidth="1"/>
    <col min="2534" max="2534" width="10.75" style="1479" customWidth="1"/>
    <col min="2535" max="2536" width="10.5" style="1479" customWidth="1"/>
    <col min="2537" max="2537" width="10.125" style="1479" customWidth="1"/>
    <col min="2538" max="2538" width="11.25" style="1479" customWidth="1"/>
    <col min="2539" max="2539" width="9.375" style="1479" customWidth="1"/>
    <col min="2540" max="2701" width="9" style="1479" customWidth="1"/>
    <col min="2702" max="2783" width="9" style="1479"/>
    <col min="2784" max="2784" width="7.5" style="1479" customWidth="1"/>
    <col min="2785" max="2785" width="11.5" style="1479" customWidth="1"/>
    <col min="2786" max="2786" width="15.25" style="1479" customWidth="1"/>
    <col min="2787" max="2787" width="11.5" style="1479" customWidth="1"/>
    <col min="2788" max="2788" width="11.125" style="1479" customWidth="1"/>
    <col min="2789" max="2789" width="10.875" style="1479" customWidth="1"/>
    <col min="2790" max="2790" width="10.75" style="1479" customWidth="1"/>
    <col min="2791" max="2792" width="10.5" style="1479" customWidth="1"/>
    <col min="2793" max="2793" width="10.125" style="1479" customWidth="1"/>
    <col min="2794" max="2794" width="11.25" style="1479" customWidth="1"/>
    <col min="2795" max="2795" width="9.375" style="1479" customWidth="1"/>
    <col min="2796" max="2957" width="9" style="1479" customWidth="1"/>
    <col min="2958" max="3039" width="9" style="1479"/>
    <col min="3040" max="3040" width="7.5" style="1479" customWidth="1"/>
    <col min="3041" max="3041" width="11.5" style="1479" customWidth="1"/>
    <col min="3042" max="3042" width="15.25" style="1479" customWidth="1"/>
    <col min="3043" max="3043" width="11.5" style="1479" customWidth="1"/>
    <col min="3044" max="3044" width="11.125" style="1479" customWidth="1"/>
    <col min="3045" max="3045" width="10.875" style="1479" customWidth="1"/>
    <col min="3046" max="3046" width="10.75" style="1479" customWidth="1"/>
    <col min="3047" max="3048" width="10.5" style="1479" customWidth="1"/>
    <col min="3049" max="3049" width="10.125" style="1479" customWidth="1"/>
    <col min="3050" max="3050" width="11.25" style="1479" customWidth="1"/>
    <col min="3051" max="3051" width="9.375" style="1479" customWidth="1"/>
    <col min="3052" max="3213" width="9" style="1479" customWidth="1"/>
    <col min="3214" max="3295" width="9" style="1479"/>
    <col min="3296" max="3296" width="7.5" style="1479" customWidth="1"/>
    <col min="3297" max="3297" width="11.5" style="1479" customWidth="1"/>
    <col min="3298" max="3298" width="15.25" style="1479" customWidth="1"/>
    <col min="3299" max="3299" width="11.5" style="1479" customWidth="1"/>
    <col min="3300" max="3300" width="11.125" style="1479" customWidth="1"/>
    <col min="3301" max="3301" width="10.875" style="1479" customWidth="1"/>
    <col min="3302" max="3302" width="10.75" style="1479" customWidth="1"/>
    <col min="3303" max="3304" width="10.5" style="1479" customWidth="1"/>
    <col min="3305" max="3305" width="10.125" style="1479" customWidth="1"/>
    <col min="3306" max="3306" width="11.25" style="1479" customWidth="1"/>
    <col min="3307" max="3307" width="9.375" style="1479" customWidth="1"/>
    <col min="3308" max="3469" width="9" style="1479" customWidth="1"/>
    <col min="3470" max="3551" width="9" style="1479"/>
    <col min="3552" max="3552" width="7.5" style="1479" customWidth="1"/>
    <col min="3553" max="3553" width="11.5" style="1479" customWidth="1"/>
    <col min="3554" max="3554" width="15.25" style="1479" customWidth="1"/>
    <col min="3555" max="3555" width="11.5" style="1479" customWidth="1"/>
    <col min="3556" max="3556" width="11.125" style="1479" customWidth="1"/>
    <col min="3557" max="3557" width="10.875" style="1479" customWidth="1"/>
    <col min="3558" max="3558" width="10.75" style="1479" customWidth="1"/>
    <col min="3559" max="3560" width="10.5" style="1479" customWidth="1"/>
    <col min="3561" max="3561" width="10.125" style="1479" customWidth="1"/>
    <col min="3562" max="3562" width="11.25" style="1479" customWidth="1"/>
    <col min="3563" max="3563" width="9.375" style="1479" customWidth="1"/>
    <col min="3564" max="3725" width="9" style="1479" customWidth="1"/>
    <col min="3726" max="3807" width="9" style="1479"/>
    <col min="3808" max="3808" width="7.5" style="1479" customWidth="1"/>
    <col min="3809" max="3809" width="11.5" style="1479" customWidth="1"/>
    <col min="3810" max="3810" width="15.25" style="1479" customWidth="1"/>
    <col min="3811" max="3811" width="11.5" style="1479" customWidth="1"/>
    <col min="3812" max="3812" width="11.125" style="1479" customWidth="1"/>
    <col min="3813" max="3813" width="10.875" style="1479" customWidth="1"/>
    <col min="3814" max="3814" width="10.75" style="1479" customWidth="1"/>
    <col min="3815" max="3816" width="10.5" style="1479" customWidth="1"/>
    <col min="3817" max="3817" width="10.125" style="1479" customWidth="1"/>
    <col min="3818" max="3818" width="11.25" style="1479" customWidth="1"/>
    <col min="3819" max="3819" width="9.375" style="1479" customWidth="1"/>
    <col min="3820" max="3981" width="9" style="1479" customWidth="1"/>
    <col min="3982" max="4063" width="9" style="1479"/>
    <col min="4064" max="4064" width="7.5" style="1479" customWidth="1"/>
    <col min="4065" max="4065" width="11.5" style="1479" customWidth="1"/>
    <col min="4066" max="4066" width="15.25" style="1479" customWidth="1"/>
    <col min="4067" max="4067" width="11.5" style="1479" customWidth="1"/>
    <col min="4068" max="4068" width="11.125" style="1479" customWidth="1"/>
    <col min="4069" max="4069" width="10.875" style="1479" customWidth="1"/>
    <col min="4070" max="4070" width="10.75" style="1479" customWidth="1"/>
    <col min="4071" max="4072" width="10.5" style="1479" customWidth="1"/>
    <col min="4073" max="4073" width="10.125" style="1479" customWidth="1"/>
    <col min="4074" max="4074" width="11.25" style="1479" customWidth="1"/>
    <col min="4075" max="4075" width="9.375" style="1479" customWidth="1"/>
    <col min="4076" max="4237" width="9" style="1479" customWidth="1"/>
    <col min="4238" max="4319" width="9" style="1479"/>
    <col min="4320" max="4320" width="7.5" style="1479" customWidth="1"/>
    <col min="4321" max="4321" width="11.5" style="1479" customWidth="1"/>
    <col min="4322" max="4322" width="15.25" style="1479" customWidth="1"/>
    <col min="4323" max="4323" width="11.5" style="1479" customWidth="1"/>
    <col min="4324" max="4324" width="11.125" style="1479" customWidth="1"/>
    <col min="4325" max="4325" width="10.875" style="1479" customWidth="1"/>
    <col min="4326" max="4326" width="10.75" style="1479" customWidth="1"/>
    <col min="4327" max="4328" width="10.5" style="1479" customWidth="1"/>
    <col min="4329" max="4329" width="10.125" style="1479" customWidth="1"/>
    <col min="4330" max="4330" width="11.25" style="1479" customWidth="1"/>
    <col min="4331" max="4331" width="9.375" style="1479" customWidth="1"/>
    <col min="4332" max="4493" width="9" style="1479" customWidth="1"/>
    <col min="4494" max="4575" width="9" style="1479"/>
    <col min="4576" max="4576" width="7.5" style="1479" customWidth="1"/>
    <col min="4577" max="4577" width="11.5" style="1479" customWidth="1"/>
    <col min="4578" max="4578" width="15.25" style="1479" customWidth="1"/>
    <col min="4579" max="4579" width="11.5" style="1479" customWidth="1"/>
    <col min="4580" max="4580" width="11.125" style="1479" customWidth="1"/>
    <col min="4581" max="4581" width="10.875" style="1479" customWidth="1"/>
    <col min="4582" max="4582" width="10.75" style="1479" customWidth="1"/>
    <col min="4583" max="4584" width="10.5" style="1479" customWidth="1"/>
    <col min="4585" max="4585" width="10.125" style="1479" customWidth="1"/>
    <col min="4586" max="4586" width="11.25" style="1479" customWidth="1"/>
    <col min="4587" max="4587" width="9.375" style="1479" customWidth="1"/>
    <col min="4588" max="4749" width="9" style="1479" customWidth="1"/>
    <col min="4750" max="4831" width="9" style="1479"/>
    <col min="4832" max="4832" width="7.5" style="1479" customWidth="1"/>
    <col min="4833" max="4833" width="11.5" style="1479" customWidth="1"/>
    <col min="4834" max="4834" width="15.25" style="1479" customWidth="1"/>
    <col min="4835" max="4835" width="11.5" style="1479" customWidth="1"/>
    <col min="4836" max="4836" width="11.125" style="1479" customWidth="1"/>
    <col min="4837" max="4837" width="10.875" style="1479" customWidth="1"/>
    <col min="4838" max="4838" width="10.75" style="1479" customWidth="1"/>
    <col min="4839" max="4840" width="10.5" style="1479" customWidth="1"/>
    <col min="4841" max="4841" width="10.125" style="1479" customWidth="1"/>
    <col min="4842" max="4842" width="11.25" style="1479" customWidth="1"/>
    <col min="4843" max="4843" width="9.375" style="1479" customWidth="1"/>
    <col min="4844" max="5005" width="9" style="1479" customWidth="1"/>
    <col min="5006" max="5087" width="9" style="1479"/>
    <col min="5088" max="5088" width="7.5" style="1479" customWidth="1"/>
    <col min="5089" max="5089" width="11.5" style="1479" customWidth="1"/>
    <col min="5090" max="5090" width="15.25" style="1479" customWidth="1"/>
    <col min="5091" max="5091" width="11.5" style="1479" customWidth="1"/>
    <col min="5092" max="5092" width="11.125" style="1479" customWidth="1"/>
    <col min="5093" max="5093" width="10.875" style="1479" customWidth="1"/>
    <col min="5094" max="5094" width="10.75" style="1479" customWidth="1"/>
    <col min="5095" max="5096" width="10.5" style="1479" customWidth="1"/>
    <col min="5097" max="5097" width="10.125" style="1479" customWidth="1"/>
    <col min="5098" max="5098" width="11.25" style="1479" customWidth="1"/>
    <col min="5099" max="5099" width="9.375" style="1479" customWidth="1"/>
    <col min="5100" max="5261" width="9" style="1479" customWidth="1"/>
    <col min="5262" max="5343" width="9" style="1479"/>
    <col min="5344" max="5344" width="7.5" style="1479" customWidth="1"/>
    <col min="5345" max="5345" width="11.5" style="1479" customWidth="1"/>
    <col min="5346" max="5346" width="15.25" style="1479" customWidth="1"/>
    <col min="5347" max="5347" width="11.5" style="1479" customWidth="1"/>
    <col min="5348" max="5348" width="11.125" style="1479" customWidth="1"/>
    <col min="5349" max="5349" width="10.875" style="1479" customWidth="1"/>
    <col min="5350" max="5350" width="10.75" style="1479" customWidth="1"/>
    <col min="5351" max="5352" width="10.5" style="1479" customWidth="1"/>
    <col min="5353" max="5353" width="10.125" style="1479" customWidth="1"/>
    <col min="5354" max="5354" width="11.25" style="1479" customWidth="1"/>
    <col min="5355" max="5355" width="9.375" style="1479" customWidth="1"/>
    <col min="5356" max="5517" width="9" style="1479" customWidth="1"/>
    <col min="5518" max="5599" width="9" style="1479"/>
    <col min="5600" max="5600" width="7.5" style="1479" customWidth="1"/>
    <col min="5601" max="5601" width="11.5" style="1479" customWidth="1"/>
    <col min="5602" max="5602" width="15.25" style="1479" customWidth="1"/>
    <col min="5603" max="5603" width="11.5" style="1479" customWidth="1"/>
    <col min="5604" max="5604" width="11.125" style="1479" customWidth="1"/>
    <col min="5605" max="5605" width="10.875" style="1479" customWidth="1"/>
    <col min="5606" max="5606" width="10.75" style="1479" customWidth="1"/>
    <col min="5607" max="5608" width="10.5" style="1479" customWidth="1"/>
    <col min="5609" max="5609" width="10.125" style="1479" customWidth="1"/>
    <col min="5610" max="5610" width="11.25" style="1479" customWidth="1"/>
    <col min="5611" max="5611" width="9.375" style="1479" customWidth="1"/>
    <col min="5612" max="5773" width="9" style="1479" customWidth="1"/>
    <col min="5774" max="5855" width="9" style="1479"/>
    <col min="5856" max="5856" width="7.5" style="1479" customWidth="1"/>
    <col min="5857" max="5857" width="11.5" style="1479" customWidth="1"/>
    <col min="5858" max="5858" width="15.25" style="1479" customWidth="1"/>
    <col min="5859" max="5859" width="11.5" style="1479" customWidth="1"/>
    <col min="5860" max="5860" width="11.125" style="1479" customWidth="1"/>
    <col min="5861" max="5861" width="10.875" style="1479" customWidth="1"/>
    <col min="5862" max="5862" width="10.75" style="1479" customWidth="1"/>
    <col min="5863" max="5864" width="10.5" style="1479" customWidth="1"/>
    <col min="5865" max="5865" width="10.125" style="1479" customWidth="1"/>
    <col min="5866" max="5866" width="11.25" style="1479" customWidth="1"/>
    <col min="5867" max="5867" width="9.375" style="1479" customWidth="1"/>
    <col min="5868" max="6029" width="9" style="1479" customWidth="1"/>
    <col min="6030" max="6111" width="9" style="1479"/>
    <col min="6112" max="6112" width="7.5" style="1479" customWidth="1"/>
    <col min="6113" max="6113" width="11.5" style="1479" customWidth="1"/>
    <col min="6114" max="6114" width="15.25" style="1479" customWidth="1"/>
    <col min="6115" max="6115" width="11.5" style="1479" customWidth="1"/>
    <col min="6116" max="6116" width="11.125" style="1479" customWidth="1"/>
    <col min="6117" max="6117" width="10.875" style="1479" customWidth="1"/>
    <col min="6118" max="6118" width="10.75" style="1479" customWidth="1"/>
    <col min="6119" max="6120" width="10.5" style="1479" customWidth="1"/>
    <col min="6121" max="6121" width="10.125" style="1479" customWidth="1"/>
    <col min="6122" max="6122" width="11.25" style="1479" customWidth="1"/>
    <col min="6123" max="6123" width="9.375" style="1479" customWidth="1"/>
    <col min="6124" max="6285" width="9" style="1479" customWidth="1"/>
    <col min="6286" max="6367" width="9" style="1479"/>
    <col min="6368" max="6368" width="7.5" style="1479" customWidth="1"/>
    <col min="6369" max="6369" width="11.5" style="1479" customWidth="1"/>
    <col min="6370" max="6370" width="15.25" style="1479" customWidth="1"/>
    <col min="6371" max="6371" width="11.5" style="1479" customWidth="1"/>
    <col min="6372" max="6372" width="11.125" style="1479" customWidth="1"/>
    <col min="6373" max="6373" width="10.875" style="1479" customWidth="1"/>
    <col min="6374" max="6374" width="10.75" style="1479" customWidth="1"/>
    <col min="6375" max="6376" width="10.5" style="1479" customWidth="1"/>
    <col min="6377" max="6377" width="10.125" style="1479" customWidth="1"/>
    <col min="6378" max="6378" width="11.25" style="1479" customWidth="1"/>
    <col min="6379" max="6379" width="9.375" style="1479" customWidth="1"/>
    <col min="6380" max="6541" width="9" style="1479" customWidth="1"/>
    <col min="6542" max="6623" width="9" style="1479"/>
    <col min="6624" max="6624" width="7.5" style="1479" customWidth="1"/>
    <col min="6625" max="6625" width="11.5" style="1479" customWidth="1"/>
    <col min="6626" max="6626" width="15.25" style="1479" customWidth="1"/>
    <col min="6627" max="6627" width="11.5" style="1479" customWidth="1"/>
    <col min="6628" max="6628" width="11.125" style="1479" customWidth="1"/>
    <col min="6629" max="6629" width="10.875" style="1479" customWidth="1"/>
    <col min="6630" max="6630" width="10.75" style="1479" customWidth="1"/>
    <col min="6631" max="6632" width="10.5" style="1479" customWidth="1"/>
    <col min="6633" max="6633" width="10.125" style="1479" customWidth="1"/>
    <col min="6634" max="6634" width="11.25" style="1479" customWidth="1"/>
    <col min="6635" max="6635" width="9.375" style="1479" customWidth="1"/>
    <col min="6636" max="6797" width="9" style="1479" customWidth="1"/>
    <col min="6798" max="6879" width="9" style="1479"/>
    <col min="6880" max="6880" width="7.5" style="1479" customWidth="1"/>
    <col min="6881" max="6881" width="11.5" style="1479" customWidth="1"/>
    <col min="6882" max="6882" width="15.25" style="1479" customWidth="1"/>
    <col min="6883" max="6883" width="11.5" style="1479" customWidth="1"/>
    <col min="6884" max="6884" width="11.125" style="1479" customWidth="1"/>
    <col min="6885" max="6885" width="10.875" style="1479" customWidth="1"/>
    <col min="6886" max="6886" width="10.75" style="1479" customWidth="1"/>
    <col min="6887" max="6888" width="10.5" style="1479" customWidth="1"/>
    <col min="6889" max="6889" width="10.125" style="1479" customWidth="1"/>
    <col min="6890" max="6890" width="11.25" style="1479" customWidth="1"/>
    <col min="6891" max="6891" width="9.375" style="1479" customWidth="1"/>
    <col min="6892" max="7053" width="9" style="1479" customWidth="1"/>
    <col min="7054" max="7135" width="9" style="1479"/>
    <col min="7136" max="7136" width="7.5" style="1479" customWidth="1"/>
    <col min="7137" max="7137" width="11.5" style="1479" customWidth="1"/>
    <col min="7138" max="7138" width="15.25" style="1479" customWidth="1"/>
    <col min="7139" max="7139" width="11.5" style="1479" customWidth="1"/>
    <col min="7140" max="7140" width="11.125" style="1479" customWidth="1"/>
    <col min="7141" max="7141" width="10.875" style="1479" customWidth="1"/>
    <col min="7142" max="7142" width="10.75" style="1479" customWidth="1"/>
    <col min="7143" max="7144" width="10.5" style="1479" customWidth="1"/>
    <col min="7145" max="7145" width="10.125" style="1479" customWidth="1"/>
    <col min="7146" max="7146" width="11.25" style="1479" customWidth="1"/>
    <col min="7147" max="7147" width="9.375" style="1479" customWidth="1"/>
    <col min="7148" max="7309" width="9" style="1479" customWidth="1"/>
    <col min="7310" max="7391" width="9" style="1479"/>
    <col min="7392" max="7392" width="7.5" style="1479" customWidth="1"/>
    <col min="7393" max="7393" width="11.5" style="1479" customWidth="1"/>
    <col min="7394" max="7394" width="15.25" style="1479" customWidth="1"/>
    <col min="7395" max="7395" width="11.5" style="1479" customWidth="1"/>
    <col min="7396" max="7396" width="11.125" style="1479" customWidth="1"/>
    <col min="7397" max="7397" width="10.875" style="1479" customWidth="1"/>
    <col min="7398" max="7398" width="10.75" style="1479" customWidth="1"/>
    <col min="7399" max="7400" width="10.5" style="1479" customWidth="1"/>
    <col min="7401" max="7401" width="10.125" style="1479" customWidth="1"/>
    <col min="7402" max="7402" width="11.25" style="1479" customWidth="1"/>
    <col min="7403" max="7403" width="9.375" style="1479" customWidth="1"/>
    <col min="7404" max="7565" width="9" style="1479" customWidth="1"/>
    <col min="7566" max="7647" width="9" style="1479"/>
    <col min="7648" max="7648" width="7.5" style="1479" customWidth="1"/>
    <col min="7649" max="7649" width="11.5" style="1479" customWidth="1"/>
    <col min="7650" max="7650" width="15.25" style="1479" customWidth="1"/>
    <col min="7651" max="7651" width="11.5" style="1479" customWidth="1"/>
    <col min="7652" max="7652" width="11.125" style="1479" customWidth="1"/>
    <col min="7653" max="7653" width="10.875" style="1479" customWidth="1"/>
    <col min="7654" max="7654" width="10.75" style="1479" customWidth="1"/>
    <col min="7655" max="7656" width="10.5" style="1479" customWidth="1"/>
    <col min="7657" max="7657" width="10.125" style="1479" customWidth="1"/>
    <col min="7658" max="7658" width="11.25" style="1479" customWidth="1"/>
    <col min="7659" max="7659" width="9.375" style="1479" customWidth="1"/>
    <col min="7660" max="7821" width="9" style="1479" customWidth="1"/>
    <col min="7822" max="7903" width="9" style="1479"/>
    <col min="7904" max="7904" width="7.5" style="1479" customWidth="1"/>
    <col min="7905" max="7905" width="11.5" style="1479" customWidth="1"/>
    <col min="7906" max="7906" width="15.25" style="1479" customWidth="1"/>
    <col min="7907" max="7907" width="11.5" style="1479" customWidth="1"/>
    <col min="7908" max="7908" width="11.125" style="1479" customWidth="1"/>
    <col min="7909" max="7909" width="10.875" style="1479" customWidth="1"/>
    <col min="7910" max="7910" width="10.75" style="1479" customWidth="1"/>
    <col min="7911" max="7912" width="10.5" style="1479" customWidth="1"/>
    <col min="7913" max="7913" width="10.125" style="1479" customWidth="1"/>
    <col min="7914" max="7914" width="11.25" style="1479" customWidth="1"/>
    <col min="7915" max="7915" width="9.375" style="1479" customWidth="1"/>
    <col min="7916" max="8077" width="9" style="1479" customWidth="1"/>
    <col min="8078" max="8159" width="9" style="1479"/>
    <col min="8160" max="8160" width="7.5" style="1479" customWidth="1"/>
    <col min="8161" max="8161" width="11.5" style="1479" customWidth="1"/>
    <col min="8162" max="8162" width="15.25" style="1479" customWidth="1"/>
    <col min="8163" max="8163" width="11.5" style="1479" customWidth="1"/>
    <col min="8164" max="8164" width="11.125" style="1479" customWidth="1"/>
    <col min="8165" max="8165" width="10.875" style="1479" customWidth="1"/>
    <col min="8166" max="8166" width="10.75" style="1479" customWidth="1"/>
    <col min="8167" max="8168" width="10.5" style="1479" customWidth="1"/>
    <col min="8169" max="8169" width="10.125" style="1479" customWidth="1"/>
    <col min="8170" max="8170" width="11.25" style="1479" customWidth="1"/>
    <col min="8171" max="8171" width="9.375" style="1479" customWidth="1"/>
    <col min="8172" max="8333" width="9" style="1479" customWidth="1"/>
    <col min="8334" max="8415" width="9" style="1479"/>
    <col min="8416" max="8416" width="7.5" style="1479" customWidth="1"/>
    <col min="8417" max="8417" width="11.5" style="1479" customWidth="1"/>
    <col min="8418" max="8418" width="15.25" style="1479" customWidth="1"/>
    <col min="8419" max="8419" width="11.5" style="1479" customWidth="1"/>
    <col min="8420" max="8420" width="11.125" style="1479" customWidth="1"/>
    <col min="8421" max="8421" width="10.875" style="1479" customWidth="1"/>
    <col min="8422" max="8422" width="10.75" style="1479" customWidth="1"/>
    <col min="8423" max="8424" width="10.5" style="1479" customWidth="1"/>
    <col min="8425" max="8425" width="10.125" style="1479" customWidth="1"/>
    <col min="8426" max="8426" width="11.25" style="1479" customWidth="1"/>
    <col min="8427" max="8427" width="9.375" style="1479" customWidth="1"/>
    <col min="8428" max="8589" width="9" style="1479" customWidth="1"/>
    <col min="8590" max="8671" width="9" style="1479"/>
    <col min="8672" max="8672" width="7.5" style="1479" customWidth="1"/>
    <col min="8673" max="8673" width="11.5" style="1479" customWidth="1"/>
    <col min="8674" max="8674" width="15.25" style="1479" customWidth="1"/>
    <col min="8675" max="8675" width="11.5" style="1479" customWidth="1"/>
    <col min="8676" max="8676" width="11.125" style="1479" customWidth="1"/>
    <col min="8677" max="8677" width="10.875" style="1479" customWidth="1"/>
    <col min="8678" max="8678" width="10.75" style="1479" customWidth="1"/>
    <col min="8679" max="8680" width="10.5" style="1479" customWidth="1"/>
    <col min="8681" max="8681" width="10.125" style="1479" customWidth="1"/>
    <col min="8682" max="8682" width="11.25" style="1479" customWidth="1"/>
    <col min="8683" max="8683" width="9.375" style="1479" customWidth="1"/>
    <col min="8684" max="8845" width="9" style="1479" customWidth="1"/>
    <col min="8846" max="8927" width="9" style="1479"/>
    <col min="8928" max="8928" width="7.5" style="1479" customWidth="1"/>
    <col min="8929" max="8929" width="11.5" style="1479" customWidth="1"/>
    <col min="8930" max="8930" width="15.25" style="1479" customWidth="1"/>
    <col min="8931" max="8931" width="11.5" style="1479" customWidth="1"/>
    <col min="8932" max="8932" width="11.125" style="1479" customWidth="1"/>
    <col min="8933" max="8933" width="10.875" style="1479" customWidth="1"/>
    <col min="8934" max="8934" width="10.75" style="1479" customWidth="1"/>
    <col min="8935" max="8936" width="10.5" style="1479" customWidth="1"/>
    <col min="8937" max="8937" width="10.125" style="1479" customWidth="1"/>
    <col min="8938" max="8938" width="11.25" style="1479" customWidth="1"/>
    <col min="8939" max="8939" width="9.375" style="1479" customWidth="1"/>
    <col min="8940" max="9101" width="9" style="1479" customWidth="1"/>
    <col min="9102" max="9183" width="9" style="1479"/>
    <col min="9184" max="9184" width="7.5" style="1479" customWidth="1"/>
    <col min="9185" max="9185" width="11.5" style="1479" customWidth="1"/>
    <col min="9186" max="9186" width="15.25" style="1479" customWidth="1"/>
    <col min="9187" max="9187" width="11.5" style="1479" customWidth="1"/>
    <col min="9188" max="9188" width="11.125" style="1479" customWidth="1"/>
    <col min="9189" max="9189" width="10.875" style="1479" customWidth="1"/>
    <col min="9190" max="9190" width="10.75" style="1479" customWidth="1"/>
    <col min="9191" max="9192" width="10.5" style="1479" customWidth="1"/>
    <col min="9193" max="9193" width="10.125" style="1479" customWidth="1"/>
    <col min="9194" max="9194" width="11.25" style="1479" customWidth="1"/>
    <col min="9195" max="9195" width="9.375" style="1479" customWidth="1"/>
    <col min="9196" max="9357" width="9" style="1479" customWidth="1"/>
    <col min="9358" max="9439" width="9" style="1479"/>
    <col min="9440" max="9440" width="7.5" style="1479" customWidth="1"/>
    <col min="9441" max="9441" width="11.5" style="1479" customWidth="1"/>
    <col min="9442" max="9442" width="15.25" style="1479" customWidth="1"/>
    <col min="9443" max="9443" width="11.5" style="1479" customWidth="1"/>
    <col min="9444" max="9444" width="11.125" style="1479" customWidth="1"/>
    <col min="9445" max="9445" width="10.875" style="1479" customWidth="1"/>
    <col min="9446" max="9446" width="10.75" style="1479" customWidth="1"/>
    <col min="9447" max="9448" width="10.5" style="1479" customWidth="1"/>
    <col min="9449" max="9449" width="10.125" style="1479" customWidth="1"/>
    <col min="9450" max="9450" width="11.25" style="1479" customWidth="1"/>
    <col min="9451" max="9451" width="9.375" style="1479" customWidth="1"/>
    <col min="9452" max="9613" width="9" style="1479" customWidth="1"/>
    <col min="9614" max="9695" width="9" style="1479"/>
    <col min="9696" max="9696" width="7.5" style="1479" customWidth="1"/>
    <col min="9697" max="9697" width="11.5" style="1479" customWidth="1"/>
    <col min="9698" max="9698" width="15.25" style="1479" customWidth="1"/>
    <col min="9699" max="9699" width="11.5" style="1479" customWidth="1"/>
    <col min="9700" max="9700" width="11.125" style="1479" customWidth="1"/>
    <col min="9701" max="9701" width="10.875" style="1479" customWidth="1"/>
    <col min="9702" max="9702" width="10.75" style="1479" customWidth="1"/>
    <col min="9703" max="9704" width="10.5" style="1479" customWidth="1"/>
    <col min="9705" max="9705" width="10.125" style="1479" customWidth="1"/>
    <col min="9706" max="9706" width="11.25" style="1479" customWidth="1"/>
    <col min="9707" max="9707" width="9.375" style="1479" customWidth="1"/>
    <col min="9708" max="9869" width="9" style="1479" customWidth="1"/>
    <col min="9870" max="9951" width="9" style="1479"/>
    <col min="9952" max="9952" width="7.5" style="1479" customWidth="1"/>
    <col min="9953" max="9953" width="11.5" style="1479" customWidth="1"/>
    <col min="9954" max="9954" width="15.25" style="1479" customWidth="1"/>
    <col min="9955" max="9955" width="11.5" style="1479" customWidth="1"/>
    <col min="9956" max="9956" width="11.125" style="1479" customWidth="1"/>
    <col min="9957" max="9957" width="10.875" style="1479" customWidth="1"/>
    <col min="9958" max="9958" width="10.75" style="1479" customWidth="1"/>
    <col min="9959" max="9960" width="10.5" style="1479" customWidth="1"/>
    <col min="9961" max="9961" width="10.125" style="1479" customWidth="1"/>
    <col min="9962" max="9962" width="11.25" style="1479" customWidth="1"/>
    <col min="9963" max="9963" width="9.375" style="1479" customWidth="1"/>
    <col min="9964" max="10125" width="9" style="1479" customWidth="1"/>
    <col min="10126" max="10207" width="9" style="1479"/>
    <col min="10208" max="10208" width="7.5" style="1479" customWidth="1"/>
    <col min="10209" max="10209" width="11.5" style="1479" customWidth="1"/>
    <col min="10210" max="10210" width="15.25" style="1479" customWidth="1"/>
    <col min="10211" max="10211" width="11.5" style="1479" customWidth="1"/>
    <col min="10212" max="10212" width="11.125" style="1479" customWidth="1"/>
    <col min="10213" max="10213" width="10.875" style="1479" customWidth="1"/>
    <col min="10214" max="10214" width="10.75" style="1479" customWidth="1"/>
    <col min="10215" max="10216" width="10.5" style="1479" customWidth="1"/>
    <col min="10217" max="10217" width="10.125" style="1479" customWidth="1"/>
    <col min="10218" max="10218" width="11.25" style="1479" customWidth="1"/>
    <col min="10219" max="10219" width="9.375" style="1479" customWidth="1"/>
    <col min="10220" max="10381" width="9" style="1479" customWidth="1"/>
    <col min="10382" max="10463" width="9" style="1479"/>
    <col min="10464" max="10464" width="7.5" style="1479" customWidth="1"/>
    <col min="10465" max="10465" width="11.5" style="1479" customWidth="1"/>
    <col min="10466" max="10466" width="15.25" style="1479" customWidth="1"/>
    <col min="10467" max="10467" width="11.5" style="1479" customWidth="1"/>
    <col min="10468" max="10468" width="11.125" style="1479" customWidth="1"/>
    <col min="10469" max="10469" width="10.875" style="1479" customWidth="1"/>
    <col min="10470" max="10470" width="10.75" style="1479" customWidth="1"/>
    <col min="10471" max="10472" width="10.5" style="1479" customWidth="1"/>
    <col min="10473" max="10473" width="10.125" style="1479" customWidth="1"/>
    <col min="10474" max="10474" width="11.25" style="1479" customWidth="1"/>
    <col min="10475" max="10475" width="9.375" style="1479" customWidth="1"/>
    <col min="10476" max="10637" width="9" style="1479" customWidth="1"/>
    <col min="10638" max="10719" width="9" style="1479"/>
    <col min="10720" max="10720" width="7.5" style="1479" customWidth="1"/>
    <col min="10721" max="10721" width="11.5" style="1479" customWidth="1"/>
    <col min="10722" max="10722" width="15.25" style="1479" customWidth="1"/>
    <col min="10723" max="10723" width="11.5" style="1479" customWidth="1"/>
    <col min="10724" max="10724" width="11.125" style="1479" customWidth="1"/>
    <col min="10725" max="10725" width="10.875" style="1479" customWidth="1"/>
    <col min="10726" max="10726" width="10.75" style="1479" customWidth="1"/>
    <col min="10727" max="10728" width="10.5" style="1479" customWidth="1"/>
    <col min="10729" max="10729" width="10.125" style="1479" customWidth="1"/>
    <col min="10730" max="10730" width="11.25" style="1479" customWidth="1"/>
    <col min="10731" max="10731" width="9.375" style="1479" customWidth="1"/>
    <col min="10732" max="10893" width="9" style="1479" customWidth="1"/>
    <col min="10894" max="10975" width="9" style="1479"/>
    <col min="10976" max="10976" width="7.5" style="1479" customWidth="1"/>
    <col min="10977" max="10977" width="11.5" style="1479" customWidth="1"/>
    <col min="10978" max="10978" width="15.25" style="1479" customWidth="1"/>
    <col min="10979" max="10979" width="11.5" style="1479" customWidth="1"/>
    <col min="10980" max="10980" width="11.125" style="1479" customWidth="1"/>
    <col min="10981" max="10981" width="10.875" style="1479" customWidth="1"/>
    <col min="10982" max="10982" width="10.75" style="1479" customWidth="1"/>
    <col min="10983" max="10984" width="10.5" style="1479" customWidth="1"/>
    <col min="10985" max="10985" width="10.125" style="1479" customWidth="1"/>
    <col min="10986" max="10986" width="11.25" style="1479" customWidth="1"/>
    <col min="10987" max="10987" width="9.375" style="1479" customWidth="1"/>
    <col min="10988" max="11149" width="9" style="1479" customWidth="1"/>
    <col min="11150" max="11231" width="9" style="1479"/>
    <col min="11232" max="11232" width="7.5" style="1479" customWidth="1"/>
    <col min="11233" max="11233" width="11.5" style="1479" customWidth="1"/>
    <col min="11234" max="11234" width="15.25" style="1479" customWidth="1"/>
    <col min="11235" max="11235" width="11.5" style="1479" customWidth="1"/>
    <col min="11236" max="11236" width="11.125" style="1479" customWidth="1"/>
    <col min="11237" max="11237" width="10.875" style="1479" customWidth="1"/>
    <col min="11238" max="11238" width="10.75" style="1479" customWidth="1"/>
    <col min="11239" max="11240" width="10.5" style="1479" customWidth="1"/>
    <col min="11241" max="11241" width="10.125" style="1479" customWidth="1"/>
    <col min="11242" max="11242" width="11.25" style="1479" customWidth="1"/>
    <col min="11243" max="11243" width="9.375" style="1479" customWidth="1"/>
    <col min="11244" max="11405" width="9" style="1479" customWidth="1"/>
    <col min="11406" max="11487" width="9" style="1479"/>
    <col min="11488" max="11488" width="7.5" style="1479" customWidth="1"/>
    <col min="11489" max="11489" width="11.5" style="1479" customWidth="1"/>
    <col min="11490" max="11490" width="15.25" style="1479" customWidth="1"/>
    <col min="11491" max="11491" width="11.5" style="1479" customWidth="1"/>
    <col min="11492" max="11492" width="11.125" style="1479" customWidth="1"/>
    <col min="11493" max="11493" width="10.875" style="1479" customWidth="1"/>
    <col min="11494" max="11494" width="10.75" style="1479" customWidth="1"/>
    <col min="11495" max="11496" width="10.5" style="1479" customWidth="1"/>
    <col min="11497" max="11497" width="10.125" style="1479" customWidth="1"/>
    <col min="11498" max="11498" width="11.25" style="1479" customWidth="1"/>
    <col min="11499" max="11499" width="9.375" style="1479" customWidth="1"/>
    <col min="11500" max="11661" width="9" style="1479" customWidth="1"/>
    <col min="11662" max="11743" width="9" style="1479"/>
    <col min="11744" max="11744" width="7.5" style="1479" customWidth="1"/>
    <col min="11745" max="11745" width="11.5" style="1479" customWidth="1"/>
    <col min="11746" max="11746" width="15.25" style="1479" customWidth="1"/>
    <col min="11747" max="11747" width="11.5" style="1479" customWidth="1"/>
    <col min="11748" max="11748" width="11.125" style="1479" customWidth="1"/>
    <col min="11749" max="11749" width="10.875" style="1479" customWidth="1"/>
    <col min="11750" max="11750" width="10.75" style="1479" customWidth="1"/>
    <col min="11751" max="11752" width="10.5" style="1479" customWidth="1"/>
    <col min="11753" max="11753" width="10.125" style="1479" customWidth="1"/>
    <col min="11754" max="11754" width="11.25" style="1479" customWidth="1"/>
    <col min="11755" max="11755" width="9.375" style="1479" customWidth="1"/>
    <col min="11756" max="11917" width="9" style="1479" customWidth="1"/>
    <col min="11918" max="11999" width="9" style="1479"/>
    <col min="12000" max="12000" width="7.5" style="1479" customWidth="1"/>
    <col min="12001" max="12001" width="11.5" style="1479" customWidth="1"/>
    <col min="12002" max="12002" width="15.25" style="1479" customWidth="1"/>
    <col min="12003" max="12003" width="11.5" style="1479" customWidth="1"/>
    <col min="12004" max="12004" width="11.125" style="1479" customWidth="1"/>
    <col min="12005" max="12005" width="10.875" style="1479" customWidth="1"/>
    <col min="12006" max="12006" width="10.75" style="1479" customWidth="1"/>
    <col min="12007" max="12008" width="10.5" style="1479" customWidth="1"/>
    <col min="12009" max="12009" width="10.125" style="1479" customWidth="1"/>
    <col min="12010" max="12010" width="11.25" style="1479" customWidth="1"/>
    <col min="12011" max="12011" width="9.375" style="1479" customWidth="1"/>
    <col min="12012" max="12173" width="9" style="1479" customWidth="1"/>
    <col min="12174" max="12255" width="9" style="1479"/>
    <col min="12256" max="12256" width="7.5" style="1479" customWidth="1"/>
    <col min="12257" max="12257" width="11.5" style="1479" customWidth="1"/>
    <col min="12258" max="12258" width="15.25" style="1479" customWidth="1"/>
    <col min="12259" max="12259" width="11.5" style="1479" customWidth="1"/>
    <col min="12260" max="12260" width="11.125" style="1479" customWidth="1"/>
    <col min="12261" max="12261" width="10.875" style="1479" customWidth="1"/>
    <col min="12262" max="12262" width="10.75" style="1479" customWidth="1"/>
    <col min="12263" max="12264" width="10.5" style="1479" customWidth="1"/>
    <col min="12265" max="12265" width="10.125" style="1479" customWidth="1"/>
    <col min="12266" max="12266" width="11.25" style="1479" customWidth="1"/>
    <col min="12267" max="12267" width="9.375" style="1479" customWidth="1"/>
    <col min="12268" max="12429" width="9" style="1479" customWidth="1"/>
    <col min="12430" max="12511" width="9" style="1479"/>
    <col min="12512" max="12512" width="7.5" style="1479" customWidth="1"/>
    <col min="12513" max="12513" width="11.5" style="1479" customWidth="1"/>
    <col min="12514" max="12514" width="15.25" style="1479" customWidth="1"/>
    <col min="12515" max="12515" width="11.5" style="1479" customWidth="1"/>
    <col min="12516" max="12516" width="11.125" style="1479" customWidth="1"/>
    <col min="12517" max="12517" width="10.875" style="1479" customWidth="1"/>
    <col min="12518" max="12518" width="10.75" style="1479" customWidth="1"/>
    <col min="12519" max="12520" width="10.5" style="1479" customWidth="1"/>
    <col min="12521" max="12521" width="10.125" style="1479" customWidth="1"/>
    <col min="12522" max="12522" width="11.25" style="1479" customWidth="1"/>
    <col min="12523" max="12523" width="9.375" style="1479" customWidth="1"/>
    <col min="12524" max="12685" width="9" style="1479" customWidth="1"/>
    <col min="12686" max="12767" width="9" style="1479"/>
    <col min="12768" max="12768" width="7.5" style="1479" customWidth="1"/>
    <col min="12769" max="12769" width="11.5" style="1479" customWidth="1"/>
    <col min="12770" max="12770" width="15.25" style="1479" customWidth="1"/>
    <col min="12771" max="12771" width="11.5" style="1479" customWidth="1"/>
    <col min="12772" max="12772" width="11.125" style="1479" customWidth="1"/>
    <col min="12773" max="12773" width="10.875" style="1479" customWidth="1"/>
    <col min="12774" max="12774" width="10.75" style="1479" customWidth="1"/>
    <col min="12775" max="12776" width="10.5" style="1479" customWidth="1"/>
    <col min="12777" max="12777" width="10.125" style="1479" customWidth="1"/>
    <col min="12778" max="12778" width="11.25" style="1479" customWidth="1"/>
    <col min="12779" max="12779" width="9.375" style="1479" customWidth="1"/>
    <col min="12780" max="12941" width="9" style="1479" customWidth="1"/>
    <col min="12942" max="13023" width="9" style="1479"/>
    <col min="13024" max="13024" width="7.5" style="1479" customWidth="1"/>
    <col min="13025" max="13025" width="11.5" style="1479" customWidth="1"/>
    <col min="13026" max="13026" width="15.25" style="1479" customWidth="1"/>
    <col min="13027" max="13027" width="11.5" style="1479" customWidth="1"/>
    <col min="13028" max="13028" width="11.125" style="1479" customWidth="1"/>
    <col min="13029" max="13029" width="10.875" style="1479" customWidth="1"/>
    <col min="13030" max="13030" width="10.75" style="1479" customWidth="1"/>
    <col min="13031" max="13032" width="10.5" style="1479" customWidth="1"/>
    <col min="13033" max="13033" width="10.125" style="1479" customWidth="1"/>
    <col min="13034" max="13034" width="11.25" style="1479" customWidth="1"/>
    <col min="13035" max="13035" width="9.375" style="1479" customWidth="1"/>
    <col min="13036" max="13197" width="9" style="1479" customWidth="1"/>
    <col min="13198" max="13279" width="9" style="1479"/>
    <col min="13280" max="13280" width="7.5" style="1479" customWidth="1"/>
    <col min="13281" max="13281" width="11.5" style="1479" customWidth="1"/>
    <col min="13282" max="13282" width="15.25" style="1479" customWidth="1"/>
    <col min="13283" max="13283" width="11.5" style="1479" customWidth="1"/>
    <col min="13284" max="13284" width="11.125" style="1479" customWidth="1"/>
    <col min="13285" max="13285" width="10.875" style="1479" customWidth="1"/>
    <col min="13286" max="13286" width="10.75" style="1479" customWidth="1"/>
    <col min="13287" max="13288" width="10.5" style="1479" customWidth="1"/>
    <col min="13289" max="13289" width="10.125" style="1479" customWidth="1"/>
    <col min="13290" max="13290" width="11.25" style="1479" customWidth="1"/>
    <col min="13291" max="13291" width="9.375" style="1479" customWidth="1"/>
    <col min="13292" max="13453" width="9" style="1479" customWidth="1"/>
    <col min="13454" max="13535" width="9" style="1479"/>
    <col min="13536" max="13536" width="7.5" style="1479" customWidth="1"/>
    <col min="13537" max="13537" width="11.5" style="1479" customWidth="1"/>
    <col min="13538" max="13538" width="15.25" style="1479" customWidth="1"/>
    <col min="13539" max="13539" width="11.5" style="1479" customWidth="1"/>
    <col min="13540" max="13540" width="11.125" style="1479" customWidth="1"/>
    <col min="13541" max="13541" width="10.875" style="1479" customWidth="1"/>
    <col min="13542" max="13542" width="10.75" style="1479" customWidth="1"/>
    <col min="13543" max="13544" width="10.5" style="1479" customWidth="1"/>
    <col min="13545" max="13545" width="10.125" style="1479" customWidth="1"/>
    <col min="13546" max="13546" width="11.25" style="1479" customWidth="1"/>
    <col min="13547" max="13547" width="9.375" style="1479" customWidth="1"/>
    <col min="13548" max="13709" width="9" style="1479" customWidth="1"/>
    <col min="13710" max="13791" width="9" style="1479"/>
    <col min="13792" max="13792" width="7.5" style="1479" customWidth="1"/>
    <col min="13793" max="13793" width="11.5" style="1479" customWidth="1"/>
    <col min="13794" max="13794" width="15.25" style="1479" customWidth="1"/>
    <col min="13795" max="13795" width="11.5" style="1479" customWidth="1"/>
    <col min="13796" max="13796" width="11.125" style="1479" customWidth="1"/>
    <col min="13797" max="13797" width="10.875" style="1479" customWidth="1"/>
    <col min="13798" max="13798" width="10.75" style="1479" customWidth="1"/>
    <col min="13799" max="13800" width="10.5" style="1479" customWidth="1"/>
    <col min="13801" max="13801" width="10.125" style="1479" customWidth="1"/>
    <col min="13802" max="13802" width="11.25" style="1479" customWidth="1"/>
    <col min="13803" max="13803" width="9.375" style="1479" customWidth="1"/>
    <col min="13804" max="13965" width="9" style="1479" customWidth="1"/>
    <col min="13966" max="14047" width="9" style="1479"/>
    <col min="14048" max="14048" width="7.5" style="1479" customWidth="1"/>
    <col min="14049" max="14049" width="11.5" style="1479" customWidth="1"/>
    <col min="14050" max="14050" width="15.25" style="1479" customWidth="1"/>
    <col min="14051" max="14051" width="11.5" style="1479" customWidth="1"/>
    <col min="14052" max="14052" width="11.125" style="1479" customWidth="1"/>
    <col min="14053" max="14053" width="10.875" style="1479" customWidth="1"/>
    <col min="14054" max="14054" width="10.75" style="1479" customWidth="1"/>
    <col min="14055" max="14056" width="10.5" style="1479" customWidth="1"/>
    <col min="14057" max="14057" width="10.125" style="1479" customWidth="1"/>
    <col min="14058" max="14058" width="11.25" style="1479" customWidth="1"/>
    <col min="14059" max="14059" width="9.375" style="1479" customWidth="1"/>
    <col min="14060" max="14221" width="9" style="1479" customWidth="1"/>
    <col min="14222" max="14303" width="9" style="1479"/>
    <col min="14304" max="14304" width="7.5" style="1479" customWidth="1"/>
    <col min="14305" max="14305" width="11.5" style="1479" customWidth="1"/>
    <col min="14306" max="14306" width="15.25" style="1479" customWidth="1"/>
    <col min="14307" max="14307" width="11.5" style="1479" customWidth="1"/>
    <col min="14308" max="14308" width="11.125" style="1479" customWidth="1"/>
    <col min="14309" max="14309" width="10.875" style="1479" customWidth="1"/>
    <col min="14310" max="14310" width="10.75" style="1479" customWidth="1"/>
    <col min="14311" max="14312" width="10.5" style="1479" customWidth="1"/>
    <col min="14313" max="14313" width="10.125" style="1479" customWidth="1"/>
    <col min="14314" max="14314" width="11.25" style="1479" customWidth="1"/>
    <col min="14315" max="14315" width="9.375" style="1479" customWidth="1"/>
    <col min="14316" max="14477" width="9" style="1479" customWidth="1"/>
    <col min="14478" max="14559" width="9" style="1479"/>
    <col min="14560" max="14560" width="7.5" style="1479" customWidth="1"/>
    <col min="14561" max="14561" width="11.5" style="1479" customWidth="1"/>
    <col min="14562" max="14562" width="15.25" style="1479" customWidth="1"/>
    <col min="14563" max="14563" width="11.5" style="1479" customWidth="1"/>
    <col min="14564" max="14564" width="11.125" style="1479" customWidth="1"/>
    <col min="14565" max="14565" width="10.875" style="1479" customWidth="1"/>
    <col min="14566" max="14566" width="10.75" style="1479" customWidth="1"/>
    <col min="14567" max="14568" width="10.5" style="1479" customWidth="1"/>
    <col min="14569" max="14569" width="10.125" style="1479" customWidth="1"/>
    <col min="14570" max="14570" width="11.25" style="1479" customWidth="1"/>
    <col min="14571" max="14571" width="9.375" style="1479" customWidth="1"/>
    <col min="14572" max="14733" width="9" style="1479" customWidth="1"/>
    <col min="14734" max="14815" width="9" style="1479"/>
    <col min="14816" max="14816" width="7.5" style="1479" customWidth="1"/>
    <col min="14817" max="14817" width="11.5" style="1479" customWidth="1"/>
    <col min="14818" max="14818" width="15.25" style="1479" customWidth="1"/>
    <col min="14819" max="14819" width="11.5" style="1479" customWidth="1"/>
    <col min="14820" max="14820" width="11.125" style="1479" customWidth="1"/>
    <col min="14821" max="14821" width="10.875" style="1479" customWidth="1"/>
    <col min="14822" max="14822" width="10.75" style="1479" customWidth="1"/>
    <col min="14823" max="14824" width="10.5" style="1479" customWidth="1"/>
    <col min="14825" max="14825" width="10.125" style="1479" customWidth="1"/>
    <col min="14826" max="14826" width="11.25" style="1479" customWidth="1"/>
    <col min="14827" max="14827" width="9.375" style="1479" customWidth="1"/>
    <col min="14828" max="14989" width="9" style="1479" customWidth="1"/>
    <col min="14990" max="15071" width="9" style="1479"/>
    <col min="15072" max="15072" width="7.5" style="1479" customWidth="1"/>
    <col min="15073" max="15073" width="11.5" style="1479" customWidth="1"/>
    <col min="15074" max="15074" width="15.25" style="1479" customWidth="1"/>
    <col min="15075" max="15075" width="11.5" style="1479" customWidth="1"/>
    <col min="15076" max="15076" width="11.125" style="1479" customWidth="1"/>
    <col min="15077" max="15077" width="10.875" style="1479" customWidth="1"/>
    <col min="15078" max="15078" width="10.75" style="1479" customWidth="1"/>
    <col min="15079" max="15080" width="10.5" style="1479" customWidth="1"/>
    <col min="15081" max="15081" width="10.125" style="1479" customWidth="1"/>
    <col min="15082" max="15082" width="11.25" style="1479" customWidth="1"/>
    <col min="15083" max="15083" width="9.375" style="1479" customWidth="1"/>
    <col min="15084" max="15245" width="9" style="1479" customWidth="1"/>
    <col min="15246" max="16384" width="9" style="1479"/>
  </cols>
  <sheetData>
    <row r="1" spans="1:169" ht="18.75">
      <c r="A1" s="1480" t="s">
        <v>180</v>
      </c>
    </row>
    <row r="2" spans="1:169">
      <c r="A2" s="1481"/>
      <c r="G2" s="1482">
        <v>1</v>
      </c>
      <c r="K2" s="1482">
        <v>2</v>
      </c>
      <c r="O2" s="1482">
        <v>3</v>
      </c>
      <c r="P2" s="1482"/>
      <c r="S2" s="1482">
        <v>4</v>
      </c>
      <c r="W2" s="1482">
        <v>5</v>
      </c>
      <c r="AA2" s="1482">
        <v>6</v>
      </c>
      <c r="AE2" s="1482">
        <v>7</v>
      </c>
      <c r="AF2" s="1482"/>
      <c r="AI2" s="1482">
        <v>8</v>
      </c>
      <c r="AM2" s="1482">
        <v>9</v>
      </c>
      <c r="AQ2" s="1482">
        <v>10</v>
      </c>
      <c r="AU2" s="1482">
        <v>11</v>
      </c>
      <c r="AV2" s="1482"/>
      <c r="AY2" s="1482">
        <v>12</v>
      </c>
      <c r="BC2" s="1482">
        <v>13</v>
      </c>
      <c r="BG2" s="1482">
        <v>14</v>
      </c>
      <c r="BK2" s="1482">
        <v>15</v>
      </c>
      <c r="BL2" s="1482"/>
      <c r="BO2" s="1482">
        <v>16</v>
      </c>
      <c r="BS2" s="1482">
        <v>17</v>
      </c>
      <c r="BW2" s="1482">
        <v>18</v>
      </c>
      <c r="CA2" s="1482">
        <v>19</v>
      </c>
      <c r="CB2" s="1482"/>
      <c r="CE2" s="1482">
        <v>20</v>
      </c>
      <c r="CI2" s="1482">
        <v>21</v>
      </c>
      <c r="CM2" s="1482">
        <v>22</v>
      </c>
      <c r="CQ2" s="1482">
        <v>23</v>
      </c>
      <c r="CR2" s="1482"/>
      <c r="CU2" s="1482">
        <v>24</v>
      </c>
      <c r="CY2" s="1482">
        <v>25</v>
      </c>
      <c r="DC2" s="1482">
        <v>26</v>
      </c>
      <c r="DG2" s="1482">
        <v>27</v>
      </c>
      <c r="DH2" s="1482"/>
      <c r="DK2" s="1482">
        <v>28</v>
      </c>
      <c r="DO2" s="1482">
        <v>29</v>
      </c>
      <c r="DS2" s="1482">
        <v>30</v>
      </c>
      <c r="DW2" s="1482">
        <v>31</v>
      </c>
      <c r="DX2" s="1482"/>
      <c r="EA2" s="1482">
        <v>32</v>
      </c>
      <c r="EE2" s="1482">
        <v>33</v>
      </c>
      <c r="EI2" s="1482">
        <v>34</v>
      </c>
      <c r="EM2" s="1482">
        <v>35</v>
      </c>
      <c r="EN2" s="1482"/>
      <c r="EQ2" s="1482">
        <v>36</v>
      </c>
      <c r="EU2" s="1482">
        <v>37</v>
      </c>
      <c r="EY2" s="1482">
        <v>38</v>
      </c>
      <c r="FC2" s="1482">
        <v>39</v>
      </c>
      <c r="FD2" s="1482"/>
      <c r="FG2" s="1482">
        <v>40</v>
      </c>
      <c r="FK2" s="1482"/>
      <c r="FL2" s="1479" t="s">
        <v>181</v>
      </c>
    </row>
    <row r="3" spans="1:169">
      <c r="A3" s="1737" t="s">
        <v>182</v>
      </c>
      <c r="B3" s="1737" t="s">
        <v>183</v>
      </c>
      <c r="C3" s="1737" t="s">
        <v>184</v>
      </c>
      <c r="D3" s="1737" t="s">
        <v>185</v>
      </c>
      <c r="E3" s="1731">
        <f>YEAR(自持参数设置!C4)</f>
        <v>1900</v>
      </c>
      <c r="F3" s="1731"/>
      <c r="G3" s="1731"/>
      <c r="H3" s="1731"/>
      <c r="I3" s="1731">
        <f>E3+1</f>
        <v>1901</v>
      </c>
      <c r="J3" s="1731"/>
      <c r="K3" s="1731"/>
      <c r="L3" s="1731"/>
      <c r="M3" s="1731">
        <f>I3+1</f>
        <v>1902</v>
      </c>
      <c r="N3" s="1731"/>
      <c r="O3" s="1731"/>
      <c r="P3" s="1731"/>
      <c r="Q3" s="1731">
        <f>M3+1</f>
        <v>1903</v>
      </c>
      <c r="R3" s="1731"/>
      <c r="S3" s="1731"/>
      <c r="T3" s="1731"/>
      <c r="U3" s="1731">
        <f>Q3+1</f>
        <v>1904</v>
      </c>
      <c r="V3" s="1731"/>
      <c r="W3" s="1731"/>
      <c r="X3" s="1731"/>
      <c r="Y3" s="1731">
        <f>U3+1</f>
        <v>1905</v>
      </c>
      <c r="Z3" s="1731"/>
      <c r="AA3" s="1731"/>
      <c r="AB3" s="1731"/>
      <c r="AC3" s="1731">
        <f>Y3+1</f>
        <v>1906</v>
      </c>
      <c r="AD3" s="1731"/>
      <c r="AE3" s="1731"/>
      <c r="AF3" s="1731"/>
      <c r="AG3" s="1731">
        <f>AC3+1</f>
        <v>1907</v>
      </c>
      <c r="AH3" s="1731"/>
      <c r="AI3" s="1731"/>
      <c r="AJ3" s="1731"/>
      <c r="AK3" s="1731">
        <f>AG3+1</f>
        <v>1908</v>
      </c>
      <c r="AL3" s="1731"/>
      <c r="AM3" s="1731"/>
      <c r="AN3" s="1731"/>
      <c r="AO3" s="1731">
        <f>AK3+1</f>
        <v>1909</v>
      </c>
      <c r="AP3" s="1731"/>
      <c r="AQ3" s="1731"/>
      <c r="AR3" s="1731"/>
      <c r="AS3" s="1731">
        <f>AO3+1</f>
        <v>1910</v>
      </c>
      <c r="AT3" s="1731"/>
      <c r="AU3" s="1731"/>
      <c r="AV3" s="1731"/>
      <c r="AW3" s="1731">
        <f>AS3+1</f>
        <v>1911</v>
      </c>
      <c r="AX3" s="1731"/>
      <c r="AY3" s="1731"/>
      <c r="AZ3" s="1731"/>
      <c r="BA3" s="1731">
        <f>AW3+1</f>
        <v>1912</v>
      </c>
      <c r="BB3" s="1731"/>
      <c r="BC3" s="1731"/>
      <c r="BD3" s="1731"/>
      <c r="BE3" s="1731">
        <f>BA3+1</f>
        <v>1913</v>
      </c>
      <c r="BF3" s="1731"/>
      <c r="BG3" s="1731"/>
      <c r="BH3" s="1731"/>
      <c r="BI3" s="1731">
        <f>BE3+1</f>
        <v>1914</v>
      </c>
      <c r="BJ3" s="1731"/>
      <c r="BK3" s="1731"/>
      <c r="BL3" s="1731"/>
      <c r="BM3" s="1731">
        <f>BI3+1</f>
        <v>1915</v>
      </c>
      <c r="BN3" s="1731"/>
      <c r="BO3" s="1731"/>
      <c r="BP3" s="1731"/>
      <c r="BQ3" s="1731">
        <f>BM3+1</f>
        <v>1916</v>
      </c>
      <c r="BR3" s="1731"/>
      <c r="BS3" s="1731"/>
      <c r="BT3" s="1731"/>
      <c r="BU3" s="1731">
        <f>BQ3+1</f>
        <v>1917</v>
      </c>
      <c r="BV3" s="1731"/>
      <c r="BW3" s="1731"/>
      <c r="BX3" s="1731"/>
      <c r="BY3" s="1731">
        <f>BU3+1</f>
        <v>1918</v>
      </c>
      <c r="BZ3" s="1731"/>
      <c r="CA3" s="1731"/>
      <c r="CB3" s="1731"/>
      <c r="CC3" s="1731">
        <f>BY3+1</f>
        <v>1919</v>
      </c>
      <c r="CD3" s="1731"/>
      <c r="CE3" s="1731"/>
      <c r="CF3" s="1731"/>
      <c r="CG3" s="1731">
        <f>CC3+1</f>
        <v>1920</v>
      </c>
      <c r="CH3" s="1731"/>
      <c r="CI3" s="1731"/>
      <c r="CJ3" s="1731"/>
      <c r="CK3" s="1731">
        <f>CG3+1</f>
        <v>1921</v>
      </c>
      <c r="CL3" s="1731"/>
      <c r="CM3" s="1731"/>
      <c r="CN3" s="1731"/>
      <c r="CO3" s="1731">
        <f>CK3+1</f>
        <v>1922</v>
      </c>
      <c r="CP3" s="1731"/>
      <c r="CQ3" s="1731"/>
      <c r="CR3" s="1731"/>
      <c r="CS3" s="1731">
        <f>CO3+1</f>
        <v>1923</v>
      </c>
      <c r="CT3" s="1731"/>
      <c r="CU3" s="1731"/>
      <c r="CV3" s="1731"/>
      <c r="CW3" s="1731">
        <f>CS3+1</f>
        <v>1924</v>
      </c>
      <c r="CX3" s="1731"/>
      <c r="CY3" s="1731"/>
      <c r="CZ3" s="1731"/>
      <c r="DA3" s="1731">
        <f>CW3+1</f>
        <v>1925</v>
      </c>
      <c r="DB3" s="1731"/>
      <c r="DC3" s="1731"/>
      <c r="DD3" s="1731"/>
      <c r="DE3" s="1731">
        <f>DA3+1</f>
        <v>1926</v>
      </c>
      <c r="DF3" s="1731"/>
      <c r="DG3" s="1731"/>
      <c r="DH3" s="1731"/>
      <c r="DI3" s="1731">
        <f>DE3+1</f>
        <v>1927</v>
      </c>
      <c r="DJ3" s="1731"/>
      <c r="DK3" s="1731"/>
      <c r="DL3" s="1731"/>
      <c r="DM3" s="1731">
        <f>DI3+1</f>
        <v>1928</v>
      </c>
      <c r="DN3" s="1731"/>
      <c r="DO3" s="1731"/>
      <c r="DP3" s="1731"/>
      <c r="DQ3" s="1731">
        <f>DM3+1</f>
        <v>1929</v>
      </c>
      <c r="DR3" s="1731"/>
      <c r="DS3" s="1731"/>
      <c r="DT3" s="1731"/>
      <c r="DU3" s="1731">
        <f>DQ3+1</f>
        <v>1930</v>
      </c>
      <c r="DV3" s="1731"/>
      <c r="DW3" s="1731"/>
      <c r="DX3" s="1731"/>
      <c r="DY3" s="1731">
        <f>DU3+1</f>
        <v>1931</v>
      </c>
      <c r="DZ3" s="1731"/>
      <c r="EA3" s="1731"/>
      <c r="EB3" s="1731"/>
      <c r="EC3" s="1731">
        <f>DY3+1</f>
        <v>1932</v>
      </c>
      <c r="ED3" s="1731"/>
      <c r="EE3" s="1731"/>
      <c r="EF3" s="1731"/>
      <c r="EG3" s="1731">
        <f>EC3+1</f>
        <v>1933</v>
      </c>
      <c r="EH3" s="1731"/>
      <c r="EI3" s="1731"/>
      <c r="EJ3" s="1731"/>
      <c r="EK3" s="1731">
        <f>EG3+1</f>
        <v>1934</v>
      </c>
      <c r="EL3" s="1731"/>
      <c r="EM3" s="1731"/>
      <c r="EN3" s="1731"/>
      <c r="EO3" s="1731">
        <f>EK3+1</f>
        <v>1935</v>
      </c>
      <c r="EP3" s="1731"/>
      <c r="EQ3" s="1731"/>
      <c r="ER3" s="1731"/>
      <c r="ES3" s="1731">
        <f>EO3+1</f>
        <v>1936</v>
      </c>
      <c r="ET3" s="1731"/>
      <c r="EU3" s="1731"/>
      <c r="EV3" s="1731"/>
      <c r="EW3" s="1731">
        <f>ES3+1</f>
        <v>1937</v>
      </c>
      <c r="EX3" s="1731"/>
      <c r="EY3" s="1731"/>
      <c r="EZ3" s="1731"/>
      <c r="FA3" s="1731">
        <f>EW3+1</f>
        <v>1938</v>
      </c>
      <c r="FB3" s="1731"/>
      <c r="FC3" s="1731"/>
      <c r="FD3" s="1731"/>
      <c r="FE3" s="1731">
        <f>FA3+1</f>
        <v>1939</v>
      </c>
      <c r="FF3" s="1731"/>
      <c r="FG3" s="1731"/>
      <c r="FH3" s="1731"/>
      <c r="FI3" s="1731">
        <f>FE3+1</f>
        <v>1940</v>
      </c>
      <c r="FJ3" s="1731"/>
      <c r="FK3" s="1731"/>
      <c r="FL3" s="1731"/>
    </row>
    <row r="4" spans="1:169">
      <c r="A4" s="1737"/>
      <c r="B4" s="1737"/>
      <c r="C4" s="1737"/>
      <c r="D4" s="1737"/>
      <c r="E4" s="1483">
        <f>E3</f>
        <v>1900</v>
      </c>
      <c r="F4" s="1483">
        <f>E4</f>
        <v>1900</v>
      </c>
      <c r="G4" s="1483">
        <f>F4</f>
        <v>1900</v>
      </c>
      <c r="H4" s="1483">
        <f>G4</f>
        <v>1900</v>
      </c>
      <c r="I4" s="1483">
        <f>I3</f>
        <v>1901</v>
      </c>
      <c r="J4" s="1483">
        <f>I4</f>
        <v>1901</v>
      </c>
      <c r="K4" s="1483">
        <f>J4</f>
        <v>1901</v>
      </c>
      <c r="L4" s="1483">
        <f>K4</f>
        <v>1901</v>
      </c>
      <c r="M4" s="1483">
        <f>M3</f>
        <v>1902</v>
      </c>
      <c r="N4" s="1483">
        <f>M4</f>
        <v>1902</v>
      </c>
      <c r="O4" s="1483">
        <f>N4</f>
        <v>1902</v>
      </c>
      <c r="P4" s="1483">
        <f>O4</f>
        <v>1902</v>
      </c>
      <c r="Q4" s="1483">
        <f>Q3</f>
        <v>1903</v>
      </c>
      <c r="R4" s="1483">
        <f>Q4</f>
        <v>1903</v>
      </c>
      <c r="S4" s="1483">
        <f>R4</f>
        <v>1903</v>
      </c>
      <c r="T4" s="1483">
        <f>S4</f>
        <v>1903</v>
      </c>
      <c r="U4" s="1483">
        <f>U3</f>
        <v>1904</v>
      </c>
      <c r="V4" s="1483">
        <f>U4</f>
        <v>1904</v>
      </c>
      <c r="W4" s="1483">
        <f>V4</f>
        <v>1904</v>
      </c>
      <c r="X4" s="1483">
        <f>W4</f>
        <v>1904</v>
      </c>
      <c r="Y4" s="1483">
        <f>Y3</f>
        <v>1905</v>
      </c>
      <c r="Z4" s="1483">
        <f>Y4</f>
        <v>1905</v>
      </c>
      <c r="AA4" s="1483">
        <f>Z4</f>
        <v>1905</v>
      </c>
      <c r="AB4" s="1483">
        <f>AA4</f>
        <v>1905</v>
      </c>
      <c r="AC4" s="1483">
        <f>AC3</f>
        <v>1906</v>
      </c>
      <c r="AD4" s="1483">
        <f>AC4</f>
        <v>1906</v>
      </c>
      <c r="AE4" s="1483">
        <f>AD4</f>
        <v>1906</v>
      </c>
      <c r="AF4" s="1483">
        <f>AE4</f>
        <v>1906</v>
      </c>
      <c r="AG4" s="1483">
        <f>AG3</f>
        <v>1907</v>
      </c>
      <c r="AH4" s="1483">
        <f>AG4</f>
        <v>1907</v>
      </c>
      <c r="AI4" s="1483">
        <f>AH4</f>
        <v>1907</v>
      </c>
      <c r="AJ4" s="1483">
        <f>AI4</f>
        <v>1907</v>
      </c>
      <c r="AK4" s="1483">
        <f>AK3</f>
        <v>1908</v>
      </c>
      <c r="AL4" s="1483">
        <f>AK4</f>
        <v>1908</v>
      </c>
      <c r="AM4" s="1483">
        <f>AL4</f>
        <v>1908</v>
      </c>
      <c r="AN4" s="1483">
        <f>AM4</f>
        <v>1908</v>
      </c>
      <c r="AO4" s="1483">
        <f>AO3</f>
        <v>1909</v>
      </c>
      <c r="AP4" s="1483">
        <f>AO4</f>
        <v>1909</v>
      </c>
      <c r="AQ4" s="1483">
        <f>AP4</f>
        <v>1909</v>
      </c>
      <c r="AR4" s="1483">
        <f>AQ4</f>
        <v>1909</v>
      </c>
      <c r="AS4" s="1483">
        <f>AS3</f>
        <v>1910</v>
      </c>
      <c r="AT4" s="1483">
        <f>AS4</f>
        <v>1910</v>
      </c>
      <c r="AU4" s="1483">
        <f>AT4</f>
        <v>1910</v>
      </c>
      <c r="AV4" s="1483">
        <f>AU4</f>
        <v>1910</v>
      </c>
      <c r="AW4" s="1483">
        <f>AW3</f>
        <v>1911</v>
      </c>
      <c r="AX4" s="1483">
        <f>AW4</f>
        <v>1911</v>
      </c>
      <c r="AY4" s="1483">
        <f>AX4</f>
        <v>1911</v>
      </c>
      <c r="AZ4" s="1483">
        <f>AY4</f>
        <v>1911</v>
      </c>
      <c r="BA4" s="1483">
        <f>BA3</f>
        <v>1912</v>
      </c>
      <c r="BB4" s="1483">
        <f>BA4</f>
        <v>1912</v>
      </c>
      <c r="BC4" s="1483">
        <f>BB4</f>
        <v>1912</v>
      </c>
      <c r="BD4" s="1483">
        <f>BC4</f>
        <v>1912</v>
      </c>
      <c r="BE4" s="1483">
        <f>BE3</f>
        <v>1913</v>
      </c>
      <c r="BF4" s="1483">
        <f>BE4</f>
        <v>1913</v>
      </c>
      <c r="BG4" s="1483">
        <f>BF4</f>
        <v>1913</v>
      </c>
      <c r="BH4" s="1483">
        <f>BG4</f>
        <v>1913</v>
      </c>
      <c r="BI4" s="1483">
        <f>BI3</f>
        <v>1914</v>
      </c>
      <c r="BJ4" s="1483">
        <f>BI4</f>
        <v>1914</v>
      </c>
      <c r="BK4" s="1483">
        <f>BJ4</f>
        <v>1914</v>
      </c>
      <c r="BL4" s="1483">
        <f>BK4</f>
        <v>1914</v>
      </c>
      <c r="BM4" s="1483">
        <f>BM3</f>
        <v>1915</v>
      </c>
      <c r="BN4" s="1483">
        <f>BM4</f>
        <v>1915</v>
      </c>
      <c r="BO4" s="1483">
        <f>BN4</f>
        <v>1915</v>
      </c>
      <c r="BP4" s="1483">
        <f>BO4</f>
        <v>1915</v>
      </c>
      <c r="BQ4" s="1483">
        <f>BQ3</f>
        <v>1916</v>
      </c>
      <c r="BR4" s="1483">
        <f>BQ4</f>
        <v>1916</v>
      </c>
      <c r="BS4" s="1483">
        <f>BR4</f>
        <v>1916</v>
      </c>
      <c r="BT4" s="1483">
        <f>BS4</f>
        <v>1916</v>
      </c>
      <c r="BU4" s="1483">
        <f>BU3</f>
        <v>1917</v>
      </c>
      <c r="BV4" s="1483">
        <f>BU4</f>
        <v>1917</v>
      </c>
      <c r="BW4" s="1483">
        <f>BV4</f>
        <v>1917</v>
      </c>
      <c r="BX4" s="1483">
        <f>BW4</f>
        <v>1917</v>
      </c>
      <c r="BY4" s="1483">
        <f>BY3</f>
        <v>1918</v>
      </c>
      <c r="BZ4" s="1483">
        <f>BY4</f>
        <v>1918</v>
      </c>
      <c r="CA4" s="1483">
        <f>BZ4</f>
        <v>1918</v>
      </c>
      <c r="CB4" s="1483">
        <f>CA4</f>
        <v>1918</v>
      </c>
      <c r="CC4" s="1483">
        <f>CC3</f>
        <v>1919</v>
      </c>
      <c r="CD4" s="1483">
        <f>CC4</f>
        <v>1919</v>
      </c>
      <c r="CE4" s="1483">
        <f>CD4</f>
        <v>1919</v>
      </c>
      <c r="CF4" s="1483">
        <f>CE4</f>
        <v>1919</v>
      </c>
      <c r="CG4" s="1483">
        <f>CG3</f>
        <v>1920</v>
      </c>
      <c r="CH4" s="1483">
        <f>CG4</f>
        <v>1920</v>
      </c>
      <c r="CI4" s="1483">
        <f>CH4</f>
        <v>1920</v>
      </c>
      <c r="CJ4" s="1483">
        <f>CI4</f>
        <v>1920</v>
      </c>
      <c r="CK4" s="1483">
        <f>CK3</f>
        <v>1921</v>
      </c>
      <c r="CL4" s="1483">
        <f>CK4</f>
        <v>1921</v>
      </c>
      <c r="CM4" s="1483">
        <f>CL4</f>
        <v>1921</v>
      </c>
      <c r="CN4" s="1483">
        <f>CM4</f>
        <v>1921</v>
      </c>
      <c r="CO4" s="1483">
        <f>CO3</f>
        <v>1922</v>
      </c>
      <c r="CP4" s="1483">
        <f>CO4</f>
        <v>1922</v>
      </c>
      <c r="CQ4" s="1483">
        <f>CP4</f>
        <v>1922</v>
      </c>
      <c r="CR4" s="1483">
        <f>CQ4</f>
        <v>1922</v>
      </c>
      <c r="CS4" s="1483">
        <f>CS3</f>
        <v>1923</v>
      </c>
      <c r="CT4" s="1483">
        <f>CS4</f>
        <v>1923</v>
      </c>
      <c r="CU4" s="1483">
        <f>CT4</f>
        <v>1923</v>
      </c>
      <c r="CV4" s="1483">
        <f>CU4</f>
        <v>1923</v>
      </c>
      <c r="CW4" s="1483">
        <f>CW3</f>
        <v>1924</v>
      </c>
      <c r="CX4" s="1483">
        <f>CW4</f>
        <v>1924</v>
      </c>
      <c r="CY4" s="1483">
        <f>CX4</f>
        <v>1924</v>
      </c>
      <c r="CZ4" s="1483">
        <f>CY4</f>
        <v>1924</v>
      </c>
      <c r="DA4" s="1483">
        <f>DA3</f>
        <v>1925</v>
      </c>
      <c r="DB4" s="1483">
        <f>DA4</f>
        <v>1925</v>
      </c>
      <c r="DC4" s="1483">
        <f>DB4</f>
        <v>1925</v>
      </c>
      <c r="DD4" s="1483">
        <f>DC4</f>
        <v>1925</v>
      </c>
      <c r="DE4" s="1483">
        <f>DE3</f>
        <v>1926</v>
      </c>
      <c r="DF4" s="1483">
        <f>DE4</f>
        <v>1926</v>
      </c>
      <c r="DG4" s="1483">
        <f>DF4</f>
        <v>1926</v>
      </c>
      <c r="DH4" s="1483">
        <f>DG4</f>
        <v>1926</v>
      </c>
      <c r="DI4" s="1483">
        <f>DI3</f>
        <v>1927</v>
      </c>
      <c r="DJ4" s="1483">
        <f>DI4</f>
        <v>1927</v>
      </c>
      <c r="DK4" s="1483">
        <f>DJ4</f>
        <v>1927</v>
      </c>
      <c r="DL4" s="1483">
        <f>DK4</f>
        <v>1927</v>
      </c>
      <c r="DM4" s="1483">
        <f>DM3</f>
        <v>1928</v>
      </c>
      <c r="DN4" s="1483">
        <f>DM4</f>
        <v>1928</v>
      </c>
      <c r="DO4" s="1483">
        <f>DN4</f>
        <v>1928</v>
      </c>
      <c r="DP4" s="1483">
        <f>DO4</f>
        <v>1928</v>
      </c>
      <c r="DQ4" s="1483">
        <f>DQ3</f>
        <v>1929</v>
      </c>
      <c r="DR4" s="1483">
        <f>DQ4</f>
        <v>1929</v>
      </c>
      <c r="DS4" s="1483">
        <f>DR4</f>
        <v>1929</v>
      </c>
      <c r="DT4" s="1483">
        <f>DS4</f>
        <v>1929</v>
      </c>
      <c r="DU4" s="1483">
        <f>DU3</f>
        <v>1930</v>
      </c>
      <c r="DV4" s="1483">
        <f>DU4</f>
        <v>1930</v>
      </c>
      <c r="DW4" s="1483">
        <f>DV4</f>
        <v>1930</v>
      </c>
      <c r="DX4" s="1483">
        <f>DW4</f>
        <v>1930</v>
      </c>
      <c r="DY4" s="1483">
        <f>DY3</f>
        <v>1931</v>
      </c>
      <c r="DZ4" s="1483">
        <f>DY4</f>
        <v>1931</v>
      </c>
      <c r="EA4" s="1483">
        <f>DZ4</f>
        <v>1931</v>
      </c>
      <c r="EB4" s="1483">
        <f>EA4</f>
        <v>1931</v>
      </c>
      <c r="EC4" s="1483">
        <f>EC3</f>
        <v>1932</v>
      </c>
      <c r="ED4" s="1483">
        <f>EC4</f>
        <v>1932</v>
      </c>
      <c r="EE4" s="1483">
        <f>ED4</f>
        <v>1932</v>
      </c>
      <c r="EF4" s="1483">
        <f>EE4</f>
        <v>1932</v>
      </c>
      <c r="EG4" s="1483">
        <f>EG3</f>
        <v>1933</v>
      </c>
      <c r="EH4" s="1483">
        <f>EG4</f>
        <v>1933</v>
      </c>
      <c r="EI4" s="1483">
        <f>EH4</f>
        <v>1933</v>
      </c>
      <c r="EJ4" s="1483">
        <f>EI4</f>
        <v>1933</v>
      </c>
      <c r="EK4" s="1483">
        <f>EK3</f>
        <v>1934</v>
      </c>
      <c r="EL4" s="1483">
        <f>EK4</f>
        <v>1934</v>
      </c>
      <c r="EM4" s="1483">
        <f>EL4</f>
        <v>1934</v>
      </c>
      <c r="EN4" s="1483">
        <f>EM4</f>
        <v>1934</v>
      </c>
      <c r="EO4" s="1483">
        <f>EO3</f>
        <v>1935</v>
      </c>
      <c r="EP4" s="1483">
        <f>EO4</f>
        <v>1935</v>
      </c>
      <c r="EQ4" s="1483">
        <f>EP4</f>
        <v>1935</v>
      </c>
      <c r="ER4" s="1483">
        <f>EQ4</f>
        <v>1935</v>
      </c>
      <c r="ES4" s="1483">
        <f>ES3</f>
        <v>1936</v>
      </c>
      <c r="ET4" s="1483">
        <f>ES4</f>
        <v>1936</v>
      </c>
      <c r="EU4" s="1483">
        <f>ET4</f>
        <v>1936</v>
      </c>
      <c r="EV4" s="1483">
        <f>EU4</f>
        <v>1936</v>
      </c>
      <c r="EW4" s="1483">
        <f>EW3</f>
        <v>1937</v>
      </c>
      <c r="EX4" s="1483">
        <f>EW4</f>
        <v>1937</v>
      </c>
      <c r="EY4" s="1483">
        <f>EX4</f>
        <v>1937</v>
      </c>
      <c r="EZ4" s="1483">
        <f>EY4</f>
        <v>1937</v>
      </c>
      <c r="FA4" s="1483">
        <f>FA3</f>
        <v>1938</v>
      </c>
      <c r="FB4" s="1483">
        <f>FA4</f>
        <v>1938</v>
      </c>
      <c r="FC4" s="1483">
        <f>FB4</f>
        <v>1938</v>
      </c>
      <c r="FD4" s="1483">
        <f>FC4</f>
        <v>1938</v>
      </c>
      <c r="FE4" s="1483">
        <f>FE3</f>
        <v>1939</v>
      </c>
      <c r="FF4" s="1483">
        <f>FE4</f>
        <v>1939</v>
      </c>
      <c r="FG4" s="1483">
        <f>FF4</f>
        <v>1939</v>
      </c>
      <c r="FH4" s="1483">
        <f>FG4</f>
        <v>1939</v>
      </c>
      <c r="FI4" s="1483">
        <f>FI3</f>
        <v>1940</v>
      </c>
      <c r="FJ4" s="1483">
        <f>FI4</f>
        <v>1940</v>
      </c>
      <c r="FK4" s="1483">
        <f>FJ4</f>
        <v>1940</v>
      </c>
      <c r="FL4" s="1483">
        <f>FK4</f>
        <v>1940</v>
      </c>
      <c r="FM4" s="1550"/>
    </row>
    <row r="5" spans="1:169">
      <c r="A5" s="1737"/>
      <c r="B5" s="1737"/>
      <c r="C5" s="1737"/>
      <c r="D5" s="1737"/>
      <c r="E5" s="1484">
        <v>1</v>
      </c>
      <c r="F5" s="1484">
        <v>2</v>
      </c>
      <c r="G5" s="1484">
        <v>3</v>
      </c>
      <c r="H5" s="1484">
        <v>4</v>
      </c>
      <c r="I5" s="1484">
        <f t="shared" ref="I5:BT5" si="0">E5</f>
        <v>1</v>
      </c>
      <c r="J5" s="1484">
        <f t="shared" si="0"/>
        <v>2</v>
      </c>
      <c r="K5" s="1484">
        <f t="shared" si="0"/>
        <v>3</v>
      </c>
      <c r="L5" s="1484">
        <f t="shared" si="0"/>
        <v>4</v>
      </c>
      <c r="M5" s="1484">
        <f t="shared" si="0"/>
        <v>1</v>
      </c>
      <c r="N5" s="1484">
        <f t="shared" si="0"/>
        <v>2</v>
      </c>
      <c r="O5" s="1484">
        <f t="shared" si="0"/>
        <v>3</v>
      </c>
      <c r="P5" s="1484">
        <f t="shared" si="0"/>
        <v>4</v>
      </c>
      <c r="Q5" s="1484">
        <f t="shared" si="0"/>
        <v>1</v>
      </c>
      <c r="R5" s="1484">
        <f t="shared" si="0"/>
        <v>2</v>
      </c>
      <c r="S5" s="1484">
        <f t="shared" si="0"/>
        <v>3</v>
      </c>
      <c r="T5" s="1484">
        <f t="shared" si="0"/>
        <v>4</v>
      </c>
      <c r="U5" s="1484">
        <f t="shared" si="0"/>
        <v>1</v>
      </c>
      <c r="V5" s="1484">
        <f t="shared" si="0"/>
        <v>2</v>
      </c>
      <c r="W5" s="1484">
        <f t="shared" si="0"/>
        <v>3</v>
      </c>
      <c r="X5" s="1484">
        <f t="shared" si="0"/>
        <v>4</v>
      </c>
      <c r="Y5" s="1484">
        <f t="shared" si="0"/>
        <v>1</v>
      </c>
      <c r="Z5" s="1484">
        <f t="shared" si="0"/>
        <v>2</v>
      </c>
      <c r="AA5" s="1484">
        <f t="shared" si="0"/>
        <v>3</v>
      </c>
      <c r="AB5" s="1484">
        <f t="shared" si="0"/>
        <v>4</v>
      </c>
      <c r="AC5" s="1484">
        <f t="shared" si="0"/>
        <v>1</v>
      </c>
      <c r="AD5" s="1484">
        <f t="shared" si="0"/>
        <v>2</v>
      </c>
      <c r="AE5" s="1484">
        <f t="shared" si="0"/>
        <v>3</v>
      </c>
      <c r="AF5" s="1484">
        <f t="shared" si="0"/>
        <v>4</v>
      </c>
      <c r="AG5" s="1484">
        <f t="shared" si="0"/>
        <v>1</v>
      </c>
      <c r="AH5" s="1484">
        <f t="shared" si="0"/>
        <v>2</v>
      </c>
      <c r="AI5" s="1484">
        <f t="shared" si="0"/>
        <v>3</v>
      </c>
      <c r="AJ5" s="1484">
        <f t="shared" si="0"/>
        <v>4</v>
      </c>
      <c r="AK5" s="1484">
        <f t="shared" si="0"/>
        <v>1</v>
      </c>
      <c r="AL5" s="1484">
        <f t="shared" si="0"/>
        <v>2</v>
      </c>
      <c r="AM5" s="1484">
        <f t="shared" si="0"/>
        <v>3</v>
      </c>
      <c r="AN5" s="1484">
        <f t="shared" si="0"/>
        <v>4</v>
      </c>
      <c r="AO5" s="1484">
        <f t="shared" si="0"/>
        <v>1</v>
      </c>
      <c r="AP5" s="1484">
        <f t="shared" si="0"/>
        <v>2</v>
      </c>
      <c r="AQ5" s="1484">
        <f t="shared" si="0"/>
        <v>3</v>
      </c>
      <c r="AR5" s="1484">
        <f t="shared" si="0"/>
        <v>4</v>
      </c>
      <c r="AS5" s="1484">
        <f t="shared" si="0"/>
        <v>1</v>
      </c>
      <c r="AT5" s="1484">
        <f t="shared" si="0"/>
        <v>2</v>
      </c>
      <c r="AU5" s="1484">
        <f t="shared" si="0"/>
        <v>3</v>
      </c>
      <c r="AV5" s="1484">
        <f t="shared" si="0"/>
        <v>4</v>
      </c>
      <c r="AW5" s="1484">
        <f t="shared" si="0"/>
        <v>1</v>
      </c>
      <c r="AX5" s="1484">
        <f t="shared" si="0"/>
        <v>2</v>
      </c>
      <c r="AY5" s="1484">
        <f t="shared" si="0"/>
        <v>3</v>
      </c>
      <c r="AZ5" s="1484">
        <f t="shared" si="0"/>
        <v>4</v>
      </c>
      <c r="BA5" s="1484">
        <f t="shared" si="0"/>
        <v>1</v>
      </c>
      <c r="BB5" s="1484">
        <f t="shared" si="0"/>
        <v>2</v>
      </c>
      <c r="BC5" s="1484">
        <f t="shared" si="0"/>
        <v>3</v>
      </c>
      <c r="BD5" s="1484">
        <f t="shared" si="0"/>
        <v>4</v>
      </c>
      <c r="BE5" s="1484">
        <f t="shared" si="0"/>
        <v>1</v>
      </c>
      <c r="BF5" s="1484">
        <f t="shared" si="0"/>
        <v>2</v>
      </c>
      <c r="BG5" s="1484">
        <f t="shared" si="0"/>
        <v>3</v>
      </c>
      <c r="BH5" s="1484">
        <f t="shared" si="0"/>
        <v>4</v>
      </c>
      <c r="BI5" s="1484">
        <f t="shared" si="0"/>
        <v>1</v>
      </c>
      <c r="BJ5" s="1484">
        <f t="shared" si="0"/>
        <v>2</v>
      </c>
      <c r="BK5" s="1484">
        <f t="shared" si="0"/>
        <v>3</v>
      </c>
      <c r="BL5" s="1484">
        <f t="shared" si="0"/>
        <v>4</v>
      </c>
      <c r="BM5" s="1484">
        <f t="shared" si="0"/>
        <v>1</v>
      </c>
      <c r="BN5" s="1484">
        <f t="shared" si="0"/>
        <v>2</v>
      </c>
      <c r="BO5" s="1484">
        <f t="shared" si="0"/>
        <v>3</v>
      </c>
      <c r="BP5" s="1484">
        <f t="shared" si="0"/>
        <v>4</v>
      </c>
      <c r="BQ5" s="1484">
        <f t="shared" si="0"/>
        <v>1</v>
      </c>
      <c r="BR5" s="1484">
        <f t="shared" si="0"/>
        <v>2</v>
      </c>
      <c r="BS5" s="1484">
        <f t="shared" si="0"/>
        <v>3</v>
      </c>
      <c r="BT5" s="1484">
        <f t="shared" si="0"/>
        <v>4</v>
      </c>
      <c r="BU5" s="1484">
        <f t="shared" ref="BU5:EF5" si="1">BQ5</f>
        <v>1</v>
      </c>
      <c r="BV5" s="1484">
        <f t="shared" si="1"/>
        <v>2</v>
      </c>
      <c r="BW5" s="1484">
        <f t="shared" si="1"/>
        <v>3</v>
      </c>
      <c r="BX5" s="1484">
        <f t="shared" si="1"/>
        <v>4</v>
      </c>
      <c r="BY5" s="1484">
        <f t="shared" si="1"/>
        <v>1</v>
      </c>
      <c r="BZ5" s="1484">
        <f t="shared" si="1"/>
        <v>2</v>
      </c>
      <c r="CA5" s="1484">
        <f t="shared" si="1"/>
        <v>3</v>
      </c>
      <c r="CB5" s="1484">
        <f t="shared" si="1"/>
        <v>4</v>
      </c>
      <c r="CC5" s="1484">
        <f t="shared" si="1"/>
        <v>1</v>
      </c>
      <c r="CD5" s="1484">
        <f t="shared" si="1"/>
        <v>2</v>
      </c>
      <c r="CE5" s="1484">
        <f t="shared" si="1"/>
        <v>3</v>
      </c>
      <c r="CF5" s="1484">
        <f t="shared" si="1"/>
        <v>4</v>
      </c>
      <c r="CG5" s="1484">
        <f t="shared" si="1"/>
        <v>1</v>
      </c>
      <c r="CH5" s="1484">
        <f t="shared" si="1"/>
        <v>2</v>
      </c>
      <c r="CI5" s="1484">
        <f t="shared" si="1"/>
        <v>3</v>
      </c>
      <c r="CJ5" s="1484">
        <f t="shared" si="1"/>
        <v>4</v>
      </c>
      <c r="CK5" s="1484">
        <f t="shared" si="1"/>
        <v>1</v>
      </c>
      <c r="CL5" s="1484">
        <f t="shared" si="1"/>
        <v>2</v>
      </c>
      <c r="CM5" s="1484">
        <f t="shared" si="1"/>
        <v>3</v>
      </c>
      <c r="CN5" s="1484">
        <f t="shared" si="1"/>
        <v>4</v>
      </c>
      <c r="CO5" s="1484">
        <f t="shared" si="1"/>
        <v>1</v>
      </c>
      <c r="CP5" s="1484">
        <f t="shared" si="1"/>
        <v>2</v>
      </c>
      <c r="CQ5" s="1484">
        <f t="shared" si="1"/>
        <v>3</v>
      </c>
      <c r="CR5" s="1484">
        <f t="shared" si="1"/>
        <v>4</v>
      </c>
      <c r="CS5" s="1484">
        <f t="shared" si="1"/>
        <v>1</v>
      </c>
      <c r="CT5" s="1484">
        <f t="shared" si="1"/>
        <v>2</v>
      </c>
      <c r="CU5" s="1484">
        <f t="shared" si="1"/>
        <v>3</v>
      </c>
      <c r="CV5" s="1484">
        <f t="shared" si="1"/>
        <v>4</v>
      </c>
      <c r="CW5" s="1484">
        <f t="shared" si="1"/>
        <v>1</v>
      </c>
      <c r="CX5" s="1484">
        <f t="shared" si="1"/>
        <v>2</v>
      </c>
      <c r="CY5" s="1484">
        <f t="shared" si="1"/>
        <v>3</v>
      </c>
      <c r="CZ5" s="1484">
        <f t="shared" si="1"/>
        <v>4</v>
      </c>
      <c r="DA5" s="1484">
        <f t="shared" si="1"/>
        <v>1</v>
      </c>
      <c r="DB5" s="1484">
        <f t="shared" si="1"/>
        <v>2</v>
      </c>
      <c r="DC5" s="1484">
        <f t="shared" si="1"/>
        <v>3</v>
      </c>
      <c r="DD5" s="1484">
        <f t="shared" si="1"/>
        <v>4</v>
      </c>
      <c r="DE5" s="1484">
        <f t="shared" si="1"/>
        <v>1</v>
      </c>
      <c r="DF5" s="1484">
        <f t="shared" si="1"/>
        <v>2</v>
      </c>
      <c r="DG5" s="1484">
        <f t="shared" si="1"/>
        <v>3</v>
      </c>
      <c r="DH5" s="1484">
        <f t="shared" si="1"/>
        <v>4</v>
      </c>
      <c r="DI5" s="1484">
        <f t="shared" si="1"/>
        <v>1</v>
      </c>
      <c r="DJ5" s="1484">
        <f t="shared" si="1"/>
        <v>2</v>
      </c>
      <c r="DK5" s="1484">
        <f t="shared" si="1"/>
        <v>3</v>
      </c>
      <c r="DL5" s="1484">
        <f t="shared" si="1"/>
        <v>4</v>
      </c>
      <c r="DM5" s="1484">
        <f t="shared" si="1"/>
        <v>1</v>
      </c>
      <c r="DN5" s="1484">
        <f t="shared" si="1"/>
        <v>2</v>
      </c>
      <c r="DO5" s="1484">
        <f t="shared" si="1"/>
        <v>3</v>
      </c>
      <c r="DP5" s="1484">
        <f t="shared" si="1"/>
        <v>4</v>
      </c>
      <c r="DQ5" s="1484">
        <f t="shared" si="1"/>
        <v>1</v>
      </c>
      <c r="DR5" s="1484">
        <f t="shared" si="1"/>
        <v>2</v>
      </c>
      <c r="DS5" s="1484">
        <f t="shared" si="1"/>
        <v>3</v>
      </c>
      <c r="DT5" s="1484">
        <f t="shared" si="1"/>
        <v>4</v>
      </c>
      <c r="DU5" s="1484">
        <f t="shared" si="1"/>
        <v>1</v>
      </c>
      <c r="DV5" s="1484">
        <f t="shared" si="1"/>
        <v>2</v>
      </c>
      <c r="DW5" s="1484">
        <f t="shared" si="1"/>
        <v>3</v>
      </c>
      <c r="DX5" s="1484">
        <f t="shared" si="1"/>
        <v>4</v>
      </c>
      <c r="DY5" s="1484">
        <f t="shared" si="1"/>
        <v>1</v>
      </c>
      <c r="DZ5" s="1484">
        <f t="shared" si="1"/>
        <v>2</v>
      </c>
      <c r="EA5" s="1484">
        <f t="shared" si="1"/>
        <v>3</v>
      </c>
      <c r="EB5" s="1484">
        <f t="shared" si="1"/>
        <v>4</v>
      </c>
      <c r="EC5" s="1484">
        <f t="shared" si="1"/>
        <v>1</v>
      </c>
      <c r="ED5" s="1484">
        <f t="shared" si="1"/>
        <v>2</v>
      </c>
      <c r="EE5" s="1484">
        <f t="shared" si="1"/>
        <v>3</v>
      </c>
      <c r="EF5" s="1484">
        <f t="shared" si="1"/>
        <v>4</v>
      </c>
      <c r="EG5" s="1484">
        <f t="shared" ref="EG5:FL5" si="2">EC5</f>
        <v>1</v>
      </c>
      <c r="EH5" s="1484">
        <f t="shared" si="2"/>
        <v>2</v>
      </c>
      <c r="EI5" s="1484">
        <f t="shared" si="2"/>
        <v>3</v>
      </c>
      <c r="EJ5" s="1484">
        <f t="shared" si="2"/>
        <v>4</v>
      </c>
      <c r="EK5" s="1484">
        <f t="shared" si="2"/>
        <v>1</v>
      </c>
      <c r="EL5" s="1484">
        <f t="shared" si="2"/>
        <v>2</v>
      </c>
      <c r="EM5" s="1484">
        <f t="shared" si="2"/>
        <v>3</v>
      </c>
      <c r="EN5" s="1484">
        <f t="shared" si="2"/>
        <v>4</v>
      </c>
      <c r="EO5" s="1484">
        <f t="shared" si="2"/>
        <v>1</v>
      </c>
      <c r="EP5" s="1484">
        <f t="shared" si="2"/>
        <v>2</v>
      </c>
      <c r="EQ5" s="1484">
        <f t="shared" si="2"/>
        <v>3</v>
      </c>
      <c r="ER5" s="1484">
        <f t="shared" si="2"/>
        <v>4</v>
      </c>
      <c r="ES5" s="1484">
        <f t="shared" si="2"/>
        <v>1</v>
      </c>
      <c r="ET5" s="1484">
        <f t="shared" si="2"/>
        <v>2</v>
      </c>
      <c r="EU5" s="1484">
        <f t="shared" si="2"/>
        <v>3</v>
      </c>
      <c r="EV5" s="1484">
        <f t="shared" si="2"/>
        <v>4</v>
      </c>
      <c r="EW5" s="1484">
        <f t="shared" si="2"/>
        <v>1</v>
      </c>
      <c r="EX5" s="1484">
        <f t="shared" si="2"/>
        <v>2</v>
      </c>
      <c r="EY5" s="1484">
        <f t="shared" si="2"/>
        <v>3</v>
      </c>
      <c r="EZ5" s="1484">
        <f t="shared" si="2"/>
        <v>4</v>
      </c>
      <c r="FA5" s="1484">
        <f t="shared" si="2"/>
        <v>1</v>
      </c>
      <c r="FB5" s="1484">
        <f t="shared" si="2"/>
        <v>2</v>
      </c>
      <c r="FC5" s="1484">
        <f t="shared" si="2"/>
        <v>3</v>
      </c>
      <c r="FD5" s="1484">
        <f t="shared" si="2"/>
        <v>4</v>
      </c>
      <c r="FE5" s="1484">
        <f t="shared" si="2"/>
        <v>1</v>
      </c>
      <c r="FF5" s="1484">
        <f t="shared" si="2"/>
        <v>2</v>
      </c>
      <c r="FG5" s="1484">
        <f t="shared" si="2"/>
        <v>3</v>
      </c>
      <c r="FH5" s="1484">
        <f t="shared" si="2"/>
        <v>4</v>
      </c>
      <c r="FI5" s="1484">
        <f t="shared" si="2"/>
        <v>1</v>
      </c>
      <c r="FJ5" s="1484">
        <f t="shared" si="2"/>
        <v>2</v>
      </c>
      <c r="FK5" s="1484">
        <f t="shared" si="2"/>
        <v>3</v>
      </c>
      <c r="FL5" s="1531">
        <f t="shared" si="2"/>
        <v>4</v>
      </c>
      <c r="FM5" s="1551"/>
    </row>
    <row r="6" spans="1:169" s="1477" customFormat="1">
      <c r="A6" s="1738" t="str">
        <f>[1]输入条件!C3</f>
        <v>商铺</v>
      </c>
      <c r="B6" s="1742" t="s">
        <v>186</v>
      </c>
      <c r="C6" s="1485" t="s">
        <v>187</v>
      </c>
      <c r="D6" s="1486">
        <f>SUM(E6:FL6)</f>
        <v>0</v>
      </c>
      <c r="E6" s="1487">
        <f>E7*E8*E11*3/10000</f>
        <v>0</v>
      </c>
      <c r="F6" s="1487">
        <f>F7*F8*F11*3/10000</f>
        <v>0</v>
      </c>
      <c r="G6" s="1487">
        <f>G7*G8*G11*3/10000</f>
        <v>0</v>
      </c>
      <c r="H6" s="1487">
        <f>H7*H8*H11*3/10000</f>
        <v>0</v>
      </c>
      <c r="I6" s="1487">
        <f t="shared" ref="I6:BR6" si="3">I7*I8*I11*3/10000</f>
        <v>0</v>
      </c>
      <c r="J6" s="1487">
        <f t="shared" si="3"/>
        <v>0</v>
      </c>
      <c r="K6" s="1487">
        <f t="shared" si="3"/>
        <v>0</v>
      </c>
      <c r="L6" s="1487">
        <f t="shared" si="3"/>
        <v>0</v>
      </c>
      <c r="M6" s="1487">
        <f t="shared" si="3"/>
        <v>0</v>
      </c>
      <c r="N6" s="1487">
        <f t="shared" si="3"/>
        <v>0</v>
      </c>
      <c r="O6" s="1487">
        <f t="shared" si="3"/>
        <v>0</v>
      </c>
      <c r="P6" s="1487">
        <f t="shared" si="3"/>
        <v>0</v>
      </c>
      <c r="Q6" s="1487">
        <f t="shared" si="3"/>
        <v>0</v>
      </c>
      <c r="R6" s="1487">
        <f t="shared" si="3"/>
        <v>0</v>
      </c>
      <c r="S6" s="1487">
        <f t="shared" si="3"/>
        <v>0</v>
      </c>
      <c r="T6" s="1487">
        <f t="shared" si="3"/>
        <v>0</v>
      </c>
      <c r="U6" s="1487">
        <f t="shared" si="3"/>
        <v>0</v>
      </c>
      <c r="V6" s="1487">
        <f t="shared" si="3"/>
        <v>0</v>
      </c>
      <c r="W6" s="1487">
        <f t="shared" si="3"/>
        <v>0</v>
      </c>
      <c r="X6" s="1487">
        <f t="shared" si="3"/>
        <v>0</v>
      </c>
      <c r="Y6" s="1487">
        <f t="shared" si="3"/>
        <v>0</v>
      </c>
      <c r="Z6" s="1487">
        <f t="shared" si="3"/>
        <v>0</v>
      </c>
      <c r="AA6" s="1487">
        <f t="shared" si="3"/>
        <v>0</v>
      </c>
      <c r="AB6" s="1487">
        <f t="shared" si="3"/>
        <v>0</v>
      </c>
      <c r="AC6" s="1487">
        <f t="shared" si="3"/>
        <v>0</v>
      </c>
      <c r="AD6" s="1487">
        <f t="shared" si="3"/>
        <v>0</v>
      </c>
      <c r="AE6" s="1487">
        <f t="shared" si="3"/>
        <v>0</v>
      </c>
      <c r="AF6" s="1487">
        <f t="shared" si="3"/>
        <v>0</v>
      </c>
      <c r="AG6" s="1487">
        <f t="shared" si="3"/>
        <v>0</v>
      </c>
      <c r="AH6" s="1487">
        <f t="shared" si="3"/>
        <v>0</v>
      </c>
      <c r="AI6" s="1487">
        <f t="shared" si="3"/>
        <v>0</v>
      </c>
      <c r="AJ6" s="1487">
        <f t="shared" si="3"/>
        <v>0</v>
      </c>
      <c r="AK6" s="1487">
        <f t="shared" si="3"/>
        <v>0</v>
      </c>
      <c r="AL6" s="1487">
        <f t="shared" si="3"/>
        <v>0</v>
      </c>
      <c r="AM6" s="1487">
        <f t="shared" si="3"/>
        <v>0</v>
      </c>
      <c r="AN6" s="1487">
        <f t="shared" si="3"/>
        <v>0</v>
      </c>
      <c r="AO6" s="1487">
        <f t="shared" si="3"/>
        <v>0</v>
      </c>
      <c r="AP6" s="1487">
        <f t="shared" si="3"/>
        <v>0</v>
      </c>
      <c r="AQ6" s="1487">
        <f t="shared" si="3"/>
        <v>0</v>
      </c>
      <c r="AR6" s="1487">
        <f t="shared" si="3"/>
        <v>0</v>
      </c>
      <c r="AS6" s="1487">
        <f t="shared" si="3"/>
        <v>0</v>
      </c>
      <c r="AT6" s="1487">
        <f t="shared" si="3"/>
        <v>0</v>
      </c>
      <c r="AU6" s="1487">
        <f t="shared" si="3"/>
        <v>0</v>
      </c>
      <c r="AV6" s="1487">
        <f t="shared" si="3"/>
        <v>0</v>
      </c>
      <c r="AW6" s="1487">
        <f t="shared" si="3"/>
        <v>0</v>
      </c>
      <c r="AX6" s="1487">
        <f t="shared" si="3"/>
        <v>0</v>
      </c>
      <c r="AY6" s="1487">
        <f t="shared" si="3"/>
        <v>0</v>
      </c>
      <c r="AZ6" s="1487">
        <f t="shared" si="3"/>
        <v>0</v>
      </c>
      <c r="BA6" s="1487">
        <f t="shared" si="3"/>
        <v>0</v>
      </c>
      <c r="BB6" s="1487">
        <f t="shared" si="3"/>
        <v>0</v>
      </c>
      <c r="BC6" s="1487">
        <f t="shared" si="3"/>
        <v>0</v>
      </c>
      <c r="BD6" s="1487">
        <f t="shared" si="3"/>
        <v>0</v>
      </c>
      <c r="BE6" s="1487">
        <f t="shared" si="3"/>
        <v>0</v>
      </c>
      <c r="BF6" s="1487">
        <f t="shared" si="3"/>
        <v>0</v>
      </c>
      <c r="BG6" s="1487">
        <f t="shared" si="3"/>
        <v>0</v>
      </c>
      <c r="BH6" s="1487">
        <f t="shared" si="3"/>
        <v>0</v>
      </c>
      <c r="BI6" s="1487">
        <f t="shared" si="3"/>
        <v>0</v>
      </c>
      <c r="BJ6" s="1487">
        <f t="shared" si="3"/>
        <v>0</v>
      </c>
      <c r="BK6" s="1487">
        <f t="shared" si="3"/>
        <v>0</v>
      </c>
      <c r="BL6" s="1487">
        <f t="shared" si="3"/>
        <v>0</v>
      </c>
      <c r="BM6" s="1487">
        <f t="shared" si="3"/>
        <v>0</v>
      </c>
      <c r="BN6" s="1487">
        <f t="shared" si="3"/>
        <v>0</v>
      </c>
      <c r="BO6" s="1487">
        <f t="shared" si="3"/>
        <v>0</v>
      </c>
      <c r="BP6" s="1487">
        <f t="shared" si="3"/>
        <v>0</v>
      </c>
      <c r="BQ6" s="1487">
        <f t="shared" si="3"/>
        <v>0</v>
      </c>
      <c r="BR6" s="1487">
        <f t="shared" si="3"/>
        <v>0</v>
      </c>
      <c r="BS6" s="1487">
        <f t="shared" ref="BS6:ED6" si="4">BS7*BS8*BS11*3/10000</f>
        <v>0</v>
      </c>
      <c r="BT6" s="1487">
        <f t="shared" si="4"/>
        <v>0</v>
      </c>
      <c r="BU6" s="1487">
        <f t="shared" si="4"/>
        <v>0</v>
      </c>
      <c r="BV6" s="1487">
        <f t="shared" si="4"/>
        <v>0</v>
      </c>
      <c r="BW6" s="1487">
        <f t="shared" si="4"/>
        <v>0</v>
      </c>
      <c r="BX6" s="1487">
        <f t="shared" si="4"/>
        <v>0</v>
      </c>
      <c r="BY6" s="1487">
        <f t="shared" si="4"/>
        <v>0</v>
      </c>
      <c r="BZ6" s="1487">
        <f t="shared" si="4"/>
        <v>0</v>
      </c>
      <c r="CA6" s="1487">
        <f t="shared" si="4"/>
        <v>0</v>
      </c>
      <c r="CB6" s="1487">
        <f t="shared" si="4"/>
        <v>0</v>
      </c>
      <c r="CC6" s="1487">
        <f t="shared" si="4"/>
        <v>0</v>
      </c>
      <c r="CD6" s="1487">
        <f t="shared" si="4"/>
        <v>0</v>
      </c>
      <c r="CE6" s="1487">
        <f t="shared" si="4"/>
        <v>0</v>
      </c>
      <c r="CF6" s="1487">
        <f t="shared" si="4"/>
        <v>0</v>
      </c>
      <c r="CG6" s="1487">
        <f t="shared" si="4"/>
        <v>0</v>
      </c>
      <c r="CH6" s="1487">
        <f t="shared" si="4"/>
        <v>0</v>
      </c>
      <c r="CI6" s="1487">
        <f t="shared" si="4"/>
        <v>0</v>
      </c>
      <c r="CJ6" s="1487">
        <f t="shared" si="4"/>
        <v>0</v>
      </c>
      <c r="CK6" s="1487">
        <f t="shared" si="4"/>
        <v>0</v>
      </c>
      <c r="CL6" s="1487">
        <f t="shared" si="4"/>
        <v>0</v>
      </c>
      <c r="CM6" s="1487">
        <f t="shared" si="4"/>
        <v>0</v>
      </c>
      <c r="CN6" s="1487">
        <f t="shared" si="4"/>
        <v>0</v>
      </c>
      <c r="CO6" s="1487">
        <f t="shared" si="4"/>
        <v>0</v>
      </c>
      <c r="CP6" s="1487">
        <f t="shared" si="4"/>
        <v>0</v>
      </c>
      <c r="CQ6" s="1487">
        <f t="shared" si="4"/>
        <v>0</v>
      </c>
      <c r="CR6" s="1487">
        <f t="shared" si="4"/>
        <v>0</v>
      </c>
      <c r="CS6" s="1487">
        <f t="shared" si="4"/>
        <v>0</v>
      </c>
      <c r="CT6" s="1487">
        <f t="shared" si="4"/>
        <v>0</v>
      </c>
      <c r="CU6" s="1487">
        <f t="shared" si="4"/>
        <v>0</v>
      </c>
      <c r="CV6" s="1487">
        <f t="shared" si="4"/>
        <v>0</v>
      </c>
      <c r="CW6" s="1487">
        <f t="shared" si="4"/>
        <v>0</v>
      </c>
      <c r="CX6" s="1487">
        <f t="shared" si="4"/>
        <v>0</v>
      </c>
      <c r="CY6" s="1487">
        <f t="shared" si="4"/>
        <v>0</v>
      </c>
      <c r="CZ6" s="1487">
        <f t="shared" si="4"/>
        <v>0</v>
      </c>
      <c r="DA6" s="1487">
        <f t="shared" si="4"/>
        <v>0</v>
      </c>
      <c r="DB6" s="1487">
        <f t="shared" si="4"/>
        <v>0</v>
      </c>
      <c r="DC6" s="1487">
        <f t="shared" si="4"/>
        <v>0</v>
      </c>
      <c r="DD6" s="1487">
        <f t="shared" si="4"/>
        <v>0</v>
      </c>
      <c r="DE6" s="1487">
        <f t="shared" si="4"/>
        <v>0</v>
      </c>
      <c r="DF6" s="1487">
        <f t="shared" si="4"/>
        <v>0</v>
      </c>
      <c r="DG6" s="1487">
        <f t="shared" si="4"/>
        <v>0</v>
      </c>
      <c r="DH6" s="1487">
        <f t="shared" si="4"/>
        <v>0</v>
      </c>
      <c r="DI6" s="1487">
        <f t="shared" si="4"/>
        <v>0</v>
      </c>
      <c r="DJ6" s="1487">
        <f t="shared" si="4"/>
        <v>0</v>
      </c>
      <c r="DK6" s="1487">
        <f t="shared" si="4"/>
        <v>0</v>
      </c>
      <c r="DL6" s="1487">
        <f t="shared" si="4"/>
        <v>0</v>
      </c>
      <c r="DM6" s="1487">
        <f t="shared" si="4"/>
        <v>0</v>
      </c>
      <c r="DN6" s="1487">
        <f t="shared" si="4"/>
        <v>0</v>
      </c>
      <c r="DO6" s="1487">
        <f t="shared" si="4"/>
        <v>0</v>
      </c>
      <c r="DP6" s="1487">
        <f t="shared" si="4"/>
        <v>0</v>
      </c>
      <c r="DQ6" s="1487">
        <f t="shared" si="4"/>
        <v>0</v>
      </c>
      <c r="DR6" s="1487">
        <f t="shared" si="4"/>
        <v>0</v>
      </c>
      <c r="DS6" s="1487">
        <f t="shared" si="4"/>
        <v>0</v>
      </c>
      <c r="DT6" s="1487">
        <f t="shared" si="4"/>
        <v>0</v>
      </c>
      <c r="DU6" s="1487">
        <f t="shared" si="4"/>
        <v>0</v>
      </c>
      <c r="DV6" s="1487">
        <f t="shared" si="4"/>
        <v>0</v>
      </c>
      <c r="DW6" s="1487">
        <f t="shared" si="4"/>
        <v>0</v>
      </c>
      <c r="DX6" s="1487">
        <f t="shared" si="4"/>
        <v>0</v>
      </c>
      <c r="DY6" s="1487">
        <f t="shared" si="4"/>
        <v>0</v>
      </c>
      <c r="DZ6" s="1487">
        <f t="shared" si="4"/>
        <v>0</v>
      </c>
      <c r="EA6" s="1487">
        <f t="shared" si="4"/>
        <v>0</v>
      </c>
      <c r="EB6" s="1487">
        <f t="shared" si="4"/>
        <v>0</v>
      </c>
      <c r="EC6" s="1487">
        <f t="shared" si="4"/>
        <v>0</v>
      </c>
      <c r="ED6" s="1487">
        <f t="shared" si="4"/>
        <v>0</v>
      </c>
      <c r="EE6" s="1487">
        <f t="shared" ref="EE6:FH6" si="5">EE7*EE8*EE11*3/10000</f>
        <v>0</v>
      </c>
      <c r="EF6" s="1487">
        <f t="shared" si="5"/>
        <v>0</v>
      </c>
      <c r="EG6" s="1487">
        <f t="shared" si="5"/>
        <v>0</v>
      </c>
      <c r="EH6" s="1487">
        <f t="shared" si="5"/>
        <v>0</v>
      </c>
      <c r="EI6" s="1487">
        <f t="shared" si="5"/>
        <v>0</v>
      </c>
      <c r="EJ6" s="1487">
        <f t="shared" si="5"/>
        <v>0</v>
      </c>
      <c r="EK6" s="1487">
        <f t="shared" si="5"/>
        <v>0</v>
      </c>
      <c r="EL6" s="1487">
        <f t="shared" si="5"/>
        <v>0</v>
      </c>
      <c r="EM6" s="1487">
        <f t="shared" si="5"/>
        <v>0</v>
      </c>
      <c r="EN6" s="1487">
        <f t="shared" si="5"/>
        <v>0</v>
      </c>
      <c r="EO6" s="1487">
        <f t="shared" si="5"/>
        <v>0</v>
      </c>
      <c r="EP6" s="1487">
        <f t="shared" si="5"/>
        <v>0</v>
      </c>
      <c r="EQ6" s="1487">
        <f t="shared" si="5"/>
        <v>0</v>
      </c>
      <c r="ER6" s="1487">
        <f t="shared" si="5"/>
        <v>0</v>
      </c>
      <c r="ES6" s="1487">
        <f t="shared" si="5"/>
        <v>0</v>
      </c>
      <c r="ET6" s="1487">
        <f t="shared" si="5"/>
        <v>0</v>
      </c>
      <c r="EU6" s="1487">
        <f t="shared" si="5"/>
        <v>0</v>
      </c>
      <c r="EV6" s="1487">
        <f t="shared" si="5"/>
        <v>0</v>
      </c>
      <c r="EW6" s="1487">
        <f t="shared" si="5"/>
        <v>0</v>
      </c>
      <c r="EX6" s="1487">
        <f t="shared" si="5"/>
        <v>0</v>
      </c>
      <c r="EY6" s="1487">
        <f t="shared" si="5"/>
        <v>0</v>
      </c>
      <c r="EZ6" s="1487">
        <f t="shared" si="5"/>
        <v>0</v>
      </c>
      <c r="FA6" s="1487">
        <f t="shared" si="5"/>
        <v>0</v>
      </c>
      <c r="FB6" s="1487">
        <f t="shared" si="5"/>
        <v>0</v>
      </c>
      <c r="FC6" s="1487">
        <f t="shared" si="5"/>
        <v>0</v>
      </c>
      <c r="FD6" s="1487">
        <f t="shared" si="5"/>
        <v>0</v>
      </c>
      <c r="FE6" s="1487">
        <f t="shared" si="5"/>
        <v>0</v>
      </c>
      <c r="FF6" s="1487">
        <f t="shared" si="5"/>
        <v>0</v>
      </c>
      <c r="FG6" s="1487">
        <f t="shared" si="5"/>
        <v>0</v>
      </c>
      <c r="FH6" s="1487">
        <f t="shared" si="5"/>
        <v>0</v>
      </c>
      <c r="FI6" s="1487"/>
      <c r="FJ6" s="1487"/>
      <c r="FK6" s="1487"/>
      <c r="FL6" s="1532"/>
      <c r="FM6" s="1552"/>
    </row>
    <row r="7" spans="1:169" s="1477" customFormat="1">
      <c r="A7" s="1739"/>
      <c r="B7" s="1739"/>
      <c r="C7" s="1485" t="s">
        <v>188</v>
      </c>
      <c r="D7" s="1488"/>
      <c r="E7" s="1489">
        <f>自持参数设置!C5</f>
        <v>0</v>
      </c>
      <c r="F7" s="1489">
        <f>E7</f>
        <v>0</v>
      </c>
      <c r="G7" s="1489">
        <f>F7</f>
        <v>0</v>
      </c>
      <c r="H7" s="1489">
        <f>G7</f>
        <v>0</v>
      </c>
      <c r="I7" s="1489">
        <f>H7</f>
        <v>0</v>
      </c>
      <c r="J7" s="1491">
        <f t="shared" ref="J7:BU7" si="6">I7</f>
        <v>0</v>
      </c>
      <c r="K7" s="1491">
        <f t="shared" si="6"/>
        <v>0</v>
      </c>
      <c r="L7" s="1491">
        <f t="shared" si="6"/>
        <v>0</v>
      </c>
      <c r="M7" s="1491">
        <f t="shared" si="6"/>
        <v>0</v>
      </c>
      <c r="N7" s="1491">
        <f t="shared" si="6"/>
        <v>0</v>
      </c>
      <c r="O7" s="1491">
        <f t="shared" si="6"/>
        <v>0</v>
      </c>
      <c r="P7" s="1491">
        <f t="shared" si="6"/>
        <v>0</v>
      </c>
      <c r="Q7" s="1491">
        <f t="shared" si="6"/>
        <v>0</v>
      </c>
      <c r="R7" s="1491">
        <f t="shared" si="6"/>
        <v>0</v>
      </c>
      <c r="S7" s="1491">
        <f t="shared" si="6"/>
        <v>0</v>
      </c>
      <c r="T7" s="1491">
        <f t="shared" si="6"/>
        <v>0</v>
      </c>
      <c r="U7" s="1491">
        <f t="shared" si="6"/>
        <v>0</v>
      </c>
      <c r="V7" s="1491">
        <f t="shared" si="6"/>
        <v>0</v>
      </c>
      <c r="W7" s="1491">
        <f t="shared" si="6"/>
        <v>0</v>
      </c>
      <c r="X7" s="1491">
        <f t="shared" si="6"/>
        <v>0</v>
      </c>
      <c r="Y7" s="1491">
        <f t="shared" si="6"/>
        <v>0</v>
      </c>
      <c r="Z7" s="1491">
        <f t="shared" si="6"/>
        <v>0</v>
      </c>
      <c r="AA7" s="1491">
        <f t="shared" si="6"/>
        <v>0</v>
      </c>
      <c r="AB7" s="1491">
        <f t="shared" si="6"/>
        <v>0</v>
      </c>
      <c r="AC7" s="1491">
        <f t="shared" si="6"/>
        <v>0</v>
      </c>
      <c r="AD7" s="1491">
        <f t="shared" si="6"/>
        <v>0</v>
      </c>
      <c r="AE7" s="1491">
        <f t="shared" si="6"/>
        <v>0</v>
      </c>
      <c r="AF7" s="1491">
        <f t="shared" si="6"/>
        <v>0</v>
      </c>
      <c r="AG7" s="1491">
        <f t="shared" si="6"/>
        <v>0</v>
      </c>
      <c r="AH7" s="1491">
        <f t="shared" si="6"/>
        <v>0</v>
      </c>
      <c r="AI7" s="1491">
        <f t="shared" si="6"/>
        <v>0</v>
      </c>
      <c r="AJ7" s="1491">
        <f t="shared" si="6"/>
        <v>0</v>
      </c>
      <c r="AK7" s="1491">
        <f t="shared" si="6"/>
        <v>0</v>
      </c>
      <c r="AL7" s="1491">
        <f t="shared" si="6"/>
        <v>0</v>
      </c>
      <c r="AM7" s="1491">
        <f t="shared" si="6"/>
        <v>0</v>
      </c>
      <c r="AN7" s="1491">
        <f t="shared" si="6"/>
        <v>0</v>
      </c>
      <c r="AO7" s="1491">
        <f t="shared" si="6"/>
        <v>0</v>
      </c>
      <c r="AP7" s="1491">
        <f t="shared" si="6"/>
        <v>0</v>
      </c>
      <c r="AQ7" s="1491">
        <f t="shared" si="6"/>
        <v>0</v>
      </c>
      <c r="AR7" s="1491">
        <f t="shared" si="6"/>
        <v>0</v>
      </c>
      <c r="AS7" s="1491">
        <f t="shared" si="6"/>
        <v>0</v>
      </c>
      <c r="AT7" s="1491">
        <f t="shared" si="6"/>
        <v>0</v>
      </c>
      <c r="AU7" s="1491">
        <f t="shared" si="6"/>
        <v>0</v>
      </c>
      <c r="AV7" s="1491">
        <f t="shared" si="6"/>
        <v>0</v>
      </c>
      <c r="AW7" s="1491">
        <f t="shared" si="6"/>
        <v>0</v>
      </c>
      <c r="AX7" s="1491">
        <f t="shared" si="6"/>
        <v>0</v>
      </c>
      <c r="AY7" s="1491">
        <f t="shared" si="6"/>
        <v>0</v>
      </c>
      <c r="AZ7" s="1491">
        <f t="shared" si="6"/>
        <v>0</v>
      </c>
      <c r="BA7" s="1491">
        <f t="shared" si="6"/>
        <v>0</v>
      </c>
      <c r="BB7" s="1491">
        <f t="shared" si="6"/>
        <v>0</v>
      </c>
      <c r="BC7" s="1491">
        <f t="shared" si="6"/>
        <v>0</v>
      </c>
      <c r="BD7" s="1491">
        <f t="shared" si="6"/>
        <v>0</v>
      </c>
      <c r="BE7" s="1491">
        <f t="shared" si="6"/>
        <v>0</v>
      </c>
      <c r="BF7" s="1491">
        <f t="shared" si="6"/>
        <v>0</v>
      </c>
      <c r="BG7" s="1491">
        <f t="shared" si="6"/>
        <v>0</v>
      </c>
      <c r="BH7" s="1491">
        <f t="shared" si="6"/>
        <v>0</v>
      </c>
      <c r="BI7" s="1491">
        <f t="shared" si="6"/>
        <v>0</v>
      </c>
      <c r="BJ7" s="1491">
        <f t="shared" si="6"/>
        <v>0</v>
      </c>
      <c r="BK7" s="1491">
        <f t="shared" si="6"/>
        <v>0</v>
      </c>
      <c r="BL7" s="1491">
        <f t="shared" si="6"/>
        <v>0</v>
      </c>
      <c r="BM7" s="1491">
        <f t="shared" si="6"/>
        <v>0</v>
      </c>
      <c r="BN7" s="1491">
        <f t="shared" si="6"/>
        <v>0</v>
      </c>
      <c r="BO7" s="1491">
        <f t="shared" si="6"/>
        <v>0</v>
      </c>
      <c r="BP7" s="1491">
        <f t="shared" si="6"/>
        <v>0</v>
      </c>
      <c r="BQ7" s="1491">
        <f t="shared" si="6"/>
        <v>0</v>
      </c>
      <c r="BR7" s="1491">
        <f t="shared" si="6"/>
        <v>0</v>
      </c>
      <c r="BS7" s="1491">
        <f t="shared" si="6"/>
        <v>0</v>
      </c>
      <c r="BT7" s="1491">
        <f t="shared" si="6"/>
        <v>0</v>
      </c>
      <c r="BU7" s="1491">
        <f t="shared" si="6"/>
        <v>0</v>
      </c>
      <c r="BV7" s="1491">
        <f t="shared" ref="BV7:EG7" si="7">BU7</f>
        <v>0</v>
      </c>
      <c r="BW7" s="1491">
        <f t="shared" si="7"/>
        <v>0</v>
      </c>
      <c r="BX7" s="1491">
        <f t="shared" si="7"/>
        <v>0</v>
      </c>
      <c r="BY7" s="1491">
        <f t="shared" si="7"/>
        <v>0</v>
      </c>
      <c r="BZ7" s="1491">
        <f t="shared" si="7"/>
        <v>0</v>
      </c>
      <c r="CA7" s="1491">
        <f t="shared" si="7"/>
        <v>0</v>
      </c>
      <c r="CB7" s="1491">
        <f t="shared" si="7"/>
        <v>0</v>
      </c>
      <c r="CC7" s="1491">
        <f t="shared" si="7"/>
        <v>0</v>
      </c>
      <c r="CD7" s="1491">
        <f t="shared" si="7"/>
        <v>0</v>
      </c>
      <c r="CE7" s="1491">
        <f t="shared" si="7"/>
        <v>0</v>
      </c>
      <c r="CF7" s="1491">
        <f t="shared" si="7"/>
        <v>0</v>
      </c>
      <c r="CG7" s="1491">
        <f t="shared" si="7"/>
        <v>0</v>
      </c>
      <c r="CH7" s="1491">
        <f t="shared" si="7"/>
        <v>0</v>
      </c>
      <c r="CI7" s="1491">
        <f t="shared" si="7"/>
        <v>0</v>
      </c>
      <c r="CJ7" s="1491">
        <f t="shared" si="7"/>
        <v>0</v>
      </c>
      <c r="CK7" s="1491">
        <f t="shared" si="7"/>
        <v>0</v>
      </c>
      <c r="CL7" s="1491">
        <f t="shared" si="7"/>
        <v>0</v>
      </c>
      <c r="CM7" s="1491">
        <f t="shared" si="7"/>
        <v>0</v>
      </c>
      <c r="CN7" s="1491">
        <f t="shared" si="7"/>
        <v>0</v>
      </c>
      <c r="CO7" s="1491">
        <f t="shared" si="7"/>
        <v>0</v>
      </c>
      <c r="CP7" s="1491">
        <f t="shared" si="7"/>
        <v>0</v>
      </c>
      <c r="CQ7" s="1491">
        <f t="shared" si="7"/>
        <v>0</v>
      </c>
      <c r="CR7" s="1491">
        <f t="shared" si="7"/>
        <v>0</v>
      </c>
      <c r="CS7" s="1491">
        <f t="shared" si="7"/>
        <v>0</v>
      </c>
      <c r="CT7" s="1491">
        <f t="shared" si="7"/>
        <v>0</v>
      </c>
      <c r="CU7" s="1491">
        <f t="shared" si="7"/>
        <v>0</v>
      </c>
      <c r="CV7" s="1491">
        <f t="shared" si="7"/>
        <v>0</v>
      </c>
      <c r="CW7" s="1491">
        <f t="shared" si="7"/>
        <v>0</v>
      </c>
      <c r="CX7" s="1491">
        <f t="shared" si="7"/>
        <v>0</v>
      </c>
      <c r="CY7" s="1491">
        <f t="shared" si="7"/>
        <v>0</v>
      </c>
      <c r="CZ7" s="1491">
        <f t="shared" si="7"/>
        <v>0</v>
      </c>
      <c r="DA7" s="1491">
        <f t="shared" si="7"/>
        <v>0</v>
      </c>
      <c r="DB7" s="1491">
        <f t="shared" si="7"/>
        <v>0</v>
      </c>
      <c r="DC7" s="1491">
        <f t="shared" si="7"/>
        <v>0</v>
      </c>
      <c r="DD7" s="1491">
        <f t="shared" si="7"/>
        <v>0</v>
      </c>
      <c r="DE7" s="1491">
        <f t="shared" si="7"/>
        <v>0</v>
      </c>
      <c r="DF7" s="1491">
        <f t="shared" si="7"/>
        <v>0</v>
      </c>
      <c r="DG7" s="1491">
        <f t="shared" si="7"/>
        <v>0</v>
      </c>
      <c r="DH7" s="1491">
        <f t="shared" si="7"/>
        <v>0</v>
      </c>
      <c r="DI7" s="1491">
        <f t="shared" si="7"/>
        <v>0</v>
      </c>
      <c r="DJ7" s="1491">
        <f t="shared" si="7"/>
        <v>0</v>
      </c>
      <c r="DK7" s="1491">
        <f t="shared" si="7"/>
        <v>0</v>
      </c>
      <c r="DL7" s="1491">
        <f t="shared" si="7"/>
        <v>0</v>
      </c>
      <c r="DM7" s="1491">
        <f t="shared" si="7"/>
        <v>0</v>
      </c>
      <c r="DN7" s="1491">
        <f t="shared" si="7"/>
        <v>0</v>
      </c>
      <c r="DO7" s="1491">
        <f t="shared" si="7"/>
        <v>0</v>
      </c>
      <c r="DP7" s="1491">
        <f t="shared" si="7"/>
        <v>0</v>
      </c>
      <c r="DQ7" s="1491">
        <f t="shared" si="7"/>
        <v>0</v>
      </c>
      <c r="DR7" s="1491">
        <f t="shared" si="7"/>
        <v>0</v>
      </c>
      <c r="DS7" s="1491">
        <f t="shared" si="7"/>
        <v>0</v>
      </c>
      <c r="DT7" s="1491">
        <f t="shared" si="7"/>
        <v>0</v>
      </c>
      <c r="DU7" s="1491">
        <f t="shared" si="7"/>
        <v>0</v>
      </c>
      <c r="DV7" s="1491">
        <f t="shared" si="7"/>
        <v>0</v>
      </c>
      <c r="DW7" s="1491">
        <f t="shared" si="7"/>
        <v>0</v>
      </c>
      <c r="DX7" s="1491">
        <f t="shared" si="7"/>
        <v>0</v>
      </c>
      <c r="DY7" s="1491">
        <f t="shared" si="7"/>
        <v>0</v>
      </c>
      <c r="DZ7" s="1491">
        <f t="shared" si="7"/>
        <v>0</v>
      </c>
      <c r="EA7" s="1491">
        <f t="shared" si="7"/>
        <v>0</v>
      </c>
      <c r="EB7" s="1491">
        <f t="shared" si="7"/>
        <v>0</v>
      </c>
      <c r="EC7" s="1491">
        <f t="shared" si="7"/>
        <v>0</v>
      </c>
      <c r="ED7" s="1491">
        <f t="shared" si="7"/>
        <v>0</v>
      </c>
      <c r="EE7" s="1491">
        <f t="shared" si="7"/>
        <v>0</v>
      </c>
      <c r="EF7" s="1491">
        <f t="shared" si="7"/>
        <v>0</v>
      </c>
      <c r="EG7" s="1491">
        <f t="shared" si="7"/>
        <v>0</v>
      </c>
      <c r="EH7" s="1491">
        <f t="shared" ref="EH7:FH7" si="8">EG7</f>
        <v>0</v>
      </c>
      <c r="EI7" s="1491">
        <f t="shared" si="8"/>
        <v>0</v>
      </c>
      <c r="EJ7" s="1491">
        <f t="shared" si="8"/>
        <v>0</v>
      </c>
      <c r="EK7" s="1491">
        <f t="shared" si="8"/>
        <v>0</v>
      </c>
      <c r="EL7" s="1491">
        <f t="shared" si="8"/>
        <v>0</v>
      </c>
      <c r="EM7" s="1491">
        <f t="shared" si="8"/>
        <v>0</v>
      </c>
      <c r="EN7" s="1491">
        <f t="shared" si="8"/>
        <v>0</v>
      </c>
      <c r="EO7" s="1491">
        <f t="shared" si="8"/>
        <v>0</v>
      </c>
      <c r="EP7" s="1491">
        <f t="shared" si="8"/>
        <v>0</v>
      </c>
      <c r="EQ7" s="1491">
        <f t="shared" si="8"/>
        <v>0</v>
      </c>
      <c r="ER7" s="1491">
        <f t="shared" si="8"/>
        <v>0</v>
      </c>
      <c r="ES7" s="1491">
        <f t="shared" si="8"/>
        <v>0</v>
      </c>
      <c r="ET7" s="1491">
        <f t="shared" si="8"/>
        <v>0</v>
      </c>
      <c r="EU7" s="1491">
        <f t="shared" si="8"/>
        <v>0</v>
      </c>
      <c r="EV7" s="1491">
        <f t="shared" si="8"/>
        <v>0</v>
      </c>
      <c r="EW7" s="1491">
        <f t="shared" si="8"/>
        <v>0</v>
      </c>
      <c r="EX7" s="1491">
        <f t="shared" si="8"/>
        <v>0</v>
      </c>
      <c r="EY7" s="1491">
        <f t="shared" si="8"/>
        <v>0</v>
      </c>
      <c r="EZ7" s="1491">
        <f t="shared" si="8"/>
        <v>0</v>
      </c>
      <c r="FA7" s="1491">
        <f t="shared" si="8"/>
        <v>0</v>
      </c>
      <c r="FB7" s="1491">
        <f t="shared" si="8"/>
        <v>0</v>
      </c>
      <c r="FC7" s="1491">
        <f t="shared" si="8"/>
        <v>0</v>
      </c>
      <c r="FD7" s="1491">
        <f t="shared" si="8"/>
        <v>0</v>
      </c>
      <c r="FE7" s="1491">
        <f t="shared" si="8"/>
        <v>0</v>
      </c>
      <c r="FF7" s="1491">
        <f t="shared" si="8"/>
        <v>0</v>
      </c>
      <c r="FG7" s="1491">
        <f t="shared" si="8"/>
        <v>0</v>
      </c>
      <c r="FH7" s="1491">
        <f t="shared" si="8"/>
        <v>0</v>
      </c>
      <c r="FI7" s="1491"/>
      <c r="FJ7" s="1491"/>
      <c r="FK7" s="1491"/>
      <c r="FL7" s="1533"/>
      <c r="FM7" s="1552"/>
    </row>
    <row r="8" spans="1:169" s="1477" customFormat="1">
      <c r="A8" s="1739"/>
      <c r="B8" s="1739"/>
      <c r="C8" s="1485" t="s">
        <v>189</v>
      </c>
      <c r="D8" s="1488"/>
      <c r="E8" s="1487">
        <f>自持参数设置!C15</f>
        <v>0</v>
      </c>
      <c r="F8" s="1487">
        <f>E8*(1+F12)</f>
        <v>0</v>
      </c>
      <c r="G8" s="1487">
        <f>F8*(1+G12)</f>
        <v>0</v>
      </c>
      <c r="H8" s="1487">
        <f>G8*(1+H12)</f>
        <v>0</v>
      </c>
      <c r="I8" s="1487">
        <f>H8*(1+I12)</f>
        <v>0</v>
      </c>
      <c r="J8" s="1487">
        <f t="shared" ref="J8:BS8" si="9">I8*(1+J12)</f>
        <v>0</v>
      </c>
      <c r="K8" s="1487">
        <f t="shared" si="9"/>
        <v>0</v>
      </c>
      <c r="L8" s="1487">
        <f t="shared" si="9"/>
        <v>0</v>
      </c>
      <c r="M8" s="1487">
        <f t="shared" si="9"/>
        <v>0</v>
      </c>
      <c r="N8" s="1487">
        <f t="shared" si="9"/>
        <v>0</v>
      </c>
      <c r="O8" s="1487">
        <f t="shared" si="9"/>
        <v>0</v>
      </c>
      <c r="P8" s="1487">
        <f t="shared" si="9"/>
        <v>0</v>
      </c>
      <c r="Q8" s="1487">
        <f t="shared" si="9"/>
        <v>0</v>
      </c>
      <c r="R8" s="1487">
        <f t="shared" si="9"/>
        <v>0</v>
      </c>
      <c r="S8" s="1487">
        <f t="shared" si="9"/>
        <v>0</v>
      </c>
      <c r="T8" s="1487">
        <f t="shared" si="9"/>
        <v>0</v>
      </c>
      <c r="U8" s="1487">
        <f t="shared" si="9"/>
        <v>0</v>
      </c>
      <c r="V8" s="1487">
        <f t="shared" si="9"/>
        <v>0</v>
      </c>
      <c r="W8" s="1487">
        <f t="shared" si="9"/>
        <v>0</v>
      </c>
      <c r="X8" s="1487">
        <f t="shared" si="9"/>
        <v>0</v>
      </c>
      <c r="Y8" s="1487">
        <f t="shared" si="9"/>
        <v>0</v>
      </c>
      <c r="Z8" s="1487">
        <f t="shared" si="9"/>
        <v>0</v>
      </c>
      <c r="AA8" s="1487">
        <f t="shared" si="9"/>
        <v>0</v>
      </c>
      <c r="AB8" s="1487">
        <f t="shared" si="9"/>
        <v>0</v>
      </c>
      <c r="AC8" s="1487">
        <f t="shared" si="9"/>
        <v>0</v>
      </c>
      <c r="AD8" s="1487">
        <f t="shared" si="9"/>
        <v>0</v>
      </c>
      <c r="AE8" s="1487">
        <f t="shared" si="9"/>
        <v>0</v>
      </c>
      <c r="AF8" s="1487">
        <f t="shared" si="9"/>
        <v>0</v>
      </c>
      <c r="AG8" s="1487">
        <f t="shared" si="9"/>
        <v>0</v>
      </c>
      <c r="AH8" s="1487">
        <f t="shared" si="9"/>
        <v>0</v>
      </c>
      <c r="AI8" s="1487">
        <f t="shared" si="9"/>
        <v>0</v>
      </c>
      <c r="AJ8" s="1487">
        <f t="shared" si="9"/>
        <v>0</v>
      </c>
      <c r="AK8" s="1487">
        <f t="shared" si="9"/>
        <v>0</v>
      </c>
      <c r="AL8" s="1487">
        <f t="shared" si="9"/>
        <v>0</v>
      </c>
      <c r="AM8" s="1487">
        <f t="shared" si="9"/>
        <v>0</v>
      </c>
      <c r="AN8" s="1487">
        <f t="shared" si="9"/>
        <v>0</v>
      </c>
      <c r="AO8" s="1487">
        <f t="shared" si="9"/>
        <v>0</v>
      </c>
      <c r="AP8" s="1487">
        <f t="shared" si="9"/>
        <v>0</v>
      </c>
      <c r="AQ8" s="1487">
        <f t="shared" si="9"/>
        <v>0</v>
      </c>
      <c r="AR8" s="1487">
        <f t="shared" si="9"/>
        <v>0</v>
      </c>
      <c r="AS8" s="1487">
        <f t="shared" si="9"/>
        <v>0</v>
      </c>
      <c r="AT8" s="1487">
        <f t="shared" si="9"/>
        <v>0</v>
      </c>
      <c r="AU8" s="1487">
        <f t="shared" si="9"/>
        <v>0</v>
      </c>
      <c r="AV8" s="1487">
        <f t="shared" si="9"/>
        <v>0</v>
      </c>
      <c r="AW8" s="1487">
        <f t="shared" si="9"/>
        <v>0</v>
      </c>
      <c r="AX8" s="1487">
        <f t="shared" si="9"/>
        <v>0</v>
      </c>
      <c r="AY8" s="1487">
        <f t="shared" si="9"/>
        <v>0</v>
      </c>
      <c r="AZ8" s="1487">
        <f t="shared" si="9"/>
        <v>0</v>
      </c>
      <c r="BA8" s="1487">
        <f t="shared" si="9"/>
        <v>0</v>
      </c>
      <c r="BB8" s="1487">
        <f t="shared" si="9"/>
        <v>0</v>
      </c>
      <c r="BC8" s="1487">
        <f t="shared" si="9"/>
        <v>0</v>
      </c>
      <c r="BD8" s="1487">
        <f t="shared" si="9"/>
        <v>0</v>
      </c>
      <c r="BE8" s="1487">
        <f t="shared" si="9"/>
        <v>0</v>
      </c>
      <c r="BF8" s="1487">
        <f t="shared" si="9"/>
        <v>0</v>
      </c>
      <c r="BG8" s="1487">
        <f t="shared" si="9"/>
        <v>0</v>
      </c>
      <c r="BH8" s="1487">
        <f t="shared" si="9"/>
        <v>0</v>
      </c>
      <c r="BI8" s="1487">
        <f t="shared" si="9"/>
        <v>0</v>
      </c>
      <c r="BJ8" s="1487">
        <f t="shared" si="9"/>
        <v>0</v>
      </c>
      <c r="BK8" s="1487">
        <f t="shared" si="9"/>
        <v>0</v>
      </c>
      <c r="BL8" s="1487">
        <f t="shared" si="9"/>
        <v>0</v>
      </c>
      <c r="BM8" s="1487">
        <f t="shared" si="9"/>
        <v>0</v>
      </c>
      <c r="BN8" s="1487">
        <f t="shared" si="9"/>
        <v>0</v>
      </c>
      <c r="BO8" s="1487">
        <f t="shared" si="9"/>
        <v>0</v>
      </c>
      <c r="BP8" s="1487">
        <f t="shared" si="9"/>
        <v>0</v>
      </c>
      <c r="BQ8" s="1487">
        <f t="shared" si="9"/>
        <v>0</v>
      </c>
      <c r="BR8" s="1487">
        <f t="shared" si="9"/>
        <v>0</v>
      </c>
      <c r="BS8" s="1487">
        <f t="shared" si="9"/>
        <v>0</v>
      </c>
      <c r="BT8" s="1487">
        <f t="shared" ref="BT8:EE8" si="10">BS8*(1+BT12)</f>
        <v>0</v>
      </c>
      <c r="BU8" s="1487">
        <f t="shared" si="10"/>
        <v>0</v>
      </c>
      <c r="BV8" s="1487">
        <f t="shared" si="10"/>
        <v>0</v>
      </c>
      <c r="BW8" s="1487">
        <f t="shared" si="10"/>
        <v>0</v>
      </c>
      <c r="BX8" s="1487">
        <f t="shared" si="10"/>
        <v>0</v>
      </c>
      <c r="BY8" s="1487">
        <f t="shared" si="10"/>
        <v>0</v>
      </c>
      <c r="BZ8" s="1487">
        <f t="shared" si="10"/>
        <v>0</v>
      </c>
      <c r="CA8" s="1487">
        <f t="shared" si="10"/>
        <v>0</v>
      </c>
      <c r="CB8" s="1487">
        <f t="shared" si="10"/>
        <v>0</v>
      </c>
      <c r="CC8" s="1487">
        <f t="shared" si="10"/>
        <v>0</v>
      </c>
      <c r="CD8" s="1487">
        <f t="shared" si="10"/>
        <v>0</v>
      </c>
      <c r="CE8" s="1487">
        <f t="shared" si="10"/>
        <v>0</v>
      </c>
      <c r="CF8" s="1487">
        <f t="shared" si="10"/>
        <v>0</v>
      </c>
      <c r="CG8" s="1487">
        <f t="shared" si="10"/>
        <v>0</v>
      </c>
      <c r="CH8" s="1487">
        <f t="shared" si="10"/>
        <v>0</v>
      </c>
      <c r="CI8" s="1487">
        <f t="shared" si="10"/>
        <v>0</v>
      </c>
      <c r="CJ8" s="1487">
        <f t="shared" si="10"/>
        <v>0</v>
      </c>
      <c r="CK8" s="1487">
        <f t="shared" si="10"/>
        <v>0</v>
      </c>
      <c r="CL8" s="1487">
        <f t="shared" si="10"/>
        <v>0</v>
      </c>
      <c r="CM8" s="1487">
        <f t="shared" si="10"/>
        <v>0</v>
      </c>
      <c r="CN8" s="1487">
        <f t="shared" si="10"/>
        <v>0</v>
      </c>
      <c r="CO8" s="1487">
        <f t="shared" si="10"/>
        <v>0</v>
      </c>
      <c r="CP8" s="1487">
        <f t="shared" si="10"/>
        <v>0</v>
      </c>
      <c r="CQ8" s="1487">
        <f t="shared" si="10"/>
        <v>0</v>
      </c>
      <c r="CR8" s="1487">
        <f t="shared" si="10"/>
        <v>0</v>
      </c>
      <c r="CS8" s="1487">
        <f t="shared" si="10"/>
        <v>0</v>
      </c>
      <c r="CT8" s="1487">
        <f t="shared" si="10"/>
        <v>0</v>
      </c>
      <c r="CU8" s="1487">
        <f t="shared" si="10"/>
        <v>0</v>
      </c>
      <c r="CV8" s="1487">
        <f t="shared" si="10"/>
        <v>0</v>
      </c>
      <c r="CW8" s="1487">
        <f t="shared" si="10"/>
        <v>0</v>
      </c>
      <c r="CX8" s="1487">
        <f t="shared" si="10"/>
        <v>0</v>
      </c>
      <c r="CY8" s="1487">
        <f t="shared" si="10"/>
        <v>0</v>
      </c>
      <c r="CZ8" s="1487">
        <f t="shared" si="10"/>
        <v>0</v>
      </c>
      <c r="DA8" s="1487">
        <f t="shared" si="10"/>
        <v>0</v>
      </c>
      <c r="DB8" s="1487">
        <f t="shared" si="10"/>
        <v>0</v>
      </c>
      <c r="DC8" s="1487">
        <f t="shared" si="10"/>
        <v>0</v>
      </c>
      <c r="DD8" s="1487">
        <f t="shared" si="10"/>
        <v>0</v>
      </c>
      <c r="DE8" s="1487">
        <f t="shared" si="10"/>
        <v>0</v>
      </c>
      <c r="DF8" s="1487">
        <f t="shared" si="10"/>
        <v>0</v>
      </c>
      <c r="DG8" s="1487">
        <f t="shared" si="10"/>
        <v>0</v>
      </c>
      <c r="DH8" s="1487">
        <f t="shared" si="10"/>
        <v>0</v>
      </c>
      <c r="DI8" s="1487">
        <f t="shared" si="10"/>
        <v>0</v>
      </c>
      <c r="DJ8" s="1487">
        <f t="shared" si="10"/>
        <v>0</v>
      </c>
      <c r="DK8" s="1487">
        <f t="shared" si="10"/>
        <v>0</v>
      </c>
      <c r="DL8" s="1487">
        <f t="shared" si="10"/>
        <v>0</v>
      </c>
      <c r="DM8" s="1487">
        <f t="shared" si="10"/>
        <v>0</v>
      </c>
      <c r="DN8" s="1487">
        <f t="shared" si="10"/>
        <v>0</v>
      </c>
      <c r="DO8" s="1487">
        <f t="shared" si="10"/>
        <v>0</v>
      </c>
      <c r="DP8" s="1487">
        <f t="shared" si="10"/>
        <v>0</v>
      </c>
      <c r="DQ8" s="1487">
        <f t="shared" si="10"/>
        <v>0</v>
      </c>
      <c r="DR8" s="1487">
        <f t="shared" si="10"/>
        <v>0</v>
      </c>
      <c r="DS8" s="1487">
        <f t="shared" si="10"/>
        <v>0</v>
      </c>
      <c r="DT8" s="1487">
        <f t="shared" si="10"/>
        <v>0</v>
      </c>
      <c r="DU8" s="1487">
        <f t="shared" si="10"/>
        <v>0</v>
      </c>
      <c r="DV8" s="1487">
        <f t="shared" si="10"/>
        <v>0</v>
      </c>
      <c r="DW8" s="1487">
        <f t="shared" si="10"/>
        <v>0</v>
      </c>
      <c r="DX8" s="1487">
        <f t="shared" si="10"/>
        <v>0</v>
      </c>
      <c r="DY8" s="1487">
        <f t="shared" si="10"/>
        <v>0</v>
      </c>
      <c r="DZ8" s="1487">
        <f t="shared" si="10"/>
        <v>0</v>
      </c>
      <c r="EA8" s="1487">
        <f t="shared" si="10"/>
        <v>0</v>
      </c>
      <c r="EB8" s="1487">
        <f t="shared" si="10"/>
        <v>0</v>
      </c>
      <c r="EC8" s="1487">
        <f t="shared" si="10"/>
        <v>0</v>
      </c>
      <c r="ED8" s="1487">
        <f t="shared" si="10"/>
        <v>0</v>
      </c>
      <c r="EE8" s="1487">
        <f t="shared" si="10"/>
        <v>0</v>
      </c>
      <c r="EF8" s="1487">
        <f t="shared" ref="EF8:FH8" si="11">EE8*(1+EF12)</f>
        <v>0</v>
      </c>
      <c r="EG8" s="1487">
        <f t="shared" si="11"/>
        <v>0</v>
      </c>
      <c r="EH8" s="1487">
        <f t="shared" si="11"/>
        <v>0</v>
      </c>
      <c r="EI8" s="1487">
        <f t="shared" si="11"/>
        <v>0</v>
      </c>
      <c r="EJ8" s="1487">
        <f t="shared" si="11"/>
        <v>0</v>
      </c>
      <c r="EK8" s="1487">
        <f t="shared" si="11"/>
        <v>0</v>
      </c>
      <c r="EL8" s="1487">
        <f t="shared" si="11"/>
        <v>0</v>
      </c>
      <c r="EM8" s="1487">
        <f t="shared" si="11"/>
        <v>0</v>
      </c>
      <c r="EN8" s="1487">
        <f t="shared" si="11"/>
        <v>0</v>
      </c>
      <c r="EO8" s="1487">
        <f t="shared" si="11"/>
        <v>0</v>
      </c>
      <c r="EP8" s="1487">
        <f t="shared" si="11"/>
        <v>0</v>
      </c>
      <c r="EQ8" s="1487">
        <f t="shared" si="11"/>
        <v>0</v>
      </c>
      <c r="ER8" s="1487">
        <f t="shared" si="11"/>
        <v>0</v>
      </c>
      <c r="ES8" s="1487">
        <f t="shared" si="11"/>
        <v>0</v>
      </c>
      <c r="ET8" s="1487">
        <f t="shared" si="11"/>
        <v>0</v>
      </c>
      <c r="EU8" s="1487">
        <f t="shared" si="11"/>
        <v>0</v>
      </c>
      <c r="EV8" s="1487">
        <f t="shared" si="11"/>
        <v>0</v>
      </c>
      <c r="EW8" s="1487">
        <f t="shared" si="11"/>
        <v>0</v>
      </c>
      <c r="EX8" s="1487">
        <f t="shared" si="11"/>
        <v>0</v>
      </c>
      <c r="EY8" s="1487">
        <f t="shared" si="11"/>
        <v>0</v>
      </c>
      <c r="EZ8" s="1487">
        <f t="shared" si="11"/>
        <v>0</v>
      </c>
      <c r="FA8" s="1487">
        <f t="shared" si="11"/>
        <v>0</v>
      </c>
      <c r="FB8" s="1487">
        <f t="shared" si="11"/>
        <v>0</v>
      </c>
      <c r="FC8" s="1487">
        <f t="shared" si="11"/>
        <v>0</v>
      </c>
      <c r="FD8" s="1487">
        <f t="shared" si="11"/>
        <v>0</v>
      </c>
      <c r="FE8" s="1487">
        <f t="shared" si="11"/>
        <v>0</v>
      </c>
      <c r="FF8" s="1487">
        <f t="shared" si="11"/>
        <v>0</v>
      </c>
      <c r="FG8" s="1487">
        <f t="shared" si="11"/>
        <v>0</v>
      </c>
      <c r="FH8" s="1487">
        <f t="shared" si="11"/>
        <v>0</v>
      </c>
      <c r="FI8" s="1491"/>
      <c r="FJ8" s="1491"/>
      <c r="FK8" s="1491"/>
      <c r="FL8" s="1533"/>
      <c r="FM8" s="1552"/>
    </row>
    <row r="9" spans="1:169" s="1477" customFormat="1">
      <c r="A9" s="1739"/>
      <c r="B9" s="1739"/>
      <c r="C9" s="1485" t="s">
        <v>190</v>
      </c>
      <c r="D9" s="1488"/>
      <c r="E9" s="1490">
        <v>0</v>
      </c>
      <c r="F9" s="1490">
        <v>3</v>
      </c>
      <c r="G9" s="1490">
        <v>3</v>
      </c>
      <c r="H9" s="1490">
        <v>3</v>
      </c>
      <c r="I9" s="1490">
        <v>3</v>
      </c>
      <c r="J9" s="1490">
        <v>3</v>
      </c>
      <c r="K9" s="1490">
        <v>3</v>
      </c>
      <c r="L9" s="1490">
        <v>3</v>
      </c>
      <c r="M9" s="1490">
        <v>3</v>
      </c>
      <c r="N9" s="1490">
        <v>3</v>
      </c>
      <c r="O9" s="1490">
        <v>3</v>
      </c>
      <c r="P9" s="1490">
        <v>3</v>
      </c>
      <c r="Q9" s="1490">
        <v>3</v>
      </c>
      <c r="R9" s="1490">
        <v>3</v>
      </c>
      <c r="S9" s="1490">
        <v>3</v>
      </c>
      <c r="T9" s="1490">
        <v>3</v>
      </c>
      <c r="U9" s="1490">
        <v>3</v>
      </c>
      <c r="V9" s="1490">
        <v>3</v>
      </c>
      <c r="W9" s="1490">
        <v>3</v>
      </c>
      <c r="X9" s="1490">
        <v>3</v>
      </c>
      <c r="Y9" s="1490">
        <v>3</v>
      </c>
      <c r="Z9" s="1490">
        <v>3</v>
      </c>
      <c r="AA9" s="1490">
        <v>3</v>
      </c>
      <c r="AB9" s="1490">
        <v>3</v>
      </c>
      <c r="AC9" s="1490">
        <v>3</v>
      </c>
      <c r="AD9" s="1490">
        <v>3</v>
      </c>
      <c r="AE9" s="1490">
        <v>3</v>
      </c>
      <c r="AF9" s="1490">
        <v>3</v>
      </c>
      <c r="AG9" s="1490">
        <v>3</v>
      </c>
      <c r="AH9" s="1490">
        <v>3</v>
      </c>
      <c r="AI9" s="1490">
        <v>3</v>
      </c>
      <c r="AJ9" s="1490">
        <v>3</v>
      </c>
      <c r="AK9" s="1490">
        <v>3</v>
      </c>
      <c r="AL9" s="1490">
        <v>3</v>
      </c>
      <c r="AM9" s="1490">
        <v>3</v>
      </c>
      <c r="AN9" s="1490">
        <v>3</v>
      </c>
      <c r="AO9" s="1490">
        <v>3</v>
      </c>
      <c r="AP9" s="1490">
        <v>3</v>
      </c>
      <c r="AQ9" s="1490">
        <v>3</v>
      </c>
      <c r="AR9" s="1490">
        <v>3</v>
      </c>
      <c r="AS9" s="1490">
        <v>3</v>
      </c>
      <c r="AT9" s="1490">
        <v>3</v>
      </c>
      <c r="AU9" s="1490">
        <v>3</v>
      </c>
      <c r="AV9" s="1490">
        <v>3</v>
      </c>
      <c r="AW9" s="1490">
        <v>3</v>
      </c>
      <c r="AX9" s="1490">
        <v>3</v>
      </c>
      <c r="AY9" s="1490">
        <v>3</v>
      </c>
      <c r="AZ9" s="1490">
        <v>3</v>
      </c>
      <c r="BA9" s="1490">
        <v>3</v>
      </c>
      <c r="BB9" s="1490">
        <v>3</v>
      </c>
      <c r="BC9" s="1490">
        <v>3</v>
      </c>
      <c r="BD9" s="1490">
        <v>3</v>
      </c>
      <c r="BE9" s="1490">
        <v>3</v>
      </c>
      <c r="BF9" s="1490">
        <v>3</v>
      </c>
      <c r="BG9" s="1490">
        <v>3</v>
      </c>
      <c r="BH9" s="1490">
        <v>3</v>
      </c>
      <c r="BI9" s="1490">
        <v>3</v>
      </c>
      <c r="BJ9" s="1490">
        <v>3</v>
      </c>
      <c r="BK9" s="1490">
        <v>3</v>
      </c>
      <c r="BL9" s="1490">
        <v>3</v>
      </c>
      <c r="BM9" s="1490">
        <v>3</v>
      </c>
      <c r="BN9" s="1490">
        <v>3</v>
      </c>
      <c r="BO9" s="1490">
        <v>3</v>
      </c>
      <c r="BP9" s="1490">
        <v>3</v>
      </c>
      <c r="BQ9" s="1490">
        <v>3</v>
      </c>
      <c r="BR9" s="1490">
        <v>3</v>
      </c>
      <c r="BS9" s="1490">
        <v>3</v>
      </c>
      <c r="BT9" s="1490">
        <v>3</v>
      </c>
      <c r="BU9" s="1490">
        <v>3</v>
      </c>
      <c r="BV9" s="1490">
        <v>3</v>
      </c>
      <c r="BW9" s="1490">
        <v>3</v>
      </c>
      <c r="BX9" s="1490">
        <v>3</v>
      </c>
      <c r="BY9" s="1490">
        <v>3</v>
      </c>
      <c r="BZ9" s="1490">
        <v>3</v>
      </c>
      <c r="CA9" s="1490">
        <v>3</v>
      </c>
      <c r="CB9" s="1490">
        <v>3</v>
      </c>
      <c r="CC9" s="1490">
        <v>3</v>
      </c>
      <c r="CD9" s="1490">
        <v>3</v>
      </c>
      <c r="CE9" s="1490">
        <v>3</v>
      </c>
      <c r="CF9" s="1490">
        <v>3</v>
      </c>
      <c r="CG9" s="1490">
        <v>3</v>
      </c>
      <c r="CH9" s="1490">
        <v>3</v>
      </c>
      <c r="CI9" s="1490">
        <v>3</v>
      </c>
      <c r="CJ9" s="1490">
        <v>3</v>
      </c>
      <c r="CK9" s="1490">
        <v>3</v>
      </c>
      <c r="CL9" s="1490">
        <v>3</v>
      </c>
      <c r="CM9" s="1490">
        <v>3</v>
      </c>
      <c r="CN9" s="1490">
        <v>3</v>
      </c>
      <c r="CO9" s="1490">
        <v>3</v>
      </c>
      <c r="CP9" s="1490">
        <v>3</v>
      </c>
      <c r="CQ9" s="1490">
        <v>3</v>
      </c>
      <c r="CR9" s="1490">
        <v>3</v>
      </c>
      <c r="CS9" s="1490">
        <v>3</v>
      </c>
      <c r="CT9" s="1490">
        <v>3</v>
      </c>
      <c r="CU9" s="1490">
        <v>3</v>
      </c>
      <c r="CV9" s="1490">
        <v>3</v>
      </c>
      <c r="CW9" s="1490">
        <v>3</v>
      </c>
      <c r="CX9" s="1490">
        <v>3</v>
      </c>
      <c r="CY9" s="1490">
        <v>3</v>
      </c>
      <c r="CZ9" s="1490">
        <v>3</v>
      </c>
      <c r="DA9" s="1490">
        <v>3</v>
      </c>
      <c r="DB9" s="1490">
        <v>3</v>
      </c>
      <c r="DC9" s="1490">
        <v>3</v>
      </c>
      <c r="DD9" s="1490">
        <v>3</v>
      </c>
      <c r="DE9" s="1490">
        <v>3</v>
      </c>
      <c r="DF9" s="1490">
        <v>3</v>
      </c>
      <c r="DG9" s="1490">
        <v>3</v>
      </c>
      <c r="DH9" s="1490">
        <v>3</v>
      </c>
      <c r="DI9" s="1490">
        <v>3</v>
      </c>
      <c r="DJ9" s="1490">
        <v>3</v>
      </c>
      <c r="DK9" s="1490">
        <v>3</v>
      </c>
      <c r="DL9" s="1490">
        <v>3</v>
      </c>
      <c r="DM9" s="1490">
        <v>3</v>
      </c>
      <c r="DN9" s="1490">
        <v>3</v>
      </c>
      <c r="DO9" s="1490">
        <v>3</v>
      </c>
      <c r="DP9" s="1490">
        <v>3</v>
      </c>
      <c r="DQ9" s="1490">
        <v>3</v>
      </c>
      <c r="DR9" s="1490">
        <v>3</v>
      </c>
      <c r="DS9" s="1490">
        <v>3</v>
      </c>
      <c r="DT9" s="1490">
        <v>3</v>
      </c>
      <c r="DU9" s="1490">
        <v>3</v>
      </c>
      <c r="DV9" s="1490">
        <v>3</v>
      </c>
      <c r="DW9" s="1490">
        <v>3</v>
      </c>
      <c r="DX9" s="1490">
        <v>3</v>
      </c>
      <c r="DY9" s="1490">
        <v>3</v>
      </c>
      <c r="DZ9" s="1490">
        <v>3</v>
      </c>
      <c r="EA9" s="1490">
        <v>3</v>
      </c>
      <c r="EB9" s="1490">
        <v>3</v>
      </c>
      <c r="EC9" s="1490">
        <v>3</v>
      </c>
      <c r="ED9" s="1490">
        <v>3</v>
      </c>
      <c r="EE9" s="1490">
        <v>3</v>
      </c>
      <c r="EF9" s="1490">
        <v>3</v>
      </c>
      <c r="EG9" s="1490">
        <v>3</v>
      </c>
      <c r="EH9" s="1490">
        <v>3</v>
      </c>
      <c r="EI9" s="1490">
        <v>3</v>
      </c>
      <c r="EJ9" s="1490">
        <v>3</v>
      </c>
      <c r="EK9" s="1490">
        <v>3</v>
      </c>
      <c r="EL9" s="1490">
        <v>3</v>
      </c>
      <c r="EM9" s="1490">
        <v>3</v>
      </c>
      <c r="EN9" s="1490">
        <v>3</v>
      </c>
      <c r="EO9" s="1490">
        <v>3</v>
      </c>
      <c r="EP9" s="1490">
        <v>3</v>
      </c>
      <c r="EQ9" s="1490">
        <v>3</v>
      </c>
      <c r="ER9" s="1490">
        <v>3</v>
      </c>
      <c r="ES9" s="1490">
        <v>3</v>
      </c>
      <c r="ET9" s="1490">
        <v>3</v>
      </c>
      <c r="EU9" s="1490">
        <v>3</v>
      </c>
      <c r="EV9" s="1490">
        <v>3</v>
      </c>
      <c r="EW9" s="1490">
        <v>3</v>
      </c>
      <c r="EX9" s="1490">
        <v>3</v>
      </c>
      <c r="EY9" s="1490">
        <v>3</v>
      </c>
      <c r="EZ9" s="1490">
        <v>3</v>
      </c>
      <c r="FA9" s="1490">
        <v>3</v>
      </c>
      <c r="FB9" s="1490">
        <v>3</v>
      </c>
      <c r="FC9" s="1490">
        <v>3</v>
      </c>
      <c r="FD9" s="1490">
        <v>3</v>
      </c>
      <c r="FE9" s="1490">
        <v>3</v>
      </c>
      <c r="FF9" s="1490">
        <v>3</v>
      </c>
      <c r="FG9" s="1490">
        <v>3</v>
      </c>
      <c r="FH9" s="1490">
        <v>3</v>
      </c>
      <c r="FI9" s="1491"/>
      <c r="FJ9" s="1491"/>
      <c r="FK9" s="1491"/>
      <c r="FL9" s="1533"/>
      <c r="FM9" s="1552"/>
    </row>
    <row r="10" spans="1:169" s="1477" customFormat="1">
      <c r="A10" s="1739"/>
      <c r="B10" s="1739"/>
      <c r="C10" s="1485" t="s">
        <v>191</v>
      </c>
      <c r="D10" s="1488"/>
      <c r="E10" s="1490">
        <v>3</v>
      </c>
      <c r="F10" s="1491"/>
      <c r="G10" s="1491"/>
      <c r="H10" s="1491"/>
      <c r="I10" s="1490"/>
      <c r="J10" s="1490"/>
      <c r="K10" s="1490"/>
      <c r="L10" s="1490"/>
      <c r="M10" s="1490"/>
      <c r="N10" s="1490"/>
      <c r="O10" s="1490"/>
      <c r="P10" s="1490"/>
      <c r="Q10" s="1490"/>
      <c r="R10" s="1490"/>
      <c r="S10" s="1490"/>
      <c r="T10" s="1490"/>
      <c r="U10" s="1490"/>
      <c r="V10" s="1490"/>
      <c r="W10" s="1490"/>
      <c r="X10" s="1490"/>
      <c r="Y10" s="1490"/>
      <c r="Z10" s="1490"/>
      <c r="AA10" s="1490"/>
      <c r="AB10" s="1490"/>
      <c r="AC10" s="1490"/>
      <c r="AD10" s="1490"/>
      <c r="AE10" s="1490"/>
      <c r="AF10" s="1490"/>
      <c r="AG10" s="1490"/>
      <c r="AH10" s="1490"/>
      <c r="AI10" s="1490"/>
      <c r="AJ10" s="1490"/>
      <c r="AK10" s="1490"/>
      <c r="AL10" s="1490"/>
      <c r="AM10" s="1490"/>
      <c r="AN10" s="1490"/>
      <c r="AO10" s="1490"/>
      <c r="AP10" s="1490"/>
      <c r="AQ10" s="1490"/>
      <c r="AR10" s="1490"/>
      <c r="AS10" s="1490"/>
      <c r="AT10" s="1490"/>
      <c r="AU10" s="1490"/>
      <c r="AV10" s="1490"/>
      <c r="AW10" s="1490"/>
      <c r="AX10" s="1490"/>
      <c r="AY10" s="1490"/>
      <c r="AZ10" s="1490"/>
      <c r="BA10" s="1490"/>
      <c r="BB10" s="1490"/>
      <c r="BC10" s="1490"/>
      <c r="BD10" s="1490"/>
      <c r="BE10" s="1490"/>
      <c r="BF10" s="1490"/>
      <c r="BG10" s="1490"/>
      <c r="BH10" s="1490"/>
      <c r="BI10" s="1490"/>
      <c r="BJ10" s="1490"/>
      <c r="BK10" s="1490"/>
      <c r="BL10" s="1490"/>
      <c r="BM10" s="1490"/>
      <c r="BN10" s="1490"/>
      <c r="BO10" s="1490"/>
      <c r="BP10" s="1490"/>
      <c r="BQ10" s="1490"/>
      <c r="BR10" s="1490"/>
      <c r="BS10" s="1490"/>
      <c r="BT10" s="1490"/>
      <c r="BU10" s="1490"/>
      <c r="BV10" s="1490"/>
      <c r="BW10" s="1490"/>
      <c r="BX10" s="1490"/>
      <c r="BY10" s="1490"/>
      <c r="BZ10" s="1490"/>
      <c r="CA10" s="1490"/>
      <c r="CB10" s="1490"/>
      <c r="CC10" s="1490"/>
      <c r="CD10" s="1490"/>
      <c r="CE10" s="1490"/>
      <c r="CF10" s="1490"/>
      <c r="CG10" s="1490"/>
      <c r="CH10" s="1490"/>
      <c r="CI10" s="1490"/>
      <c r="CJ10" s="1490"/>
      <c r="CK10" s="1490"/>
      <c r="CL10" s="1490"/>
      <c r="CM10" s="1490"/>
      <c r="CN10" s="1490"/>
      <c r="CO10" s="1490"/>
      <c r="CP10" s="1490"/>
      <c r="CQ10" s="1490"/>
      <c r="CR10" s="1490"/>
      <c r="CS10" s="1490"/>
      <c r="CT10" s="1490"/>
      <c r="CU10" s="1490"/>
      <c r="CV10" s="1490"/>
      <c r="CW10" s="1490"/>
      <c r="CX10" s="1490"/>
      <c r="CY10" s="1490"/>
      <c r="CZ10" s="1490"/>
      <c r="DA10" s="1490"/>
      <c r="DB10" s="1490"/>
      <c r="DC10" s="1490"/>
      <c r="DD10" s="1490"/>
      <c r="DE10" s="1490"/>
      <c r="DF10" s="1490"/>
      <c r="DG10" s="1490"/>
      <c r="DH10" s="1490"/>
      <c r="DI10" s="1490"/>
      <c r="DJ10" s="1490"/>
      <c r="DK10" s="1490"/>
      <c r="DL10" s="1490"/>
      <c r="DM10" s="1490"/>
      <c r="DN10" s="1490"/>
      <c r="DO10" s="1490"/>
      <c r="DP10" s="1490"/>
      <c r="DQ10" s="1490"/>
      <c r="DR10" s="1490"/>
      <c r="DS10" s="1490"/>
      <c r="DT10" s="1490"/>
      <c r="DU10" s="1490"/>
      <c r="DV10" s="1490"/>
      <c r="DW10" s="1490"/>
      <c r="DX10" s="1490"/>
      <c r="DY10" s="1491"/>
      <c r="DZ10" s="1491"/>
      <c r="EA10" s="1491"/>
      <c r="EB10" s="1491"/>
      <c r="EC10" s="1491"/>
      <c r="ED10" s="1491"/>
      <c r="EE10" s="1491"/>
      <c r="EF10" s="1491"/>
      <c r="EG10" s="1491"/>
      <c r="EH10" s="1491"/>
      <c r="EI10" s="1491"/>
      <c r="EJ10" s="1491"/>
      <c r="EK10" s="1491"/>
      <c r="EL10" s="1491"/>
      <c r="EM10" s="1491"/>
      <c r="EN10" s="1491"/>
      <c r="EO10" s="1491"/>
      <c r="EP10" s="1491"/>
      <c r="EQ10" s="1491"/>
      <c r="ER10" s="1491"/>
      <c r="ES10" s="1491"/>
      <c r="ET10" s="1491"/>
      <c r="EU10" s="1491"/>
      <c r="EV10" s="1491"/>
      <c r="EW10" s="1491"/>
      <c r="EX10" s="1491"/>
      <c r="EY10" s="1491"/>
      <c r="EZ10" s="1491"/>
      <c r="FA10" s="1491"/>
      <c r="FB10" s="1491"/>
      <c r="FC10" s="1491"/>
      <c r="FD10" s="1491"/>
      <c r="FE10" s="1491"/>
      <c r="FF10" s="1491"/>
      <c r="FG10" s="1491"/>
      <c r="FH10" s="1491"/>
      <c r="FI10" s="1491"/>
      <c r="FJ10" s="1491"/>
      <c r="FK10" s="1491"/>
      <c r="FL10" s="1533"/>
      <c r="FM10" s="1552"/>
    </row>
    <row r="11" spans="1:169" s="1477" customFormat="1">
      <c r="A11" s="1739"/>
      <c r="B11" s="1739"/>
      <c r="C11" s="1485" t="s">
        <v>192</v>
      </c>
      <c r="D11" s="1488"/>
      <c r="E11" s="1492">
        <v>0</v>
      </c>
      <c r="F11" s="1492">
        <v>0.7</v>
      </c>
      <c r="G11" s="1492">
        <v>0.7</v>
      </c>
      <c r="H11" s="1492">
        <v>0.7</v>
      </c>
      <c r="I11" s="1492">
        <v>0.8</v>
      </c>
      <c r="J11" s="1492">
        <v>0.8</v>
      </c>
      <c r="K11" s="1492">
        <v>0.8</v>
      </c>
      <c r="L11" s="1492">
        <v>0.8</v>
      </c>
      <c r="M11" s="1492">
        <v>0.9</v>
      </c>
      <c r="N11" s="1492">
        <v>0.9</v>
      </c>
      <c r="O11" s="1492">
        <v>0.9</v>
      </c>
      <c r="P11" s="1492">
        <v>0.9</v>
      </c>
      <c r="Q11" s="1492">
        <v>1</v>
      </c>
      <c r="R11" s="1492">
        <v>1</v>
      </c>
      <c r="S11" s="1492">
        <v>1</v>
      </c>
      <c r="T11" s="1492">
        <v>1</v>
      </c>
      <c r="U11" s="1492">
        <v>1</v>
      </c>
      <c r="V11" s="1492">
        <v>1</v>
      </c>
      <c r="W11" s="1492">
        <v>1</v>
      </c>
      <c r="X11" s="1492">
        <v>1</v>
      </c>
      <c r="Y11" s="1492">
        <v>1</v>
      </c>
      <c r="Z11" s="1492">
        <v>1</v>
      </c>
      <c r="AA11" s="1492">
        <v>1</v>
      </c>
      <c r="AB11" s="1492">
        <v>1</v>
      </c>
      <c r="AC11" s="1492">
        <v>1</v>
      </c>
      <c r="AD11" s="1492">
        <v>1</v>
      </c>
      <c r="AE11" s="1492">
        <v>1</v>
      </c>
      <c r="AF11" s="1492">
        <v>1</v>
      </c>
      <c r="AG11" s="1492">
        <v>1</v>
      </c>
      <c r="AH11" s="1492">
        <v>1</v>
      </c>
      <c r="AI11" s="1492">
        <v>1</v>
      </c>
      <c r="AJ11" s="1492">
        <v>1</v>
      </c>
      <c r="AK11" s="1492">
        <v>1</v>
      </c>
      <c r="AL11" s="1492">
        <v>1</v>
      </c>
      <c r="AM11" s="1492">
        <v>1</v>
      </c>
      <c r="AN11" s="1492">
        <v>1</v>
      </c>
      <c r="AO11" s="1492">
        <v>1</v>
      </c>
      <c r="AP11" s="1492">
        <v>1</v>
      </c>
      <c r="AQ11" s="1492">
        <v>1</v>
      </c>
      <c r="AR11" s="1492">
        <v>1</v>
      </c>
      <c r="AS11" s="1492">
        <v>1</v>
      </c>
      <c r="AT11" s="1492">
        <v>1</v>
      </c>
      <c r="AU11" s="1492">
        <v>1</v>
      </c>
      <c r="AV11" s="1492">
        <v>1</v>
      </c>
      <c r="AW11" s="1492">
        <v>1</v>
      </c>
      <c r="AX11" s="1492">
        <v>1</v>
      </c>
      <c r="AY11" s="1492">
        <v>1</v>
      </c>
      <c r="AZ11" s="1492">
        <v>1</v>
      </c>
      <c r="BA11" s="1492">
        <v>1</v>
      </c>
      <c r="BB11" s="1492">
        <v>1</v>
      </c>
      <c r="BC11" s="1492">
        <v>1</v>
      </c>
      <c r="BD11" s="1492">
        <v>1</v>
      </c>
      <c r="BE11" s="1492">
        <v>1</v>
      </c>
      <c r="BF11" s="1492">
        <v>1</v>
      </c>
      <c r="BG11" s="1492">
        <v>1</v>
      </c>
      <c r="BH11" s="1492">
        <v>1</v>
      </c>
      <c r="BI11" s="1492">
        <v>1</v>
      </c>
      <c r="BJ11" s="1492">
        <v>1</v>
      </c>
      <c r="BK11" s="1492">
        <v>1</v>
      </c>
      <c r="BL11" s="1492">
        <v>1</v>
      </c>
      <c r="BM11" s="1492">
        <v>1</v>
      </c>
      <c r="BN11" s="1492">
        <v>1</v>
      </c>
      <c r="BO11" s="1492">
        <v>1</v>
      </c>
      <c r="BP11" s="1492">
        <v>1</v>
      </c>
      <c r="BQ11" s="1492">
        <v>1</v>
      </c>
      <c r="BR11" s="1492">
        <v>1</v>
      </c>
      <c r="BS11" s="1492">
        <v>1</v>
      </c>
      <c r="BT11" s="1492">
        <v>1</v>
      </c>
      <c r="BU11" s="1492">
        <v>1</v>
      </c>
      <c r="BV11" s="1492">
        <v>1</v>
      </c>
      <c r="BW11" s="1492">
        <v>1</v>
      </c>
      <c r="BX11" s="1492">
        <v>1</v>
      </c>
      <c r="BY11" s="1492">
        <v>1</v>
      </c>
      <c r="BZ11" s="1492">
        <v>1</v>
      </c>
      <c r="CA11" s="1492">
        <v>1</v>
      </c>
      <c r="CB11" s="1492">
        <v>1</v>
      </c>
      <c r="CC11" s="1492">
        <v>1</v>
      </c>
      <c r="CD11" s="1492">
        <v>1</v>
      </c>
      <c r="CE11" s="1492">
        <v>1</v>
      </c>
      <c r="CF11" s="1492">
        <v>1</v>
      </c>
      <c r="CG11" s="1492">
        <v>1</v>
      </c>
      <c r="CH11" s="1492">
        <v>1</v>
      </c>
      <c r="CI11" s="1492">
        <v>1</v>
      </c>
      <c r="CJ11" s="1492">
        <v>1</v>
      </c>
      <c r="CK11" s="1492">
        <v>1</v>
      </c>
      <c r="CL11" s="1492">
        <v>1</v>
      </c>
      <c r="CM11" s="1492">
        <v>1</v>
      </c>
      <c r="CN11" s="1492">
        <v>1</v>
      </c>
      <c r="CO11" s="1492">
        <v>1</v>
      </c>
      <c r="CP11" s="1492">
        <v>1</v>
      </c>
      <c r="CQ11" s="1492">
        <v>1</v>
      </c>
      <c r="CR11" s="1492">
        <v>1</v>
      </c>
      <c r="CS11" s="1492">
        <v>1</v>
      </c>
      <c r="CT11" s="1492">
        <v>1</v>
      </c>
      <c r="CU11" s="1492">
        <v>1</v>
      </c>
      <c r="CV11" s="1492">
        <v>1</v>
      </c>
      <c r="CW11" s="1492">
        <v>1</v>
      </c>
      <c r="CX11" s="1492">
        <v>1</v>
      </c>
      <c r="CY11" s="1492">
        <v>1</v>
      </c>
      <c r="CZ11" s="1492">
        <v>1</v>
      </c>
      <c r="DA11" s="1492">
        <v>1</v>
      </c>
      <c r="DB11" s="1492">
        <v>1</v>
      </c>
      <c r="DC11" s="1492">
        <v>1</v>
      </c>
      <c r="DD11" s="1492">
        <v>1</v>
      </c>
      <c r="DE11" s="1492">
        <v>1</v>
      </c>
      <c r="DF11" s="1492">
        <v>1</v>
      </c>
      <c r="DG11" s="1492">
        <v>1</v>
      </c>
      <c r="DH11" s="1492">
        <v>1</v>
      </c>
      <c r="DI11" s="1492">
        <v>1</v>
      </c>
      <c r="DJ11" s="1492">
        <v>1</v>
      </c>
      <c r="DK11" s="1492">
        <v>1</v>
      </c>
      <c r="DL11" s="1492">
        <v>1</v>
      </c>
      <c r="DM11" s="1492">
        <v>1</v>
      </c>
      <c r="DN11" s="1492">
        <v>1</v>
      </c>
      <c r="DO11" s="1492">
        <v>1</v>
      </c>
      <c r="DP11" s="1492">
        <v>1</v>
      </c>
      <c r="DQ11" s="1492">
        <v>1</v>
      </c>
      <c r="DR11" s="1492">
        <v>1</v>
      </c>
      <c r="DS11" s="1492">
        <v>1</v>
      </c>
      <c r="DT11" s="1492">
        <v>1</v>
      </c>
      <c r="DU11" s="1492">
        <v>1</v>
      </c>
      <c r="DV11" s="1492">
        <v>1</v>
      </c>
      <c r="DW11" s="1492">
        <v>1</v>
      </c>
      <c r="DX11" s="1492">
        <v>1</v>
      </c>
      <c r="DY11" s="1492">
        <v>1</v>
      </c>
      <c r="DZ11" s="1492">
        <v>1</v>
      </c>
      <c r="EA11" s="1492">
        <v>1</v>
      </c>
      <c r="EB11" s="1492">
        <v>1</v>
      </c>
      <c r="EC11" s="1492">
        <v>1</v>
      </c>
      <c r="ED11" s="1492">
        <v>1</v>
      </c>
      <c r="EE11" s="1492">
        <v>1</v>
      </c>
      <c r="EF11" s="1492">
        <v>1</v>
      </c>
      <c r="EG11" s="1492">
        <v>1</v>
      </c>
      <c r="EH11" s="1492">
        <v>1</v>
      </c>
      <c r="EI11" s="1492">
        <v>1</v>
      </c>
      <c r="EJ11" s="1492">
        <v>1</v>
      </c>
      <c r="EK11" s="1492">
        <v>1</v>
      </c>
      <c r="EL11" s="1492">
        <v>1</v>
      </c>
      <c r="EM11" s="1492">
        <v>1</v>
      </c>
      <c r="EN11" s="1492">
        <v>1</v>
      </c>
      <c r="EO11" s="1492">
        <v>1</v>
      </c>
      <c r="EP11" s="1492">
        <v>1</v>
      </c>
      <c r="EQ11" s="1492">
        <v>1</v>
      </c>
      <c r="ER11" s="1492">
        <v>1</v>
      </c>
      <c r="ES11" s="1492">
        <v>1</v>
      </c>
      <c r="ET11" s="1492">
        <v>1</v>
      </c>
      <c r="EU11" s="1492">
        <v>1</v>
      </c>
      <c r="EV11" s="1492">
        <v>1</v>
      </c>
      <c r="EW11" s="1492">
        <v>1</v>
      </c>
      <c r="EX11" s="1492">
        <v>1</v>
      </c>
      <c r="EY11" s="1492">
        <v>1</v>
      </c>
      <c r="EZ11" s="1492">
        <v>1</v>
      </c>
      <c r="FA11" s="1492">
        <v>1</v>
      </c>
      <c r="FB11" s="1492">
        <v>1</v>
      </c>
      <c r="FC11" s="1492">
        <v>1</v>
      </c>
      <c r="FD11" s="1492">
        <v>1</v>
      </c>
      <c r="FE11" s="1492">
        <v>1</v>
      </c>
      <c r="FF11" s="1492">
        <v>1</v>
      </c>
      <c r="FG11" s="1492">
        <v>1</v>
      </c>
      <c r="FH11" s="1492">
        <v>1</v>
      </c>
      <c r="FI11" s="1491"/>
      <c r="FJ11" s="1491"/>
      <c r="FK11" s="1491"/>
      <c r="FL11" s="1533"/>
      <c r="FM11" s="1552"/>
    </row>
    <row r="12" spans="1:169" s="1477" customFormat="1">
      <c r="A12" s="1739"/>
      <c r="B12" s="1739"/>
      <c r="C12" s="1485" t="s">
        <v>193</v>
      </c>
      <c r="D12" s="1488"/>
      <c r="E12" s="1492"/>
      <c r="F12" s="1492"/>
      <c r="G12" s="1492"/>
      <c r="H12" s="1492"/>
      <c r="I12" s="1492">
        <v>0</v>
      </c>
      <c r="J12" s="1492"/>
      <c r="K12" s="1492"/>
      <c r="L12" s="1492"/>
      <c r="M12" s="1492">
        <f>自持参数设置!C16</f>
        <v>0</v>
      </c>
      <c r="N12" s="1492"/>
      <c r="O12" s="1492"/>
      <c r="P12" s="1492"/>
      <c r="Q12" s="1492">
        <f>自持参数设置!C16</f>
        <v>0</v>
      </c>
      <c r="R12" s="1492"/>
      <c r="S12" s="1492"/>
      <c r="T12" s="1492"/>
      <c r="U12" s="1492">
        <f>自持参数设置!C16</f>
        <v>0</v>
      </c>
      <c r="V12" s="1492"/>
      <c r="W12" s="1492"/>
      <c r="X12" s="1492"/>
      <c r="Y12" s="1492">
        <f>自持参数设置!C16</f>
        <v>0</v>
      </c>
      <c r="Z12" s="1492"/>
      <c r="AA12" s="1492"/>
      <c r="AB12" s="1492"/>
      <c r="AC12" s="1492">
        <f>自持参数设置!C16</f>
        <v>0</v>
      </c>
      <c r="AD12" s="1492"/>
      <c r="AE12" s="1492"/>
      <c r="AF12" s="1492"/>
      <c r="AG12" s="1492">
        <f>自持参数设置!C16</f>
        <v>0</v>
      </c>
      <c r="AH12" s="1492"/>
      <c r="AI12" s="1492"/>
      <c r="AJ12" s="1492"/>
      <c r="AK12" s="1492">
        <f>自持参数设置!C16</f>
        <v>0</v>
      </c>
      <c r="AL12" s="1492"/>
      <c r="AM12" s="1492"/>
      <c r="AN12" s="1492"/>
      <c r="AO12" s="1492">
        <f>自持参数设置!C16</f>
        <v>0</v>
      </c>
      <c r="AP12" s="1492"/>
      <c r="AQ12" s="1492"/>
      <c r="AR12" s="1492"/>
      <c r="AS12" s="1492">
        <f>自持参数设置!C16</f>
        <v>0</v>
      </c>
      <c r="AT12" s="1492"/>
      <c r="AU12" s="1492"/>
      <c r="AV12" s="1492"/>
      <c r="AW12" s="1492">
        <f>自持参数设置!C16</f>
        <v>0</v>
      </c>
      <c r="AX12" s="1492"/>
      <c r="AY12" s="1492"/>
      <c r="AZ12" s="1492"/>
      <c r="BA12" s="1492">
        <f>自持参数设置!C16</f>
        <v>0</v>
      </c>
      <c r="BB12" s="1492"/>
      <c r="BC12" s="1492"/>
      <c r="BD12" s="1492"/>
      <c r="BE12" s="1492">
        <f>自持参数设置!C16</f>
        <v>0</v>
      </c>
      <c r="BF12" s="1492"/>
      <c r="BG12" s="1492"/>
      <c r="BH12" s="1492"/>
      <c r="BI12" s="1492">
        <f>自持参数设置!C16</f>
        <v>0</v>
      </c>
      <c r="BJ12" s="1492"/>
      <c r="BK12" s="1492"/>
      <c r="BL12" s="1492"/>
      <c r="BM12" s="1492">
        <f>自持参数设置!C16</f>
        <v>0</v>
      </c>
      <c r="BN12" s="1492"/>
      <c r="BO12" s="1492"/>
      <c r="BP12" s="1492"/>
      <c r="BQ12" s="1492">
        <f>自持参数设置!C16</f>
        <v>0</v>
      </c>
      <c r="BR12" s="1492"/>
      <c r="BS12" s="1492"/>
      <c r="BT12" s="1492"/>
      <c r="BU12" s="1492">
        <f>自持参数设置!C16</f>
        <v>0</v>
      </c>
      <c r="BV12" s="1492"/>
      <c r="BW12" s="1492"/>
      <c r="BX12" s="1492"/>
      <c r="BY12" s="1492">
        <f>自持参数设置!C16</f>
        <v>0</v>
      </c>
      <c r="BZ12" s="1492"/>
      <c r="CA12" s="1492"/>
      <c r="CB12" s="1492"/>
      <c r="CC12" s="1492">
        <f>自持参数设置!C16</f>
        <v>0</v>
      </c>
      <c r="CD12" s="1492"/>
      <c r="CE12" s="1492"/>
      <c r="CF12" s="1492"/>
      <c r="CG12" s="1492">
        <f>自持参数设置!C16</f>
        <v>0</v>
      </c>
      <c r="CH12" s="1492"/>
      <c r="CI12" s="1492"/>
      <c r="CJ12" s="1492"/>
      <c r="CK12" s="1492">
        <f>自持参数设置!C16</f>
        <v>0</v>
      </c>
      <c r="CL12" s="1492"/>
      <c r="CM12" s="1492"/>
      <c r="CN12" s="1492"/>
      <c r="CO12" s="1492">
        <f>自持参数设置!C16</f>
        <v>0</v>
      </c>
      <c r="CP12" s="1492"/>
      <c r="CQ12" s="1492"/>
      <c r="CR12" s="1492"/>
      <c r="CS12" s="1492">
        <f>自持参数设置!C16</f>
        <v>0</v>
      </c>
      <c r="CT12" s="1492"/>
      <c r="CU12" s="1492"/>
      <c r="CV12" s="1492"/>
      <c r="CW12" s="1492">
        <f>自持参数设置!C16</f>
        <v>0</v>
      </c>
      <c r="CX12" s="1492"/>
      <c r="CY12" s="1492"/>
      <c r="CZ12" s="1492"/>
      <c r="DA12" s="1492">
        <f>自持参数设置!C16</f>
        <v>0</v>
      </c>
      <c r="DB12" s="1492"/>
      <c r="DC12" s="1492"/>
      <c r="DD12" s="1492"/>
      <c r="DE12" s="1492">
        <f>自持参数设置!C16</f>
        <v>0</v>
      </c>
      <c r="DF12" s="1492"/>
      <c r="DG12" s="1492"/>
      <c r="DH12" s="1492"/>
      <c r="DI12" s="1492">
        <f>自持参数设置!C16</f>
        <v>0</v>
      </c>
      <c r="DJ12" s="1492"/>
      <c r="DK12" s="1492"/>
      <c r="DL12" s="1492"/>
      <c r="DM12" s="1492">
        <f>自持参数设置!C16</f>
        <v>0</v>
      </c>
      <c r="DN12" s="1492"/>
      <c r="DO12" s="1492"/>
      <c r="DP12" s="1492"/>
      <c r="DQ12" s="1492">
        <f>自持参数设置!C16</f>
        <v>0</v>
      </c>
      <c r="DR12" s="1492"/>
      <c r="DS12" s="1492"/>
      <c r="DT12" s="1492"/>
      <c r="DU12" s="1492">
        <f>自持参数设置!C16</f>
        <v>0</v>
      </c>
      <c r="DV12" s="1492"/>
      <c r="DW12" s="1492"/>
      <c r="DX12" s="1492"/>
      <c r="DY12" s="1492">
        <f>自持参数设置!C16</f>
        <v>0</v>
      </c>
      <c r="DZ12" s="1492"/>
      <c r="EA12" s="1492"/>
      <c r="EB12" s="1492"/>
      <c r="EC12" s="1492">
        <f>自持参数设置!C16</f>
        <v>0</v>
      </c>
      <c r="ED12" s="1492"/>
      <c r="EE12" s="1492"/>
      <c r="EF12" s="1492"/>
      <c r="EG12" s="1492">
        <f>自持参数设置!C16</f>
        <v>0</v>
      </c>
      <c r="EH12" s="1492"/>
      <c r="EI12" s="1492"/>
      <c r="EJ12" s="1492"/>
      <c r="EK12" s="1492">
        <f>自持参数设置!C16</f>
        <v>0</v>
      </c>
      <c r="EL12" s="1492"/>
      <c r="EM12" s="1492"/>
      <c r="EN12" s="1492"/>
      <c r="EO12" s="1492">
        <f>自持参数设置!C16</f>
        <v>0</v>
      </c>
      <c r="EP12" s="1492"/>
      <c r="EQ12" s="1492"/>
      <c r="ER12" s="1492"/>
      <c r="ES12" s="1492">
        <f>自持参数设置!C16</f>
        <v>0</v>
      </c>
      <c r="ET12" s="1492"/>
      <c r="EU12" s="1492"/>
      <c r="EV12" s="1492"/>
      <c r="EW12" s="1492">
        <f>自持参数设置!C16</f>
        <v>0</v>
      </c>
      <c r="EX12" s="1492"/>
      <c r="EY12" s="1492"/>
      <c r="EZ12" s="1492"/>
      <c r="FA12" s="1492">
        <f>自持参数设置!C16</f>
        <v>0</v>
      </c>
      <c r="FB12" s="1492"/>
      <c r="FC12" s="1492"/>
      <c r="FD12" s="1492"/>
      <c r="FE12" s="1492">
        <f>自持参数设置!C16</f>
        <v>0</v>
      </c>
      <c r="FF12" s="1492"/>
      <c r="FG12" s="1492"/>
      <c r="FH12" s="1492"/>
      <c r="FI12" s="1492"/>
      <c r="FJ12" s="1492"/>
      <c r="FK12" s="1492"/>
      <c r="FL12" s="1534"/>
      <c r="FM12" s="1552"/>
    </row>
    <row r="13" spans="1:169">
      <c r="A13" s="1739"/>
      <c r="B13" s="1739"/>
      <c r="C13" s="1486" t="s">
        <v>194</v>
      </c>
      <c r="D13" s="1486">
        <f>SUM(E13:FL13)</f>
        <v>0</v>
      </c>
      <c r="E13" s="1486">
        <f>E6*自持参数设置!C17</f>
        <v>0</v>
      </c>
      <c r="F13" s="1486">
        <f>F6*自持参数设置!C17</f>
        <v>0</v>
      </c>
      <c r="G13" s="1486">
        <f>G6*自持参数设置!C17</f>
        <v>0</v>
      </c>
      <c r="H13" s="1486">
        <f>H6*自持参数设置!C17</f>
        <v>0</v>
      </c>
      <c r="I13" s="1486">
        <f>I6*自持参数设置!C17</f>
        <v>0</v>
      </c>
      <c r="J13" s="1486">
        <f>J6*自持参数设置!C17</f>
        <v>0</v>
      </c>
      <c r="K13" s="1486">
        <f>K6*自持参数设置!C17</f>
        <v>0</v>
      </c>
      <c r="L13" s="1486">
        <f>L6*自持参数设置!C17</f>
        <v>0</v>
      </c>
      <c r="M13" s="1486">
        <f>M6*自持参数设置!C17</f>
        <v>0</v>
      </c>
      <c r="N13" s="1486">
        <f>N6*自持参数设置!C17</f>
        <v>0</v>
      </c>
      <c r="O13" s="1486">
        <f>O6*自持参数设置!C17</f>
        <v>0</v>
      </c>
      <c r="P13" s="1486">
        <f>P6*自持参数设置!C17</f>
        <v>0</v>
      </c>
      <c r="Q13" s="1486">
        <f>Q6*自持参数设置!C17</f>
        <v>0</v>
      </c>
      <c r="R13" s="1486">
        <f>R6*自持参数设置!C17</f>
        <v>0</v>
      </c>
      <c r="S13" s="1486">
        <f>S6*自持参数设置!C17</f>
        <v>0</v>
      </c>
      <c r="T13" s="1486">
        <f>T6*自持参数设置!C17</f>
        <v>0</v>
      </c>
      <c r="U13" s="1486">
        <f>U6*自持参数设置!C17</f>
        <v>0</v>
      </c>
      <c r="V13" s="1486">
        <f>V6*自持参数设置!C17</f>
        <v>0</v>
      </c>
      <c r="W13" s="1486">
        <f>W6*自持参数设置!C17</f>
        <v>0</v>
      </c>
      <c r="X13" s="1486">
        <f>X6*自持参数设置!C17</f>
        <v>0</v>
      </c>
      <c r="Y13" s="1486">
        <f>Y6*自持参数设置!C17</f>
        <v>0</v>
      </c>
      <c r="Z13" s="1486">
        <f>Z6*自持参数设置!C17</f>
        <v>0</v>
      </c>
      <c r="AA13" s="1486">
        <f>AA6*自持参数设置!C17</f>
        <v>0</v>
      </c>
      <c r="AB13" s="1486">
        <f>AB6*自持参数设置!C17</f>
        <v>0</v>
      </c>
      <c r="AC13" s="1486">
        <f>AC6*自持参数设置!C17</f>
        <v>0</v>
      </c>
      <c r="AD13" s="1486">
        <f>AD6*自持参数设置!C17</f>
        <v>0</v>
      </c>
      <c r="AE13" s="1486">
        <f>AE6*自持参数设置!C17</f>
        <v>0</v>
      </c>
      <c r="AF13" s="1486">
        <f>AF6*自持参数设置!C17</f>
        <v>0</v>
      </c>
      <c r="AG13" s="1486">
        <f>AG6*自持参数设置!C17</f>
        <v>0</v>
      </c>
      <c r="AH13" s="1486">
        <f>AH6*自持参数设置!C17</f>
        <v>0</v>
      </c>
      <c r="AI13" s="1486">
        <f>AI6*自持参数设置!C17</f>
        <v>0</v>
      </c>
      <c r="AJ13" s="1486">
        <f>AJ6*自持参数设置!C17</f>
        <v>0</v>
      </c>
      <c r="AK13" s="1486">
        <f>AK6*自持参数设置!C17</f>
        <v>0</v>
      </c>
      <c r="AL13" s="1486">
        <f>AL6*自持参数设置!C17</f>
        <v>0</v>
      </c>
      <c r="AM13" s="1486">
        <f>AM6*自持参数设置!C17</f>
        <v>0</v>
      </c>
      <c r="AN13" s="1486">
        <f>AN6*自持参数设置!C17</f>
        <v>0</v>
      </c>
      <c r="AO13" s="1486">
        <f>AO6*自持参数设置!C17</f>
        <v>0</v>
      </c>
      <c r="AP13" s="1486">
        <f>AP6*自持参数设置!C17</f>
        <v>0</v>
      </c>
      <c r="AQ13" s="1486">
        <f>AQ6*自持参数设置!C17</f>
        <v>0</v>
      </c>
      <c r="AR13" s="1486">
        <f>AR6*自持参数设置!C17</f>
        <v>0</v>
      </c>
      <c r="AS13" s="1486">
        <f>AS6*自持参数设置!C17</f>
        <v>0</v>
      </c>
      <c r="AT13" s="1486">
        <f>AT6*自持参数设置!C17</f>
        <v>0</v>
      </c>
      <c r="AU13" s="1486">
        <f>AU6*自持参数设置!C17</f>
        <v>0</v>
      </c>
      <c r="AV13" s="1486">
        <f>AV6*自持参数设置!C17</f>
        <v>0</v>
      </c>
      <c r="AW13" s="1486">
        <f>AW6*自持参数设置!C17</f>
        <v>0</v>
      </c>
      <c r="AX13" s="1486">
        <f>AX6*自持参数设置!C17</f>
        <v>0</v>
      </c>
      <c r="AY13" s="1486">
        <f>AY6*自持参数设置!C17</f>
        <v>0</v>
      </c>
      <c r="AZ13" s="1486">
        <f>AZ6*自持参数设置!C17</f>
        <v>0</v>
      </c>
      <c r="BA13" s="1486">
        <f>BA6*自持参数设置!C17</f>
        <v>0</v>
      </c>
      <c r="BB13" s="1486">
        <f>BB6*自持参数设置!C17</f>
        <v>0</v>
      </c>
      <c r="BC13" s="1486">
        <f>BC6*自持参数设置!C17</f>
        <v>0</v>
      </c>
      <c r="BD13" s="1486">
        <f>BD6*自持参数设置!C17</f>
        <v>0</v>
      </c>
      <c r="BE13" s="1486">
        <f>BE6*自持参数设置!C17</f>
        <v>0</v>
      </c>
      <c r="BF13" s="1486">
        <f>BF6*自持参数设置!C17</f>
        <v>0</v>
      </c>
      <c r="BG13" s="1486">
        <f>BG6*自持参数设置!C17</f>
        <v>0</v>
      </c>
      <c r="BH13" s="1486">
        <f>BH6*自持参数设置!C17</f>
        <v>0</v>
      </c>
      <c r="BI13" s="1486">
        <f>BI6*自持参数设置!C17</f>
        <v>0</v>
      </c>
      <c r="BJ13" s="1486">
        <f>BJ6*自持参数设置!C17</f>
        <v>0</v>
      </c>
      <c r="BK13" s="1486">
        <f>BK6*自持参数设置!C17</f>
        <v>0</v>
      </c>
      <c r="BL13" s="1486">
        <f>BL6*自持参数设置!C17</f>
        <v>0</v>
      </c>
      <c r="BM13" s="1486">
        <f>BM6*自持参数设置!C17</f>
        <v>0</v>
      </c>
      <c r="BN13" s="1486">
        <f>BN6*自持参数设置!C17</f>
        <v>0</v>
      </c>
      <c r="BO13" s="1486">
        <f>BO6*自持参数设置!C17</f>
        <v>0</v>
      </c>
      <c r="BP13" s="1486">
        <f>BP6*自持参数设置!C17</f>
        <v>0</v>
      </c>
      <c r="BQ13" s="1486">
        <f>BQ6*自持参数设置!C17</f>
        <v>0</v>
      </c>
      <c r="BR13" s="1486">
        <f>BR6*自持参数设置!C17</f>
        <v>0</v>
      </c>
      <c r="BS13" s="1486">
        <f>BS6*自持参数设置!C17</f>
        <v>0</v>
      </c>
      <c r="BT13" s="1486">
        <f>BT6*自持参数设置!C17</f>
        <v>0</v>
      </c>
      <c r="BU13" s="1486">
        <f>BU6*自持参数设置!C17</f>
        <v>0</v>
      </c>
      <c r="BV13" s="1486">
        <f>BV6*自持参数设置!C17</f>
        <v>0</v>
      </c>
      <c r="BW13" s="1486">
        <f>BW6*自持参数设置!C17</f>
        <v>0</v>
      </c>
      <c r="BX13" s="1486">
        <f>BX6*自持参数设置!C17</f>
        <v>0</v>
      </c>
      <c r="BY13" s="1486">
        <f>BY6*自持参数设置!C17</f>
        <v>0</v>
      </c>
      <c r="BZ13" s="1486">
        <f>BZ6*自持参数设置!C17</f>
        <v>0</v>
      </c>
      <c r="CA13" s="1486">
        <f>CA6*自持参数设置!C17</f>
        <v>0</v>
      </c>
      <c r="CB13" s="1486">
        <f>CB6*自持参数设置!C17</f>
        <v>0</v>
      </c>
      <c r="CC13" s="1486">
        <f>CC6*自持参数设置!C17</f>
        <v>0</v>
      </c>
      <c r="CD13" s="1486">
        <f>CD6*自持参数设置!C17</f>
        <v>0</v>
      </c>
      <c r="CE13" s="1486">
        <f>CE6*自持参数设置!C17</f>
        <v>0</v>
      </c>
      <c r="CF13" s="1486">
        <f>CF6*自持参数设置!C17</f>
        <v>0</v>
      </c>
      <c r="CG13" s="1486">
        <f>CG6*自持参数设置!C17</f>
        <v>0</v>
      </c>
      <c r="CH13" s="1486">
        <f>CH6*自持参数设置!C17</f>
        <v>0</v>
      </c>
      <c r="CI13" s="1486">
        <f>CI6*自持参数设置!C17</f>
        <v>0</v>
      </c>
      <c r="CJ13" s="1486">
        <f>CJ6*自持参数设置!C17</f>
        <v>0</v>
      </c>
      <c r="CK13" s="1486">
        <f>CK6*自持参数设置!C17</f>
        <v>0</v>
      </c>
      <c r="CL13" s="1486">
        <f>CL6*自持参数设置!C17</f>
        <v>0</v>
      </c>
      <c r="CM13" s="1486">
        <f>CM6*自持参数设置!C17</f>
        <v>0</v>
      </c>
      <c r="CN13" s="1486">
        <f>CN6*自持参数设置!C17</f>
        <v>0</v>
      </c>
      <c r="CO13" s="1486">
        <f>CO6*自持参数设置!C17</f>
        <v>0</v>
      </c>
      <c r="CP13" s="1486">
        <f>CP6*自持参数设置!C17</f>
        <v>0</v>
      </c>
      <c r="CQ13" s="1486">
        <f>CQ6*自持参数设置!C17</f>
        <v>0</v>
      </c>
      <c r="CR13" s="1486">
        <f>CR6*自持参数设置!C17</f>
        <v>0</v>
      </c>
      <c r="CS13" s="1486">
        <f>CS6*自持参数设置!C17</f>
        <v>0</v>
      </c>
      <c r="CT13" s="1486">
        <f>CT6*自持参数设置!C17</f>
        <v>0</v>
      </c>
      <c r="CU13" s="1486">
        <f>CU6*自持参数设置!C17</f>
        <v>0</v>
      </c>
      <c r="CV13" s="1486">
        <f>CV6*自持参数设置!C17</f>
        <v>0</v>
      </c>
      <c r="CW13" s="1486">
        <f>CW6*自持参数设置!C17</f>
        <v>0</v>
      </c>
      <c r="CX13" s="1486">
        <f>CX6*自持参数设置!C17</f>
        <v>0</v>
      </c>
      <c r="CY13" s="1486">
        <f>CY6*自持参数设置!C17</f>
        <v>0</v>
      </c>
      <c r="CZ13" s="1486">
        <f>CZ6*自持参数设置!C17</f>
        <v>0</v>
      </c>
      <c r="DA13" s="1486">
        <f>DA6*自持参数设置!C17</f>
        <v>0</v>
      </c>
      <c r="DB13" s="1486">
        <f>DB6*自持参数设置!C17</f>
        <v>0</v>
      </c>
      <c r="DC13" s="1486">
        <f>DC6*自持参数设置!C17</f>
        <v>0</v>
      </c>
      <c r="DD13" s="1486">
        <f>DD6*自持参数设置!C17</f>
        <v>0</v>
      </c>
      <c r="DE13" s="1486">
        <f>DE6*自持参数设置!C17</f>
        <v>0</v>
      </c>
      <c r="DF13" s="1486">
        <f>DF6*自持参数设置!C17</f>
        <v>0</v>
      </c>
      <c r="DG13" s="1486">
        <f>DG6*自持参数设置!C17</f>
        <v>0</v>
      </c>
      <c r="DH13" s="1486">
        <f>DH6*自持参数设置!C17</f>
        <v>0</v>
      </c>
      <c r="DI13" s="1486">
        <f>DI6*自持参数设置!C17</f>
        <v>0</v>
      </c>
      <c r="DJ13" s="1486">
        <f>DJ6*自持参数设置!C17</f>
        <v>0</v>
      </c>
      <c r="DK13" s="1486">
        <f>DK6*自持参数设置!C17</f>
        <v>0</v>
      </c>
      <c r="DL13" s="1486">
        <f>DL6*自持参数设置!C17</f>
        <v>0</v>
      </c>
      <c r="DM13" s="1486">
        <f>DM6*自持参数设置!C17</f>
        <v>0</v>
      </c>
      <c r="DN13" s="1486">
        <f>DN6*自持参数设置!C17</f>
        <v>0</v>
      </c>
      <c r="DO13" s="1486">
        <f>DO6*自持参数设置!C17</f>
        <v>0</v>
      </c>
      <c r="DP13" s="1486">
        <f>DP6*自持参数设置!C17</f>
        <v>0</v>
      </c>
      <c r="DQ13" s="1486">
        <f>DQ6*自持参数设置!C17</f>
        <v>0</v>
      </c>
      <c r="DR13" s="1486">
        <f>DR6*自持参数设置!C17</f>
        <v>0</v>
      </c>
      <c r="DS13" s="1486">
        <f>DS6*自持参数设置!C17</f>
        <v>0</v>
      </c>
      <c r="DT13" s="1486">
        <f>DT6*自持参数设置!C17</f>
        <v>0</v>
      </c>
      <c r="DU13" s="1486">
        <f>DU6*自持参数设置!C17</f>
        <v>0</v>
      </c>
      <c r="DV13" s="1486">
        <f>DV6*自持参数设置!C17</f>
        <v>0</v>
      </c>
      <c r="DW13" s="1486">
        <f>DW6*自持参数设置!C17</f>
        <v>0</v>
      </c>
      <c r="DX13" s="1486">
        <f>DX6*自持参数设置!C17</f>
        <v>0</v>
      </c>
      <c r="DY13" s="1486">
        <f>DY6*自持参数设置!C17</f>
        <v>0</v>
      </c>
      <c r="DZ13" s="1486">
        <f>DZ6*自持参数设置!C17</f>
        <v>0</v>
      </c>
      <c r="EA13" s="1486">
        <f>EA6*自持参数设置!C17</f>
        <v>0</v>
      </c>
      <c r="EB13" s="1486">
        <f>EB6*自持参数设置!C17</f>
        <v>0</v>
      </c>
      <c r="EC13" s="1486">
        <f>EC6*自持参数设置!C17</f>
        <v>0</v>
      </c>
      <c r="ED13" s="1486">
        <f>ED6*自持参数设置!C17</f>
        <v>0</v>
      </c>
      <c r="EE13" s="1486">
        <f>EE6*自持参数设置!C17</f>
        <v>0</v>
      </c>
      <c r="EF13" s="1486">
        <f>EF6*自持参数设置!C17</f>
        <v>0</v>
      </c>
      <c r="EG13" s="1486">
        <f>EG6*自持参数设置!C17</f>
        <v>0</v>
      </c>
      <c r="EH13" s="1486">
        <f>EH6*自持参数设置!C17</f>
        <v>0</v>
      </c>
      <c r="EI13" s="1486">
        <f>EI6*自持参数设置!C17</f>
        <v>0</v>
      </c>
      <c r="EJ13" s="1486">
        <f>EJ6*自持参数设置!C17</f>
        <v>0</v>
      </c>
      <c r="EK13" s="1486">
        <f>EK6*自持参数设置!C17</f>
        <v>0</v>
      </c>
      <c r="EL13" s="1486">
        <f>EL6*自持参数设置!C17</f>
        <v>0</v>
      </c>
      <c r="EM13" s="1486">
        <f>EM6*自持参数设置!C17</f>
        <v>0</v>
      </c>
      <c r="EN13" s="1486">
        <f>EN6*自持参数设置!C17</f>
        <v>0</v>
      </c>
      <c r="EO13" s="1486">
        <f>EO6*自持参数设置!C17</f>
        <v>0</v>
      </c>
      <c r="EP13" s="1486">
        <f>EP6*自持参数设置!C17</f>
        <v>0</v>
      </c>
      <c r="EQ13" s="1486">
        <f>EQ6*自持参数设置!C17</f>
        <v>0</v>
      </c>
      <c r="ER13" s="1486">
        <f>ER6*自持参数设置!C17</f>
        <v>0</v>
      </c>
      <c r="ES13" s="1486">
        <f>ES6*自持参数设置!C17</f>
        <v>0</v>
      </c>
      <c r="ET13" s="1486">
        <f>ET6*自持参数设置!C17</f>
        <v>0</v>
      </c>
      <c r="EU13" s="1486">
        <f>EU6*自持参数设置!C17</f>
        <v>0</v>
      </c>
      <c r="EV13" s="1486">
        <f>EV6*自持参数设置!C17</f>
        <v>0</v>
      </c>
      <c r="EW13" s="1486">
        <f>EW6*自持参数设置!C17</f>
        <v>0</v>
      </c>
      <c r="EX13" s="1486">
        <f>EX6*自持参数设置!C17</f>
        <v>0</v>
      </c>
      <c r="EY13" s="1486">
        <f>EY6*自持参数设置!C17</f>
        <v>0</v>
      </c>
      <c r="EZ13" s="1486">
        <f>EZ6*自持参数设置!C17</f>
        <v>0</v>
      </c>
      <c r="FA13" s="1486">
        <f>FA6*自持参数设置!C17</f>
        <v>0</v>
      </c>
      <c r="FB13" s="1486">
        <f>FB6*自持参数设置!C17</f>
        <v>0</v>
      </c>
      <c r="FC13" s="1486">
        <f>FC6*自持参数设置!C17</f>
        <v>0</v>
      </c>
      <c r="FD13" s="1486">
        <f>FD6*自持参数设置!C17</f>
        <v>0</v>
      </c>
      <c r="FE13" s="1486">
        <f>FE6*自持参数设置!C17</f>
        <v>0</v>
      </c>
      <c r="FF13" s="1486">
        <f>FF6*自持参数设置!C17</f>
        <v>0</v>
      </c>
      <c r="FG13" s="1486">
        <f>FG6*自持参数设置!C17</f>
        <v>0</v>
      </c>
      <c r="FH13" s="1486">
        <f>FH6*自持参数设置!C17</f>
        <v>0</v>
      </c>
      <c r="FI13" s="1486"/>
      <c r="FJ13" s="1486"/>
      <c r="FK13" s="1486"/>
      <c r="FL13" s="1486"/>
      <c r="FM13" s="1553"/>
    </row>
    <row r="14" spans="1:169" s="1478" customFormat="1">
      <c r="A14" s="1739"/>
      <c r="B14" s="1739"/>
      <c r="C14" s="1485" t="s">
        <v>195</v>
      </c>
      <c r="D14" s="1486">
        <f t="shared" ref="D14:D15" si="12">SUM(E14:FL14)</f>
        <v>0</v>
      </c>
      <c r="E14" s="1493">
        <f>E7*E11*自持参数设置!$C$18*3/10000</f>
        <v>0</v>
      </c>
      <c r="F14" s="1493">
        <f>F7*F11*自持参数设置!$C$18*3/10000</f>
        <v>0</v>
      </c>
      <c r="G14" s="1493">
        <f>G7*G11*自持参数设置!$C$18*3/10000</f>
        <v>0</v>
      </c>
      <c r="H14" s="1493">
        <f>H7*H11*自持参数设置!$C$18*3/10000</f>
        <v>0</v>
      </c>
      <c r="I14" s="1493">
        <f>I7*I11*自持参数设置!$C$18*3/10000</f>
        <v>0</v>
      </c>
      <c r="J14" s="1493">
        <f>J7*J11*自持参数设置!$C$18*3/10000</f>
        <v>0</v>
      </c>
      <c r="K14" s="1493">
        <f>K7*K11*自持参数设置!$C$18*3/10000</f>
        <v>0</v>
      </c>
      <c r="L14" s="1493">
        <f>L7*L11*自持参数设置!$C$18*3/10000</f>
        <v>0</v>
      </c>
      <c r="M14" s="1493">
        <f>M7*M11*自持参数设置!$C$18*3/10000</f>
        <v>0</v>
      </c>
      <c r="N14" s="1493">
        <f>N7*N11*自持参数设置!$C$18*3/10000</f>
        <v>0</v>
      </c>
      <c r="O14" s="1493">
        <f>O7*O11*自持参数设置!$C$18*3/10000</f>
        <v>0</v>
      </c>
      <c r="P14" s="1493">
        <f>P7*P11*自持参数设置!$C$18*3/10000</f>
        <v>0</v>
      </c>
      <c r="Q14" s="1493">
        <f>Q7*Q11*自持参数设置!$C$18*3/10000</f>
        <v>0</v>
      </c>
      <c r="R14" s="1493">
        <f>R7*R11*自持参数设置!$C$18*3/10000</f>
        <v>0</v>
      </c>
      <c r="S14" s="1493">
        <f>S7*S11*自持参数设置!$C$18*3/10000</f>
        <v>0</v>
      </c>
      <c r="T14" s="1493">
        <f>T7*T11*自持参数设置!$C$18*3/10000</f>
        <v>0</v>
      </c>
      <c r="U14" s="1493">
        <f>U7*U11*自持参数设置!$C$18*3/10000</f>
        <v>0</v>
      </c>
      <c r="V14" s="1493">
        <f>V7*V11*自持参数设置!$C$18*3/10000</f>
        <v>0</v>
      </c>
      <c r="W14" s="1493">
        <f>W7*W11*自持参数设置!$C$18*3/10000</f>
        <v>0</v>
      </c>
      <c r="X14" s="1493">
        <f>X7*X11*自持参数设置!$C$18*3/10000</f>
        <v>0</v>
      </c>
      <c r="Y14" s="1493">
        <f>Y7*Y11*自持参数设置!$C$18*3/10000</f>
        <v>0</v>
      </c>
      <c r="Z14" s="1493">
        <f>Z7*Z11*自持参数设置!$C$18*3/10000</f>
        <v>0</v>
      </c>
      <c r="AA14" s="1493">
        <f>AA7*AA11*自持参数设置!$C$18*3/10000</f>
        <v>0</v>
      </c>
      <c r="AB14" s="1493">
        <f>AB7*AB11*自持参数设置!$C$18*3/10000</f>
        <v>0</v>
      </c>
      <c r="AC14" s="1493">
        <f>AC7*AC11*自持参数设置!$C$18*3/10000</f>
        <v>0</v>
      </c>
      <c r="AD14" s="1493">
        <f>AD7*AD11*自持参数设置!$C$18*3/10000</f>
        <v>0</v>
      </c>
      <c r="AE14" s="1493">
        <f>AE7*AE11*自持参数设置!$C$18*3/10000</f>
        <v>0</v>
      </c>
      <c r="AF14" s="1493">
        <f>AF7*AF11*自持参数设置!$C$18*3/10000</f>
        <v>0</v>
      </c>
      <c r="AG14" s="1493">
        <f>AG7*AG11*自持参数设置!$C$18*3/10000</f>
        <v>0</v>
      </c>
      <c r="AH14" s="1493">
        <f>AH7*AH11*自持参数设置!$C$18*3/10000</f>
        <v>0</v>
      </c>
      <c r="AI14" s="1493">
        <f>AI7*AI11*自持参数设置!$C$18*3/10000</f>
        <v>0</v>
      </c>
      <c r="AJ14" s="1493">
        <f>AJ7*AJ11*自持参数设置!$C$18*3/10000</f>
        <v>0</v>
      </c>
      <c r="AK14" s="1493">
        <f>AK7*AK11*自持参数设置!$C$18*3/10000</f>
        <v>0</v>
      </c>
      <c r="AL14" s="1493">
        <f>AL7*AL11*自持参数设置!$C$18*3/10000</f>
        <v>0</v>
      </c>
      <c r="AM14" s="1493">
        <f>AM7*AM11*自持参数设置!$C$18*3/10000</f>
        <v>0</v>
      </c>
      <c r="AN14" s="1493">
        <f>AN7*AN11*自持参数设置!$C$18*3/10000</f>
        <v>0</v>
      </c>
      <c r="AO14" s="1493">
        <f>AO7*AO11*自持参数设置!$C$18*3/10000</f>
        <v>0</v>
      </c>
      <c r="AP14" s="1493">
        <f>AP7*AP11*自持参数设置!$C$18*3/10000</f>
        <v>0</v>
      </c>
      <c r="AQ14" s="1493">
        <f>AQ7*AQ11*自持参数设置!$C$18*3/10000</f>
        <v>0</v>
      </c>
      <c r="AR14" s="1493">
        <f>AR7*AR11*自持参数设置!$C$18*3/10000</f>
        <v>0</v>
      </c>
      <c r="AS14" s="1493">
        <f>AS7*AS11*自持参数设置!$C$18*3/10000</f>
        <v>0</v>
      </c>
      <c r="AT14" s="1493">
        <f>AT7*AT11*自持参数设置!$C$18*3/10000</f>
        <v>0</v>
      </c>
      <c r="AU14" s="1493">
        <f>AU7*AU11*自持参数设置!$C$18*3/10000</f>
        <v>0</v>
      </c>
      <c r="AV14" s="1493">
        <f>AV7*AV11*自持参数设置!$C$18*3/10000</f>
        <v>0</v>
      </c>
      <c r="AW14" s="1493">
        <f>AW7*AW11*自持参数设置!$C$18*3/10000</f>
        <v>0</v>
      </c>
      <c r="AX14" s="1493">
        <f>AX7*AX11*自持参数设置!$C$18*3/10000</f>
        <v>0</v>
      </c>
      <c r="AY14" s="1493">
        <f>AY7*AY11*自持参数设置!$C$18*3/10000</f>
        <v>0</v>
      </c>
      <c r="AZ14" s="1493">
        <f>AZ7*AZ11*自持参数设置!$C$18*3/10000</f>
        <v>0</v>
      </c>
      <c r="BA14" s="1493">
        <f>BA7*BA11*自持参数设置!$C$18*3/10000</f>
        <v>0</v>
      </c>
      <c r="BB14" s="1493">
        <f>BB7*BB11*自持参数设置!$C$18*3/10000</f>
        <v>0</v>
      </c>
      <c r="BC14" s="1493">
        <f>BC7*BC11*自持参数设置!$C$18*3/10000</f>
        <v>0</v>
      </c>
      <c r="BD14" s="1493">
        <f>BD7*BD11*自持参数设置!$C$18*3/10000</f>
        <v>0</v>
      </c>
      <c r="BE14" s="1493">
        <f>BE7*BE11*自持参数设置!$C$18*3/10000</f>
        <v>0</v>
      </c>
      <c r="BF14" s="1493">
        <f>BF7*BF11*自持参数设置!$C$18*3/10000</f>
        <v>0</v>
      </c>
      <c r="BG14" s="1493">
        <f>BG7*BG11*自持参数设置!$C$18*3/10000</f>
        <v>0</v>
      </c>
      <c r="BH14" s="1493">
        <f>BH7*BH11*自持参数设置!$C$18*3/10000</f>
        <v>0</v>
      </c>
      <c r="BI14" s="1493">
        <f>BI7*BI11*自持参数设置!$C$18*3/10000</f>
        <v>0</v>
      </c>
      <c r="BJ14" s="1493">
        <f>BJ7*BJ11*自持参数设置!$C$18*3/10000</f>
        <v>0</v>
      </c>
      <c r="BK14" s="1493">
        <f>BK7*BK11*自持参数设置!$C$18*3/10000</f>
        <v>0</v>
      </c>
      <c r="BL14" s="1493">
        <f>BL7*BL11*自持参数设置!$C$18*3/10000</f>
        <v>0</v>
      </c>
      <c r="BM14" s="1493">
        <f>BM7*BM11*自持参数设置!$C$18*3/10000</f>
        <v>0</v>
      </c>
      <c r="BN14" s="1493">
        <f>BN7*BN11*自持参数设置!$C$18*3/10000</f>
        <v>0</v>
      </c>
      <c r="BO14" s="1493">
        <f>BO7*BO11*自持参数设置!$C$18*3/10000</f>
        <v>0</v>
      </c>
      <c r="BP14" s="1493">
        <f>BP7*BP11*自持参数设置!$C$18*3/10000</f>
        <v>0</v>
      </c>
      <c r="BQ14" s="1493">
        <f>BQ7*BQ11*自持参数设置!$C$18*3/10000</f>
        <v>0</v>
      </c>
      <c r="BR14" s="1493">
        <f>BR7*BR11*自持参数设置!$C$18*3/10000</f>
        <v>0</v>
      </c>
      <c r="BS14" s="1493">
        <f>BS7*BS11*自持参数设置!$C$18*3/10000</f>
        <v>0</v>
      </c>
      <c r="BT14" s="1493">
        <f>BT7*BT11*自持参数设置!$C$18*3/10000</f>
        <v>0</v>
      </c>
      <c r="BU14" s="1493">
        <f>BU7*BU11*自持参数设置!$C$18*3/10000</f>
        <v>0</v>
      </c>
      <c r="BV14" s="1493">
        <f>BV7*BV11*自持参数设置!$C$18*3/10000</f>
        <v>0</v>
      </c>
      <c r="BW14" s="1493">
        <f>BW7*BW11*自持参数设置!$C$18*3/10000</f>
        <v>0</v>
      </c>
      <c r="BX14" s="1493">
        <f>BX7*BX11*自持参数设置!$C$18*3/10000</f>
        <v>0</v>
      </c>
      <c r="BY14" s="1493">
        <f>BY7*BY11*自持参数设置!$C$18*3/10000</f>
        <v>0</v>
      </c>
      <c r="BZ14" s="1493">
        <f>BZ7*BZ11*自持参数设置!$C$18*3/10000</f>
        <v>0</v>
      </c>
      <c r="CA14" s="1493">
        <f>CA7*CA11*自持参数设置!$C$18*3/10000</f>
        <v>0</v>
      </c>
      <c r="CB14" s="1493">
        <f>CB7*CB11*自持参数设置!$C$18*3/10000</f>
        <v>0</v>
      </c>
      <c r="CC14" s="1493">
        <f>CC7*CC11*自持参数设置!$C$18*3/10000</f>
        <v>0</v>
      </c>
      <c r="CD14" s="1493">
        <f>CD7*CD11*自持参数设置!$C$18*3/10000</f>
        <v>0</v>
      </c>
      <c r="CE14" s="1493">
        <f>CE7*CE11*自持参数设置!$C$18*3/10000</f>
        <v>0</v>
      </c>
      <c r="CF14" s="1493">
        <f>CF7*CF11*自持参数设置!$C$18*3/10000</f>
        <v>0</v>
      </c>
      <c r="CG14" s="1493">
        <f>CG7*CG11*自持参数设置!$C$18*3/10000</f>
        <v>0</v>
      </c>
      <c r="CH14" s="1493">
        <f>CH7*CH11*自持参数设置!$C$18*3/10000</f>
        <v>0</v>
      </c>
      <c r="CI14" s="1493">
        <f>CI7*CI11*自持参数设置!$C$18*3/10000</f>
        <v>0</v>
      </c>
      <c r="CJ14" s="1493">
        <f>CJ7*CJ11*自持参数设置!$C$18*3/10000</f>
        <v>0</v>
      </c>
      <c r="CK14" s="1493">
        <f>CK7*CK11*自持参数设置!$C$18*3/10000</f>
        <v>0</v>
      </c>
      <c r="CL14" s="1493">
        <f>CL7*CL11*自持参数设置!$C$18*3/10000</f>
        <v>0</v>
      </c>
      <c r="CM14" s="1493">
        <f>CM7*CM11*自持参数设置!$C$18*3/10000</f>
        <v>0</v>
      </c>
      <c r="CN14" s="1493">
        <f>CN7*CN11*自持参数设置!$C$18*3/10000</f>
        <v>0</v>
      </c>
      <c r="CO14" s="1493">
        <f>CO7*CO11*自持参数设置!$C$18*3/10000</f>
        <v>0</v>
      </c>
      <c r="CP14" s="1493">
        <f>CP7*CP11*自持参数设置!$C$18*3/10000</f>
        <v>0</v>
      </c>
      <c r="CQ14" s="1493">
        <f>CQ7*CQ11*自持参数设置!$C$18*3/10000</f>
        <v>0</v>
      </c>
      <c r="CR14" s="1493">
        <f>CR7*CR11*自持参数设置!$C$18*3/10000</f>
        <v>0</v>
      </c>
      <c r="CS14" s="1493">
        <f>CS7*CS11*自持参数设置!$C$18*3/10000</f>
        <v>0</v>
      </c>
      <c r="CT14" s="1493">
        <f>CT7*CT11*自持参数设置!$C$18*3/10000</f>
        <v>0</v>
      </c>
      <c r="CU14" s="1493">
        <f>CU7*CU11*自持参数设置!$C$18*3/10000</f>
        <v>0</v>
      </c>
      <c r="CV14" s="1493">
        <f>CV7*CV11*自持参数设置!$C$18*3/10000</f>
        <v>0</v>
      </c>
      <c r="CW14" s="1493">
        <f>CW7*CW11*自持参数设置!$C$18*3/10000</f>
        <v>0</v>
      </c>
      <c r="CX14" s="1493">
        <f>CX7*CX11*自持参数设置!$C$18*3/10000</f>
        <v>0</v>
      </c>
      <c r="CY14" s="1493">
        <f>CY7*CY11*自持参数设置!$C$18*3/10000</f>
        <v>0</v>
      </c>
      <c r="CZ14" s="1493">
        <f>CZ7*CZ11*自持参数设置!$C$18*3/10000</f>
        <v>0</v>
      </c>
      <c r="DA14" s="1493">
        <f>DA7*DA11*自持参数设置!$C$18*3/10000</f>
        <v>0</v>
      </c>
      <c r="DB14" s="1493">
        <f>DB7*DB11*自持参数设置!$C$18*3/10000</f>
        <v>0</v>
      </c>
      <c r="DC14" s="1493">
        <f>DC7*DC11*自持参数设置!$C$18*3/10000</f>
        <v>0</v>
      </c>
      <c r="DD14" s="1493">
        <f>DD7*DD11*自持参数设置!$C$18*3/10000</f>
        <v>0</v>
      </c>
      <c r="DE14" s="1493">
        <f>DE7*DE11*自持参数设置!$C$18*3/10000</f>
        <v>0</v>
      </c>
      <c r="DF14" s="1493">
        <f>DF7*DF11*自持参数设置!$C$18*3/10000</f>
        <v>0</v>
      </c>
      <c r="DG14" s="1493">
        <f>DG7*DG11*自持参数设置!$C$18*3/10000</f>
        <v>0</v>
      </c>
      <c r="DH14" s="1493">
        <f>DH7*DH11*自持参数设置!$C$18*3/10000</f>
        <v>0</v>
      </c>
      <c r="DI14" s="1493">
        <f>DI7*DI11*自持参数设置!$C$18*3/10000</f>
        <v>0</v>
      </c>
      <c r="DJ14" s="1493">
        <f>DJ7*DJ11*自持参数设置!$C$18*3/10000</f>
        <v>0</v>
      </c>
      <c r="DK14" s="1493">
        <f>DK7*DK11*自持参数设置!$C$18*3/10000</f>
        <v>0</v>
      </c>
      <c r="DL14" s="1493">
        <f>DL7*DL11*自持参数设置!$C$18*3/10000</f>
        <v>0</v>
      </c>
      <c r="DM14" s="1493">
        <f>DM7*DM11*自持参数设置!$C$18*3/10000</f>
        <v>0</v>
      </c>
      <c r="DN14" s="1493">
        <f>DN7*DN11*自持参数设置!$C$18*3/10000</f>
        <v>0</v>
      </c>
      <c r="DO14" s="1493">
        <f>DO7*DO11*自持参数设置!$C$18*3/10000</f>
        <v>0</v>
      </c>
      <c r="DP14" s="1493">
        <f>DP7*DP11*自持参数设置!$C$18*3/10000</f>
        <v>0</v>
      </c>
      <c r="DQ14" s="1493">
        <f>DQ7*DQ11*自持参数设置!$C$18*3/10000</f>
        <v>0</v>
      </c>
      <c r="DR14" s="1493">
        <f>DR7*DR11*自持参数设置!$C$18*3/10000</f>
        <v>0</v>
      </c>
      <c r="DS14" s="1493">
        <f>DS7*DS11*自持参数设置!$C$18*3/10000</f>
        <v>0</v>
      </c>
      <c r="DT14" s="1493">
        <f>DT7*DT11*自持参数设置!$C$18*3/10000</f>
        <v>0</v>
      </c>
      <c r="DU14" s="1493">
        <f>DU7*DU11*自持参数设置!$C$18*3/10000</f>
        <v>0</v>
      </c>
      <c r="DV14" s="1493">
        <f>DV7*DV11*自持参数设置!$C$18*3/10000</f>
        <v>0</v>
      </c>
      <c r="DW14" s="1493">
        <f>DW7*DW11*自持参数设置!$C$18*3/10000</f>
        <v>0</v>
      </c>
      <c r="DX14" s="1493">
        <f>DX7*DX11*自持参数设置!$C$18*3/10000</f>
        <v>0</v>
      </c>
      <c r="DY14" s="1493">
        <f>DY7*DY11*自持参数设置!$C$18*3/10000</f>
        <v>0</v>
      </c>
      <c r="DZ14" s="1493">
        <f>DZ7*DZ11*自持参数设置!$C$18*3/10000</f>
        <v>0</v>
      </c>
      <c r="EA14" s="1493">
        <f>EA7*EA11*自持参数设置!$C$18*3/10000</f>
        <v>0</v>
      </c>
      <c r="EB14" s="1493">
        <f>EB7*EB11*自持参数设置!$C$18*3/10000</f>
        <v>0</v>
      </c>
      <c r="EC14" s="1493">
        <f>EC7*EC11*自持参数设置!$C$18*3/10000</f>
        <v>0</v>
      </c>
      <c r="ED14" s="1493">
        <f>ED7*ED11*自持参数设置!$C$18*3/10000</f>
        <v>0</v>
      </c>
      <c r="EE14" s="1493">
        <f>EE7*EE11*自持参数设置!$C$18*3/10000</f>
        <v>0</v>
      </c>
      <c r="EF14" s="1493">
        <f>EF7*EF11*自持参数设置!$C$18*3/10000</f>
        <v>0</v>
      </c>
      <c r="EG14" s="1493">
        <f>EG7*EG11*自持参数设置!$C$18*3/10000</f>
        <v>0</v>
      </c>
      <c r="EH14" s="1493">
        <f>EH7*EH11*自持参数设置!$C$18*3/10000</f>
        <v>0</v>
      </c>
      <c r="EI14" s="1493">
        <f>EI7*EI11*自持参数设置!$C$18*3/10000</f>
        <v>0</v>
      </c>
      <c r="EJ14" s="1493">
        <f>EJ7*EJ11*自持参数设置!$C$18*3/10000</f>
        <v>0</v>
      </c>
      <c r="EK14" s="1493">
        <f>EK7*EK11*自持参数设置!$C$18*3/10000</f>
        <v>0</v>
      </c>
      <c r="EL14" s="1493">
        <f>EL7*EL11*自持参数设置!$C$18*3/10000</f>
        <v>0</v>
      </c>
      <c r="EM14" s="1493">
        <f>EM7*EM11*自持参数设置!$C$18*3/10000</f>
        <v>0</v>
      </c>
      <c r="EN14" s="1493">
        <f>EN7*EN11*自持参数设置!$C$18*3/10000</f>
        <v>0</v>
      </c>
      <c r="EO14" s="1493">
        <f>EO7*EO11*自持参数设置!$C$18*3/10000</f>
        <v>0</v>
      </c>
      <c r="EP14" s="1493">
        <f>EP7*EP11*自持参数设置!$C$18*3/10000</f>
        <v>0</v>
      </c>
      <c r="EQ14" s="1493">
        <f>EQ7*EQ11*自持参数设置!$C$18*3/10000</f>
        <v>0</v>
      </c>
      <c r="ER14" s="1493">
        <f>ER7*ER11*自持参数设置!$C$18*3/10000</f>
        <v>0</v>
      </c>
      <c r="ES14" s="1493">
        <f>ES7*ES11*自持参数设置!$C$18*3/10000</f>
        <v>0</v>
      </c>
      <c r="ET14" s="1493">
        <f>ET7*ET11*自持参数设置!$C$18*3/10000</f>
        <v>0</v>
      </c>
      <c r="EU14" s="1493">
        <f>EU7*EU11*自持参数设置!$C$18*3/10000</f>
        <v>0</v>
      </c>
      <c r="EV14" s="1493">
        <f>EV7*EV11*自持参数设置!$C$18*3/10000</f>
        <v>0</v>
      </c>
      <c r="EW14" s="1493">
        <f>EW7*EW11*自持参数设置!$C$18*3/10000</f>
        <v>0</v>
      </c>
      <c r="EX14" s="1493">
        <f>EX7*EX11*自持参数设置!$C$18*3/10000</f>
        <v>0</v>
      </c>
      <c r="EY14" s="1493">
        <f>EY7*EY11*自持参数设置!$C$18*3/10000</f>
        <v>0</v>
      </c>
      <c r="EZ14" s="1493">
        <f>EZ7*EZ11*自持参数设置!$C$18*3/10000</f>
        <v>0</v>
      </c>
      <c r="FA14" s="1493">
        <f>FA7*FA11*自持参数设置!$C$18*3/10000</f>
        <v>0</v>
      </c>
      <c r="FB14" s="1493">
        <f>FB7*FB11*自持参数设置!$C$18*3/10000</f>
        <v>0</v>
      </c>
      <c r="FC14" s="1493">
        <f>FC7*FC11*自持参数设置!$C$18*3/10000</f>
        <v>0</v>
      </c>
      <c r="FD14" s="1493">
        <f>FD7*FD11*自持参数设置!$C$18*3/10000</f>
        <v>0</v>
      </c>
      <c r="FE14" s="1493">
        <f>FE7*FE11*自持参数设置!$C$18*3/10000</f>
        <v>0</v>
      </c>
      <c r="FF14" s="1493">
        <f>FF7*FF11*自持参数设置!$C$18*3/10000</f>
        <v>0</v>
      </c>
      <c r="FG14" s="1493">
        <f>FG7*FG11*自持参数设置!$C$18*3/10000</f>
        <v>0</v>
      </c>
      <c r="FH14" s="1493">
        <f>FH7*FH11*自持参数设置!$C$18*3/10000</f>
        <v>0</v>
      </c>
      <c r="FI14" s="1498"/>
      <c r="FJ14" s="1498"/>
      <c r="FK14" s="1498"/>
      <c r="FL14" s="1535"/>
      <c r="FM14" s="1554"/>
    </row>
    <row r="15" spans="1:169">
      <c r="A15" s="1739"/>
      <c r="B15" s="1739"/>
      <c r="C15" s="1485" t="s">
        <v>196</v>
      </c>
      <c r="D15" s="1486">
        <f t="shared" si="12"/>
        <v>0</v>
      </c>
      <c r="E15" s="1494">
        <f>E6*自持参数设置!$C$19</f>
        <v>0</v>
      </c>
      <c r="F15" s="1494">
        <f>F6*自持参数设置!$C$19</f>
        <v>0</v>
      </c>
      <c r="G15" s="1494">
        <f>G6*自持参数设置!$C$19</f>
        <v>0</v>
      </c>
      <c r="H15" s="1494">
        <f>H6*自持参数设置!$C$19</f>
        <v>0</v>
      </c>
      <c r="I15" s="1494">
        <f>I6*自持参数设置!$C$19</f>
        <v>0</v>
      </c>
      <c r="J15" s="1494">
        <f>J6*自持参数设置!$C$19</f>
        <v>0</v>
      </c>
      <c r="K15" s="1494">
        <f>K6*自持参数设置!$C$19</f>
        <v>0</v>
      </c>
      <c r="L15" s="1494">
        <f>L6*自持参数设置!$C$19</f>
        <v>0</v>
      </c>
      <c r="M15" s="1494">
        <f>M6*自持参数设置!$C$19</f>
        <v>0</v>
      </c>
      <c r="N15" s="1494">
        <f>N6*自持参数设置!$C$19</f>
        <v>0</v>
      </c>
      <c r="O15" s="1494">
        <f>O6*自持参数设置!$C$19</f>
        <v>0</v>
      </c>
      <c r="P15" s="1494">
        <f>P6*自持参数设置!$C$19</f>
        <v>0</v>
      </c>
      <c r="Q15" s="1494">
        <f>Q6*自持参数设置!$C$19</f>
        <v>0</v>
      </c>
      <c r="R15" s="1494">
        <f>R6*自持参数设置!$C$19</f>
        <v>0</v>
      </c>
      <c r="S15" s="1494">
        <f>S6*自持参数设置!$C$19</f>
        <v>0</v>
      </c>
      <c r="T15" s="1494">
        <f>T6*自持参数设置!$C$19</f>
        <v>0</v>
      </c>
      <c r="U15" s="1494">
        <f>U6*自持参数设置!$C$19</f>
        <v>0</v>
      </c>
      <c r="V15" s="1494">
        <f>V6*自持参数设置!$C$19</f>
        <v>0</v>
      </c>
      <c r="W15" s="1494">
        <f>W6*自持参数设置!$C$19</f>
        <v>0</v>
      </c>
      <c r="X15" s="1494">
        <f>X6*自持参数设置!$C$19</f>
        <v>0</v>
      </c>
      <c r="Y15" s="1494">
        <f>Y6*自持参数设置!$C$19</f>
        <v>0</v>
      </c>
      <c r="Z15" s="1494">
        <f>Z6*自持参数设置!$C$19</f>
        <v>0</v>
      </c>
      <c r="AA15" s="1494">
        <f>AA6*自持参数设置!$C$19</f>
        <v>0</v>
      </c>
      <c r="AB15" s="1494">
        <f>AB6*自持参数设置!$C$19</f>
        <v>0</v>
      </c>
      <c r="AC15" s="1494">
        <f>AC6*自持参数设置!$C$19</f>
        <v>0</v>
      </c>
      <c r="AD15" s="1494">
        <f>AD6*自持参数设置!$C$19</f>
        <v>0</v>
      </c>
      <c r="AE15" s="1494">
        <f>AE6*自持参数设置!$C$19</f>
        <v>0</v>
      </c>
      <c r="AF15" s="1494">
        <f>AF6*自持参数设置!$C$19</f>
        <v>0</v>
      </c>
      <c r="AG15" s="1494">
        <f>AG6*自持参数设置!$C$19</f>
        <v>0</v>
      </c>
      <c r="AH15" s="1494">
        <f>AH6*自持参数设置!$C$19</f>
        <v>0</v>
      </c>
      <c r="AI15" s="1494">
        <f>AI6*自持参数设置!$C$19</f>
        <v>0</v>
      </c>
      <c r="AJ15" s="1494">
        <f>AJ6*自持参数设置!$C$19</f>
        <v>0</v>
      </c>
      <c r="AK15" s="1494">
        <f>AK6*自持参数设置!$C$19</f>
        <v>0</v>
      </c>
      <c r="AL15" s="1494">
        <f>AL6*自持参数设置!$C$19</f>
        <v>0</v>
      </c>
      <c r="AM15" s="1494">
        <f>AM6*自持参数设置!$C$19</f>
        <v>0</v>
      </c>
      <c r="AN15" s="1494">
        <f>AN6*自持参数设置!$C$19</f>
        <v>0</v>
      </c>
      <c r="AO15" s="1494">
        <f>AO6*自持参数设置!$C$19</f>
        <v>0</v>
      </c>
      <c r="AP15" s="1494">
        <f>AP6*自持参数设置!$C$19</f>
        <v>0</v>
      </c>
      <c r="AQ15" s="1494">
        <f>AQ6*自持参数设置!$C$19</f>
        <v>0</v>
      </c>
      <c r="AR15" s="1494">
        <f>AR6*自持参数设置!$C$19</f>
        <v>0</v>
      </c>
      <c r="AS15" s="1494">
        <f>AS6*自持参数设置!$C$19</f>
        <v>0</v>
      </c>
      <c r="AT15" s="1494">
        <f>AT6*自持参数设置!$C$19</f>
        <v>0</v>
      </c>
      <c r="AU15" s="1494">
        <f>AU6*自持参数设置!$C$19</f>
        <v>0</v>
      </c>
      <c r="AV15" s="1494">
        <f>AV6*自持参数设置!$C$19</f>
        <v>0</v>
      </c>
      <c r="AW15" s="1494">
        <f>AW6*自持参数设置!$C$19</f>
        <v>0</v>
      </c>
      <c r="AX15" s="1494">
        <f>AX6*自持参数设置!$C$19</f>
        <v>0</v>
      </c>
      <c r="AY15" s="1494">
        <f>AY6*自持参数设置!$C$19</f>
        <v>0</v>
      </c>
      <c r="AZ15" s="1494">
        <f>AZ6*自持参数设置!$C$19</f>
        <v>0</v>
      </c>
      <c r="BA15" s="1494">
        <f>BA6*自持参数设置!$C$19</f>
        <v>0</v>
      </c>
      <c r="BB15" s="1494">
        <f>BB6*自持参数设置!$C$19</f>
        <v>0</v>
      </c>
      <c r="BC15" s="1494">
        <f>BC6*自持参数设置!$C$19</f>
        <v>0</v>
      </c>
      <c r="BD15" s="1494">
        <f>BD6*自持参数设置!$C$19</f>
        <v>0</v>
      </c>
      <c r="BE15" s="1494">
        <f>BE6*自持参数设置!$C$19</f>
        <v>0</v>
      </c>
      <c r="BF15" s="1494">
        <f>BF6*自持参数设置!$C$19</f>
        <v>0</v>
      </c>
      <c r="BG15" s="1494">
        <f>BG6*自持参数设置!$C$19</f>
        <v>0</v>
      </c>
      <c r="BH15" s="1494">
        <f>BH6*自持参数设置!$C$19</f>
        <v>0</v>
      </c>
      <c r="BI15" s="1494">
        <f>BI6*自持参数设置!$C$19</f>
        <v>0</v>
      </c>
      <c r="BJ15" s="1494">
        <f>BJ6*自持参数设置!$C$19</f>
        <v>0</v>
      </c>
      <c r="BK15" s="1494">
        <f>BK6*自持参数设置!$C$19</f>
        <v>0</v>
      </c>
      <c r="BL15" s="1494">
        <f>BL6*自持参数设置!$C$19</f>
        <v>0</v>
      </c>
      <c r="BM15" s="1494">
        <f>BM6*自持参数设置!$C$19</f>
        <v>0</v>
      </c>
      <c r="BN15" s="1494">
        <f>BN6*自持参数设置!$C$19</f>
        <v>0</v>
      </c>
      <c r="BO15" s="1494">
        <f>BO6*自持参数设置!$C$19</f>
        <v>0</v>
      </c>
      <c r="BP15" s="1494">
        <f>BP6*自持参数设置!$C$19</f>
        <v>0</v>
      </c>
      <c r="BQ15" s="1494">
        <f>BQ6*自持参数设置!$C$19</f>
        <v>0</v>
      </c>
      <c r="BR15" s="1494">
        <f>BR6*自持参数设置!$C$19</f>
        <v>0</v>
      </c>
      <c r="BS15" s="1494">
        <f>BS6*自持参数设置!$C$19</f>
        <v>0</v>
      </c>
      <c r="BT15" s="1494">
        <f>BT6*自持参数设置!$C$19</f>
        <v>0</v>
      </c>
      <c r="BU15" s="1494">
        <f>BU6*自持参数设置!$C$19</f>
        <v>0</v>
      </c>
      <c r="BV15" s="1494">
        <f>BV6*自持参数设置!$C$19</f>
        <v>0</v>
      </c>
      <c r="BW15" s="1494">
        <f>BW6*自持参数设置!$C$19</f>
        <v>0</v>
      </c>
      <c r="BX15" s="1494">
        <f>BX6*自持参数设置!$C$19</f>
        <v>0</v>
      </c>
      <c r="BY15" s="1494">
        <f>BY6*自持参数设置!$C$19</f>
        <v>0</v>
      </c>
      <c r="BZ15" s="1494">
        <f>BZ6*自持参数设置!$C$19</f>
        <v>0</v>
      </c>
      <c r="CA15" s="1494">
        <f>CA6*自持参数设置!$C$19</f>
        <v>0</v>
      </c>
      <c r="CB15" s="1494">
        <f>CB6*自持参数设置!$C$19</f>
        <v>0</v>
      </c>
      <c r="CC15" s="1494">
        <f>CC6*自持参数设置!$C$19</f>
        <v>0</v>
      </c>
      <c r="CD15" s="1494">
        <f>CD6*自持参数设置!$C$19</f>
        <v>0</v>
      </c>
      <c r="CE15" s="1494">
        <f>CE6*自持参数设置!$C$19</f>
        <v>0</v>
      </c>
      <c r="CF15" s="1494">
        <f>CF6*自持参数设置!$C$19</f>
        <v>0</v>
      </c>
      <c r="CG15" s="1494">
        <f>CG6*自持参数设置!$C$19</f>
        <v>0</v>
      </c>
      <c r="CH15" s="1494">
        <f>CH6*自持参数设置!$C$19</f>
        <v>0</v>
      </c>
      <c r="CI15" s="1494">
        <f>CI6*自持参数设置!$C$19</f>
        <v>0</v>
      </c>
      <c r="CJ15" s="1494">
        <f>CJ6*自持参数设置!$C$19</f>
        <v>0</v>
      </c>
      <c r="CK15" s="1494">
        <f>CK6*自持参数设置!$C$19</f>
        <v>0</v>
      </c>
      <c r="CL15" s="1494">
        <f>CL6*自持参数设置!$C$19</f>
        <v>0</v>
      </c>
      <c r="CM15" s="1494">
        <f>CM6*自持参数设置!$C$19</f>
        <v>0</v>
      </c>
      <c r="CN15" s="1494">
        <f>CN6*自持参数设置!$C$19</f>
        <v>0</v>
      </c>
      <c r="CO15" s="1494">
        <f>CO6*自持参数设置!$C$19</f>
        <v>0</v>
      </c>
      <c r="CP15" s="1494">
        <f>CP6*自持参数设置!$C$19</f>
        <v>0</v>
      </c>
      <c r="CQ15" s="1494">
        <f>CQ6*自持参数设置!$C$19</f>
        <v>0</v>
      </c>
      <c r="CR15" s="1494">
        <f>CR6*自持参数设置!$C$19</f>
        <v>0</v>
      </c>
      <c r="CS15" s="1494">
        <f>CS6*自持参数设置!$C$19</f>
        <v>0</v>
      </c>
      <c r="CT15" s="1494">
        <f>CT6*自持参数设置!$C$19</f>
        <v>0</v>
      </c>
      <c r="CU15" s="1494">
        <f>CU6*自持参数设置!$C$19</f>
        <v>0</v>
      </c>
      <c r="CV15" s="1494">
        <f>CV6*自持参数设置!$C$19</f>
        <v>0</v>
      </c>
      <c r="CW15" s="1494">
        <f>CW6*自持参数设置!$C$19</f>
        <v>0</v>
      </c>
      <c r="CX15" s="1494">
        <f>CX6*自持参数设置!$C$19</f>
        <v>0</v>
      </c>
      <c r="CY15" s="1494">
        <f>CY6*自持参数设置!$C$19</f>
        <v>0</v>
      </c>
      <c r="CZ15" s="1494">
        <f>CZ6*自持参数设置!$C$19</f>
        <v>0</v>
      </c>
      <c r="DA15" s="1494">
        <f>DA6*自持参数设置!$C$19</f>
        <v>0</v>
      </c>
      <c r="DB15" s="1494">
        <f>DB6*自持参数设置!$C$19</f>
        <v>0</v>
      </c>
      <c r="DC15" s="1494">
        <f>DC6*自持参数设置!$C$19</f>
        <v>0</v>
      </c>
      <c r="DD15" s="1494">
        <f>DD6*自持参数设置!$C$19</f>
        <v>0</v>
      </c>
      <c r="DE15" s="1494">
        <f>DE6*自持参数设置!$C$19</f>
        <v>0</v>
      </c>
      <c r="DF15" s="1494">
        <f>DF6*自持参数设置!$C$19</f>
        <v>0</v>
      </c>
      <c r="DG15" s="1494">
        <f>DG6*自持参数设置!$C$19</f>
        <v>0</v>
      </c>
      <c r="DH15" s="1494">
        <f>DH6*自持参数设置!$C$19</f>
        <v>0</v>
      </c>
      <c r="DI15" s="1494">
        <f>DI6*自持参数设置!$C$19</f>
        <v>0</v>
      </c>
      <c r="DJ15" s="1494">
        <f>DJ6*自持参数设置!$C$19</f>
        <v>0</v>
      </c>
      <c r="DK15" s="1494">
        <f>DK6*自持参数设置!$C$19</f>
        <v>0</v>
      </c>
      <c r="DL15" s="1494">
        <f>DL6*自持参数设置!$C$19</f>
        <v>0</v>
      </c>
      <c r="DM15" s="1494">
        <f>DM6*自持参数设置!$C$19</f>
        <v>0</v>
      </c>
      <c r="DN15" s="1494">
        <f>DN6*自持参数设置!$C$19</f>
        <v>0</v>
      </c>
      <c r="DO15" s="1494">
        <f>DO6*自持参数设置!$C$19</f>
        <v>0</v>
      </c>
      <c r="DP15" s="1494">
        <f>DP6*自持参数设置!$C$19</f>
        <v>0</v>
      </c>
      <c r="DQ15" s="1494">
        <f>DQ6*自持参数设置!$C$19</f>
        <v>0</v>
      </c>
      <c r="DR15" s="1494">
        <f>DR6*自持参数设置!$C$19</f>
        <v>0</v>
      </c>
      <c r="DS15" s="1494">
        <f>DS6*自持参数设置!$C$19</f>
        <v>0</v>
      </c>
      <c r="DT15" s="1494">
        <f>DT6*自持参数设置!$C$19</f>
        <v>0</v>
      </c>
      <c r="DU15" s="1494">
        <f>DU6*自持参数设置!$C$19</f>
        <v>0</v>
      </c>
      <c r="DV15" s="1494">
        <f>DV6*自持参数设置!$C$19</f>
        <v>0</v>
      </c>
      <c r="DW15" s="1494">
        <f>DW6*自持参数设置!$C$19</f>
        <v>0</v>
      </c>
      <c r="DX15" s="1494">
        <f>DX6*自持参数设置!$C$19</f>
        <v>0</v>
      </c>
      <c r="DY15" s="1494">
        <f>DY6*自持参数设置!$C$19</f>
        <v>0</v>
      </c>
      <c r="DZ15" s="1494">
        <f>DZ6*自持参数设置!$C$19</f>
        <v>0</v>
      </c>
      <c r="EA15" s="1494">
        <f>EA6*自持参数设置!$C$19</f>
        <v>0</v>
      </c>
      <c r="EB15" s="1494">
        <f>EB6*自持参数设置!$C$19</f>
        <v>0</v>
      </c>
      <c r="EC15" s="1494">
        <f>EC6*自持参数设置!$C$19</f>
        <v>0</v>
      </c>
      <c r="ED15" s="1494">
        <f>ED6*自持参数设置!$C$19</f>
        <v>0</v>
      </c>
      <c r="EE15" s="1494">
        <f>EE6*自持参数设置!$C$19</f>
        <v>0</v>
      </c>
      <c r="EF15" s="1494">
        <f>EF6*自持参数设置!$C$19</f>
        <v>0</v>
      </c>
      <c r="EG15" s="1494">
        <f>EG6*自持参数设置!$C$19</f>
        <v>0</v>
      </c>
      <c r="EH15" s="1494">
        <f>EH6*自持参数设置!$C$19</f>
        <v>0</v>
      </c>
      <c r="EI15" s="1494">
        <f>EI6*自持参数设置!$C$19</f>
        <v>0</v>
      </c>
      <c r="EJ15" s="1494">
        <f>EJ6*自持参数设置!$C$19</f>
        <v>0</v>
      </c>
      <c r="EK15" s="1494">
        <f>EK6*自持参数设置!$C$19</f>
        <v>0</v>
      </c>
      <c r="EL15" s="1494">
        <f>EL6*自持参数设置!$C$19</f>
        <v>0</v>
      </c>
      <c r="EM15" s="1494">
        <f>EM6*自持参数设置!$C$19</f>
        <v>0</v>
      </c>
      <c r="EN15" s="1494">
        <f>EN6*自持参数设置!$C$19</f>
        <v>0</v>
      </c>
      <c r="EO15" s="1494">
        <f>EO6*自持参数设置!$C$19</f>
        <v>0</v>
      </c>
      <c r="EP15" s="1494">
        <f>EP6*自持参数设置!$C$19</f>
        <v>0</v>
      </c>
      <c r="EQ15" s="1494">
        <f>EQ6*自持参数设置!$C$19</f>
        <v>0</v>
      </c>
      <c r="ER15" s="1494">
        <f>ER6*自持参数设置!$C$19</f>
        <v>0</v>
      </c>
      <c r="ES15" s="1494">
        <f>ES6*自持参数设置!$C$19</f>
        <v>0</v>
      </c>
      <c r="ET15" s="1494">
        <f>ET6*自持参数设置!$C$19</f>
        <v>0</v>
      </c>
      <c r="EU15" s="1494">
        <f>EU6*自持参数设置!$C$19</f>
        <v>0</v>
      </c>
      <c r="EV15" s="1494">
        <f>EV6*自持参数设置!$C$19</f>
        <v>0</v>
      </c>
      <c r="EW15" s="1494">
        <f>EW6*自持参数设置!$C$19</f>
        <v>0</v>
      </c>
      <c r="EX15" s="1494">
        <f>EX6*自持参数设置!$C$19</f>
        <v>0</v>
      </c>
      <c r="EY15" s="1494">
        <f>EY6*自持参数设置!$C$19</f>
        <v>0</v>
      </c>
      <c r="EZ15" s="1494">
        <f>EZ6*自持参数设置!$C$19</f>
        <v>0</v>
      </c>
      <c r="FA15" s="1494">
        <f>FA6*自持参数设置!$C$19</f>
        <v>0</v>
      </c>
      <c r="FB15" s="1494">
        <f>FB6*自持参数设置!$C$19</f>
        <v>0</v>
      </c>
      <c r="FC15" s="1494">
        <f>FC6*自持参数设置!$C$19</f>
        <v>0</v>
      </c>
      <c r="FD15" s="1494">
        <f>FD6*自持参数设置!$C$19</f>
        <v>0</v>
      </c>
      <c r="FE15" s="1494">
        <f>FE6*自持参数设置!$C$19</f>
        <v>0</v>
      </c>
      <c r="FF15" s="1494">
        <f>FF6*自持参数设置!$C$19</f>
        <v>0</v>
      </c>
      <c r="FG15" s="1494">
        <f>FG6*自持参数设置!$C$19</f>
        <v>0</v>
      </c>
      <c r="FH15" s="1494">
        <f>FH6*自持参数设置!$C$19</f>
        <v>0</v>
      </c>
      <c r="FI15" s="1509"/>
      <c r="FJ15" s="1509"/>
      <c r="FK15" s="1509"/>
      <c r="FL15" s="1536"/>
      <c r="FM15" s="1553"/>
    </row>
    <row r="16" spans="1:169">
      <c r="A16" s="1739"/>
      <c r="B16" s="1743"/>
      <c r="C16" s="1495" t="s">
        <v>197</v>
      </c>
      <c r="D16" s="1496">
        <f>SUM(D6,D13,D14,D15)</f>
        <v>0</v>
      </c>
      <c r="E16" s="1496">
        <f>SUM(E6,E13,E14,E15)</f>
        <v>0</v>
      </c>
      <c r="F16" s="1496">
        <f>SUM(F6,F13,F14,F15)</f>
        <v>0</v>
      </c>
      <c r="G16" s="1496">
        <f>SUM(G6,G13,G14,G15)</f>
        <v>0</v>
      </c>
      <c r="H16" s="1496">
        <f>SUM(H6,H13,H14,H15)</f>
        <v>0</v>
      </c>
      <c r="I16" s="1496">
        <f t="shared" ref="I16:BR16" si="13">SUM(I6,I13,I14,I15)</f>
        <v>0</v>
      </c>
      <c r="J16" s="1496">
        <f t="shared" si="13"/>
        <v>0</v>
      </c>
      <c r="K16" s="1496">
        <f t="shared" si="13"/>
        <v>0</v>
      </c>
      <c r="L16" s="1496">
        <f t="shared" si="13"/>
        <v>0</v>
      </c>
      <c r="M16" s="1496">
        <f t="shared" si="13"/>
        <v>0</v>
      </c>
      <c r="N16" s="1496">
        <f t="shared" si="13"/>
        <v>0</v>
      </c>
      <c r="O16" s="1496">
        <f t="shared" si="13"/>
        <v>0</v>
      </c>
      <c r="P16" s="1496">
        <f t="shared" si="13"/>
        <v>0</v>
      </c>
      <c r="Q16" s="1496">
        <f t="shared" si="13"/>
        <v>0</v>
      </c>
      <c r="R16" s="1496">
        <f t="shared" si="13"/>
        <v>0</v>
      </c>
      <c r="S16" s="1496">
        <f t="shared" si="13"/>
        <v>0</v>
      </c>
      <c r="T16" s="1496">
        <f t="shared" si="13"/>
        <v>0</v>
      </c>
      <c r="U16" s="1496">
        <f t="shared" si="13"/>
        <v>0</v>
      </c>
      <c r="V16" s="1496">
        <f t="shared" si="13"/>
        <v>0</v>
      </c>
      <c r="W16" s="1496">
        <f t="shared" si="13"/>
        <v>0</v>
      </c>
      <c r="X16" s="1496">
        <f t="shared" si="13"/>
        <v>0</v>
      </c>
      <c r="Y16" s="1496">
        <f t="shared" si="13"/>
        <v>0</v>
      </c>
      <c r="Z16" s="1496">
        <f t="shared" si="13"/>
        <v>0</v>
      </c>
      <c r="AA16" s="1496">
        <f t="shared" si="13"/>
        <v>0</v>
      </c>
      <c r="AB16" s="1496">
        <f t="shared" si="13"/>
        <v>0</v>
      </c>
      <c r="AC16" s="1496">
        <f t="shared" si="13"/>
        <v>0</v>
      </c>
      <c r="AD16" s="1496">
        <f t="shared" si="13"/>
        <v>0</v>
      </c>
      <c r="AE16" s="1496">
        <f t="shared" si="13"/>
        <v>0</v>
      </c>
      <c r="AF16" s="1496">
        <f t="shared" si="13"/>
        <v>0</v>
      </c>
      <c r="AG16" s="1496">
        <f t="shared" si="13"/>
        <v>0</v>
      </c>
      <c r="AH16" s="1496">
        <f t="shared" si="13"/>
        <v>0</v>
      </c>
      <c r="AI16" s="1496">
        <f t="shared" si="13"/>
        <v>0</v>
      </c>
      <c r="AJ16" s="1496">
        <f t="shared" si="13"/>
        <v>0</v>
      </c>
      <c r="AK16" s="1496">
        <f t="shared" si="13"/>
        <v>0</v>
      </c>
      <c r="AL16" s="1496">
        <f t="shared" si="13"/>
        <v>0</v>
      </c>
      <c r="AM16" s="1496">
        <f t="shared" si="13"/>
        <v>0</v>
      </c>
      <c r="AN16" s="1496">
        <f t="shared" si="13"/>
        <v>0</v>
      </c>
      <c r="AO16" s="1496">
        <f t="shared" si="13"/>
        <v>0</v>
      </c>
      <c r="AP16" s="1496">
        <f t="shared" si="13"/>
        <v>0</v>
      </c>
      <c r="AQ16" s="1496">
        <f t="shared" si="13"/>
        <v>0</v>
      </c>
      <c r="AR16" s="1496">
        <f t="shared" si="13"/>
        <v>0</v>
      </c>
      <c r="AS16" s="1496">
        <f t="shared" si="13"/>
        <v>0</v>
      </c>
      <c r="AT16" s="1496">
        <f t="shared" si="13"/>
        <v>0</v>
      </c>
      <c r="AU16" s="1496">
        <f t="shared" si="13"/>
        <v>0</v>
      </c>
      <c r="AV16" s="1496">
        <f t="shared" si="13"/>
        <v>0</v>
      </c>
      <c r="AW16" s="1496">
        <f t="shared" si="13"/>
        <v>0</v>
      </c>
      <c r="AX16" s="1496">
        <f t="shared" si="13"/>
        <v>0</v>
      </c>
      <c r="AY16" s="1496">
        <f t="shared" si="13"/>
        <v>0</v>
      </c>
      <c r="AZ16" s="1496">
        <f t="shared" si="13"/>
        <v>0</v>
      </c>
      <c r="BA16" s="1496">
        <f t="shared" si="13"/>
        <v>0</v>
      </c>
      <c r="BB16" s="1496">
        <f t="shared" si="13"/>
        <v>0</v>
      </c>
      <c r="BC16" s="1496">
        <f t="shared" si="13"/>
        <v>0</v>
      </c>
      <c r="BD16" s="1496">
        <f t="shared" si="13"/>
        <v>0</v>
      </c>
      <c r="BE16" s="1496">
        <f t="shared" si="13"/>
        <v>0</v>
      </c>
      <c r="BF16" s="1496">
        <f t="shared" si="13"/>
        <v>0</v>
      </c>
      <c r="BG16" s="1496">
        <f t="shared" si="13"/>
        <v>0</v>
      </c>
      <c r="BH16" s="1496">
        <f t="shared" si="13"/>
        <v>0</v>
      </c>
      <c r="BI16" s="1496">
        <f t="shared" si="13"/>
        <v>0</v>
      </c>
      <c r="BJ16" s="1496">
        <f t="shared" si="13"/>
        <v>0</v>
      </c>
      <c r="BK16" s="1496">
        <f t="shared" si="13"/>
        <v>0</v>
      </c>
      <c r="BL16" s="1496">
        <f t="shared" si="13"/>
        <v>0</v>
      </c>
      <c r="BM16" s="1496">
        <f t="shared" si="13"/>
        <v>0</v>
      </c>
      <c r="BN16" s="1496">
        <f t="shared" si="13"/>
        <v>0</v>
      </c>
      <c r="BO16" s="1496">
        <f t="shared" si="13"/>
        <v>0</v>
      </c>
      <c r="BP16" s="1496">
        <f t="shared" si="13"/>
        <v>0</v>
      </c>
      <c r="BQ16" s="1496">
        <f t="shared" si="13"/>
        <v>0</v>
      </c>
      <c r="BR16" s="1496">
        <f t="shared" si="13"/>
        <v>0</v>
      </c>
      <c r="BS16" s="1496">
        <f t="shared" ref="BS16:ED16" si="14">SUM(BS6,BS13,BS14,BS15)</f>
        <v>0</v>
      </c>
      <c r="BT16" s="1496">
        <f t="shared" si="14"/>
        <v>0</v>
      </c>
      <c r="BU16" s="1496">
        <f t="shared" si="14"/>
        <v>0</v>
      </c>
      <c r="BV16" s="1496">
        <f t="shared" si="14"/>
        <v>0</v>
      </c>
      <c r="BW16" s="1496">
        <f t="shared" si="14"/>
        <v>0</v>
      </c>
      <c r="BX16" s="1496">
        <f t="shared" si="14"/>
        <v>0</v>
      </c>
      <c r="BY16" s="1496">
        <f t="shared" si="14"/>
        <v>0</v>
      </c>
      <c r="BZ16" s="1496">
        <f t="shared" si="14"/>
        <v>0</v>
      </c>
      <c r="CA16" s="1496">
        <f t="shared" si="14"/>
        <v>0</v>
      </c>
      <c r="CB16" s="1496">
        <f t="shared" si="14"/>
        <v>0</v>
      </c>
      <c r="CC16" s="1496">
        <f t="shared" si="14"/>
        <v>0</v>
      </c>
      <c r="CD16" s="1496">
        <f t="shared" si="14"/>
        <v>0</v>
      </c>
      <c r="CE16" s="1496">
        <f t="shared" si="14"/>
        <v>0</v>
      </c>
      <c r="CF16" s="1496">
        <f t="shared" si="14"/>
        <v>0</v>
      </c>
      <c r="CG16" s="1496">
        <f t="shared" si="14"/>
        <v>0</v>
      </c>
      <c r="CH16" s="1496">
        <f t="shared" si="14"/>
        <v>0</v>
      </c>
      <c r="CI16" s="1496">
        <f t="shared" si="14"/>
        <v>0</v>
      </c>
      <c r="CJ16" s="1496">
        <f t="shared" si="14"/>
        <v>0</v>
      </c>
      <c r="CK16" s="1496">
        <f t="shared" si="14"/>
        <v>0</v>
      </c>
      <c r="CL16" s="1496">
        <f t="shared" si="14"/>
        <v>0</v>
      </c>
      <c r="CM16" s="1496">
        <f t="shared" si="14"/>
        <v>0</v>
      </c>
      <c r="CN16" s="1496">
        <f t="shared" si="14"/>
        <v>0</v>
      </c>
      <c r="CO16" s="1496">
        <f t="shared" si="14"/>
        <v>0</v>
      </c>
      <c r="CP16" s="1496">
        <f t="shared" si="14"/>
        <v>0</v>
      </c>
      <c r="CQ16" s="1496">
        <f t="shared" si="14"/>
        <v>0</v>
      </c>
      <c r="CR16" s="1496">
        <f t="shared" si="14"/>
        <v>0</v>
      </c>
      <c r="CS16" s="1496">
        <f t="shared" si="14"/>
        <v>0</v>
      </c>
      <c r="CT16" s="1496">
        <f t="shared" si="14"/>
        <v>0</v>
      </c>
      <c r="CU16" s="1496">
        <f t="shared" si="14"/>
        <v>0</v>
      </c>
      <c r="CV16" s="1496">
        <f t="shared" si="14"/>
        <v>0</v>
      </c>
      <c r="CW16" s="1496">
        <f t="shared" si="14"/>
        <v>0</v>
      </c>
      <c r="CX16" s="1496">
        <f t="shared" si="14"/>
        <v>0</v>
      </c>
      <c r="CY16" s="1496">
        <f t="shared" si="14"/>
        <v>0</v>
      </c>
      <c r="CZ16" s="1496">
        <f t="shared" si="14"/>
        <v>0</v>
      </c>
      <c r="DA16" s="1496">
        <f t="shared" si="14"/>
        <v>0</v>
      </c>
      <c r="DB16" s="1496">
        <f t="shared" si="14"/>
        <v>0</v>
      </c>
      <c r="DC16" s="1496">
        <f t="shared" si="14"/>
        <v>0</v>
      </c>
      <c r="DD16" s="1496">
        <f t="shared" si="14"/>
        <v>0</v>
      </c>
      <c r="DE16" s="1496">
        <f t="shared" si="14"/>
        <v>0</v>
      </c>
      <c r="DF16" s="1496">
        <f t="shared" si="14"/>
        <v>0</v>
      </c>
      <c r="DG16" s="1496">
        <f t="shared" si="14"/>
        <v>0</v>
      </c>
      <c r="DH16" s="1496">
        <f t="shared" si="14"/>
        <v>0</v>
      </c>
      <c r="DI16" s="1496">
        <f t="shared" si="14"/>
        <v>0</v>
      </c>
      <c r="DJ16" s="1496">
        <f t="shared" si="14"/>
        <v>0</v>
      </c>
      <c r="DK16" s="1496">
        <f t="shared" si="14"/>
        <v>0</v>
      </c>
      <c r="DL16" s="1496">
        <f t="shared" si="14"/>
        <v>0</v>
      </c>
      <c r="DM16" s="1496">
        <f t="shared" si="14"/>
        <v>0</v>
      </c>
      <c r="DN16" s="1496">
        <f t="shared" si="14"/>
        <v>0</v>
      </c>
      <c r="DO16" s="1496">
        <f t="shared" si="14"/>
        <v>0</v>
      </c>
      <c r="DP16" s="1496">
        <f t="shared" si="14"/>
        <v>0</v>
      </c>
      <c r="DQ16" s="1496">
        <f t="shared" si="14"/>
        <v>0</v>
      </c>
      <c r="DR16" s="1496">
        <f t="shared" si="14"/>
        <v>0</v>
      </c>
      <c r="DS16" s="1496">
        <f t="shared" si="14"/>
        <v>0</v>
      </c>
      <c r="DT16" s="1496">
        <f t="shared" si="14"/>
        <v>0</v>
      </c>
      <c r="DU16" s="1496">
        <f t="shared" si="14"/>
        <v>0</v>
      </c>
      <c r="DV16" s="1496">
        <f t="shared" si="14"/>
        <v>0</v>
      </c>
      <c r="DW16" s="1496">
        <f t="shared" si="14"/>
        <v>0</v>
      </c>
      <c r="DX16" s="1496">
        <f t="shared" si="14"/>
        <v>0</v>
      </c>
      <c r="DY16" s="1496">
        <f t="shared" si="14"/>
        <v>0</v>
      </c>
      <c r="DZ16" s="1496">
        <f t="shared" si="14"/>
        <v>0</v>
      </c>
      <c r="EA16" s="1496">
        <f t="shared" si="14"/>
        <v>0</v>
      </c>
      <c r="EB16" s="1496">
        <f t="shared" si="14"/>
        <v>0</v>
      </c>
      <c r="EC16" s="1496">
        <f t="shared" si="14"/>
        <v>0</v>
      </c>
      <c r="ED16" s="1496">
        <f t="shared" si="14"/>
        <v>0</v>
      </c>
      <c r="EE16" s="1496">
        <f t="shared" ref="EE16:FH16" si="15">SUM(EE6,EE13,EE14,EE15)</f>
        <v>0</v>
      </c>
      <c r="EF16" s="1496">
        <f t="shared" si="15"/>
        <v>0</v>
      </c>
      <c r="EG16" s="1496">
        <f t="shared" si="15"/>
        <v>0</v>
      </c>
      <c r="EH16" s="1496">
        <f t="shared" si="15"/>
        <v>0</v>
      </c>
      <c r="EI16" s="1496">
        <f t="shared" si="15"/>
        <v>0</v>
      </c>
      <c r="EJ16" s="1496">
        <f t="shared" si="15"/>
        <v>0</v>
      </c>
      <c r="EK16" s="1496">
        <f t="shared" si="15"/>
        <v>0</v>
      </c>
      <c r="EL16" s="1496">
        <f t="shared" si="15"/>
        <v>0</v>
      </c>
      <c r="EM16" s="1496">
        <f t="shared" si="15"/>
        <v>0</v>
      </c>
      <c r="EN16" s="1496">
        <f t="shared" si="15"/>
        <v>0</v>
      </c>
      <c r="EO16" s="1496">
        <f t="shared" si="15"/>
        <v>0</v>
      </c>
      <c r="EP16" s="1496">
        <f t="shared" si="15"/>
        <v>0</v>
      </c>
      <c r="EQ16" s="1496">
        <f t="shared" si="15"/>
        <v>0</v>
      </c>
      <c r="ER16" s="1496">
        <f t="shared" si="15"/>
        <v>0</v>
      </c>
      <c r="ES16" s="1496">
        <f t="shared" si="15"/>
        <v>0</v>
      </c>
      <c r="ET16" s="1496">
        <f t="shared" si="15"/>
        <v>0</v>
      </c>
      <c r="EU16" s="1496">
        <f t="shared" si="15"/>
        <v>0</v>
      </c>
      <c r="EV16" s="1496">
        <f t="shared" si="15"/>
        <v>0</v>
      </c>
      <c r="EW16" s="1496">
        <f t="shared" si="15"/>
        <v>0</v>
      </c>
      <c r="EX16" s="1496">
        <f t="shared" si="15"/>
        <v>0</v>
      </c>
      <c r="EY16" s="1496">
        <f t="shared" si="15"/>
        <v>0</v>
      </c>
      <c r="EZ16" s="1496">
        <f t="shared" si="15"/>
        <v>0</v>
      </c>
      <c r="FA16" s="1496">
        <f t="shared" si="15"/>
        <v>0</v>
      </c>
      <c r="FB16" s="1496">
        <f t="shared" si="15"/>
        <v>0</v>
      </c>
      <c r="FC16" s="1496">
        <f t="shared" si="15"/>
        <v>0</v>
      </c>
      <c r="FD16" s="1496">
        <f t="shared" si="15"/>
        <v>0</v>
      </c>
      <c r="FE16" s="1496">
        <f t="shared" si="15"/>
        <v>0</v>
      </c>
      <c r="FF16" s="1496">
        <f t="shared" si="15"/>
        <v>0</v>
      </c>
      <c r="FG16" s="1496">
        <f t="shared" si="15"/>
        <v>0</v>
      </c>
      <c r="FH16" s="1496">
        <f t="shared" si="15"/>
        <v>0</v>
      </c>
      <c r="FI16" s="1496"/>
      <c r="FJ16" s="1496"/>
      <c r="FK16" s="1496"/>
      <c r="FL16" s="1537"/>
      <c r="FM16" s="1555"/>
    </row>
    <row r="17" spans="1:169">
      <c r="A17" s="1739"/>
      <c r="B17" s="1738" t="s">
        <v>198</v>
      </c>
      <c r="C17" s="1485" t="s">
        <v>199</v>
      </c>
      <c r="D17" s="1486">
        <f>SUM(E17:FL17)</f>
        <v>0</v>
      </c>
      <c r="E17" s="1490">
        <f>E16*自持参数设置!$C$20</f>
        <v>0</v>
      </c>
      <c r="F17" s="1490">
        <f>F16*自持参数设置!$C$20</f>
        <v>0</v>
      </c>
      <c r="G17" s="1490">
        <f>G16*自持参数设置!$C$20</f>
        <v>0</v>
      </c>
      <c r="H17" s="1490">
        <f>H16*自持参数设置!$C$20</f>
        <v>0</v>
      </c>
      <c r="I17" s="1490">
        <f>I16*自持参数设置!$C$20</f>
        <v>0</v>
      </c>
      <c r="J17" s="1490">
        <f>J16*自持参数设置!$C$20</f>
        <v>0</v>
      </c>
      <c r="K17" s="1490">
        <f>K16*自持参数设置!$C$20</f>
        <v>0</v>
      </c>
      <c r="L17" s="1490">
        <f>L16*自持参数设置!$C$20</f>
        <v>0</v>
      </c>
      <c r="M17" s="1490">
        <f>M16*自持参数设置!$C$20</f>
        <v>0</v>
      </c>
      <c r="N17" s="1490">
        <f>N16*自持参数设置!$C$20</f>
        <v>0</v>
      </c>
      <c r="O17" s="1490">
        <f>O16*自持参数设置!$C$20</f>
        <v>0</v>
      </c>
      <c r="P17" s="1490">
        <f>P16*自持参数设置!$C$20</f>
        <v>0</v>
      </c>
      <c r="Q17" s="1490">
        <f>Q16*自持参数设置!$C$20</f>
        <v>0</v>
      </c>
      <c r="R17" s="1490">
        <f>R16*自持参数设置!$C$20</f>
        <v>0</v>
      </c>
      <c r="S17" s="1490">
        <f>S16*自持参数设置!$C$20</f>
        <v>0</v>
      </c>
      <c r="T17" s="1490">
        <f>T16*自持参数设置!$C$20</f>
        <v>0</v>
      </c>
      <c r="U17" s="1490">
        <f>U16*自持参数设置!$C$20</f>
        <v>0</v>
      </c>
      <c r="V17" s="1490">
        <f>V16*自持参数设置!$C$20</f>
        <v>0</v>
      </c>
      <c r="W17" s="1490">
        <f>W16*自持参数设置!$C$20</f>
        <v>0</v>
      </c>
      <c r="X17" s="1490">
        <f>X16*自持参数设置!$C$20</f>
        <v>0</v>
      </c>
      <c r="Y17" s="1490">
        <f>Y16*自持参数设置!$C$20</f>
        <v>0</v>
      </c>
      <c r="Z17" s="1490">
        <f>Z16*自持参数设置!$C$20</f>
        <v>0</v>
      </c>
      <c r="AA17" s="1490">
        <f>AA16*自持参数设置!$C$20</f>
        <v>0</v>
      </c>
      <c r="AB17" s="1490">
        <f>AB16*自持参数设置!$C$20</f>
        <v>0</v>
      </c>
      <c r="AC17" s="1490">
        <f>AC16*自持参数设置!$C$20</f>
        <v>0</v>
      </c>
      <c r="AD17" s="1490">
        <f>AD16*自持参数设置!$C$20</f>
        <v>0</v>
      </c>
      <c r="AE17" s="1490">
        <f>AE16*自持参数设置!$C$20</f>
        <v>0</v>
      </c>
      <c r="AF17" s="1490">
        <f>AF16*自持参数设置!$C$20</f>
        <v>0</v>
      </c>
      <c r="AG17" s="1490">
        <f>AG16*自持参数设置!$C$20</f>
        <v>0</v>
      </c>
      <c r="AH17" s="1490">
        <f>AH16*自持参数设置!$C$20</f>
        <v>0</v>
      </c>
      <c r="AI17" s="1490">
        <f>AI16*自持参数设置!$C$20</f>
        <v>0</v>
      </c>
      <c r="AJ17" s="1490">
        <f>AJ16*自持参数设置!$C$20</f>
        <v>0</v>
      </c>
      <c r="AK17" s="1490">
        <f>AK16*自持参数设置!$C$20</f>
        <v>0</v>
      </c>
      <c r="AL17" s="1490">
        <f>AL16*自持参数设置!$C$20</f>
        <v>0</v>
      </c>
      <c r="AM17" s="1490">
        <f>AM16*自持参数设置!$C$20</f>
        <v>0</v>
      </c>
      <c r="AN17" s="1490">
        <f>AN16*自持参数设置!$C$20</f>
        <v>0</v>
      </c>
      <c r="AO17" s="1490">
        <f>AO16*自持参数设置!$C$20</f>
        <v>0</v>
      </c>
      <c r="AP17" s="1490">
        <f>AP16*自持参数设置!$C$20</f>
        <v>0</v>
      </c>
      <c r="AQ17" s="1490">
        <f>AQ16*自持参数设置!$C$20</f>
        <v>0</v>
      </c>
      <c r="AR17" s="1490">
        <f>AR16*自持参数设置!$C$20</f>
        <v>0</v>
      </c>
      <c r="AS17" s="1490">
        <f>AS16*自持参数设置!$C$20</f>
        <v>0</v>
      </c>
      <c r="AT17" s="1490">
        <f>AT16*自持参数设置!$C$20</f>
        <v>0</v>
      </c>
      <c r="AU17" s="1490">
        <f>AU16*自持参数设置!$C$20</f>
        <v>0</v>
      </c>
      <c r="AV17" s="1490">
        <f>AV16*自持参数设置!$C$20</f>
        <v>0</v>
      </c>
      <c r="AW17" s="1490">
        <f>AW16*自持参数设置!$C$20</f>
        <v>0</v>
      </c>
      <c r="AX17" s="1490">
        <f>AX16*自持参数设置!$C$20</f>
        <v>0</v>
      </c>
      <c r="AY17" s="1490">
        <f>AY16*自持参数设置!$C$20</f>
        <v>0</v>
      </c>
      <c r="AZ17" s="1490">
        <f>AZ16*自持参数设置!$C$20</f>
        <v>0</v>
      </c>
      <c r="BA17" s="1490">
        <f>BA16*自持参数设置!$C$20</f>
        <v>0</v>
      </c>
      <c r="BB17" s="1490">
        <f>BB16*自持参数设置!$C$20</f>
        <v>0</v>
      </c>
      <c r="BC17" s="1490">
        <f>BC16*自持参数设置!$C$20</f>
        <v>0</v>
      </c>
      <c r="BD17" s="1490">
        <f>BD16*自持参数设置!$C$20</f>
        <v>0</v>
      </c>
      <c r="BE17" s="1490">
        <f>BE16*自持参数设置!$C$20</f>
        <v>0</v>
      </c>
      <c r="BF17" s="1490">
        <f>BF16*自持参数设置!$C$20</f>
        <v>0</v>
      </c>
      <c r="BG17" s="1490">
        <f>BG16*自持参数设置!$C$20</f>
        <v>0</v>
      </c>
      <c r="BH17" s="1490">
        <f>BH16*自持参数设置!$C$20</f>
        <v>0</v>
      </c>
      <c r="BI17" s="1490">
        <f>BI16*自持参数设置!$C$20</f>
        <v>0</v>
      </c>
      <c r="BJ17" s="1490">
        <f>BJ16*自持参数设置!$C$20</f>
        <v>0</v>
      </c>
      <c r="BK17" s="1490">
        <f>BK16*自持参数设置!$C$20</f>
        <v>0</v>
      </c>
      <c r="BL17" s="1490">
        <f>BL16*自持参数设置!$C$20</f>
        <v>0</v>
      </c>
      <c r="BM17" s="1490">
        <f>BM16*自持参数设置!$C$20</f>
        <v>0</v>
      </c>
      <c r="BN17" s="1490">
        <f>BN16*自持参数设置!$C$20</f>
        <v>0</v>
      </c>
      <c r="BO17" s="1490">
        <f>BO16*自持参数设置!$C$20</f>
        <v>0</v>
      </c>
      <c r="BP17" s="1490">
        <f>BP16*自持参数设置!$C$20</f>
        <v>0</v>
      </c>
      <c r="BQ17" s="1490">
        <f>BQ16*自持参数设置!$C$20</f>
        <v>0</v>
      </c>
      <c r="BR17" s="1490">
        <f>BR16*自持参数设置!$C$20</f>
        <v>0</v>
      </c>
      <c r="BS17" s="1490">
        <f>BS16*自持参数设置!$C$20</f>
        <v>0</v>
      </c>
      <c r="BT17" s="1490">
        <f>BT16*自持参数设置!$C$20</f>
        <v>0</v>
      </c>
      <c r="BU17" s="1490">
        <f>BU16*自持参数设置!$C$20</f>
        <v>0</v>
      </c>
      <c r="BV17" s="1490">
        <f>BV16*自持参数设置!$C$20</f>
        <v>0</v>
      </c>
      <c r="BW17" s="1490">
        <f>BW16*自持参数设置!$C$20</f>
        <v>0</v>
      </c>
      <c r="BX17" s="1490">
        <f>BX16*自持参数设置!$C$20</f>
        <v>0</v>
      </c>
      <c r="BY17" s="1490">
        <f>BY16*自持参数设置!$C$20</f>
        <v>0</v>
      </c>
      <c r="BZ17" s="1490">
        <f>BZ16*自持参数设置!$C$20</f>
        <v>0</v>
      </c>
      <c r="CA17" s="1490">
        <f>CA16*自持参数设置!$C$20</f>
        <v>0</v>
      </c>
      <c r="CB17" s="1490">
        <f>CB16*自持参数设置!$C$20</f>
        <v>0</v>
      </c>
      <c r="CC17" s="1490">
        <f>CC16*自持参数设置!$C$20</f>
        <v>0</v>
      </c>
      <c r="CD17" s="1490">
        <f>CD16*自持参数设置!$C$20</f>
        <v>0</v>
      </c>
      <c r="CE17" s="1490">
        <f>CE16*自持参数设置!$C$20</f>
        <v>0</v>
      </c>
      <c r="CF17" s="1490">
        <f>CF16*自持参数设置!$C$20</f>
        <v>0</v>
      </c>
      <c r="CG17" s="1490">
        <f>CG16*自持参数设置!$C$20</f>
        <v>0</v>
      </c>
      <c r="CH17" s="1490">
        <f>CH16*自持参数设置!$C$20</f>
        <v>0</v>
      </c>
      <c r="CI17" s="1490">
        <f>CI16*自持参数设置!$C$20</f>
        <v>0</v>
      </c>
      <c r="CJ17" s="1490">
        <f>CJ16*自持参数设置!$C$20</f>
        <v>0</v>
      </c>
      <c r="CK17" s="1490">
        <f>CK16*自持参数设置!$C$20</f>
        <v>0</v>
      </c>
      <c r="CL17" s="1490">
        <f>CL16*自持参数设置!$C$20</f>
        <v>0</v>
      </c>
      <c r="CM17" s="1490">
        <f>CM16*自持参数设置!$C$20</f>
        <v>0</v>
      </c>
      <c r="CN17" s="1490">
        <f>CN16*自持参数设置!$C$20</f>
        <v>0</v>
      </c>
      <c r="CO17" s="1490">
        <f>CO16*自持参数设置!$C$20</f>
        <v>0</v>
      </c>
      <c r="CP17" s="1490">
        <f>CP16*自持参数设置!$C$20</f>
        <v>0</v>
      </c>
      <c r="CQ17" s="1490">
        <f>CQ16*自持参数设置!$C$20</f>
        <v>0</v>
      </c>
      <c r="CR17" s="1490">
        <f>CR16*自持参数设置!$C$20</f>
        <v>0</v>
      </c>
      <c r="CS17" s="1490">
        <f>CS16*自持参数设置!$C$20</f>
        <v>0</v>
      </c>
      <c r="CT17" s="1490">
        <f>CT16*自持参数设置!$C$20</f>
        <v>0</v>
      </c>
      <c r="CU17" s="1490">
        <f>CU16*自持参数设置!$C$20</f>
        <v>0</v>
      </c>
      <c r="CV17" s="1490">
        <f>CV16*自持参数设置!$C$20</f>
        <v>0</v>
      </c>
      <c r="CW17" s="1490">
        <f>CW16*自持参数设置!$C$20</f>
        <v>0</v>
      </c>
      <c r="CX17" s="1490">
        <f>CX16*自持参数设置!$C$20</f>
        <v>0</v>
      </c>
      <c r="CY17" s="1490">
        <f>CY16*自持参数设置!$C$20</f>
        <v>0</v>
      </c>
      <c r="CZ17" s="1490">
        <f>CZ16*自持参数设置!$C$20</f>
        <v>0</v>
      </c>
      <c r="DA17" s="1490">
        <f>DA16*自持参数设置!$C$20</f>
        <v>0</v>
      </c>
      <c r="DB17" s="1490">
        <f>DB16*自持参数设置!$C$20</f>
        <v>0</v>
      </c>
      <c r="DC17" s="1490">
        <f>DC16*自持参数设置!$C$20</f>
        <v>0</v>
      </c>
      <c r="DD17" s="1490">
        <f>DD16*自持参数设置!$C$20</f>
        <v>0</v>
      </c>
      <c r="DE17" s="1490">
        <f>DE16*自持参数设置!$C$20</f>
        <v>0</v>
      </c>
      <c r="DF17" s="1490">
        <f>DF16*自持参数设置!$C$20</f>
        <v>0</v>
      </c>
      <c r="DG17" s="1490">
        <f>DG16*自持参数设置!$C$20</f>
        <v>0</v>
      </c>
      <c r="DH17" s="1490">
        <f>DH16*自持参数设置!$C$20</f>
        <v>0</v>
      </c>
      <c r="DI17" s="1490">
        <f>DI16*自持参数设置!$C$20</f>
        <v>0</v>
      </c>
      <c r="DJ17" s="1490">
        <f>DJ16*自持参数设置!$C$20</f>
        <v>0</v>
      </c>
      <c r="DK17" s="1490">
        <f>DK16*自持参数设置!$C$20</f>
        <v>0</v>
      </c>
      <c r="DL17" s="1490">
        <f>DL16*自持参数设置!$C$20</f>
        <v>0</v>
      </c>
      <c r="DM17" s="1490">
        <f>DM16*自持参数设置!$C$20</f>
        <v>0</v>
      </c>
      <c r="DN17" s="1490">
        <f>DN16*自持参数设置!$C$20</f>
        <v>0</v>
      </c>
      <c r="DO17" s="1490">
        <f>DO16*自持参数设置!$C$20</f>
        <v>0</v>
      </c>
      <c r="DP17" s="1490">
        <f>DP16*自持参数设置!$C$20</f>
        <v>0</v>
      </c>
      <c r="DQ17" s="1490">
        <f>DQ16*自持参数设置!$C$20</f>
        <v>0</v>
      </c>
      <c r="DR17" s="1490">
        <f>DR16*自持参数设置!$C$20</f>
        <v>0</v>
      </c>
      <c r="DS17" s="1490">
        <f>DS16*自持参数设置!$C$20</f>
        <v>0</v>
      </c>
      <c r="DT17" s="1490">
        <f>DT16*自持参数设置!$C$20</f>
        <v>0</v>
      </c>
      <c r="DU17" s="1490">
        <f>DU16*自持参数设置!$C$20</f>
        <v>0</v>
      </c>
      <c r="DV17" s="1490">
        <f>DV16*自持参数设置!$C$20</f>
        <v>0</v>
      </c>
      <c r="DW17" s="1490">
        <f>DW16*自持参数设置!$C$20</f>
        <v>0</v>
      </c>
      <c r="DX17" s="1490">
        <f>DX16*自持参数设置!$C$20</f>
        <v>0</v>
      </c>
      <c r="DY17" s="1490">
        <f>DY16*自持参数设置!$C$20</f>
        <v>0</v>
      </c>
      <c r="DZ17" s="1490">
        <f>DZ16*自持参数设置!$C$20</f>
        <v>0</v>
      </c>
      <c r="EA17" s="1490">
        <f>EA16*自持参数设置!$C$20</f>
        <v>0</v>
      </c>
      <c r="EB17" s="1490">
        <f>EB16*自持参数设置!$C$20</f>
        <v>0</v>
      </c>
      <c r="EC17" s="1490">
        <f>EC16*自持参数设置!$C$20</f>
        <v>0</v>
      </c>
      <c r="ED17" s="1490">
        <f>ED16*自持参数设置!$C$20</f>
        <v>0</v>
      </c>
      <c r="EE17" s="1490">
        <f>EE16*自持参数设置!$C$20</f>
        <v>0</v>
      </c>
      <c r="EF17" s="1490">
        <f>EF16*自持参数设置!$C$20</f>
        <v>0</v>
      </c>
      <c r="EG17" s="1490">
        <f>EG16*自持参数设置!$C$20</f>
        <v>0</v>
      </c>
      <c r="EH17" s="1490">
        <f>EH16*自持参数设置!$C$20</f>
        <v>0</v>
      </c>
      <c r="EI17" s="1490">
        <f>EI16*自持参数设置!$C$20</f>
        <v>0</v>
      </c>
      <c r="EJ17" s="1490">
        <f>EJ16*自持参数设置!$C$20</f>
        <v>0</v>
      </c>
      <c r="EK17" s="1490">
        <f>EK16*自持参数设置!$C$20</f>
        <v>0</v>
      </c>
      <c r="EL17" s="1490">
        <f>EL16*自持参数设置!$C$20</f>
        <v>0</v>
      </c>
      <c r="EM17" s="1490">
        <f>EM16*自持参数设置!$C$20</f>
        <v>0</v>
      </c>
      <c r="EN17" s="1490">
        <f>EN16*自持参数设置!$C$20</f>
        <v>0</v>
      </c>
      <c r="EO17" s="1490">
        <f>EO16*自持参数设置!$C$20</f>
        <v>0</v>
      </c>
      <c r="EP17" s="1490">
        <f>EP16*自持参数设置!$C$20</f>
        <v>0</v>
      </c>
      <c r="EQ17" s="1490">
        <f>EQ16*自持参数设置!$C$20</f>
        <v>0</v>
      </c>
      <c r="ER17" s="1490">
        <f>ER16*自持参数设置!$C$20</f>
        <v>0</v>
      </c>
      <c r="ES17" s="1490">
        <f>ES16*自持参数设置!$C$20</f>
        <v>0</v>
      </c>
      <c r="ET17" s="1490">
        <f>ET16*自持参数设置!$C$20</f>
        <v>0</v>
      </c>
      <c r="EU17" s="1490">
        <f>EU16*自持参数设置!$C$20</f>
        <v>0</v>
      </c>
      <c r="EV17" s="1490">
        <f>EV16*自持参数设置!$C$20</f>
        <v>0</v>
      </c>
      <c r="EW17" s="1490">
        <f>EW16*自持参数设置!$C$20</f>
        <v>0</v>
      </c>
      <c r="EX17" s="1490">
        <f>EX16*自持参数设置!$C$20</f>
        <v>0</v>
      </c>
      <c r="EY17" s="1490">
        <f>EY16*自持参数设置!$C$20</f>
        <v>0</v>
      </c>
      <c r="EZ17" s="1490">
        <f>EZ16*自持参数设置!$C$20</f>
        <v>0</v>
      </c>
      <c r="FA17" s="1490">
        <f>FA16*自持参数设置!$C$20</f>
        <v>0</v>
      </c>
      <c r="FB17" s="1490">
        <f>FB16*自持参数设置!$C$20</f>
        <v>0</v>
      </c>
      <c r="FC17" s="1490">
        <f>FC16*自持参数设置!$C$20</f>
        <v>0</v>
      </c>
      <c r="FD17" s="1490">
        <f>FD16*自持参数设置!$C$20</f>
        <v>0</v>
      </c>
      <c r="FE17" s="1490">
        <f>FE16*自持参数设置!$C$20</f>
        <v>0</v>
      </c>
      <c r="FF17" s="1490">
        <f>FF16*自持参数设置!$C$20</f>
        <v>0</v>
      </c>
      <c r="FG17" s="1490">
        <f>FG16*自持参数设置!$C$20</f>
        <v>0</v>
      </c>
      <c r="FH17" s="1490">
        <f>FH16*自持参数设置!$C$20</f>
        <v>0</v>
      </c>
      <c r="FI17" s="1509"/>
      <c r="FJ17" s="1509"/>
      <c r="FK17" s="1509"/>
      <c r="FL17" s="1536"/>
      <c r="FM17" s="1553"/>
    </row>
    <row r="18" spans="1:169">
      <c r="A18" s="1739"/>
      <c r="B18" s="1739"/>
      <c r="C18" s="1485" t="s">
        <v>200</v>
      </c>
      <c r="D18" s="1486">
        <f t="shared" ref="D18" si="16">SUM(E18:FL18)</f>
        <v>0</v>
      </c>
      <c r="E18" s="1497">
        <f>E16*自持参数设置!$C$21</f>
        <v>0</v>
      </c>
      <c r="F18" s="1497">
        <f>F16*自持参数设置!$C$21</f>
        <v>0</v>
      </c>
      <c r="G18" s="1497">
        <f>G16*自持参数设置!$C$21</f>
        <v>0</v>
      </c>
      <c r="H18" s="1497">
        <f>H16*自持参数设置!$C$21</f>
        <v>0</v>
      </c>
      <c r="I18" s="1497">
        <f>I16*自持参数设置!$C$21</f>
        <v>0</v>
      </c>
      <c r="J18" s="1497">
        <f>J16*自持参数设置!$C$21</f>
        <v>0</v>
      </c>
      <c r="K18" s="1497">
        <f>K16*自持参数设置!$C$21</f>
        <v>0</v>
      </c>
      <c r="L18" s="1497">
        <f>L16*自持参数设置!$C$21</f>
        <v>0</v>
      </c>
      <c r="M18" s="1497">
        <f>M16*自持参数设置!$C$21</f>
        <v>0</v>
      </c>
      <c r="N18" s="1497">
        <f>N16*自持参数设置!$C$21</f>
        <v>0</v>
      </c>
      <c r="O18" s="1497">
        <f>O16*自持参数设置!$C$21</f>
        <v>0</v>
      </c>
      <c r="P18" s="1497">
        <f>P16*自持参数设置!$C$21</f>
        <v>0</v>
      </c>
      <c r="Q18" s="1497">
        <f>Q16*自持参数设置!$C$21</f>
        <v>0</v>
      </c>
      <c r="R18" s="1497">
        <f>R16*自持参数设置!$C$21</f>
        <v>0</v>
      </c>
      <c r="S18" s="1497">
        <f>S16*自持参数设置!$C$21</f>
        <v>0</v>
      </c>
      <c r="T18" s="1497">
        <f>T16*自持参数设置!$C$21</f>
        <v>0</v>
      </c>
      <c r="U18" s="1497">
        <f>U16*自持参数设置!$C$21</f>
        <v>0</v>
      </c>
      <c r="V18" s="1497">
        <f>V16*自持参数设置!$C$21</f>
        <v>0</v>
      </c>
      <c r="W18" s="1497">
        <f>W16*自持参数设置!$C$21</f>
        <v>0</v>
      </c>
      <c r="X18" s="1497">
        <f>X16*自持参数设置!$C$21</f>
        <v>0</v>
      </c>
      <c r="Y18" s="1497">
        <f>Y16*自持参数设置!$C$21</f>
        <v>0</v>
      </c>
      <c r="Z18" s="1497">
        <f>Z16*自持参数设置!$C$21</f>
        <v>0</v>
      </c>
      <c r="AA18" s="1497">
        <f>AA16*自持参数设置!$C$21</f>
        <v>0</v>
      </c>
      <c r="AB18" s="1497">
        <f>AB16*自持参数设置!$C$21</f>
        <v>0</v>
      </c>
      <c r="AC18" s="1497">
        <f>AC16*自持参数设置!$C$21</f>
        <v>0</v>
      </c>
      <c r="AD18" s="1497">
        <f>AD16*自持参数设置!$C$21</f>
        <v>0</v>
      </c>
      <c r="AE18" s="1497">
        <f>AE16*自持参数设置!$C$21</f>
        <v>0</v>
      </c>
      <c r="AF18" s="1497">
        <f>AF16*自持参数设置!$C$21</f>
        <v>0</v>
      </c>
      <c r="AG18" s="1497">
        <f>AG16*自持参数设置!$C$21</f>
        <v>0</v>
      </c>
      <c r="AH18" s="1497">
        <f>AH16*自持参数设置!$C$21</f>
        <v>0</v>
      </c>
      <c r="AI18" s="1497">
        <f>AI16*自持参数设置!$C$21</f>
        <v>0</v>
      </c>
      <c r="AJ18" s="1497">
        <f>AJ16*自持参数设置!$C$21</f>
        <v>0</v>
      </c>
      <c r="AK18" s="1497">
        <f>AK16*自持参数设置!$C$21</f>
        <v>0</v>
      </c>
      <c r="AL18" s="1497">
        <f>AL16*自持参数设置!$C$21</f>
        <v>0</v>
      </c>
      <c r="AM18" s="1497">
        <f>AM16*自持参数设置!$C$21</f>
        <v>0</v>
      </c>
      <c r="AN18" s="1497">
        <f>AN16*自持参数设置!$C$21</f>
        <v>0</v>
      </c>
      <c r="AO18" s="1497">
        <f>AO16*自持参数设置!$C$21</f>
        <v>0</v>
      </c>
      <c r="AP18" s="1497">
        <f>AP16*自持参数设置!$C$21</f>
        <v>0</v>
      </c>
      <c r="AQ18" s="1497">
        <f>AQ16*自持参数设置!$C$21</f>
        <v>0</v>
      </c>
      <c r="AR18" s="1497">
        <f>AR16*自持参数设置!$C$21</f>
        <v>0</v>
      </c>
      <c r="AS18" s="1497">
        <f>AS16*自持参数设置!$C$21</f>
        <v>0</v>
      </c>
      <c r="AT18" s="1497">
        <f>AT16*自持参数设置!$C$21</f>
        <v>0</v>
      </c>
      <c r="AU18" s="1497">
        <f>AU16*自持参数设置!$C$21</f>
        <v>0</v>
      </c>
      <c r="AV18" s="1497">
        <f>AV16*自持参数设置!$C$21</f>
        <v>0</v>
      </c>
      <c r="AW18" s="1497">
        <f>AW16*自持参数设置!$C$21</f>
        <v>0</v>
      </c>
      <c r="AX18" s="1497">
        <f>AX16*自持参数设置!$C$21</f>
        <v>0</v>
      </c>
      <c r="AY18" s="1497">
        <f>AY16*自持参数设置!$C$21</f>
        <v>0</v>
      </c>
      <c r="AZ18" s="1497">
        <f>AZ16*自持参数设置!$C$21</f>
        <v>0</v>
      </c>
      <c r="BA18" s="1497">
        <f>BA16*自持参数设置!$C$21</f>
        <v>0</v>
      </c>
      <c r="BB18" s="1497">
        <f>BB16*自持参数设置!$C$21</f>
        <v>0</v>
      </c>
      <c r="BC18" s="1497">
        <f>BC16*自持参数设置!$C$21</f>
        <v>0</v>
      </c>
      <c r="BD18" s="1497">
        <f>BD16*自持参数设置!$C$21</f>
        <v>0</v>
      </c>
      <c r="BE18" s="1497">
        <f>BE16*自持参数设置!$C$21</f>
        <v>0</v>
      </c>
      <c r="BF18" s="1497">
        <f>BF16*自持参数设置!$C$21</f>
        <v>0</v>
      </c>
      <c r="BG18" s="1497">
        <f>BG16*自持参数设置!$C$21</f>
        <v>0</v>
      </c>
      <c r="BH18" s="1497">
        <f>BH16*自持参数设置!$C$21</f>
        <v>0</v>
      </c>
      <c r="BI18" s="1497">
        <f>BI16*自持参数设置!$C$21</f>
        <v>0</v>
      </c>
      <c r="BJ18" s="1497">
        <f>BJ16*自持参数设置!$C$21</f>
        <v>0</v>
      </c>
      <c r="BK18" s="1497">
        <f>BK16*自持参数设置!$C$21</f>
        <v>0</v>
      </c>
      <c r="BL18" s="1497">
        <f>BL16*自持参数设置!$C$21</f>
        <v>0</v>
      </c>
      <c r="BM18" s="1497">
        <f>BM16*自持参数设置!$C$21</f>
        <v>0</v>
      </c>
      <c r="BN18" s="1497">
        <f>BN16*自持参数设置!$C$21</f>
        <v>0</v>
      </c>
      <c r="BO18" s="1497">
        <f>BO16*自持参数设置!$C$21</f>
        <v>0</v>
      </c>
      <c r="BP18" s="1497">
        <f>BP16*自持参数设置!$C$21</f>
        <v>0</v>
      </c>
      <c r="BQ18" s="1497">
        <f>BQ16*自持参数设置!$C$21</f>
        <v>0</v>
      </c>
      <c r="BR18" s="1497">
        <f>BR16*自持参数设置!$C$21</f>
        <v>0</v>
      </c>
      <c r="BS18" s="1497">
        <f>BS16*自持参数设置!$C$21</f>
        <v>0</v>
      </c>
      <c r="BT18" s="1497">
        <f>BT16*自持参数设置!$C$21</f>
        <v>0</v>
      </c>
      <c r="BU18" s="1497">
        <f>BU16*自持参数设置!$C$21</f>
        <v>0</v>
      </c>
      <c r="BV18" s="1497">
        <f>BV16*自持参数设置!$C$21</f>
        <v>0</v>
      </c>
      <c r="BW18" s="1497">
        <f>BW16*自持参数设置!$C$21</f>
        <v>0</v>
      </c>
      <c r="BX18" s="1497">
        <f>BX16*自持参数设置!$C$21</f>
        <v>0</v>
      </c>
      <c r="BY18" s="1497">
        <f>BY16*自持参数设置!$C$21</f>
        <v>0</v>
      </c>
      <c r="BZ18" s="1497">
        <f>BZ16*自持参数设置!$C$21</f>
        <v>0</v>
      </c>
      <c r="CA18" s="1497">
        <f>CA16*自持参数设置!$C$21</f>
        <v>0</v>
      </c>
      <c r="CB18" s="1497">
        <f>CB16*自持参数设置!$C$21</f>
        <v>0</v>
      </c>
      <c r="CC18" s="1497">
        <f>CC16*自持参数设置!$C$21</f>
        <v>0</v>
      </c>
      <c r="CD18" s="1497">
        <f>CD16*自持参数设置!$C$21</f>
        <v>0</v>
      </c>
      <c r="CE18" s="1497">
        <f>CE16*自持参数设置!$C$21</f>
        <v>0</v>
      </c>
      <c r="CF18" s="1497">
        <f>CF16*自持参数设置!$C$21</f>
        <v>0</v>
      </c>
      <c r="CG18" s="1497">
        <f>CG16*自持参数设置!$C$21</f>
        <v>0</v>
      </c>
      <c r="CH18" s="1497">
        <f>CH16*自持参数设置!$C$21</f>
        <v>0</v>
      </c>
      <c r="CI18" s="1497">
        <f>CI16*自持参数设置!$C$21</f>
        <v>0</v>
      </c>
      <c r="CJ18" s="1497">
        <f>CJ16*自持参数设置!$C$21</f>
        <v>0</v>
      </c>
      <c r="CK18" s="1497">
        <f>CK16*自持参数设置!$C$21</f>
        <v>0</v>
      </c>
      <c r="CL18" s="1497">
        <f>CL16*自持参数设置!$C$21</f>
        <v>0</v>
      </c>
      <c r="CM18" s="1497">
        <f>CM16*自持参数设置!$C$21</f>
        <v>0</v>
      </c>
      <c r="CN18" s="1497">
        <f>CN16*自持参数设置!$C$21</f>
        <v>0</v>
      </c>
      <c r="CO18" s="1497">
        <f>CO16*自持参数设置!$C$21</f>
        <v>0</v>
      </c>
      <c r="CP18" s="1497">
        <f>CP16*自持参数设置!$C$21</f>
        <v>0</v>
      </c>
      <c r="CQ18" s="1497">
        <f>CQ16*自持参数设置!$C$21</f>
        <v>0</v>
      </c>
      <c r="CR18" s="1497">
        <f>CR16*自持参数设置!$C$21</f>
        <v>0</v>
      </c>
      <c r="CS18" s="1497">
        <f>CS16*自持参数设置!$C$21</f>
        <v>0</v>
      </c>
      <c r="CT18" s="1497">
        <f>CT16*自持参数设置!$C$21</f>
        <v>0</v>
      </c>
      <c r="CU18" s="1497">
        <f>CU16*自持参数设置!$C$21</f>
        <v>0</v>
      </c>
      <c r="CV18" s="1497">
        <f>CV16*自持参数设置!$C$21</f>
        <v>0</v>
      </c>
      <c r="CW18" s="1497">
        <f>CW16*自持参数设置!$C$21</f>
        <v>0</v>
      </c>
      <c r="CX18" s="1497">
        <f>CX16*自持参数设置!$C$21</f>
        <v>0</v>
      </c>
      <c r="CY18" s="1497">
        <f>CY16*自持参数设置!$C$21</f>
        <v>0</v>
      </c>
      <c r="CZ18" s="1497">
        <f>CZ16*自持参数设置!$C$21</f>
        <v>0</v>
      </c>
      <c r="DA18" s="1497">
        <f>DA16*自持参数设置!$C$21</f>
        <v>0</v>
      </c>
      <c r="DB18" s="1497">
        <f>DB16*自持参数设置!$C$21</f>
        <v>0</v>
      </c>
      <c r="DC18" s="1497">
        <f>DC16*自持参数设置!$C$21</f>
        <v>0</v>
      </c>
      <c r="DD18" s="1497">
        <f>DD16*自持参数设置!$C$21</f>
        <v>0</v>
      </c>
      <c r="DE18" s="1497">
        <f>DE16*自持参数设置!$C$21</f>
        <v>0</v>
      </c>
      <c r="DF18" s="1497">
        <f>DF16*自持参数设置!$C$21</f>
        <v>0</v>
      </c>
      <c r="DG18" s="1497">
        <f>DG16*自持参数设置!$C$21</f>
        <v>0</v>
      </c>
      <c r="DH18" s="1497">
        <f>DH16*自持参数设置!$C$21</f>
        <v>0</v>
      </c>
      <c r="DI18" s="1497">
        <f>DI16*自持参数设置!$C$21</f>
        <v>0</v>
      </c>
      <c r="DJ18" s="1497">
        <f>DJ16*自持参数设置!$C$21</f>
        <v>0</v>
      </c>
      <c r="DK18" s="1497">
        <f>DK16*自持参数设置!$C$21</f>
        <v>0</v>
      </c>
      <c r="DL18" s="1497">
        <f>DL16*自持参数设置!$C$21</f>
        <v>0</v>
      </c>
      <c r="DM18" s="1497">
        <f>DM16*自持参数设置!$C$21</f>
        <v>0</v>
      </c>
      <c r="DN18" s="1497">
        <f>DN16*自持参数设置!$C$21</f>
        <v>0</v>
      </c>
      <c r="DO18" s="1497">
        <f>DO16*自持参数设置!$C$21</f>
        <v>0</v>
      </c>
      <c r="DP18" s="1497">
        <f>DP16*自持参数设置!$C$21</f>
        <v>0</v>
      </c>
      <c r="DQ18" s="1497">
        <f>DQ16*自持参数设置!$C$21</f>
        <v>0</v>
      </c>
      <c r="DR18" s="1497">
        <f>DR16*自持参数设置!$C$21</f>
        <v>0</v>
      </c>
      <c r="DS18" s="1497">
        <f>DS16*自持参数设置!$C$21</f>
        <v>0</v>
      </c>
      <c r="DT18" s="1497">
        <f>DT16*自持参数设置!$C$21</f>
        <v>0</v>
      </c>
      <c r="DU18" s="1497">
        <f>DU16*自持参数设置!$C$21</f>
        <v>0</v>
      </c>
      <c r="DV18" s="1497">
        <f>DV16*自持参数设置!$C$21</f>
        <v>0</v>
      </c>
      <c r="DW18" s="1497">
        <f>DW16*自持参数设置!$C$21</f>
        <v>0</v>
      </c>
      <c r="DX18" s="1497">
        <f>DX16*自持参数设置!$C$21</f>
        <v>0</v>
      </c>
      <c r="DY18" s="1497">
        <f>DY16*自持参数设置!$C$21</f>
        <v>0</v>
      </c>
      <c r="DZ18" s="1497">
        <f>DZ16*自持参数设置!$C$21</f>
        <v>0</v>
      </c>
      <c r="EA18" s="1497">
        <f>EA16*自持参数设置!$C$21</f>
        <v>0</v>
      </c>
      <c r="EB18" s="1497">
        <f>EB16*自持参数设置!$C$21</f>
        <v>0</v>
      </c>
      <c r="EC18" s="1497">
        <f>EC16*自持参数设置!$C$21</f>
        <v>0</v>
      </c>
      <c r="ED18" s="1497">
        <f>ED16*自持参数设置!$C$21</f>
        <v>0</v>
      </c>
      <c r="EE18" s="1497">
        <f>EE16*自持参数设置!$C$21</f>
        <v>0</v>
      </c>
      <c r="EF18" s="1497">
        <f>EF16*自持参数设置!$C$21</f>
        <v>0</v>
      </c>
      <c r="EG18" s="1497">
        <f>EG16*自持参数设置!$C$21</f>
        <v>0</v>
      </c>
      <c r="EH18" s="1497">
        <f>EH16*自持参数设置!$C$21</f>
        <v>0</v>
      </c>
      <c r="EI18" s="1497">
        <f>EI16*自持参数设置!$C$21</f>
        <v>0</v>
      </c>
      <c r="EJ18" s="1497">
        <f>EJ16*自持参数设置!$C$21</f>
        <v>0</v>
      </c>
      <c r="EK18" s="1497">
        <f>EK16*自持参数设置!$C$21</f>
        <v>0</v>
      </c>
      <c r="EL18" s="1497">
        <f>EL16*自持参数设置!$C$21</f>
        <v>0</v>
      </c>
      <c r="EM18" s="1497">
        <f>EM16*自持参数设置!$C$21</f>
        <v>0</v>
      </c>
      <c r="EN18" s="1497">
        <f>EN16*自持参数设置!$C$21</f>
        <v>0</v>
      </c>
      <c r="EO18" s="1497">
        <f>EO16*自持参数设置!$C$21</f>
        <v>0</v>
      </c>
      <c r="EP18" s="1497">
        <f>EP16*自持参数设置!$C$21</f>
        <v>0</v>
      </c>
      <c r="EQ18" s="1497">
        <f>EQ16*自持参数设置!$C$21</f>
        <v>0</v>
      </c>
      <c r="ER18" s="1497">
        <f>ER16*自持参数设置!$C$21</f>
        <v>0</v>
      </c>
      <c r="ES18" s="1497">
        <f>ES16*自持参数设置!$C$21</f>
        <v>0</v>
      </c>
      <c r="ET18" s="1497">
        <f>ET16*自持参数设置!$C$21</f>
        <v>0</v>
      </c>
      <c r="EU18" s="1497">
        <f>EU16*自持参数设置!$C$21</f>
        <v>0</v>
      </c>
      <c r="EV18" s="1497">
        <f>EV16*自持参数设置!$C$21</f>
        <v>0</v>
      </c>
      <c r="EW18" s="1497">
        <f>EW16*自持参数设置!$C$21</f>
        <v>0</v>
      </c>
      <c r="EX18" s="1497">
        <f>EX16*自持参数设置!$C$21</f>
        <v>0</v>
      </c>
      <c r="EY18" s="1497">
        <f>EY16*自持参数设置!$C$21</f>
        <v>0</v>
      </c>
      <c r="EZ18" s="1497">
        <f>EZ16*自持参数设置!$C$21</f>
        <v>0</v>
      </c>
      <c r="FA18" s="1497">
        <f>FA16*自持参数设置!$C$21</f>
        <v>0</v>
      </c>
      <c r="FB18" s="1497">
        <f>FB16*自持参数设置!$C$21</f>
        <v>0</v>
      </c>
      <c r="FC18" s="1497">
        <f>FC16*自持参数设置!$C$21</f>
        <v>0</v>
      </c>
      <c r="FD18" s="1497">
        <f>FD16*自持参数设置!$C$21</f>
        <v>0</v>
      </c>
      <c r="FE18" s="1497">
        <f>FE16*自持参数设置!$C$21</f>
        <v>0</v>
      </c>
      <c r="FF18" s="1497">
        <f>FF16*自持参数设置!$C$21</f>
        <v>0</v>
      </c>
      <c r="FG18" s="1497">
        <f>FG16*自持参数设置!$C$21</f>
        <v>0</v>
      </c>
      <c r="FH18" s="1497">
        <f>FH16*自持参数设置!$C$21</f>
        <v>0</v>
      </c>
      <c r="FI18" s="1509"/>
      <c r="FJ18" s="1509"/>
      <c r="FK18" s="1509"/>
      <c r="FL18" s="1536"/>
      <c r="FM18" s="1553"/>
    </row>
    <row r="19" spans="1:169">
      <c r="A19" s="1739"/>
      <c r="B19" s="1739"/>
      <c r="C19" s="1485" t="s">
        <v>201</v>
      </c>
      <c r="D19" s="1486">
        <f t="shared" ref="D19:D26" si="17">SUM(E19:FL19)</f>
        <v>0</v>
      </c>
      <c r="E19" s="1490">
        <f>E16*自持参数设置!$C$22</f>
        <v>0</v>
      </c>
      <c r="F19" s="1490">
        <f>F16*自持参数设置!$C$22</f>
        <v>0</v>
      </c>
      <c r="G19" s="1490">
        <f>G16*自持参数设置!$C$22</f>
        <v>0</v>
      </c>
      <c r="H19" s="1490">
        <f>H16*自持参数设置!$C$22</f>
        <v>0</v>
      </c>
      <c r="I19" s="1490">
        <f>I16*自持参数设置!$C$22</f>
        <v>0</v>
      </c>
      <c r="J19" s="1490">
        <f>J16*自持参数设置!$C$22</f>
        <v>0</v>
      </c>
      <c r="K19" s="1490">
        <f>K16*自持参数设置!$C$22</f>
        <v>0</v>
      </c>
      <c r="L19" s="1490">
        <f>L16*自持参数设置!$C$22</f>
        <v>0</v>
      </c>
      <c r="M19" s="1490">
        <f>M16*自持参数设置!$C$22</f>
        <v>0</v>
      </c>
      <c r="N19" s="1490">
        <f>N16*自持参数设置!$C$22</f>
        <v>0</v>
      </c>
      <c r="O19" s="1490">
        <f>O16*自持参数设置!$C$22</f>
        <v>0</v>
      </c>
      <c r="P19" s="1490">
        <f>P16*自持参数设置!$C$22</f>
        <v>0</v>
      </c>
      <c r="Q19" s="1490">
        <f>Q16*自持参数设置!$C$22</f>
        <v>0</v>
      </c>
      <c r="R19" s="1490">
        <f>R16*自持参数设置!$C$22</f>
        <v>0</v>
      </c>
      <c r="S19" s="1490">
        <f>S16*自持参数设置!$C$22</f>
        <v>0</v>
      </c>
      <c r="T19" s="1490">
        <f>T16*自持参数设置!$C$22</f>
        <v>0</v>
      </c>
      <c r="U19" s="1490">
        <f>U16*自持参数设置!$C$22</f>
        <v>0</v>
      </c>
      <c r="V19" s="1490">
        <f>V16*自持参数设置!$C$22</f>
        <v>0</v>
      </c>
      <c r="W19" s="1490">
        <f>W16*自持参数设置!$C$22</f>
        <v>0</v>
      </c>
      <c r="X19" s="1490">
        <f>X16*自持参数设置!$C$22</f>
        <v>0</v>
      </c>
      <c r="Y19" s="1490">
        <f>Y16*自持参数设置!$C$22</f>
        <v>0</v>
      </c>
      <c r="Z19" s="1490">
        <f>Z16*自持参数设置!$C$22</f>
        <v>0</v>
      </c>
      <c r="AA19" s="1490">
        <f>AA16*自持参数设置!$C$22</f>
        <v>0</v>
      </c>
      <c r="AB19" s="1490">
        <f>AB16*自持参数设置!$C$22</f>
        <v>0</v>
      </c>
      <c r="AC19" s="1490">
        <f>AC16*自持参数设置!$C$22</f>
        <v>0</v>
      </c>
      <c r="AD19" s="1490">
        <f>AD16*自持参数设置!$C$22</f>
        <v>0</v>
      </c>
      <c r="AE19" s="1490">
        <f>AE16*自持参数设置!$C$22</f>
        <v>0</v>
      </c>
      <c r="AF19" s="1490">
        <f>AF16*自持参数设置!$C$22</f>
        <v>0</v>
      </c>
      <c r="AG19" s="1490">
        <f>AG16*自持参数设置!$C$22</f>
        <v>0</v>
      </c>
      <c r="AH19" s="1490">
        <f>AH16*自持参数设置!$C$22</f>
        <v>0</v>
      </c>
      <c r="AI19" s="1490">
        <f>AI16*自持参数设置!$C$22</f>
        <v>0</v>
      </c>
      <c r="AJ19" s="1490">
        <f>AJ16*自持参数设置!$C$22</f>
        <v>0</v>
      </c>
      <c r="AK19" s="1490">
        <f>AK16*自持参数设置!$C$22</f>
        <v>0</v>
      </c>
      <c r="AL19" s="1490">
        <f>AL16*自持参数设置!$C$22</f>
        <v>0</v>
      </c>
      <c r="AM19" s="1490">
        <f>AM16*自持参数设置!$C$22</f>
        <v>0</v>
      </c>
      <c r="AN19" s="1490">
        <f>AN16*自持参数设置!$C$22</f>
        <v>0</v>
      </c>
      <c r="AO19" s="1490">
        <f>AO16*自持参数设置!$C$22</f>
        <v>0</v>
      </c>
      <c r="AP19" s="1490">
        <f>AP16*自持参数设置!$C$22</f>
        <v>0</v>
      </c>
      <c r="AQ19" s="1490">
        <f>AQ16*自持参数设置!$C$22</f>
        <v>0</v>
      </c>
      <c r="AR19" s="1490">
        <f>AR16*自持参数设置!$C$22</f>
        <v>0</v>
      </c>
      <c r="AS19" s="1490">
        <f>AS16*自持参数设置!$C$22</f>
        <v>0</v>
      </c>
      <c r="AT19" s="1490">
        <f>AT16*自持参数设置!$C$22</f>
        <v>0</v>
      </c>
      <c r="AU19" s="1490">
        <f>AU16*自持参数设置!$C$22</f>
        <v>0</v>
      </c>
      <c r="AV19" s="1490">
        <f>AV16*自持参数设置!$C$22</f>
        <v>0</v>
      </c>
      <c r="AW19" s="1490">
        <f>AW16*自持参数设置!$C$22</f>
        <v>0</v>
      </c>
      <c r="AX19" s="1490">
        <f>AX16*自持参数设置!$C$22</f>
        <v>0</v>
      </c>
      <c r="AY19" s="1490">
        <f>AY16*自持参数设置!$C$22</f>
        <v>0</v>
      </c>
      <c r="AZ19" s="1490">
        <f>AZ16*自持参数设置!$C$22</f>
        <v>0</v>
      </c>
      <c r="BA19" s="1490">
        <f>BA16*自持参数设置!$C$22</f>
        <v>0</v>
      </c>
      <c r="BB19" s="1490">
        <f>BB16*自持参数设置!$C$22</f>
        <v>0</v>
      </c>
      <c r="BC19" s="1490">
        <f>BC16*自持参数设置!$C$22</f>
        <v>0</v>
      </c>
      <c r="BD19" s="1490">
        <f>BD16*自持参数设置!$C$22</f>
        <v>0</v>
      </c>
      <c r="BE19" s="1490">
        <f>BE16*自持参数设置!$C$22</f>
        <v>0</v>
      </c>
      <c r="BF19" s="1490">
        <f>BF16*自持参数设置!$C$22</f>
        <v>0</v>
      </c>
      <c r="BG19" s="1490">
        <f>BG16*自持参数设置!$C$22</f>
        <v>0</v>
      </c>
      <c r="BH19" s="1490">
        <f>BH16*自持参数设置!$C$22</f>
        <v>0</v>
      </c>
      <c r="BI19" s="1490">
        <f>BI16*自持参数设置!$C$22</f>
        <v>0</v>
      </c>
      <c r="BJ19" s="1490">
        <f>BJ16*自持参数设置!$C$22</f>
        <v>0</v>
      </c>
      <c r="BK19" s="1490">
        <f>BK16*自持参数设置!$C$22</f>
        <v>0</v>
      </c>
      <c r="BL19" s="1490">
        <f>BL16*自持参数设置!$C$22</f>
        <v>0</v>
      </c>
      <c r="BM19" s="1490">
        <f>BM16*自持参数设置!$C$22</f>
        <v>0</v>
      </c>
      <c r="BN19" s="1490">
        <f>BN16*自持参数设置!$C$22</f>
        <v>0</v>
      </c>
      <c r="BO19" s="1490">
        <f>BO16*自持参数设置!$C$22</f>
        <v>0</v>
      </c>
      <c r="BP19" s="1490">
        <f>BP16*自持参数设置!$C$22</f>
        <v>0</v>
      </c>
      <c r="BQ19" s="1490">
        <f>BQ16*自持参数设置!$C$22</f>
        <v>0</v>
      </c>
      <c r="BR19" s="1490">
        <f>BR16*自持参数设置!$C$22</f>
        <v>0</v>
      </c>
      <c r="BS19" s="1490">
        <f>BS16*自持参数设置!$C$22</f>
        <v>0</v>
      </c>
      <c r="BT19" s="1490">
        <f>BT16*自持参数设置!$C$22</f>
        <v>0</v>
      </c>
      <c r="BU19" s="1490">
        <f>BU16*自持参数设置!$C$22</f>
        <v>0</v>
      </c>
      <c r="BV19" s="1490">
        <f>BV16*自持参数设置!$C$22</f>
        <v>0</v>
      </c>
      <c r="BW19" s="1490">
        <f>BW16*自持参数设置!$C$22</f>
        <v>0</v>
      </c>
      <c r="BX19" s="1490">
        <f>BX16*自持参数设置!$C$22</f>
        <v>0</v>
      </c>
      <c r="BY19" s="1490">
        <f>BY16*自持参数设置!$C$22</f>
        <v>0</v>
      </c>
      <c r="BZ19" s="1490">
        <f>BZ16*自持参数设置!$C$22</f>
        <v>0</v>
      </c>
      <c r="CA19" s="1490">
        <f>CA16*自持参数设置!$C$22</f>
        <v>0</v>
      </c>
      <c r="CB19" s="1490">
        <f>CB16*自持参数设置!$C$22</f>
        <v>0</v>
      </c>
      <c r="CC19" s="1490">
        <f>CC16*自持参数设置!$C$22</f>
        <v>0</v>
      </c>
      <c r="CD19" s="1490">
        <f>CD16*自持参数设置!$C$22</f>
        <v>0</v>
      </c>
      <c r="CE19" s="1490">
        <f>CE16*自持参数设置!$C$22</f>
        <v>0</v>
      </c>
      <c r="CF19" s="1490">
        <f>CF16*自持参数设置!$C$22</f>
        <v>0</v>
      </c>
      <c r="CG19" s="1490">
        <f>CG16*自持参数设置!$C$22</f>
        <v>0</v>
      </c>
      <c r="CH19" s="1490">
        <f>CH16*自持参数设置!$C$22</f>
        <v>0</v>
      </c>
      <c r="CI19" s="1490">
        <f>CI16*自持参数设置!$C$22</f>
        <v>0</v>
      </c>
      <c r="CJ19" s="1490">
        <f>CJ16*自持参数设置!$C$22</f>
        <v>0</v>
      </c>
      <c r="CK19" s="1490">
        <f>CK16*自持参数设置!$C$22</f>
        <v>0</v>
      </c>
      <c r="CL19" s="1490">
        <f>CL16*自持参数设置!$C$22</f>
        <v>0</v>
      </c>
      <c r="CM19" s="1490">
        <f>CM16*自持参数设置!$C$22</f>
        <v>0</v>
      </c>
      <c r="CN19" s="1490">
        <f>CN16*自持参数设置!$C$22</f>
        <v>0</v>
      </c>
      <c r="CO19" s="1490">
        <f>CO16*自持参数设置!$C$22</f>
        <v>0</v>
      </c>
      <c r="CP19" s="1490">
        <f>CP16*自持参数设置!$C$22</f>
        <v>0</v>
      </c>
      <c r="CQ19" s="1490">
        <f>CQ16*自持参数设置!$C$22</f>
        <v>0</v>
      </c>
      <c r="CR19" s="1490">
        <f>CR16*自持参数设置!$C$22</f>
        <v>0</v>
      </c>
      <c r="CS19" s="1490">
        <f>CS16*自持参数设置!$C$22</f>
        <v>0</v>
      </c>
      <c r="CT19" s="1490">
        <f>CT16*自持参数设置!$C$22</f>
        <v>0</v>
      </c>
      <c r="CU19" s="1490">
        <f>CU16*自持参数设置!$C$22</f>
        <v>0</v>
      </c>
      <c r="CV19" s="1490">
        <f>CV16*自持参数设置!$C$22</f>
        <v>0</v>
      </c>
      <c r="CW19" s="1490">
        <f>CW16*自持参数设置!$C$22</f>
        <v>0</v>
      </c>
      <c r="CX19" s="1490">
        <f>CX16*自持参数设置!$C$22</f>
        <v>0</v>
      </c>
      <c r="CY19" s="1490">
        <f>CY16*自持参数设置!$C$22</f>
        <v>0</v>
      </c>
      <c r="CZ19" s="1490">
        <f>CZ16*自持参数设置!$C$22</f>
        <v>0</v>
      </c>
      <c r="DA19" s="1490">
        <f>DA16*自持参数设置!$C$22</f>
        <v>0</v>
      </c>
      <c r="DB19" s="1490">
        <f>DB16*自持参数设置!$C$22</f>
        <v>0</v>
      </c>
      <c r="DC19" s="1490">
        <f>DC16*自持参数设置!$C$22</f>
        <v>0</v>
      </c>
      <c r="DD19" s="1490">
        <f>DD16*自持参数设置!$C$22</f>
        <v>0</v>
      </c>
      <c r="DE19" s="1490">
        <f>DE16*自持参数设置!$C$22</f>
        <v>0</v>
      </c>
      <c r="DF19" s="1490">
        <f>DF16*自持参数设置!$C$22</f>
        <v>0</v>
      </c>
      <c r="DG19" s="1490">
        <f>DG16*自持参数设置!$C$22</f>
        <v>0</v>
      </c>
      <c r="DH19" s="1490">
        <f>DH16*自持参数设置!$C$22</f>
        <v>0</v>
      </c>
      <c r="DI19" s="1490">
        <f>DI16*自持参数设置!$C$22</f>
        <v>0</v>
      </c>
      <c r="DJ19" s="1490">
        <f>DJ16*自持参数设置!$C$22</f>
        <v>0</v>
      </c>
      <c r="DK19" s="1490">
        <f>DK16*自持参数设置!$C$22</f>
        <v>0</v>
      </c>
      <c r="DL19" s="1490">
        <f>DL16*自持参数设置!$C$22</f>
        <v>0</v>
      </c>
      <c r="DM19" s="1490">
        <f>DM16*自持参数设置!$C$22</f>
        <v>0</v>
      </c>
      <c r="DN19" s="1490">
        <f>DN16*自持参数设置!$C$22</f>
        <v>0</v>
      </c>
      <c r="DO19" s="1490">
        <f>DO16*自持参数设置!$C$22</f>
        <v>0</v>
      </c>
      <c r="DP19" s="1490">
        <f>DP16*自持参数设置!$C$22</f>
        <v>0</v>
      </c>
      <c r="DQ19" s="1490">
        <f>DQ16*自持参数设置!$C$22</f>
        <v>0</v>
      </c>
      <c r="DR19" s="1490">
        <f>DR16*自持参数设置!$C$22</f>
        <v>0</v>
      </c>
      <c r="DS19" s="1490">
        <f>DS16*自持参数设置!$C$22</f>
        <v>0</v>
      </c>
      <c r="DT19" s="1490">
        <f>DT16*自持参数设置!$C$22</f>
        <v>0</v>
      </c>
      <c r="DU19" s="1490">
        <f>DU16*自持参数设置!$C$22</f>
        <v>0</v>
      </c>
      <c r="DV19" s="1490">
        <f>DV16*自持参数设置!$C$22</f>
        <v>0</v>
      </c>
      <c r="DW19" s="1490">
        <f>DW16*自持参数设置!$C$22</f>
        <v>0</v>
      </c>
      <c r="DX19" s="1490">
        <f>DX16*自持参数设置!$C$22</f>
        <v>0</v>
      </c>
      <c r="DY19" s="1490">
        <f>DY16*自持参数设置!$C$22</f>
        <v>0</v>
      </c>
      <c r="DZ19" s="1490">
        <f>DZ16*自持参数设置!$C$22</f>
        <v>0</v>
      </c>
      <c r="EA19" s="1490">
        <f>EA16*自持参数设置!$C$22</f>
        <v>0</v>
      </c>
      <c r="EB19" s="1490">
        <f>EB16*自持参数设置!$C$22</f>
        <v>0</v>
      </c>
      <c r="EC19" s="1490">
        <f>EC16*自持参数设置!$C$22</f>
        <v>0</v>
      </c>
      <c r="ED19" s="1490">
        <f>ED16*自持参数设置!$C$22</f>
        <v>0</v>
      </c>
      <c r="EE19" s="1490">
        <f>EE16*自持参数设置!$C$22</f>
        <v>0</v>
      </c>
      <c r="EF19" s="1490">
        <f>EF16*自持参数设置!$C$22</f>
        <v>0</v>
      </c>
      <c r="EG19" s="1490">
        <f>EG16*自持参数设置!$C$22</f>
        <v>0</v>
      </c>
      <c r="EH19" s="1490">
        <f>EH16*自持参数设置!$C$22</f>
        <v>0</v>
      </c>
      <c r="EI19" s="1490">
        <f>EI16*自持参数设置!$C$22</f>
        <v>0</v>
      </c>
      <c r="EJ19" s="1490">
        <f>EJ16*自持参数设置!$C$22</f>
        <v>0</v>
      </c>
      <c r="EK19" s="1490">
        <f>EK16*自持参数设置!$C$22</f>
        <v>0</v>
      </c>
      <c r="EL19" s="1490">
        <f>EL16*自持参数设置!$C$22</f>
        <v>0</v>
      </c>
      <c r="EM19" s="1490">
        <f>EM16*自持参数设置!$C$22</f>
        <v>0</v>
      </c>
      <c r="EN19" s="1490">
        <f>EN16*自持参数设置!$C$22</f>
        <v>0</v>
      </c>
      <c r="EO19" s="1490">
        <f>EO16*自持参数设置!$C$22</f>
        <v>0</v>
      </c>
      <c r="EP19" s="1490">
        <f>EP16*自持参数设置!$C$22</f>
        <v>0</v>
      </c>
      <c r="EQ19" s="1490">
        <f>EQ16*自持参数设置!$C$22</f>
        <v>0</v>
      </c>
      <c r="ER19" s="1490">
        <f>ER16*自持参数设置!$C$22</f>
        <v>0</v>
      </c>
      <c r="ES19" s="1490">
        <f>ES16*自持参数设置!$C$22</f>
        <v>0</v>
      </c>
      <c r="ET19" s="1490">
        <f>ET16*自持参数设置!$C$22</f>
        <v>0</v>
      </c>
      <c r="EU19" s="1490">
        <f>EU16*自持参数设置!$C$22</f>
        <v>0</v>
      </c>
      <c r="EV19" s="1490">
        <f>EV16*自持参数设置!$C$22</f>
        <v>0</v>
      </c>
      <c r="EW19" s="1490">
        <f>EW16*自持参数设置!$C$22</f>
        <v>0</v>
      </c>
      <c r="EX19" s="1490">
        <f>EX16*自持参数设置!$C$22</f>
        <v>0</v>
      </c>
      <c r="EY19" s="1490">
        <f>EY16*自持参数设置!$C$22</f>
        <v>0</v>
      </c>
      <c r="EZ19" s="1490">
        <f>EZ16*自持参数设置!$C$22</f>
        <v>0</v>
      </c>
      <c r="FA19" s="1490">
        <f>FA16*自持参数设置!$C$22</f>
        <v>0</v>
      </c>
      <c r="FB19" s="1490">
        <f>FB16*自持参数设置!$C$22</f>
        <v>0</v>
      </c>
      <c r="FC19" s="1490">
        <f>FC16*自持参数设置!$C$22</f>
        <v>0</v>
      </c>
      <c r="FD19" s="1490">
        <f>FD16*自持参数设置!$C$22</f>
        <v>0</v>
      </c>
      <c r="FE19" s="1490">
        <f>FE16*自持参数设置!$C$22</f>
        <v>0</v>
      </c>
      <c r="FF19" s="1490">
        <f>FF16*自持参数设置!$C$22</f>
        <v>0</v>
      </c>
      <c r="FG19" s="1490">
        <f>FG16*自持参数设置!$C$22</f>
        <v>0</v>
      </c>
      <c r="FH19" s="1490">
        <f>FH16*自持参数设置!$C$22</f>
        <v>0</v>
      </c>
      <c r="FI19" s="1509"/>
      <c r="FJ19" s="1509"/>
      <c r="FK19" s="1509"/>
      <c r="FL19" s="1536"/>
      <c r="FM19" s="1553"/>
    </row>
    <row r="20" spans="1:169">
      <c r="A20" s="1739"/>
      <c r="B20" s="1739"/>
      <c r="C20" s="1485" t="s">
        <v>202</v>
      </c>
      <c r="D20" s="1486">
        <f t="shared" si="17"/>
        <v>0</v>
      </c>
      <c r="E20" s="1490">
        <f>E58</f>
        <v>0</v>
      </c>
      <c r="F20" s="1490">
        <f t="shared" ref="F20:BQ20" si="18">F58</f>
        <v>0</v>
      </c>
      <c r="G20" s="1490">
        <f t="shared" si="18"/>
        <v>0</v>
      </c>
      <c r="H20" s="1490">
        <f t="shared" si="18"/>
        <v>0</v>
      </c>
      <c r="I20" s="1490">
        <f t="shared" si="18"/>
        <v>0</v>
      </c>
      <c r="J20" s="1490">
        <f t="shared" si="18"/>
        <v>0</v>
      </c>
      <c r="K20" s="1490">
        <f t="shared" si="18"/>
        <v>0</v>
      </c>
      <c r="L20" s="1490">
        <f t="shared" si="18"/>
        <v>0</v>
      </c>
      <c r="M20" s="1490">
        <f t="shared" si="18"/>
        <v>0</v>
      </c>
      <c r="N20" s="1490">
        <f t="shared" si="18"/>
        <v>0</v>
      </c>
      <c r="O20" s="1490">
        <f t="shared" si="18"/>
        <v>0</v>
      </c>
      <c r="P20" s="1490">
        <f t="shared" si="18"/>
        <v>0</v>
      </c>
      <c r="Q20" s="1490">
        <f t="shared" si="18"/>
        <v>0</v>
      </c>
      <c r="R20" s="1490">
        <f t="shared" si="18"/>
        <v>0</v>
      </c>
      <c r="S20" s="1490">
        <f t="shared" si="18"/>
        <v>0</v>
      </c>
      <c r="T20" s="1490">
        <f t="shared" si="18"/>
        <v>0</v>
      </c>
      <c r="U20" s="1490">
        <f t="shared" si="18"/>
        <v>0</v>
      </c>
      <c r="V20" s="1490">
        <f t="shared" si="18"/>
        <v>0</v>
      </c>
      <c r="W20" s="1490">
        <f t="shared" si="18"/>
        <v>0</v>
      </c>
      <c r="X20" s="1490">
        <f t="shared" si="18"/>
        <v>0</v>
      </c>
      <c r="Y20" s="1490">
        <f t="shared" si="18"/>
        <v>0</v>
      </c>
      <c r="Z20" s="1490">
        <f t="shared" si="18"/>
        <v>0</v>
      </c>
      <c r="AA20" s="1490">
        <f t="shared" si="18"/>
        <v>0</v>
      </c>
      <c r="AB20" s="1490">
        <f t="shared" si="18"/>
        <v>0</v>
      </c>
      <c r="AC20" s="1490">
        <f t="shared" si="18"/>
        <v>0</v>
      </c>
      <c r="AD20" s="1490">
        <f t="shared" si="18"/>
        <v>0</v>
      </c>
      <c r="AE20" s="1490">
        <f t="shared" si="18"/>
        <v>0</v>
      </c>
      <c r="AF20" s="1490">
        <f t="shared" si="18"/>
        <v>0</v>
      </c>
      <c r="AG20" s="1490">
        <f t="shared" si="18"/>
        <v>0</v>
      </c>
      <c r="AH20" s="1490">
        <f t="shared" si="18"/>
        <v>0</v>
      </c>
      <c r="AI20" s="1490">
        <f t="shared" si="18"/>
        <v>0</v>
      </c>
      <c r="AJ20" s="1490">
        <f t="shared" si="18"/>
        <v>0</v>
      </c>
      <c r="AK20" s="1490">
        <f t="shared" si="18"/>
        <v>0</v>
      </c>
      <c r="AL20" s="1490">
        <f t="shared" si="18"/>
        <v>0</v>
      </c>
      <c r="AM20" s="1490">
        <f t="shared" si="18"/>
        <v>0</v>
      </c>
      <c r="AN20" s="1490">
        <f t="shared" si="18"/>
        <v>0</v>
      </c>
      <c r="AO20" s="1490">
        <f t="shared" si="18"/>
        <v>0</v>
      </c>
      <c r="AP20" s="1490">
        <f t="shared" si="18"/>
        <v>0</v>
      </c>
      <c r="AQ20" s="1490">
        <f t="shared" si="18"/>
        <v>0</v>
      </c>
      <c r="AR20" s="1490">
        <f t="shared" si="18"/>
        <v>0</v>
      </c>
      <c r="AS20" s="1490">
        <f t="shared" si="18"/>
        <v>0</v>
      </c>
      <c r="AT20" s="1490">
        <f t="shared" si="18"/>
        <v>0</v>
      </c>
      <c r="AU20" s="1490">
        <f t="shared" si="18"/>
        <v>0</v>
      </c>
      <c r="AV20" s="1490">
        <f t="shared" si="18"/>
        <v>0</v>
      </c>
      <c r="AW20" s="1490">
        <f t="shared" si="18"/>
        <v>0</v>
      </c>
      <c r="AX20" s="1490">
        <f t="shared" si="18"/>
        <v>0</v>
      </c>
      <c r="AY20" s="1490">
        <f t="shared" si="18"/>
        <v>0</v>
      </c>
      <c r="AZ20" s="1490">
        <f t="shared" si="18"/>
        <v>0</v>
      </c>
      <c r="BA20" s="1490">
        <f t="shared" si="18"/>
        <v>0</v>
      </c>
      <c r="BB20" s="1490">
        <f t="shared" si="18"/>
        <v>0</v>
      </c>
      <c r="BC20" s="1490">
        <f t="shared" si="18"/>
        <v>0</v>
      </c>
      <c r="BD20" s="1490">
        <f t="shared" si="18"/>
        <v>0</v>
      </c>
      <c r="BE20" s="1490">
        <f t="shared" si="18"/>
        <v>0</v>
      </c>
      <c r="BF20" s="1490">
        <f t="shared" si="18"/>
        <v>0</v>
      </c>
      <c r="BG20" s="1490">
        <f t="shared" si="18"/>
        <v>0</v>
      </c>
      <c r="BH20" s="1490">
        <f t="shared" si="18"/>
        <v>0</v>
      </c>
      <c r="BI20" s="1490">
        <f t="shared" si="18"/>
        <v>0</v>
      </c>
      <c r="BJ20" s="1490">
        <f t="shared" si="18"/>
        <v>0</v>
      </c>
      <c r="BK20" s="1490">
        <f t="shared" si="18"/>
        <v>0</v>
      </c>
      <c r="BL20" s="1490">
        <f t="shared" si="18"/>
        <v>0</v>
      </c>
      <c r="BM20" s="1490">
        <f t="shared" si="18"/>
        <v>0</v>
      </c>
      <c r="BN20" s="1490">
        <f t="shared" si="18"/>
        <v>0</v>
      </c>
      <c r="BO20" s="1490">
        <f t="shared" si="18"/>
        <v>0</v>
      </c>
      <c r="BP20" s="1490">
        <f t="shared" si="18"/>
        <v>0</v>
      </c>
      <c r="BQ20" s="1490">
        <f t="shared" si="18"/>
        <v>0</v>
      </c>
      <c r="BR20" s="1490">
        <f t="shared" ref="BR20:EC20" si="19">BR58</f>
        <v>0</v>
      </c>
      <c r="BS20" s="1490">
        <f t="shared" si="19"/>
        <v>0</v>
      </c>
      <c r="BT20" s="1490">
        <f t="shared" si="19"/>
        <v>0</v>
      </c>
      <c r="BU20" s="1490">
        <f t="shared" si="19"/>
        <v>0</v>
      </c>
      <c r="BV20" s="1490">
        <f t="shared" si="19"/>
        <v>0</v>
      </c>
      <c r="BW20" s="1490">
        <f t="shared" si="19"/>
        <v>0</v>
      </c>
      <c r="BX20" s="1490">
        <f t="shared" si="19"/>
        <v>0</v>
      </c>
      <c r="BY20" s="1490">
        <f t="shared" si="19"/>
        <v>0</v>
      </c>
      <c r="BZ20" s="1490">
        <f t="shared" si="19"/>
        <v>0</v>
      </c>
      <c r="CA20" s="1490">
        <f t="shared" si="19"/>
        <v>0</v>
      </c>
      <c r="CB20" s="1490">
        <f t="shared" si="19"/>
        <v>0</v>
      </c>
      <c r="CC20" s="1490">
        <f t="shared" si="19"/>
        <v>0</v>
      </c>
      <c r="CD20" s="1490">
        <f t="shared" si="19"/>
        <v>0</v>
      </c>
      <c r="CE20" s="1490">
        <f t="shared" si="19"/>
        <v>0</v>
      </c>
      <c r="CF20" s="1490">
        <f t="shared" si="19"/>
        <v>0</v>
      </c>
      <c r="CG20" s="1490">
        <f t="shared" si="19"/>
        <v>0</v>
      </c>
      <c r="CH20" s="1490">
        <f t="shared" si="19"/>
        <v>0</v>
      </c>
      <c r="CI20" s="1490">
        <f t="shared" si="19"/>
        <v>0</v>
      </c>
      <c r="CJ20" s="1490">
        <f t="shared" si="19"/>
        <v>0</v>
      </c>
      <c r="CK20" s="1490">
        <f t="shared" si="19"/>
        <v>0</v>
      </c>
      <c r="CL20" s="1490">
        <f t="shared" si="19"/>
        <v>0</v>
      </c>
      <c r="CM20" s="1490">
        <f t="shared" si="19"/>
        <v>0</v>
      </c>
      <c r="CN20" s="1490">
        <f t="shared" si="19"/>
        <v>0</v>
      </c>
      <c r="CO20" s="1490">
        <f t="shared" si="19"/>
        <v>0</v>
      </c>
      <c r="CP20" s="1490">
        <f t="shared" si="19"/>
        <v>0</v>
      </c>
      <c r="CQ20" s="1490">
        <f t="shared" si="19"/>
        <v>0</v>
      </c>
      <c r="CR20" s="1490">
        <f t="shared" si="19"/>
        <v>0</v>
      </c>
      <c r="CS20" s="1490">
        <f t="shared" si="19"/>
        <v>0</v>
      </c>
      <c r="CT20" s="1490">
        <f t="shared" si="19"/>
        <v>0</v>
      </c>
      <c r="CU20" s="1490">
        <f t="shared" si="19"/>
        <v>0</v>
      </c>
      <c r="CV20" s="1490">
        <f t="shared" si="19"/>
        <v>0</v>
      </c>
      <c r="CW20" s="1490">
        <f t="shared" si="19"/>
        <v>0</v>
      </c>
      <c r="CX20" s="1490">
        <f t="shared" si="19"/>
        <v>0</v>
      </c>
      <c r="CY20" s="1490">
        <f t="shared" si="19"/>
        <v>0</v>
      </c>
      <c r="CZ20" s="1490">
        <f t="shared" si="19"/>
        <v>0</v>
      </c>
      <c r="DA20" s="1490">
        <f t="shared" si="19"/>
        <v>0</v>
      </c>
      <c r="DB20" s="1490">
        <f t="shared" si="19"/>
        <v>0</v>
      </c>
      <c r="DC20" s="1490">
        <f t="shared" si="19"/>
        <v>0</v>
      </c>
      <c r="DD20" s="1490">
        <f t="shared" si="19"/>
        <v>0</v>
      </c>
      <c r="DE20" s="1490">
        <f t="shared" si="19"/>
        <v>0</v>
      </c>
      <c r="DF20" s="1490">
        <f t="shared" si="19"/>
        <v>0</v>
      </c>
      <c r="DG20" s="1490">
        <f t="shared" si="19"/>
        <v>0</v>
      </c>
      <c r="DH20" s="1490">
        <f t="shared" si="19"/>
        <v>0</v>
      </c>
      <c r="DI20" s="1490">
        <f t="shared" si="19"/>
        <v>0</v>
      </c>
      <c r="DJ20" s="1490">
        <f t="shared" si="19"/>
        <v>0</v>
      </c>
      <c r="DK20" s="1490">
        <f t="shared" si="19"/>
        <v>0</v>
      </c>
      <c r="DL20" s="1490">
        <f t="shared" si="19"/>
        <v>0</v>
      </c>
      <c r="DM20" s="1490">
        <f t="shared" si="19"/>
        <v>0</v>
      </c>
      <c r="DN20" s="1490">
        <f t="shared" si="19"/>
        <v>0</v>
      </c>
      <c r="DO20" s="1490">
        <f t="shared" si="19"/>
        <v>0</v>
      </c>
      <c r="DP20" s="1490">
        <f t="shared" si="19"/>
        <v>0</v>
      </c>
      <c r="DQ20" s="1490">
        <f t="shared" si="19"/>
        <v>0</v>
      </c>
      <c r="DR20" s="1490">
        <f t="shared" si="19"/>
        <v>0</v>
      </c>
      <c r="DS20" s="1490">
        <f t="shared" si="19"/>
        <v>0</v>
      </c>
      <c r="DT20" s="1490">
        <f t="shared" si="19"/>
        <v>0</v>
      </c>
      <c r="DU20" s="1490">
        <f t="shared" si="19"/>
        <v>0</v>
      </c>
      <c r="DV20" s="1490">
        <f t="shared" si="19"/>
        <v>0</v>
      </c>
      <c r="DW20" s="1490">
        <f t="shared" si="19"/>
        <v>0</v>
      </c>
      <c r="DX20" s="1490">
        <f t="shared" si="19"/>
        <v>0</v>
      </c>
      <c r="DY20" s="1490">
        <f t="shared" si="19"/>
        <v>0</v>
      </c>
      <c r="DZ20" s="1490">
        <f t="shared" si="19"/>
        <v>0</v>
      </c>
      <c r="EA20" s="1490">
        <f t="shared" si="19"/>
        <v>0</v>
      </c>
      <c r="EB20" s="1490">
        <f t="shared" si="19"/>
        <v>0</v>
      </c>
      <c r="EC20" s="1490">
        <f t="shared" si="19"/>
        <v>0</v>
      </c>
      <c r="ED20" s="1490">
        <f t="shared" ref="ED20:FH20" si="20">ED58</f>
        <v>0</v>
      </c>
      <c r="EE20" s="1490">
        <f t="shared" si="20"/>
        <v>0</v>
      </c>
      <c r="EF20" s="1490">
        <f t="shared" si="20"/>
        <v>0</v>
      </c>
      <c r="EG20" s="1490">
        <f t="shared" si="20"/>
        <v>0</v>
      </c>
      <c r="EH20" s="1490">
        <f t="shared" si="20"/>
        <v>0</v>
      </c>
      <c r="EI20" s="1490">
        <f t="shared" si="20"/>
        <v>0</v>
      </c>
      <c r="EJ20" s="1490">
        <f t="shared" si="20"/>
        <v>0</v>
      </c>
      <c r="EK20" s="1490">
        <f t="shared" si="20"/>
        <v>0</v>
      </c>
      <c r="EL20" s="1490">
        <f t="shared" si="20"/>
        <v>0</v>
      </c>
      <c r="EM20" s="1490">
        <f t="shared" si="20"/>
        <v>0</v>
      </c>
      <c r="EN20" s="1490">
        <f t="shared" si="20"/>
        <v>0</v>
      </c>
      <c r="EO20" s="1490">
        <f t="shared" si="20"/>
        <v>0</v>
      </c>
      <c r="EP20" s="1490">
        <f t="shared" si="20"/>
        <v>0</v>
      </c>
      <c r="EQ20" s="1490">
        <f t="shared" si="20"/>
        <v>0</v>
      </c>
      <c r="ER20" s="1490">
        <f t="shared" si="20"/>
        <v>0</v>
      </c>
      <c r="ES20" s="1490">
        <f t="shared" si="20"/>
        <v>0</v>
      </c>
      <c r="ET20" s="1490">
        <f t="shared" si="20"/>
        <v>0</v>
      </c>
      <c r="EU20" s="1490">
        <f t="shared" si="20"/>
        <v>0</v>
      </c>
      <c r="EV20" s="1490">
        <f t="shared" si="20"/>
        <v>0</v>
      </c>
      <c r="EW20" s="1490">
        <f t="shared" si="20"/>
        <v>0</v>
      </c>
      <c r="EX20" s="1490">
        <f t="shared" si="20"/>
        <v>0</v>
      </c>
      <c r="EY20" s="1490">
        <f t="shared" si="20"/>
        <v>0</v>
      </c>
      <c r="EZ20" s="1490">
        <f t="shared" si="20"/>
        <v>0</v>
      </c>
      <c r="FA20" s="1490">
        <f t="shared" si="20"/>
        <v>0</v>
      </c>
      <c r="FB20" s="1490">
        <f t="shared" si="20"/>
        <v>0</v>
      </c>
      <c r="FC20" s="1490">
        <f t="shared" si="20"/>
        <v>0</v>
      </c>
      <c r="FD20" s="1490">
        <f t="shared" si="20"/>
        <v>0</v>
      </c>
      <c r="FE20" s="1490">
        <f t="shared" si="20"/>
        <v>0</v>
      </c>
      <c r="FF20" s="1490">
        <f t="shared" si="20"/>
        <v>0</v>
      </c>
      <c r="FG20" s="1490">
        <f t="shared" si="20"/>
        <v>0</v>
      </c>
      <c r="FH20" s="1490">
        <f t="shared" si="20"/>
        <v>0</v>
      </c>
      <c r="FI20" s="1498"/>
      <c r="FJ20" s="1498"/>
      <c r="FK20" s="1498"/>
      <c r="FL20" s="1535"/>
      <c r="FM20" s="1553"/>
    </row>
    <row r="21" spans="1:169">
      <c r="A21" s="1739"/>
      <c r="B21" s="1739"/>
      <c r="C21" s="1485" t="s">
        <v>203</v>
      </c>
      <c r="D21" s="1486">
        <f t="shared" ca="1" si="17"/>
        <v>0</v>
      </c>
      <c r="E21" s="1490">
        <f ca="1">(自持参数设置!$C$6)*自持参数设置!$C$10</f>
        <v>0</v>
      </c>
      <c r="F21" s="1490">
        <f ca="1">(自持参数设置!$C$6)*自持参数设置!$C$10</f>
        <v>0</v>
      </c>
      <c r="G21" s="1490">
        <f ca="1">(自持参数设置!$C$6)*自持参数设置!$C$10</f>
        <v>0</v>
      </c>
      <c r="H21" s="1490">
        <f ca="1">(自持参数设置!$C$6)*自持参数设置!$C$10</f>
        <v>0</v>
      </c>
      <c r="I21" s="1490">
        <f ca="1">(自持参数设置!$C$6)*自持参数设置!$C$10</f>
        <v>0</v>
      </c>
      <c r="J21" s="1490">
        <f ca="1">(自持参数设置!$C$6)*自持参数设置!$C$10</f>
        <v>0</v>
      </c>
      <c r="K21" s="1490">
        <f ca="1">(自持参数设置!$C$6)*自持参数设置!$C$10</f>
        <v>0</v>
      </c>
      <c r="L21" s="1490">
        <f ca="1">(自持参数设置!$C$6)*自持参数设置!$C$10</f>
        <v>0</v>
      </c>
      <c r="M21" s="1490">
        <f ca="1">(自持参数设置!$C$6)*自持参数设置!$C$10</f>
        <v>0</v>
      </c>
      <c r="N21" s="1490">
        <f ca="1">(自持参数设置!$C$6)*自持参数设置!$C$10</f>
        <v>0</v>
      </c>
      <c r="O21" s="1490">
        <f ca="1">(自持参数设置!$C$6)*自持参数设置!$C$10</f>
        <v>0</v>
      </c>
      <c r="P21" s="1490">
        <f ca="1">(自持参数设置!$C$6)*自持参数设置!$C$10</f>
        <v>0</v>
      </c>
      <c r="Q21" s="1490">
        <f ca="1">(自持参数设置!$C$6)*自持参数设置!$C$10</f>
        <v>0</v>
      </c>
      <c r="R21" s="1490">
        <f ca="1">(自持参数设置!$C$6)*自持参数设置!$C$10</f>
        <v>0</v>
      </c>
      <c r="S21" s="1490">
        <f ca="1">(自持参数设置!$C$6)*自持参数设置!$C$10</f>
        <v>0</v>
      </c>
      <c r="T21" s="1490">
        <f ca="1">(自持参数设置!$C$6)*自持参数设置!$C$10</f>
        <v>0</v>
      </c>
      <c r="U21" s="1490">
        <f ca="1">(自持参数设置!$C$6)*自持参数设置!$C$10</f>
        <v>0</v>
      </c>
      <c r="V21" s="1490">
        <f ca="1">(自持参数设置!$C$6)*自持参数设置!$C$10</f>
        <v>0</v>
      </c>
      <c r="W21" s="1490">
        <f ca="1">(自持参数设置!$C$6)*自持参数设置!$C$10</f>
        <v>0</v>
      </c>
      <c r="X21" s="1490">
        <f ca="1">(自持参数设置!$C$6)*自持参数设置!$C$10</f>
        <v>0</v>
      </c>
      <c r="Y21" s="1490">
        <f ca="1">(自持参数设置!$C$6)*自持参数设置!$C$10</f>
        <v>0</v>
      </c>
      <c r="Z21" s="1490">
        <f ca="1">(自持参数设置!$C$6)*自持参数设置!$C$10</f>
        <v>0</v>
      </c>
      <c r="AA21" s="1490">
        <f ca="1">(自持参数设置!$C$6)*自持参数设置!$C$10</f>
        <v>0</v>
      </c>
      <c r="AB21" s="1490">
        <f ca="1">(自持参数设置!$C$6)*自持参数设置!$C$10</f>
        <v>0</v>
      </c>
      <c r="AC21" s="1490">
        <f ca="1">(自持参数设置!$C$6)*自持参数设置!$C$10</f>
        <v>0</v>
      </c>
      <c r="AD21" s="1490">
        <f ca="1">(自持参数设置!$C$6)*自持参数设置!$C$10</f>
        <v>0</v>
      </c>
      <c r="AE21" s="1490">
        <f ca="1">(自持参数设置!$C$6)*自持参数设置!$C$10</f>
        <v>0</v>
      </c>
      <c r="AF21" s="1490">
        <f ca="1">(自持参数设置!$C$6)*自持参数设置!$C$10</f>
        <v>0</v>
      </c>
      <c r="AG21" s="1490">
        <f ca="1">(自持参数设置!$C$6)*自持参数设置!$C$10</f>
        <v>0</v>
      </c>
      <c r="AH21" s="1490">
        <f ca="1">(自持参数设置!$C$6)*自持参数设置!$C$10</f>
        <v>0</v>
      </c>
      <c r="AI21" s="1490">
        <f ca="1">(自持参数设置!$C$6)*自持参数设置!$C$10</f>
        <v>0</v>
      </c>
      <c r="AJ21" s="1490">
        <f ca="1">(自持参数设置!$C$6)*自持参数设置!$C$10</f>
        <v>0</v>
      </c>
      <c r="AK21" s="1490">
        <f ca="1">(自持参数设置!$C$6)*自持参数设置!$C$10</f>
        <v>0</v>
      </c>
      <c r="AL21" s="1490">
        <f ca="1">(自持参数设置!$C$6)*自持参数设置!$C$10</f>
        <v>0</v>
      </c>
      <c r="AM21" s="1490">
        <f ca="1">(自持参数设置!$C$6)*自持参数设置!$C$10</f>
        <v>0</v>
      </c>
      <c r="AN21" s="1490">
        <f ca="1">(自持参数设置!$C$6)*自持参数设置!$C$10</f>
        <v>0</v>
      </c>
      <c r="AO21" s="1490">
        <f ca="1">(自持参数设置!$C$6)*自持参数设置!$C$10</f>
        <v>0</v>
      </c>
      <c r="AP21" s="1490">
        <f ca="1">(自持参数设置!$C$6)*自持参数设置!$C$10</f>
        <v>0</v>
      </c>
      <c r="AQ21" s="1490">
        <f ca="1">(自持参数设置!$C$6)*自持参数设置!$C$10</f>
        <v>0</v>
      </c>
      <c r="AR21" s="1490">
        <f ca="1">(自持参数设置!$C$6)*自持参数设置!$C$10</f>
        <v>0</v>
      </c>
      <c r="AS21" s="1490">
        <f ca="1">(自持参数设置!$C$6)*自持参数设置!$C$10</f>
        <v>0</v>
      </c>
      <c r="AT21" s="1490">
        <f ca="1">(自持参数设置!$C$6)*自持参数设置!$C$10</f>
        <v>0</v>
      </c>
      <c r="AU21" s="1490">
        <f ca="1">(自持参数设置!$C$6)*自持参数设置!$C$10</f>
        <v>0</v>
      </c>
      <c r="AV21" s="1490">
        <f ca="1">(自持参数设置!$C$6)*自持参数设置!$C$10</f>
        <v>0</v>
      </c>
      <c r="AW21" s="1490">
        <f ca="1">(自持参数设置!$C$6)*自持参数设置!$C$10</f>
        <v>0</v>
      </c>
      <c r="AX21" s="1490">
        <f ca="1">(自持参数设置!$C$6)*自持参数设置!$C$10</f>
        <v>0</v>
      </c>
      <c r="AY21" s="1490">
        <f ca="1">(自持参数设置!$C$6)*自持参数设置!$C$10</f>
        <v>0</v>
      </c>
      <c r="AZ21" s="1490">
        <f ca="1">(自持参数设置!$C$6)*自持参数设置!$C$10</f>
        <v>0</v>
      </c>
      <c r="BA21" s="1490">
        <f ca="1">(自持参数设置!$C$6)*自持参数设置!$C$10</f>
        <v>0</v>
      </c>
      <c r="BB21" s="1490">
        <f ca="1">(自持参数设置!$C$6)*自持参数设置!$C$10</f>
        <v>0</v>
      </c>
      <c r="BC21" s="1490">
        <f ca="1">(自持参数设置!$C$6)*自持参数设置!$C$10</f>
        <v>0</v>
      </c>
      <c r="BD21" s="1490">
        <f ca="1">(自持参数设置!$C$6)*自持参数设置!$C$10</f>
        <v>0</v>
      </c>
      <c r="BE21" s="1490">
        <f ca="1">(自持参数设置!$C$6)*自持参数设置!$C$10</f>
        <v>0</v>
      </c>
      <c r="BF21" s="1490">
        <f ca="1">(自持参数设置!$C$6)*自持参数设置!$C$10</f>
        <v>0</v>
      </c>
      <c r="BG21" s="1490">
        <f ca="1">(自持参数设置!$C$6)*自持参数设置!$C$10</f>
        <v>0</v>
      </c>
      <c r="BH21" s="1490">
        <f ca="1">(自持参数设置!$C$6)*自持参数设置!$C$10</f>
        <v>0</v>
      </c>
      <c r="BI21" s="1490">
        <f ca="1">(自持参数设置!$C$6)*自持参数设置!$C$10</f>
        <v>0</v>
      </c>
      <c r="BJ21" s="1490">
        <f ca="1">(自持参数设置!$C$6)*自持参数设置!$C$10</f>
        <v>0</v>
      </c>
      <c r="BK21" s="1490">
        <f ca="1">(自持参数设置!$C$6)*自持参数设置!$C$10</f>
        <v>0</v>
      </c>
      <c r="BL21" s="1490">
        <f ca="1">(自持参数设置!$C$6)*自持参数设置!$C$10</f>
        <v>0</v>
      </c>
      <c r="BM21" s="1490">
        <f ca="1">(自持参数设置!$C$6)*自持参数设置!$C$10</f>
        <v>0</v>
      </c>
      <c r="BN21" s="1490">
        <f ca="1">(自持参数设置!$C$6)*自持参数设置!$C$10</f>
        <v>0</v>
      </c>
      <c r="BO21" s="1490">
        <f ca="1">(自持参数设置!$C$6)*自持参数设置!$C$10</f>
        <v>0</v>
      </c>
      <c r="BP21" s="1490">
        <f ca="1">(自持参数设置!$C$6)*自持参数设置!$C$10</f>
        <v>0</v>
      </c>
      <c r="BQ21" s="1490">
        <f ca="1">(自持参数设置!$C$6)*自持参数设置!$C$10</f>
        <v>0</v>
      </c>
      <c r="BR21" s="1490">
        <f ca="1">(自持参数设置!$C$6)*自持参数设置!$C$10</f>
        <v>0</v>
      </c>
      <c r="BS21" s="1490">
        <f ca="1">(自持参数设置!$C$6)*自持参数设置!$C$10</f>
        <v>0</v>
      </c>
      <c r="BT21" s="1490">
        <f ca="1">(自持参数设置!$C$6)*自持参数设置!$C$10</f>
        <v>0</v>
      </c>
      <c r="BU21" s="1490">
        <f ca="1">(自持参数设置!$C$6)*自持参数设置!$C$10</f>
        <v>0</v>
      </c>
      <c r="BV21" s="1490">
        <f ca="1">(自持参数设置!$C$6)*自持参数设置!$C$10</f>
        <v>0</v>
      </c>
      <c r="BW21" s="1490">
        <f ca="1">(自持参数设置!$C$6)*自持参数设置!$C$10</f>
        <v>0</v>
      </c>
      <c r="BX21" s="1490">
        <f ca="1">(自持参数设置!$C$6)*自持参数设置!$C$10</f>
        <v>0</v>
      </c>
      <c r="BY21" s="1490">
        <f ca="1">(自持参数设置!$C$6)*自持参数设置!$C$10</f>
        <v>0</v>
      </c>
      <c r="BZ21" s="1490">
        <f ca="1">(自持参数设置!$C$6)*自持参数设置!$C$10</f>
        <v>0</v>
      </c>
      <c r="CA21" s="1490">
        <f ca="1">(自持参数设置!$C$6)*自持参数设置!$C$10</f>
        <v>0</v>
      </c>
      <c r="CB21" s="1490">
        <f ca="1">(自持参数设置!$C$6)*自持参数设置!$C$10</f>
        <v>0</v>
      </c>
      <c r="CC21" s="1490">
        <f ca="1">(自持参数设置!$C$6)*自持参数设置!$C$10</f>
        <v>0</v>
      </c>
      <c r="CD21" s="1490">
        <f ca="1">(自持参数设置!$C$6)*自持参数设置!$C$10</f>
        <v>0</v>
      </c>
      <c r="CE21" s="1490">
        <f ca="1">(自持参数设置!$C$6)*自持参数设置!$C$10</f>
        <v>0</v>
      </c>
      <c r="CF21" s="1490">
        <f ca="1">(自持参数设置!$C$6)*自持参数设置!$C$10</f>
        <v>0</v>
      </c>
      <c r="CG21" s="1490">
        <f ca="1">(自持参数设置!$C$6)*自持参数设置!$C$10</f>
        <v>0</v>
      </c>
      <c r="CH21" s="1490">
        <f ca="1">(自持参数设置!$C$6)*自持参数设置!$C$10</f>
        <v>0</v>
      </c>
      <c r="CI21" s="1490">
        <f ca="1">(自持参数设置!$C$6)*自持参数设置!$C$10</f>
        <v>0</v>
      </c>
      <c r="CJ21" s="1490">
        <f ca="1">(自持参数设置!$C$6)*自持参数设置!$C$10</f>
        <v>0</v>
      </c>
      <c r="CK21" s="1490">
        <f ca="1">(自持参数设置!$C$6)*自持参数设置!$C$10</f>
        <v>0</v>
      </c>
      <c r="CL21" s="1490">
        <f ca="1">(自持参数设置!$C$6)*自持参数设置!$C$10</f>
        <v>0</v>
      </c>
      <c r="CM21" s="1490">
        <f ca="1">(自持参数设置!$C$6)*自持参数设置!$C$10</f>
        <v>0</v>
      </c>
      <c r="CN21" s="1490">
        <f ca="1">(自持参数设置!$C$6)*自持参数设置!$C$10</f>
        <v>0</v>
      </c>
      <c r="CO21" s="1490">
        <f ca="1">(自持参数设置!$C$6)*自持参数设置!$C$10</f>
        <v>0</v>
      </c>
      <c r="CP21" s="1490">
        <f ca="1">(自持参数设置!$C$6)*自持参数设置!$C$10</f>
        <v>0</v>
      </c>
      <c r="CQ21" s="1490">
        <f ca="1">(自持参数设置!$C$6)*自持参数设置!$C$10</f>
        <v>0</v>
      </c>
      <c r="CR21" s="1490">
        <f ca="1">(自持参数设置!$C$6)*自持参数设置!$C$10</f>
        <v>0</v>
      </c>
      <c r="CS21" s="1490">
        <f ca="1">(自持参数设置!$C$6)*自持参数设置!$C$10</f>
        <v>0</v>
      </c>
      <c r="CT21" s="1490">
        <f ca="1">(自持参数设置!$C$6)*自持参数设置!$C$10</f>
        <v>0</v>
      </c>
      <c r="CU21" s="1490">
        <f ca="1">(自持参数设置!$C$6)*自持参数设置!$C$10</f>
        <v>0</v>
      </c>
      <c r="CV21" s="1490">
        <f ca="1">(自持参数设置!$C$6)*自持参数设置!$C$10</f>
        <v>0</v>
      </c>
      <c r="CW21" s="1490">
        <f ca="1">(自持参数设置!$C$6)*自持参数设置!$C$10</f>
        <v>0</v>
      </c>
      <c r="CX21" s="1490">
        <f ca="1">(自持参数设置!$C$6)*自持参数设置!$C$10</f>
        <v>0</v>
      </c>
      <c r="CY21" s="1490">
        <f ca="1">(自持参数设置!$C$6)*自持参数设置!$C$10</f>
        <v>0</v>
      </c>
      <c r="CZ21" s="1490">
        <f ca="1">(自持参数设置!$C$6)*自持参数设置!$C$10</f>
        <v>0</v>
      </c>
      <c r="DA21" s="1490">
        <f ca="1">(自持参数设置!$C$6)*自持参数设置!$C$10</f>
        <v>0</v>
      </c>
      <c r="DB21" s="1490">
        <f ca="1">(自持参数设置!$C$6)*自持参数设置!$C$10</f>
        <v>0</v>
      </c>
      <c r="DC21" s="1490">
        <f ca="1">(自持参数设置!$C$6)*自持参数设置!$C$10</f>
        <v>0</v>
      </c>
      <c r="DD21" s="1490">
        <f ca="1">(自持参数设置!$C$6)*自持参数设置!$C$10</f>
        <v>0</v>
      </c>
      <c r="DE21" s="1490">
        <f ca="1">(自持参数设置!$C$6)*自持参数设置!$C$10</f>
        <v>0</v>
      </c>
      <c r="DF21" s="1490">
        <f ca="1">(自持参数设置!$C$6)*自持参数设置!$C$10</f>
        <v>0</v>
      </c>
      <c r="DG21" s="1490">
        <f ca="1">(自持参数设置!$C$6)*自持参数设置!$C$10</f>
        <v>0</v>
      </c>
      <c r="DH21" s="1490">
        <f ca="1">(自持参数设置!$C$6)*自持参数设置!$C$10</f>
        <v>0</v>
      </c>
      <c r="DI21" s="1490">
        <f ca="1">(自持参数设置!$C$6)*自持参数设置!$C$10</f>
        <v>0</v>
      </c>
      <c r="DJ21" s="1490">
        <f ca="1">(自持参数设置!$C$6)*自持参数设置!$C$10</f>
        <v>0</v>
      </c>
      <c r="DK21" s="1490">
        <f ca="1">(自持参数设置!$C$6)*自持参数设置!$C$10</f>
        <v>0</v>
      </c>
      <c r="DL21" s="1490">
        <f ca="1">(自持参数设置!$C$6)*自持参数设置!$C$10</f>
        <v>0</v>
      </c>
      <c r="DM21" s="1490">
        <f ca="1">(自持参数设置!$C$6)*自持参数设置!$C$10</f>
        <v>0</v>
      </c>
      <c r="DN21" s="1490">
        <f ca="1">(自持参数设置!$C$6)*自持参数设置!$C$10</f>
        <v>0</v>
      </c>
      <c r="DO21" s="1490">
        <f ca="1">(自持参数设置!$C$6)*自持参数设置!$C$10</f>
        <v>0</v>
      </c>
      <c r="DP21" s="1490">
        <f ca="1">(自持参数设置!$C$6)*自持参数设置!$C$10</f>
        <v>0</v>
      </c>
      <c r="DQ21" s="1490">
        <f ca="1">(自持参数设置!$C$6)*自持参数设置!$C$10</f>
        <v>0</v>
      </c>
      <c r="DR21" s="1490">
        <f ca="1">(自持参数设置!$C$6)*自持参数设置!$C$10</f>
        <v>0</v>
      </c>
      <c r="DS21" s="1490">
        <f ca="1">(自持参数设置!$C$6)*自持参数设置!$C$10</f>
        <v>0</v>
      </c>
      <c r="DT21" s="1490">
        <f ca="1">(自持参数设置!$C$6)*自持参数设置!$C$10</f>
        <v>0</v>
      </c>
      <c r="DU21" s="1490"/>
      <c r="DV21" s="1490"/>
      <c r="DW21" s="1490"/>
      <c r="DX21" s="1490"/>
      <c r="DY21" s="1509"/>
      <c r="DZ21" s="1509"/>
      <c r="EA21" s="1509"/>
      <c r="EB21" s="1509"/>
      <c r="EC21" s="1509"/>
      <c r="ED21" s="1509"/>
      <c r="EE21" s="1509"/>
      <c r="EF21" s="1509"/>
      <c r="EG21" s="1509"/>
      <c r="EH21" s="1509"/>
      <c r="EI21" s="1509"/>
      <c r="EJ21" s="1509"/>
      <c r="EK21" s="1509"/>
      <c r="EL21" s="1509"/>
      <c r="EM21" s="1509"/>
      <c r="EN21" s="1509"/>
      <c r="EO21" s="1509"/>
      <c r="EP21" s="1509"/>
      <c r="EQ21" s="1509"/>
      <c r="ER21" s="1509"/>
      <c r="ES21" s="1509"/>
      <c r="ET21" s="1509"/>
      <c r="EU21" s="1509"/>
      <c r="EV21" s="1509"/>
      <c r="EW21" s="1509"/>
      <c r="EX21" s="1509"/>
      <c r="EY21" s="1509"/>
      <c r="EZ21" s="1509"/>
      <c r="FA21" s="1509"/>
      <c r="FB21" s="1509"/>
      <c r="FC21" s="1509"/>
      <c r="FD21" s="1509"/>
      <c r="FE21" s="1509"/>
      <c r="FF21" s="1509"/>
      <c r="FG21" s="1509"/>
      <c r="FH21" s="1509"/>
      <c r="FI21" s="1509"/>
      <c r="FJ21" s="1509"/>
      <c r="FK21" s="1509"/>
      <c r="FL21" s="1536"/>
      <c r="FM21" s="1553"/>
    </row>
    <row r="22" spans="1:169">
      <c r="A22" s="1739"/>
      <c r="B22" s="1739"/>
      <c r="C22" s="1485" t="s">
        <v>204</v>
      </c>
      <c r="D22" s="1486">
        <f t="shared" si="17"/>
        <v>0</v>
      </c>
      <c r="E22" s="1490">
        <f>自持参数设置!$C$5*自持参数设置!$C$11*自持参数设置!$C$14/10000</f>
        <v>0</v>
      </c>
      <c r="F22" s="1490">
        <f>自持参数设置!$C$5*自持参数设置!$C$11*自持参数设置!$C$14/10000</f>
        <v>0</v>
      </c>
      <c r="G22" s="1490">
        <f>自持参数设置!$C$5*自持参数设置!$C$11*自持参数设置!$C$14/10000</f>
        <v>0</v>
      </c>
      <c r="H22" s="1490">
        <f>自持参数设置!$C$5*自持参数设置!$C$11*自持参数设置!$C$14/10000</f>
        <v>0</v>
      </c>
      <c r="I22" s="1490">
        <f>自持参数设置!$C$5*自持参数设置!$C$11*自持参数设置!$C$14/10000</f>
        <v>0</v>
      </c>
      <c r="J22" s="1490">
        <f>自持参数设置!$C$5*自持参数设置!$C$11*自持参数设置!$C$14/10000</f>
        <v>0</v>
      </c>
      <c r="K22" s="1490">
        <f>自持参数设置!$C$5*自持参数设置!$C$11*自持参数设置!$C$14/10000</f>
        <v>0</v>
      </c>
      <c r="L22" s="1490">
        <f>自持参数设置!$C$5*自持参数设置!$C$11*自持参数设置!$C$14/10000</f>
        <v>0</v>
      </c>
      <c r="M22" s="1490">
        <f>自持参数设置!$C$5*自持参数设置!$C$11*自持参数设置!$C$14/10000</f>
        <v>0</v>
      </c>
      <c r="N22" s="1490">
        <f>自持参数设置!$C$5*自持参数设置!$C$11*自持参数设置!$C$14/10000</f>
        <v>0</v>
      </c>
      <c r="O22" s="1490">
        <f>自持参数设置!$C$5*自持参数设置!$C$11*自持参数设置!$C$14/10000</f>
        <v>0</v>
      </c>
      <c r="P22" s="1490">
        <f>自持参数设置!$C$5*自持参数设置!$C$11*自持参数设置!$C$14/10000</f>
        <v>0</v>
      </c>
      <c r="Q22" s="1490">
        <f>自持参数设置!$C$5*自持参数设置!$C$11*自持参数设置!$C$14/10000</f>
        <v>0</v>
      </c>
      <c r="R22" s="1490">
        <f>自持参数设置!$C$5*自持参数设置!$C$11*自持参数设置!$C$14/10000</f>
        <v>0</v>
      </c>
      <c r="S22" s="1490">
        <f>自持参数设置!$C$5*自持参数设置!$C$11*自持参数设置!$C$14/10000</f>
        <v>0</v>
      </c>
      <c r="T22" s="1490">
        <f>自持参数设置!$C$5*自持参数设置!$C$11*自持参数设置!$C$14/10000</f>
        <v>0</v>
      </c>
      <c r="U22" s="1490">
        <f>自持参数设置!$C$5*自持参数设置!$C$11*自持参数设置!$C$14/10000</f>
        <v>0</v>
      </c>
      <c r="V22" s="1490">
        <f>自持参数设置!$C$5*自持参数设置!$C$11*自持参数设置!$C$14/10000</f>
        <v>0</v>
      </c>
      <c r="W22" s="1490">
        <f>自持参数设置!$C$5*自持参数设置!$C$11*自持参数设置!$C$14/10000</f>
        <v>0</v>
      </c>
      <c r="X22" s="1490">
        <f>自持参数设置!$C$5*自持参数设置!$C$11*自持参数设置!$C$14/10000</f>
        <v>0</v>
      </c>
      <c r="Y22" s="1490">
        <f>自持参数设置!$C$5*自持参数设置!$C$11*自持参数设置!$C$14/10000</f>
        <v>0</v>
      </c>
      <c r="Z22" s="1490">
        <f>自持参数设置!$C$5*自持参数设置!$C$11*自持参数设置!$C$14/10000</f>
        <v>0</v>
      </c>
      <c r="AA22" s="1490">
        <f>自持参数设置!$C$5*自持参数设置!$C$11*自持参数设置!$C$14/10000</f>
        <v>0</v>
      </c>
      <c r="AB22" s="1490">
        <f>自持参数设置!$C$5*自持参数设置!$C$11*自持参数设置!$C$14/10000</f>
        <v>0</v>
      </c>
      <c r="AC22" s="1490">
        <f>自持参数设置!$C$5*自持参数设置!$C$11*自持参数设置!$C$14/10000</f>
        <v>0</v>
      </c>
      <c r="AD22" s="1490">
        <f>自持参数设置!$C$5*自持参数设置!$C$11*自持参数设置!$C$14/10000</f>
        <v>0</v>
      </c>
      <c r="AE22" s="1490">
        <f>自持参数设置!$C$5*自持参数设置!$C$11*自持参数设置!$C$14/10000</f>
        <v>0</v>
      </c>
      <c r="AF22" s="1490">
        <f>自持参数设置!$C$5*自持参数设置!$C$11*自持参数设置!$C$14/10000</f>
        <v>0</v>
      </c>
      <c r="AG22" s="1490">
        <f>自持参数设置!$C$5*自持参数设置!$C$11*自持参数设置!$C$14/10000</f>
        <v>0</v>
      </c>
      <c r="AH22" s="1490">
        <f>自持参数设置!$C$5*自持参数设置!$C$11*自持参数设置!$C$14/10000</f>
        <v>0</v>
      </c>
      <c r="AI22" s="1490">
        <f>自持参数设置!$C$5*自持参数设置!$C$11*自持参数设置!$C$14/10000</f>
        <v>0</v>
      </c>
      <c r="AJ22" s="1490">
        <f>自持参数设置!$C$5*自持参数设置!$C$11*自持参数设置!$C$14/10000</f>
        <v>0</v>
      </c>
      <c r="AK22" s="1490">
        <f>自持参数设置!$C$5*自持参数设置!$C$11*自持参数设置!$C$14/10000</f>
        <v>0</v>
      </c>
      <c r="AL22" s="1490">
        <f>自持参数设置!$C$5*自持参数设置!$C$11*自持参数设置!$C$14/10000</f>
        <v>0</v>
      </c>
      <c r="AM22" s="1490">
        <f>自持参数设置!$C$5*自持参数设置!$C$11*自持参数设置!$C$14/10000</f>
        <v>0</v>
      </c>
      <c r="AN22" s="1490">
        <f>自持参数设置!$C$5*自持参数设置!$C$11*自持参数设置!$C$14/10000</f>
        <v>0</v>
      </c>
      <c r="AO22" s="1490">
        <f>自持参数设置!$C$5*自持参数设置!$C$11*自持参数设置!$C$14/10000</f>
        <v>0</v>
      </c>
      <c r="AP22" s="1490">
        <f>自持参数设置!$C$5*自持参数设置!$C$11*自持参数设置!$C$14/10000</f>
        <v>0</v>
      </c>
      <c r="AQ22" s="1490">
        <f>自持参数设置!$C$5*自持参数设置!$C$11*自持参数设置!$C$14/10000</f>
        <v>0</v>
      </c>
      <c r="AR22" s="1490">
        <f>自持参数设置!$C$5*自持参数设置!$C$11*自持参数设置!$C$14/10000</f>
        <v>0</v>
      </c>
      <c r="AS22" s="1490">
        <f>自持参数设置!$C$5*自持参数设置!$C$11*自持参数设置!$C$14/10000</f>
        <v>0</v>
      </c>
      <c r="AT22" s="1490">
        <f>自持参数设置!$C$5*自持参数设置!$C$11*自持参数设置!$C$14/10000</f>
        <v>0</v>
      </c>
      <c r="AU22" s="1490">
        <f>自持参数设置!$C$5*自持参数设置!$C$11*自持参数设置!$C$14/10000</f>
        <v>0</v>
      </c>
      <c r="AV22" s="1490">
        <f>自持参数设置!$C$5*自持参数设置!$C$11*自持参数设置!$C$14/10000</f>
        <v>0</v>
      </c>
      <c r="AW22" s="1490">
        <f>自持参数设置!$C$5*自持参数设置!$C$11*自持参数设置!$C$14/10000</f>
        <v>0</v>
      </c>
      <c r="AX22" s="1490">
        <f>自持参数设置!$C$5*自持参数设置!$C$11*自持参数设置!$C$14/10000</f>
        <v>0</v>
      </c>
      <c r="AY22" s="1490">
        <f>自持参数设置!$C$5*自持参数设置!$C$11*自持参数设置!$C$14/10000</f>
        <v>0</v>
      </c>
      <c r="AZ22" s="1490">
        <f>自持参数设置!$C$5*自持参数设置!$C$11*自持参数设置!$C$14/10000</f>
        <v>0</v>
      </c>
      <c r="BA22" s="1490">
        <f>自持参数设置!$C$5*自持参数设置!$C$11*自持参数设置!$C$14/10000</f>
        <v>0</v>
      </c>
      <c r="BB22" s="1490">
        <f>自持参数设置!$C$5*自持参数设置!$C$11*自持参数设置!$C$14/10000</f>
        <v>0</v>
      </c>
      <c r="BC22" s="1490">
        <f>自持参数设置!$C$5*自持参数设置!$C$11*自持参数设置!$C$14/10000</f>
        <v>0</v>
      </c>
      <c r="BD22" s="1490">
        <f>自持参数设置!$C$5*自持参数设置!$C$11*自持参数设置!$C$14/10000</f>
        <v>0</v>
      </c>
      <c r="BE22" s="1490">
        <f>自持参数设置!$C$5*自持参数设置!$C$11*自持参数设置!$C$14/10000</f>
        <v>0</v>
      </c>
      <c r="BF22" s="1490">
        <f>自持参数设置!$C$5*自持参数设置!$C$11*自持参数设置!$C$14/10000</f>
        <v>0</v>
      </c>
      <c r="BG22" s="1490">
        <f>自持参数设置!$C$5*自持参数设置!$C$11*自持参数设置!$C$14/10000</f>
        <v>0</v>
      </c>
      <c r="BH22" s="1490">
        <f>自持参数设置!$C$5*自持参数设置!$C$11*自持参数设置!$C$14/10000</f>
        <v>0</v>
      </c>
      <c r="BI22" s="1490">
        <f>自持参数设置!$C$5*自持参数设置!$C$11*自持参数设置!$C$14/10000</f>
        <v>0</v>
      </c>
      <c r="BJ22" s="1490">
        <f>自持参数设置!$C$5*自持参数设置!$C$11*自持参数设置!$C$14/10000</f>
        <v>0</v>
      </c>
      <c r="BK22" s="1490">
        <f>自持参数设置!$C$5*自持参数设置!$C$11*自持参数设置!$C$14/10000</f>
        <v>0</v>
      </c>
      <c r="BL22" s="1490">
        <f>自持参数设置!$C$5*自持参数设置!$C$11*自持参数设置!$C$14/10000</f>
        <v>0</v>
      </c>
      <c r="BM22" s="1490">
        <f>自持参数设置!$C$5*自持参数设置!$C$11*自持参数设置!$C$14/10000</f>
        <v>0</v>
      </c>
      <c r="BN22" s="1490">
        <f>自持参数设置!$C$5*自持参数设置!$C$11*自持参数设置!$C$14/10000</f>
        <v>0</v>
      </c>
      <c r="BO22" s="1490">
        <f>自持参数设置!$C$5*自持参数设置!$C$11*自持参数设置!$C$14/10000</f>
        <v>0</v>
      </c>
      <c r="BP22" s="1490">
        <f>自持参数设置!$C$5*自持参数设置!$C$11*自持参数设置!$C$14/10000</f>
        <v>0</v>
      </c>
      <c r="BQ22" s="1490">
        <f>自持参数设置!$C$5*自持参数设置!$C$11*自持参数设置!$C$14/10000</f>
        <v>0</v>
      </c>
      <c r="BR22" s="1490">
        <f>自持参数设置!$C$5*自持参数设置!$C$11*自持参数设置!$C$14/10000</f>
        <v>0</v>
      </c>
      <c r="BS22" s="1490">
        <f>自持参数设置!$C$5*自持参数设置!$C$11*自持参数设置!$C$14/10000</f>
        <v>0</v>
      </c>
      <c r="BT22" s="1490">
        <f>自持参数设置!$C$5*自持参数设置!$C$11*自持参数设置!$C$14/10000</f>
        <v>0</v>
      </c>
      <c r="BU22" s="1490">
        <f>自持参数设置!$C$5*自持参数设置!$C$11*自持参数设置!$C$14/10000</f>
        <v>0</v>
      </c>
      <c r="BV22" s="1490">
        <f>自持参数设置!$C$5*自持参数设置!$C$11*自持参数设置!$C$14/10000</f>
        <v>0</v>
      </c>
      <c r="BW22" s="1490">
        <f>自持参数设置!$C$5*自持参数设置!$C$11*自持参数设置!$C$14/10000</f>
        <v>0</v>
      </c>
      <c r="BX22" s="1490">
        <f>自持参数设置!$C$5*自持参数设置!$C$11*自持参数设置!$C$14/10000</f>
        <v>0</v>
      </c>
      <c r="BY22" s="1490">
        <f>自持参数设置!$C$5*自持参数设置!$C$11*自持参数设置!$C$14/10000</f>
        <v>0</v>
      </c>
      <c r="BZ22" s="1490">
        <f>自持参数设置!$C$5*自持参数设置!$C$11*自持参数设置!$C$14/10000</f>
        <v>0</v>
      </c>
      <c r="CA22" s="1490">
        <f>自持参数设置!$C$5*自持参数设置!$C$11*自持参数设置!$C$14/10000</f>
        <v>0</v>
      </c>
      <c r="CB22" s="1490">
        <f>自持参数设置!$C$5*自持参数设置!$C$11*自持参数设置!$C$14/10000</f>
        <v>0</v>
      </c>
      <c r="CC22" s="1490">
        <f>自持参数设置!$C$5*自持参数设置!$C$11*自持参数设置!$C$14/10000</f>
        <v>0</v>
      </c>
      <c r="CD22" s="1490">
        <f>自持参数设置!$C$5*自持参数设置!$C$11*自持参数设置!$C$14/10000</f>
        <v>0</v>
      </c>
      <c r="CE22" s="1490">
        <f>自持参数设置!$C$5*自持参数设置!$C$11*自持参数设置!$C$14/10000</f>
        <v>0</v>
      </c>
      <c r="CF22" s="1490">
        <f>自持参数设置!$C$5*自持参数设置!$C$11*自持参数设置!$C$14/10000</f>
        <v>0</v>
      </c>
      <c r="CG22" s="1490">
        <f>自持参数设置!$C$5*自持参数设置!$C$11*自持参数设置!$C$14/10000</f>
        <v>0</v>
      </c>
      <c r="CH22" s="1490">
        <f>自持参数设置!$C$5*自持参数设置!$C$11*自持参数设置!$C$14/10000</f>
        <v>0</v>
      </c>
      <c r="CI22" s="1490">
        <f>自持参数设置!$C$5*自持参数设置!$C$11*自持参数设置!$C$14/10000</f>
        <v>0</v>
      </c>
      <c r="CJ22" s="1490">
        <f>自持参数设置!$C$5*自持参数设置!$C$11*自持参数设置!$C$14/10000</f>
        <v>0</v>
      </c>
      <c r="CK22" s="1490">
        <f>自持参数设置!$C$5*自持参数设置!$C$11*自持参数设置!$C$14/10000</f>
        <v>0</v>
      </c>
      <c r="CL22" s="1490">
        <f>自持参数设置!$C$5*自持参数设置!$C$11*自持参数设置!$C$14/10000</f>
        <v>0</v>
      </c>
      <c r="CM22" s="1490">
        <f>自持参数设置!$C$5*自持参数设置!$C$11*自持参数设置!$C$14/10000</f>
        <v>0</v>
      </c>
      <c r="CN22" s="1490">
        <f>自持参数设置!$C$5*自持参数设置!$C$11*自持参数设置!$C$14/10000</f>
        <v>0</v>
      </c>
      <c r="CO22" s="1490">
        <f>自持参数设置!$C$5*自持参数设置!$C$11*自持参数设置!$C$14/10000</f>
        <v>0</v>
      </c>
      <c r="CP22" s="1490">
        <f>自持参数设置!$C$5*自持参数设置!$C$11*自持参数设置!$C$14/10000</f>
        <v>0</v>
      </c>
      <c r="CQ22" s="1490">
        <f>自持参数设置!$C$5*自持参数设置!$C$11*自持参数设置!$C$14/10000</f>
        <v>0</v>
      </c>
      <c r="CR22" s="1490">
        <f>自持参数设置!$C$5*自持参数设置!$C$11*自持参数设置!$C$14/10000</f>
        <v>0</v>
      </c>
      <c r="CS22" s="1490">
        <f>自持参数设置!$C$5*自持参数设置!$C$11*自持参数设置!$C$14/10000</f>
        <v>0</v>
      </c>
      <c r="CT22" s="1490">
        <f>自持参数设置!$C$5*自持参数设置!$C$11*自持参数设置!$C$14/10000</f>
        <v>0</v>
      </c>
      <c r="CU22" s="1490">
        <f>自持参数设置!$C$5*自持参数设置!$C$11*自持参数设置!$C$14/10000</f>
        <v>0</v>
      </c>
      <c r="CV22" s="1490">
        <f>自持参数设置!$C$5*自持参数设置!$C$11*自持参数设置!$C$14/10000</f>
        <v>0</v>
      </c>
      <c r="CW22" s="1490">
        <f>自持参数设置!$C$5*自持参数设置!$C$11*自持参数设置!$C$14/10000</f>
        <v>0</v>
      </c>
      <c r="CX22" s="1490">
        <f>自持参数设置!$C$5*自持参数设置!$C$11*自持参数设置!$C$14/10000</f>
        <v>0</v>
      </c>
      <c r="CY22" s="1490">
        <f>自持参数设置!$C$5*自持参数设置!$C$11*自持参数设置!$C$14/10000</f>
        <v>0</v>
      </c>
      <c r="CZ22" s="1490">
        <f>自持参数设置!$C$5*自持参数设置!$C$11*自持参数设置!$C$14/10000</f>
        <v>0</v>
      </c>
      <c r="DA22" s="1490">
        <f>自持参数设置!$C$5*自持参数设置!$C$11*自持参数设置!$C$14/10000</f>
        <v>0</v>
      </c>
      <c r="DB22" s="1490">
        <f>自持参数设置!$C$5*自持参数设置!$C$11*自持参数设置!$C$14/10000</f>
        <v>0</v>
      </c>
      <c r="DC22" s="1490">
        <f>自持参数设置!$C$5*自持参数设置!$C$11*自持参数设置!$C$14/10000</f>
        <v>0</v>
      </c>
      <c r="DD22" s="1490">
        <f>自持参数设置!$C$5*自持参数设置!$C$11*自持参数设置!$C$14/10000</f>
        <v>0</v>
      </c>
      <c r="DE22" s="1490">
        <f>自持参数设置!$C$5*自持参数设置!$C$11*自持参数设置!$C$14/10000</f>
        <v>0</v>
      </c>
      <c r="DF22" s="1490">
        <f>自持参数设置!$C$5*自持参数设置!$C$11*自持参数设置!$C$14/10000</f>
        <v>0</v>
      </c>
      <c r="DG22" s="1490">
        <f>自持参数设置!$C$5*自持参数设置!$C$11*自持参数设置!$C$14/10000</f>
        <v>0</v>
      </c>
      <c r="DH22" s="1490">
        <f>自持参数设置!$C$5*自持参数设置!$C$11*自持参数设置!$C$14/10000</f>
        <v>0</v>
      </c>
      <c r="DI22" s="1490">
        <f>自持参数设置!$C$5*自持参数设置!$C$11*自持参数设置!$C$14/10000</f>
        <v>0</v>
      </c>
      <c r="DJ22" s="1490">
        <f>自持参数设置!$C$5*自持参数设置!$C$11*自持参数设置!$C$14/10000</f>
        <v>0</v>
      </c>
      <c r="DK22" s="1490">
        <f>自持参数设置!$C$5*自持参数设置!$C$11*自持参数设置!$C$14/10000</f>
        <v>0</v>
      </c>
      <c r="DL22" s="1490">
        <f>自持参数设置!$C$5*自持参数设置!$C$11*自持参数设置!$C$14/10000</f>
        <v>0</v>
      </c>
      <c r="DM22" s="1490">
        <f>自持参数设置!$C$5*自持参数设置!$C$11*自持参数设置!$C$14/10000</f>
        <v>0</v>
      </c>
      <c r="DN22" s="1490">
        <f>自持参数设置!$C$5*自持参数设置!$C$11*自持参数设置!$C$14/10000</f>
        <v>0</v>
      </c>
      <c r="DO22" s="1490">
        <f>自持参数设置!$C$5*自持参数设置!$C$11*自持参数设置!$C$14/10000</f>
        <v>0</v>
      </c>
      <c r="DP22" s="1490">
        <f>自持参数设置!$C$5*自持参数设置!$C$11*自持参数设置!$C$14/10000</f>
        <v>0</v>
      </c>
      <c r="DQ22" s="1490">
        <f>自持参数设置!$C$5*自持参数设置!$C$11*自持参数设置!$C$14/10000</f>
        <v>0</v>
      </c>
      <c r="DR22" s="1490">
        <f>自持参数设置!$C$5*自持参数设置!$C$11*自持参数设置!$C$14/10000</f>
        <v>0</v>
      </c>
      <c r="DS22" s="1490">
        <f>自持参数设置!$C$5*自持参数设置!$C$11*自持参数设置!$C$14/10000</f>
        <v>0</v>
      </c>
      <c r="DT22" s="1490">
        <f>自持参数设置!$C$5*自持参数设置!$C$11*自持参数设置!$C$14/10000</f>
        <v>0</v>
      </c>
      <c r="DU22" s="1490">
        <f>自持参数设置!$C$5*自持参数设置!$C$11*自持参数设置!$C$14/10000</f>
        <v>0</v>
      </c>
      <c r="DV22" s="1490">
        <f>自持参数设置!$C$5*自持参数设置!$C$11*自持参数设置!$C$14/10000</f>
        <v>0</v>
      </c>
      <c r="DW22" s="1490">
        <f>自持参数设置!$C$5*自持参数设置!$C$11*自持参数设置!$C$14/10000</f>
        <v>0</v>
      </c>
      <c r="DX22" s="1490">
        <f>自持参数设置!$C$5*自持参数设置!$C$11*自持参数设置!$C$14/10000</f>
        <v>0</v>
      </c>
      <c r="DY22" s="1490">
        <f>自持参数设置!$C$5*自持参数设置!$C$11*自持参数设置!$C$14/10000</f>
        <v>0</v>
      </c>
      <c r="DZ22" s="1490">
        <f>自持参数设置!$C$5*自持参数设置!$C$11*自持参数设置!$C$14/10000</f>
        <v>0</v>
      </c>
      <c r="EA22" s="1490">
        <f>自持参数设置!$C$5*自持参数设置!$C$11*自持参数设置!$C$14/10000</f>
        <v>0</v>
      </c>
      <c r="EB22" s="1490">
        <f>自持参数设置!$C$5*自持参数设置!$C$11*自持参数设置!$C$14/10000</f>
        <v>0</v>
      </c>
      <c r="EC22" s="1490">
        <f>自持参数设置!$C$5*自持参数设置!$C$11*自持参数设置!$C$14/10000</f>
        <v>0</v>
      </c>
      <c r="ED22" s="1490">
        <f>自持参数设置!$C$5*自持参数设置!$C$11*自持参数设置!$C$14/10000</f>
        <v>0</v>
      </c>
      <c r="EE22" s="1490">
        <f>自持参数设置!$C$5*自持参数设置!$C$11*自持参数设置!$C$14/10000</f>
        <v>0</v>
      </c>
      <c r="EF22" s="1490">
        <f>自持参数设置!$C$5*自持参数设置!$C$11*自持参数设置!$C$14/10000</f>
        <v>0</v>
      </c>
      <c r="EG22" s="1490">
        <f>自持参数设置!$C$5*自持参数设置!$C$11*自持参数设置!$C$14/10000</f>
        <v>0</v>
      </c>
      <c r="EH22" s="1490">
        <f>自持参数设置!$C$5*自持参数设置!$C$11*自持参数设置!$C$14/10000</f>
        <v>0</v>
      </c>
      <c r="EI22" s="1490">
        <f>自持参数设置!$C$5*自持参数设置!$C$11*自持参数设置!$C$14/10000</f>
        <v>0</v>
      </c>
      <c r="EJ22" s="1490">
        <f>自持参数设置!$C$5*自持参数设置!$C$11*自持参数设置!$C$14/10000</f>
        <v>0</v>
      </c>
      <c r="EK22" s="1490">
        <f>自持参数设置!$C$5*自持参数设置!$C$11*自持参数设置!$C$14/10000</f>
        <v>0</v>
      </c>
      <c r="EL22" s="1490">
        <f>自持参数设置!$C$5*自持参数设置!$C$11*自持参数设置!$C$14/10000</f>
        <v>0</v>
      </c>
      <c r="EM22" s="1490">
        <f>自持参数设置!$C$5*自持参数设置!$C$11*自持参数设置!$C$14/10000</f>
        <v>0</v>
      </c>
      <c r="EN22" s="1490">
        <f>自持参数设置!$C$5*自持参数设置!$C$11*自持参数设置!$C$14/10000</f>
        <v>0</v>
      </c>
      <c r="EO22" s="1490">
        <f>自持参数设置!$C$5*自持参数设置!$C$11*自持参数设置!$C$14/10000</f>
        <v>0</v>
      </c>
      <c r="EP22" s="1490">
        <f>自持参数设置!$C$5*自持参数设置!$C$11*自持参数设置!$C$14/10000</f>
        <v>0</v>
      </c>
      <c r="EQ22" s="1490">
        <f>自持参数设置!$C$5*自持参数设置!$C$11*自持参数设置!$C$14/10000</f>
        <v>0</v>
      </c>
      <c r="ER22" s="1490">
        <f>自持参数设置!$C$5*自持参数设置!$C$11*自持参数设置!$C$14/10000</f>
        <v>0</v>
      </c>
      <c r="ES22" s="1490">
        <f>自持参数设置!$C$5*自持参数设置!$C$11*自持参数设置!$C$14/10000</f>
        <v>0</v>
      </c>
      <c r="ET22" s="1490">
        <f>自持参数设置!$C$5*自持参数设置!$C$11*自持参数设置!$C$14/10000</f>
        <v>0</v>
      </c>
      <c r="EU22" s="1490">
        <f>自持参数设置!$C$5*自持参数设置!$C$11*自持参数设置!$C$14/10000</f>
        <v>0</v>
      </c>
      <c r="EV22" s="1490">
        <f>自持参数设置!$C$5*自持参数设置!$C$11*自持参数设置!$C$14/10000</f>
        <v>0</v>
      </c>
      <c r="EW22" s="1490">
        <f>自持参数设置!$C$5*自持参数设置!$C$11*自持参数设置!$C$14/10000</f>
        <v>0</v>
      </c>
      <c r="EX22" s="1490">
        <f>自持参数设置!$C$5*自持参数设置!$C$11*自持参数设置!$C$14/10000</f>
        <v>0</v>
      </c>
      <c r="EY22" s="1490">
        <f>自持参数设置!$C$5*自持参数设置!$C$11*自持参数设置!$C$14/10000</f>
        <v>0</v>
      </c>
      <c r="EZ22" s="1490">
        <f>自持参数设置!$C$5*自持参数设置!$C$11*自持参数设置!$C$14/10000</f>
        <v>0</v>
      </c>
      <c r="FA22" s="1490">
        <f>自持参数设置!$C$5*自持参数设置!$C$11*自持参数设置!$C$14/10000</f>
        <v>0</v>
      </c>
      <c r="FB22" s="1490">
        <f>自持参数设置!$C$5*自持参数设置!$C$11*自持参数设置!$C$14/10000</f>
        <v>0</v>
      </c>
      <c r="FC22" s="1490">
        <f>自持参数设置!$C$5*自持参数设置!$C$11*自持参数设置!$C$14/10000</f>
        <v>0</v>
      </c>
      <c r="FD22" s="1490">
        <f>自持参数设置!$C$5*自持参数设置!$C$11*自持参数设置!$C$14/10000</f>
        <v>0</v>
      </c>
      <c r="FE22" s="1490">
        <f>自持参数设置!$C$5*自持参数设置!$C$11*自持参数设置!$C$14/10000</f>
        <v>0</v>
      </c>
      <c r="FF22" s="1490">
        <f>自持参数设置!$C$5*自持参数设置!$C$11*自持参数设置!$C$14/10000</f>
        <v>0</v>
      </c>
      <c r="FG22" s="1490">
        <f>自持参数设置!$C$5*自持参数设置!$C$11*自持参数设置!$C$14/10000</f>
        <v>0</v>
      </c>
      <c r="FH22" s="1490">
        <f>自持参数设置!$C$5*自持参数设置!$C$11*自持参数设置!$C$14/10000</f>
        <v>0</v>
      </c>
      <c r="FI22" s="1509"/>
      <c r="FJ22" s="1509"/>
      <c r="FK22" s="1509"/>
      <c r="FL22" s="1536"/>
      <c r="FM22" s="1553"/>
    </row>
    <row r="23" spans="1:169">
      <c r="A23" s="1739"/>
      <c r="B23" s="1739"/>
      <c r="C23" s="1485" t="s">
        <v>205</v>
      </c>
      <c r="D23" s="1486">
        <f t="shared" si="17"/>
        <v>0</v>
      </c>
      <c r="E23" s="1490">
        <f>自持参数设置!$C$5*自持参数设置!$C$12*自持参数设置!$C$14/10000</f>
        <v>0</v>
      </c>
      <c r="F23" s="1490">
        <f>自持参数设置!$C$5*自持参数设置!$C$12*自持参数设置!$C$14/10000</f>
        <v>0</v>
      </c>
      <c r="G23" s="1490">
        <f>自持参数设置!$C$5*自持参数设置!$C$12*自持参数设置!$C$14/10000</f>
        <v>0</v>
      </c>
      <c r="H23" s="1490">
        <f>自持参数设置!$C$5*自持参数设置!$C$12*自持参数设置!$C$14/10000</f>
        <v>0</v>
      </c>
      <c r="I23" s="1490">
        <f>自持参数设置!$C$5*自持参数设置!$C$12*自持参数设置!$C$14/10000</f>
        <v>0</v>
      </c>
      <c r="J23" s="1490">
        <f>自持参数设置!$C$5*自持参数设置!$C$12*自持参数设置!$C$14/10000</f>
        <v>0</v>
      </c>
      <c r="K23" s="1490">
        <f>自持参数设置!$C$5*自持参数设置!$C$12*自持参数设置!$C$14/10000</f>
        <v>0</v>
      </c>
      <c r="L23" s="1490">
        <f>自持参数设置!$C$5*自持参数设置!$C$12*自持参数设置!$C$14/10000</f>
        <v>0</v>
      </c>
      <c r="M23" s="1490">
        <f>自持参数设置!$C$5*自持参数设置!$C$12*自持参数设置!$C$14/10000</f>
        <v>0</v>
      </c>
      <c r="N23" s="1490">
        <f>自持参数设置!$C$5*自持参数设置!$C$12*自持参数设置!$C$14/10000</f>
        <v>0</v>
      </c>
      <c r="O23" s="1490">
        <f>自持参数设置!$C$5*自持参数设置!$C$12*自持参数设置!$C$14/10000</f>
        <v>0</v>
      </c>
      <c r="P23" s="1490">
        <f>自持参数设置!$C$5*自持参数设置!$C$12*自持参数设置!$C$14/10000</f>
        <v>0</v>
      </c>
      <c r="Q23" s="1490">
        <f>自持参数设置!$C$5*自持参数设置!$C$12*自持参数设置!$C$14/10000</f>
        <v>0</v>
      </c>
      <c r="R23" s="1490">
        <f>自持参数设置!$C$5*自持参数设置!$C$12*自持参数设置!$C$14/10000</f>
        <v>0</v>
      </c>
      <c r="S23" s="1490">
        <f>自持参数设置!$C$5*自持参数设置!$C$12*自持参数设置!$C$14/10000</f>
        <v>0</v>
      </c>
      <c r="T23" s="1490">
        <f>自持参数设置!$C$5*自持参数设置!$C$12*自持参数设置!$C$14/10000</f>
        <v>0</v>
      </c>
      <c r="U23" s="1490">
        <f>自持参数设置!$C$5*自持参数设置!$C$12*自持参数设置!$C$14/10000</f>
        <v>0</v>
      </c>
      <c r="V23" s="1490">
        <f>自持参数设置!$C$5*自持参数设置!$C$12*自持参数设置!$C$14/10000</f>
        <v>0</v>
      </c>
      <c r="W23" s="1490">
        <f>自持参数设置!$C$5*自持参数设置!$C$12*自持参数设置!$C$14/10000</f>
        <v>0</v>
      </c>
      <c r="X23" s="1490">
        <f>自持参数设置!$C$5*自持参数设置!$C$12*自持参数设置!$C$14/10000</f>
        <v>0</v>
      </c>
      <c r="Y23" s="1490">
        <f>自持参数设置!$C$5*自持参数设置!$C$12*自持参数设置!$C$14/10000</f>
        <v>0</v>
      </c>
      <c r="Z23" s="1490">
        <f>自持参数设置!$C$5*自持参数设置!$C$12*自持参数设置!$C$14/10000</f>
        <v>0</v>
      </c>
      <c r="AA23" s="1490">
        <f>自持参数设置!$C$5*自持参数设置!$C$12*自持参数设置!$C$14/10000</f>
        <v>0</v>
      </c>
      <c r="AB23" s="1490">
        <f>自持参数设置!$C$5*自持参数设置!$C$12*自持参数设置!$C$14/10000</f>
        <v>0</v>
      </c>
      <c r="AC23" s="1490">
        <f>自持参数设置!$C$5*自持参数设置!$C$12*自持参数设置!$C$14/10000</f>
        <v>0</v>
      </c>
      <c r="AD23" s="1490">
        <f>自持参数设置!$C$5*自持参数设置!$C$12*自持参数设置!$C$14/10000</f>
        <v>0</v>
      </c>
      <c r="AE23" s="1490">
        <f>自持参数设置!$C$5*自持参数设置!$C$12*自持参数设置!$C$14/10000</f>
        <v>0</v>
      </c>
      <c r="AF23" s="1490">
        <f>自持参数设置!$C$5*自持参数设置!$C$12*自持参数设置!$C$14/10000</f>
        <v>0</v>
      </c>
      <c r="AG23" s="1490">
        <f>自持参数设置!$C$5*自持参数设置!$C$12*自持参数设置!$C$14/10000</f>
        <v>0</v>
      </c>
      <c r="AH23" s="1490">
        <f>自持参数设置!$C$5*自持参数设置!$C$12*自持参数设置!$C$14/10000</f>
        <v>0</v>
      </c>
      <c r="AI23" s="1490">
        <f>自持参数设置!$C$5*自持参数设置!$C$12*自持参数设置!$C$14/10000</f>
        <v>0</v>
      </c>
      <c r="AJ23" s="1490">
        <f>自持参数设置!$C$5*自持参数设置!$C$12*自持参数设置!$C$14/10000</f>
        <v>0</v>
      </c>
      <c r="AK23" s="1490">
        <f>自持参数设置!$C$5*自持参数设置!$C$12*自持参数设置!$C$14/10000</f>
        <v>0</v>
      </c>
      <c r="AL23" s="1490">
        <f>自持参数设置!$C$5*自持参数设置!$C$12*自持参数设置!$C$14/10000</f>
        <v>0</v>
      </c>
      <c r="AM23" s="1490">
        <f>自持参数设置!$C$5*自持参数设置!$C$12*自持参数设置!$C$14/10000</f>
        <v>0</v>
      </c>
      <c r="AN23" s="1490">
        <f>自持参数设置!$C$5*自持参数设置!$C$12*自持参数设置!$C$14/10000</f>
        <v>0</v>
      </c>
      <c r="AO23" s="1490">
        <f>自持参数设置!$C$5*自持参数设置!$C$12*自持参数设置!$C$14/10000</f>
        <v>0</v>
      </c>
      <c r="AP23" s="1490">
        <f>自持参数设置!$C$5*自持参数设置!$C$12*自持参数设置!$C$14/10000</f>
        <v>0</v>
      </c>
      <c r="AQ23" s="1490">
        <f>自持参数设置!$C$5*自持参数设置!$C$12*自持参数设置!$C$14/10000</f>
        <v>0</v>
      </c>
      <c r="AR23" s="1490">
        <f>自持参数设置!$C$5*自持参数设置!$C$12*自持参数设置!$C$14/10000</f>
        <v>0</v>
      </c>
      <c r="AS23" s="1490">
        <f>自持参数设置!$C$5*自持参数设置!$C$12*自持参数设置!$C$14/10000</f>
        <v>0</v>
      </c>
      <c r="AT23" s="1490">
        <f>自持参数设置!$C$5*自持参数设置!$C$12*自持参数设置!$C$14/10000</f>
        <v>0</v>
      </c>
      <c r="AU23" s="1490">
        <f>自持参数设置!$C$5*自持参数设置!$C$12*自持参数设置!$C$14/10000</f>
        <v>0</v>
      </c>
      <c r="AV23" s="1490">
        <f>自持参数设置!$C$5*自持参数设置!$C$12*自持参数设置!$C$14/10000</f>
        <v>0</v>
      </c>
      <c r="AW23" s="1490">
        <f>自持参数设置!$C$5*自持参数设置!$C$12*自持参数设置!$C$14/10000</f>
        <v>0</v>
      </c>
      <c r="AX23" s="1490">
        <f>自持参数设置!$C$5*自持参数设置!$C$12*自持参数设置!$C$14/10000</f>
        <v>0</v>
      </c>
      <c r="AY23" s="1490">
        <f>自持参数设置!$C$5*自持参数设置!$C$12*自持参数设置!$C$14/10000</f>
        <v>0</v>
      </c>
      <c r="AZ23" s="1490">
        <f>自持参数设置!$C$5*自持参数设置!$C$12*自持参数设置!$C$14/10000</f>
        <v>0</v>
      </c>
      <c r="BA23" s="1490">
        <f>自持参数设置!$C$5*自持参数设置!$C$12*自持参数设置!$C$14/10000</f>
        <v>0</v>
      </c>
      <c r="BB23" s="1490">
        <f>自持参数设置!$C$5*自持参数设置!$C$12*自持参数设置!$C$14/10000</f>
        <v>0</v>
      </c>
      <c r="BC23" s="1490">
        <f>自持参数设置!$C$5*自持参数设置!$C$12*自持参数设置!$C$14/10000</f>
        <v>0</v>
      </c>
      <c r="BD23" s="1490">
        <f>自持参数设置!$C$5*自持参数设置!$C$12*自持参数设置!$C$14/10000</f>
        <v>0</v>
      </c>
      <c r="BE23" s="1490">
        <f>自持参数设置!$C$5*自持参数设置!$C$12*自持参数设置!$C$14/10000</f>
        <v>0</v>
      </c>
      <c r="BF23" s="1490">
        <f>自持参数设置!$C$5*自持参数设置!$C$12*自持参数设置!$C$14/10000</f>
        <v>0</v>
      </c>
      <c r="BG23" s="1490">
        <f>自持参数设置!$C$5*自持参数设置!$C$12*自持参数设置!$C$14/10000</f>
        <v>0</v>
      </c>
      <c r="BH23" s="1490">
        <f>自持参数设置!$C$5*自持参数设置!$C$12*自持参数设置!$C$14/10000</f>
        <v>0</v>
      </c>
      <c r="BI23" s="1490">
        <f>自持参数设置!$C$5*自持参数设置!$C$12*自持参数设置!$C$14/10000</f>
        <v>0</v>
      </c>
      <c r="BJ23" s="1490">
        <f>自持参数设置!$C$5*自持参数设置!$C$12*自持参数设置!$C$14/10000</f>
        <v>0</v>
      </c>
      <c r="BK23" s="1490">
        <f>自持参数设置!$C$5*自持参数设置!$C$12*自持参数设置!$C$14/10000</f>
        <v>0</v>
      </c>
      <c r="BL23" s="1490">
        <f>自持参数设置!$C$5*自持参数设置!$C$12*自持参数设置!$C$14/10000</f>
        <v>0</v>
      </c>
      <c r="BM23" s="1490">
        <f>自持参数设置!$C$5*自持参数设置!$C$12*自持参数设置!$C$14/10000</f>
        <v>0</v>
      </c>
      <c r="BN23" s="1490">
        <f>自持参数设置!$C$5*自持参数设置!$C$12*自持参数设置!$C$14/10000</f>
        <v>0</v>
      </c>
      <c r="BO23" s="1490">
        <f>自持参数设置!$C$5*自持参数设置!$C$12*自持参数设置!$C$14/10000</f>
        <v>0</v>
      </c>
      <c r="BP23" s="1490">
        <f>自持参数设置!$C$5*自持参数设置!$C$12*自持参数设置!$C$14/10000</f>
        <v>0</v>
      </c>
      <c r="BQ23" s="1490">
        <f>自持参数设置!$C$5*自持参数设置!$C$12*自持参数设置!$C$14/10000</f>
        <v>0</v>
      </c>
      <c r="BR23" s="1490">
        <f>自持参数设置!$C$5*自持参数设置!$C$12*自持参数设置!$C$14/10000</f>
        <v>0</v>
      </c>
      <c r="BS23" s="1490">
        <f>自持参数设置!$C$5*自持参数设置!$C$12*自持参数设置!$C$14/10000</f>
        <v>0</v>
      </c>
      <c r="BT23" s="1490">
        <f>自持参数设置!$C$5*自持参数设置!$C$12*自持参数设置!$C$14/10000</f>
        <v>0</v>
      </c>
      <c r="BU23" s="1490">
        <f>自持参数设置!$C$5*自持参数设置!$C$12*自持参数设置!$C$14/10000</f>
        <v>0</v>
      </c>
      <c r="BV23" s="1490">
        <f>自持参数设置!$C$5*自持参数设置!$C$12*自持参数设置!$C$14/10000</f>
        <v>0</v>
      </c>
      <c r="BW23" s="1490">
        <f>自持参数设置!$C$5*自持参数设置!$C$12*自持参数设置!$C$14/10000</f>
        <v>0</v>
      </c>
      <c r="BX23" s="1490">
        <f>自持参数设置!$C$5*自持参数设置!$C$12*自持参数设置!$C$14/10000</f>
        <v>0</v>
      </c>
      <c r="BY23" s="1490">
        <f>自持参数设置!$C$5*自持参数设置!$C$12*自持参数设置!$C$14/10000</f>
        <v>0</v>
      </c>
      <c r="BZ23" s="1490">
        <f>自持参数设置!$C$5*自持参数设置!$C$12*自持参数设置!$C$14/10000</f>
        <v>0</v>
      </c>
      <c r="CA23" s="1490">
        <f>自持参数设置!$C$5*自持参数设置!$C$12*自持参数设置!$C$14/10000</f>
        <v>0</v>
      </c>
      <c r="CB23" s="1490">
        <f>自持参数设置!$C$5*自持参数设置!$C$12*自持参数设置!$C$14/10000</f>
        <v>0</v>
      </c>
      <c r="CC23" s="1490">
        <f>自持参数设置!$C$5*自持参数设置!$C$12*自持参数设置!$C$14/10000</f>
        <v>0</v>
      </c>
      <c r="CD23" s="1490">
        <f>自持参数设置!$C$5*自持参数设置!$C$12*自持参数设置!$C$14/10000</f>
        <v>0</v>
      </c>
      <c r="CE23" s="1490">
        <f>自持参数设置!$C$5*自持参数设置!$C$12*自持参数设置!$C$14/10000</f>
        <v>0</v>
      </c>
      <c r="CF23" s="1490">
        <f>自持参数设置!$C$5*自持参数设置!$C$12*自持参数设置!$C$14/10000</f>
        <v>0</v>
      </c>
      <c r="CG23" s="1490">
        <f>自持参数设置!$C$5*自持参数设置!$C$12*自持参数设置!$C$14/10000</f>
        <v>0</v>
      </c>
      <c r="CH23" s="1490">
        <f>自持参数设置!$C$5*自持参数设置!$C$12*自持参数设置!$C$14/10000</f>
        <v>0</v>
      </c>
      <c r="CI23" s="1490">
        <f>自持参数设置!$C$5*自持参数设置!$C$12*自持参数设置!$C$14/10000</f>
        <v>0</v>
      </c>
      <c r="CJ23" s="1490">
        <f>自持参数设置!$C$5*自持参数设置!$C$12*自持参数设置!$C$14/10000</f>
        <v>0</v>
      </c>
      <c r="CK23" s="1490">
        <f>自持参数设置!$C$5*自持参数设置!$C$12*自持参数设置!$C$14/10000</f>
        <v>0</v>
      </c>
      <c r="CL23" s="1490">
        <f>自持参数设置!$C$5*自持参数设置!$C$12*自持参数设置!$C$14/10000</f>
        <v>0</v>
      </c>
      <c r="CM23" s="1490">
        <f>自持参数设置!$C$5*自持参数设置!$C$12*自持参数设置!$C$14/10000</f>
        <v>0</v>
      </c>
      <c r="CN23" s="1490">
        <f>自持参数设置!$C$5*自持参数设置!$C$12*自持参数设置!$C$14/10000</f>
        <v>0</v>
      </c>
      <c r="CO23" s="1490">
        <f>自持参数设置!$C$5*自持参数设置!$C$12*自持参数设置!$C$14/10000</f>
        <v>0</v>
      </c>
      <c r="CP23" s="1490">
        <f>自持参数设置!$C$5*自持参数设置!$C$12*自持参数设置!$C$14/10000</f>
        <v>0</v>
      </c>
      <c r="CQ23" s="1490">
        <f>自持参数设置!$C$5*自持参数设置!$C$12*自持参数设置!$C$14/10000</f>
        <v>0</v>
      </c>
      <c r="CR23" s="1490">
        <f>自持参数设置!$C$5*自持参数设置!$C$12*自持参数设置!$C$14/10000</f>
        <v>0</v>
      </c>
      <c r="CS23" s="1490">
        <f>自持参数设置!$C$5*自持参数设置!$C$12*自持参数设置!$C$14/10000</f>
        <v>0</v>
      </c>
      <c r="CT23" s="1490">
        <f>自持参数设置!$C$5*自持参数设置!$C$12*自持参数设置!$C$14/10000</f>
        <v>0</v>
      </c>
      <c r="CU23" s="1490">
        <f>自持参数设置!$C$5*自持参数设置!$C$12*自持参数设置!$C$14/10000</f>
        <v>0</v>
      </c>
      <c r="CV23" s="1490">
        <f>自持参数设置!$C$5*自持参数设置!$C$12*自持参数设置!$C$14/10000</f>
        <v>0</v>
      </c>
      <c r="CW23" s="1490">
        <f>自持参数设置!$C$5*自持参数设置!$C$12*自持参数设置!$C$14/10000</f>
        <v>0</v>
      </c>
      <c r="CX23" s="1490">
        <f>自持参数设置!$C$5*自持参数设置!$C$12*自持参数设置!$C$14/10000</f>
        <v>0</v>
      </c>
      <c r="CY23" s="1490">
        <f>自持参数设置!$C$5*自持参数设置!$C$12*自持参数设置!$C$14/10000</f>
        <v>0</v>
      </c>
      <c r="CZ23" s="1490">
        <f>自持参数设置!$C$5*自持参数设置!$C$12*自持参数设置!$C$14/10000</f>
        <v>0</v>
      </c>
      <c r="DA23" s="1490">
        <f>自持参数设置!$C$5*自持参数设置!$C$12*自持参数设置!$C$14/10000</f>
        <v>0</v>
      </c>
      <c r="DB23" s="1490">
        <f>自持参数设置!$C$5*自持参数设置!$C$12*自持参数设置!$C$14/10000</f>
        <v>0</v>
      </c>
      <c r="DC23" s="1490">
        <f>自持参数设置!$C$5*自持参数设置!$C$12*自持参数设置!$C$14/10000</f>
        <v>0</v>
      </c>
      <c r="DD23" s="1490">
        <f>自持参数设置!$C$5*自持参数设置!$C$12*自持参数设置!$C$14/10000</f>
        <v>0</v>
      </c>
      <c r="DE23" s="1490">
        <f>自持参数设置!$C$5*自持参数设置!$C$12*自持参数设置!$C$14/10000</f>
        <v>0</v>
      </c>
      <c r="DF23" s="1490">
        <f>自持参数设置!$C$5*自持参数设置!$C$12*自持参数设置!$C$14/10000</f>
        <v>0</v>
      </c>
      <c r="DG23" s="1490">
        <f>自持参数设置!$C$5*自持参数设置!$C$12*自持参数设置!$C$14/10000</f>
        <v>0</v>
      </c>
      <c r="DH23" s="1490">
        <f>自持参数设置!$C$5*自持参数设置!$C$12*自持参数设置!$C$14/10000</f>
        <v>0</v>
      </c>
      <c r="DI23" s="1490">
        <f>自持参数设置!$C$5*自持参数设置!$C$12*自持参数设置!$C$14/10000</f>
        <v>0</v>
      </c>
      <c r="DJ23" s="1490">
        <f>自持参数设置!$C$5*自持参数设置!$C$12*自持参数设置!$C$14/10000</f>
        <v>0</v>
      </c>
      <c r="DK23" s="1490">
        <f>自持参数设置!$C$5*自持参数设置!$C$12*自持参数设置!$C$14/10000</f>
        <v>0</v>
      </c>
      <c r="DL23" s="1490">
        <f>自持参数设置!$C$5*自持参数设置!$C$12*自持参数设置!$C$14/10000</f>
        <v>0</v>
      </c>
      <c r="DM23" s="1490">
        <f>自持参数设置!$C$5*自持参数设置!$C$12*自持参数设置!$C$14/10000</f>
        <v>0</v>
      </c>
      <c r="DN23" s="1490">
        <f>自持参数设置!$C$5*自持参数设置!$C$12*自持参数设置!$C$14/10000</f>
        <v>0</v>
      </c>
      <c r="DO23" s="1490">
        <f>自持参数设置!$C$5*自持参数设置!$C$12*自持参数设置!$C$14/10000</f>
        <v>0</v>
      </c>
      <c r="DP23" s="1490">
        <f>自持参数设置!$C$5*自持参数设置!$C$12*自持参数设置!$C$14/10000</f>
        <v>0</v>
      </c>
      <c r="DQ23" s="1490">
        <f>自持参数设置!$C$5*自持参数设置!$C$12*自持参数设置!$C$14/10000</f>
        <v>0</v>
      </c>
      <c r="DR23" s="1490">
        <f>自持参数设置!$C$5*自持参数设置!$C$12*自持参数设置!$C$14/10000</f>
        <v>0</v>
      </c>
      <c r="DS23" s="1490">
        <f>自持参数设置!$C$5*自持参数设置!$C$12*自持参数设置!$C$14/10000</f>
        <v>0</v>
      </c>
      <c r="DT23" s="1490">
        <f>自持参数设置!$C$5*自持参数设置!$C$12*自持参数设置!$C$14/10000</f>
        <v>0</v>
      </c>
      <c r="DU23" s="1490">
        <f>自持参数设置!$C$5*自持参数设置!$C$12*自持参数设置!$C$14/10000</f>
        <v>0</v>
      </c>
      <c r="DV23" s="1490">
        <f>自持参数设置!$C$5*自持参数设置!$C$12*自持参数设置!$C$14/10000</f>
        <v>0</v>
      </c>
      <c r="DW23" s="1490">
        <f>自持参数设置!$C$5*自持参数设置!$C$12*自持参数设置!$C$14/10000</f>
        <v>0</v>
      </c>
      <c r="DX23" s="1490">
        <f>自持参数设置!$C$5*自持参数设置!$C$12*自持参数设置!$C$14/10000</f>
        <v>0</v>
      </c>
      <c r="DY23" s="1490">
        <f>自持参数设置!$C$5*自持参数设置!$C$12*自持参数设置!$C$14/10000</f>
        <v>0</v>
      </c>
      <c r="DZ23" s="1490">
        <f>自持参数设置!$C$5*自持参数设置!$C$12*自持参数设置!$C$14/10000</f>
        <v>0</v>
      </c>
      <c r="EA23" s="1490">
        <f>自持参数设置!$C$5*自持参数设置!$C$12*自持参数设置!$C$14/10000</f>
        <v>0</v>
      </c>
      <c r="EB23" s="1490">
        <f>自持参数设置!$C$5*自持参数设置!$C$12*自持参数设置!$C$14/10000</f>
        <v>0</v>
      </c>
      <c r="EC23" s="1490">
        <f>自持参数设置!$C$5*自持参数设置!$C$12*自持参数设置!$C$14/10000</f>
        <v>0</v>
      </c>
      <c r="ED23" s="1490">
        <f>自持参数设置!$C$5*自持参数设置!$C$12*自持参数设置!$C$14/10000</f>
        <v>0</v>
      </c>
      <c r="EE23" s="1490">
        <f>自持参数设置!$C$5*自持参数设置!$C$12*自持参数设置!$C$14/10000</f>
        <v>0</v>
      </c>
      <c r="EF23" s="1490">
        <f>自持参数设置!$C$5*自持参数设置!$C$12*自持参数设置!$C$14/10000</f>
        <v>0</v>
      </c>
      <c r="EG23" s="1490">
        <f>自持参数设置!$C$5*自持参数设置!$C$12*自持参数设置!$C$14/10000</f>
        <v>0</v>
      </c>
      <c r="EH23" s="1490">
        <f>自持参数设置!$C$5*自持参数设置!$C$12*自持参数设置!$C$14/10000</f>
        <v>0</v>
      </c>
      <c r="EI23" s="1490">
        <f>自持参数设置!$C$5*自持参数设置!$C$12*自持参数设置!$C$14/10000</f>
        <v>0</v>
      </c>
      <c r="EJ23" s="1490">
        <f>自持参数设置!$C$5*自持参数设置!$C$12*自持参数设置!$C$14/10000</f>
        <v>0</v>
      </c>
      <c r="EK23" s="1490">
        <f>自持参数设置!$C$5*自持参数设置!$C$12*自持参数设置!$C$14/10000</f>
        <v>0</v>
      </c>
      <c r="EL23" s="1490">
        <f>自持参数设置!$C$5*自持参数设置!$C$12*自持参数设置!$C$14/10000</f>
        <v>0</v>
      </c>
      <c r="EM23" s="1490">
        <f>自持参数设置!$C$5*自持参数设置!$C$12*自持参数设置!$C$14/10000</f>
        <v>0</v>
      </c>
      <c r="EN23" s="1490">
        <f>自持参数设置!$C$5*自持参数设置!$C$12*自持参数设置!$C$14/10000</f>
        <v>0</v>
      </c>
      <c r="EO23" s="1490">
        <f>自持参数设置!$C$5*自持参数设置!$C$12*自持参数设置!$C$14/10000</f>
        <v>0</v>
      </c>
      <c r="EP23" s="1490">
        <f>自持参数设置!$C$5*自持参数设置!$C$12*自持参数设置!$C$14/10000</f>
        <v>0</v>
      </c>
      <c r="EQ23" s="1490">
        <f>自持参数设置!$C$5*自持参数设置!$C$12*自持参数设置!$C$14/10000</f>
        <v>0</v>
      </c>
      <c r="ER23" s="1490">
        <f>自持参数设置!$C$5*自持参数设置!$C$12*自持参数设置!$C$14/10000</f>
        <v>0</v>
      </c>
      <c r="ES23" s="1490">
        <f>自持参数设置!$C$5*自持参数设置!$C$12*自持参数设置!$C$14/10000</f>
        <v>0</v>
      </c>
      <c r="ET23" s="1490">
        <f>自持参数设置!$C$5*自持参数设置!$C$12*自持参数设置!$C$14/10000</f>
        <v>0</v>
      </c>
      <c r="EU23" s="1490">
        <f>自持参数设置!$C$5*自持参数设置!$C$12*自持参数设置!$C$14/10000</f>
        <v>0</v>
      </c>
      <c r="EV23" s="1490">
        <f>自持参数设置!$C$5*自持参数设置!$C$12*自持参数设置!$C$14/10000</f>
        <v>0</v>
      </c>
      <c r="EW23" s="1490">
        <f>自持参数设置!$C$5*自持参数设置!$C$12*自持参数设置!$C$14/10000</f>
        <v>0</v>
      </c>
      <c r="EX23" s="1490">
        <f>自持参数设置!$C$5*自持参数设置!$C$12*自持参数设置!$C$14/10000</f>
        <v>0</v>
      </c>
      <c r="EY23" s="1490">
        <f>自持参数设置!$C$5*自持参数设置!$C$12*自持参数设置!$C$14/10000</f>
        <v>0</v>
      </c>
      <c r="EZ23" s="1490">
        <f>自持参数设置!$C$5*自持参数设置!$C$12*自持参数设置!$C$14/10000</f>
        <v>0</v>
      </c>
      <c r="FA23" s="1490">
        <f>自持参数设置!$C$5*自持参数设置!$C$12*自持参数设置!$C$14/10000</f>
        <v>0</v>
      </c>
      <c r="FB23" s="1490">
        <f>自持参数设置!$C$5*自持参数设置!$C$12*自持参数设置!$C$14/10000</f>
        <v>0</v>
      </c>
      <c r="FC23" s="1490">
        <f>自持参数设置!$C$5*自持参数设置!$C$12*自持参数设置!$C$14/10000</f>
        <v>0</v>
      </c>
      <c r="FD23" s="1490">
        <f>自持参数设置!$C$5*自持参数设置!$C$12*自持参数设置!$C$14/10000</f>
        <v>0</v>
      </c>
      <c r="FE23" s="1490">
        <f>自持参数设置!$C$5*自持参数设置!$C$12*自持参数设置!$C$14/10000</f>
        <v>0</v>
      </c>
      <c r="FF23" s="1490">
        <f>自持参数设置!$C$5*自持参数设置!$C$12*自持参数设置!$C$14/10000</f>
        <v>0</v>
      </c>
      <c r="FG23" s="1490">
        <f>自持参数设置!$C$5*自持参数设置!$C$12*自持参数设置!$C$14/10000</f>
        <v>0</v>
      </c>
      <c r="FH23" s="1490">
        <f>自持参数设置!$C$5*自持参数设置!$C$12*自持参数设置!$C$14/10000</f>
        <v>0</v>
      </c>
      <c r="FI23" s="1509"/>
      <c r="FJ23" s="1509"/>
      <c r="FK23" s="1509"/>
      <c r="FL23" s="1536"/>
      <c r="FM23" s="1553"/>
    </row>
    <row r="24" spans="1:169">
      <c r="A24" s="1739"/>
      <c r="B24" s="1739"/>
      <c r="C24" s="1485" t="s">
        <v>206</v>
      </c>
      <c r="D24" s="1486">
        <f t="shared" si="17"/>
        <v>0</v>
      </c>
      <c r="E24" s="1490">
        <f t="shared" ref="E24:M24" si="21">E14*0.9</f>
        <v>0</v>
      </c>
      <c r="F24" s="1490">
        <f t="shared" si="21"/>
        <v>0</v>
      </c>
      <c r="G24" s="1490">
        <f t="shared" si="21"/>
        <v>0</v>
      </c>
      <c r="H24" s="1490">
        <f t="shared" si="21"/>
        <v>0</v>
      </c>
      <c r="I24" s="1490">
        <f t="shared" si="21"/>
        <v>0</v>
      </c>
      <c r="J24" s="1490">
        <f t="shared" si="21"/>
        <v>0</v>
      </c>
      <c r="K24" s="1490">
        <f t="shared" si="21"/>
        <v>0</v>
      </c>
      <c r="L24" s="1490">
        <f t="shared" si="21"/>
        <v>0</v>
      </c>
      <c r="M24" s="1490">
        <f t="shared" si="21"/>
        <v>0</v>
      </c>
      <c r="N24" s="1490">
        <f t="shared" ref="N24:BR24" si="22">N14*0.9</f>
        <v>0</v>
      </c>
      <c r="O24" s="1490">
        <f t="shared" si="22"/>
        <v>0</v>
      </c>
      <c r="P24" s="1490">
        <f t="shared" si="22"/>
        <v>0</v>
      </c>
      <c r="Q24" s="1490">
        <f t="shared" si="22"/>
        <v>0</v>
      </c>
      <c r="R24" s="1490">
        <f t="shared" si="22"/>
        <v>0</v>
      </c>
      <c r="S24" s="1490">
        <f t="shared" si="22"/>
        <v>0</v>
      </c>
      <c r="T24" s="1490">
        <f t="shared" si="22"/>
        <v>0</v>
      </c>
      <c r="U24" s="1490">
        <f t="shared" si="22"/>
        <v>0</v>
      </c>
      <c r="V24" s="1490">
        <f t="shared" si="22"/>
        <v>0</v>
      </c>
      <c r="W24" s="1490">
        <f t="shared" si="22"/>
        <v>0</v>
      </c>
      <c r="X24" s="1490">
        <f t="shared" si="22"/>
        <v>0</v>
      </c>
      <c r="Y24" s="1490">
        <f t="shared" si="22"/>
        <v>0</v>
      </c>
      <c r="Z24" s="1490">
        <f t="shared" si="22"/>
        <v>0</v>
      </c>
      <c r="AA24" s="1490">
        <f t="shared" si="22"/>
        <v>0</v>
      </c>
      <c r="AB24" s="1490">
        <f t="shared" si="22"/>
        <v>0</v>
      </c>
      <c r="AC24" s="1490">
        <f t="shared" si="22"/>
        <v>0</v>
      </c>
      <c r="AD24" s="1490">
        <f t="shared" si="22"/>
        <v>0</v>
      </c>
      <c r="AE24" s="1490">
        <f t="shared" si="22"/>
        <v>0</v>
      </c>
      <c r="AF24" s="1490">
        <f t="shared" si="22"/>
        <v>0</v>
      </c>
      <c r="AG24" s="1490">
        <f t="shared" si="22"/>
        <v>0</v>
      </c>
      <c r="AH24" s="1490">
        <f t="shared" si="22"/>
        <v>0</v>
      </c>
      <c r="AI24" s="1490">
        <f t="shared" si="22"/>
        <v>0</v>
      </c>
      <c r="AJ24" s="1490">
        <f t="shared" si="22"/>
        <v>0</v>
      </c>
      <c r="AK24" s="1490">
        <f t="shared" si="22"/>
        <v>0</v>
      </c>
      <c r="AL24" s="1490">
        <f t="shared" si="22"/>
        <v>0</v>
      </c>
      <c r="AM24" s="1490">
        <f t="shared" si="22"/>
        <v>0</v>
      </c>
      <c r="AN24" s="1490">
        <f t="shared" si="22"/>
        <v>0</v>
      </c>
      <c r="AO24" s="1490">
        <f t="shared" si="22"/>
        <v>0</v>
      </c>
      <c r="AP24" s="1490">
        <f t="shared" si="22"/>
        <v>0</v>
      </c>
      <c r="AQ24" s="1490">
        <f t="shared" si="22"/>
        <v>0</v>
      </c>
      <c r="AR24" s="1490">
        <f t="shared" si="22"/>
        <v>0</v>
      </c>
      <c r="AS24" s="1490">
        <f t="shared" si="22"/>
        <v>0</v>
      </c>
      <c r="AT24" s="1490">
        <f t="shared" si="22"/>
        <v>0</v>
      </c>
      <c r="AU24" s="1490">
        <f t="shared" si="22"/>
        <v>0</v>
      </c>
      <c r="AV24" s="1490">
        <f t="shared" si="22"/>
        <v>0</v>
      </c>
      <c r="AW24" s="1490">
        <f t="shared" si="22"/>
        <v>0</v>
      </c>
      <c r="AX24" s="1490">
        <f t="shared" si="22"/>
        <v>0</v>
      </c>
      <c r="AY24" s="1490">
        <f t="shared" si="22"/>
        <v>0</v>
      </c>
      <c r="AZ24" s="1490">
        <f t="shared" si="22"/>
        <v>0</v>
      </c>
      <c r="BA24" s="1490">
        <f t="shared" si="22"/>
        <v>0</v>
      </c>
      <c r="BB24" s="1490">
        <f t="shared" si="22"/>
        <v>0</v>
      </c>
      <c r="BC24" s="1490">
        <f t="shared" si="22"/>
        <v>0</v>
      </c>
      <c r="BD24" s="1490">
        <f t="shared" si="22"/>
        <v>0</v>
      </c>
      <c r="BE24" s="1490">
        <f t="shared" si="22"/>
        <v>0</v>
      </c>
      <c r="BF24" s="1490">
        <f t="shared" si="22"/>
        <v>0</v>
      </c>
      <c r="BG24" s="1490">
        <f t="shared" si="22"/>
        <v>0</v>
      </c>
      <c r="BH24" s="1490">
        <f t="shared" si="22"/>
        <v>0</v>
      </c>
      <c r="BI24" s="1490">
        <f t="shared" si="22"/>
        <v>0</v>
      </c>
      <c r="BJ24" s="1490">
        <f t="shared" si="22"/>
        <v>0</v>
      </c>
      <c r="BK24" s="1490">
        <f t="shared" si="22"/>
        <v>0</v>
      </c>
      <c r="BL24" s="1490">
        <f t="shared" si="22"/>
        <v>0</v>
      </c>
      <c r="BM24" s="1490">
        <f t="shared" si="22"/>
        <v>0</v>
      </c>
      <c r="BN24" s="1490">
        <f t="shared" si="22"/>
        <v>0</v>
      </c>
      <c r="BO24" s="1490">
        <f t="shared" si="22"/>
        <v>0</v>
      </c>
      <c r="BP24" s="1490">
        <f t="shared" si="22"/>
        <v>0</v>
      </c>
      <c r="BQ24" s="1490">
        <f t="shared" si="22"/>
        <v>0</v>
      </c>
      <c r="BR24" s="1490">
        <f t="shared" si="22"/>
        <v>0</v>
      </c>
      <c r="BS24" s="1490">
        <f t="shared" ref="BS24:ED24" si="23">BS14*0.9</f>
        <v>0</v>
      </c>
      <c r="BT24" s="1490">
        <f t="shared" si="23"/>
        <v>0</v>
      </c>
      <c r="BU24" s="1490">
        <f t="shared" si="23"/>
        <v>0</v>
      </c>
      <c r="BV24" s="1490">
        <f t="shared" si="23"/>
        <v>0</v>
      </c>
      <c r="BW24" s="1490">
        <f t="shared" si="23"/>
        <v>0</v>
      </c>
      <c r="BX24" s="1490">
        <f t="shared" si="23"/>
        <v>0</v>
      </c>
      <c r="BY24" s="1490">
        <f t="shared" si="23"/>
        <v>0</v>
      </c>
      <c r="BZ24" s="1490">
        <f t="shared" si="23"/>
        <v>0</v>
      </c>
      <c r="CA24" s="1490">
        <f t="shared" si="23"/>
        <v>0</v>
      </c>
      <c r="CB24" s="1490">
        <f t="shared" si="23"/>
        <v>0</v>
      </c>
      <c r="CC24" s="1490">
        <f t="shared" si="23"/>
        <v>0</v>
      </c>
      <c r="CD24" s="1490">
        <f t="shared" si="23"/>
        <v>0</v>
      </c>
      <c r="CE24" s="1490">
        <f t="shared" si="23"/>
        <v>0</v>
      </c>
      <c r="CF24" s="1490">
        <f t="shared" si="23"/>
        <v>0</v>
      </c>
      <c r="CG24" s="1490">
        <f t="shared" si="23"/>
        <v>0</v>
      </c>
      <c r="CH24" s="1490">
        <f t="shared" si="23"/>
        <v>0</v>
      </c>
      <c r="CI24" s="1490">
        <f t="shared" si="23"/>
        <v>0</v>
      </c>
      <c r="CJ24" s="1490">
        <f t="shared" si="23"/>
        <v>0</v>
      </c>
      <c r="CK24" s="1490">
        <f t="shared" si="23"/>
        <v>0</v>
      </c>
      <c r="CL24" s="1490">
        <f t="shared" si="23"/>
        <v>0</v>
      </c>
      <c r="CM24" s="1490">
        <f t="shared" si="23"/>
        <v>0</v>
      </c>
      <c r="CN24" s="1490">
        <f t="shared" si="23"/>
        <v>0</v>
      </c>
      <c r="CO24" s="1490">
        <f t="shared" si="23"/>
        <v>0</v>
      </c>
      <c r="CP24" s="1490">
        <f t="shared" si="23"/>
        <v>0</v>
      </c>
      <c r="CQ24" s="1490">
        <f t="shared" si="23"/>
        <v>0</v>
      </c>
      <c r="CR24" s="1490">
        <f t="shared" si="23"/>
        <v>0</v>
      </c>
      <c r="CS24" s="1490">
        <f t="shared" si="23"/>
        <v>0</v>
      </c>
      <c r="CT24" s="1490">
        <f t="shared" si="23"/>
        <v>0</v>
      </c>
      <c r="CU24" s="1490">
        <f t="shared" si="23"/>
        <v>0</v>
      </c>
      <c r="CV24" s="1490">
        <f t="shared" si="23"/>
        <v>0</v>
      </c>
      <c r="CW24" s="1490">
        <f t="shared" si="23"/>
        <v>0</v>
      </c>
      <c r="CX24" s="1490">
        <f t="shared" si="23"/>
        <v>0</v>
      </c>
      <c r="CY24" s="1490">
        <f t="shared" si="23"/>
        <v>0</v>
      </c>
      <c r="CZ24" s="1490">
        <f t="shared" si="23"/>
        <v>0</v>
      </c>
      <c r="DA24" s="1490">
        <f t="shared" si="23"/>
        <v>0</v>
      </c>
      <c r="DB24" s="1490">
        <f t="shared" si="23"/>
        <v>0</v>
      </c>
      <c r="DC24" s="1490">
        <f t="shared" si="23"/>
        <v>0</v>
      </c>
      <c r="DD24" s="1490">
        <f t="shared" si="23"/>
        <v>0</v>
      </c>
      <c r="DE24" s="1490">
        <f t="shared" si="23"/>
        <v>0</v>
      </c>
      <c r="DF24" s="1490">
        <f t="shared" si="23"/>
        <v>0</v>
      </c>
      <c r="DG24" s="1490">
        <f t="shared" si="23"/>
        <v>0</v>
      </c>
      <c r="DH24" s="1490">
        <f t="shared" si="23"/>
        <v>0</v>
      </c>
      <c r="DI24" s="1490">
        <f t="shared" si="23"/>
        <v>0</v>
      </c>
      <c r="DJ24" s="1490">
        <f t="shared" si="23"/>
        <v>0</v>
      </c>
      <c r="DK24" s="1490">
        <f t="shared" si="23"/>
        <v>0</v>
      </c>
      <c r="DL24" s="1490">
        <f t="shared" si="23"/>
        <v>0</v>
      </c>
      <c r="DM24" s="1490">
        <f t="shared" si="23"/>
        <v>0</v>
      </c>
      <c r="DN24" s="1490">
        <f t="shared" si="23"/>
        <v>0</v>
      </c>
      <c r="DO24" s="1490">
        <f t="shared" si="23"/>
        <v>0</v>
      </c>
      <c r="DP24" s="1490">
        <f t="shared" si="23"/>
        <v>0</v>
      </c>
      <c r="DQ24" s="1490">
        <f t="shared" si="23"/>
        <v>0</v>
      </c>
      <c r="DR24" s="1490">
        <f t="shared" si="23"/>
        <v>0</v>
      </c>
      <c r="DS24" s="1490">
        <f t="shared" si="23"/>
        <v>0</v>
      </c>
      <c r="DT24" s="1490">
        <f t="shared" si="23"/>
        <v>0</v>
      </c>
      <c r="DU24" s="1490">
        <f t="shared" si="23"/>
        <v>0</v>
      </c>
      <c r="DV24" s="1490">
        <f t="shared" si="23"/>
        <v>0</v>
      </c>
      <c r="DW24" s="1490">
        <f t="shared" si="23"/>
        <v>0</v>
      </c>
      <c r="DX24" s="1490">
        <f t="shared" si="23"/>
        <v>0</v>
      </c>
      <c r="DY24" s="1490">
        <f t="shared" si="23"/>
        <v>0</v>
      </c>
      <c r="DZ24" s="1490">
        <f t="shared" si="23"/>
        <v>0</v>
      </c>
      <c r="EA24" s="1490">
        <f t="shared" si="23"/>
        <v>0</v>
      </c>
      <c r="EB24" s="1490">
        <f t="shared" si="23"/>
        <v>0</v>
      </c>
      <c r="EC24" s="1490">
        <f t="shared" si="23"/>
        <v>0</v>
      </c>
      <c r="ED24" s="1490">
        <f t="shared" si="23"/>
        <v>0</v>
      </c>
      <c r="EE24" s="1490">
        <f t="shared" ref="EE24:FH24" si="24">EE14*0.9</f>
        <v>0</v>
      </c>
      <c r="EF24" s="1490">
        <f t="shared" si="24"/>
        <v>0</v>
      </c>
      <c r="EG24" s="1490">
        <f t="shared" si="24"/>
        <v>0</v>
      </c>
      <c r="EH24" s="1490">
        <f t="shared" si="24"/>
        <v>0</v>
      </c>
      <c r="EI24" s="1490">
        <f t="shared" si="24"/>
        <v>0</v>
      </c>
      <c r="EJ24" s="1490">
        <f t="shared" si="24"/>
        <v>0</v>
      </c>
      <c r="EK24" s="1490">
        <f t="shared" si="24"/>
        <v>0</v>
      </c>
      <c r="EL24" s="1490">
        <f t="shared" si="24"/>
        <v>0</v>
      </c>
      <c r="EM24" s="1490">
        <f t="shared" si="24"/>
        <v>0</v>
      </c>
      <c r="EN24" s="1490">
        <f t="shared" si="24"/>
        <v>0</v>
      </c>
      <c r="EO24" s="1490">
        <f t="shared" si="24"/>
        <v>0</v>
      </c>
      <c r="EP24" s="1490">
        <f t="shared" si="24"/>
        <v>0</v>
      </c>
      <c r="EQ24" s="1490">
        <f t="shared" si="24"/>
        <v>0</v>
      </c>
      <c r="ER24" s="1490">
        <f t="shared" si="24"/>
        <v>0</v>
      </c>
      <c r="ES24" s="1490">
        <f t="shared" si="24"/>
        <v>0</v>
      </c>
      <c r="ET24" s="1490">
        <f t="shared" si="24"/>
        <v>0</v>
      </c>
      <c r="EU24" s="1490">
        <f t="shared" si="24"/>
        <v>0</v>
      </c>
      <c r="EV24" s="1490">
        <f t="shared" si="24"/>
        <v>0</v>
      </c>
      <c r="EW24" s="1490">
        <f t="shared" si="24"/>
        <v>0</v>
      </c>
      <c r="EX24" s="1490">
        <f t="shared" si="24"/>
        <v>0</v>
      </c>
      <c r="EY24" s="1490">
        <f t="shared" si="24"/>
        <v>0</v>
      </c>
      <c r="EZ24" s="1490">
        <f t="shared" si="24"/>
        <v>0</v>
      </c>
      <c r="FA24" s="1490">
        <f t="shared" si="24"/>
        <v>0</v>
      </c>
      <c r="FB24" s="1490">
        <f t="shared" si="24"/>
        <v>0</v>
      </c>
      <c r="FC24" s="1490">
        <f t="shared" si="24"/>
        <v>0</v>
      </c>
      <c r="FD24" s="1490">
        <f t="shared" si="24"/>
        <v>0</v>
      </c>
      <c r="FE24" s="1490">
        <f t="shared" si="24"/>
        <v>0</v>
      </c>
      <c r="FF24" s="1490">
        <f t="shared" si="24"/>
        <v>0</v>
      </c>
      <c r="FG24" s="1490">
        <f t="shared" si="24"/>
        <v>0</v>
      </c>
      <c r="FH24" s="1490">
        <f t="shared" si="24"/>
        <v>0</v>
      </c>
      <c r="FI24" s="1509"/>
      <c r="FJ24" s="1509"/>
      <c r="FK24" s="1509"/>
      <c r="FL24" s="1536"/>
      <c r="FM24" s="1553"/>
    </row>
    <row r="25" spans="1:169">
      <c r="A25" s="1739"/>
      <c r="B25" s="1743"/>
      <c r="C25" s="1485" t="s">
        <v>207</v>
      </c>
      <c r="D25" s="1486">
        <f t="shared" ca="1" si="17"/>
        <v>0</v>
      </c>
      <c r="E25" s="1498">
        <f t="shared" ref="E25:K25" ca="1" si="25">SUM(E17:E24)</f>
        <v>0</v>
      </c>
      <c r="F25" s="1498">
        <f t="shared" ca="1" si="25"/>
        <v>0</v>
      </c>
      <c r="G25" s="1498">
        <f t="shared" ca="1" si="25"/>
        <v>0</v>
      </c>
      <c r="H25" s="1498">
        <f t="shared" ca="1" si="25"/>
        <v>0</v>
      </c>
      <c r="I25" s="1498">
        <f t="shared" ca="1" si="25"/>
        <v>0</v>
      </c>
      <c r="J25" s="1498">
        <f t="shared" ca="1" si="25"/>
        <v>0</v>
      </c>
      <c r="K25" s="1498">
        <f t="shared" ca="1" si="25"/>
        <v>0</v>
      </c>
      <c r="L25" s="1498">
        <f t="shared" ref="L25:BR25" ca="1" si="26">SUM(L17:L24)</f>
        <v>0</v>
      </c>
      <c r="M25" s="1498">
        <f t="shared" ca="1" si="26"/>
        <v>0</v>
      </c>
      <c r="N25" s="1498">
        <f t="shared" ca="1" si="26"/>
        <v>0</v>
      </c>
      <c r="O25" s="1498">
        <f t="shared" ca="1" si="26"/>
        <v>0</v>
      </c>
      <c r="P25" s="1498">
        <f t="shared" ca="1" si="26"/>
        <v>0</v>
      </c>
      <c r="Q25" s="1498">
        <f t="shared" ca="1" si="26"/>
        <v>0</v>
      </c>
      <c r="R25" s="1498">
        <f t="shared" ca="1" si="26"/>
        <v>0</v>
      </c>
      <c r="S25" s="1498">
        <f t="shared" ca="1" si="26"/>
        <v>0</v>
      </c>
      <c r="T25" s="1498">
        <f t="shared" ca="1" si="26"/>
        <v>0</v>
      </c>
      <c r="U25" s="1498">
        <f t="shared" ca="1" si="26"/>
        <v>0</v>
      </c>
      <c r="V25" s="1498">
        <f t="shared" ca="1" si="26"/>
        <v>0</v>
      </c>
      <c r="W25" s="1498">
        <f t="shared" ca="1" si="26"/>
        <v>0</v>
      </c>
      <c r="X25" s="1498">
        <f t="shared" ca="1" si="26"/>
        <v>0</v>
      </c>
      <c r="Y25" s="1498">
        <f t="shared" ca="1" si="26"/>
        <v>0</v>
      </c>
      <c r="Z25" s="1498">
        <f t="shared" ca="1" si="26"/>
        <v>0</v>
      </c>
      <c r="AA25" s="1498">
        <f t="shared" ca="1" si="26"/>
        <v>0</v>
      </c>
      <c r="AB25" s="1498">
        <f t="shared" ca="1" si="26"/>
        <v>0</v>
      </c>
      <c r="AC25" s="1498">
        <f t="shared" ca="1" si="26"/>
        <v>0</v>
      </c>
      <c r="AD25" s="1498">
        <f t="shared" ca="1" si="26"/>
        <v>0</v>
      </c>
      <c r="AE25" s="1498">
        <f t="shared" ca="1" si="26"/>
        <v>0</v>
      </c>
      <c r="AF25" s="1498">
        <f t="shared" ca="1" si="26"/>
        <v>0</v>
      </c>
      <c r="AG25" s="1498">
        <f t="shared" ca="1" si="26"/>
        <v>0</v>
      </c>
      <c r="AH25" s="1498">
        <f t="shared" ca="1" si="26"/>
        <v>0</v>
      </c>
      <c r="AI25" s="1498">
        <f t="shared" ca="1" si="26"/>
        <v>0</v>
      </c>
      <c r="AJ25" s="1498">
        <f t="shared" ca="1" si="26"/>
        <v>0</v>
      </c>
      <c r="AK25" s="1498">
        <f t="shared" ca="1" si="26"/>
        <v>0</v>
      </c>
      <c r="AL25" s="1498">
        <f t="shared" ca="1" si="26"/>
        <v>0</v>
      </c>
      <c r="AM25" s="1498">
        <f t="shared" ca="1" si="26"/>
        <v>0</v>
      </c>
      <c r="AN25" s="1498">
        <f t="shared" ca="1" si="26"/>
        <v>0</v>
      </c>
      <c r="AO25" s="1498">
        <f t="shared" ca="1" si="26"/>
        <v>0</v>
      </c>
      <c r="AP25" s="1498">
        <f t="shared" ca="1" si="26"/>
        <v>0</v>
      </c>
      <c r="AQ25" s="1498">
        <f t="shared" ca="1" si="26"/>
        <v>0</v>
      </c>
      <c r="AR25" s="1498">
        <f t="shared" ca="1" si="26"/>
        <v>0</v>
      </c>
      <c r="AS25" s="1498">
        <f t="shared" ca="1" si="26"/>
        <v>0</v>
      </c>
      <c r="AT25" s="1498">
        <f t="shared" ca="1" si="26"/>
        <v>0</v>
      </c>
      <c r="AU25" s="1498">
        <f t="shared" ca="1" si="26"/>
        <v>0</v>
      </c>
      <c r="AV25" s="1498">
        <f t="shared" ca="1" si="26"/>
        <v>0</v>
      </c>
      <c r="AW25" s="1498">
        <f t="shared" ca="1" si="26"/>
        <v>0</v>
      </c>
      <c r="AX25" s="1498">
        <f t="shared" ca="1" si="26"/>
        <v>0</v>
      </c>
      <c r="AY25" s="1498">
        <f t="shared" ca="1" si="26"/>
        <v>0</v>
      </c>
      <c r="AZ25" s="1498">
        <f t="shared" ca="1" si="26"/>
        <v>0</v>
      </c>
      <c r="BA25" s="1498">
        <f t="shared" ca="1" si="26"/>
        <v>0</v>
      </c>
      <c r="BB25" s="1498">
        <f t="shared" ca="1" si="26"/>
        <v>0</v>
      </c>
      <c r="BC25" s="1498">
        <f t="shared" ca="1" si="26"/>
        <v>0</v>
      </c>
      <c r="BD25" s="1498">
        <f t="shared" ca="1" si="26"/>
        <v>0</v>
      </c>
      <c r="BE25" s="1498">
        <f t="shared" ca="1" si="26"/>
        <v>0</v>
      </c>
      <c r="BF25" s="1498">
        <f t="shared" ca="1" si="26"/>
        <v>0</v>
      </c>
      <c r="BG25" s="1498">
        <f t="shared" ca="1" si="26"/>
        <v>0</v>
      </c>
      <c r="BH25" s="1498">
        <f t="shared" ca="1" si="26"/>
        <v>0</v>
      </c>
      <c r="BI25" s="1498">
        <f t="shared" ca="1" si="26"/>
        <v>0</v>
      </c>
      <c r="BJ25" s="1498">
        <f t="shared" ca="1" si="26"/>
        <v>0</v>
      </c>
      <c r="BK25" s="1498">
        <f t="shared" ca="1" si="26"/>
        <v>0</v>
      </c>
      <c r="BL25" s="1498">
        <f t="shared" ca="1" si="26"/>
        <v>0</v>
      </c>
      <c r="BM25" s="1498">
        <f t="shared" ca="1" si="26"/>
        <v>0</v>
      </c>
      <c r="BN25" s="1498">
        <f t="shared" ca="1" si="26"/>
        <v>0</v>
      </c>
      <c r="BO25" s="1498">
        <f t="shared" ca="1" si="26"/>
        <v>0</v>
      </c>
      <c r="BP25" s="1498">
        <f t="shared" ca="1" si="26"/>
        <v>0</v>
      </c>
      <c r="BQ25" s="1498">
        <f t="shared" ca="1" si="26"/>
        <v>0</v>
      </c>
      <c r="BR25" s="1498">
        <f t="shared" ca="1" si="26"/>
        <v>0</v>
      </c>
      <c r="BS25" s="1498">
        <f t="shared" ref="BS25:ED25" ca="1" si="27">SUM(BS17:BS24)</f>
        <v>0</v>
      </c>
      <c r="BT25" s="1498">
        <f t="shared" ca="1" si="27"/>
        <v>0</v>
      </c>
      <c r="BU25" s="1498">
        <f t="shared" ca="1" si="27"/>
        <v>0</v>
      </c>
      <c r="BV25" s="1498">
        <f t="shared" ca="1" si="27"/>
        <v>0</v>
      </c>
      <c r="BW25" s="1498">
        <f t="shared" ca="1" si="27"/>
        <v>0</v>
      </c>
      <c r="BX25" s="1498">
        <f t="shared" ca="1" si="27"/>
        <v>0</v>
      </c>
      <c r="BY25" s="1498">
        <f t="shared" ca="1" si="27"/>
        <v>0</v>
      </c>
      <c r="BZ25" s="1498">
        <f t="shared" ca="1" si="27"/>
        <v>0</v>
      </c>
      <c r="CA25" s="1498">
        <f t="shared" ca="1" si="27"/>
        <v>0</v>
      </c>
      <c r="CB25" s="1498">
        <f t="shared" ca="1" si="27"/>
        <v>0</v>
      </c>
      <c r="CC25" s="1498">
        <f t="shared" ca="1" si="27"/>
        <v>0</v>
      </c>
      <c r="CD25" s="1498">
        <f t="shared" ca="1" si="27"/>
        <v>0</v>
      </c>
      <c r="CE25" s="1498">
        <f t="shared" ca="1" si="27"/>
        <v>0</v>
      </c>
      <c r="CF25" s="1498">
        <f t="shared" ca="1" si="27"/>
        <v>0</v>
      </c>
      <c r="CG25" s="1498">
        <f t="shared" ca="1" si="27"/>
        <v>0</v>
      </c>
      <c r="CH25" s="1498">
        <f t="shared" ca="1" si="27"/>
        <v>0</v>
      </c>
      <c r="CI25" s="1498">
        <f t="shared" ca="1" si="27"/>
        <v>0</v>
      </c>
      <c r="CJ25" s="1498">
        <f t="shared" ca="1" si="27"/>
        <v>0</v>
      </c>
      <c r="CK25" s="1498">
        <f t="shared" ca="1" si="27"/>
        <v>0</v>
      </c>
      <c r="CL25" s="1498">
        <f t="shared" ca="1" si="27"/>
        <v>0</v>
      </c>
      <c r="CM25" s="1498">
        <f t="shared" ca="1" si="27"/>
        <v>0</v>
      </c>
      <c r="CN25" s="1498">
        <f t="shared" ca="1" si="27"/>
        <v>0</v>
      </c>
      <c r="CO25" s="1498">
        <f t="shared" ca="1" si="27"/>
        <v>0</v>
      </c>
      <c r="CP25" s="1498">
        <f t="shared" ca="1" si="27"/>
        <v>0</v>
      </c>
      <c r="CQ25" s="1498">
        <f t="shared" ca="1" si="27"/>
        <v>0</v>
      </c>
      <c r="CR25" s="1498">
        <f t="shared" ca="1" si="27"/>
        <v>0</v>
      </c>
      <c r="CS25" s="1498">
        <f t="shared" ca="1" si="27"/>
        <v>0</v>
      </c>
      <c r="CT25" s="1498">
        <f t="shared" ca="1" si="27"/>
        <v>0</v>
      </c>
      <c r="CU25" s="1498">
        <f t="shared" ca="1" si="27"/>
        <v>0</v>
      </c>
      <c r="CV25" s="1498">
        <f t="shared" ca="1" si="27"/>
        <v>0</v>
      </c>
      <c r="CW25" s="1498">
        <f t="shared" ca="1" si="27"/>
        <v>0</v>
      </c>
      <c r="CX25" s="1498">
        <f t="shared" ca="1" si="27"/>
        <v>0</v>
      </c>
      <c r="CY25" s="1498">
        <f t="shared" ca="1" si="27"/>
        <v>0</v>
      </c>
      <c r="CZ25" s="1498">
        <f t="shared" ca="1" si="27"/>
        <v>0</v>
      </c>
      <c r="DA25" s="1498">
        <f t="shared" ca="1" si="27"/>
        <v>0</v>
      </c>
      <c r="DB25" s="1498">
        <f t="shared" ca="1" si="27"/>
        <v>0</v>
      </c>
      <c r="DC25" s="1498">
        <f t="shared" ca="1" si="27"/>
        <v>0</v>
      </c>
      <c r="DD25" s="1498">
        <f t="shared" ca="1" si="27"/>
        <v>0</v>
      </c>
      <c r="DE25" s="1498">
        <f t="shared" ca="1" si="27"/>
        <v>0</v>
      </c>
      <c r="DF25" s="1498">
        <f t="shared" ca="1" si="27"/>
        <v>0</v>
      </c>
      <c r="DG25" s="1498">
        <f t="shared" ca="1" si="27"/>
        <v>0</v>
      </c>
      <c r="DH25" s="1498">
        <f t="shared" ca="1" si="27"/>
        <v>0</v>
      </c>
      <c r="DI25" s="1498">
        <f t="shared" ca="1" si="27"/>
        <v>0</v>
      </c>
      <c r="DJ25" s="1498">
        <f t="shared" ca="1" si="27"/>
        <v>0</v>
      </c>
      <c r="DK25" s="1498">
        <f t="shared" ca="1" si="27"/>
        <v>0</v>
      </c>
      <c r="DL25" s="1498">
        <f t="shared" ca="1" si="27"/>
        <v>0</v>
      </c>
      <c r="DM25" s="1498">
        <f t="shared" ca="1" si="27"/>
        <v>0</v>
      </c>
      <c r="DN25" s="1498">
        <f t="shared" ca="1" si="27"/>
        <v>0</v>
      </c>
      <c r="DO25" s="1498">
        <f t="shared" ca="1" si="27"/>
        <v>0</v>
      </c>
      <c r="DP25" s="1498">
        <f t="shared" ca="1" si="27"/>
        <v>0</v>
      </c>
      <c r="DQ25" s="1498">
        <f t="shared" ca="1" si="27"/>
        <v>0</v>
      </c>
      <c r="DR25" s="1498">
        <f t="shared" ca="1" si="27"/>
        <v>0</v>
      </c>
      <c r="DS25" s="1498">
        <f t="shared" ca="1" si="27"/>
        <v>0</v>
      </c>
      <c r="DT25" s="1498">
        <f t="shared" ca="1" si="27"/>
        <v>0</v>
      </c>
      <c r="DU25" s="1498">
        <f t="shared" si="27"/>
        <v>0</v>
      </c>
      <c r="DV25" s="1498">
        <f t="shared" si="27"/>
        <v>0</v>
      </c>
      <c r="DW25" s="1498">
        <f t="shared" si="27"/>
        <v>0</v>
      </c>
      <c r="DX25" s="1498">
        <f t="shared" si="27"/>
        <v>0</v>
      </c>
      <c r="DY25" s="1498">
        <f t="shared" si="27"/>
        <v>0</v>
      </c>
      <c r="DZ25" s="1498">
        <f t="shared" si="27"/>
        <v>0</v>
      </c>
      <c r="EA25" s="1498">
        <f t="shared" si="27"/>
        <v>0</v>
      </c>
      <c r="EB25" s="1498">
        <f t="shared" si="27"/>
        <v>0</v>
      </c>
      <c r="EC25" s="1498">
        <f t="shared" si="27"/>
        <v>0</v>
      </c>
      <c r="ED25" s="1498">
        <f t="shared" si="27"/>
        <v>0</v>
      </c>
      <c r="EE25" s="1498">
        <f t="shared" ref="EE25:FH25" si="28">SUM(EE17:EE24)</f>
        <v>0</v>
      </c>
      <c r="EF25" s="1498">
        <f t="shared" si="28"/>
        <v>0</v>
      </c>
      <c r="EG25" s="1498">
        <f t="shared" si="28"/>
        <v>0</v>
      </c>
      <c r="EH25" s="1498">
        <f t="shared" si="28"/>
        <v>0</v>
      </c>
      <c r="EI25" s="1498">
        <f t="shared" si="28"/>
        <v>0</v>
      </c>
      <c r="EJ25" s="1498">
        <f t="shared" si="28"/>
        <v>0</v>
      </c>
      <c r="EK25" s="1498">
        <f t="shared" si="28"/>
        <v>0</v>
      </c>
      <c r="EL25" s="1498">
        <f t="shared" si="28"/>
        <v>0</v>
      </c>
      <c r="EM25" s="1498">
        <f t="shared" si="28"/>
        <v>0</v>
      </c>
      <c r="EN25" s="1498">
        <f t="shared" si="28"/>
        <v>0</v>
      </c>
      <c r="EO25" s="1498">
        <f t="shared" si="28"/>
        <v>0</v>
      </c>
      <c r="EP25" s="1498">
        <f t="shared" si="28"/>
        <v>0</v>
      </c>
      <c r="EQ25" s="1498">
        <f t="shared" si="28"/>
        <v>0</v>
      </c>
      <c r="ER25" s="1498">
        <f t="shared" si="28"/>
        <v>0</v>
      </c>
      <c r="ES25" s="1498">
        <f t="shared" si="28"/>
        <v>0</v>
      </c>
      <c r="ET25" s="1498">
        <f t="shared" si="28"/>
        <v>0</v>
      </c>
      <c r="EU25" s="1498">
        <f t="shared" si="28"/>
        <v>0</v>
      </c>
      <c r="EV25" s="1498">
        <f t="shared" si="28"/>
        <v>0</v>
      </c>
      <c r="EW25" s="1498">
        <f t="shared" si="28"/>
        <v>0</v>
      </c>
      <c r="EX25" s="1498">
        <f t="shared" si="28"/>
        <v>0</v>
      </c>
      <c r="EY25" s="1498">
        <f t="shared" si="28"/>
        <v>0</v>
      </c>
      <c r="EZ25" s="1498">
        <f t="shared" si="28"/>
        <v>0</v>
      </c>
      <c r="FA25" s="1498">
        <f t="shared" si="28"/>
        <v>0</v>
      </c>
      <c r="FB25" s="1498">
        <f t="shared" si="28"/>
        <v>0</v>
      </c>
      <c r="FC25" s="1498">
        <f t="shared" si="28"/>
        <v>0</v>
      </c>
      <c r="FD25" s="1498">
        <f t="shared" si="28"/>
        <v>0</v>
      </c>
      <c r="FE25" s="1498">
        <f t="shared" si="28"/>
        <v>0</v>
      </c>
      <c r="FF25" s="1498">
        <f t="shared" si="28"/>
        <v>0</v>
      </c>
      <c r="FG25" s="1498">
        <f t="shared" si="28"/>
        <v>0</v>
      </c>
      <c r="FH25" s="1498">
        <f t="shared" si="28"/>
        <v>0</v>
      </c>
      <c r="FI25" s="1498"/>
      <c r="FJ25" s="1498"/>
      <c r="FK25" s="1498"/>
      <c r="FL25" s="1535"/>
      <c r="FM25" s="1554"/>
    </row>
    <row r="26" spans="1:169">
      <c r="A26" s="1739"/>
      <c r="B26" s="1738" t="s">
        <v>208</v>
      </c>
      <c r="C26" s="1499" t="s">
        <v>209</v>
      </c>
      <c r="D26" s="1486">
        <f t="shared" ca="1" si="17"/>
        <v>0</v>
      </c>
      <c r="E26" s="1500">
        <f ca="1">E16-E25</f>
        <v>0</v>
      </c>
      <c r="F26" s="1500">
        <f ca="1">F16-F25</f>
        <v>0</v>
      </c>
      <c r="G26" s="1500">
        <f t="shared" ref="G26:BR26" ca="1" si="29">G16-G25</f>
        <v>0</v>
      </c>
      <c r="H26" s="1500">
        <f t="shared" ca="1" si="29"/>
        <v>0</v>
      </c>
      <c r="I26" s="1500">
        <f t="shared" ca="1" si="29"/>
        <v>0</v>
      </c>
      <c r="J26" s="1500">
        <f t="shared" ca="1" si="29"/>
        <v>0</v>
      </c>
      <c r="K26" s="1500">
        <f t="shared" ca="1" si="29"/>
        <v>0</v>
      </c>
      <c r="L26" s="1500">
        <f t="shared" ca="1" si="29"/>
        <v>0</v>
      </c>
      <c r="M26" s="1500">
        <f t="shared" ca="1" si="29"/>
        <v>0</v>
      </c>
      <c r="N26" s="1500">
        <f t="shared" ca="1" si="29"/>
        <v>0</v>
      </c>
      <c r="O26" s="1500">
        <f t="shared" ca="1" si="29"/>
        <v>0</v>
      </c>
      <c r="P26" s="1500">
        <f t="shared" ca="1" si="29"/>
        <v>0</v>
      </c>
      <c r="Q26" s="1500">
        <f t="shared" ca="1" si="29"/>
        <v>0</v>
      </c>
      <c r="R26" s="1500">
        <f t="shared" ca="1" si="29"/>
        <v>0</v>
      </c>
      <c r="S26" s="1500">
        <f t="shared" ca="1" si="29"/>
        <v>0</v>
      </c>
      <c r="T26" s="1500">
        <f t="shared" ca="1" si="29"/>
        <v>0</v>
      </c>
      <c r="U26" s="1500">
        <f t="shared" ca="1" si="29"/>
        <v>0</v>
      </c>
      <c r="V26" s="1500">
        <f t="shared" ca="1" si="29"/>
        <v>0</v>
      </c>
      <c r="W26" s="1500">
        <f t="shared" ca="1" si="29"/>
        <v>0</v>
      </c>
      <c r="X26" s="1500">
        <f t="shared" ca="1" si="29"/>
        <v>0</v>
      </c>
      <c r="Y26" s="1500">
        <f t="shared" ca="1" si="29"/>
        <v>0</v>
      </c>
      <c r="Z26" s="1500">
        <f t="shared" ca="1" si="29"/>
        <v>0</v>
      </c>
      <c r="AA26" s="1500">
        <f t="shared" ca="1" si="29"/>
        <v>0</v>
      </c>
      <c r="AB26" s="1500">
        <f t="shared" ca="1" si="29"/>
        <v>0</v>
      </c>
      <c r="AC26" s="1500">
        <f t="shared" ca="1" si="29"/>
        <v>0</v>
      </c>
      <c r="AD26" s="1500">
        <f t="shared" ca="1" si="29"/>
        <v>0</v>
      </c>
      <c r="AE26" s="1500">
        <f t="shared" ca="1" si="29"/>
        <v>0</v>
      </c>
      <c r="AF26" s="1500">
        <f t="shared" ca="1" si="29"/>
        <v>0</v>
      </c>
      <c r="AG26" s="1500">
        <f t="shared" ca="1" si="29"/>
        <v>0</v>
      </c>
      <c r="AH26" s="1500">
        <f t="shared" ca="1" si="29"/>
        <v>0</v>
      </c>
      <c r="AI26" s="1500">
        <f t="shared" ca="1" si="29"/>
        <v>0</v>
      </c>
      <c r="AJ26" s="1500">
        <f t="shared" ca="1" si="29"/>
        <v>0</v>
      </c>
      <c r="AK26" s="1500">
        <f t="shared" ca="1" si="29"/>
        <v>0</v>
      </c>
      <c r="AL26" s="1500">
        <f t="shared" ca="1" si="29"/>
        <v>0</v>
      </c>
      <c r="AM26" s="1500">
        <f t="shared" ca="1" si="29"/>
        <v>0</v>
      </c>
      <c r="AN26" s="1500">
        <f t="shared" ca="1" si="29"/>
        <v>0</v>
      </c>
      <c r="AO26" s="1500">
        <f t="shared" ca="1" si="29"/>
        <v>0</v>
      </c>
      <c r="AP26" s="1500">
        <f t="shared" ca="1" si="29"/>
        <v>0</v>
      </c>
      <c r="AQ26" s="1500">
        <f t="shared" ca="1" si="29"/>
        <v>0</v>
      </c>
      <c r="AR26" s="1500">
        <f t="shared" ca="1" si="29"/>
        <v>0</v>
      </c>
      <c r="AS26" s="1500">
        <f t="shared" ca="1" si="29"/>
        <v>0</v>
      </c>
      <c r="AT26" s="1500">
        <f t="shared" ca="1" si="29"/>
        <v>0</v>
      </c>
      <c r="AU26" s="1500">
        <f t="shared" ca="1" si="29"/>
        <v>0</v>
      </c>
      <c r="AV26" s="1500">
        <f t="shared" ca="1" si="29"/>
        <v>0</v>
      </c>
      <c r="AW26" s="1500">
        <f t="shared" ca="1" si="29"/>
        <v>0</v>
      </c>
      <c r="AX26" s="1500">
        <f t="shared" ca="1" si="29"/>
        <v>0</v>
      </c>
      <c r="AY26" s="1500">
        <f t="shared" ca="1" si="29"/>
        <v>0</v>
      </c>
      <c r="AZ26" s="1500">
        <f t="shared" ca="1" si="29"/>
        <v>0</v>
      </c>
      <c r="BA26" s="1500">
        <f t="shared" ca="1" si="29"/>
        <v>0</v>
      </c>
      <c r="BB26" s="1500">
        <f t="shared" ca="1" si="29"/>
        <v>0</v>
      </c>
      <c r="BC26" s="1500">
        <f t="shared" ca="1" si="29"/>
        <v>0</v>
      </c>
      <c r="BD26" s="1500">
        <f t="shared" ca="1" si="29"/>
        <v>0</v>
      </c>
      <c r="BE26" s="1500">
        <f t="shared" ca="1" si="29"/>
        <v>0</v>
      </c>
      <c r="BF26" s="1500">
        <f t="shared" ca="1" si="29"/>
        <v>0</v>
      </c>
      <c r="BG26" s="1500">
        <f t="shared" ca="1" si="29"/>
        <v>0</v>
      </c>
      <c r="BH26" s="1500">
        <f t="shared" ca="1" si="29"/>
        <v>0</v>
      </c>
      <c r="BI26" s="1500">
        <f t="shared" ca="1" si="29"/>
        <v>0</v>
      </c>
      <c r="BJ26" s="1500">
        <f t="shared" ca="1" si="29"/>
        <v>0</v>
      </c>
      <c r="BK26" s="1500">
        <f t="shared" ca="1" si="29"/>
        <v>0</v>
      </c>
      <c r="BL26" s="1500">
        <f t="shared" ca="1" si="29"/>
        <v>0</v>
      </c>
      <c r="BM26" s="1500">
        <f t="shared" ca="1" si="29"/>
        <v>0</v>
      </c>
      <c r="BN26" s="1500">
        <f t="shared" ca="1" si="29"/>
        <v>0</v>
      </c>
      <c r="BO26" s="1500">
        <f t="shared" ca="1" si="29"/>
        <v>0</v>
      </c>
      <c r="BP26" s="1500">
        <f t="shared" ca="1" si="29"/>
        <v>0</v>
      </c>
      <c r="BQ26" s="1500">
        <f t="shared" ca="1" si="29"/>
        <v>0</v>
      </c>
      <c r="BR26" s="1500">
        <f t="shared" ca="1" si="29"/>
        <v>0</v>
      </c>
      <c r="BS26" s="1500">
        <f ca="1">BS16-BS25</f>
        <v>0</v>
      </c>
      <c r="BT26" s="1500">
        <f t="shared" ref="BT26:EE26" ca="1" si="30">BT16-BT25</f>
        <v>0</v>
      </c>
      <c r="BU26" s="1500">
        <f t="shared" ca="1" si="30"/>
        <v>0</v>
      </c>
      <c r="BV26" s="1500">
        <f t="shared" ca="1" si="30"/>
        <v>0</v>
      </c>
      <c r="BW26" s="1500">
        <f t="shared" ca="1" si="30"/>
        <v>0</v>
      </c>
      <c r="BX26" s="1500">
        <f t="shared" ca="1" si="30"/>
        <v>0</v>
      </c>
      <c r="BY26" s="1500">
        <f t="shared" ca="1" si="30"/>
        <v>0</v>
      </c>
      <c r="BZ26" s="1500">
        <f t="shared" ca="1" si="30"/>
        <v>0</v>
      </c>
      <c r="CA26" s="1500">
        <f t="shared" ca="1" si="30"/>
        <v>0</v>
      </c>
      <c r="CB26" s="1500">
        <f t="shared" ca="1" si="30"/>
        <v>0</v>
      </c>
      <c r="CC26" s="1500">
        <f t="shared" ca="1" si="30"/>
        <v>0</v>
      </c>
      <c r="CD26" s="1500">
        <f t="shared" ca="1" si="30"/>
        <v>0</v>
      </c>
      <c r="CE26" s="1500">
        <f t="shared" ca="1" si="30"/>
        <v>0</v>
      </c>
      <c r="CF26" s="1500">
        <f t="shared" ca="1" si="30"/>
        <v>0</v>
      </c>
      <c r="CG26" s="1500">
        <f t="shared" ca="1" si="30"/>
        <v>0</v>
      </c>
      <c r="CH26" s="1500">
        <f t="shared" ca="1" si="30"/>
        <v>0</v>
      </c>
      <c r="CI26" s="1500">
        <f t="shared" ca="1" si="30"/>
        <v>0</v>
      </c>
      <c r="CJ26" s="1500">
        <f t="shared" ca="1" si="30"/>
        <v>0</v>
      </c>
      <c r="CK26" s="1500">
        <f t="shared" ca="1" si="30"/>
        <v>0</v>
      </c>
      <c r="CL26" s="1500">
        <f t="shared" ca="1" si="30"/>
        <v>0</v>
      </c>
      <c r="CM26" s="1500">
        <f t="shared" ca="1" si="30"/>
        <v>0</v>
      </c>
      <c r="CN26" s="1500">
        <f t="shared" ca="1" si="30"/>
        <v>0</v>
      </c>
      <c r="CO26" s="1500">
        <f t="shared" ca="1" si="30"/>
        <v>0</v>
      </c>
      <c r="CP26" s="1500">
        <f t="shared" ca="1" si="30"/>
        <v>0</v>
      </c>
      <c r="CQ26" s="1500">
        <f t="shared" ca="1" si="30"/>
        <v>0</v>
      </c>
      <c r="CR26" s="1500">
        <f t="shared" ca="1" si="30"/>
        <v>0</v>
      </c>
      <c r="CS26" s="1500">
        <f t="shared" ca="1" si="30"/>
        <v>0</v>
      </c>
      <c r="CT26" s="1500">
        <f t="shared" ca="1" si="30"/>
        <v>0</v>
      </c>
      <c r="CU26" s="1500">
        <f t="shared" ca="1" si="30"/>
        <v>0</v>
      </c>
      <c r="CV26" s="1500">
        <f t="shared" ca="1" si="30"/>
        <v>0</v>
      </c>
      <c r="CW26" s="1500">
        <f t="shared" ca="1" si="30"/>
        <v>0</v>
      </c>
      <c r="CX26" s="1500">
        <f t="shared" ca="1" si="30"/>
        <v>0</v>
      </c>
      <c r="CY26" s="1500">
        <f t="shared" ca="1" si="30"/>
        <v>0</v>
      </c>
      <c r="CZ26" s="1500">
        <f t="shared" ca="1" si="30"/>
        <v>0</v>
      </c>
      <c r="DA26" s="1500">
        <f t="shared" ca="1" si="30"/>
        <v>0</v>
      </c>
      <c r="DB26" s="1500">
        <f t="shared" ca="1" si="30"/>
        <v>0</v>
      </c>
      <c r="DC26" s="1500">
        <f t="shared" ca="1" si="30"/>
        <v>0</v>
      </c>
      <c r="DD26" s="1500">
        <f t="shared" ca="1" si="30"/>
        <v>0</v>
      </c>
      <c r="DE26" s="1500">
        <f t="shared" ca="1" si="30"/>
        <v>0</v>
      </c>
      <c r="DF26" s="1500">
        <f t="shared" ca="1" si="30"/>
        <v>0</v>
      </c>
      <c r="DG26" s="1500">
        <f t="shared" ca="1" si="30"/>
        <v>0</v>
      </c>
      <c r="DH26" s="1500">
        <f t="shared" ca="1" si="30"/>
        <v>0</v>
      </c>
      <c r="DI26" s="1500">
        <f t="shared" ca="1" si="30"/>
        <v>0</v>
      </c>
      <c r="DJ26" s="1500">
        <f t="shared" ca="1" si="30"/>
        <v>0</v>
      </c>
      <c r="DK26" s="1500">
        <f t="shared" ca="1" si="30"/>
        <v>0</v>
      </c>
      <c r="DL26" s="1500">
        <f t="shared" ca="1" si="30"/>
        <v>0</v>
      </c>
      <c r="DM26" s="1500">
        <f t="shared" ca="1" si="30"/>
        <v>0</v>
      </c>
      <c r="DN26" s="1500">
        <f t="shared" ca="1" si="30"/>
        <v>0</v>
      </c>
      <c r="DO26" s="1500">
        <f t="shared" ca="1" si="30"/>
        <v>0</v>
      </c>
      <c r="DP26" s="1500">
        <f t="shared" ca="1" si="30"/>
        <v>0</v>
      </c>
      <c r="DQ26" s="1500">
        <f t="shared" ca="1" si="30"/>
        <v>0</v>
      </c>
      <c r="DR26" s="1500">
        <f t="shared" ca="1" si="30"/>
        <v>0</v>
      </c>
      <c r="DS26" s="1500">
        <f t="shared" ca="1" si="30"/>
        <v>0</v>
      </c>
      <c r="DT26" s="1500">
        <f t="shared" ca="1" si="30"/>
        <v>0</v>
      </c>
      <c r="DU26" s="1500">
        <f t="shared" si="30"/>
        <v>0</v>
      </c>
      <c r="DV26" s="1500">
        <f t="shared" si="30"/>
        <v>0</v>
      </c>
      <c r="DW26" s="1500">
        <f t="shared" si="30"/>
        <v>0</v>
      </c>
      <c r="DX26" s="1500">
        <f t="shared" si="30"/>
        <v>0</v>
      </c>
      <c r="DY26" s="1500">
        <f t="shared" si="30"/>
        <v>0</v>
      </c>
      <c r="DZ26" s="1500">
        <f t="shared" si="30"/>
        <v>0</v>
      </c>
      <c r="EA26" s="1500">
        <f t="shared" si="30"/>
        <v>0</v>
      </c>
      <c r="EB26" s="1500">
        <f t="shared" si="30"/>
        <v>0</v>
      </c>
      <c r="EC26" s="1500">
        <f t="shared" si="30"/>
        <v>0</v>
      </c>
      <c r="ED26" s="1500">
        <f t="shared" si="30"/>
        <v>0</v>
      </c>
      <c r="EE26" s="1500">
        <f t="shared" si="30"/>
        <v>0</v>
      </c>
      <c r="EF26" s="1500">
        <f t="shared" ref="EF26:FH26" si="31">EF16-EF25</f>
        <v>0</v>
      </c>
      <c r="EG26" s="1500">
        <f t="shared" si="31"/>
        <v>0</v>
      </c>
      <c r="EH26" s="1500">
        <f t="shared" si="31"/>
        <v>0</v>
      </c>
      <c r="EI26" s="1500">
        <f t="shared" si="31"/>
        <v>0</v>
      </c>
      <c r="EJ26" s="1500">
        <f t="shared" si="31"/>
        <v>0</v>
      </c>
      <c r="EK26" s="1500">
        <f t="shared" si="31"/>
        <v>0</v>
      </c>
      <c r="EL26" s="1500">
        <f t="shared" si="31"/>
        <v>0</v>
      </c>
      <c r="EM26" s="1500">
        <f t="shared" si="31"/>
        <v>0</v>
      </c>
      <c r="EN26" s="1500">
        <f t="shared" si="31"/>
        <v>0</v>
      </c>
      <c r="EO26" s="1500">
        <f t="shared" si="31"/>
        <v>0</v>
      </c>
      <c r="EP26" s="1500">
        <f t="shared" si="31"/>
        <v>0</v>
      </c>
      <c r="EQ26" s="1500">
        <f t="shared" si="31"/>
        <v>0</v>
      </c>
      <c r="ER26" s="1500">
        <f t="shared" si="31"/>
        <v>0</v>
      </c>
      <c r="ES26" s="1500">
        <f t="shared" si="31"/>
        <v>0</v>
      </c>
      <c r="ET26" s="1500">
        <f t="shared" si="31"/>
        <v>0</v>
      </c>
      <c r="EU26" s="1500">
        <f t="shared" si="31"/>
        <v>0</v>
      </c>
      <c r="EV26" s="1500">
        <f t="shared" si="31"/>
        <v>0</v>
      </c>
      <c r="EW26" s="1500">
        <f t="shared" si="31"/>
        <v>0</v>
      </c>
      <c r="EX26" s="1500">
        <f t="shared" si="31"/>
        <v>0</v>
      </c>
      <c r="EY26" s="1500">
        <f t="shared" si="31"/>
        <v>0</v>
      </c>
      <c r="EZ26" s="1500">
        <f t="shared" si="31"/>
        <v>0</v>
      </c>
      <c r="FA26" s="1500">
        <f t="shared" si="31"/>
        <v>0</v>
      </c>
      <c r="FB26" s="1500">
        <f t="shared" si="31"/>
        <v>0</v>
      </c>
      <c r="FC26" s="1500">
        <f t="shared" si="31"/>
        <v>0</v>
      </c>
      <c r="FD26" s="1500">
        <f t="shared" si="31"/>
        <v>0</v>
      </c>
      <c r="FE26" s="1500">
        <f t="shared" si="31"/>
        <v>0</v>
      </c>
      <c r="FF26" s="1500">
        <f t="shared" si="31"/>
        <v>0</v>
      </c>
      <c r="FG26" s="1500">
        <f t="shared" si="31"/>
        <v>0</v>
      </c>
      <c r="FH26" s="1500">
        <f t="shared" si="31"/>
        <v>0</v>
      </c>
      <c r="FI26" s="1500"/>
      <c r="FJ26" s="1500"/>
      <c r="FK26" s="1500"/>
      <c r="FL26" s="1538"/>
      <c r="FM26" s="1556"/>
    </row>
    <row r="27" spans="1:169">
      <c r="A27" s="1739"/>
      <c r="B27" s="1743"/>
      <c r="C27" s="1499" t="s">
        <v>210</v>
      </c>
      <c r="D27" s="1488">
        <f ca="1">IFERROR(D26/D16,0)</f>
        <v>0</v>
      </c>
      <c r="E27" s="1488">
        <f t="shared" ref="E27:BO27" ca="1" si="32">IFERROR(E26/E16,0)</f>
        <v>0</v>
      </c>
      <c r="F27" s="1488">
        <f t="shared" ca="1" si="32"/>
        <v>0</v>
      </c>
      <c r="G27" s="1488">
        <f t="shared" ca="1" si="32"/>
        <v>0</v>
      </c>
      <c r="H27" s="1488">
        <f t="shared" ca="1" si="32"/>
        <v>0</v>
      </c>
      <c r="I27" s="1488">
        <f t="shared" ca="1" si="32"/>
        <v>0</v>
      </c>
      <c r="J27" s="1488">
        <f t="shared" ca="1" si="32"/>
        <v>0</v>
      </c>
      <c r="K27" s="1488">
        <f t="shared" ca="1" si="32"/>
        <v>0</v>
      </c>
      <c r="L27" s="1488">
        <f t="shared" ca="1" si="32"/>
        <v>0</v>
      </c>
      <c r="M27" s="1488">
        <f t="shared" ca="1" si="32"/>
        <v>0</v>
      </c>
      <c r="N27" s="1488">
        <f t="shared" ca="1" si="32"/>
        <v>0</v>
      </c>
      <c r="O27" s="1488">
        <f t="shared" ca="1" si="32"/>
        <v>0</v>
      </c>
      <c r="P27" s="1488">
        <f t="shared" ca="1" si="32"/>
        <v>0</v>
      </c>
      <c r="Q27" s="1488">
        <f t="shared" ca="1" si="32"/>
        <v>0</v>
      </c>
      <c r="R27" s="1488">
        <f t="shared" ca="1" si="32"/>
        <v>0</v>
      </c>
      <c r="S27" s="1488">
        <f t="shared" ca="1" si="32"/>
        <v>0</v>
      </c>
      <c r="T27" s="1488">
        <f t="shared" ca="1" si="32"/>
        <v>0</v>
      </c>
      <c r="U27" s="1488">
        <f t="shared" ca="1" si="32"/>
        <v>0</v>
      </c>
      <c r="V27" s="1488">
        <f t="shared" ca="1" si="32"/>
        <v>0</v>
      </c>
      <c r="W27" s="1488">
        <f t="shared" ca="1" si="32"/>
        <v>0</v>
      </c>
      <c r="X27" s="1488">
        <f t="shared" ca="1" si="32"/>
        <v>0</v>
      </c>
      <c r="Y27" s="1488">
        <f t="shared" ca="1" si="32"/>
        <v>0</v>
      </c>
      <c r="Z27" s="1488">
        <f t="shared" ca="1" si="32"/>
        <v>0</v>
      </c>
      <c r="AA27" s="1488">
        <f t="shared" ca="1" si="32"/>
        <v>0</v>
      </c>
      <c r="AB27" s="1488">
        <f t="shared" ca="1" si="32"/>
        <v>0</v>
      </c>
      <c r="AC27" s="1488">
        <f t="shared" ca="1" si="32"/>
        <v>0</v>
      </c>
      <c r="AD27" s="1488">
        <f t="shared" ca="1" si="32"/>
        <v>0</v>
      </c>
      <c r="AE27" s="1488">
        <f t="shared" ca="1" si="32"/>
        <v>0</v>
      </c>
      <c r="AF27" s="1488">
        <f t="shared" ca="1" si="32"/>
        <v>0</v>
      </c>
      <c r="AG27" s="1488">
        <f t="shared" ca="1" si="32"/>
        <v>0</v>
      </c>
      <c r="AH27" s="1488">
        <f t="shared" ca="1" si="32"/>
        <v>0</v>
      </c>
      <c r="AI27" s="1488">
        <f t="shared" ca="1" si="32"/>
        <v>0</v>
      </c>
      <c r="AJ27" s="1488">
        <f t="shared" ca="1" si="32"/>
        <v>0</v>
      </c>
      <c r="AK27" s="1488">
        <f t="shared" ca="1" si="32"/>
        <v>0</v>
      </c>
      <c r="AL27" s="1488">
        <f t="shared" ca="1" si="32"/>
        <v>0</v>
      </c>
      <c r="AM27" s="1488">
        <f t="shared" ca="1" si="32"/>
        <v>0</v>
      </c>
      <c r="AN27" s="1488">
        <f t="shared" ca="1" si="32"/>
        <v>0</v>
      </c>
      <c r="AO27" s="1488">
        <f t="shared" ca="1" si="32"/>
        <v>0</v>
      </c>
      <c r="AP27" s="1488">
        <f t="shared" ca="1" si="32"/>
        <v>0</v>
      </c>
      <c r="AQ27" s="1488">
        <f t="shared" ca="1" si="32"/>
        <v>0</v>
      </c>
      <c r="AR27" s="1488">
        <f t="shared" ca="1" si="32"/>
        <v>0</v>
      </c>
      <c r="AS27" s="1488">
        <f t="shared" ca="1" si="32"/>
        <v>0</v>
      </c>
      <c r="AT27" s="1488">
        <f t="shared" ca="1" si="32"/>
        <v>0</v>
      </c>
      <c r="AU27" s="1488">
        <f t="shared" ca="1" si="32"/>
        <v>0</v>
      </c>
      <c r="AV27" s="1488">
        <f t="shared" ca="1" si="32"/>
        <v>0</v>
      </c>
      <c r="AW27" s="1488">
        <f t="shared" ca="1" si="32"/>
        <v>0</v>
      </c>
      <c r="AX27" s="1488">
        <f t="shared" ca="1" si="32"/>
        <v>0</v>
      </c>
      <c r="AY27" s="1488">
        <f t="shared" ca="1" si="32"/>
        <v>0</v>
      </c>
      <c r="AZ27" s="1488">
        <f t="shared" ca="1" si="32"/>
        <v>0</v>
      </c>
      <c r="BA27" s="1488">
        <f t="shared" ca="1" si="32"/>
        <v>0</v>
      </c>
      <c r="BB27" s="1488">
        <f t="shared" ca="1" si="32"/>
        <v>0</v>
      </c>
      <c r="BC27" s="1488">
        <f t="shared" ca="1" si="32"/>
        <v>0</v>
      </c>
      <c r="BD27" s="1488">
        <f t="shared" ca="1" si="32"/>
        <v>0</v>
      </c>
      <c r="BE27" s="1488">
        <f t="shared" ca="1" si="32"/>
        <v>0</v>
      </c>
      <c r="BF27" s="1488">
        <f t="shared" ca="1" si="32"/>
        <v>0</v>
      </c>
      <c r="BG27" s="1488">
        <f t="shared" ca="1" si="32"/>
        <v>0</v>
      </c>
      <c r="BH27" s="1488">
        <f t="shared" ca="1" si="32"/>
        <v>0</v>
      </c>
      <c r="BI27" s="1488">
        <f t="shared" ca="1" si="32"/>
        <v>0</v>
      </c>
      <c r="BJ27" s="1488">
        <f t="shared" ca="1" si="32"/>
        <v>0</v>
      </c>
      <c r="BK27" s="1488">
        <f t="shared" ca="1" si="32"/>
        <v>0</v>
      </c>
      <c r="BL27" s="1488">
        <f t="shared" ca="1" si="32"/>
        <v>0</v>
      </c>
      <c r="BM27" s="1488">
        <f t="shared" ca="1" si="32"/>
        <v>0</v>
      </c>
      <c r="BN27" s="1488">
        <f t="shared" ca="1" si="32"/>
        <v>0</v>
      </c>
      <c r="BO27" s="1488">
        <f t="shared" ca="1" si="32"/>
        <v>0</v>
      </c>
      <c r="BP27" s="1488">
        <f t="shared" ref="BP27:EA27" ca="1" si="33">IFERROR(BP26/BP16,0)</f>
        <v>0</v>
      </c>
      <c r="BQ27" s="1488">
        <f t="shared" ca="1" si="33"/>
        <v>0</v>
      </c>
      <c r="BR27" s="1488">
        <f t="shared" ca="1" si="33"/>
        <v>0</v>
      </c>
      <c r="BS27" s="1488">
        <f t="shared" ca="1" si="33"/>
        <v>0</v>
      </c>
      <c r="BT27" s="1488">
        <f t="shared" ca="1" si="33"/>
        <v>0</v>
      </c>
      <c r="BU27" s="1488">
        <f t="shared" ca="1" si="33"/>
        <v>0</v>
      </c>
      <c r="BV27" s="1488">
        <f t="shared" ca="1" si="33"/>
        <v>0</v>
      </c>
      <c r="BW27" s="1488">
        <f t="shared" ca="1" si="33"/>
        <v>0</v>
      </c>
      <c r="BX27" s="1488">
        <f t="shared" ca="1" si="33"/>
        <v>0</v>
      </c>
      <c r="BY27" s="1488">
        <f t="shared" ca="1" si="33"/>
        <v>0</v>
      </c>
      <c r="BZ27" s="1488">
        <f t="shared" ca="1" si="33"/>
        <v>0</v>
      </c>
      <c r="CA27" s="1488">
        <f t="shared" ca="1" si="33"/>
        <v>0</v>
      </c>
      <c r="CB27" s="1488">
        <f t="shared" ca="1" si="33"/>
        <v>0</v>
      </c>
      <c r="CC27" s="1488">
        <f t="shared" ca="1" si="33"/>
        <v>0</v>
      </c>
      <c r="CD27" s="1488">
        <f t="shared" ca="1" si="33"/>
        <v>0</v>
      </c>
      <c r="CE27" s="1488">
        <f t="shared" ca="1" si="33"/>
        <v>0</v>
      </c>
      <c r="CF27" s="1488">
        <f t="shared" ca="1" si="33"/>
        <v>0</v>
      </c>
      <c r="CG27" s="1488">
        <f t="shared" ca="1" si="33"/>
        <v>0</v>
      </c>
      <c r="CH27" s="1488">
        <f t="shared" ca="1" si="33"/>
        <v>0</v>
      </c>
      <c r="CI27" s="1488">
        <f t="shared" ca="1" si="33"/>
        <v>0</v>
      </c>
      <c r="CJ27" s="1488">
        <f t="shared" ca="1" si="33"/>
        <v>0</v>
      </c>
      <c r="CK27" s="1488">
        <f t="shared" ca="1" si="33"/>
        <v>0</v>
      </c>
      <c r="CL27" s="1488">
        <f t="shared" ca="1" si="33"/>
        <v>0</v>
      </c>
      <c r="CM27" s="1488">
        <f t="shared" ca="1" si="33"/>
        <v>0</v>
      </c>
      <c r="CN27" s="1488">
        <f t="shared" ca="1" si="33"/>
        <v>0</v>
      </c>
      <c r="CO27" s="1488">
        <f t="shared" ca="1" si="33"/>
        <v>0</v>
      </c>
      <c r="CP27" s="1488">
        <f t="shared" ca="1" si="33"/>
        <v>0</v>
      </c>
      <c r="CQ27" s="1488">
        <f t="shared" ca="1" si="33"/>
        <v>0</v>
      </c>
      <c r="CR27" s="1488">
        <f t="shared" ca="1" si="33"/>
        <v>0</v>
      </c>
      <c r="CS27" s="1488">
        <f t="shared" ca="1" si="33"/>
        <v>0</v>
      </c>
      <c r="CT27" s="1488">
        <f t="shared" ca="1" si="33"/>
        <v>0</v>
      </c>
      <c r="CU27" s="1488">
        <f t="shared" ca="1" si="33"/>
        <v>0</v>
      </c>
      <c r="CV27" s="1488">
        <f t="shared" ca="1" si="33"/>
        <v>0</v>
      </c>
      <c r="CW27" s="1488">
        <f t="shared" ca="1" si="33"/>
        <v>0</v>
      </c>
      <c r="CX27" s="1488">
        <f t="shared" ca="1" si="33"/>
        <v>0</v>
      </c>
      <c r="CY27" s="1488">
        <f t="shared" ca="1" si="33"/>
        <v>0</v>
      </c>
      <c r="CZ27" s="1488">
        <f t="shared" ca="1" si="33"/>
        <v>0</v>
      </c>
      <c r="DA27" s="1488">
        <f t="shared" ca="1" si="33"/>
        <v>0</v>
      </c>
      <c r="DB27" s="1488">
        <f t="shared" ca="1" si="33"/>
        <v>0</v>
      </c>
      <c r="DC27" s="1488">
        <f t="shared" ca="1" si="33"/>
        <v>0</v>
      </c>
      <c r="DD27" s="1488">
        <f t="shared" ca="1" si="33"/>
        <v>0</v>
      </c>
      <c r="DE27" s="1488">
        <f t="shared" ca="1" si="33"/>
        <v>0</v>
      </c>
      <c r="DF27" s="1488">
        <f t="shared" ca="1" si="33"/>
        <v>0</v>
      </c>
      <c r="DG27" s="1488">
        <f t="shared" ca="1" si="33"/>
        <v>0</v>
      </c>
      <c r="DH27" s="1488">
        <f t="shared" ca="1" si="33"/>
        <v>0</v>
      </c>
      <c r="DI27" s="1488">
        <f t="shared" ca="1" si="33"/>
        <v>0</v>
      </c>
      <c r="DJ27" s="1488">
        <f t="shared" ca="1" si="33"/>
        <v>0</v>
      </c>
      <c r="DK27" s="1488">
        <f t="shared" ca="1" si="33"/>
        <v>0</v>
      </c>
      <c r="DL27" s="1488">
        <f t="shared" ca="1" si="33"/>
        <v>0</v>
      </c>
      <c r="DM27" s="1488">
        <f t="shared" ca="1" si="33"/>
        <v>0</v>
      </c>
      <c r="DN27" s="1488">
        <f t="shared" ca="1" si="33"/>
        <v>0</v>
      </c>
      <c r="DO27" s="1488">
        <f t="shared" ca="1" si="33"/>
        <v>0</v>
      </c>
      <c r="DP27" s="1488">
        <f t="shared" ca="1" si="33"/>
        <v>0</v>
      </c>
      <c r="DQ27" s="1488">
        <f t="shared" ca="1" si="33"/>
        <v>0</v>
      </c>
      <c r="DR27" s="1488">
        <f t="shared" ca="1" si="33"/>
        <v>0</v>
      </c>
      <c r="DS27" s="1488">
        <f t="shared" ca="1" si="33"/>
        <v>0</v>
      </c>
      <c r="DT27" s="1488">
        <f t="shared" ca="1" si="33"/>
        <v>0</v>
      </c>
      <c r="DU27" s="1488">
        <f t="shared" si="33"/>
        <v>0</v>
      </c>
      <c r="DV27" s="1488">
        <f t="shared" si="33"/>
        <v>0</v>
      </c>
      <c r="DW27" s="1488">
        <f t="shared" si="33"/>
        <v>0</v>
      </c>
      <c r="DX27" s="1488">
        <f t="shared" si="33"/>
        <v>0</v>
      </c>
      <c r="DY27" s="1488">
        <f t="shared" si="33"/>
        <v>0</v>
      </c>
      <c r="DZ27" s="1488">
        <f t="shared" si="33"/>
        <v>0</v>
      </c>
      <c r="EA27" s="1488">
        <f t="shared" si="33"/>
        <v>0</v>
      </c>
      <c r="EB27" s="1488">
        <f t="shared" ref="EB27:FH27" si="34">IFERROR(EB26/EB16,0)</f>
        <v>0</v>
      </c>
      <c r="EC27" s="1488">
        <f t="shared" si="34"/>
        <v>0</v>
      </c>
      <c r="ED27" s="1488">
        <f t="shared" si="34"/>
        <v>0</v>
      </c>
      <c r="EE27" s="1488">
        <f t="shared" si="34"/>
        <v>0</v>
      </c>
      <c r="EF27" s="1488">
        <f t="shared" si="34"/>
        <v>0</v>
      </c>
      <c r="EG27" s="1488">
        <f t="shared" si="34"/>
        <v>0</v>
      </c>
      <c r="EH27" s="1488">
        <f t="shared" si="34"/>
        <v>0</v>
      </c>
      <c r="EI27" s="1488">
        <f t="shared" si="34"/>
        <v>0</v>
      </c>
      <c r="EJ27" s="1488">
        <f t="shared" si="34"/>
        <v>0</v>
      </c>
      <c r="EK27" s="1488">
        <f t="shared" si="34"/>
        <v>0</v>
      </c>
      <c r="EL27" s="1488">
        <f t="shared" si="34"/>
        <v>0</v>
      </c>
      <c r="EM27" s="1488">
        <f t="shared" si="34"/>
        <v>0</v>
      </c>
      <c r="EN27" s="1488">
        <f t="shared" si="34"/>
        <v>0</v>
      </c>
      <c r="EO27" s="1488">
        <f t="shared" si="34"/>
        <v>0</v>
      </c>
      <c r="EP27" s="1488">
        <f t="shared" si="34"/>
        <v>0</v>
      </c>
      <c r="EQ27" s="1488">
        <f t="shared" si="34"/>
        <v>0</v>
      </c>
      <c r="ER27" s="1488">
        <f t="shared" si="34"/>
        <v>0</v>
      </c>
      <c r="ES27" s="1488">
        <f t="shared" si="34"/>
        <v>0</v>
      </c>
      <c r="ET27" s="1488">
        <f t="shared" si="34"/>
        <v>0</v>
      </c>
      <c r="EU27" s="1488">
        <f t="shared" si="34"/>
        <v>0</v>
      </c>
      <c r="EV27" s="1488">
        <f t="shared" si="34"/>
        <v>0</v>
      </c>
      <c r="EW27" s="1488">
        <f t="shared" si="34"/>
        <v>0</v>
      </c>
      <c r="EX27" s="1488">
        <f t="shared" si="34"/>
        <v>0</v>
      </c>
      <c r="EY27" s="1488">
        <f t="shared" si="34"/>
        <v>0</v>
      </c>
      <c r="EZ27" s="1488">
        <f t="shared" si="34"/>
        <v>0</v>
      </c>
      <c r="FA27" s="1488">
        <f t="shared" si="34"/>
        <v>0</v>
      </c>
      <c r="FB27" s="1488">
        <f t="shared" si="34"/>
        <v>0</v>
      </c>
      <c r="FC27" s="1488">
        <f t="shared" si="34"/>
        <v>0</v>
      </c>
      <c r="FD27" s="1488">
        <f t="shared" si="34"/>
        <v>0</v>
      </c>
      <c r="FE27" s="1488">
        <f t="shared" si="34"/>
        <v>0</v>
      </c>
      <c r="FF27" s="1488">
        <f t="shared" si="34"/>
        <v>0</v>
      </c>
      <c r="FG27" s="1488">
        <f t="shared" si="34"/>
        <v>0</v>
      </c>
      <c r="FH27" s="1488">
        <f t="shared" si="34"/>
        <v>0</v>
      </c>
      <c r="FI27" s="1500"/>
      <c r="FJ27" s="1500"/>
      <c r="FK27" s="1500"/>
      <c r="FL27" s="1538"/>
      <c r="FM27" s="1556"/>
    </row>
    <row r="28" spans="1:169">
      <c r="A28" s="1739"/>
      <c r="B28" s="1742" t="s">
        <v>211</v>
      </c>
      <c r="C28" s="1485" t="s">
        <v>212</v>
      </c>
      <c r="D28" s="1486">
        <f>SUM(E28:FL28)</f>
        <v>0</v>
      </c>
      <c r="E28" s="1494">
        <f>IF(E29-E32&gt;0,E29-E32,0)</f>
        <v>0</v>
      </c>
      <c r="F28" s="1494">
        <f t="shared" ref="F28:BQ28" si="35">IF(F29-F32&gt;0,F29-F32,0)</f>
        <v>0</v>
      </c>
      <c r="G28" s="1494">
        <f t="shared" si="35"/>
        <v>0</v>
      </c>
      <c r="H28" s="1494">
        <f t="shared" si="35"/>
        <v>0</v>
      </c>
      <c r="I28" s="1494">
        <f t="shared" si="35"/>
        <v>0</v>
      </c>
      <c r="J28" s="1494">
        <f t="shared" si="35"/>
        <v>0</v>
      </c>
      <c r="K28" s="1494">
        <f t="shared" si="35"/>
        <v>0</v>
      </c>
      <c r="L28" s="1494">
        <f t="shared" si="35"/>
        <v>0</v>
      </c>
      <c r="M28" s="1494">
        <f t="shared" si="35"/>
        <v>0</v>
      </c>
      <c r="N28" s="1494">
        <f t="shared" si="35"/>
        <v>0</v>
      </c>
      <c r="O28" s="1494">
        <f t="shared" si="35"/>
        <v>0</v>
      </c>
      <c r="P28" s="1494">
        <f t="shared" si="35"/>
        <v>0</v>
      </c>
      <c r="Q28" s="1494">
        <f t="shared" si="35"/>
        <v>0</v>
      </c>
      <c r="R28" s="1494">
        <f t="shared" si="35"/>
        <v>0</v>
      </c>
      <c r="S28" s="1494">
        <f t="shared" si="35"/>
        <v>0</v>
      </c>
      <c r="T28" s="1494">
        <f t="shared" si="35"/>
        <v>0</v>
      </c>
      <c r="U28" s="1494">
        <f t="shared" si="35"/>
        <v>0</v>
      </c>
      <c r="V28" s="1494">
        <f t="shared" si="35"/>
        <v>0</v>
      </c>
      <c r="W28" s="1494">
        <f t="shared" si="35"/>
        <v>0</v>
      </c>
      <c r="X28" s="1494">
        <f t="shared" si="35"/>
        <v>0</v>
      </c>
      <c r="Y28" s="1494">
        <f t="shared" si="35"/>
        <v>0</v>
      </c>
      <c r="Z28" s="1494">
        <f t="shared" si="35"/>
        <v>0</v>
      </c>
      <c r="AA28" s="1494">
        <f t="shared" si="35"/>
        <v>0</v>
      </c>
      <c r="AB28" s="1494">
        <f t="shared" si="35"/>
        <v>0</v>
      </c>
      <c r="AC28" s="1494">
        <f t="shared" si="35"/>
        <v>0</v>
      </c>
      <c r="AD28" s="1494">
        <f t="shared" si="35"/>
        <v>0</v>
      </c>
      <c r="AE28" s="1494">
        <f t="shared" si="35"/>
        <v>0</v>
      </c>
      <c r="AF28" s="1494">
        <f t="shared" si="35"/>
        <v>0</v>
      </c>
      <c r="AG28" s="1494">
        <f t="shared" si="35"/>
        <v>0</v>
      </c>
      <c r="AH28" s="1494">
        <f t="shared" si="35"/>
        <v>0</v>
      </c>
      <c r="AI28" s="1494">
        <f t="shared" si="35"/>
        <v>0</v>
      </c>
      <c r="AJ28" s="1494">
        <f t="shared" si="35"/>
        <v>0</v>
      </c>
      <c r="AK28" s="1494">
        <f t="shared" si="35"/>
        <v>0</v>
      </c>
      <c r="AL28" s="1494">
        <f t="shared" si="35"/>
        <v>0</v>
      </c>
      <c r="AM28" s="1494">
        <f t="shared" si="35"/>
        <v>0</v>
      </c>
      <c r="AN28" s="1494">
        <f t="shared" si="35"/>
        <v>0</v>
      </c>
      <c r="AO28" s="1494">
        <f t="shared" si="35"/>
        <v>0</v>
      </c>
      <c r="AP28" s="1494">
        <f t="shared" si="35"/>
        <v>0</v>
      </c>
      <c r="AQ28" s="1494">
        <f t="shared" si="35"/>
        <v>0</v>
      </c>
      <c r="AR28" s="1494">
        <f t="shared" si="35"/>
        <v>0</v>
      </c>
      <c r="AS28" s="1494">
        <f t="shared" si="35"/>
        <v>0</v>
      </c>
      <c r="AT28" s="1494">
        <f t="shared" si="35"/>
        <v>0</v>
      </c>
      <c r="AU28" s="1494">
        <f t="shared" si="35"/>
        <v>0</v>
      </c>
      <c r="AV28" s="1494">
        <f t="shared" si="35"/>
        <v>0</v>
      </c>
      <c r="AW28" s="1494">
        <f t="shared" si="35"/>
        <v>0</v>
      </c>
      <c r="AX28" s="1494">
        <f t="shared" si="35"/>
        <v>0</v>
      </c>
      <c r="AY28" s="1494">
        <f t="shared" si="35"/>
        <v>0</v>
      </c>
      <c r="AZ28" s="1494">
        <f t="shared" si="35"/>
        <v>0</v>
      </c>
      <c r="BA28" s="1494">
        <f t="shared" si="35"/>
        <v>0</v>
      </c>
      <c r="BB28" s="1494">
        <f t="shared" si="35"/>
        <v>0</v>
      </c>
      <c r="BC28" s="1494">
        <f t="shared" si="35"/>
        <v>0</v>
      </c>
      <c r="BD28" s="1494">
        <f t="shared" si="35"/>
        <v>0</v>
      </c>
      <c r="BE28" s="1494">
        <f t="shared" si="35"/>
        <v>0</v>
      </c>
      <c r="BF28" s="1494">
        <f t="shared" si="35"/>
        <v>0</v>
      </c>
      <c r="BG28" s="1494">
        <f t="shared" si="35"/>
        <v>0</v>
      </c>
      <c r="BH28" s="1494">
        <f t="shared" si="35"/>
        <v>0</v>
      </c>
      <c r="BI28" s="1494">
        <f t="shared" si="35"/>
        <v>0</v>
      </c>
      <c r="BJ28" s="1494">
        <f t="shared" si="35"/>
        <v>0</v>
      </c>
      <c r="BK28" s="1494">
        <f t="shared" si="35"/>
        <v>0</v>
      </c>
      <c r="BL28" s="1494">
        <f t="shared" si="35"/>
        <v>0</v>
      </c>
      <c r="BM28" s="1494">
        <f t="shared" si="35"/>
        <v>0</v>
      </c>
      <c r="BN28" s="1494">
        <f t="shared" si="35"/>
        <v>0</v>
      </c>
      <c r="BO28" s="1494">
        <f t="shared" si="35"/>
        <v>0</v>
      </c>
      <c r="BP28" s="1494">
        <f t="shared" si="35"/>
        <v>0</v>
      </c>
      <c r="BQ28" s="1494">
        <f t="shared" si="35"/>
        <v>0</v>
      </c>
      <c r="BR28" s="1494">
        <f t="shared" ref="BR28:EC28" si="36">IF(BR29-BR32&gt;0,BR29-BR32,0)</f>
        <v>0</v>
      </c>
      <c r="BS28" s="1494">
        <f t="shared" si="36"/>
        <v>0</v>
      </c>
      <c r="BT28" s="1494">
        <f t="shared" si="36"/>
        <v>0</v>
      </c>
      <c r="BU28" s="1494">
        <f t="shared" si="36"/>
        <v>0</v>
      </c>
      <c r="BV28" s="1494">
        <f t="shared" si="36"/>
        <v>0</v>
      </c>
      <c r="BW28" s="1494">
        <f t="shared" si="36"/>
        <v>0</v>
      </c>
      <c r="BX28" s="1494">
        <f t="shared" si="36"/>
        <v>0</v>
      </c>
      <c r="BY28" s="1494">
        <f t="shared" si="36"/>
        <v>0</v>
      </c>
      <c r="BZ28" s="1494">
        <f t="shared" si="36"/>
        <v>0</v>
      </c>
      <c r="CA28" s="1494">
        <f t="shared" si="36"/>
        <v>0</v>
      </c>
      <c r="CB28" s="1494">
        <f t="shared" si="36"/>
        <v>0</v>
      </c>
      <c r="CC28" s="1494">
        <f t="shared" si="36"/>
        <v>0</v>
      </c>
      <c r="CD28" s="1494">
        <f t="shared" si="36"/>
        <v>0</v>
      </c>
      <c r="CE28" s="1494">
        <f t="shared" si="36"/>
        <v>0</v>
      </c>
      <c r="CF28" s="1494">
        <f t="shared" si="36"/>
        <v>0</v>
      </c>
      <c r="CG28" s="1494">
        <f t="shared" si="36"/>
        <v>0</v>
      </c>
      <c r="CH28" s="1494">
        <f t="shared" si="36"/>
        <v>0</v>
      </c>
      <c r="CI28" s="1494">
        <f t="shared" si="36"/>
        <v>0</v>
      </c>
      <c r="CJ28" s="1494">
        <f t="shared" si="36"/>
        <v>0</v>
      </c>
      <c r="CK28" s="1494">
        <f t="shared" si="36"/>
        <v>0</v>
      </c>
      <c r="CL28" s="1494">
        <f t="shared" si="36"/>
        <v>0</v>
      </c>
      <c r="CM28" s="1494">
        <f t="shared" si="36"/>
        <v>0</v>
      </c>
      <c r="CN28" s="1494">
        <f t="shared" si="36"/>
        <v>0</v>
      </c>
      <c r="CO28" s="1494">
        <f t="shared" si="36"/>
        <v>0</v>
      </c>
      <c r="CP28" s="1494">
        <f t="shared" si="36"/>
        <v>0</v>
      </c>
      <c r="CQ28" s="1494">
        <f t="shared" si="36"/>
        <v>0</v>
      </c>
      <c r="CR28" s="1494">
        <f t="shared" si="36"/>
        <v>0</v>
      </c>
      <c r="CS28" s="1494">
        <f t="shared" si="36"/>
        <v>0</v>
      </c>
      <c r="CT28" s="1494">
        <f t="shared" si="36"/>
        <v>0</v>
      </c>
      <c r="CU28" s="1494">
        <f t="shared" si="36"/>
        <v>0</v>
      </c>
      <c r="CV28" s="1494">
        <f t="shared" si="36"/>
        <v>0</v>
      </c>
      <c r="CW28" s="1494">
        <f t="shared" si="36"/>
        <v>0</v>
      </c>
      <c r="CX28" s="1494">
        <f t="shared" si="36"/>
        <v>0</v>
      </c>
      <c r="CY28" s="1494">
        <f t="shared" si="36"/>
        <v>0</v>
      </c>
      <c r="CZ28" s="1494">
        <f t="shared" si="36"/>
        <v>0</v>
      </c>
      <c r="DA28" s="1494">
        <f t="shared" si="36"/>
        <v>0</v>
      </c>
      <c r="DB28" s="1494">
        <f t="shared" si="36"/>
        <v>0</v>
      </c>
      <c r="DC28" s="1494">
        <f t="shared" si="36"/>
        <v>0</v>
      </c>
      <c r="DD28" s="1494">
        <f t="shared" si="36"/>
        <v>0</v>
      </c>
      <c r="DE28" s="1494">
        <f t="shared" si="36"/>
        <v>0</v>
      </c>
      <c r="DF28" s="1494">
        <f t="shared" si="36"/>
        <v>0</v>
      </c>
      <c r="DG28" s="1494">
        <f t="shared" si="36"/>
        <v>0</v>
      </c>
      <c r="DH28" s="1494">
        <f t="shared" si="36"/>
        <v>0</v>
      </c>
      <c r="DI28" s="1494">
        <f t="shared" si="36"/>
        <v>0</v>
      </c>
      <c r="DJ28" s="1494">
        <f t="shared" si="36"/>
        <v>0</v>
      </c>
      <c r="DK28" s="1494">
        <f t="shared" si="36"/>
        <v>0</v>
      </c>
      <c r="DL28" s="1494">
        <f t="shared" si="36"/>
        <v>0</v>
      </c>
      <c r="DM28" s="1494">
        <f t="shared" si="36"/>
        <v>0</v>
      </c>
      <c r="DN28" s="1494">
        <f t="shared" si="36"/>
        <v>0</v>
      </c>
      <c r="DO28" s="1494">
        <f t="shared" si="36"/>
        <v>0</v>
      </c>
      <c r="DP28" s="1494">
        <f t="shared" si="36"/>
        <v>0</v>
      </c>
      <c r="DQ28" s="1494">
        <f t="shared" si="36"/>
        <v>0</v>
      </c>
      <c r="DR28" s="1494">
        <f t="shared" si="36"/>
        <v>0</v>
      </c>
      <c r="DS28" s="1494">
        <f t="shared" si="36"/>
        <v>0</v>
      </c>
      <c r="DT28" s="1494">
        <f t="shared" si="36"/>
        <v>0</v>
      </c>
      <c r="DU28" s="1494">
        <f t="shared" si="36"/>
        <v>0</v>
      </c>
      <c r="DV28" s="1494">
        <f t="shared" si="36"/>
        <v>0</v>
      </c>
      <c r="DW28" s="1494">
        <f t="shared" si="36"/>
        <v>0</v>
      </c>
      <c r="DX28" s="1494">
        <f t="shared" si="36"/>
        <v>0</v>
      </c>
      <c r="DY28" s="1494">
        <f t="shared" si="36"/>
        <v>0</v>
      </c>
      <c r="DZ28" s="1494">
        <f t="shared" si="36"/>
        <v>0</v>
      </c>
      <c r="EA28" s="1494">
        <f t="shared" si="36"/>
        <v>0</v>
      </c>
      <c r="EB28" s="1494">
        <f t="shared" si="36"/>
        <v>0</v>
      </c>
      <c r="EC28" s="1494">
        <f t="shared" si="36"/>
        <v>0</v>
      </c>
      <c r="ED28" s="1494">
        <f t="shared" ref="ED28:FH28" si="37">IF(ED29-ED32&gt;0,ED29-ED32,0)</f>
        <v>0</v>
      </c>
      <c r="EE28" s="1494">
        <f t="shared" si="37"/>
        <v>0</v>
      </c>
      <c r="EF28" s="1494">
        <f t="shared" si="37"/>
        <v>0</v>
      </c>
      <c r="EG28" s="1494">
        <f t="shared" si="37"/>
        <v>0</v>
      </c>
      <c r="EH28" s="1494">
        <f t="shared" si="37"/>
        <v>0</v>
      </c>
      <c r="EI28" s="1494">
        <f t="shared" si="37"/>
        <v>0</v>
      </c>
      <c r="EJ28" s="1494">
        <f t="shared" si="37"/>
        <v>0</v>
      </c>
      <c r="EK28" s="1494">
        <f t="shared" si="37"/>
        <v>0</v>
      </c>
      <c r="EL28" s="1494">
        <f t="shared" si="37"/>
        <v>0</v>
      </c>
      <c r="EM28" s="1494">
        <f t="shared" si="37"/>
        <v>0</v>
      </c>
      <c r="EN28" s="1494">
        <f t="shared" si="37"/>
        <v>0</v>
      </c>
      <c r="EO28" s="1494">
        <f t="shared" si="37"/>
        <v>0</v>
      </c>
      <c r="EP28" s="1494">
        <f t="shared" si="37"/>
        <v>0</v>
      </c>
      <c r="EQ28" s="1494">
        <f t="shared" si="37"/>
        <v>0</v>
      </c>
      <c r="ER28" s="1494">
        <f t="shared" si="37"/>
        <v>0</v>
      </c>
      <c r="ES28" s="1494">
        <f t="shared" si="37"/>
        <v>0</v>
      </c>
      <c r="ET28" s="1494">
        <f t="shared" si="37"/>
        <v>0</v>
      </c>
      <c r="EU28" s="1494">
        <f t="shared" si="37"/>
        <v>0</v>
      </c>
      <c r="EV28" s="1494">
        <f t="shared" si="37"/>
        <v>0</v>
      </c>
      <c r="EW28" s="1494">
        <f t="shared" si="37"/>
        <v>0</v>
      </c>
      <c r="EX28" s="1494">
        <f t="shared" si="37"/>
        <v>0</v>
      </c>
      <c r="EY28" s="1494">
        <f t="shared" si="37"/>
        <v>0</v>
      </c>
      <c r="EZ28" s="1494">
        <f t="shared" si="37"/>
        <v>0</v>
      </c>
      <c r="FA28" s="1494">
        <f t="shared" si="37"/>
        <v>0</v>
      </c>
      <c r="FB28" s="1494">
        <f t="shared" si="37"/>
        <v>0</v>
      </c>
      <c r="FC28" s="1494">
        <f t="shared" si="37"/>
        <v>0</v>
      </c>
      <c r="FD28" s="1494">
        <f t="shared" si="37"/>
        <v>0</v>
      </c>
      <c r="FE28" s="1494">
        <f t="shared" si="37"/>
        <v>0</v>
      </c>
      <c r="FF28" s="1494">
        <f t="shared" si="37"/>
        <v>0</v>
      </c>
      <c r="FG28" s="1494">
        <f t="shared" si="37"/>
        <v>0</v>
      </c>
      <c r="FH28" s="1494">
        <f t="shared" si="37"/>
        <v>0</v>
      </c>
      <c r="FI28" s="1494"/>
      <c r="FJ28" s="1494"/>
      <c r="FK28" s="1494"/>
      <c r="FL28" s="1539"/>
      <c r="FM28" s="1556"/>
    </row>
    <row r="29" spans="1:169">
      <c r="A29" s="1739"/>
      <c r="B29" s="1744"/>
      <c r="C29" s="1499" t="s">
        <v>213</v>
      </c>
      <c r="D29" s="1486">
        <f>SUM(E29:FL29)</f>
        <v>0</v>
      </c>
      <c r="E29" s="1501">
        <f>(E6+E13)/1.11*11%+(E14+E15)/1.06*6%-(E17+E24)*0.5/1.06*6%-(E18+E19)*0.2/1.06*6%-SUM(E22:AR22)/1.11*11%-SUM(E23:AR23)/1.17*17%</f>
        <v>0</v>
      </c>
      <c r="F29" s="1490">
        <f t="shared" ref="F29:BQ29" si="38">(F6+F13)/1.11*11%+(F14+F15)/1.06*6%-(F17+F24)*0.5/1.06*6%-(F18+F19)*0.2/1.06*6%</f>
        <v>0</v>
      </c>
      <c r="G29" s="1490">
        <f t="shared" si="38"/>
        <v>0</v>
      </c>
      <c r="H29" s="1490">
        <f t="shared" si="38"/>
        <v>0</v>
      </c>
      <c r="I29" s="1490">
        <f t="shared" si="38"/>
        <v>0</v>
      </c>
      <c r="J29" s="1490">
        <f t="shared" si="38"/>
        <v>0</v>
      </c>
      <c r="K29" s="1490">
        <f t="shared" si="38"/>
        <v>0</v>
      </c>
      <c r="L29" s="1490">
        <f t="shared" si="38"/>
        <v>0</v>
      </c>
      <c r="M29" s="1490">
        <f t="shared" si="38"/>
        <v>0</v>
      </c>
      <c r="N29" s="1490">
        <f t="shared" si="38"/>
        <v>0</v>
      </c>
      <c r="O29" s="1490">
        <f t="shared" si="38"/>
        <v>0</v>
      </c>
      <c r="P29" s="1490">
        <f t="shared" si="38"/>
        <v>0</v>
      </c>
      <c r="Q29" s="1490">
        <f t="shared" si="38"/>
        <v>0</v>
      </c>
      <c r="R29" s="1490">
        <f t="shared" si="38"/>
        <v>0</v>
      </c>
      <c r="S29" s="1490">
        <f t="shared" si="38"/>
        <v>0</v>
      </c>
      <c r="T29" s="1490">
        <f t="shared" si="38"/>
        <v>0</v>
      </c>
      <c r="U29" s="1490">
        <f t="shared" si="38"/>
        <v>0</v>
      </c>
      <c r="V29" s="1490">
        <f t="shared" si="38"/>
        <v>0</v>
      </c>
      <c r="W29" s="1490">
        <f t="shared" si="38"/>
        <v>0</v>
      </c>
      <c r="X29" s="1490">
        <f t="shared" si="38"/>
        <v>0</v>
      </c>
      <c r="Y29" s="1490">
        <f t="shared" si="38"/>
        <v>0</v>
      </c>
      <c r="Z29" s="1490">
        <f t="shared" si="38"/>
        <v>0</v>
      </c>
      <c r="AA29" s="1490">
        <f t="shared" si="38"/>
        <v>0</v>
      </c>
      <c r="AB29" s="1490">
        <f t="shared" si="38"/>
        <v>0</v>
      </c>
      <c r="AC29" s="1490">
        <f t="shared" si="38"/>
        <v>0</v>
      </c>
      <c r="AD29" s="1490">
        <f t="shared" si="38"/>
        <v>0</v>
      </c>
      <c r="AE29" s="1490">
        <f t="shared" si="38"/>
        <v>0</v>
      </c>
      <c r="AF29" s="1490">
        <f t="shared" si="38"/>
        <v>0</v>
      </c>
      <c r="AG29" s="1490">
        <f t="shared" si="38"/>
        <v>0</v>
      </c>
      <c r="AH29" s="1490">
        <f t="shared" si="38"/>
        <v>0</v>
      </c>
      <c r="AI29" s="1490">
        <f t="shared" si="38"/>
        <v>0</v>
      </c>
      <c r="AJ29" s="1490">
        <f t="shared" si="38"/>
        <v>0</v>
      </c>
      <c r="AK29" s="1490">
        <f t="shared" si="38"/>
        <v>0</v>
      </c>
      <c r="AL29" s="1490">
        <f t="shared" si="38"/>
        <v>0</v>
      </c>
      <c r="AM29" s="1490">
        <f t="shared" si="38"/>
        <v>0</v>
      </c>
      <c r="AN29" s="1490">
        <f t="shared" si="38"/>
        <v>0</v>
      </c>
      <c r="AO29" s="1490">
        <f t="shared" si="38"/>
        <v>0</v>
      </c>
      <c r="AP29" s="1490">
        <f t="shared" si="38"/>
        <v>0</v>
      </c>
      <c r="AQ29" s="1490">
        <f t="shared" si="38"/>
        <v>0</v>
      </c>
      <c r="AR29" s="1490">
        <f t="shared" si="38"/>
        <v>0</v>
      </c>
      <c r="AS29" s="1501">
        <f>(AS6+AS13)/1.11*11%+(AS14+AS15)/1.06*6%-(AS17+AS24)*0.5/1.06*6%-(AS18+AS19)*0.2/1.06*6%-SUM(AS22:CF22)/1.11*11%-SUM(AS23:CF23)/1.17*17%</f>
        <v>0</v>
      </c>
      <c r="AT29" s="1490">
        <f t="shared" si="38"/>
        <v>0</v>
      </c>
      <c r="AU29" s="1490">
        <f t="shared" si="38"/>
        <v>0</v>
      </c>
      <c r="AV29" s="1490">
        <f t="shared" si="38"/>
        <v>0</v>
      </c>
      <c r="AW29" s="1490">
        <f t="shared" si="38"/>
        <v>0</v>
      </c>
      <c r="AX29" s="1490">
        <f t="shared" si="38"/>
        <v>0</v>
      </c>
      <c r="AY29" s="1490">
        <f t="shared" si="38"/>
        <v>0</v>
      </c>
      <c r="AZ29" s="1490">
        <f t="shared" si="38"/>
        <v>0</v>
      </c>
      <c r="BA29" s="1490">
        <f t="shared" si="38"/>
        <v>0</v>
      </c>
      <c r="BB29" s="1490">
        <f t="shared" si="38"/>
        <v>0</v>
      </c>
      <c r="BC29" s="1490">
        <f t="shared" si="38"/>
        <v>0</v>
      </c>
      <c r="BD29" s="1490">
        <f t="shared" si="38"/>
        <v>0</v>
      </c>
      <c r="BE29" s="1490">
        <f t="shared" si="38"/>
        <v>0</v>
      </c>
      <c r="BF29" s="1490">
        <f t="shared" si="38"/>
        <v>0</v>
      </c>
      <c r="BG29" s="1490">
        <f t="shared" si="38"/>
        <v>0</v>
      </c>
      <c r="BH29" s="1490">
        <f t="shared" si="38"/>
        <v>0</v>
      </c>
      <c r="BI29" s="1490">
        <f t="shared" si="38"/>
        <v>0</v>
      </c>
      <c r="BJ29" s="1490">
        <f t="shared" si="38"/>
        <v>0</v>
      </c>
      <c r="BK29" s="1490">
        <f t="shared" si="38"/>
        <v>0</v>
      </c>
      <c r="BL29" s="1490">
        <f t="shared" si="38"/>
        <v>0</v>
      </c>
      <c r="BM29" s="1490">
        <f t="shared" si="38"/>
        <v>0</v>
      </c>
      <c r="BN29" s="1490">
        <f t="shared" si="38"/>
        <v>0</v>
      </c>
      <c r="BO29" s="1490">
        <f t="shared" si="38"/>
        <v>0</v>
      </c>
      <c r="BP29" s="1490">
        <f t="shared" si="38"/>
        <v>0</v>
      </c>
      <c r="BQ29" s="1490">
        <f t="shared" si="38"/>
        <v>0</v>
      </c>
      <c r="BR29" s="1490">
        <f t="shared" ref="BR29:EC29" si="39">(BR6+BR13)/1.11*11%+(BR14+BR15)/1.06*6%-(BR17+BR24)*0.5/1.06*6%-(BR18+BR19)*0.2/1.06*6%</f>
        <v>0</v>
      </c>
      <c r="BS29" s="1490">
        <f t="shared" si="39"/>
        <v>0</v>
      </c>
      <c r="BT29" s="1490">
        <f t="shared" si="39"/>
        <v>0</v>
      </c>
      <c r="BU29" s="1490">
        <f t="shared" si="39"/>
        <v>0</v>
      </c>
      <c r="BV29" s="1490">
        <f t="shared" si="39"/>
        <v>0</v>
      </c>
      <c r="BW29" s="1490">
        <f t="shared" si="39"/>
        <v>0</v>
      </c>
      <c r="BX29" s="1490">
        <f t="shared" si="39"/>
        <v>0</v>
      </c>
      <c r="BY29" s="1490">
        <f t="shared" si="39"/>
        <v>0</v>
      </c>
      <c r="BZ29" s="1490">
        <f t="shared" si="39"/>
        <v>0</v>
      </c>
      <c r="CA29" s="1490">
        <f t="shared" si="39"/>
        <v>0</v>
      </c>
      <c r="CB29" s="1490">
        <f t="shared" si="39"/>
        <v>0</v>
      </c>
      <c r="CC29" s="1490">
        <f t="shared" si="39"/>
        <v>0</v>
      </c>
      <c r="CD29" s="1490">
        <f t="shared" si="39"/>
        <v>0</v>
      </c>
      <c r="CE29" s="1490">
        <f t="shared" si="39"/>
        <v>0</v>
      </c>
      <c r="CF29" s="1490">
        <f t="shared" si="39"/>
        <v>0</v>
      </c>
      <c r="CG29" s="1501">
        <f>(CG6+CG13)/1.11*11%+(CG14+CG15)/1.06*6%-(CG17+CG24)*0.5/1.06*6%-(CG18+CG19)*0.2/1.06*6%-SUM(CG22:DT22)/1.11*11%-SUM(CG23:DT23)/1.17*17%</f>
        <v>0</v>
      </c>
      <c r="CH29" s="1490">
        <f t="shared" si="39"/>
        <v>0</v>
      </c>
      <c r="CI29" s="1490">
        <f t="shared" si="39"/>
        <v>0</v>
      </c>
      <c r="CJ29" s="1490">
        <f t="shared" si="39"/>
        <v>0</v>
      </c>
      <c r="CK29" s="1490">
        <f t="shared" si="39"/>
        <v>0</v>
      </c>
      <c r="CL29" s="1490">
        <f t="shared" si="39"/>
        <v>0</v>
      </c>
      <c r="CM29" s="1490">
        <f t="shared" si="39"/>
        <v>0</v>
      </c>
      <c r="CN29" s="1490">
        <f t="shared" si="39"/>
        <v>0</v>
      </c>
      <c r="CO29" s="1490">
        <f t="shared" si="39"/>
        <v>0</v>
      </c>
      <c r="CP29" s="1490">
        <f t="shared" si="39"/>
        <v>0</v>
      </c>
      <c r="CQ29" s="1490">
        <f t="shared" si="39"/>
        <v>0</v>
      </c>
      <c r="CR29" s="1490">
        <f t="shared" si="39"/>
        <v>0</v>
      </c>
      <c r="CS29" s="1490">
        <f t="shared" si="39"/>
        <v>0</v>
      </c>
      <c r="CT29" s="1490">
        <f t="shared" si="39"/>
        <v>0</v>
      </c>
      <c r="CU29" s="1490">
        <f t="shared" si="39"/>
        <v>0</v>
      </c>
      <c r="CV29" s="1490">
        <f t="shared" si="39"/>
        <v>0</v>
      </c>
      <c r="CW29" s="1490">
        <f t="shared" si="39"/>
        <v>0</v>
      </c>
      <c r="CX29" s="1490">
        <f t="shared" si="39"/>
        <v>0</v>
      </c>
      <c r="CY29" s="1490">
        <f t="shared" si="39"/>
        <v>0</v>
      </c>
      <c r="CZ29" s="1490">
        <f t="shared" si="39"/>
        <v>0</v>
      </c>
      <c r="DA29" s="1490">
        <f t="shared" si="39"/>
        <v>0</v>
      </c>
      <c r="DB29" s="1490">
        <f t="shared" si="39"/>
        <v>0</v>
      </c>
      <c r="DC29" s="1490">
        <f t="shared" si="39"/>
        <v>0</v>
      </c>
      <c r="DD29" s="1490">
        <f t="shared" si="39"/>
        <v>0</v>
      </c>
      <c r="DE29" s="1490">
        <f t="shared" si="39"/>
        <v>0</v>
      </c>
      <c r="DF29" s="1490">
        <f t="shared" si="39"/>
        <v>0</v>
      </c>
      <c r="DG29" s="1490">
        <f t="shared" si="39"/>
        <v>0</v>
      </c>
      <c r="DH29" s="1490">
        <f t="shared" si="39"/>
        <v>0</v>
      </c>
      <c r="DI29" s="1490">
        <f t="shared" si="39"/>
        <v>0</v>
      </c>
      <c r="DJ29" s="1490">
        <f t="shared" si="39"/>
        <v>0</v>
      </c>
      <c r="DK29" s="1490">
        <f t="shared" si="39"/>
        <v>0</v>
      </c>
      <c r="DL29" s="1490">
        <f t="shared" si="39"/>
        <v>0</v>
      </c>
      <c r="DM29" s="1490">
        <f t="shared" si="39"/>
        <v>0</v>
      </c>
      <c r="DN29" s="1490">
        <f t="shared" si="39"/>
        <v>0</v>
      </c>
      <c r="DO29" s="1490">
        <f t="shared" si="39"/>
        <v>0</v>
      </c>
      <c r="DP29" s="1490">
        <f t="shared" si="39"/>
        <v>0</v>
      </c>
      <c r="DQ29" s="1490">
        <f t="shared" si="39"/>
        <v>0</v>
      </c>
      <c r="DR29" s="1490">
        <f t="shared" si="39"/>
        <v>0</v>
      </c>
      <c r="DS29" s="1490">
        <f t="shared" si="39"/>
        <v>0</v>
      </c>
      <c r="DT29" s="1490">
        <f t="shared" si="39"/>
        <v>0</v>
      </c>
      <c r="DU29" s="1501">
        <f>(DU6+DU13)/1.11*11%+(DU14+DU15)/1.06*6%-(DU17+DU24)*0.5/1.06*6%-(DU18+DU19)*0.2/1.06*6%-SUM(DU22:FH22)/1.11*11%-SUM(DU23:FH23)/1.17*17%</f>
        <v>0</v>
      </c>
      <c r="DV29" s="1490">
        <f t="shared" si="39"/>
        <v>0</v>
      </c>
      <c r="DW29" s="1490">
        <f t="shared" si="39"/>
        <v>0</v>
      </c>
      <c r="DX29" s="1490">
        <f t="shared" si="39"/>
        <v>0</v>
      </c>
      <c r="DY29" s="1490">
        <f t="shared" si="39"/>
        <v>0</v>
      </c>
      <c r="DZ29" s="1490">
        <f t="shared" si="39"/>
        <v>0</v>
      </c>
      <c r="EA29" s="1490">
        <f t="shared" si="39"/>
        <v>0</v>
      </c>
      <c r="EB29" s="1490">
        <f t="shared" si="39"/>
        <v>0</v>
      </c>
      <c r="EC29" s="1490">
        <f t="shared" si="39"/>
        <v>0</v>
      </c>
      <c r="ED29" s="1490">
        <f t="shared" ref="ED29:FH29" si="40">(ED6+ED13)/1.11*11%+(ED14+ED15)/1.06*6%-(ED17+ED24)*0.5/1.06*6%-(ED18+ED19)*0.2/1.06*6%</f>
        <v>0</v>
      </c>
      <c r="EE29" s="1490">
        <f t="shared" si="40"/>
        <v>0</v>
      </c>
      <c r="EF29" s="1490">
        <f t="shared" si="40"/>
        <v>0</v>
      </c>
      <c r="EG29" s="1490">
        <f t="shared" si="40"/>
        <v>0</v>
      </c>
      <c r="EH29" s="1490">
        <f t="shared" si="40"/>
        <v>0</v>
      </c>
      <c r="EI29" s="1490">
        <f t="shared" si="40"/>
        <v>0</v>
      </c>
      <c r="EJ29" s="1490">
        <f t="shared" si="40"/>
        <v>0</v>
      </c>
      <c r="EK29" s="1490">
        <f t="shared" si="40"/>
        <v>0</v>
      </c>
      <c r="EL29" s="1490">
        <f t="shared" si="40"/>
        <v>0</v>
      </c>
      <c r="EM29" s="1490">
        <f t="shared" si="40"/>
        <v>0</v>
      </c>
      <c r="EN29" s="1490">
        <f t="shared" si="40"/>
        <v>0</v>
      </c>
      <c r="EO29" s="1490">
        <f t="shared" si="40"/>
        <v>0</v>
      </c>
      <c r="EP29" s="1490">
        <f t="shared" si="40"/>
        <v>0</v>
      </c>
      <c r="EQ29" s="1490">
        <f t="shared" si="40"/>
        <v>0</v>
      </c>
      <c r="ER29" s="1490">
        <f t="shared" si="40"/>
        <v>0</v>
      </c>
      <c r="ES29" s="1490">
        <f t="shared" si="40"/>
        <v>0</v>
      </c>
      <c r="ET29" s="1490">
        <f t="shared" si="40"/>
        <v>0</v>
      </c>
      <c r="EU29" s="1490">
        <f t="shared" si="40"/>
        <v>0</v>
      </c>
      <c r="EV29" s="1490">
        <f t="shared" si="40"/>
        <v>0</v>
      </c>
      <c r="EW29" s="1490">
        <f t="shared" si="40"/>
        <v>0</v>
      </c>
      <c r="EX29" s="1490">
        <f t="shared" si="40"/>
        <v>0</v>
      </c>
      <c r="EY29" s="1490">
        <f t="shared" si="40"/>
        <v>0</v>
      </c>
      <c r="EZ29" s="1490">
        <f t="shared" si="40"/>
        <v>0</v>
      </c>
      <c r="FA29" s="1490">
        <f t="shared" si="40"/>
        <v>0</v>
      </c>
      <c r="FB29" s="1490">
        <f t="shared" si="40"/>
        <v>0</v>
      </c>
      <c r="FC29" s="1490">
        <f t="shared" si="40"/>
        <v>0</v>
      </c>
      <c r="FD29" s="1490">
        <f t="shared" si="40"/>
        <v>0</v>
      </c>
      <c r="FE29" s="1490">
        <f t="shared" si="40"/>
        <v>0</v>
      </c>
      <c r="FF29" s="1490">
        <f t="shared" si="40"/>
        <v>0</v>
      </c>
      <c r="FG29" s="1490">
        <f t="shared" si="40"/>
        <v>0</v>
      </c>
      <c r="FH29" s="1490">
        <f t="shared" si="40"/>
        <v>0</v>
      </c>
      <c r="FI29" s="1494"/>
      <c r="FJ29" s="1500"/>
      <c r="FK29" s="1500"/>
      <c r="FL29" s="1538"/>
      <c r="FM29" s="1556"/>
    </row>
    <row r="30" spans="1:169">
      <c r="A30" s="1739"/>
      <c r="B30" s="1744"/>
      <c r="C30" s="1499" t="s">
        <v>214</v>
      </c>
      <c r="D30" s="1486"/>
      <c r="E30" s="1490">
        <f>IF(E29&lt;0,E29,0)</f>
        <v>0</v>
      </c>
      <c r="F30" s="1490">
        <f>IF(F29&lt;0,F29,0)</f>
        <v>0</v>
      </c>
      <c r="G30" s="1490">
        <f>IF(G29&lt;0,G29,0)</f>
        <v>0</v>
      </c>
      <c r="H30" s="1490">
        <f>IF(H29&lt;0,H29,0)</f>
        <v>0</v>
      </c>
      <c r="I30" s="1490">
        <f t="shared" ref="I30:BR30" si="41">IF(I29&lt;0,I29,0)</f>
        <v>0</v>
      </c>
      <c r="J30" s="1490">
        <f t="shared" si="41"/>
        <v>0</v>
      </c>
      <c r="K30" s="1490">
        <f t="shared" si="41"/>
        <v>0</v>
      </c>
      <c r="L30" s="1490">
        <f t="shared" si="41"/>
        <v>0</v>
      </c>
      <c r="M30" s="1490">
        <f t="shared" si="41"/>
        <v>0</v>
      </c>
      <c r="N30" s="1490">
        <f t="shared" si="41"/>
        <v>0</v>
      </c>
      <c r="O30" s="1490">
        <f t="shared" si="41"/>
        <v>0</v>
      </c>
      <c r="P30" s="1490">
        <f t="shared" si="41"/>
        <v>0</v>
      </c>
      <c r="Q30" s="1490">
        <f t="shared" si="41"/>
        <v>0</v>
      </c>
      <c r="R30" s="1490">
        <f t="shared" si="41"/>
        <v>0</v>
      </c>
      <c r="S30" s="1490">
        <f t="shared" si="41"/>
        <v>0</v>
      </c>
      <c r="T30" s="1490">
        <f t="shared" si="41"/>
        <v>0</v>
      </c>
      <c r="U30" s="1490">
        <f t="shared" si="41"/>
        <v>0</v>
      </c>
      <c r="V30" s="1490">
        <f t="shared" si="41"/>
        <v>0</v>
      </c>
      <c r="W30" s="1490">
        <f t="shared" si="41"/>
        <v>0</v>
      </c>
      <c r="X30" s="1490">
        <f t="shared" si="41"/>
        <v>0</v>
      </c>
      <c r="Y30" s="1490">
        <f t="shared" si="41"/>
        <v>0</v>
      </c>
      <c r="Z30" s="1490">
        <f t="shared" si="41"/>
        <v>0</v>
      </c>
      <c r="AA30" s="1490">
        <f t="shared" si="41"/>
        <v>0</v>
      </c>
      <c r="AB30" s="1490">
        <f t="shared" si="41"/>
        <v>0</v>
      </c>
      <c r="AC30" s="1490">
        <f t="shared" si="41"/>
        <v>0</v>
      </c>
      <c r="AD30" s="1490">
        <f t="shared" si="41"/>
        <v>0</v>
      </c>
      <c r="AE30" s="1490">
        <f t="shared" si="41"/>
        <v>0</v>
      </c>
      <c r="AF30" s="1490">
        <f t="shared" si="41"/>
        <v>0</v>
      </c>
      <c r="AG30" s="1490">
        <f t="shared" si="41"/>
        <v>0</v>
      </c>
      <c r="AH30" s="1490">
        <f t="shared" si="41"/>
        <v>0</v>
      </c>
      <c r="AI30" s="1490">
        <f t="shared" si="41"/>
        <v>0</v>
      </c>
      <c r="AJ30" s="1490">
        <f t="shared" si="41"/>
        <v>0</v>
      </c>
      <c r="AK30" s="1490">
        <f t="shared" si="41"/>
        <v>0</v>
      </c>
      <c r="AL30" s="1490">
        <f t="shared" si="41"/>
        <v>0</v>
      </c>
      <c r="AM30" s="1490">
        <f t="shared" si="41"/>
        <v>0</v>
      </c>
      <c r="AN30" s="1490">
        <f t="shared" si="41"/>
        <v>0</v>
      </c>
      <c r="AO30" s="1490">
        <f t="shared" si="41"/>
        <v>0</v>
      </c>
      <c r="AP30" s="1490">
        <f t="shared" si="41"/>
        <v>0</v>
      </c>
      <c r="AQ30" s="1490">
        <f t="shared" si="41"/>
        <v>0</v>
      </c>
      <c r="AR30" s="1490">
        <f t="shared" si="41"/>
        <v>0</v>
      </c>
      <c r="AS30" s="1490">
        <f t="shared" si="41"/>
        <v>0</v>
      </c>
      <c r="AT30" s="1490">
        <f t="shared" si="41"/>
        <v>0</v>
      </c>
      <c r="AU30" s="1490">
        <f t="shared" si="41"/>
        <v>0</v>
      </c>
      <c r="AV30" s="1490">
        <f t="shared" si="41"/>
        <v>0</v>
      </c>
      <c r="AW30" s="1490">
        <f t="shared" si="41"/>
        <v>0</v>
      </c>
      <c r="AX30" s="1490">
        <f t="shared" si="41"/>
        <v>0</v>
      </c>
      <c r="AY30" s="1490">
        <f t="shared" si="41"/>
        <v>0</v>
      </c>
      <c r="AZ30" s="1490">
        <f t="shared" si="41"/>
        <v>0</v>
      </c>
      <c r="BA30" s="1490">
        <f t="shared" si="41"/>
        <v>0</v>
      </c>
      <c r="BB30" s="1490">
        <f t="shared" si="41"/>
        <v>0</v>
      </c>
      <c r="BC30" s="1490">
        <f t="shared" si="41"/>
        <v>0</v>
      </c>
      <c r="BD30" s="1490">
        <f t="shared" si="41"/>
        <v>0</v>
      </c>
      <c r="BE30" s="1490">
        <f t="shared" si="41"/>
        <v>0</v>
      </c>
      <c r="BF30" s="1490">
        <f t="shared" si="41"/>
        <v>0</v>
      </c>
      <c r="BG30" s="1490">
        <f t="shared" si="41"/>
        <v>0</v>
      </c>
      <c r="BH30" s="1490">
        <f t="shared" si="41"/>
        <v>0</v>
      </c>
      <c r="BI30" s="1490">
        <f t="shared" si="41"/>
        <v>0</v>
      </c>
      <c r="BJ30" s="1490">
        <f t="shared" si="41"/>
        <v>0</v>
      </c>
      <c r="BK30" s="1490">
        <f t="shared" si="41"/>
        <v>0</v>
      </c>
      <c r="BL30" s="1490">
        <f t="shared" si="41"/>
        <v>0</v>
      </c>
      <c r="BM30" s="1490">
        <f t="shared" si="41"/>
        <v>0</v>
      </c>
      <c r="BN30" s="1490">
        <f t="shared" si="41"/>
        <v>0</v>
      </c>
      <c r="BO30" s="1490">
        <f t="shared" si="41"/>
        <v>0</v>
      </c>
      <c r="BP30" s="1490">
        <f t="shared" si="41"/>
        <v>0</v>
      </c>
      <c r="BQ30" s="1490">
        <f t="shared" si="41"/>
        <v>0</v>
      </c>
      <c r="BR30" s="1490">
        <f t="shared" si="41"/>
        <v>0</v>
      </c>
      <c r="BS30" s="1490">
        <f t="shared" ref="BS30:ED30" si="42">IF(BS29&lt;0,BS29,0)</f>
        <v>0</v>
      </c>
      <c r="BT30" s="1490">
        <f t="shared" si="42"/>
        <v>0</v>
      </c>
      <c r="BU30" s="1490">
        <f t="shared" si="42"/>
        <v>0</v>
      </c>
      <c r="BV30" s="1490">
        <f t="shared" si="42"/>
        <v>0</v>
      </c>
      <c r="BW30" s="1490">
        <f t="shared" si="42"/>
        <v>0</v>
      </c>
      <c r="BX30" s="1490">
        <f t="shared" si="42"/>
        <v>0</v>
      </c>
      <c r="BY30" s="1490">
        <f t="shared" si="42"/>
        <v>0</v>
      </c>
      <c r="BZ30" s="1490">
        <f t="shared" si="42"/>
        <v>0</v>
      </c>
      <c r="CA30" s="1490">
        <f t="shared" si="42"/>
        <v>0</v>
      </c>
      <c r="CB30" s="1490">
        <f t="shared" si="42"/>
        <v>0</v>
      </c>
      <c r="CC30" s="1490">
        <f t="shared" si="42"/>
        <v>0</v>
      </c>
      <c r="CD30" s="1490">
        <f t="shared" si="42"/>
        <v>0</v>
      </c>
      <c r="CE30" s="1490">
        <f t="shared" si="42"/>
        <v>0</v>
      </c>
      <c r="CF30" s="1490">
        <f t="shared" si="42"/>
        <v>0</v>
      </c>
      <c r="CG30" s="1490">
        <f t="shared" si="42"/>
        <v>0</v>
      </c>
      <c r="CH30" s="1490">
        <f t="shared" si="42"/>
        <v>0</v>
      </c>
      <c r="CI30" s="1490">
        <f t="shared" si="42"/>
        <v>0</v>
      </c>
      <c r="CJ30" s="1490">
        <f t="shared" si="42"/>
        <v>0</v>
      </c>
      <c r="CK30" s="1490">
        <f t="shared" si="42"/>
        <v>0</v>
      </c>
      <c r="CL30" s="1490">
        <f t="shared" si="42"/>
        <v>0</v>
      </c>
      <c r="CM30" s="1490">
        <f t="shared" si="42"/>
        <v>0</v>
      </c>
      <c r="CN30" s="1490">
        <f t="shared" si="42"/>
        <v>0</v>
      </c>
      <c r="CO30" s="1490">
        <f t="shared" si="42"/>
        <v>0</v>
      </c>
      <c r="CP30" s="1490">
        <f t="shared" si="42"/>
        <v>0</v>
      </c>
      <c r="CQ30" s="1490">
        <f t="shared" si="42"/>
        <v>0</v>
      </c>
      <c r="CR30" s="1490">
        <f t="shared" si="42"/>
        <v>0</v>
      </c>
      <c r="CS30" s="1490">
        <f t="shared" si="42"/>
        <v>0</v>
      </c>
      <c r="CT30" s="1490">
        <f t="shared" si="42"/>
        <v>0</v>
      </c>
      <c r="CU30" s="1490">
        <f t="shared" si="42"/>
        <v>0</v>
      </c>
      <c r="CV30" s="1490">
        <f t="shared" si="42"/>
        <v>0</v>
      </c>
      <c r="CW30" s="1490">
        <f t="shared" si="42"/>
        <v>0</v>
      </c>
      <c r="CX30" s="1490">
        <f t="shared" si="42"/>
        <v>0</v>
      </c>
      <c r="CY30" s="1490">
        <f t="shared" si="42"/>
        <v>0</v>
      </c>
      <c r="CZ30" s="1490">
        <f t="shared" si="42"/>
        <v>0</v>
      </c>
      <c r="DA30" s="1490">
        <f t="shared" si="42"/>
        <v>0</v>
      </c>
      <c r="DB30" s="1490">
        <f t="shared" si="42"/>
        <v>0</v>
      </c>
      <c r="DC30" s="1490">
        <f t="shared" si="42"/>
        <v>0</v>
      </c>
      <c r="DD30" s="1490">
        <f t="shared" si="42"/>
        <v>0</v>
      </c>
      <c r="DE30" s="1490">
        <f t="shared" si="42"/>
        <v>0</v>
      </c>
      <c r="DF30" s="1490">
        <f t="shared" si="42"/>
        <v>0</v>
      </c>
      <c r="DG30" s="1490">
        <f t="shared" si="42"/>
        <v>0</v>
      </c>
      <c r="DH30" s="1490">
        <f t="shared" si="42"/>
        <v>0</v>
      </c>
      <c r="DI30" s="1490">
        <f t="shared" si="42"/>
        <v>0</v>
      </c>
      <c r="DJ30" s="1490">
        <f t="shared" si="42"/>
        <v>0</v>
      </c>
      <c r="DK30" s="1490">
        <f t="shared" si="42"/>
        <v>0</v>
      </c>
      <c r="DL30" s="1490">
        <f t="shared" si="42"/>
        <v>0</v>
      </c>
      <c r="DM30" s="1490">
        <f t="shared" si="42"/>
        <v>0</v>
      </c>
      <c r="DN30" s="1490">
        <f t="shared" si="42"/>
        <v>0</v>
      </c>
      <c r="DO30" s="1490">
        <f t="shared" si="42"/>
        <v>0</v>
      </c>
      <c r="DP30" s="1490">
        <f t="shared" si="42"/>
        <v>0</v>
      </c>
      <c r="DQ30" s="1490">
        <f t="shared" si="42"/>
        <v>0</v>
      </c>
      <c r="DR30" s="1490">
        <f t="shared" si="42"/>
        <v>0</v>
      </c>
      <c r="DS30" s="1490">
        <f t="shared" si="42"/>
        <v>0</v>
      </c>
      <c r="DT30" s="1490">
        <f t="shared" si="42"/>
        <v>0</v>
      </c>
      <c r="DU30" s="1490">
        <f t="shared" si="42"/>
        <v>0</v>
      </c>
      <c r="DV30" s="1490">
        <f t="shared" si="42"/>
        <v>0</v>
      </c>
      <c r="DW30" s="1490">
        <f t="shared" si="42"/>
        <v>0</v>
      </c>
      <c r="DX30" s="1490">
        <f t="shared" si="42"/>
        <v>0</v>
      </c>
      <c r="DY30" s="1490">
        <f t="shared" si="42"/>
        <v>0</v>
      </c>
      <c r="DZ30" s="1490">
        <f t="shared" si="42"/>
        <v>0</v>
      </c>
      <c r="EA30" s="1490">
        <f t="shared" si="42"/>
        <v>0</v>
      </c>
      <c r="EB30" s="1490">
        <f t="shared" si="42"/>
        <v>0</v>
      </c>
      <c r="EC30" s="1490">
        <f t="shared" si="42"/>
        <v>0</v>
      </c>
      <c r="ED30" s="1490">
        <f t="shared" si="42"/>
        <v>0</v>
      </c>
      <c r="EE30" s="1490">
        <f t="shared" ref="EE30:FL30" si="43">IF(EE29&lt;0,EE29,0)</f>
        <v>0</v>
      </c>
      <c r="EF30" s="1490">
        <f t="shared" si="43"/>
        <v>0</v>
      </c>
      <c r="EG30" s="1490">
        <f t="shared" si="43"/>
        <v>0</v>
      </c>
      <c r="EH30" s="1490">
        <f t="shared" si="43"/>
        <v>0</v>
      </c>
      <c r="EI30" s="1490">
        <f t="shared" si="43"/>
        <v>0</v>
      </c>
      <c r="EJ30" s="1490">
        <f t="shared" si="43"/>
        <v>0</v>
      </c>
      <c r="EK30" s="1490">
        <f t="shared" si="43"/>
        <v>0</v>
      </c>
      <c r="EL30" s="1490">
        <f t="shared" si="43"/>
        <v>0</v>
      </c>
      <c r="EM30" s="1490">
        <f t="shared" si="43"/>
        <v>0</v>
      </c>
      <c r="EN30" s="1490">
        <f t="shared" si="43"/>
        <v>0</v>
      </c>
      <c r="EO30" s="1490">
        <f t="shared" si="43"/>
        <v>0</v>
      </c>
      <c r="EP30" s="1490">
        <f t="shared" si="43"/>
        <v>0</v>
      </c>
      <c r="EQ30" s="1490">
        <f t="shared" si="43"/>
        <v>0</v>
      </c>
      <c r="ER30" s="1490">
        <f t="shared" si="43"/>
        <v>0</v>
      </c>
      <c r="ES30" s="1490">
        <f t="shared" si="43"/>
        <v>0</v>
      </c>
      <c r="ET30" s="1490">
        <f t="shared" si="43"/>
        <v>0</v>
      </c>
      <c r="EU30" s="1490">
        <f t="shared" si="43"/>
        <v>0</v>
      </c>
      <c r="EV30" s="1490">
        <f t="shared" si="43"/>
        <v>0</v>
      </c>
      <c r="EW30" s="1490">
        <f t="shared" si="43"/>
        <v>0</v>
      </c>
      <c r="EX30" s="1490">
        <f t="shared" si="43"/>
        <v>0</v>
      </c>
      <c r="EY30" s="1490">
        <f t="shared" si="43"/>
        <v>0</v>
      </c>
      <c r="EZ30" s="1490">
        <f t="shared" si="43"/>
        <v>0</v>
      </c>
      <c r="FA30" s="1490">
        <f t="shared" si="43"/>
        <v>0</v>
      </c>
      <c r="FB30" s="1490">
        <f t="shared" si="43"/>
        <v>0</v>
      </c>
      <c r="FC30" s="1490">
        <f t="shared" si="43"/>
        <v>0</v>
      </c>
      <c r="FD30" s="1490">
        <f t="shared" si="43"/>
        <v>0</v>
      </c>
      <c r="FE30" s="1490">
        <f t="shared" si="43"/>
        <v>0</v>
      </c>
      <c r="FF30" s="1490">
        <f t="shared" si="43"/>
        <v>0</v>
      </c>
      <c r="FG30" s="1490">
        <f t="shared" si="43"/>
        <v>0</v>
      </c>
      <c r="FH30" s="1494">
        <f t="shared" si="43"/>
        <v>0</v>
      </c>
      <c r="FI30" s="1494">
        <f t="shared" si="43"/>
        <v>0</v>
      </c>
      <c r="FJ30" s="1494">
        <f t="shared" si="43"/>
        <v>0</v>
      </c>
      <c r="FK30" s="1494">
        <f t="shared" si="43"/>
        <v>0</v>
      </c>
      <c r="FL30" s="1539">
        <f t="shared" si="43"/>
        <v>0</v>
      </c>
      <c r="FM30" s="1556"/>
    </row>
    <row r="31" spans="1:169">
      <c r="A31" s="1739"/>
      <c r="B31" s="1744"/>
      <c r="C31" s="1499" t="s">
        <v>215</v>
      </c>
      <c r="D31" s="1486"/>
      <c r="E31" s="1490">
        <f>E30</f>
        <v>0</v>
      </c>
      <c r="F31" s="1490">
        <f>F30+E33</f>
        <v>0</v>
      </c>
      <c r="G31" s="1490">
        <f>G30+F33</f>
        <v>0</v>
      </c>
      <c r="H31" s="1490">
        <f>H30+G33</f>
        <v>0</v>
      </c>
      <c r="I31" s="1490">
        <f>I30+H33</f>
        <v>0</v>
      </c>
      <c r="J31" s="1490">
        <f t="shared" ref="J31:BU31" si="44">J30+I33</f>
        <v>0</v>
      </c>
      <c r="K31" s="1490">
        <f t="shared" si="44"/>
        <v>0</v>
      </c>
      <c r="L31" s="1490">
        <f t="shared" si="44"/>
        <v>0</v>
      </c>
      <c r="M31" s="1490">
        <f t="shared" si="44"/>
        <v>0</v>
      </c>
      <c r="N31" s="1490">
        <f t="shared" si="44"/>
        <v>0</v>
      </c>
      <c r="O31" s="1490">
        <f t="shared" si="44"/>
        <v>0</v>
      </c>
      <c r="P31" s="1490">
        <f t="shared" si="44"/>
        <v>0</v>
      </c>
      <c r="Q31" s="1490">
        <f t="shared" si="44"/>
        <v>0</v>
      </c>
      <c r="R31" s="1490">
        <f t="shared" si="44"/>
        <v>0</v>
      </c>
      <c r="S31" s="1490">
        <f t="shared" si="44"/>
        <v>0</v>
      </c>
      <c r="T31" s="1490">
        <f t="shared" si="44"/>
        <v>0</v>
      </c>
      <c r="U31" s="1490">
        <f t="shared" si="44"/>
        <v>0</v>
      </c>
      <c r="V31" s="1490">
        <f t="shared" si="44"/>
        <v>0</v>
      </c>
      <c r="W31" s="1490">
        <f t="shared" si="44"/>
        <v>0</v>
      </c>
      <c r="X31" s="1490">
        <f t="shared" si="44"/>
        <v>0</v>
      </c>
      <c r="Y31" s="1490">
        <f t="shared" si="44"/>
        <v>0</v>
      </c>
      <c r="Z31" s="1490">
        <f t="shared" si="44"/>
        <v>0</v>
      </c>
      <c r="AA31" s="1490">
        <f t="shared" si="44"/>
        <v>0</v>
      </c>
      <c r="AB31" s="1490">
        <f t="shared" si="44"/>
        <v>0</v>
      </c>
      <c r="AC31" s="1490">
        <f t="shared" si="44"/>
        <v>0</v>
      </c>
      <c r="AD31" s="1490">
        <f t="shared" si="44"/>
        <v>0</v>
      </c>
      <c r="AE31" s="1490">
        <f t="shared" si="44"/>
        <v>0</v>
      </c>
      <c r="AF31" s="1490">
        <f t="shared" si="44"/>
        <v>0</v>
      </c>
      <c r="AG31" s="1490">
        <f t="shared" si="44"/>
        <v>0</v>
      </c>
      <c r="AH31" s="1490">
        <f t="shared" si="44"/>
        <v>0</v>
      </c>
      <c r="AI31" s="1490">
        <f t="shared" si="44"/>
        <v>0</v>
      </c>
      <c r="AJ31" s="1490">
        <f t="shared" si="44"/>
        <v>0</v>
      </c>
      <c r="AK31" s="1490">
        <f t="shared" si="44"/>
        <v>0</v>
      </c>
      <c r="AL31" s="1490">
        <f t="shared" si="44"/>
        <v>0</v>
      </c>
      <c r="AM31" s="1490">
        <f t="shared" si="44"/>
        <v>0</v>
      </c>
      <c r="AN31" s="1490">
        <f t="shared" si="44"/>
        <v>0</v>
      </c>
      <c r="AO31" s="1490">
        <f t="shared" si="44"/>
        <v>0</v>
      </c>
      <c r="AP31" s="1490">
        <f t="shared" si="44"/>
        <v>0</v>
      </c>
      <c r="AQ31" s="1490">
        <f t="shared" si="44"/>
        <v>0</v>
      </c>
      <c r="AR31" s="1490">
        <f t="shared" si="44"/>
        <v>0</v>
      </c>
      <c r="AS31" s="1490">
        <f t="shared" si="44"/>
        <v>0</v>
      </c>
      <c r="AT31" s="1490">
        <f t="shared" si="44"/>
        <v>0</v>
      </c>
      <c r="AU31" s="1490">
        <f t="shared" si="44"/>
        <v>0</v>
      </c>
      <c r="AV31" s="1490">
        <f t="shared" si="44"/>
        <v>0</v>
      </c>
      <c r="AW31" s="1490">
        <f t="shared" si="44"/>
        <v>0</v>
      </c>
      <c r="AX31" s="1490">
        <f t="shared" si="44"/>
        <v>0</v>
      </c>
      <c r="AY31" s="1490">
        <f t="shared" si="44"/>
        <v>0</v>
      </c>
      <c r="AZ31" s="1490">
        <f t="shared" si="44"/>
        <v>0</v>
      </c>
      <c r="BA31" s="1490">
        <f t="shared" si="44"/>
        <v>0</v>
      </c>
      <c r="BB31" s="1490">
        <f t="shared" si="44"/>
        <v>0</v>
      </c>
      <c r="BC31" s="1490">
        <f t="shared" si="44"/>
        <v>0</v>
      </c>
      <c r="BD31" s="1490">
        <f t="shared" si="44"/>
        <v>0</v>
      </c>
      <c r="BE31" s="1490">
        <f t="shared" si="44"/>
        <v>0</v>
      </c>
      <c r="BF31" s="1490">
        <f t="shared" si="44"/>
        <v>0</v>
      </c>
      <c r="BG31" s="1490">
        <f t="shared" si="44"/>
        <v>0</v>
      </c>
      <c r="BH31" s="1490">
        <f t="shared" si="44"/>
        <v>0</v>
      </c>
      <c r="BI31" s="1490">
        <f t="shared" si="44"/>
        <v>0</v>
      </c>
      <c r="BJ31" s="1490">
        <f t="shared" si="44"/>
        <v>0</v>
      </c>
      <c r="BK31" s="1490">
        <f t="shared" si="44"/>
        <v>0</v>
      </c>
      <c r="BL31" s="1490">
        <f t="shared" si="44"/>
        <v>0</v>
      </c>
      <c r="BM31" s="1490">
        <f t="shared" si="44"/>
        <v>0</v>
      </c>
      <c r="BN31" s="1490">
        <f t="shared" si="44"/>
        <v>0</v>
      </c>
      <c r="BO31" s="1490">
        <f t="shared" si="44"/>
        <v>0</v>
      </c>
      <c r="BP31" s="1490">
        <f t="shared" si="44"/>
        <v>0</v>
      </c>
      <c r="BQ31" s="1490">
        <f t="shared" si="44"/>
        <v>0</v>
      </c>
      <c r="BR31" s="1490">
        <f t="shared" si="44"/>
        <v>0</v>
      </c>
      <c r="BS31" s="1490">
        <f t="shared" si="44"/>
        <v>0</v>
      </c>
      <c r="BT31" s="1490">
        <f t="shared" si="44"/>
        <v>0</v>
      </c>
      <c r="BU31" s="1490">
        <f t="shared" si="44"/>
        <v>0</v>
      </c>
      <c r="BV31" s="1490">
        <f t="shared" ref="BV31:EG31" si="45">BV30+BU33</f>
        <v>0</v>
      </c>
      <c r="BW31" s="1490">
        <f t="shared" si="45"/>
        <v>0</v>
      </c>
      <c r="BX31" s="1490">
        <f t="shared" si="45"/>
        <v>0</v>
      </c>
      <c r="BY31" s="1490">
        <f t="shared" si="45"/>
        <v>0</v>
      </c>
      <c r="BZ31" s="1490">
        <f t="shared" si="45"/>
        <v>0</v>
      </c>
      <c r="CA31" s="1490">
        <f t="shared" si="45"/>
        <v>0</v>
      </c>
      <c r="CB31" s="1490">
        <f t="shared" si="45"/>
        <v>0</v>
      </c>
      <c r="CC31" s="1490">
        <f t="shared" si="45"/>
        <v>0</v>
      </c>
      <c r="CD31" s="1490">
        <f t="shared" si="45"/>
        <v>0</v>
      </c>
      <c r="CE31" s="1490">
        <f t="shared" si="45"/>
        <v>0</v>
      </c>
      <c r="CF31" s="1490">
        <f t="shared" si="45"/>
        <v>0</v>
      </c>
      <c r="CG31" s="1490">
        <f t="shared" si="45"/>
        <v>0</v>
      </c>
      <c r="CH31" s="1490">
        <f t="shared" si="45"/>
        <v>0</v>
      </c>
      <c r="CI31" s="1490">
        <f t="shared" si="45"/>
        <v>0</v>
      </c>
      <c r="CJ31" s="1490">
        <f t="shared" si="45"/>
        <v>0</v>
      </c>
      <c r="CK31" s="1490">
        <f t="shared" si="45"/>
        <v>0</v>
      </c>
      <c r="CL31" s="1490">
        <f t="shared" si="45"/>
        <v>0</v>
      </c>
      <c r="CM31" s="1490">
        <f t="shared" si="45"/>
        <v>0</v>
      </c>
      <c r="CN31" s="1490">
        <f t="shared" si="45"/>
        <v>0</v>
      </c>
      <c r="CO31" s="1490">
        <f t="shared" si="45"/>
        <v>0</v>
      </c>
      <c r="CP31" s="1490">
        <f t="shared" si="45"/>
        <v>0</v>
      </c>
      <c r="CQ31" s="1490">
        <f t="shared" si="45"/>
        <v>0</v>
      </c>
      <c r="CR31" s="1490">
        <f t="shared" si="45"/>
        <v>0</v>
      </c>
      <c r="CS31" s="1490">
        <f t="shared" si="45"/>
        <v>0</v>
      </c>
      <c r="CT31" s="1490">
        <f t="shared" si="45"/>
        <v>0</v>
      </c>
      <c r="CU31" s="1490">
        <f t="shared" si="45"/>
        <v>0</v>
      </c>
      <c r="CV31" s="1490">
        <f t="shared" si="45"/>
        <v>0</v>
      </c>
      <c r="CW31" s="1490">
        <f t="shared" si="45"/>
        <v>0</v>
      </c>
      <c r="CX31" s="1490">
        <f t="shared" si="45"/>
        <v>0</v>
      </c>
      <c r="CY31" s="1490">
        <f t="shared" si="45"/>
        <v>0</v>
      </c>
      <c r="CZ31" s="1490">
        <f t="shared" si="45"/>
        <v>0</v>
      </c>
      <c r="DA31" s="1490">
        <f t="shared" si="45"/>
        <v>0</v>
      </c>
      <c r="DB31" s="1490">
        <f t="shared" si="45"/>
        <v>0</v>
      </c>
      <c r="DC31" s="1490">
        <f t="shared" si="45"/>
        <v>0</v>
      </c>
      <c r="DD31" s="1490">
        <f t="shared" si="45"/>
        <v>0</v>
      </c>
      <c r="DE31" s="1490">
        <f t="shared" si="45"/>
        <v>0</v>
      </c>
      <c r="DF31" s="1490">
        <f t="shared" si="45"/>
        <v>0</v>
      </c>
      <c r="DG31" s="1490">
        <f t="shared" si="45"/>
        <v>0</v>
      </c>
      <c r="DH31" s="1490">
        <f t="shared" si="45"/>
        <v>0</v>
      </c>
      <c r="DI31" s="1490">
        <f t="shared" si="45"/>
        <v>0</v>
      </c>
      <c r="DJ31" s="1490">
        <f t="shared" si="45"/>
        <v>0</v>
      </c>
      <c r="DK31" s="1490">
        <f t="shared" si="45"/>
        <v>0</v>
      </c>
      <c r="DL31" s="1490">
        <f t="shared" si="45"/>
        <v>0</v>
      </c>
      <c r="DM31" s="1490">
        <f t="shared" si="45"/>
        <v>0</v>
      </c>
      <c r="DN31" s="1490">
        <f t="shared" si="45"/>
        <v>0</v>
      </c>
      <c r="DO31" s="1490">
        <f t="shared" si="45"/>
        <v>0</v>
      </c>
      <c r="DP31" s="1490">
        <f t="shared" si="45"/>
        <v>0</v>
      </c>
      <c r="DQ31" s="1490">
        <f t="shared" si="45"/>
        <v>0</v>
      </c>
      <c r="DR31" s="1490">
        <f t="shared" si="45"/>
        <v>0</v>
      </c>
      <c r="DS31" s="1490">
        <f t="shared" si="45"/>
        <v>0</v>
      </c>
      <c r="DT31" s="1490">
        <f t="shared" si="45"/>
        <v>0</v>
      </c>
      <c r="DU31" s="1490">
        <f t="shared" si="45"/>
        <v>0</v>
      </c>
      <c r="DV31" s="1490">
        <f t="shared" si="45"/>
        <v>0</v>
      </c>
      <c r="DW31" s="1490">
        <f t="shared" si="45"/>
        <v>0</v>
      </c>
      <c r="DX31" s="1490">
        <f t="shared" si="45"/>
        <v>0</v>
      </c>
      <c r="DY31" s="1490">
        <f t="shared" si="45"/>
        <v>0</v>
      </c>
      <c r="DZ31" s="1490">
        <f t="shared" si="45"/>
        <v>0</v>
      </c>
      <c r="EA31" s="1490">
        <f t="shared" si="45"/>
        <v>0</v>
      </c>
      <c r="EB31" s="1490">
        <f t="shared" si="45"/>
        <v>0</v>
      </c>
      <c r="EC31" s="1490">
        <f t="shared" si="45"/>
        <v>0</v>
      </c>
      <c r="ED31" s="1490">
        <f t="shared" si="45"/>
        <v>0</v>
      </c>
      <c r="EE31" s="1490">
        <f t="shared" si="45"/>
        <v>0</v>
      </c>
      <c r="EF31" s="1490">
        <f t="shared" si="45"/>
        <v>0</v>
      </c>
      <c r="EG31" s="1490">
        <f t="shared" si="45"/>
        <v>0</v>
      </c>
      <c r="EH31" s="1490">
        <f t="shared" ref="EH31:FH31" si="46">EH30+EG33</f>
        <v>0</v>
      </c>
      <c r="EI31" s="1490">
        <f t="shared" si="46"/>
        <v>0</v>
      </c>
      <c r="EJ31" s="1490">
        <f t="shared" si="46"/>
        <v>0</v>
      </c>
      <c r="EK31" s="1490">
        <f t="shared" si="46"/>
        <v>0</v>
      </c>
      <c r="EL31" s="1490">
        <f t="shared" si="46"/>
        <v>0</v>
      </c>
      <c r="EM31" s="1490">
        <f t="shared" si="46"/>
        <v>0</v>
      </c>
      <c r="EN31" s="1490">
        <f t="shared" si="46"/>
        <v>0</v>
      </c>
      <c r="EO31" s="1490">
        <f t="shared" si="46"/>
        <v>0</v>
      </c>
      <c r="EP31" s="1490">
        <f t="shared" si="46"/>
        <v>0</v>
      </c>
      <c r="EQ31" s="1490">
        <f t="shared" si="46"/>
        <v>0</v>
      </c>
      <c r="ER31" s="1490">
        <f t="shared" si="46"/>
        <v>0</v>
      </c>
      <c r="ES31" s="1490">
        <f t="shared" si="46"/>
        <v>0</v>
      </c>
      <c r="ET31" s="1490">
        <f t="shared" si="46"/>
        <v>0</v>
      </c>
      <c r="EU31" s="1490">
        <f t="shared" si="46"/>
        <v>0</v>
      </c>
      <c r="EV31" s="1490">
        <f t="shared" si="46"/>
        <v>0</v>
      </c>
      <c r="EW31" s="1490">
        <f t="shared" si="46"/>
        <v>0</v>
      </c>
      <c r="EX31" s="1490">
        <f t="shared" si="46"/>
        <v>0</v>
      </c>
      <c r="EY31" s="1490">
        <f t="shared" si="46"/>
        <v>0</v>
      </c>
      <c r="EZ31" s="1490">
        <f t="shared" si="46"/>
        <v>0</v>
      </c>
      <c r="FA31" s="1490">
        <f t="shared" si="46"/>
        <v>0</v>
      </c>
      <c r="FB31" s="1490">
        <f t="shared" si="46"/>
        <v>0</v>
      </c>
      <c r="FC31" s="1490">
        <f t="shared" si="46"/>
        <v>0</v>
      </c>
      <c r="FD31" s="1490">
        <f t="shared" si="46"/>
        <v>0</v>
      </c>
      <c r="FE31" s="1490">
        <f t="shared" si="46"/>
        <v>0</v>
      </c>
      <c r="FF31" s="1490">
        <f t="shared" si="46"/>
        <v>0</v>
      </c>
      <c r="FG31" s="1490">
        <f t="shared" si="46"/>
        <v>0</v>
      </c>
      <c r="FH31" s="1494">
        <f t="shared" si="46"/>
        <v>0</v>
      </c>
      <c r="FI31" s="1494"/>
      <c r="FJ31" s="1494"/>
      <c r="FK31" s="1494"/>
      <c r="FL31" s="1539"/>
      <c r="FM31" s="1556"/>
    </row>
    <row r="32" spans="1:169">
      <c r="A32" s="1739"/>
      <c r="B32" s="1744"/>
      <c r="C32" s="1499" t="s">
        <v>216</v>
      </c>
      <c r="D32" s="1486"/>
      <c r="E32" s="1490">
        <f>IF(AND(E29&gt;0,(E29+E31)&gt;0),-E31,IF(AND(E29&gt;0,(E29+E31)&lt;0),E29,0))</f>
        <v>0</v>
      </c>
      <c r="F32" s="1490">
        <f>IF(AND(F29&gt;0,(F29+F31)&gt;0),-F31,IF(AND(F29&gt;0,(F29+F31)&lt;0),F29,0))</f>
        <v>0</v>
      </c>
      <c r="G32" s="1490">
        <f>IF(AND(G29&gt;0,(G29+G31)&gt;0),-G31,IF(AND(G29&gt;0,(G29+G31)&lt;0),G29,0))</f>
        <v>0</v>
      </c>
      <c r="H32" s="1490">
        <f>IF(AND(H29&gt;0,(H29+H31)&gt;0),-H31,IF(AND(H29&gt;0,(H29+H31)&lt;0),H29,0))</f>
        <v>0</v>
      </c>
      <c r="I32" s="1490">
        <f>IF(AND(I29&gt;0,(I29+I31)&gt;0),-I31,IF(AND(I29&gt;0,(I29+I31)&lt;0),I29,0))</f>
        <v>0</v>
      </c>
      <c r="J32" s="1490">
        <f t="shared" ref="J32:BU32" si="47">IF(AND(J29&gt;0,(J29+J31)&gt;0),-J31,IF(AND(J29&gt;0,(J29+J31)&lt;0),J29,0))</f>
        <v>0</v>
      </c>
      <c r="K32" s="1490">
        <f t="shared" si="47"/>
        <v>0</v>
      </c>
      <c r="L32" s="1490">
        <f t="shared" si="47"/>
        <v>0</v>
      </c>
      <c r="M32" s="1490">
        <f t="shared" si="47"/>
        <v>0</v>
      </c>
      <c r="N32" s="1490">
        <f t="shared" si="47"/>
        <v>0</v>
      </c>
      <c r="O32" s="1490">
        <f t="shared" si="47"/>
        <v>0</v>
      </c>
      <c r="P32" s="1490">
        <f t="shared" si="47"/>
        <v>0</v>
      </c>
      <c r="Q32" s="1490">
        <f t="shared" si="47"/>
        <v>0</v>
      </c>
      <c r="R32" s="1490">
        <f t="shared" si="47"/>
        <v>0</v>
      </c>
      <c r="S32" s="1490">
        <f t="shared" si="47"/>
        <v>0</v>
      </c>
      <c r="T32" s="1490">
        <f t="shared" si="47"/>
        <v>0</v>
      </c>
      <c r="U32" s="1490">
        <f t="shared" si="47"/>
        <v>0</v>
      </c>
      <c r="V32" s="1490">
        <f t="shared" si="47"/>
        <v>0</v>
      </c>
      <c r="W32" s="1490">
        <f t="shared" si="47"/>
        <v>0</v>
      </c>
      <c r="X32" s="1490">
        <f t="shared" si="47"/>
        <v>0</v>
      </c>
      <c r="Y32" s="1490">
        <f t="shared" si="47"/>
        <v>0</v>
      </c>
      <c r="Z32" s="1490">
        <f t="shared" si="47"/>
        <v>0</v>
      </c>
      <c r="AA32" s="1490">
        <f t="shared" si="47"/>
        <v>0</v>
      </c>
      <c r="AB32" s="1490">
        <f t="shared" si="47"/>
        <v>0</v>
      </c>
      <c r="AC32" s="1490">
        <f t="shared" si="47"/>
        <v>0</v>
      </c>
      <c r="AD32" s="1490">
        <f t="shared" si="47"/>
        <v>0</v>
      </c>
      <c r="AE32" s="1490">
        <f t="shared" si="47"/>
        <v>0</v>
      </c>
      <c r="AF32" s="1490">
        <f t="shared" si="47"/>
        <v>0</v>
      </c>
      <c r="AG32" s="1490">
        <f t="shared" si="47"/>
        <v>0</v>
      </c>
      <c r="AH32" s="1490">
        <f t="shared" si="47"/>
        <v>0</v>
      </c>
      <c r="AI32" s="1490">
        <f t="shared" si="47"/>
        <v>0</v>
      </c>
      <c r="AJ32" s="1490">
        <f t="shared" si="47"/>
        <v>0</v>
      </c>
      <c r="AK32" s="1490">
        <f t="shared" si="47"/>
        <v>0</v>
      </c>
      <c r="AL32" s="1490">
        <f t="shared" si="47"/>
        <v>0</v>
      </c>
      <c r="AM32" s="1490">
        <f t="shared" si="47"/>
        <v>0</v>
      </c>
      <c r="AN32" s="1490">
        <f t="shared" si="47"/>
        <v>0</v>
      </c>
      <c r="AO32" s="1490">
        <f t="shared" si="47"/>
        <v>0</v>
      </c>
      <c r="AP32" s="1490">
        <f t="shared" si="47"/>
        <v>0</v>
      </c>
      <c r="AQ32" s="1490">
        <f t="shared" si="47"/>
        <v>0</v>
      </c>
      <c r="AR32" s="1490">
        <f t="shared" si="47"/>
        <v>0</v>
      </c>
      <c r="AS32" s="1490">
        <f t="shared" si="47"/>
        <v>0</v>
      </c>
      <c r="AT32" s="1490">
        <f t="shared" si="47"/>
        <v>0</v>
      </c>
      <c r="AU32" s="1490">
        <f t="shared" si="47"/>
        <v>0</v>
      </c>
      <c r="AV32" s="1490">
        <f t="shared" si="47"/>
        <v>0</v>
      </c>
      <c r="AW32" s="1490">
        <f t="shared" si="47"/>
        <v>0</v>
      </c>
      <c r="AX32" s="1490">
        <f t="shared" si="47"/>
        <v>0</v>
      </c>
      <c r="AY32" s="1490">
        <f t="shared" si="47"/>
        <v>0</v>
      </c>
      <c r="AZ32" s="1490">
        <f t="shared" si="47"/>
        <v>0</v>
      </c>
      <c r="BA32" s="1490">
        <f t="shared" si="47"/>
        <v>0</v>
      </c>
      <c r="BB32" s="1490">
        <f t="shared" si="47"/>
        <v>0</v>
      </c>
      <c r="BC32" s="1490">
        <f t="shared" si="47"/>
        <v>0</v>
      </c>
      <c r="BD32" s="1490">
        <f t="shared" si="47"/>
        <v>0</v>
      </c>
      <c r="BE32" s="1490">
        <f t="shared" si="47"/>
        <v>0</v>
      </c>
      <c r="BF32" s="1490">
        <f t="shared" si="47"/>
        <v>0</v>
      </c>
      <c r="BG32" s="1490">
        <f t="shared" si="47"/>
        <v>0</v>
      </c>
      <c r="BH32" s="1490">
        <f t="shared" si="47"/>
        <v>0</v>
      </c>
      <c r="BI32" s="1490">
        <f t="shared" si="47"/>
        <v>0</v>
      </c>
      <c r="BJ32" s="1490">
        <f t="shared" si="47"/>
        <v>0</v>
      </c>
      <c r="BK32" s="1490">
        <f t="shared" si="47"/>
        <v>0</v>
      </c>
      <c r="BL32" s="1490">
        <f t="shared" si="47"/>
        <v>0</v>
      </c>
      <c r="BM32" s="1490">
        <f t="shared" si="47"/>
        <v>0</v>
      </c>
      <c r="BN32" s="1490">
        <f t="shared" si="47"/>
        <v>0</v>
      </c>
      <c r="BO32" s="1490">
        <f t="shared" si="47"/>
        <v>0</v>
      </c>
      <c r="BP32" s="1490">
        <f t="shared" si="47"/>
        <v>0</v>
      </c>
      <c r="BQ32" s="1490">
        <f t="shared" si="47"/>
        <v>0</v>
      </c>
      <c r="BR32" s="1490">
        <f t="shared" si="47"/>
        <v>0</v>
      </c>
      <c r="BS32" s="1490">
        <f t="shared" si="47"/>
        <v>0</v>
      </c>
      <c r="BT32" s="1490">
        <f t="shared" si="47"/>
        <v>0</v>
      </c>
      <c r="BU32" s="1490">
        <f t="shared" si="47"/>
        <v>0</v>
      </c>
      <c r="BV32" s="1490">
        <f t="shared" ref="BV32:EG32" si="48">IF(AND(BV29&gt;0,(BV29+BV31)&gt;0),-BV31,IF(AND(BV29&gt;0,(BV29+BV31)&lt;0),BV29,0))</f>
        <v>0</v>
      </c>
      <c r="BW32" s="1490">
        <f t="shared" si="48"/>
        <v>0</v>
      </c>
      <c r="BX32" s="1490">
        <f t="shared" si="48"/>
        <v>0</v>
      </c>
      <c r="BY32" s="1490">
        <f t="shared" si="48"/>
        <v>0</v>
      </c>
      <c r="BZ32" s="1490">
        <f t="shared" si="48"/>
        <v>0</v>
      </c>
      <c r="CA32" s="1490">
        <f t="shared" si="48"/>
        <v>0</v>
      </c>
      <c r="CB32" s="1490">
        <f t="shared" si="48"/>
        <v>0</v>
      </c>
      <c r="CC32" s="1490">
        <f t="shared" si="48"/>
        <v>0</v>
      </c>
      <c r="CD32" s="1490">
        <f t="shared" si="48"/>
        <v>0</v>
      </c>
      <c r="CE32" s="1490">
        <f t="shared" si="48"/>
        <v>0</v>
      </c>
      <c r="CF32" s="1490">
        <f t="shared" si="48"/>
        <v>0</v>
      </c>
      <c r="CG32" s="1490">
        <f t="shared" si="48"/>
        <v>0</v>
      </c>
      <c r="CH32" s="1490">
        <f t="shared" si="48"/>
        <v>0</v>
      </c>
      <c r="CI32" s="1490">
        <f t="shared" si="48"/>
        <v>0</v>
      </c>
      <c r="CJ32" s="1490">
        <f t="shared" si="48"/>
        <v>0</v>
      </c>
      <c r="CK32" s="1490">
        <f t="shared" si="48"/>
        <v>0</v>
      </c>
      <c r="CL32" s="1490">
        <f t="shared" si="48"/>
        <v>0</v>
      </c>
      <c r="CM32" s="1490">
        <f t="shared" si="48"/>
        <v>0</v>
      </c>
      <c r="CN32" s="1490">
        <f t="shared" si="48"/>
        <v>0</v>
      </c>
      <c r="CO32" s="1490">
        <f t="shared" si="48"/>
        <v>0</v>
      </c>
      <c r="CP32" s="1490">
        <f t="shared" si="48"/>
        <v>0</v>
      </c>
      <c r="CQ32" s="1490">
        <f t="shared" si="48"/>
        <v>0</v>
      </c>
      <c r="CR32" s="1490">
        <f t="shared" si="48"/>
        <v>0</v>
      </c>
      <c r="CS32" s="1490">
        <f t="shared" si="48"/>
        <v>0</v>
      </c>
      <c r="CT32" s="1490">
        <f t="shared" si="48"/>
        <v>0</v>
      </c>
      <c r="CU32" s="1490">
        <f t="shared" si="48"/>
        <v>0</v>
      </c>
      <c r="CV32" s="1490">
        <f t="shared" si="48"/>
        <v>0</v>
      </c>
      <c r="CW32" s="1490">
        <f t="shared" si="48"/>
        <v>0</v>
      </c>
      <c r="CX32" s="1490">
        <f t="shared" si="48"/>
        <v>0</v>
      </c>
      <c r="CY32" s="1490">
        <f t="shared" si="48"/>
        <v>0</v>
      </c>
      <c r="CZ32" s="1490">
        <f t="shared" si="48"/>
        <v>0</v>
      </c>
      <c r="DA32" s="1490">
        <f t="shared" si="48"/>
        <v>0</v>
      </c>
      <c r="DB32" s="1490">
        <f t="shared" si="48"/>
        <v>0</v>
      </c>
      <c r="DC32" s="1490">
        <f t="shared" si="48"/>
        <v>0</v>
      </c>
      <c r="DD32" s="1490">
        <f t="shared" si="48"/>
        <v>0</v>
      </c>
      <c r="DE32" s="1490">
        <f t="shared" si="48"/>
        <v>0</v>
      </c>
      <c r="DF32" s="1490">
        <f t="shared" si="48"/>
        <v>0</v>
      </c>
      <c r="DG32" s="1490">
        <f t="shared" si="48"/>
        <v>0</v>
      </c>
      <c r="DH32" s="1490">
        <f t="shared" si="48"/>
        <v>0</v>
      </c>
      <c r="DI32" s="1490">
        <f t="shared" si="48"/>
        <v>0</v>
      </c>
      <c r="DJ32" s="1490">
        <f t="shared" si="48"/>
        <v>0</v>
      </c>
      <c r="DK32" s="1490">
        <f t="shared" si="48"/>
        <v>0</v>
      </c>
      <c r="DL32" s="1490">
        <f t="shared" si="48"/>
        <v>0</v>
      </c>
      <c r="DM32" s="1490">
        <f t="shared" si="48"/>
        <v>0</v>
      </c>
      <c r="DN32" s="1490">
        <f t="shared" si="48"/>
        <v>0</v>
      </c>
      <c r="DO32" s="1490">
        <f t="shared" si="48"/>
        <v>0</v>
      </c>
      <c r="DP32" s="1490">
        <f t="shared" si="48"/>
        <v>0</v>
      </c>
      <c r="DQ32" s="1490">
        <f t="shared" si="48"/>
        <v>0</v>
      </c>
      <c r="DR32" s="1490">
        <f t="shared" si="48"/>
        <v>0</v>
      </c>
      <c r="DS32" s="1490">
        <f t="shared" si="48"/>
        <v>0</v>
      </c>
      <c r="DT32" s="1490">
        <f t="shared" si="48"/>
        <v>0</v>
      </c>
      <c r="DU32" s="1490">
        <f t="shared" si="48"/>
        <v>0</v>
      </c>
      <c r="DV32" s="1490">
        <f t="shared" si="48"/>
        <v>0</v>
      </c>
      <c r="DW32" s="1490">
        <f t="shared" si="48"/>
        <v>0</v>
      </c>
      <c r="DX32" s="1490">
        <f t="shared" si="48"/>
        <v>0</v>
      </c>
      <c r="DY32" s="1490">
        <f t="shared" si="48"/>
        <v>0</v>
      </c>
      <c r="DZ32" s="1490">
        <f t="shared" si="48"/>
        <v>0</v>
      </c>
      <c r="EA32" s="1490">
        <f t="shared" si="48"/>
        <v>0</v>
      </c>
      <c r="EB32" s="1490">
        <f t="shared" si="48"/>
        <v>0</v>
      </c>
      <c r="EC32" s="1490">
        <f t="shared" si="48"/>
        <v>0</v>
      </c>
      <c r="ED32" s="1490">
        <f t="shared" si="48"/>
        <v>0</v>
      </c>
      <c r="EE32" s="1490">
        <f t="shared" si="48"/>
        <v>0</v>
      </c>
      <c r="EF32" s="1490">
        <f t="shared" si="48"/>
        <v>0</v>
      </c>
      <c r="EG32" s="1490">
        <f t="shared" si="48"/>
        <v>0</v>
      </c>
      <c r="EH32" s="1490">
        <f t="shared" ref="EH32:FH32" si="49">IF(AND(EH29&gt;0,(EH29+EH31)&gt;0),-EH31,IF(AND(EH29&gt;0,(EH29+EH31)&lt;0),EH29,0))</f>
        <v>0</v>
      </c>
      <c r="EI32" s="1490">
        <f t="shared" si="49"/>
        <v>0</v>
      </c>
      <c r="EJ32" s="1490">
        <f t="shared" si="49"/>
        <v>0</v>
      </c>
      <c r="EK32" s="1490">
        <f t="shared" si="49"/>
        <v>0</v>
      </c>
      <c r="EL32" s="1490">
        <f t="shared" si="49"/>
        <v>0</v>
      </c>
      <c r="EM32" s="1490">
        <f t="shared" si="49"/>
        <v>0</v>
      </c>
      <c r="EN32" s="1490">
        <f t="shared" si="49"/>
        <v>0</v>
      </c>
      <c r="EO32" s="1490">
        <f t="shared" si="49"/>
        <v>0</v>
      </c>
      <c r="EP32" s="1490">
        <f t="shared" si="49"/>
        <v>0</v>
      </c>
      <c r="EQ32" s="1490">
        <f t="shared" si="49"/>
        <v>0</v>
      </c>
      <c r="ER32" s="1490">
        <f t="shared" si="49"/>
        <v>0</v>
      </c>
      <c r="ES32" s="1490">
        <f t="shared" si="49"/>
        <v>0</v>
      </c>
      <c r="ET32" s="1490">
        <f t="shared" si="49"/>
        <v>0</v>
      </c>
      <c r="EU32" s="1490">
        <f t="shared" si="49"/>
        <v>0</v>
      </c>
      <c r="EV32" s="1490">
        <f t="shared" si="49"/>
        <v>0</v>
      </c>
      <c r="EW32" s="1490">
        <f t="shared" si="49"/>
        <v>0</v>
      </c>
      <c r="EX32" s="1490">
        <f t="shared" si="49"/>
        <v>0</v>
      </c>
      <c r="EY32" s="1490">
        <f t="shared" si="49"/>
        <v>0</v>
      </c>
      <c r="EZ32" s="1490">
        <f t="shared" si="49"/>
        <v>0</v>
      </c>
      <c r="FA32" s="1490">
        <f t="shared" si="49"/>
        <v>0</v>
      </c>
      <c r="FB32" s="1490">
        <f t="shared" si="49"/>
        <v>0</v>
      </c>
      <c r="FC32" s="1490">
        <f t="shared" si="49"/>
        <v>0</v>
      </c>
      <c r="FD32" s="1490">
        <f t="shared" si="49"/>
        <v>0</v>
      </c>
      <c r="FE32" s="1490">
        <f t="shared" si="49"/>
        <v>0</v>
      </c>
      <c r="FF32" s="1490">
        <f t="shared" si="49"/>
        <v>0</v>
      </c>
      <c r="FG32" s="1490">
        <f t="shared" si="49"/>
        <v>0</v>
      </c>
      <c r="FH32" s="1494">
        <f t="shared" si="49"/>
        <v>0</v>
      </c>
      <c r="FI32" s="1494"/>
      <c r="FJ32" s="1494"/>
      <c r="FK32" s="1494"/>
      <c r="FL32" s="1539"/>
      <c r="FM32" s="1556"/>
    </row>
    <row r="33" spans="1:169">
      <c r="A33" s="1739"/>
      <c r="B33" s="1744"/>
      <c r="C33" s="1499" t="s">
        <v>217</v>
      </c>
      <c r="D33" s="1486"/>
      <c r="E33" s="1490">
        <f>E31+E32</f>
        <v>0</v>
      </c>
      <c r="F33" s="1490">
        <f>F31+F32</f>
        <v>0</v>
      </c>
      <c r="G33" s="1490">
        <f>G31+G32</f>
        <v>0</v>
      </c>
      <c r="H33" s="1490">
        <f>H31+H32</f>
        <v>0</v>
      </c>
      <c r="I33" s="1490">
        <f>I31+I32</f>
        <v>0</v>
      </c>
      <c r="J33" s="1490">
        <f t="shared" ref="J33:BU33" si="50">J31+J32</f>
        <v>0</v>
      </c>
      <c r="K33" s="1490">
        <f t="shared" si="50"/>
        <v>0</v>
      </c>
      <c r="L33" s="1490">
        <f t="shared" si="50"/>
        <v>0</v>
      </c>
      <c r="M33" s="1490">
        <f t="shared" si="50"/>
        <v>0</v>
      </c>
      <c r="N33" s="1490">
        <f t="shared" si="50"/>
        <v>0</v>
      </c>
      <c r="O33" s="1490">
        <f t="shared" si="50"/>
        <v>0</v>
      </c>
      <c r="P33" s="1490">
        <f t="shared" si="50"/>
        <v>0</v>
      </c>
      <c r="Q33" s="1490">
        <f t="shared" si="50"/>
        <v>0</v>
      </c>
      <c r="R33" s="1490">
        <f t="shared" si="50"/>
        <v>0</v>
      </c>
      <c r="S33" s="1490">
        <f t="shared" si="50"/>
        <v>0</v>
      </c>
      <c r="T33" s="1490">
        <f t="shared" si="50"/>
        <v>0</v>
      </c>
      <c r="U33" s="1490">
        <f t="shared" si="50"/>
        <v>0</v>
      </c>
      <c r="V33" s="1490">
        <f t="shared" si="50"/>
        <v>0</v>
      </c>
      <c r="W33" s="1490">
        <f t="shared" si="50"/>
        <v>0</v>
      </c>
      <c r="X33" s="1490">
        <f t="shared" si="50"/>
        <v>0</v>
      </c>
      <c r="Y33" s="1490">
        <f t="shared" si="50"/>
        <v>0</v>
      </c>
      <c r="Z33" s="1490">
        <f t="shared" si="50"/>
        <v>0</v>
      </c>
      <c r="AA33" s="1490">
        <f t="shared" si="50"/>
        <v>0</v>
      </c>
      <c r="AB33" s="1490">
        <f t="shared" si="50"/>
        <v>0</v>
      </c>
      <c r="AC33" s="1490">
        <f t="shared" si="50"/>
        <v>0</v>
      </c>
      <c r="AD33" s="1490">
        <f t="shared" si="50"/>
        <v>0</v>
      </c>
      <c r="AE33" s="1490">
        <f t="shared" si="50"/>
        <v>0</v>
      </c>
      <c r="AF33" s="1490">
        <f t="shared" si="50"/>
        <v>0</v>
      </c>
      <c r="AG33" s="1490">
        <f t="shared" si="50"/>
        <v>0</v>
      </c>
      <c r="AH33" s="1490">
        <f t="shared" si="50"/>
        <v>0</v>
      </c>
      <c r="AI33" s="1490">
        <f t="shared" si="50"/>
        <v>0</v>
      </c>
      <c r="AJ33" s="1490">
        <f t="shared" si="50"/>
        <v>0</v>
      </c>
      <c r="AK33" s="1490">
        <f t="shared" si="50"/>
        <v>0</v>
      </c>
      <c r="AL33" s="1490">
        <f t="shared" si="50"/>
        <v>0</v>
      </c>
      <c r="AM33" s="1490">
        <f t="shared" si="50"/>
        <v>0</v>
      </c>
      <c r="AN33" s="1490">
        <f t="shared" si="50"/>
        <v>0</v>
      </c>
      <c r="AO33" s="1490">
        <f t="shared" si="50"/>
        <v>0</v>
      </c>
      <c r="AP33" s="1490">
        <f t="shared" si="50"/>
        <v>0</v>
      </c>
      <c r="AQ33" s="1490">
        <f t="shared" si="50"/>
        <v>0</v>
      </c>
      <c r="AR33" s="1490">
        <f t="shared" si="50"/>
        <v>0</v>
      </c>
      <c r="AS33" s="1490">
        <f t="shared" si="50"/>
        <v>0</v>
      </c>
      <c r="AT33" s="1490">
        <f t="shared" si="50"/>
        <v>0</v>
      </c>
      <c r="AU33" s="1490">
        <f t="shared" si="50"/>
        <v>0</v>
      </c>
      <c r="AV33" s="1490">
        <f t="shared" si="50"/>
        <v>0</v>
      </c>
      <c r="AW33" s="1490">
        <f t="shared" si="50"/>
        <v>0</v>
      </c>
      <c r="AX33" s="1490">
        <f t="shared" si="50"/>
        <v>0</v>
      </c>
      <c r="AY33" s="1490">
        <f t="shared" si="50"/>
        <v>0</v>
      </c>
      <c r="AZ33" s="1490">
        <f t="shared" si="50"/>
        <v>0</v>
      </c>
      <c r="BA33" s="1490">
        <f t="shared" si="50"/>
        <v>0</v>
      </c>
      <c r="BB33" s="1490">
        <f t="shared" si="50"/>
        <v>0</v>
      </c>
      <c r="BC33" s="1490">
        <f t="shared" si="50"/>
        <v>0</v>
      </c>
      <c r="BD33" s="1490">
        <f t="shared" si="50"/>
        <v>0</v>
      </c>
      <c r="BE33" s="1490">
        <f t="shared" si="50"/>
        <v>0</v>
      </c>
      <c r="BF33" s="1490">
        <f t="shared" si="50"/>
        <v>0</v>
      </c>
      <c r="BG33" s="1490">
        <f t="shared" si="50"/>
        <v>0</v>
      </c>
      <c r="BH33" s="1490">
        <f t="shared" si="50"/>
        <v>0</v>
      </c>
      <c r="BI33" s="1490">
        <f t="shared" si="50"/>
        <v>0</v>
      </c>
      <c r="BJ33" s="1490">
        <f t="shared" si="50"/>
        <v>0</v>
      </c>
      <c r="BK33" s="1490">
        <f t="shared" si="50"/>
        <v>0</v>
      </c>
      <c r="BL33" s="1490">
        <f t="shared" si="50"/>
        <v>0</v>
      </c>
      <c r="BM33" s="1490">
        <f t="shared" si="50"/>
        <v>0</v>
      </c>
      <c r="BN33" s="1490">
        <f t="shared" si="50"/>
        <v>0</v>
      </c>
      <c r="BO33" s="1490">
        <f t="shared" si="50"/>
        <v>0</v>
      </c>
      <c r="BP33" s="1490">
        <f t="shared" si="50"/>
        <v>0</v>
      </c>
      <c r="BQ33" s="1490">
        <f t="shared" si="50"/>
        <v>0</v>
      </c>
      <c r="BR33" s="1490">
        <f t="shared" si="50"/>
        <v>0</v>
      </c>
      <c r="BS33" s="1490">
        <f t="shared" si="50"/>
        <v>0</v>
      </c>
      <c r="BT33" s="1490">
        <f t="shared" si="50"/>
        <v>0</v>
      </c>
      <c r="BU33" s="1490">
        <f t="shared" si="50"/>
        <v>0</v>
      </c>
      <c r="BV33" s="1490">
        <f t="shared" ref="BV33:EG33" si="51">BV31+BV32</f>
        <v>0</v>
      </c>
      <c r="BW33" s="1490">
        <f t="shared" si="51"/>
        <v>0</v>
      </c>
      <c r="BX33" s="1490">
        <f t="shared" si="51"/>
        <v>0</v>
      </c>
      <c r="BY33" s="1490">
        <f t="shared" si="51"/>
        <v>0</v>
      </c>
      <c r="BZ33" s="1490">
        <f t="shared" si="51"/>
        <v>0</v>
      </c>
      <c r="CA33" s="1490">
        <f t="shared" si="51"/>
        <v>0</v>
      </c>
      <c r="CB33" s="1490">
        <f t="shared" si="51"/>
        <v>0</v>
      </c>
      <c r="CC33" s="1490">
        <f t="shared" si="51"/>
        <v>0</v>
      </c>
      <c r="CD33" s="1490">
        <f t="shared" si="51"/>
        <v>0</v>
      </c>
      <c r="CE33" s="1490">
        <f t="shared" si="51"/>
        <v>0</v>
      </c>
      <c r="CF33" s="1490">
        <f t="shared" si="51"/>
        <v>0</v>
      </c>
      <c r="CG33" s="1490">
        <f t="shared" si="51"/>
        <v>0</v>
      </c>
      <c r="CH33" s="1490">
        <f t="shared" si="51"/>
        <v>0</v>
      </c>
      <c r="CI33" s="1490">
        <f t="shared" si="51"/>
        <v>0</v>
      </c>
      <c r="CJ33" s="1490">
        <f t="shared" si="51"/>
        <v>0</v>
      </c>
      <c r="CK33" s="1490">
        <f t="shared" si="51"/>
        <v>0</v>
      </c>
      <c r="CL33" s="1490">
        <f t="shared" si="51"/>
        <v>0</v>
      </c>
      <c r="CM33" s="1490">
        <f t="shared" si="51"/>
        <v>0</v>
      </c>
      <c r="CN33" s="1490">
        <f t="shared" si="51"/>
        <v>0</v>
      </c>
      <c r="CO33" s="1490">
        <f t="shared" si="51"/>
        <v>0</v>
      </c>
      <c r="CP33" s="1490">
        <f t="shared" si="51"/>
        <v>0</v>
      </c>
      <c r="CQ33" s="1490">
        <f t="shared" si="51"/>
        <v>0</v>
      </c>
      <c r="CR33" s="1490">
        <f t="shared" si="51"/>
        <v>0</v>
      </c>
      <c r="CS33" s="1490">
        <f t="shared" si="51"/>
        <v>0</v>
      </c>
      <c r="CT33" s="1490">
        <f t="shared" si="51"/>
        <v>0</v>
      </c>
      <c r="CU33" s="1490">
        <f t="shared" si="51"/>
        <v>0</v>
      </c>
      <c r="CV33" s="1490">
        <f t="shared" si="51"/>
        <v>0</v>
      </c>
      <c r="CW33" s="1490">
        <f t="shared" si="51"/>
        <v>0</v>
      </c>
      <c r="CX33" s="1490">
        <f t="shared" si="51"/>
        <v>0</v>
      </c>
      <c r="CY33" s="1490">
        <f t="shared" si="51"/>
        <v>0</v>
      </c>
      <c r="CZ33" s="1490">
        <f t="shared" si="51"/>
        <v>0</v>
      </c>
      <c r="DA33" s="1490">
        <f t="shared" si="51"/>
        <v>0</v>
      </c>
      <c r="DB33" s="1490">
        <f t="shared" si="51"/>
        <v>0</v>
      </c>
      <c r="DC33" s="1490">
        <f t="shared" si="51"/>
        <v>0</v>
      </c>
      <c r="DD33" s="1490">
        <f t="shared" si="51"/>
        <v>0</v>
      </c>
      <c r="DE33" s="1490">
        <f t="shared" si="51"/>
        <v>0</v>
      </c>
      <c r="DF33" s="1490">
        <f t="shared" si="51"/>
        <v>0</v>
      </c>
      <c r="DG33" s="1490">
        <f t="shared" si="51"/>
        <v>0</v>
      </c>
      <c r="DH33" s="1490">
        <f t="shared" si="51"/>
        <v>0</v>
      </c>
      <c r="DI33" s="1490">
        <f t="shared" si="51"/>
        <v>0</v>
      </c>
      <c r="DJ33" s="1490">
        <f t="shared" si="51"/>
        <v>0</v>
      </c>
      <c r="DK33" s="1490">
        <f t="shared" si="51"/>
        <v>0</v>
      </c>
      <c r="DL33" s="1490">
        <f t="shared" si="51"/>
        <v>0</v>
      </c>
      <c r="DM33" s="1490">
        <f t="shared" si="51"/>
        <v>0</v>
      </c>
      <c r="DN33" s="1490">
        <f t="shared" si="51"/>
        <v>0</v>
      </c>
      <c r="DO33" s="1490">
        <f t="shared" si="51"/>
        <v>0</v>
      </c>
      <c r="DP33" s="1490">
        <f t="shared" si="51"/>
        <v>0</v>
      </c>
      <c r="DQ33" s="1490">
        <f t="shared" si="51"/>
        <v>0</v>
      </c>
      <c r="DR33" s="1490">
        <f t="shared" si="51"/>
        <v>0</v>
      </c>
      <c r="DS33" s="1490">
        <f t="shared" si="51"/>
        <v>0</v>
      </c>
      <c r="DT33" s="1490">
        <f t="shared" si="51"/>
        <v>0</v>
      </c>
      <c r="DU33" s="1490">
        <f t="shared" si="51"/>
        <v>0</v>
      </c>
      <c r="DV33" s="1490">
        <f t="shared" si="51"/>
        <v>0</v>
      </c>
      <c r="DW33" s="1490">
        <f t="shared" si="51"/>
        <v>0</v>
      </c>
      <c r="DX33" s="1490">
        <f t="shared" si="51"/>
        <v>0</v>
      </c>
      <c r="DY33" s="1490">
        <f t="shared" si="51"/>
        <v>0</v>
      </c>
      <c r="DZ33" s="1490">
        <f t="shared" si="51"/>
        <v>0</v>
      </c>
      <c r="EA33" s="1490">
        <f t="shared" si="51"/>
        <v>0</v>
      </c>
      <c r="EB33" s="1490">
        <f t="shared" si="51"/>
        <v>0</v>
      </c>
      <c r="EC33" s="1490">
        <f t="shared" si="51"/>
        <v>0</v>
      </c>
      <c r="ED33" s="1490">
        <f t="shared" si="51"/>
        <v>0</v>
      </c>
      <c r="EE33" s="1490">
        <f t="shared" si="51"/>
        <v>0</v>
      </c>
      <c r="EF33" s="1490">
        <f t="shared" si="51"/>
        <v>0</v>
      </c>
      <c r="EG33" s="1490">
        <f t="shared" si="51"/>
        <v>0</v>
      </c>
      <c r="EH33" s="1490">
        <f t="shared" ref="EH33:FH33" si="52">EH31+EH32</f>
        <v>0</v>
      </c>
      <c r="EI33" s="1490">
        <f t="shared" si="52"/>
        <v>0</v>
      </c>
      <c r="EJ33" s="1490">
        <f t="shared" si="52"/>
        <v>0</v>
      </c>
      <c r="EK33" s="1490">
        <f t="shared" si="52"/>
        <v>0</v>
      </c>
      <c r="EL33" s="1490">
        <f t="shared" si="52"/>
        <v>0</v>
      </c>
      <c r="EM33" s="1490">
        <f t="shared" si="52"/>
        <v>0</v>
      </c>
      <c r="EN33" s="1490">
        <f t="shared" si="52"/>
        <v>0</v>
      </c>
      <c r="EO33" s="1490">
        <f t="shared" si="52"/>
        <v>0</v>
      </c>
      <c r="EP33" s="1490">
        <f t="shared" si="52"/>
        <v>0</v>
      </c>
      <c r="EQ33" s="1490">
        <f t="shared" si="52"/>
        <v>0</v>
      </c>
      <c r="ER33" s="1490">
        <f t="shared" si="52"/>
        <v>0</v>
      </c>
      <c r="ES33" s="1490">
        <f t="shared" si="52"/>
        <v>0</v>
      </c>
      <c r="ET33" s="1490">
        <f t="shared" si="52"/>
        <v>0</v>
      </c>
      <c r="EU33" s="1490">
        <f t="shared" si="52"/>
        <v>0</v>
      </c>
      <c r="EV33" s="1490">
        <f t="shared" si="52"/>
        <v>0</v>
      </c>
      <c r="EW33" s="1490">
        <f t="shared" si="52"/>
        <v>0</v>
      </c>
      <c r="EX33" s="1490">
        <f t="shared" si="52"/>
        <v>0</v>
      </c>
      <c r="EY33" s="1490">
        <f t="shared" si="52"/>
        <v>0</v>
      </c>
      <c r="EZ33" s="1490">
        <f t="shared" si="52"/>
        <v>0</v>
      </c>
      <c r="FA33" s="1490">
        <f t="shared" si="52"/>
        <v>0</v>
      </c>
      <c r="FB33" s="1490">
        <f t="shared" si="52"/>
        <v>0</v>
      </c>
      <c r="FC33" s="1490">
        <f t="shared" si="52"/>
        <v>0</v>
      </c>
      <c r="FD33" s="1490">
        <f t="shared" si="52"/>
        <v>0</v>
      </c>
      <c r="FE33" s="1490">
        <f t="shared" si="52"/>
        <v>0</v>
      </c>
      <c r="FF33" s="1490">
        <f t="shared" si="52"/>
        <v>0</v>
      </c>
      <c r="FG33" s="1490">
        <f t="shared" si="52"/>
        <v>0</v>
      </c>
      <c r="FH33" s="1494">
        <f t="shared" si="52"/>
        <v>0</v>
      </c>
      <c r="FI33" s="1494"/>
      <c r="FJ33" s="1494"/>
      <c r="FK33" s="1494"/>
      <c r="FL33" s="1539"/>
      <c r="FM33" s="1556"/>
    </row>
    <row r="34" spans="1:169">
      <c r="A34" s="1739"/>
      <c r="B34" s="1744"/>
      <c r="C34" s="1485" t="s">
        <v>218</v>
      </c>
      <c r="D34" s="1486">
        <f>SUM(E34:FL34)</f>
        <v>0</v>
      </c>
      <c r="E34" s="1490">
        <f>E28*(7%+3%+2%)</f>
        <v>0</v>
      </c>
      <c r="F34" s="1490">
        <f>F28*(7%+3%+2%)</f>
        <v>0</v>
      </c>
      <c r="G34" s="1490">
        <f>G28*(7%+3%+2%)</f>
        <v>0</v>
      </c>
      <c r="H34" s="1490">
        <f>H28*(7%+3%+2%)</f>
        <v>0</v>
      </c>
      <c r="I34" s="1490">
        <f t="shared" ref="I34:BR34" si="53">I28*(7%+3%+2%)</f>
        <v>0</v>
      </c>
      <c r="J34" s="1490">
        <f t="shared" si="53"/>
        <v>0</v>
      </c>
      <c r="K34" s="1490">
        <f t="shared" si="53"/>
        <v>0</v>
      </c>
      <c r="L34" s="1490">
        <f t="shared" si="53"/>
        <v>0</v>
      </c>
      <c r="M34" s="1490">
        <f t="shared" si="53"/>
        <v>0</v>
      </c>
      <c r="N34" s="1490">
        <f t="shared" si="53"/>
        <v>0</v>
      </c>
      <c r="O34" s="1490">
        <f t="shared" si="53"/>
        <v>0</v>
      </c>
      <c r="P34" s="1490">
        <f t="shared" si="53"/>
        <v>0</v>
      </c>
      <c r="Q34" s="1490">
        <f t="shared" si="53"/>
        <v>0</v>
      </c>
      <c r="R34" s="1490">
        <f t="shared" si="53"/>
        <v>0</v>
      </c>
      <c r="S34" s="1490">
        <f t="shared" si="53"/>
        <v>0</v>
      </c>
      <c r="T34" s="1490">
        <f t="shared" si="53"/>
        <v>0</v>
      </c>
      <c r="U34" s="1490">
        <f t="shared" si="53"/>
        <v>0</v>
      </c>
      <c r="V34" s="1490">
        <f t="shared" si="53"/>
        <v>0</v>
      </c>
      <c r="W34" s="1490">
        <f t="shared" si="53"/>
        <v>0</v>
      </c>
      <c r="X34" s="1490">
        <f t="shared" si="53"/>
        <v>0</v>
      </c>
      <c r="Y34" s="1490">
        <f t="shared" si="53"/>
        <v>0</v>
      </c>
      <c r="Z34" s="1490">
        <f t="shared" si="53"/>
        <v>0</v>
      </c>
      <c r="AA34" s="1490">
        <f t="shared" si="53"/>
        <v>0</v>
      </c>
      <c r="AB34" s="1490">
        <f t="shared" si="53"/>
        <v>0</v>
      </c>
      <c r="AC34" s="1490">
        <f t="shared" si="53"/>
        <v>0</v>
      </c>
      <c r="AD34" s="1490">
        <f t="shared" si="53"/>
        <v>0</v>
      </c>
      <c r="AE34" s="1490">
        <f t="shared" si="53"/>
        <v>0</v>
      </c>
      <c r="AF34" s="1490">
        <f t="shared" si="53"/>
        <v>0</v>
      </c>
      <c r="AG34" s="1490">
        <f t="shared" si="53"/>
        <v>0</v>
      </c>
      <c r="AH34" s="1490">
        <f t="shared" si="53"/>
        <v>0</v>
      </c>
      <c r="AI34" s="1490">
        <f t="shared" si="53"/>
        <v>0</v>
      </c>
      <c r="AJ34" s="1490">
        <f t="shared" si="53"/>
        <v>0</v>
      </c>
      <c r="AK34" s="1490">
        <f t="shared" si="53"/>
        <v>0</v>
      </c>
      <c r="AL34" s="1490">
        <f t="shared" si="53"/>
        <v>0</v>
      </c>
      <c r="AM34" s="1490">
        <f t="shared" si="53"/>
        <v>0</v>
      </c>
      <c r="AN34" s="1490">
        <f t="shared" si="53"/>
        <v>0</v>
      </c>
      <c r="AO34" s="1490">
        <f t="shared" si="53"/>
        <v>0</v>
      </c>
      <c r="AP34" s="1490">
        <f t="shared" si="53"/>
        <v>0</v>
      </c>
      <c r="AQ34" s="1490">
        <f t="shared" si="53"/>
        <v>0</v>
      </c>
      <c r="AR34" s="1490">
        <f t="shared" si="53"/>
        <v>0</v>
      </c>
      <c r="AS34" s="1490">
        <f t="shared" si="53"/>
        <v>0</v>
      </c>
      <c r="AT34" s="1490">
        <f t="shared" si="53"/>
        <v>0</v>
      </c>
      <c r="AU34" s="1490">
        <f t="shared" si="53"/>
        <v>0</v>
      </c>
      <c r="AV34" s="1490">
        <f t="shared" si="53"/>
        <v>0</v>
      </c>
      <c r="AW34" s="1490">
        <f t="shared" si="53"/>
        <v>0</v>
      </c>
      <c r="AX34" s="1490">
        <f t="shared" si="53"/>
        <v>0</v>
      </c>
      <c r="AY34" s="1490">
        <f t="shared" si="53"/>
        <v>0</v>
      </c>
      <c r="AZ34" s="1490">
        <f t="shared" si="53"/>
        <v>0</v>
      </c>
      <c r="BA34" s="1490">
        <f t="shared" si="53"/>
        <v>0</v>
      </c>
      <c r="BB34" s="1490">
        <f t="shared" si="53"/>
        <v>0</v>
      </c>
      <c r="BC34" s="1490">
        <f t="shared" si="53"/>
        <v>0</v>
      </c>
      <c r="BD34" s="1490">
        <f t="shared" si="53"/>
        <v>0</v>
      </c>
      <c r="BE34" s="1490">
        <f t="shared" si="53"/>
        <v>0</v>
      </c>
      <c r="BF34" s="1490">
        <f t="shared" si="53"/>
        <v>0</v>
      </c>
      <c r="BG34" s="1490">
        <f t="shared" si="53"/>
        <v>0</v>
      </c>
      <c r="BH34" s="1490">
        <f t="shared" si="53"/>
        <v>0</v>
      </c>
      <c r="BI34" s="1490">
        <f t="shared" si="53"/>
        <v>0</v>
      </c>
      <c r="BJ34" s="1490">
        <f t="shared" si="53"/>
        <v>0</v>
      </c>
      <c r="BK34" s="1490">
        <f t="shared" si="53"/>
        <v>0</v>
      </c>
      <c r="BL34" s="1490">
        <f t="shared" si="53"/>
        <v>0</v>
      </c>
      <c r="BM34" s="1490">
        <f t="shared" si="53"/>
        <v>0</v>
      </c>
      <c r="BN34" s="1490">
        <f t="shared" si="53"/>
        <v>0</v>
      </c>
      <c r="BO34" s="1490">
        <f t="shared" si="53"/>
        <v>0</v>
      </c>
      <c r="BP34" s="1490">
        <f t="shared" si="53"/>
        <v>0</v>
      </c>
      <c r="BQ34" s="1490">
        <f t="shared" si="53"/>
        <v>0</v>
      </c>
      <c r="BR34" s="1490">
        <f t="shared" si="53"/>
        <v>0</v>
      </c>
      <c r="BS34" s="1490">
        <f t="shared" ref="BS34:ED34" si="54">BS28*(7%+3%+2%)</f>
        <v>0</v>
      </c>
      <c r="BT34" s="1490">
        <f t="shared" si="54"/>
        <v>0</v>
      </c>
      <c r="BU34" s="1490">
        <f t="shared" si="54"/>
        <v>0</v>
      </c>
      <c r="BV34" s="1490">
        <f t="shared" si="54"/>
        <v>0</v>
      </c>
      <c r="BW34" s="1490">
        <f t="shared" si="54"/>
        <v>0</v>
      </c>
      <c r="BX34" s="1490">
        <f t="shared" si="54"/>
        <v>0</v>
      </c>
      <c r="BY34" s="1490">
        <f t="shared" si="54"/>
        <v>0</v>
      </c>
      <c r="BZ34" s="1490">
        <f t="shared" si="54"/>
        <v>0</v>
      </c>
      <c r="CA34" s="1490">
        <f t="shared" si="54"/>
        <v>0</v>
      </c>
      <c r="CB34" s="1490">
        <f t="shared" si="54"/>
        <v>0</v>
      </c>
      <c r="CC34" s="1490">
        <f t="shared" si="54"/>
        <v>0</v>
      </c>
      <c r="CD34" s="1490">
        <f t="shared" si="54"/>
        <v>0</v>
      </c>
      <c r="CE34" s="1490">
        <f t="shared" si="54"/>
        <v>0</v>
      </c>
      <c r="CF34" s="1490">
        <f t="shared" si="54"/>
        <v>0</v>
      </c>
      <c r="CG34" s="1490">
        <f t="shared" si="54"/>
        <v>0</v>
      </c>
      <c r="CH34" s="1490">
        <f t="shared" si="54"/>
        <v>0</v>
      </c>
      <c r="CI34" s="1490">
        <f t="shared" si="54"/>
        <v>0</v>
      </c>
      <c r="CJ34" s="1490">
        <f t="shared" si="54"/>
        <v>0</v>
      </c>
      <c r="CK34" s="1490">
        <f t="shared" si="54"/>
        <v>0</v>
      </c>
      <c r="CL34" s="1490">
        <f t="shared" si="54"/>
        <v>0</v>
      </c>
      <c r="CM34" s="1490">
        <f t="shared" si="54"/>
        <v>0</v>
      </c>
      <c r="CN34" s="1490">
        <f t="shared" si="54"/>
        <v>0</v>
      </c>
      <c r="CO34" s="1490">
        <f t="shared" si="54"/>
        <v>0</v>
      </c>
      <c r="CP34" s="1490">
        <f t="shared" si="54"/>
        <v>0</v>
      </c>
      <c r="CQ34" s="1490">
        <f t="shared" si="54"/>
        <v>0</v>
      </c>
      <c r="CR34" s="1490">
        <f t="shared" si="54"/>
        <v>0</v>
      </c>
      <c r="CS34" s="1490">
        <f t="shared" si="54"/>
        <v>0</v>
      </c>
      <c r="CT34" s="1490">
        <f t="shared" si="54"/>
        <v>0</v>
      </c>
      <c r="CU34" s="1490">
        <f t="shared" si="54"/>
        <v>0</v>
      </c>
      <c r="CV34" s="1490">
        <f t="shared" si="54"/>
        <v>0</v>
      </c>
      <c r="CW34" s="1490">
        <f t="shared" si="54"/>
        <v>0</v>
      </c>
      <c r="CX34" s="1490">
        <f t="shared" si="54"/>
        <v>0</v>
      </c>
      <c r="CY34" s="1490">
        <f t="shared" si="54"/>
        <v>0</v>
      </c>
      <c r="CZ34" s="1490">
        <f t="shared" si="54"/>
        <v>0</v>
      </c>
      <c r="DA34" s="1490">
        <f t="shared" si="54"/>
        <v>0</v>
      </c>
      <c r="DB34" s="1490">
        <f t="shared" si="54"/>
        <v>0</v>
      </c>
      <c r="DC34" s="1490">
        <f t="shared" si="54"/>
        <v>0</v>
      </c>
      <c r="DD34" s="1490">
        <f t="shared" si="54"/>
        <v>0</v>
      </c>
      <c r="DE34" s="1490">
        <f t="shared" si="54"/>
        <v>0</v>
      </c>
      <c r="DF34" s="1490">
        <f t="shared" si="54"/>
        <v>0</v>
      </c>
      <c r="DG34" s="1490">
        <f t="shared" si="54"/>
        <v>0</v>
      </c>
      <c r="DH34" s="1490">
        <f t="shared" si="54"/>
        <v>0</v>
      </c>
      <c r="DI34" s="1490">
        <f t="shared" si="54"/>
        <v>0</v>
      </c>
      <c r="DJ34" s="1490">
        <f t="shared" si="54"/>
        <v>0</v>
      </c>
      <c r="DK34" s="1490">
        <f t="shared" si="54"/>
        <v>0</v>
      </c>
      <c r="DL34" s="1490">
        <f t="shared" si="54"/>
        <v>0</v>
      </c>
      <c r="DM34" s="1490">
        <f t="shared" si="54"/>
        <v>0</v>
      </c>
      <c r="DN34" s="1490">
        <f t="shared" si="54"/>
        <v>0</v>
      </c>
      <c r="DO34" s="1490">
        <f t="shared" si="54"/>
        <v>0</v>
      </c>
      <c r="DP34" s="1490">
        <f t="shared" si="54"/>
        <v>0</v>
      </c>
      <c r="DQ34" s="1490">
        <f t="shared" si="54"/>
        <v>0</v>
      </c>
      <c r="DR34" s="1490">
        <f t="shared" si="54"/>
        <v>0</v>
      </c>
      <c r="DS34" s="1490">
        <f t="shared" si="54"/>
        <v>0</v>
      </c>
      <c r="DT34" s="1490">
        <f t="shared" si="54"/>
        <v>0</v>
      </c>
      <c r="DU34" s="1490">
        <f t="shared" si="54"/>
        <v>0</v>
      </c>
      <c r="DV34" s="1490">
        <f t="shared" si="54"/>
        <v>0</v>
      </c>
      <c r="DW34" s="1490">
        <f t="shared" si="54"/>
        <v>0</v>
      </c>
      <c r="DX34" s="1490">
        <f t="shared" si="54"/>
        <v>0</v>
      </c>
      <c r="DY34" s="1490">
        <f t="shared" si="54"/>
        <v>0</v>
      </c>
      <c r="DZ34" s="1490">
        <f t="shared" si="54"/>
        <v>0</v>
      </c>
      <c r="EA34" s="1490">
        <f t="shared" si="54"/>
        <v>0</v>
      </c>
      <c r="EB34" s="1490">
        <f t="shared" si="54"/>
        <v>0</v>
      </c>
      <c r="EC34" s="1490">
        <f t="shared" si="54"/>
        <v>0</v>
      </c>
      <c r="ED34" s="1490">
        <f t="shared" si="54"/>
        <v>0</v>
      </c>
      <c r="EE34" s="1490">
        <f t="shared" ref="EE34:FH34" si="55">EE28*(7%+3%+2%)</f>
        <v>0</v>
      </c>
      <c r="EF34" s="1490">
        <f t="shared" si="55"/>
        <v>0</v>
      </c>
      <c r="EG34" s="1490">
        <f t="shared" si="55"/>
        <v>0</v>
      </c>
      <c r="EH34" s="1490">
        <f t="shared" si="55"/>
        <v>0</v>
      </c>
      <c r="EI34" s="1490">
        <f t="shared" si="55"/>
        <v>0</v>
      </c>
      <c r="EJ34" s="1490">
        <f t="shared" si="55"/>
        <v>0</v>
      </c>
      <c r="EK34" s="1490">
        <f t="shared" si="55"/>
        <v>0</v>
      </c>
      <c r="EL34" s="1490">
        <f t="shared" si="55"/>
        <v>0</v>
      </c>
      <c r="EM34" s="1490">
        <f t="shared" si="55"/>
        <v>0</v>
      </c>
      <c r="EN34" s="1490">
        <f t="shared" si="55"/>
        <v>0</v>
      </c>
      <c r="EO34" s="1490">
        <f t="shared" si="55"/>
        <v>0</v>
      </c>
      <c r="EP34" s="1490">
        <f t="shared" si="55"/>
        <v>0</v>
      </c>
      <c r="EQ34" s="1490">
        <f t="shared" si="55"/>
        <v>0</v>
      </c>
      <c r="ER34" s="1490">
        <f t="shared" si="55"/>
        <v>0</v>
      </c>
      <c r="ES34" s="1490">
        <f t="shared" si="55"/>
        <v>0</v>
      </c>
      <c r="ET34" s="1490">
        <f t="shared" si="55"/>
        <v>0</v>
      </c>
      <c r="EU34" s="1490">
        <f t="shared" si="55"/>
        <v>0</v>
      </c>
      <c r="EV34" s="1490">
        <f t="shared" si="55"/>
        <v>0</v>
      </c>
      <c r="EW34" s="1490">
        <f t="shared" si="55"/>
        <v>0</v>
      </c>
      <c r="EX34" s="1490">
        <f t="shared" si="55"/>
        <v>0</v>
      </c>
      <c r="EY34" s="1490">
        <f t="shared" si="55"/>
        <v>0</v>
      </c>
      <c r="EZ34" s="1490">
        <f t="shared" si="55"/>
        <v>0</v>
      </c>
      <c r="FA34" s="1490">
        <f t="shared" si="55"/>
        <v>0</v>
      </c>
      <c r="FB34" s="1490">
        <f t="shared" si="55"/>
        <v>0</v>
      </c>
      <c r="FC34" s="1490">
        <f t="shared" si="55"/>
        <v>0</v>
      </c>
      <c r="FD34" s="1490">
        <f t="shared" si="55"/>
        <v>0</v>
      </c>
      <c r="FE34" s="1490">
        <f t="shared" si="55"/>
        <v>0</v>
      </c>
      <c r="FF34" s="1490">
        <f t="shared" si="55"/>
        <v>0</v>
      </c>
      <c r="FG34" s="1490">
        <f t="shared" si="55"/>
        <v>0</v>
      </c>
      <c r="FH34" s="1494">
        <f t="shared" si="55"/>
        <v>0</v>
      </c>
      <c r="FI34" s="1494"/>
      <c r="FJ34" s="1494"/>
      <c r="FK34" s="1494"/>
      <c r="FL34" s="1539"/>
      <c r="FM34" s="1556"/>
    </row>
    <row r="35" spans="1:169">
      <c r="A35" s="1739"/>
      <c r="B35" s="1744"/>
      <c r="C35" s="1502" t="s">
        <v>219</v>
      </c>
      <c r="D35" s="1503">
        <f>SUM(E35:FL35)</f>
        <v>0</v>
      </c>
      <c r="E35" s="1504">
        <f>E6*12%</f>
        <v>0</v>
      </c>
      <c r="F35" s="1504">
        <f>F6*12%</f>
        <v>0</v>
      </c>
      <c r="G35" s="1504">
        <f>G6*12%</f>
        <v>0</v>
      </c>
      <c r="H35" s="1504">
        <f>H6*12%</f>
        <v>0</v>
      </c>
      <c r="I35" s="1504">
        <f t="shared" ref="I35:BQ35" si="56">I6*12%</f>
        <v>0</v>
      </c>
      <c r="J35" s="1504">
        <f t="shared" si="56"/>
        <v>0</v>
      </c>
      <c r="K35" s="1504">
        <f t="shared" si="56"/>
        <v>0</v>
      </c>
      <c r="L35" s="1504">
        <f t="shared" si="56"/>
        <v>0</v>
      </c>
      <c r="M35" s="1504">
        <f t="shared" si="56"/>
        <v>0</v>
      </c>
      <c r="N35" s="1504">
        <f t="shared" si="56"/>
        <v>0</v>
      </c>
      <c r="O35" s="1504">
        <f t="shared" si="56"/>
        <v>0</v>
      </c>
      <c r="P35" s="1504">
        <f t="shared" si="56"/>
        <v>0</v>
      </c>
      <c r="Q35" s="1504">
        <f t="shared" si="56"/>
        <v>0</v>
      </c>
      <c r="R35" s="1504">
        <f t="shared" si="56"/>
        <v>0</v>
      </c>
      <c r="S35" s="1504">
        <f t="shared" si="56"/>
        <v>0</v>
      </c>
      <c r="T35" s="1504">
        <f t="shared" si="56"/>
        <v>0</v>
      </c>
      <c r="U35" s="1504">
        <f t="shared" si="56"/>
        <v>0</v>
      </c>
      <c r="V35" s="1504">
        <f t="shared" si="56"/>
        <v>0</v>
      </c>
      <c r="W35" s="1504">
        <f t="shared" si="56"/>
        <v>0</v>
      </c>
      <c r="X35" s="1504">
        <f t="shared" si="56"/>
        <v>0</v>
      </c>
      <c r="Y35" s="1504">
        <f t="shared" ref="Y35:AD35" si="57">Y6*12%</f>
        <v>0</v>
      </c>
      <c r="Z35" s="1504">
        <f t="shared" si="57"/>
        <v>0</v>
      </c>
      <c r="AA35" s="1504">
        <f t="shared" si="57"/>
        <v>0</v>
      </c>
      <c r="AB35" s="1504">
        <f t="shared" si="57"/>
        <v>0</v>
      </c>
      <c r="AC35" s="1504">
        <f t="shared" si="57"/>
        <v>0</v>
      </c>
      <c r="AD35" s="1504">
        <f t="shared" si="57"/>
        <v>0</v>
      </c>
      <c r="AE35" s="1504">
        <f t="shared" si="56"/>
        <v>0</v>
      </c>
      <c r="AF35" s="1504">
        <f t="shared" si="56"/>
        <v>0</v>
      </c>
      <c r="AG35" s="1504">
        <f t="shared" si="56"/>
        <v>0</v>
      </c>
      <c r="AH35" s="1504">
        <f t="shared" si="56"/>
        <v>0</v>
      </c>
      <c r="AI35" s="1504">
        <f t="shared" si="56"/>
        <v>0</v>
      </c>
      <c r="AJ35" s="1504">
        <f t="shared" si="56"/>
        <v>0</v>
      </c>
      <c r="AK35" s="1504">
        <f t="shared" si="56"/>
        <v>0</v>
      </c>
      <c r="AL35" s="1504">
        <f t="shared" si="56"/>
        <v>0</v>
      </c>
      <c r="AM35" s="1504">
        <f t="shared" si="56"/>
        <v>0</v>
      </c>
      <c r="AN35" s="1504">
        <f t="shared" si="56"/>
        <v>0</v>
      </c>
      <c r="AO35" s="1504">
        <f t="shared" si="56"/>
        <v>0</v>
      </c>
      <c r="AP35" s="1504">
        <f t="shared" si="56"/>
        <v>0</v>
      </c>
      <c r="AQ35" s="1504">
        <f t="shared" si="56"/>
        <v>0</v>
      </c>
      <c r="AR35" s="1504">
        <f t="shared" si="56"/>
        <v>0</v>
      </c>
      <c r="AS35" s="1504">
        <f t="shared" si="56"/>
        <v>0</v>
      </c>
      <c r="AT35" s="1504">
        <f t="shared" si="56"/>
        <v>0</v>
      </c>
      <c r="AU35" s="1504">
        <f t="shared" si="56"/>
        <v>0</v>
      </c>
      <c r="AV35" s="1504">
        <f t="shared" si="56"/>
        <v>0</v>
      </c>
      <c r="AW35" s="1504">
        <f t="shared" si="56"/>
        <v>0</v>
      </c>
      <c r="AX35" s="1504">
        <f t="shared" si="56"/>
        <v>0</v>
      </c>
      <c r="AY35" s="1504">
        <f t="shared" si="56"/>
        <v>0</v>
      </c>
      <c r="AZ35" s="1504">
        <f t="shared" si="56"/>
        <v>0</v>
      </c>
      <c r="BA35" s="1504">
        <f t="shared" si="56"/>
        <v>0</v>
      </c>
      <c r="BB35" s="1504">
        <f t="shared" si="56"/>
        <v>0</v>
      </c>
      <c r="BC35" s="1504">
        <f t="shared" si="56"/>
        <v>0</v>
      </c>
      <c r="BD35" s="1504">
        <f t="shared" si="56"/>
        <v>0</v>
      </c>
      <c r="BE35" s="1504">
        <f t="shared" si="56"/>
        <v>0</v>
      </c>
      <c r="BF35" s="1504">
        <f t="shared" si="56"/>
        <v>0</v>
      </c>
      <c r="BG35" s="1504">
        <f t="shared" si="56"/>
        <v>0</v>
      </c>
      <c r="BH35" s="1504">
        <f t="shared" si="56"/>
        <v>0</v>
      </c>
      <c r="BI35" s="1504">
        <f t="shared" si="56"/>
        <v>0</v>
      </c>
      <c r="BJ35" s="1504">
        <f t="shared" si="56"/>
        <v>0</v>
      </c>
      <c r="BK35" s="1504">
        <f t="shared" si="56"/>
        <v>0</v>
      </c>
      <c r="BL35" s="1504">
        <f t="shared" si="56"/>
        <v>0</v>
      </c>
      <c r="BM35" s="1504">
        <f t="shared" si="56"/>
        <v>0</v>
      </c>
      <c r="BN35" s="1504">
        <f t="shared" si="56"/>
        <v>0</v>
      </c>
      <c r="BO35" s="1504">
        <f t="shared" si="56"/>
        <v>0</v>
      </c>
      <c r="BP35" s="1504">
        <f t="shared" si="56"/>
        <v>0</v>
      </c>
      <c r="BQ35" s="1504">
        <f t="shared" si="56"/>
        <v>0</v>
      </c>
      <c r="BR35" s="1504">
        <f t="shared" ref="BR35:EC35" si="58">BR6*12%</f>
        <v>0</v>
      </c>
      <c r="BS35" s="1504">
        <f t="shared" si="58"/>
        <v>0</v>
      </c>
      <c r="BT35" s="1504">
        <f t="shared" si="58"/>
        <v>0</v>
      </c>
      <c r="BU35" s="1504">
        <f t="shared" si="58"/>
        <v>0</v>
      </c>
      <c r="BV35" s="1504">
        <f t="shared" si="58"/>
        <v>0</v>
      </c>
      <c r="BW35" s="1504">
        <f t="shared" si="58"/>
        <v>0</v>
      </c>
      <c r="BX35" s="1504">
        <f t="shared" si="58"/>
        <v>0</v>
      </c>
      <c r="BY35" s="1504">
        <f t="shared" si="58"/>
        <v>0</v>
      </c>
      <c r="BZ35" s="1504">
        <f t="shared" si="58"/>
        <v>0</v>
      </c>
      <c r="CA35" s="1504">
        <f t="shared" si="58"/>
        <v>0</v>
      </c>
      <c r="CB35" s="1504">
        <f t="shared" si="58"/>
        <v>0</v>
      </c>
      <c r="CC35" s="1504">
        <f t="shared" si="58"/>
        <v>0</v>
      </c>
      <c r="CD35" s="1504">
        <f t="shared" si="58"/>
        <v>0</v>
      </c>
      <c r="CE35" s="1504">
        <f t="shared" si="58"/>
        <v>0</v>
      </c>
      <c r="CF35" s="1504">
        <f t="shared" si="58"/>
        <v>0</v>
      </c>
      <c r="CG35" s="1504">
        <f t="shared" si="58"/>
        <v>0</v>
      </c>
      <c r="CH35" s="1504">
        <f t="shared" si="58"/>
        <v>0</v>
      </c>
      <c r="CI35" s="1504">
        <f t="shared" si="58"/>
        <v>0</v>
      </c>
      <c r="CJ35" s="1504">
        <f t="shared" si="58"/>
        <v>0</v>
      </c>
      <c r="CK35" s="1504">
        <f t="shared" si="58"/>
        <v>0</v>
      </c>
      <c r="CL35" s="1504">
        <f t="shared" si="58"/>
        <v>0</v>
      </c>
      <c r="CM35" s="1504">
        <f t="shared" si="58"/>
        <v>0</v>
      </c>
      <c r="CN35" s="1504">
        <f t="shared" si="58"/>
        <v>0</v>
      </c>
      <c r="CO35" s="1504">
        <f t="shared" si="58"/>
        <v>0</v>
      </c>
      <c r="CP35" s="1504">
        <f t="shared" si="58"/>
        <v>0</v>
      </c>
      <c r="CQ35" s="1504">
        <f t="shared" si="58"/>
        <v>0</v>
      </c>
      <c r="CR35" s="1504">
        <f t="shared" si="58"/>
        <v>0</v>
      </c>
      <c r="CS35" s="1504">
        <f t="shared" si="58"/>
        <v>0</v>
      </c>
      <c r="CT35" s="1504">
        <f t="shared" si="58"/>
        <v>0</v>
      </c>
      <c r="CU35" s="1504">
        <f t="shared" si="58"/>
        <v>0</v>
      </c>
      <c r="CV35" s="1504">
        <f t="shared" si="58"/>
        <v>0</v>
      </c>
      <c r="CW35" s="1504">
        <f t="shared" si="58"/>
        <v>0</v>
      </c>
      <c r="CX35" s="1504">
        <f t="shared" si="58"/>
        <v>0</v>
      </c>
      <c r="CY35" s="1504">
        <f t="shared" si="58"/>
        <v>0</v>
      </c>
      <c r="CZ35" s="1504">
        <f t="shared" si="58"/>
        <v>0</v>
      </c>
      <c r="DA35" s="1504">
        <f t="shared" si="58"/>
        <v>0</v>
      </c>
      <c r="DB35" s="1504">
        <f t="shared" si="58"/>
        <v>0</v>
      </c>
      <c r="DC35" s="1504">
        <f t="shared" si="58"/>
        <v>0</v>
      </c>
      <c r="DD35" s="1504">
        <f t="shared" si="58"/>
        <v>0</v>
      </c>
      <c r="DE35" s="1504">
        <f t="shared" si="58"/>
        <v>0</v>
      </c>
      <c r="DF35" s="1504">
        <f t="shared" si="58"/>
        <v>0</v>
      </c>
      <c r="DG35" s="1504">
        <f t="shared" si="58"/>
        <v>0</v>
      </c>
      <c r="DH35" s="1504">
        <f t="shared" si="58"/>
        <v>0</v>
      </c>
      <c r="DI35" s="1504">
        <f t="shared" si="58"/>
        <v>0</v>
      </c>
      <c r="DJ35" s="1504">
        <f t="shared" si="58"/>
        <v>0</v>
      </c>
      <c r="DK35" s="1504">
        <f t="shared" si="58"/>
        <v>0</v>
      </c>
      <c r="DL35" s="1504">
        <f t="shared" si="58"/>
        <v>0</v>
      </c>
      <c r="DM35" s="1504">
        <f t="shared" si="58"/>
        <v>0</v>
      </c>
      <c r="DN35" s="1504">
        <f t="shared" si="58"/>
        <v>0</v>
      </c>
      <c r="DO35" s="1504">
        <f t="shared" si="58"/>
        <v>0</v>
      </c>
      <c r="DP35" s="1504">
        <f t="shared" si="58"/>
        <v>0</v>
      </c>
      <c r="DQ35" s="1504">
        <f t="shared" si="58"/>
        <v>0</v>
      </c>
      <c r="DR35" s="1504">
        <f t="shared" si="58"/>
        <v>0</v>
      </c>
      <c r="DS35" s="1504">
        <f t="shared" si="58"/>
        <v>0</v>
      </c>
      <c r="DT35" s="1504">
        <f t="shared" si="58"/>
        <v>0</v>
      </c>
      <c r="DU35" s="1504">
        <f t="shared" si="58"/>
        <v>0</v>
      </c>
      <c r="DV35" s="1504">
        <f t="shared" si="58"/>
        <v>0</v>
      </c>
      <c r="DW35" s="1504">
        <f t="shared" si="58"/>
        <v>0</v>
      </c>
      <c r="DX35" s="1504">
        <f t="shared" si="58"/>
        <v>0</v>
      </c>
      <c r="DY35" s="1504">
        <f t="shared" si="58"/>
        <v>0</v>
      </c>
      <c r="DZ35" s="1504">
        <f t="shared" si="58"/>
        <v>0</v>
      </c>
      <c r="EA35" s="1504">
        <f t="shared" si="58"/>
        <v>0</v>
      </c>
      <c r="EB35" s="1504">
        <f t="shared" si="58"/>
        <v>0</v>
      </c>
      <c r="EC35" s="1504">
        <f t="shared" si="58"/>
        <v>0</v>
      </c>
      <c r="ED35" s="1504">
        <f t="shared" ref="ED35:FH35" si="59">ED6*12%</f>
        <v>0</v>
      </c>
      <c r="EE35" s="1504">
        <f t="shared" si="59"/>
        <v>0</v>
      </c>
      <c r="EF35" s="1504">
        <f t="shared" si="59"/>
        <v>0</v>
      </c>
      <c r="EG35" s="1504">
        <f t="shared" si="59"/>
        <v>0</v>
      </c>
      <c r="EH35" s="1504">
        <f t="shared" si="59"/>
        <v>0</v>
      </c>
      <c r="EI35" s="1504">
        <f t="shared" si="59"/>
        <v>0</v>
      </c>
      <c r="EJ35" s="1504">
        <f t="shared" si="59"/>
        <v>0</v>
      </c>
      <c r="EK35" s="1504">
        <f t="shared" si="59"/>
        <v>0</v>
      </c>
      <c r="EL35" s="1504">
        <f t="shared" si="59"/>
        <v>0</v>
      </c>
      <c r="EM35" s="1504">
        <f t="shared" si="59"/>
        <v>0</v>
      </c>
      <c r="EN35" s="1504">
        <f t="shared" si="59"/>
        <v>0</v>
      </c>
      <c r="EO35" s="1504">
        <f t="shared" si="59"/>
        <v>0</v>
      </c>
      <c r="EP35" s="1504">
        <f t="shared" si="59"/>
        <v>0</v>
      </c>
      <c r="EQ35" s="1504">
        <f t="shared" si="59"/>
        <v>0</v>
      </c>
      <c r="ER35" s="1504">
        <f t="shared" si="59"/>
        <v>0</v>
      </c>
      <c r="ES35" s="1504">
        <f t="shared" si="59"/>
        <v>0</v>
      </c>
      <c r="ET35" s="1504">
        <f t="shared" si="59"/>
        <v>0</v>
      </c>
      <c r="EU35" s="1504">
        <f t="shared" si="59"/>
        <v>0</v>
      </c>
      <c r="EV35" s="1504">
        <f t="shared" si="59"/>
        <v>0</v>
      </c>
      <c r="EW35" s="1504">
        <f t="shared" si="59"/>
        <v>0</v>
      </c>
      <c r="EX35" s="1504">
        <f t="shared" si="59"/>
        <v>0</v>
      </c>
      <c r="EY35" s="1504">
        <f t="shared" si="59"/>
        <v>0</v>
      </c>
      <c r="EZ35" s="1504">
        <f t="shared" si="59"/>
        <v>0</v>
      </c>
      <c r="FA35" s="1504">
        <f t="shared" si="59"/>
        <v>0</v>
      </c>
      <c r="FB35" s="1504">
        <f t="shared" si="59"/>
        <v>0</v>
      </c>
      <c r="FC35" s="1504">
        <f t="shared" si="59"/>
        <v>0</v>
      </c>
      <c r="FD35" s="1504">
        <f t="shared" si="59"/>
        <v>0</v>
      </c>
      <c r="FE35" s="1504">
        <f t="shared" si="59"/>
        <v>0</v>
      </c>
      <c r="FF35" s="1504">
        <f t="shared" si="59"/>
        <v>0</v>
      </c>
      <c r="FG35" s="1504">
        <f t="shared" si="59"/>
        <v>0</v>
      </c>
      <c r="FH35" s="1540">
        <f t="shared" si="59"/>
        <v>0</v>
      </c>
      <c r="FI35" s="1541"/>
      <c r="FJ35" s="1541"/>
      <c r="FK35" s="1541"/>
      <c r="FL35" s="1542"/>
      <c r="FM35" s="1553"/>
    </row>
    <row r="36" spans="1:169">
      <c r="A36" s="1739"/>
      <c r="B36" s="1744"/>
      <c r="C36" s="1485" t="s">
        <v>220</v>
      </c>
      <c r="D36" s="1486">
        <f>SUM(E36:FH36)</f>
        <v>0</v>
      </c>
      <c r="E36" s="1490">
        <f>E16*0.1%</f>
        <v>0</v>
      </c>
      <c r="F36" s="1490">
        <f>F16*0.1%</f>
        <v>0</v>
      </c>
      <c r="G36" s="1490">
        <f>G16*0.1%</f>
        <v>0</v>
      </c>
      <c r="H36" s="1490">
        <f t="shared" ref="H36:BQ36" si="60">H16*0.1%</f>
        <v>0</v>
      </c>
      <c r="I36" s="1490">
        <f t="shared" si="60"/>
        <v>0</v>
      </c>
      <c r="J36" s="1490">
        <f t="shared" si="60"/>
        <v>0</v>
      </c>
      <c r="K36" s="1490">
        <f t="shared" si="60"/>
        <v>0</v>
      </c>
      <c r="L36" s="1490">
        <f t="shared" si="60"/>
        <v>0</v>
      </c>
      <c r="M36" s="1490">
        <f t="shared" si="60"/>
        <v>0</v>
      </c>
      <c r="N36" s="1490">
        <f t="shared" si="60"/>
        <v>0</v>
      </c>
      <c r="O36" s="1490">
        <f t="shared" si="60"/>
        <v>0</v>
      </c>
      <c r="P36" s="1490">
        <f t="shared" si="60"/>
        <v>0</v>
      </c>
      <c r="Q36" s="1490">
        <f t="shared" si="60"/>
        <v>0</v>
      </c>
      <c r="R36" s="1490">
        <f t="shared" si="60"/>
        <v>0</v>
      </c>
      <c r="S36" s="1490">
        <f t="shared" si="60"/>
        <v>0</v>
      </c>
      <c r="T36" s="1490">
        <f t="shared" si="60"/>
        <v>0</v>
      </c>
      <c r="U36" s="1490">
        <f t="shared" si="60"/>
        <v>0</v>
      </c>
      <c r="V36" s="1490">
        <f t="shared" si="60"/>
        <v>0</v>
      </c>
      <c r="W36" s="1490">
        <f t="shared" si="60"/>
        <v>0</v>
      </c>
      <c r="X36" s="1490">
        <f t="shared" si="60"/>
        <v>0</v>
      </c>
      <c r="Y36" s="1490">
        <f t="shared" si="60"/>
        <v>0</v>
      </c>
      <c r="Z36" s="1490">
        <f t="shared" si="60"/>
        <v>0</v>
      </c>
      <c r="AA36" s="1490">
        <f t="shared" si="60"/>
        <v>0</v>
      </c>
      <c r="AB36" s="1490">
        <f t="shared" si="60"/>
        <v>0</v>
      </c>
      <c r="AC36" s="1490">
        <f t="shared" si="60"/>
        <v>0</v>
      </c>
      <c r="AD36" s="1490">
        <f t="shared" si="60"/>
        <v>0</v>
      </c>
      <c r="AE36" s="1490">
        <f t="shared" si="60"/>
        <v>0</v>
      </c>
      <c r="AF36" s="1490">
        <f t="shared" si="60"/>
        <v>0</v>
      </c>
      <c r="AG36" s="1490">
        <f t="shared" si="60"/>
        <v>0</v>
      </c>
      <c r="AH36" s="1490">
        <f t="shared" si="60"/>
        <v>0</v>
      </c>
      <c r="AI36" s="1490">
        <f t="shared" si="60"/>
        <v>0</v>
      </c>
      <c r="AJ36" s="1490">
        <f t="shared" si="60"/>
        <v>0</v>
      </c>
      <c r="AK36" s="1490">
        <f t="shared" si="60"/>
        <v>0</v>
      </c>
      <c r="AL36" s="1490">
        <f t="shared" si="60"/>
        <v>0</v>
      </c>
      <c r="AM36" s="1490">
        <f t="shared" si="60"/>
        <v>0</v>
      </c>
      <c r="AN36" s="1490">
        <f t="shared" si="60"/>
        <v>0</v>
      </c>
      <c r="AO36" s="1490">
        <f t="shared" si="60"/>
        <v>0</v>
      </c>
      <c r="AP36" s="1490">
        <f t="shared" si="60"/>
        <v>0</v>
      </c>
      <c r="AQ36" s="1490">
        <f t="shared" si="60"/>
        <v>0</v>
      </c>
      <c r="AR36" s="1490">
        <f t="shared" si="60"/>
        <v>0</v>
      </c>
      <c r="AS36" s="1490">
        <f t="shared" si="60"/>
        <v>0</v>
      </c>
      <c r="AT36" s="1490">
        <f t="shared" si="60"/>
        <v>0</v>
      </c>
      <c r="AU36" s="1490">
        <f t="shared" si="60"/>
        <v>0</v>
      </c>
      <c r="AV36" s="1490">
        <f t="shared" si="60"/>
        <v>0</v>
      </c>
      <c r="AW36" s="1490">
        <f t="shared" si="60"/>
        <v>0</v>
      </c>
      <c r="AX36" s="1490">
        <f t="shared" si="60"/>
        <v>0</v>
      </c>
      <c r="AY36" s="1490">
        <f t="shared" si="60"/>
        <v>0</v>
      </c>
      <c r="AZ36" s="1490">
        <f t="shared" si="60"/>
        <v>0</v>
      </c>
      <c r="BA36" s="1490">
        <f t="shared" si="60"/>
        <v>0</v>
      </c>
      <c r="BB36" s="1490">
        <f t="shared" si="60"/>
        <v>0</v>
      </c>
      <c r="BC36" s="1490">
        <f t="shared" si="60"/>
        <v>0</v>
      </c>
      <c r="BD36" s="1490">
        <f t="shared" si="60"/>
        <v>0</v>
      </c>
      <c r="BE36" s="1490">
        <f t="shared" si="60"/>
        <v>0</v>
      </c>
      <c r="BF36" s="1490">
        <f t="shared" si="60"/>
        <v>0</v>
      </c>
      <c r="BG36" s="1490">
        <f t="shared" si="60"/>
        <v>0</v>
      </c>
      <c r="BH36" s="1490">
        <f t="shared" si="60"/>
        <v>0</v>
      </c>
      <c r="BI36" s="1490">
        <f t="shared" si="60"/>
        <v>0</v>
      </c>
      <c r="BJ36" s="1490">
        <f t="shared" si="60"/>
        <v>0</v>
      </c>
      <c r="BK36" s="1490">
        <f t="shared" si="60"/>
        <v>0</v>
      </c>
      <c r="BL36" s="1490">
        <f t="shared" si="60"/>
        <v>0</v>
      </c>
      <c r="BM36" s="1490">
        <f t="shared" si="60"/>
        <v>0</v>
      </c>
      <c r="BN36" s="1490">
        <f t="shared" si="60"/>
        <v>0</v>
      </c>
      <c r="BO36" s="1490">
        <f t="shared" si="60"/>
        <v>0</v>
      </c>
      <c r="BP36" s="1490">
        <f t="shared" si="60"/>
        <v>0</v>
      </c>
      <c r="BQ36" s="1490">
        <f t="shared" si="60"/>
        <v>0</v>
      </c>
      <c r="BR36" s="1490">
        <f t="shared" ref="BR36:EC36" si="61">BR16*0.1%</f>
        <v>0</v>
      </c>
      <c r="BS36" s="1490">
        <f t="shared" si="61"/>
        <v>0</v>
      </c>
      <c r="BT36" s="1490">
        <f t="shared" si="61"/>
        <v>0</v>
      </c>
      <c r="BU36" s="1490">
        <f t="shared" si="61"/>
        <v>0</v>
      </c>
      <c r="BV36" s="1490">
        <f t="shared" si="61"/>
        <v>0</v>
      </c>
      <c r="BW36" s="1490">
        <f t="shared" si="61"/>
        <v>0</v>
      </c>
      <c r="BX36" s="1490">
        <f t="shared" si="61"/>
        <v>0</v>
      </c>
      <c r="BY36" s="1490">
        <f t="shared" si="61"/>
        <v>0</v>
      </c>
      <c r="BZ36" s="1490">
        <f t="shared" si="61"/>
        <v>0</v>
      </c>
      <c r="CA36" s="1490">
        <f t="shared" si="61"/>
        <v>0</v>
      </c>
      <c r="CB36" s="1490">
        <f t="shared" si="61"/>
        <v>0</v>
      </c>
      <c r="CC36" s="1490">
        <f t="shared" si="61"/>
        <v>0</v>
      </c>
      <c r="CD36" s="1490">
        <f t="shared" si="61"/>
        <v>0</v>
      </c>
      <c r="CE36" s="1490">
        <f t="shared" si="61"/>
        <v>0</v>
      </c>
      <c r="CF36" s="1490">
        <f t="shared" si="61"/>
        <v>0</v>
      </c>
      <c r="CG36" s="1490">
        <f t="shared" si="61"/>
        <v>0</v>
      </c>
      <c r="CH36" s="1490">
        <f t="shared" si="61"/>
        <v>0</v>
      </c>
      <c r="CI36" s="1490">
        <f t="shared" si="61"/>
        <v>0</v>
      </c>
      <c r="CJ36" s="1490">
        <f t="shared" si="61"/>
        <v>0</v>
      </c>
      <c r="CK36" s="1490">
        <f t="shared" si="61"/>
        <v>0</v>
      </c>
      <c r="CL36" s="1490">
        <f t="shared" si="61"/>
        <v>0</v>
      </c>
      <c r="CM36" s="1490">
        <f t="shared" si="61"/>
        <v>0</v>
      </c>
      <c r="CN36" s="1490">
        <f t="shared" si="61"/>
        <v>0</v>
      </c>
      <c r="CO36" s="1490">
        <f t="shared" si="61"/>
        <v>0</v>
      </c>
      <c r="CP36" s="1490">
        <f t="shared" si="61"/>
        <v>0</v>
      </c>
      <c r="CQ36" s="1490">
        <f t="shared" si="61"/>
        <v>0</v>
      </c>
      <c r="CR36" s="1490">
        <f t="shared" si="61"/>
        <v>0</v>
      </c>
      <c r="CS36" s="1490">
        <f t="shared" si="61"/>
        <v>0</v>
      </c>
      <c r="CT36" s="1490">
        <f t="shared" si="61"/>
        <v>0</v>
      </c>
      <c r="CU36" s="1490">
        <f t="shared" si="61"/>
        <v>0</v>
      </c>
      <c r="CV36" s="1490">
        <f t="shared" si="61"/>
        <v>0</v>
      </c>
      <c r="CW36" s="1490">
        <f t="shared" si="61"/>
        <v>0</v>
      </c>
      <c r="CX36" s="1490">
        <f t="shared" si="61"/>
        <v>0</v>
      </c>
      <c r="CY36" s="1490">
        <f t="shared" si="61"/>
        <v>0</v>
      </c>
      <c r="CZ36" s="1490">
        <f t="shared" si="61"/>
        <v>0</v>
      </c>
      <c r="DA36" s="1490">
        <f t="shared" si="61"/>
        <v>0</v>
      </c>
      <c r="DB36" s="1490">
        <f t="shared" si="61"/>
        <v>0</v>
      </c>
      <c r="DC36" s="1490">
        <f t="shared" si="61"/>
        <v>0</v>
      </c>
      <c r="DD36" s="1490">
        <f t="shared" si="61"/>
        <v>0</v>
      </c>
      <c r="DE36" s="1490">
        <f t="shared" si="61"/>
        <v>0</v>
      </c>
      <c r="DF36" s="1490">
        <f t="shared" si="61"/>
        <v>0</v>
      </c>
      <c r="DG36" s="1490">
        <f t="shared" si="61"/>
        <v>0</v>
      </c>
      <c r="DH36" s="1490">
        <f t="shared" si="61"/>
        <v>0</v>
      </c>
      <c r="DI36" s="1490">
        <f t="shared" si="61"/>
        <v>0</v>
      </c>
      <c r="DJ36" s="1490">
        <f t="shared" si="61"/>
        <v>0</v>
      </c>
      <c r="DK36" s="1490">
        <f t="shared" si="61"/>
        <v>0</v>
      </c>
      <c r="DL36" s="1490">
        <f t="shared" si="61"/>
        <v>0</v>
      </c>
      <c r="DM36" s="1490">
        <f t="shared" si="61"/>
        <v>0</v>
      </c>
      <c r="DN36" s="1490">
        <f t="shared" si="61"/>
        <v>0</v>
      </c>
      <c r="DO36" s="1490">
        <f t="shared" si="61"/>
        <v>0</v>
      </c>
      <c r="DP36" s="1490">
        <f t="shared" si="61"/>
        <v>0</v>
      </c>
      <c r="DQ36" s="1490">
        <f t="shared" si="61"/>
        <v>0</v>
      </c>
      <c r="DR36" s="1490">
        <f t="shared" si="61"/>
        <v>0</v>
      </c>
      <c r="DS36" s="1490">
        <f t="shared" si="61"/>
        <v>0</v>
      </c>
      <c r="DT36" s="1490">
        <f t="shared" si="61"/>
        <v>0</v>
      </c>
      <c r="DU36" s="1490">
        <f t="shared" si="61"/>
        <v>0</v>
      </c>
      <c r="DV36" s="1490">
        <f t="shared" si="61"/>
        <v>0</v>
      </c>
      <c r="DW36" s="1490">
        <f t="shared" si="61"/>
        <v>0</v>
      </c>
      <c r="DX36" s="1490">
        <f t="shared" si="61"/>
        <v>0</v>
      </c>
      <c r="DY36" s="1490">
        <f t="shared" si="61"/>
        <v>0</v>
      </c>
      <c r="DZ36" s="1490">
        <f t="shared" si="61"/>
        <v>0</v>
      </c>
      <c r="EA36" s="1490">
        <f t="shared" si="61"/>
        <v>0</v>
      </c>
      <c r="EB36" s="1490">
        <f t="shared" si="61"/>
        <v>0</v>
      </c>
      <c r="EC36" s="1490">
        <f t="shared" si="61"/>
        <v>0</v>
      </c>
      <c r="ED36" s="1490">
        <f t="shared" ref="ED36:FH36" si="62">ED16*0.1%</f>
        <v>0</v>
      </c>
      <c r="EE36" s="1490">
        <f t="shared" si="62"/>
        <v>0</v>
      </c>
      <c r="EF36" s="1490">
        <f t="shared" si="62"/>
        <v>0</v>
      </c>
      <c r="EG36" s="1490">
        <f t="shared" si="62"/>
        <v>0</v>
      </c>
      <c r="EH36" s="1490">
        <f t="shared" si="62"/>
        <v>0</v>
      </c>
      <c r="EI36" s="1490">
        <f t="shared" si="62"/>
        <v>0</v>
      </c>
      <c r="EJ36" s="1490">
        <f t="shared" si="62"/>
        <v>0</v>
      </c>
      <c r="EK36" s="1490">
        <f t="shared" si="62"/>
        <v>0</v>
      </c>
      <c r="EL36" s="1490">
        <f t="shared" si="62"/>
        <v>0</v>
      </c>
      <c r="EM36" s="1490">
        <f t="shared" si="62"/>
        <v>0</v>
      </c>
      <c r="EN36" s="1490">
        <f t="shared" si="62"/>
        <v>0</v>
      </c>
      <c r="EO36" s="1490">
        <f t="shared" si="62"/>
        <v>0</v>
      </c>
      <c r="EP36" s="1490">
        <f t="shared" si="62"/>
        <v>0</v>
      </c>
      <c r="EQ36" s="1490">
        <f t="shared" si="62"/>
        <v>0</v>
      </c>
      <c r="ER36" s="1490">
        <f t="shared" si="62"/>
        <v>0</v>
      </c>
      <c r="ES36" s="1490">
        <f t="shared" si="62"/>
        <v>0</v>
      </c>
      <c r="ET36" s="1490">
        <f t="shared" si="62"/>
        <v>0</v>
      </c>
      <c r="EU36" s="1490">
        <f t="shared" si="62"/>
        <v>0</v>
      </c>
      <c r="EV36" s="1490">
        <f t="shared" si="62"/>
        <v>0</v>
      </c>
      <c r="EW36" s="1490">
        <f t="shared" si="62"/>
        <v>0</v>
      </c>
      <c r="EX36" s="1490">
        <f t="shared" si="62"/>
        <v>0</v>
      </c>
      <c r="EY36" s="1490">
        <f t="shared" si="62"/>
        <v>0</v>
      </c>
      <c r="EZ36" s="1490">
        <f t="shared" si="62"/>
        <v>0</v>
      </c>
      <c r="FA36" s="1490">
        <f t="shared" si="62"/>
        <v>0</v>
      </c>
      <c r="FB36" s="1490">
        <f t="shared" si="62"/>
        <v>0</v>
      </c>
      <c r="FC36" s="1490">
        <f t="shared" si="62"/>
        <v>0</v>
      </c>
      <c r="FD36" s="1490">
        <f t="shared" si="62"/>
        <v>0</v>
      </c>
      <c r="FE36" s="1490">
        <f t="shared" si="62"/>
        <v>0</v>
      </c>
      <c r="FF36" s="1490">
        <f t="shared" si="62"/>
        <v>0</v>
      </c>
      <c r="FG36" s="1490">
        <f t="shared" si="62"/>
        <v>0</v>
      </c>
      <c r="FH36" s="1494">
        <f t="shared" si="62"/>
        <v>0</v>
      </c>
      <c r="FI36" s="1509"/>
      <c r="FJ36" s="1509"/>
      <c r="FK36" s="1509"/>
      <c r="FL36" s="1536"/>
      <c r="FM36" s="1553"/>
    </row>
    <row r="37" spans="1:169">
      <c r="A37" s="1739"/>
      <c r="B37" s="1744"/>
      <c r="C37" s="1499" t="s">
        <v>221</v>
      </c>
      <c r="D37" s="1486">
        <f>D28+D34+D35+D36</f>
        <v>0</v>
      </c>
      <c r="E37" s="1490">
        <f>E28+E34+E35+E36</f>
        <v>0</v>
      </c>
      <c r="F37" s="1490">
        <f t="shared" ref="F37:BQ37" si="63">F28+F34+F35+F36</f>
        <v>0</v>
      </c>
      <c r="G37" s="1490">
        <f t="shared" si="63"/>
        <v>0</v>
      </c>
      <c r="H37" s="1490">
        <f t="shared" si="63"/>
        <v>0</v>
      </c>
      <c r="I37" s="1490">
        <f t="shared" si="63"/>
        <v>0</v>
      </c>
      <c r="J37" s="1490">
        <f t="shared" si="63"/>
        <v>0</v>
      </c>
      <c r="K37" s="1490">
        <f t="shared" si="63"/>
        <v>0</v>
      </c>
      <c r="L37" s="1490">
        <f t="shared" si="63"/>
        <v>0</v>
      </c>
      <c r="M37" s="1490">
        <f t="shared" si="63"/>
        <v>0</v>
      </c>
      <c r="N37" s="1490">
        <f t="shared" si="63"/>
        <v>0</v>
      </c>
      <c r="O37" s="1490">
        <f t="shared" si="63"/>
        <v>0</v>
      </c>
      <c r="P37" s="1490">
        <f t="shared" si="63"/>
        <v>0</v>
      </c>
      <c r="Q37" s="1490">
        <f t="shared" si="63"/>
        <v>0</v>
      </c>
      <c r="R37" s="1490">
        <f t="shared" si="63"/>
        <v>0</v>
      </c>
      <c r="S37" s="1490">
        <f t="shared" si="63"/>
        <v>0</v>
      </c>
      <c r="T37" s="1490">
        <f t="shared" si="63"/>
        <v>0</v>
      </c>
      <c r="U37" s="1490">
        <f t="shared" si="63"/>
        <v>0</v>
      </c>
      <c r="V37" s="1490">
        <f t="shared" si="63"/>
        <v>0</v>
      </c>
      <c r="W37" s="1490">
        <f t="shared" si="63"/>
        <v>0</v>
      </c>
      <c r="X37" s="1490">
        <f t="shared" si="63"/>
        <v>0</v>
      </c>
      <c r="Y37" s="1490">
        <f t="shared" si="63"/>
        <v>0</v>
      </c>
      <c r="Z37" s="1490">
        <f t="shared" si="63"/>
        <v>0</v>
      </c>
      <c r="AA37" s="1490">
        <f t="shared" si="63"/>
        <v>0</v>
      </c>
      <c r="AB37" s="1490">
        <f t="shared" si="63"/>
        <v>0</v>
      </c>
      <c r="AC37" s="1490">
        <f t="shared" si="63"/>
        <v>0</v>
      </c>
      <c r="AD37" s="1490">
        <f t="shared" si="63"/>
        <v>0</v>
      </c>
      <c r="AE37" s="1490">
        <f t="shared" si="63"/>
        <v>0</v>
      </c>
      <c r="AF37" s="1490">
        <f t="shared" si="63"/>
        <v>0</v>
      </c>
      <c r="AG37" s="1490">
        <f t="shared" si="63"/>
        <v>0</v>
      </c>
      <c r="AH37" s="1490">
        <f t="shared" si="63"/>
        <v>0</v>
      </c>
      <c r="AI37" s="1490">
        <f t="shared" si="63"/>
        <v>0</v>
      </c>
      <c r="AJ37" s="1490">
        <f t="shared" si="63"/>
        <v>0</v>
      </c>
      <c r="AK37" s="1490">
        <f t="shared" si="63"/>
        <v>0</v>
      </c>
      <c r="AL37" s="1490">
        <f t="shared" si="63"/>
        <v>0</v>
      </c>
      <c r="AM37" s="1490">
        <f t="shared" si="63"/>
        <v>0</v>
      </c>
      <c r="AN37" s="1490">
        <f t="shared" si="63"/>
        <v>0</v>
      </c>
      <c r="AO37" s="1490">
        <f t="shared" si="63"/>
        <v>0</v>
      </c>
      <c r="AP37" s="1490">
        <f t="shared" si="63"/>
        <v>0</v>
      </c>
      <c r="AQ37" s="1490">
        <f t="shared" si="63"/>
        <v>0</v>
      </c>
      <c r="AR37" s="1490">
        <f t="shared" si="63"/>
        <v>0</v>
      </c>
      <c r="AS37" s="1490">
        <f t="shared" si="63"/>
        <v>0</v>
      </c>
      <c r="AT37" s="1490">
        <f t="shared" si="63"/>
        <v>0</v>
      </c>
      <c r="AU37" s="1490">
        <f t="shared" si="63"/>
        <v>0</v>
      </c>
      <c r="AV37" s="1490">
        <f t="shared" si="63"/>
        <v>0</v>
      </c>
      <c r="AW37" s="1490">
        <f t="shared" si="63"/>
        <v>0</v>
      </c>
      <c r="AX37" s="1490">
        <f t="shared" si="63"/>
        <v>0</v>
      </c>
      <c r="AY37" s="1490">
        <f t="shared" si="63"/>
        <v>0</v>
      </c>
      <c r="AZ37" s="1490">
        <f t="shared" si="63"/>
        <v>0</v>
      </c>
      <c r="BA37" s="1490">
        <f t="shared" si="63"/>
        <v>0</v>
      </c>
      <c r="BB37" s="1490">
        <f t="shared" si="63"/>
        <v>0</v>
      </c>
      <c r="BC37" s="1490">
        <f t="shared" si="63"/>
        <v>0</v>
      </c>
      <c r="BD37" s="1490">
        <f t="shared" si="63"/>
        <v>0</v>
      </c>
      <c r="BE37" s="1490">
        <f t="shared" si="63"/>
        <v>0</v>
      </c>
      <c r="BF37" s="1490">
        <f t="shared" si="63"/>
        <v>0</v>
      </c>
      <c r="BG37" s="1490">
        <f t="shared" si="63"/>
        <v>0</v>
      </c>
      <c r="BH37" s="1490">
        <f t="shared" si="63"/>
        <v>0</v>
      </c>
      <c r="BI37" s="1490">
        <f t="shared" si="63"/>
        <v>0</v>
      </c>
      <c r="BJ37" s="1490">
        <f t="shared" si="63"/>
        <v>0</v>
      </c>
      <c r="BK37" s="1490">
        <f t="shared" si="63"/>
        <v>0</v>
      </c>
      <c r="BL37" s="1490">
        <f t="shared" si="63"/>
        <v>0</v>
      </c>
      <c r="BM37" s="1490">
        <f t="shared" si="63"/>
        <v>0</v>
      </c>
      <c r="BN37" s="1490">
        <f t="shared" si="63"/>
        <v>0</v>
      </c>
      <c r="BO37" s="1490">
        <f t="shared" si="63"/>
        <v>0</v>
      </c>
      <c r="BP37" s="1490">
        <f t="shared" si="63"/>
        <v>0</v>
      </c>
      <c r="BQ37" s="1490">
        <f t="shared" si="63"/>
        <v>0</v>
      </c>
      <c r="BR37" s="1490">
        <f t="shared" ref="BR37:EC37" si="64">BR28+BR34+BR35+BR36</f>
        <v>0</v>
      </c>
      <c r="BS37" s="1490">
        <f t="shared" si="64"/>
        <v>0</v>
      </c>
      <c r="BT37" s="1490">
        <f t="shared" si="64"/>
        <v>0</v>
      </c>
      <c r="BU37" s="1490">
        <f t="shared" si="64"/>
        <v>0</v>
      </c>
      <c r="BV37" s="1490">
        <f t="shared" si="64"/>
        <v>0</v>
      </c>
      <c r="BW37" s="1490">
        <f t="shared" si="64"/>
        <v>0</v>
      </c>
      <c r="BX37" s="1490">
        <f t="shared" si="64"/>
        <v>0</v>
      </c>
      <c r="BY37" s="1490">
        <f t="shared" si="64"/>
        <v>0</v>
      </c>
      <c r="BZ37" s="1490">
        <f t="shared" si="64"/>
        <v>0</v>
      </c>
      <c r="CA37" s="1490">
        <f t="shared" si="64"/>
        <v>0</v>
      </c>
      <c r="CB37" s="1490">
        <f t="shared" si="64"/>
        <v>0</v>
      </c>
      <c r="CC37" s="1490">
        <f t="shared" si="64"/>
        <v>0</v>
      </c>
      <c r="CD37" s="1490">
        <f t="shared" si="64"/>
        <v>0</v>
      </c>
      <c r="CE37" s="1490">
        <f t="shared" si="64"/>
        <v>0</v>
      </c>
      <c r="CF37" s="1490">
        <f t="shared" si="64"/>
        <v>0</v>
      </c>
      <c r="CG37" s="1490">
        <f t="shared" si="64"/>
        <v>0</v>
      </c>
      <c r="CH37" s="1490">
        <f t="shared" si="64"/>
        <v>0</v>
      </c>
      <c r="CI37" s="1490">
        <f t="shared" si="64"/>
        <v>0</v>
      </c>
      <c r="CJ37" s="1490">
        <f t="shared" si="64"/>
        <v>0</v>
      </c>
      <c r="CK37" s="1490">
        <f t="shared" si="64"/>
        <v>0</v>
      </c>
      <c r="CL37" s="1490">
        <f t="shared" si="64"/>
        <v>0</v>
      </c>
      <c r="CM37" s="1490">
        <f t="shared" si="64"/>
        <v>0</v>
      </c>
      <c r="CN37" s="1490">
        <f t="shared" si="64"/>
        <v>0</v>
      </c>
      <c r="CO37" s="1490">
        <f t="shared" si="64"/>
        <v>0</v>
      </c>
      <c r="CP37" s="1490">
        <f t="shared" si="64"/>
        <v>0</v>
      </c>
      <c r="CQ37" s="1490">
        <f t="shared" si="64"/>
        <v>0</v>
      </c>
      <c r="CR37" s="1490">
        <f t="shared" si="64"/>
        <v>0</v>
      </c>
      <c r="CS37" s="1490">
        <f t="shared" si="64"/>
        <v>0</v>
      </c>
      <c r="CT37" s="1490">
        <f t="shared" si="64"/>
        <v>0</v>
      </c>
      <c r="CU37" s="1490">
        <f t="shared" si="64"/>
        <v>0</v>
      </c>
      <c r="CV37" s="1490">
        <f t="shared" si="64"/>
        <v>0</v>
      </c>
      <c r="CW37" s="1490">
        <f t="shared" si="64"/>
        <v>0</v>
      </c>
      <c r="CX37" s="1490">
        <f t="shared" si="64"/>
        <v>0</v>
      </c>
      <c r="CY37" s="1490">
        <f t="shared" si="64"/>
        <v>0</v>
      </c>
      <c r="CZ37" s="1490">
        <f t="shared" si="64"/>
        <v>0</v>
      </c>
      <c r="DA37" s="1490">
        <f t="shared" si="64"/>
        <v>0</v>
      </c>
      <c r="DB37" s="1490">
        <f t="shared" si="64"/>
        <v>0</v>
      </c>
      <c r="DC37" s="1490">
        <f t="shared" si="64"/>
        <v>0</v>
      </c>
      <c r="DD37" s="1490">
        <f t="shared" si="64"/>
        <v>0</v>
      </c>
      <c r="DE37" s="1490">
        <f t="shared" si="64"/>
        <v>0</v>
      </c>
      <c r="DF37" s="1490">
        <f t="shared" si="64"/>
        <v>0</v>
      </c>
      <c r="DG37" s="1490">
        <f t="shared" si="64"/>
        <v>0</v>
      </c>
      <c r="DH37" s="1490">
        <f t="shared" si="64"/>
        <v>0</v>
      </c>
      <c r="DI37" s="1490">
        <f t="shared" si="64"/>
        <v>0</v>
      </c>
      <c r="DJ37" s="1490">
        <f t="shared" si="64"/>
        <v>0</v>
      </c>
      <c r="DK37" s="1490">
        <f t="shared" si="64"/>
        <v>0</v>
      </c>
      <c r="DL37" s="1490">
        <f t="shared" si="64"/>
        <v>0</v>
      </c>
      <c r="DM37" s="1490">
        <f t="shared" si="64"/>
        <v>0</v>
      </c>
      <c r="DN37" s="1490">
        <f t="shared" si="64"/>
        <v>0</v>
      </c>
      <c r="DO37" s="1490">
        <f t="shared" si="64"/>
        <v>0</v>
      </c>
      <c r="DP37" s="1490">
        <f t="shared" si="64"/>
        <v>0</v>
      </c>
      <c r="DQ37" s="1490">
        <f t="shared" si="64"/>
        <v>0</v>
      </c>
      <c r="DR37" s="1490">
        <f t="shared" si="64"/>
        <v>0</v>
      </c>
      <c r="DS37" s="1490">
        <f t="shared" si="64"/>
        <v>0</v>
      </c>
      <c r="DT37" s="1490">
        <f t="shared" si="64"/>
        <v>0</v>
      </c>
      <c r="DU37" s="1490">
        <f t="shared" si="64"/>
        <v>0</v>
      </c>
      <c r="DV37" s="1490">
        <f t="shared" si="64"/>
        <v>0</v>
      </c>
      <c r="DW37" s="1490">
        <f t="shared" si="64"/>
        <v>0</v>
      </c>
      <c r="DX37" s="1490">
        <f t="shared" si="64"/>
        <v>0</v>
      </c>
      <c r="DY37" s="1490">
        <f t="shared" si="64"/>
        <v>0</v>
      </c>
      <c r="DZ37" s="1490">
        <f t="shared" si="64"/>
        <v>0</v>
      </c>
      <c r="EA37" s="1490">
        <f t="shared" si="64"/>
        <v>0</v>
      </c>
      <c r="EB37" s="1490">
        <f t="shared" si="64"/>
        <v>0</v>
      </c>
      <c r="EC37" s="1490">
        <f t="shared" si="64"/>
        <v>0</v>
      </c>
      <c r="ED37" s="1490">
        <f t="shared" ref="ED37:FH37" si="65">ED28+ED34+ED35+ED36</f>
        <v>0</v>
      </c>
      <c r="EE37" s="1490">
        <f t="shared" si="65"/>
        <v>0</v>
      </c>
      <c r="EF37" s="1490">
        <f t="shared" si="65"/>
        <v>0</v>
      </c>
      <c r="EG37" s="1490">
        <f t="shared" si="65"/>
        <v>0</v>
      </c>
      <c r="EH37" s="1490">
        <f t="shared" si="65"/>
        <v>0</v>
      </c>
      <c r="EI37" s="1490">
        <f t="shared" si="65"/>
        <v>0</v>
      </c>
      <c r="EJ37" s="1490">
        <f t="shared" si="65"/>
        <v>0</v>
      </c>
      <c r="EK37" s="1490">
        <f t="shared" si="65"/>
        <v>0</v>
      </c>
      <c r="EL37" s="1490">
        <f t="shared" si="65"/>
        <v>0</v>
      </c>
      <c r="EM37" s="1490">
        <f t="shared" si="65"/>
        <v>0</v>
      </c>
      <c r="EN37" s="1490">
        <f t="shared" si="65"/>
        <v>0</v>
      </c>
      <c r="EO37" s="1490">
        <f t="shared" si="65"/>
        <v>0</v>
      </c>
      <c r="EP37" s="1490">
        <f t="shared" si="65"/>
        <v>0</v>
      </c>
      <c r="EQ37" s="1490">
        <f t="shared" si="65"/>
        <v>0</v>
      </c>
      <c r="ER37" s="1490">
        <f t="shared" si="65"/>
        <v>0</v>
      </c>
      <c r="ES37" s="1490">
        <f t="shared" si="65"/>
        <v>0</v>
      </c>
      <c r="ET37" s="1490">
        <f t="shared" si="65"/>
        <v>0</v>
      </c>
      <c r="EU37" s="1490">
        <f t="shared" si="65"/>
        <v>0</v>
      </c>
      <c r="EV37" s="1490">
        <f t="shared" si="65"/>
        <v>0</v>
      </c>
      <c r="EW37" s="1490">
        <f t="shared" si="65"/>
        <v>0</v>
      </c>
      <c r="EX37" s="1490">
        <f t="shared" si="65"/>
        <v>0</v>
      </c>
      <c r="EY37" s="1490">
        <f t="shared" si="65"/>
        <v>0</v>
      </c>
      <c r="EZ37" s="1490">
        <f t="shared" si="65"/>
        <v>0</v>
      </c>
      <c r="FA37" s="1490">
        <f t="shared" si="65"/>
        <v>0</v>
      </c>
      <c r="FB37" s="1490">
        <f t="shared" si="65"/>
        <v>0</v>
      </c>
      <c r="FC37" s="1490">
        <f t="shared" si="65"/>
        <v>0</v>
      </c>
      <c r="FD37" s="1490">
        <f t="shared" si="65"/>
        <v>0</v>
      </c>
      <c r="FE37" s="1490">
        <f t="shared" si="65"/>
        <v>0</v>
      </c>
      <c r="FF37" s="1490">
        <f t="shared" si="65"/>
        <v>0</v>
      </c>
      <c r="FG37" s="1490">
        <f t="shared" si="65"/>
        <v>0</v>
      </c>
      <c r="FH37" s="1500">
        <f t="shared" si="65"/>
        <v>0</v>
      </c>
      <c r="FI37" s="1500"/>
      <c r="FJ37" s="1500"/>
      <c r="FK37" s="1500"/>
      <c r="FL37" s="1538"/>
      <c r="FM37" s="1556"/>
    </row>
    <row r="38" spans="1:169">
      <c r="A38" s="1739"/>
      <c r="B38" s="1744"/>
      <c r="C38" s="1499" t="s">
        <v>222</v>
      </c>
      <c r="D38" s="1486">
        <f ca="1">SUM(E38:FL38)</f>
        <v>0</v>
      </c>
      <c r="E38" s="1490">
        <f ca="1">IF(E39-E42&gt;0,(E39-E42)*0.25,0)</f>
        <v>0</v>
      </c>
      <c r="F38" s="1490">
        <f t="shared" ref="F38:BQ38" ca="1" si="66">IF(F39-F42&gt;0,(F39-F42)*0.25,0)</f>
        <v>0</v>
      </c>
      <c r="G38" s="1490">
        <f t="shared" ca="1" si="66"/>
        <v>0</v>
      </c>
      <c r="H38" s="1490">
        <f t="shared" ca="1" si="66"/>
        <v>0</v>
      </c>
      <c r="I38" s="1490">
        <f t="shared" ca="1" si="66"/>
        <v>0</v>
      </c>
      <c r="J38" s="1490">
        <f t="shared" ca="1" si="66"/>
        <v>0</v>
      </c>
      <c r="K38" s="1490">
        <f t="shared" ca="1" si="66"/>
        <v>0</v>
      </c>
      <c r="L38" s="1490">
        <f t="shared" ca="1" si="66"/>
        <v>0</v>
      </c>
      <c r="M38" s="1490">
        <f t="shared" ca="1" si="66"/>
        <v>0</v>
      </c>
      <c r="N38" s="1490">
        <f t="shared" ca="1" si="66"/>
        <v>0</v>
      </c>
      <c r="O38" s="1490">
        <f t="shared" ca="1" si="66"/>
        <v>0</v>
      </c>
      <c r="P38" s="1490">
        <f t="shared" ca="1" si="66"/>
        <v>0</v>
      </c>
      <c r="Q38" s="1490">
        <f t="shared" ca="1" si="66"/>
        <v>0</v>
      </c>
      <c r="R38" s="1490">
        <f t="shared" ca="1" si="66"/>
        <v>0</v>
      </c>
      <c r="S38" s="1490">
        <f t="shared" ca="1" si="66"/>
        <v>0</v>
      </c>
      <c r="T38" s="1490">
        <f t="shared" ca="1" si="66"/>
        <v>0</v>
      </c>
      <c r="U38" s="1490">
        <f t="shared" ca="1" si="66"/>
        <v>0</v>
      </c>
      <c r="V38" s="1490">
        <f t="shared" ca="1" si="66"/>
        <v>0</v>
      </c>
      <c r="W38" s="1490">
        <f t="shared" ca="1" si="66"/>
        <v>0</v>
      </c>
      <c r="X38" s="1490">
        <f t="shared" ca="1" si="66"/>
        <v>0</v>
      </c>
      <c r="Y38" s="1490">
        <f t="shared" ca="1" si="66"/>
        <v>0</v>
      </c>
      <c r="Z38" s="1490">
        <f t="shared" ca="1" si="66"/>
        <v>0</v>
      </c>
      <c r="AA38" s="1490">
        <f t="shared" ca="1" si="66"/>
        <v>0</v>
      </c>
      <c r="AB38" s="1490">
        <f t="shared" ca="1" si="66"/>
        <v>0</v>
      </c>
      <c r="AC38" s="1490">
        <f t="shared" ca="1" si="66"/>
        <v>0</v>
      </c>
      <c r="AD38" s="1490">
        <f t="shared" ca="1" si="66"/>
        <v>0</v>
      </c>
      <c r="AE38" s="1490">
        <f t="shared" ca="1" si="66"/>
        <v>0</v>
      </c>
      <c r="AF38" s="1490">
        <f t="shared" ca="1" si="66"/>
        <v>0</v>
      </c>
      <c r="AG38" s="1490">
        <f t="shared" ca="1" si="66"/>
        <v>0</v>
      </c>
      <c r="AH38" s="1490">
        <f t="shared" ca="1" si="66"/>
        <v>0</v>
      </c>
      <c r="AI38" s="1490">
        <f t="shared" ca="1" si="66"/>
        <v>0</v>
      </c>
      <c r="AJ38" s="1490">
        <f t="shared" ca="1" si="66"/>
        <v>0</v>
      </c>
      <c r="AK38" s="1490">
        <f t="shared" ca="1" si="66"/>
        <v>0</v>
      </c>
      <c r="AL38" s="1490">
        <f t="shared" ca="1" si="66"/>
        <v>0</v>
      </c>
      <c r="AM38" s="1490">
        <f t="shared" ca="1" si="66"/>
        <v>0</v>
      </c>
      <c r="AN38" s="1490">
        <f t="shared" ca="1" si="66"/>
        <v>0</v>
      </c>
      <c r="AO38" s="1490">
        <f t="shared" ca="1" si="66"/>
        <v>0</v>
      </c>
      <c r="AP38" s="1490">
        <f t="shared" ca="1" si="66"/>
        <v>0</v>
      </c>
      <c r="AQ38" s="1490">
        <f t="shared" ca="1" si="66"/>
        <v>0</v>
      </c>
      <c r="AR38" s="1490">
        <f t="shared" ca="1" si="66"/>
        <v>0</v>
      </c>
      <c r="AS38" s="1490">
        <f t="shared" ca="1" si="66"/>
        <v>0</v>
      </c>
      <c r="AT38" s="1490">
        <f t="shared" ca="1" si="66"/>
        <v>0</v>
      </c>
      <c r="AU38" s="1490">
        <f t="shared" ca="1" si="66"/>
        <v>0</v>
      </c>
      <c r="AV38" s="1490">
        <f t="shared" ca="1" si="66"/>
        <v>0</v>
      </c>
      <c r="AW38" s="1490">
        <f t="shared" ca="1" si="66"/>
        <v>0</v>
      </c>
      <c r="AX38" s="1490">
        <f t="shared" ca="1" si="66"/>
        <v>0</v>
      </c>
      <c r="AY38" s="1490">
        <f t="shared" ca="1" si="66"/>
        <v>0</v>
      </c>
      <c r="AZ38" s="1490">
        <f t="shared" ca="1" si="66"/>
        <v>0</v>
      </c>
      <c r="BA38" s="1490">
        <f t="shared" ca="1" si="66"/>
        <v>0</v>
      </c>
      <c r="BB38" s="1490">
        <f t="shared" ca="1" si="66"/>
        <v>0</v>
      </c>
      <c r="BC38" s="1490">
        <f t="shared" ca="1" si="66"/>
        <v>0</v>
      </c>
      <c r="BD38" s="1490">
        <f t="shared" ca="1" si="66"/>
        <v>0</v>
      </c>
      <c r="BE38" s="1490">
        <f t="shared" ca="1" si="66"/>
        <v>0</v>
      </c>
      <c r="BF38" s="1490">
        <f t="shared" ca="1" si="66"/>
        <v>0</v>
      </c>
      <c r="BG38" s="1490">
        <f t="shared" ca="1" si="66"/>
        <v>0</v>
      </c>
      <c r="BH38" s="1490">
        <f t="shared" ca="1" si="66"/>
        <v>0</v>
      </c>
      <c r="BI38" s="1490">
        <f t="shared" ca="1" si="66"/>
        <v>0</v>
      </c>
      <c r="BJ38" s="1490">
        <f t="shared" ca="1" si="66"/>
        <v>0</v>
      </c>
      <c r="BK38" s="1490">
        <f t="shared" ca="1" si="66"/>
        <v>0</v>
      </c>
      <c r="BL38" s="1490">
        <f t="shared" ca="1" si="66"/>
        <v>0</v>
      </c>
      <c r="BM38" s="1490">
        <f t="shared" ca="1" si="66"/>
        <v>0</v>
      </c>
      <c r="BN38" s="1490">
        <f t="shared" ca="1" si="66"/>
        <v>0</v>
      </c>
      <c r="BO38" s="1490">
        <f t="shared" ca="1" si="66"/>
        <v>0</v>
      </c>
      <c r="BP38" s="1490">
        <f t="shared" ca="1" si="66"/>
        <v>0</v>
      </c>
      <c r="BQ38" s="1490">
        <f t="shared" ca="1" si="66"/>
        <v>0</v>
      </c>
      <c r="BR38" s="1490">
        <f t="shared" ref="BR38:EC38" ca="1" si="67">IF(BR39-BR42&gt;0,(BR39-BR42)*0.25,0)</f>
        <v>0</v>
      </c>
      <c r="BS38" s="1490">
        <f t="shared" ca="1" si="67"/>
        <v>0</v>
      </c>
      <c r="BT38" s="1490">
        <f t="shared" ca="1" si="67"/>
        <v>0</v>
      </c>
      <c r="BU38" s="1490">
        <f t="shared" ca="1" si="67"/>
        <v>0</v>
      </c>
      <c r="BV38" s="1490">
        <f t="shared" ca="1" si="67"/>
        <v>0</v>
      </c>
      <c r="BW38" s="1490">
        <f t="shared" ca="1" si="67"/>
        <v>0</v>
      </c>
      <c r="BX38" s="1490">
        <f t="shared" ca="1" si="67"/>
        <v>0</v>
      </c>
      <c r="BY38" s="1490">
        <f t="shared" ca="1" si="67"/>
        <v>0</v>
      </c>
      <c r="BZ38" s="1490">
        <f t="shared" ca="1" si="67"/>
        <v>0</v>
      </c>
      <c r="CA38" s="1490">
        <f t="shared" ca="1" si="67"/>
        <v>0</v>
      </c>
      <c r="CB38" s="1490">
        <f t="shared" ca="1" si="67"/>
        <v>0</v>
      </c>
      <c r="CC38" s="1490">
        <f t="shared" ca="1" si="67"/>
        <v>0</v>
      </c>
      <c r="CD38" s="1490">
        <f t="shared" ca="1" si="67"/>
        <v>0</v>
      </c>
      <c r="CE38" s="1490">
        <f t="shared" ca="1" si="67"/>
        <v>0</v>
      </c>
      <c r="CF38" s="1490">
        <f t="shared" ca="1" si="67"/>
        <v>0</v>
      </c>
      <c r="CG38" s="1490">
        <f t="shared" ca="1" si="67"/>
        <v>0</v>
      </c>
      <c r="CH38" s="1490">
        <f t="shared" ca="1" si="67"/>
        <v>0</v>
      </c>
      <c r="CI38" s="1490">
        <f t="shared" ca="1" si="67"/>
        <v>0</v>
      </c>
      <c r="CJ38" s="1490">
        <f t="shared" ca="1" si="67"/>
        <v>0</v>
      </c>
      <c r="CK38" s="1490">
        <f t="shared" ca="1" si="67"/>
        <v>0</v>
      </c>
      <c r="CL38" s="1490">
        <f t="shared" ca="1" si="67"/>
        <v>0</v>
      </c>
      <c r="CM38" s="1490">
        <f t="shared" ca="1" si="67"/>
        <v>0</v>
      </c>
      <c r="CN38" s="1490">
        <f t="shared" ca="1" si="67"/>
        <v>0</v>
      </c>
      <c r="CO38" s="1490">
        <f t="shared" ca="1" si="67"/>
        <v>0</v>
      </c>
      <c r="CP38" s="1490">
        <f t="shared" ca="1" si="67"/>
        <v>0</v>
      </c>
      <c r="CQ38" s="1490">
        <f t="shared" ca="1" si="67"/>
        <v>0</v>
      </c>
      <c r="CR38" s="1490">
        <f t="shared" ca="1" si="67"/>
        <v>0</v>
      </c>
      <c r="CS38" s="1490">
        <f t="shared" ca="1" si="67"/>
        <v>0</v>
      </c>
      <c r="CT38" s="1490">
        <f t="shared" ca="1" si="67"/>
        <v>0</v>
      </c>
      <c r="CU38" s="1490">
        <f t="shared" ca="1" si="67"/>
        <v>0</v>
      </c>
      <c r="CV38" s="1490">
        <f t="shared" ca="1" si="67"/>
        <v>0</v>
      </c>
      <c r="CW38" s="1490">
        <f t="shared" ca="1" si="67"/>
        <v>0</v>
      </c>
      <c r="CX38" s="1490">
        <f t="shared" ca="1" si="67"/>
        <v>0</v>
      </c>
      <c r="CY38" s="1490">
        <f t="shared" ca="1" si="67"/>
        <v>0</v>
      </c>
      <c r="CZ38" s="1490">
        <f t="shared" ca="1" si="67"/>
        <v>0</v>
      </c>
      <c r="DA38" s="1490">
        <f t="shared" ca="1" si="67"/>
        <v>0</v>
      </c>
      <c r="DB38" s="1490">
        <f t="shared" ca="1" si="67"/>
        <v>0</v>
      </c>
      <c r="DC38" s="1490">
        <f t="shared" ca="1" si="67"/>
        <v>0</v>
      </c>
      <c r="DD38" s="1490">
        <f t="shared" ca="1" si="67"/>
        <v>0</v>
      </c>
      <c r="DE38" s="1490">
        <f t="shared" ca="1" si="67"/>
        <v>0</v>
      </c>
      <c r="DF38" s="1490">
        <f t="shared" ca="1" si="67"/>
        <v>0</v>
      </c>
      <c r="DG38" s="1490">
        <f t="shared" ca="1" si="67"/>
        <v>0</v>
      </c>
      <c r="DH38" s="1490">
        <f t="shared" ca="1" si="67"/>
        <v>0</v>
      </c>
      <c r="DI38" s="1490">
        <f t="shared" ca="1" si="67"/>
        <v>0</v>
      </c>
      <c r="DJ38" s="1490">
        <f t="shared" ca="1" si="67"/>
        <v>0</v>
      </c>
      <c r="DK38" s="1490">
        <f t="shared" ca="1" si="67"/>
        <v>0</v>
      </c>
      <c r="DL38" s="1490">
        <f t="shared" ca="1" si="67"/>
        <v>0</v>
      </c>
      <c r="DM38" s="1490">
        <f t="shared" ca="1" si="67"/>
        <v>0</v>
      </c>
      <c r="DN38" s="1490">
        <f t="shared" ca="1" si="67"/>
        <v>0</v>
      </c>
      <c r="DO38" s="1490">
        <f t="shared" ca="1" si="67"/>
        <v>0</v>
      </c>
      <c r="DP38" s="1490">
        <f t="shared" ca="1" si="67"/>
        <v>0</v>
      </c>
      <c r="DQ38" s="1490">
        <f t="shared" ca="1" si="67"/>
        <v>0</v>
      </c>
      <c r="DR38" s="1490">
        <f t="shared" ca="1" si="67"/>
        <v>0</v>
      </c>
      <c r="DS38" s="1490">
        <f t="shared" ca="1" si="67"/>
        <v>0</v>
      </c>
      <c r="DT38" s="1490">
        <f t="shared" ca="1" si="67"/>
        <v>0</v>
      </c>
      <c r="DU38" s="1490">
        <f t="shared" si="67"/>
        <v>0</v>
      </c>
      <c r="DV38" s="1490">
        <f t="shared" si="67"/>
        <v>0</v>
      </c>
      <c r="DW38" s="1490">
        <f t="shared" si="67"/>
        <v>0</v>
      </c>
      <c r="DX38" s="1490">
        <f t="shared" si="67"/>
        <v>0</v>
      </c>
      <c r="DY38" s="1490">
        <f t="shared" si="67"/>
        <v>0</v>
      </c>
      <c r="DZ38" s="1490">
        <f t="shared" si="67"/>
        <v>0</v>
      </c>
      <c r="EA38" s="1490">
        <f t="shared" si="67"/>
        <v>0</v>
      </c>
      <c r="EB38" s="1490">
        <f t="shared" si="67"/>
        <v>0</v>
      </c>
      <c r="EC38" s="1490">
        <f t="shared" si="67"/>
        <v>0</v>
      </c>
      <c r="ED38" s="1490">
        <f t="shared" ref="ED38:FL38" si="68">IF(ED39-ED42&gt;0,(ED39-ED42)*0.25,0)</f>
        <v>0</v>
      </c>
      <c r="EE38" s="1490">
        <f t="shared" si="68"/>
        <v>0</v>
      </c>
      <c r="EF38" s="1490">
        <f t="shared" si="68"/>
        <v>0</v>
      </c>
      <c r="EG38" s="1490">
        <f t="shared" si="68"/>
        <v>0</v>
      </c>
      <c r="EH38" s="1490">
        <f t="shared" si="68"/>
        <v>0</v>
      </c>
      <c r="EI38" s="1490">
        <f t="shared" si="68"/>
        <v>0</v>
      </c>
      <c r="EJ38" s="1490">
        <f t="shared" si="68"/>
        <v>0</v>
      </c>
      <c r="EK38" s="1490">
        <f t="shared" si="68"/>
        <v>0</v>
      </c>
      <c r="EL38" s="1490">
        <f t="shared" si="68"/>
        <v>0</v>
      </c>
      <c r="EM38" s="1490">
        <f t="shared" si="68"/>
        <v>0</v>
      </c>
      <c r="EN38" s="1490">
        <f t="shared" si="68"/>
        <v>0</v>
      </c>
      <c r="EO38" s="1490">
        <f t="shared" si="68"/>
        <v>0</v>
      </c>
      <c r="EP38" s="1490">
        <f t="shared" si="68"/>
        <v>0</v>
      </c>
      <c r="EQ38" s="1490">
        <f t="shared" si="68"/>
        <v>0</v>
      </c>
      <c r="ER38" s="1490">
        <f t="shared" si="68"/>
        <v>0</v>
      </c>
      <c r="ES38" s="1490">
        <f t="shared" si="68"/>
        <v>0</v>
      </c>
      <c r="ET38" s="1490">
        <f t="shared" si="68"/>
        <v>0</v>
      </c>
      <c r="EU38" s="1490">
        <f t="shared" si="68"/>
        <v>0</v>
      </c>
      <c r="EV38" s="1490">
        <f t="shared" si="68"/>
        <v>0</v>
      </c>
      <c r="EW38" s="1490">
        <f t="shared" si="68"/>
        <v>0</v>
      </c>
      <c r="EX38" s="1490">
        <f t="shared" si="68"/>
        <v>0</v>
      </c>
      <c r="EY38" s="1490">
        <f t="shared" si="68"/>
        <v>0</v>
      </c>
      <c r="EZ38" s="1490">
        <f t="shared" si="68"/>
        <v>0</v>
      </c>
      <c r="FA38" s="1490">
        <f t="shared" si="68"/>
        <v>0</v>
      </c>
      <c r="FB38" s="1490">
        <f t="shared" si="68"/>
        <v>0</v>
      </c>
      <c r="FC38" s="1490">
        <f t="shared" si="68"/>
        <v>0</v>
      </c>
      <c r="FD38" s="1490">
        <f t="shared" si="68"/>
        <v>0</v>
      </c>
      <c r="FE38" s="1490">
        <f t="shared" si="68"/>
        <v>0</v>
      </c>
      <c r="FF38" s="1490">
        <f t="shared" si="68"/>
        <v>0</v>
      </c>
      <c r="FG38" s="1490">
        <f t="shared" si="68"/>
        <v>0</v>
      </c>
      <c r="FH38" s="1494">
        <f t="shared" si="68"/>
        <v>0</v>
      </c>
      <c r="FI38" s="1494">
        <f t="shared" si="68"/>
        <v>0</v>
      </c>
      <c r="FJ38" s="1494">
        <f t="shared" si="68"/>
        <v>0</v>
      </c>
      <c r="FK38" s="1494">
        <f t="shared" si="68"/>
        <v>0</v>
      </c>
      <c r="FL38" s="1539">
        <f t="shared" si="68"/>
        <v>0</v>
      </c>
      <c r="FM38" s="1557"/>
    </row>
    <row r="39" spans="1:169">
      <c r="A39" s="1739"/>
      <c r="B39" s="1744"/>
      <c r="C39" s="1499" t="s">
        <v>223</v>
      </c>
      <c r="D39" s="1486">
        <f ca="1">SUM(E39:FL39)</f>
        <v>0</v>
      </c>
      <c r="E39" s="1490">
        <f ca="1">E26-E29-E34-E35-E36</f>
        <v>0</v>
      </c>
      <c r="F39" s="1490">
        <f t="shared" ref="F39:G39" ca="1" si="69">F26-F29-F34-F35-F36</f>
        <v>0</v>
      </c>
      <c r="G39" s="1490">
        <f t="shared" ca="1" si="69"/>
        <v>0</v>
      </c>
      <c r="H39" s="1490">
        <f t="shared" ref="H39:BQ39" ca="1" si="70">H26-H29-H34-H35-H36</f>
        <v>0</v>
      </c>
      <c r="I39" s="1490">
        <f t="shared" ca="1" si="70"/>
        <v>0</v>
      </c>
      <c r="J39" s="1490">
        <f t="shared" ca="1" si="70"/>
        <v>0</v>
      </c>
      <c r="K39" s="1490">
        <f t="shared" ca="1" si="70"/>
        <v>0</v>
      </c>
      <c r="L39" s="1490">
        <f t="shared" ca="1" si="70"/>
        <v>0</v>
      </c>
      <c r="M39" s="1490">
        <f t="shared" ca="1" si="70"/>
        <v>0</v>
      </c>
      <c r="N39" s="1490">
        <f t="shared" ca="1" si="70"/>
        <v>0</v>
      </c>
      <c r="O39" s="1490">
        <f t="shared" ca="1" si="70"/>
        <v>0</v>
      </c>
      <c r="P39" s="1490">
        <f t="shared" ca="1" si="70"/>
        <v>0</v>
      </c>
      <c r="Q39" s="1490">
        <f t="shared" ca="1" si="70"/>
        <v>0</v>
      </c>
      <c r="R39" s="1490">
        <f t="shared" ca="1" si="70"/>
        <v>0</v>
      </c>
      <c r="S39" s="1490">
        <f t="shared" ca="1" si="70"/>
        <v>0</v>
      </c>
      <c r="T39" s="1490">
        <f t="shared" ca="1" si="70"/>
        <v>0</v>
      </c>
      <c r="U39" s="1490">
        <f t="shared" ca="1" si="70"/>
        <v>0</v>
      </c>
      <c r="V39" s="1490">
        <f t="shared" ca="1" si="70"/>
        <v>0</v>
      </c>
      <c r="W39" s="1490">
        <f t="shared" ca="1" si="70"/>
        <v>0</v>
      </c>
      <c r="X39" s="1490">
        <f t="shared" ca="1" si="70"/>
        <v>0</v>
      </c>
      <c r="Y39" s="1490">
        <f t="shared" ca="1" si="70"/>
        <v>0</v>
      </c>
      <c r="Z39" s="1490">
        <f t="shared" ca="1" si="70"/>
        <v>0</v>
      </c>
      <c r="AA39" s="1490">
        <f t="shared" ca="1" si="70"/>
        <v>0</v>
      </c>
      <c r="AB39" s="1490">
        <f t="shared" ca="1" si="70"/>
        <v>0</v>
      </c>
      <c r="AC39" s="1490">
        <f t="shared" ca="1" si="70"/>
        <v>0</v>
      </c>
      <c r="AD39" s="1490">
        <f t="shared" ca="1" si="70"/>
        <v>0</v>
      </c>
      <c r="AE39" s="1490">
        <f t="shared" ca="1" si="70"/>
        <v>0</v>
      </c>
      <c r="AF39" s="1490">
        <f t="shared" ca="1" si="70"/>
        <v>0</v>
      </c>
      <c r="AG39" s="1490">
        <f t="shared" ca="1" si="70"/>
        <v>0</v>
      </c>
      <c r="AH39" s="1490">
        <f t="shared" ca="1" si="70"/>
        <v>0</v>
      </c>
      <c r="AI39" s="1490">
        <f t="shared" ca="1" si="70"/>
        <v>0</v>
      </c>
      <c r="AJ39" s="1490">
        <f t="shared" ca="1" si="70"/>
        <v>0</v>
      </c>
      <c r="AK39" s="1490">
        <f t="shared" ca="1" si="70"/>
        <v>0</v>
      </c>
      <c r="AL39" s="1490">
        <f t="shared" ca="1" si="70"/>
        <v>0</v>
      </c>
      <c r="AM39" s="1490">
        <f t="shared" ca="1" si="70"/>
        <v>0</v>
      </c>
      <c r="AN39" s="1490">
        <f t="shared" ca="1" si="70"/>
        <v>0</v>
      </c>
      <c r="AO39" s="1490">
        <f t="shared" ca="1" si="70"/>
        <v>0</v>
      </c>
      <c r="AP39" s="1490">
        <f t="shared" ca="1" si="70"/>
        <v>0</v>
      </c>
      <c r="AQ39" s="1490">
        <f t="shared" ca="1" si="70"/>
        <v>0</v>
      </c>
      <c r="AR39" s="1490">
        <f t="shared" ca="1" si="70"/>
        <v>0</v>
      </c>
      <c r="AS39" s="1490">
        <f t="shared" ca="1" si="70"/>
        <v>0</v>
      </c>
      <c r="AT39" s="1490">
        <f t="shared" ca="1" si="70"/>
        <v>0</v>
      </c>
      <c r="AU39" s="1490">
        <f t="shared" ca="1" si="70"/>
        <v>0</v>
      </c>
      <c r="AV39" s="1490">
        <f t="shared" ca="1" si="70"/>
        <v>0</v>
      </c>
      <c r="AW39" s="1490">
        <f t="shared" ca="1" si="70"/>
        <v>0</v>
      </c>
      <c r="AX39" s="1490">
        <f t="shared" ca="1" si="70"/>
        <v>0</v>
      </c>
      <c r="AY39" s="1490">
        <f t="shared" ca="1" si="70"/>
        <v>0</v>
      </c>
      <c r="AZ39" s="1490">
        <f t="shared" ca="1" si="70"/>
        <v>0</v>
      </c>
      <c r="BA39" s="1490">
        <f t="shared" ca="1" si="70"/>
        <v>0</v>
      </c>
      <c r="BB39" s="1490">
        <f t="shared" ca="1" si="70"/>
        <v>0</v>
      </c>
      <c r="BC39" s="1490">
        <f t="shared" ca="1" si="70"/>
        <v>0</v>
      </c>
      <c r="BD39" s="1490">
        <f t="shared" ca="1" si="70"/>
        <v>0</v>
      </c>
      <c r="BE39" s="1490">
        <f t="shared" ca="1" si="70"/>
        <v>0</v>
      </c>
      <c r="BF39" s="1490">
        <f t="shared" ca="1" si="70"/>
        <v>0</v>
      </c>
      <c r="BG39" s="1490">
        <f t="shared" ca="1" si="70"/>
        <v>0</v>
      </c>
      <c r="BH39" s="1490">
        <f t="shared" ca="1" si="70"/>
        <v>0</v>
      </c>
      <c r="BI39" s="1490">
        <f t="shared" ca="1" si="70"/>
        <v>0</v>
      </c>
      <c r="BJ39" s="1490">
        <f t="shared" ca="1" si="70"/>
        <v>0</v>
      </c>
      <c r="BK39" s="1490">
        <f t="shared" ca="1" si="70"/>
        <v>0</v>
      </c>
      <c r="BL39" s="1490">
        <f t="shared" ca="1" si="70"/>
        <v>0</v>
      </c>
      <c r="BM39" s="1490">
        <f t="shared" ca="1" si="70"/>
        <v>0</v>
      </c>
      <c r="BN39" s="1490">
        <f t="shared" ca="1" si="70"/>
        <v>0</v>
      </c>
      <c r="BO39" s="1490">
        <f t="shared" ca="1" si="70"/>
        <v>0</v>
      </c>
      <c r="BP39" s="1490">
        <f t="shared" ca="1" si="70"/>
        <v>0</v>
      </c>
      <c r="BQ39" s="1490">
        <f t="shared" ca="1" si="70"/>
        <v>0</v>
      </c>
      <c r="BR39" s="1490">
        <f t="shared" ref="BR39:EC39" ca="1" si="71">BR26-BR29-BR34-BR35-BR36</f>
        <v>0</v>
      </c>
      <c r="BS39" s="1490">
        <f t="shared" ca="1" si="71"/>
        <v>0</v>
      </c>
      <c r="BT39" s="1490">
        <f t="shared" ca="1" si="71"/>
        <v>0</v>
      </c>
      <c r="BU39" s="1490">
        <f t="shared" ca="1" si="71"/>
        <v>0</v>
      </c>
      <c r="BV39" s="1490">
        <f t="shared" ca="1" si="71"/>
        <v>0</v>
      </c>
      <c r="BW39" s="1490">
        <f t="shared" ca="1" si="71"/>
        <v>0</v>
      </c>
      <c r="BX39" s="1490">
        <f t="shared" ca="1" si="71"/>
        <v>0</v>
      </c>
      <c r="BY39" s="1490">
        <f t="shared" ca="1" si="71"/>
        <v>0</v>
      </c>
      <c r="BZ39" s="1490">
        <f t="shared" ca="1" si="71"/>
        <v>0</v>
      </c>
      <c r="CA39" s="1490">
        <f t="shared" ca="1" si="71"/>
        <v>0</v>
      </c>
      <c r="CB39" s="1490">
        <f t="shared" ca="1" si="71"/>
        <v>0</v>
      </c>
      <c r="CC39" s="1490">
        <f t="shared" ca="1" si="71"/>
        <v>0</v>
      </c>
      <c r="CD39" s="1490">
        <f t="shared" ca="1" si="71"/>
        <v>0</v>
      </c>
      <c r="CE39" s="1490">
        <f t="shared" ca="1" si="71"/>
        <v>0</v>
      </c>
      <c r="CF39" s="1490">
        <f t="shared" ca="1" si="71"/>
        <v>0</v>
      </c>
      <c r="CG39" s="1490">
        <f t="shared" ca="1" si="71"/>
        <v>0</v>
      </c>
      <c r="CH39" s="1490">
        <f t="shared" ca="1" si="71"/>
        <v>0</v>
      </c>
      <c r="CI39" s="1490">
        <f t="shared" ca="1" si="71"/>
        <v>0</v>
      </c>
      <c r="CJ39" s="1490">
        <f t="shared" ca="1" si="71"/>
        <v>0</v>
      </c>
      <c r="CK39" s="1490">
        <f t="shared" ca="1" si="71"/>
        <v>0</v>
      </c>
      <c r="CL39" s="1490">
        <f t="shared" ca="1" si="71"/>
        <v>0</v>
      </c>
      <c r="CM39" s="1490">
        <f t="shared" ca="1" si="71"/>
        <v>0</v>
      </c>
      <c r="CN39" s="1490">
        <f t="shared" ca="1" si="71"/>
        <v>0</v>
      </c>
      <c r="CO39" s="1490">
        <f t="shared" ca="1" si="71"/>
        <v>0</v>
      </c>
      <c r="CP39" s="1490">
        <f t="shared" ca="1" si="71"/>
        <v>0</v>
      </c>
      <c r="CQ39" s="1490">
        <f t="shared" ca="1" si="71"/>
        <v>0</v>
      </c>
      <c r="CR39" s="1490">
        <f t="shared" ca="1" si="71"/>
        <v>0</v>
      </c>
      <c r="CS39" s="1490">
        <f t="shared" ca="1" si="71"/>
        <v>0</v>
      </c>
      <c r="CT39" s="1490">
        <f t="shared" ca="1" si="71"/>
        <v>0</v>
      </c>
      <c r="CU39" s="1490">
        <f t="shared" ca="1" si="71"/>
        <v>0</v>
      </c>
      <c r="CV39" s="1490">
        <f t="shared" ca="1" si="71"/>
        <v>0</v>
      </c>
      <c r="CW39" s="1490">
        <f t="shared" ca="1" si="71"/>
        <v>0</v>
      </c>
      <c r="CX39" s="1490">
        <f t="shared" ca="1" si="71"/>
        <v>0</v>
      </c>
      <c r="CY39" s="1490">
        <f t="shared" ca="1" si="71"/>
        <v>0</v>
      </c>
      <c r="CZ39" s="1490">
        <f t="shared" ca="1" si="71"/>
        <v>0</v>
      </c>
      <c r="DA39" s="1490">
        <f t="shared" ca="1" si="71"/>
        <v>0</v>
      </c>
      <c r="DB39" s="1490">
        <f t="shared" ca="1" si="71"/>
        <v>0</v>
      </c>
      <c r="DC39" s="1490">
        <f t="shared" ca="1" si="71"/>
        <v>0</v>
      </c>
      <c r="DD39" s="1490">
        <f t="shared" ca="1" si="71"/>
        <v>0</v>
      </c>
      <c r="DE39" s="1490">
        <f t="shared" ca="1" si="71"/>
        <v>0</v>
      </c>
      <c r="DF39" s="1490">
        <f t="shared" ca="1" si="71"/>
        <v>0</v>
      </c>
      <c r="DG39" s="1490">
        <f t="shared" ca="1" si="71"/>
        <v>0</v>
      </c>
      <c r="DH39" s="1490">
        <f t="shared" ca="1" si="71"/>
        <v>0</v>
      </c>
      <c r="DI39" s="1490">
        <f t="shared" ca="1" si="71"/>
        <v>0</v>
      </c>
      <c r="DJ39" s="1490">
        <f t="shared" ca="1" si="71"/>
        <v>0</v>
      </c>
      <c r="DK39" s="1490">
        <f t="shared" ca="1" si="71"/>
        <v>0</v>
      </c>
      <c r="DL39" s="1490">
        <f t="shared" ca="1" si="71"/>
        <v>0</v>
      </c>
      <c r="DM39" s="1490">
        <f t="shared" ca="1" si="71"/>
        <v>0</v>
      </c>
      <c r="DN39" s="1490">
        <f t="shared" ca="1" si="71"/>
        <v>0</v>
      </c>
      <c r="DO39" s="1490">
        <f t="shared" ca="1" si="71"/>
        <v>0</v>
      </c>
      <c r="DP39" s="1490">
        <f t="shared" ca="1" si="71"/>
        <v>0</v>
      </c>
      <c r="DQ39" s="1490">
        <f t="shared" ca="1" si="71"/>
        <v>0</v>
      </c>
      <c r="DR39" s="1490">
        <f t="shared" ca="1" si="71"/>
        <v>0</v>
      </c>
      <c r="DS39" s="1490">
        <f t="shared" ca="1" si="71"/>
        <v>0</v>
      </c>
      <c r="DT39" s="1490">
        <f t="shared" ca="1" si="71"/>
        <v>0</v>
      </c>
      <c r="DU39" s="1490">
        <f t="shared" si="71"/>
        <v>0</v>
      </c>
      <c r="DV39" s="1490">
        <f t="shared" si="71"/>
        <v>0</v>
      </c>
      <c r="DW39" s="1490">
        <f t="shared" si="71"/>
        <v>0</v>
      </c>
      <c r="DX39" s="1490">
        <f t="shared" si="71"/>
        <v>0</v>
      </c>
      <c r="DY39" s="1490">
        <f t="shared" si="71"/>
        <v>0</v>
      </c>
      <c r="DZ39" s="1490">
        <f t="shared" si="71"/>
        <v>0</v>
      </c>
      <c r="EA39" s="1490">
        <f t="shared" si="71"/>
        <v>0</v>
      </c>
      <c r="EB39" s="1490">
        <f t="shared" si="71"/>
        <v>0</v>
      </c>
      <c r="EC39" s="1490">
        <f t="shared" si="71"/>
        <v>0</v>
      </c>
      <c r="ED39" s="1490">
        <f t="shared" ref="ED39:FH39" si="72">ED26-ED29-ED34-ED35-ED36</f>
        <v>0</v>
      </c>
      <c r="EE39" s="1490">
        <f t="shared" si="72"/>
        <v>0</v>
      </c>
      <c r="EF39" s="1490">
        <f t="shared" si="72"/>
        <v>0</v>
      </c>
      <c r="EG39" s="1490">
        <f t="shared" si="72"/>
        <v>0</v>
      </c>
      <c r="EH39" s="1490">
        <f t="shared" si="72"/>
        <v>0</v>
      </c>
      <c r="EI39" s="1490">
        <f t="shared" si="72"/>
        <v>0</v>
      </c>
      <c r="EJ39" s="1490">
        <f t="shared" si="72"/>
        <v>0</v>
      </c>
      <c r="EK39" s="1490">
        <f t="shared" si="72"/>
        <v>0</v>
      </c>
      <c r="EL39" s="1490">
        <f t="shared" si="72"/>
        <v>0</v>
      </c>
      <c r="EM39" s="1490">
        <f t="shared" si="72"/>
        <v>0</v>
      </c>
      <c r="EN39" s="1490">
        <f t="shared" si="72"/>
        <v>0</v>
      </c>
      <c r="EO39" s="1490">
        <f t="shared" si="72"/>
        <v>0</v>
      </c>
      <c r="EP39" s="1490">
        <f t="shared" si="72"/>
        <v>0</v>
      </c>
      <c r="EQ39" s="1490">
        <f t="shared" si="72"/>
        <v>0</v>
      </c>
      <c r="ER39" s="1490">
        <f t="shared" si="72"/>
        <v>0</v>
      </c>
      <c r="ES39" s="1490">
        <f t="shared" si="72"/>
        <v>0</v>
      </c>
      <c r="ET39" s="1490">
        <f t="shared" si="72"/>
        <v>0</v>
      </c>
      <c r="EU39" s="1490">
        <f t="shared" si="72"/>
        <v>0</v>
      </c>
      <c r="EV39" s="1490">
        <f t="shared" si="72"/>
        <v>0</v>
      </c>
      <c r="EW39" s="1490">
        <f t="shared" si="72"/>
        <v>0</v>
      </c>
      <c r="EX39" s="1490">
        <f t="shared" si="72"/>
        <v>0</v>
      </c>
      <c r="EY39" s="1490">
        <f t="shared" si="72"/>
        <v>0</v>
      </c>
      <c r="EZ39" s="1490">
        <f t="shared" si="72"/>
        <v>0</v>
      </c>
      <c r="FA39" s="1490">
        <f t="shared" si="72"/>
        <v>0</v>
      </c>
      <c r="FB39" s="1490">
        <f t="shared" si="72"/>
        <v>0</v>
      </c>
      <c r="FC39" s="1490">
        <f t="shared" si="72"/>
        <v>0</v>
      </c>
      <c r="FD39" s="1490">
        <f t="shared" si="72"/>
        <v>0</v>
      </c>
      <c r="FE39" s="1490">
        <f t="shared" si="72"/>
        <v>0</v>
      </c>
      <c r="FF39" s="1490">
        <f t="shared" si="72"/>
        <v>0</v>
      </c>
      <c r="FG39" s="1490">
        <f t="shared" si="72"/>
        <v>0</v>
      </c>
      <c r="FH39" s="1500">
        <f t="shared" si="72"/>
        <v>0</v>
      </c>
      <c r="FI39" s="1500"/>
      <c r="FJ39" s="1500"/>
      <c r="FK39" s="1500"/>
      <c r="FL39" s="1538"/>
      <c r="FM39" s="1556"/>
    </row>
    <row r="40" spans="1:169">
      <c r="A40" s="1739"/>
      <c r="B40" s="1744"/>
      <c r="C40" s="1499" t="s">
        <v>224</v>
      </c>
      <c r="D40" s="1486">
        <f ca="1">SUM(E40:FL40)</f>
        <v>0</v>
      </c>
      <c r="E40" s="1490">
        <f ca="1">自持参数设置!$C$7*自持参数设置!$C$10+E59</f>
        <v>0</v>
      </c>
      <c r="F40" s="1490">
        <f ca="1">自持参数设置!$C$7*自持参数设置!$C$10+F59</f>
        <v>0</v>
      </c>
      <c r="G40" s="1490">
        <f ca="1">自持参数设置!$C$7*自持参数设置!$C$10+G59</f>
        <v>0</v>
      </c>
      <c r="H40" s="1490">
        <f ca="1">自持参数设置!$C$7*自持参数设置!$C$10+H59</f>
        <v>0</v>
      </c>
      <c r="I40" s="1490">
        <f ca="1">自持参数设置!$C$7*自持参数设置!$C$10+I59</f>
        <v>0</v>
      </c>
      <c r="J40" s="1490">
        <f ca="1">自持参数设置!$C$7*自持参数设置!$C$10+J59</f>
        <v>0</v>
      </c>
      <c r="K40" s="1490">
        <f ca="1">自持参数设置!$C$7*自持参数设置!$C$10+K59</f>
        <v>0</v>
      </c>
      <c r="L40" s="1490">
        <f ca="1">自持参数设置!$C$7*自持参数设置!$C$10+L59</f>
        <v>0</v>
      </c>
      <c r="M40" s="1490">
        <f ca="1">自持参数设置!$C$7*自持参数设置!$C$10+M59</f>
        <v>0</v>
      </c>
      <c r="N40" s="1490">
        <f ca="1">自持参数设置!$C$7*自持参数设置!$C$10+N59</f>
        <v>0</v>
      </c>
      <c r="O40" s="1490">
        <f ca="1">自持参数设置!$C$7*自持参数设置!$C$10+O59</f>
        <v>0</v>
      </c>
      <c r="P40" s="1490">
        <f ca="1">自持参数设置!$C$7*自持参数设置!$C$10+P59</f>
        <v>0</v>
      </c>
      <c r="Q40" s="1490">
        <f ca="1">自持参数设置!$C$7*自持参数设置!$C$10+Q59</f>
        <v>0</v>
      </c>
      <c r="R40" s="1490">
        <f ca="1">自持参数设置!$C$7*自持参数设置!$C$10+R59</f>
        <v>0</v>
      </c>
      <c r="S40" s="1490">
        <f ca="1">自持参数设置!$C$7*自持参数设置!$C$10+S59</f>
        <v>0</v>
      </c>
      <c r="T40" s="1490">
        <f ca="1">自持参数设置!$C$7*自持参数设置!$C$10+T59</f>
        <v>0</v>
      </c>
      <c r="U40" s="1490">
        <f ca="1">自持参数设置!$C$7*自持参数设置!$C$10+U59</f>
        <v>0</v>
      </c>
      <c r="V40" s="1490">
        <f ca="1">自持参数设置!$C$7*自持参数设置!$C$10+V59</f>
        <v>0</v>
      </c>
      <c r="W40" s="1490">
        <f ca="1">自持参数设置!$C$7*自持参数设置!$C$10+W59</f>
        <v>0</v>
      </c>
      <c r="X40" s="1490">
        <f ca="1">自持参数设置!$C$7*自持参数设置!$C$10+X59</f>
        <v>0</v>
      </c>
      <c r="Y40" s="1490">
        <f ca="1">自持参数设置!$C$7*自持参数设置!$C$10+Y59</f>
        <v>0</v>
      </c>
      <c r="Z40" s="1490">
        <f ca="1">自持参数设置!$C$7*自持参数设置!$C$10+Z59</f>
        <v>0</v>
      </c>
      <c r="AA40" s="1490">
        <f ca="1">自持参数设置!$C$7*自持参数设置!$C$10+AA59</f>
        <v>0</v>
      </c>
      <c r="AB40" s="1490">
        <f ca="1">自持参数设置!$C$7*自持参数设置!$C$10+AB59</f>
        <v>0</v>
      </c>
      <c r="AC40" s="1490">
        <f ca="1">自持参数设置!$C$7*自持参数设置!$C$10+AC59</f>
        <v>0</v>
      </c>
      <c r="AD40" s="1490">
        <f ca="1">自持参数设置!$C$7*自持参数设置!$C$10+AD59</f>
        <v>0</v>
      </c>
      <c r="AE40" s="1490">
        <f ca="1">自持参数设置!$C$7*自持参数设置!$C$10+AE59</f>
        <v>0</v>
      </c>
      <c r="AF40" s="1490">
        <f ca="1">自持参数设置!$C$7*自持参数设置!$C$10+AF59</f>
        <v>0</v>
      </c>
      <c r="AG40" s="1490">
        <f ca="1">自持参数设置!$C$7*自持参数设置!$C$10+AG59</f>
        <v>0</v>
      </c>
      <c r="AH40" s="1490">
        <f ca="1">自持参数设置!$C$7*自持参数设置!$C$10+AH59</f>
        <v>0</v>
      </c>
      <c r="AI40" s="1490">
        <f ca="1">自持参数设置!$C$7*自持参数设置!$C$10+AI59</f>
        <v>0</v>
      </c>
      <c r="AJ40" s="1490">
        <f ca="1">自持参数设置!$C$7*自持参数设置!$C$10+AJ59</f>
        <v>0</v>
      </c>
      <c r="AK40" s="1490">
        <f ca="1">自持参数设置!$C$7*自持参数设置!$C$10+AK59</f>
        <v>0</v>
      </c>
      <c r="AL40" s="1490">
        <f ca="1">自持参数设置!$C$7*自持参数设置!$C$10+AL59</f>
        <v>0</v>
      </c>
      <c r="AM40" s="1490">
        <f ca="1">自持参数设置!$C$7*自持参数设置!$C$10+AM59</f>
        <v>0</v>
      </c>
      <c r="AN40" s="1490">
        <f ca="1">自持参数设置!$C$7*自持参数设置!$C$10+AN59</f>
        <v>0</v>
      </c>
      <c r="AO40" s="1490">
        <f ca="1">自持参数设置!$C$7*自持参数设置!$C$10+AO59</f>
        <v>0</v>
      </c>
      <c r="AP40" s="1490">
        <f ca="1">自持参数设置!$C$7*自持参数设置!$C$10+AP59</f>
        <v>0</v>
      </c>
      <c r="AQ40" s="1490">
        <f ca="1">自持参数设置!$C$7*自持参数设置!$C$10+AQ59</f>
        <v>0</v>
      </c>
      <c r="AR40" s="1490">
        <f ca="1">自持参数设置!$C$7*自持参数设置!$C$10+AR59</f>
        <v>0</v>
      </c>
      <c r="AS40" s="1490">
        <f ca="1">自持参数设置!$C$7*自持参数设置!$C$10+AS59</f>
        <v>0</v>
      </c>
      <c r="AT40" s="1490">
        <f ca="1">自持参数设置!$C$7*自持参数设置!$C$10+AT59</f>
        <v>0</v>
      </c>
      <c r="AU40" s="1490">
        <f ca="1">自持参数设置!$C$7*自持参数设置!$C$10+AU59</f>
        <v>0</v>
      </c>
      <c r="AV40" s="1490">
        <f ca="1">自持参数设置!$C$7*自持参数设置!$C$10+AV59</f>
        <v>0</v>
      </c>
      <c r="AW40" s="1490">
        <f ca="1">自持参数设置!$C$7*自持参数设置!$C$10+AW59</f>
        <v>0</v>
      </c>
      <c r="AX40" s="1490">
        <f ca="1">自持参数设置!$C$7*自持参数设置!$C$10+AX59</f>
        <v>0</v>
      </c>
      <c r="AY40" s="1490">
        <f ca="1">自持参数设置!$C$7*自持参数设置!$C$10+AY59</f>
        <v>0</v>
      </c>
      <c r="AZ40" s="1490">
        <f ca="1">自持参数设置!$C$7*自持参数设置!$C$10+AZ59</f>
        <v>0</v>
      </c>
      <c r="BA40" s="1490">
        <f ca="1">自持参数设置!$C$7*自持参数设置!$C$10+BA59</f>
        <v>0</v>
      </c>
      <c r="BB40" s="1490">
        <f ca="1">自持参数设置!$C$7*自持参数设置!$C$10+BB59</f>
        <v>0</v>
      </c>
      <c r="BC40" s="1490">
        <f ca="1">自持参数设置!$C$7*自持参数设置!$C$10+BC59</f>
        <v>0</v>
      </c>
      <c r="BD40" s="1490">
        <f ca="1">自持参数设置!$C$7*自持参数设置!$C$10+BD59</f>
        <v>0</v>
      </c>
      <c r="BE40" s="1490">
        <f ca="1">自持参数设置!$C$7*自持参数设置!$C$10+BE59</f>
        <v>0</v>
      </c>
      <c r="BF40" s="1490">
        <f ca="1">自持参数设置!$C$7*自持参数设置!$C$10+BF59</f>
        <v>0</v>
      </c>
      <c r="BG40" s="1490">
        <f ca="1">自持参数设置!$C$7*自持参数设置!$C$10+BG59</f>
        <v>0</v>
      </c>
      <c r="BH40" s="1490">
        <f ca="1">自持参数设置!$C$7*自持参数设置!$C$10+BH59</f>
        <v>0</v>
      </c>
      <c r="BI40" s="1490">
        <f ca="1">自持参数设置!$C$7*自持参数设置!$C$10+BI59</f>
        <v>0</v>
      </c>
      <c r="BJ40" s="1490">
        <f ca="1">自持参数设置!$C$7*自持参数设置!$C$10+BJ59</f>
        <v>0</v>
      </c>
      <c r="BK40" s="1490">
        <f ca="1">自持参数设置!$C$7*自持参数设置!$C$10+BK59</f>
        <v>0</v>
      </c>
      <c r="BL40" s="1490">
        <f ca="1">自持参数设置!$C$7*自持参数设置!$C$10+BL59</f>
        <v>0</v>
      </c>
      <c r="BM40" s="1490">
        <f ca="1">自持参数设置!$C$7*自持参数设置!$C$10+BM59</f>
        <v>0</v>
      </c>
      <c r="BN40" s="1490">
        <f ca="1">自持参数设置!$C$7*自持参数设置!$C$10+BN59</f>
        <v>0</v>
      </c>
      <c r="BO40" s="1490">
        <f ca="1">自持参数设置!$C$7*自持参数设置!$C$10+BO59</f>
        <v>0</v>
      </c>
      <c r="BP40" s="1490">
        <f ca="1">自持参数设置!$C$7*自持参数设置!$C$10+BP59</f>
        <v>0</v>
      </c>
      <c r="BQ40" s="1490">
        <f ca="1">自持参数设置!$C$7*自持参数设置!$C$10+BQ59</f>
        <v>0</v>
      </c>
      <c r="BR40" s="1490">
        <f ca="1">自持参数设置!$C$7*自持参数设置!$C$10+BR59</f>
        <v>0</v>
      </c>
      <c r="BS40" s="1490">
        <f ca="1">自持参数设置!$C$7*自持参数设置!$C$10+BS59</f>
        <v>0</v>
      </c>
      <c r="BT40" s="1490">
        <f ca="1">自持参数设置!$C$7*自持参数设置!$C$10+BT59</f>
        <v>0</v>
      </c>
      <c r="BU40" s="1490">
        <f ca="1">自持参数设置!$C$7*自持参数设置!$C$10+BU59</f>
        <v>0</v>
      </c>
      <c r="BV40" s="1490">
        <f ca="1">自持参数设置!$C$7*自持参数设置!$C$10+BV59</f>
        <v>0</v>
      </c>
      <c r="BW40" s="1490">
        <f ca="1">自持参数设置!$C$7*自持参数设置!$C$10+BW59</f>
        <v>0</v>
      </c>
      <c r="BX40" s="1490">
        <f ca="1">自持参数设置!$C$7*自持参数设置!$C$10+BX59</f>
        <v>0</v>
      </c>
      <c r="BY40" s="1490">
        <f ca="1">自持参数设置!$C$7*自持参数设置!$C$10+BY59</f>
        <v>0</v>
      </c>
      <c r="BZ40" s="1490">
        <f ca="1">自持参数设置!$C$7*自持参数设置!$C$10+BZ59</f>
        <v>0</v>
      </c>
      <c r="CA40" s="1490">
        <f ca="1">自持参数设置!$C$7*自持参数设置!$C$10+CA59</f>
        <v>0</v>
      </c>
      <c r="CB40" s="1490">
        <f ca="1">自持参数设置!$C$7*自持参数设置!$C$10+CB59</f>
        <v>0</v>
      </c>
      <c r="CC40" s="1490">
        <f ca="1">自持参数设置!$C$7*自持参数设置!$C$10+CC59</f>
        <v>0</v>
      </c>
      <c r="CD40" s="1490">
        <f ca="1">自持参数设置!$C$7*自持参数设置!$C$10+CD59</f>
        <v>0</v>
      </c>
      <c r="CE40" s="1490">
        <f ca="1">自持参数设置!$C$7*自持参数设置!$C$10+CE59</f>
        <v>0</v>
      </c>
      <c r="CF40" s="1490">
        <f ca="1">自持参数设置!$C$7*自持参数设置!$C$10+CF59</f>
        <v>0</v>
      </c>
      <c r="CG40" s="1490">
        <f ca="1">自持参数设置!$C$7*自持参数设置!$C$10+CG59</f>
        <v>0</v>
      </c>
      <c r="CH40" s="1490">
        <f ca="1">自持参数设置!$C$7*自持参数设置!$C$10+CH59</f>
        <v>0</v>
      </c>
      <c r="CI40" s="1490">
        <f ca="1">自持参数设置!$C$7*自持参数设置!$C$10+CI59</f>
        <v>0</v>
      </c>
      <c r="CJ40" s="1490">
        <f ca="1">自持参数设置!$C$7*自持参数设置!$C$10+CJ59</f>
        <v>0</v>
      </c>
      <c r="CK40" s="1490">
        <f ca="1">自持参数设置!$C$7*自持参数设置!$C$10+CK59</f>
        <v>0</v>
      </c>
      <c r="CL40" s="1490">
        <f ca="1">自持参数设置!$C$7*自持参数设置!$C$10+CL59</f>
        <v>0</v>
      </c>
      <c r="CM40" s="1490">
        <f ca="1">自持参数设置!$C$7*自持参数设置!$C$10+CM59</f>
        <v>0</v>
      </c>
      <c r="CN40" s="1490">
        <f ca="1">自持参数设置!$C$7*自持参数设置!$C$10+CN59</f>
        <v>0</v>
      </c>
      <c r="CO40" s="1490">
        <f ca="1">自持参数设置!$C$7*自持参数设置!$C$10+CO59</f>
        <v>0</v>
      </c>
      <c r="CP40" s="1490">
        <f ca="1">自持参数设置!$C$7*自持参数设置!$C$10+CP59</f>
        <v>0</v>
      </c>
      <c r="CQ40" s="1490">
        <f ca="1">自持参数设置!$C$7*自持参数设置!$C$10+CQ59</f>
        <v>0</v>
      </c>
      <c r="CR40" s="1490">
        <f ca="1">自持参数设置!$C$7*自持参数设置!$C$10+CR59</f>
        <v>0</v>
      </c>
      <c r="CS40" s="1490">
        <f ca="1">自持参数设置!$C$7*自持参数设置!$C$10+CS59</f>
        <v>0</v>
      </c>
      <c r="CT40" s="1490">
        <f ca="1">自持参数设置!$C$7*自持参数设置!$C$10+CT59</f>
        <v>0</v>
      </c>
      <c r="CU40" s="1490">
        <f ca="1">自持参数设置!$C$7*自持参数设置!$C$10+CU59</f>
        <v>0</v>
      </c>
      <c r="CV40" s="1490">
        <f ca="1">自持参数设置!$C$7*自持参数设置!$C$10+CV59</f>
        <v>0</v>
      </c>
      <c r="CW40" s="1490">
        <f ca="1">自持参数设置!$C$7*自持参数设置!$C$10+CW59</f>
        <v>0</v>
      </c>
      <c r="CX40" s="1490">
        <f ca="1">自持参数设置!$C$7*自持参数设置!$C$10+CX59</f>
        <v>0</v>
      </c>
      <c r="CY40" s="1490">
        <f ca="1">自持参数设置!$C$7*自持参数设置!$C$10+CY59</f>
        <v>0</v>
      </c>
      <c r="CZ40" s="1490">
        <f ca="1">自持参数设置!$C$7*自持参数设置!$C$10+CZ59</f>
        <v>0</v>
      </c>
      <c r="DA40" s="1490">
        <f ca="1">自持参数设置!$C$7*自持参数设置!$C$10+DA59</f>
        <v>0</v>
      </c>
      <c r="DB40" s="1490">
        <f ca="1">自持参数设置!$C$7*自持参数设置!$C$10+DB59</f>
        <v>0</v>
      </c>
      <c r="DC40" s="1490">
        <f ca="1">自持参数设置!$C$7*自持参数设置!$C$10+DC59</f>
        <v>0</v>
      </c>
      <c r="DD40" s="1490">
        <f ca="1">自持参数设置!$C$7*自持参数设置!$C$10+DD59</f>
        <v>0</v>
      </c>
      <c r="DE40" s="1490">
        <f ca="1">自持参数设置!$C$7*自持参数设置!$C$10+DE59</f>
        <v>0</v>
      </c>
      <c r="DF40" s="1490">
        <f ca="1">自持参数设置!$C$7*自持参数设置!$C$10+DF59</f>
        <v>0</v>
      </c>
      <c r="DG40" s="1490">
        <f ca="1">自持参数设置!$C$7*自持参数设置!$C$10+DG59</f>
        <v>0</v>
      </c>
      <c r="DH40" s="1490">
        <f ca="1">自持参数设置!$C$7*自持参数设置!$C$10+DH59</f>
        <v>0</v>
      </c>
      <c r="DI40" s="1490">
        <f ca="1">自持参数设置!$C$7*自持参数设置!$C$10+DI59</f>
        <v>0</v>
      </c>
      <c r="DJ40" s="1490">
        <f ca="1">自持参数设置!$C$7*自持参数设置!$C$10+DJ59</f>
        <v>0</v>
      </c>
      <c r="DK40" s="1490">
        <f ca="1">自持参数设置!$C$7*自持参数设置!$C$10+DK59</f>
        <v>0</v>
      </c>
      <c r="DL40" s="1490">
        <f ca="1">自持参数设置!$C$7*自持参数设置!$C$10+DL59</f>
        <v>0</v>
      </c>
      <c r="DM40" s="1490">
        <f ca="1">自持参数设置!$C$7*自持参数设置!$C$10+DM59</f>
        <v>0</v>
      </c>
      <c r="DN40" s="1490">
        <f ca="1">自持参数设置!$C$7*自持参数设置!$C$10+DN59</f>
        <v>0</v>
      </c>
      <c r="DO40" s="1490">
        <f ca="1">自持参数设置!$C$7*自持参数设置!$C$10+DO59</f>
        <v>0</v>
      </c>
      <c r="DP40" s="1490">
        <f ca="1">自持参数设置!$C$7*自持参数设置!$C$10+DP59</f>
        <v>0</v>
      </c>
      <c r="DQ40" s="1490">
        <f ca="1">自持参数设置!$C$7*自持参数设置!$C$10+DQ59</f>
        <v>0</v>
      </c>
      <c r="DR40" s="1490">
        <f ca="1">自持参数设置!$C$7*自持参数设置!$C$10+DR59</f>
        <v>0</v>
      </c>
      <c r="DS40" s="1490">
        <f ca="1">自持参数设置!$C$7*自持参数设置!$C$10+DS59</f>
        <v>0</v>
      </c>
      <c r="DT40" s="1490">
        <f ca="1">自持参数设置!$C$7*自持参数设置!$C$10+DT59</f>
        <v>0</v>
      </c>
      <c r="DU40" s="1490">
        <f>DU59</f>
        <v>0</v>
      </c>
      <c r="DV40" s="1490">
        <f t="shared" ref="DV40:FH40" si="73">DV59</f>
        <v>0</v>
      </c>
      <c r="DW40" s="1490">
        <f t="shared" si="73"/>
        <v>0</v>
      </c>
      <c r="DX40" s="1490">
        <f t="shared" si="73"/>
        <v>0</v>
      </c>
      <c r="DY40" s="1490">
        <f t="shared" si="73"/>
        <v>0</v>
      </c>
      <c r="DZ40" s="1490">
        <f t="shared" si="73"/>
        <v>0</v>
      </c>
      <c r="EA40" s="1490">
        <f t="shared" si="73"/>
        <v>0</v>
      </c>
      <c r="EB40" s="1490">
        <f t="shared" si="73"/>
        <v>0</v>
      </c>
      <c r="EC40" s="1490">
        <f t="shared" si="73"/>
        <v>0</v>
      </c>
      <c r="ED40" s="1490">
        <f t="shared" si="73"/>
        <v>0</v>
      </c>
      <c r="EE40" s="1490">
        <f t="shared" si="73"/>
        <v>0</v>
      </c>
      <c r="EF40" s="1490">
        <f t="shared" si="73"/>
        <v>0</v>
      </c>
      <c r="EG40" s="1490">
        <f t="shared" si="73"/>
        <v>0</v>
      </c>
      <c r="EH40" s="1490">
        <f t="shared" si="73"/>
        <v>0</v>
      </c>
      <c r="EI40" s="1490">
        <f t="shared" si="73"/>
        <v>0</v>
      </c>
      <c r="EJ40" s="1490">
        <f t="shared" si="73"/>
        <v>0</v>
      </c>
      <c r="EK40" s="1490">
        <f t="shared" si="73"/>
        <v>0</v>
      </c>
      <c r="EL40" s="1490">
        <f t="shared" si="73"/>
        <v>0</v>
      </c>
      <c r="EM40" s="1490">
        <f t="shared" si="73"/>
        <v>0</v>
      </c>
      <c r="EN40" s="1490">
        <f t="shared" si="73"/>
        <v>0</v>
      </c>
      <c r="EO40" s="1490">
        <f t="shared" si="73"/>
        <v>0</v>
      </c>
      <c r="EP40" s="1490">
        <f t="shared" si="73"/>
        <v>0</v>
      </c>
      <c r="EQ40" s="1490">
        <f t="shared" si="73"/>
        <v>0</v>
      </c>
      <c r="ER40" s="1490">
        <f t="shared" si="73"/>
        <v>0</v>
      </c>
      <c r="ES40" s="1490">
        <f t="shared" si="73"/>
        <v>0</v>
      </c>
      <c r="ET40" s="1490">
        <f t="shared" si="73"/>
        <v>0</v>
      </c>
      <c r="EU40" s="1490">
        <f t="shared" si="73"/>
        <v>0</v>
      </c>
      <c r="EV40" s="1490">
        <f t="shared" si="73"/>
        <v>0</v>
      </c>
      <c r="EW40" s="1490">
        <f t="shared" si="73"/>
        <v>0</v>
      </c>
      <c r="EX40" s="1490">
        <f t="shared" si="73"/>
        <v>0</v>
      </c>
      <c r="EY40" s="1490">
        <f t="shared" si="73"/>
        <v>0</v>
      </c>
      <c r="EZ40" s="1490">
        <f t="shared" si="73"/>
        <v>0</v>
      </c>
      <c r="FA40" s="1490">
        <f t="shared" si="73"/>
        <v>0</v>
      </c>
      <c r="FB40" s="1490">
        <f t="shared" si="73"/>
        <v>0</v>
      </c>
      <c r="FC40" s="1490">
        <f t="shared" si="73"/>
        <v>0</v>
      </c>
      <c r="FD40" s="1490">
        <f t="shared" si="73"/>
        <v>0</v>
      </c>
      <c r="FE40" s="1490">
        <f t="shared" si="73"/>
        <v>0</v>
      </c>
      <c r="FF40" s="1490">
        <f t="shared" si="73"/>
        <v>0</v>
      </c>
      <c r="FG40" s="1490">
        <f t="shared" si="73"/>
        <v>0</v>
      </c>
      <c r="FH40" s="1490">
        <f t="shared" si="73"/>
        <v>0</v>
      </c>
      <c r="FI40" s="1498"/>
      <c r="FJ40" s="1498"/>
      <c r="FK40" s="1498"/>
      <c r="FL40" s="1535"/>
      <c r="FM40" s="1553"/>
    </row>
    <row r="41" spans="1:169">
      <c r="A41" s="1739"/>
      <c r="B41" s="1744"/>
      <c r="C41" s="1499" t="s">
        <v>225</v>
      </c>
      <c r="D41" s="1486">
        <f ca="1">SUM(E41:FL41)</f>
        <v>0</v>
      </c>
      <c r="E41" s="1490">
        <f ca="1">E39+E40</f>
        <v>0</v>
      </c>
      <c r="F41" s="1490">
        <f ca="1">F39+F40</f>
        <v>0</v>
      </c>
      <c r="G41" s="1490">
        <f t="shared" ref="G41:BQ41" ca="1" si="74">G39+G40</f>
        <v>0</v>
      </c>
      <c r="H41" s="1490">
        <f t="shared" ca="1" si="74"/>
        <v>0</v>
      </c>
      <c r="I41" s="1490">
        <f t="shared" ca="1" si="74"/>
        <v>0</v>
      </c>
      <c r="J41" s="1490">
        <f t="shared" ca="1" si="74"/>
        <v>0</v>
      </c>
      <c r="K41" s="1490">
        <f t="shared" ca="1" si="74"/>
        <v>0</v>
      </c>
      <c r="L41" s="1490">
        <f t="shared" ca="1" si="74"/>
        <v>0</v>
      </c>
      <c r="M41" s="1490">
        <f t="shared" ca="1" si="74"/>
        <v>0</v>
      </c>
      <c r="N41" s="1490">
        <f t="shared" ca="1" si="74"/>
        <v>0</v>
      </c>
      <c r="O41" s="1490">
        <f t="shared" ca="1" si="74"/>
        <v>0</v>
      </c>
      <c r="P41" s="1490">
        <f t="shared" ca="1" si="74"/>
        <v>0</v>
      </c>
      <c r="Q41" s="1490">
        <f t="shared" ca="1" si="74"/>
        <v>0</v>
      </c>
      <c r="R41" s="1490">
        <f t="shared" ca="1" si="74"/>
        <v>0</v>
      </c>
      <c r="S41" s="1490">
        <f t="shared" ca="1" si="74"/>
        <v>0</v>
      </c>
      <c r="T41" s="1490">
        <f t="shared" ca="1" si="74"/>
        <v>0</v>
      </c>
      <c r="U41" s="1490">
        <f t="shared" ca="1" si="74"/>
        <v>0</v>
      </c>
      <c r="V41" s="1490">
        <f t="shared" ca="1" si="74"/>
        <v>0</v>
      </c>
      <c r="W41" s="1490">
        <f t="shared" ca="1" si="74"/>
        <v>0</v>
      </c>
      <c r="X41" s="1490">
        <f t="shared" ca="1" si="74"/>
        <v>0</v>
      </c>
      <c r="Y41" s="1490">
        <f t="shared" ca="1" si="74"/>
        <v>0</v>
      </c>
      <c r="Z41" s="1490">
        <f t="shared" ca="1" si="74"/>
        <v>0</v>
      </c>
      <c r="AA41" s="1490">
        <f t="shared" ca="1" si="74"/>
        <v>0</v>
      </c>
      <c r="AB41" s="1490">
        <f t="shared" ca="1" si="74"/>
        <v>0</v>
      </c>
      <c r="AC41" s="1490">
        <f t="shared" ca="1" si="74"/>
        <v>0</v>
      </c>
      <c r="AD41" s="1490">
        <f t="shared" ca="1" si="74"/>
        <v>0</v>
      </c>
      <c r="AE41" s="1490">
        <f t="shared" ca="1" si="74"/>
        <v>0</v>
      </c>
      <c r="AF41" s="1490">
        <f t="shared" ca="1" si="74"/>
        <v>0</v>
      </c>
      <c r="AG41" s="1490">
        <f t="shared" ca="1" si="74"/>
        <v>0</v>
      </c>
      <c r="AH41" s="1490">
        <f t="shared" ca="1" si="74"/>
        <v>0</v>
      </c>
      <c r="AI41" s="1490">
        <f t="shared" ca="1" si="74"/>
        <v>0</v>
      </c>
      <c r="AJ41" s="1490">
        <f t="shared" ca="1" si="74"/>
        <v>0</v>
      </c>
      <c r="AK41" s="1490">
        <f t="shared" ca="1" si="74"/>
        <v>0</v>
      </c>
      <c r="AL41" s="1490">
        <f t="shared" ca="1" si="74"/>
        <v>0</v>
      </c>
      <c r="AM41" s="1490">
        <f t="shared" ca="1" si="74"/>
        <v>0</v>
      </c>
      <c r="AN41" s="1490">
        <f t="shared" ca="1" si="74"/>
        <v>0</v>
      </c>
      <c r="AO41" s="1490">
        <f t="shared" ca="1" si="74"/>
        <v>0</v>
      </c>
      <c r="AP41" s="1490">
        <f t="shared" ca="1" si="74"/>
        <v>0</v>
      </c>
      <c r="AQ41" s="1490">
        <f t="shared" ca="1" si="74"/>
        <v>0</v>
      </c>
      <c r="AR41" s="1490">
        <f t="shared" ca="1" si="74"/>
        <v>0</v>
      </c>
      <c r="AS41" s="1490">
        <f t="shared" ca="1" si="74"/>
        <v>0</v>
      </c>
      <c r="AT41" s="1490">
        <f t="shared" ca="1" si="74"/>
        <v>0</v>
      </c>
      <c r="AU41" s="1490">
        <f t="shared" ca="1" si="74"/>
        <v>0</v>
      </c>
      <c r="AV41" s="1490">
        <f t="shared" ca="1" si="74"/>
        <v>0</v>
      </c>
      <c r="AW41" s="1490">
        <f t="shared" ca="1" si="74"/>
        <v>0</v>
      </c>
      <c r="AX41" s="1490">
        <f t="shared" ca="1" si="74"/>
        <v>0</v>
      </c>
      <c r="AY41" s="1490">
        <f t="shared" ca="1" si="74"/>
        <v>0</v>
      </c>
      <c r="AZ41" s="1490">
        <f t="shared" ca="1" si="74"/>
        <v>0</v>
      </c>
      <c r="BA41" s="1490">
        <f t="shared" ca="1" si="74"/>
        <v>0</v>
      </c>
      <c r="BB41" s="1490">
        <f t="shared" ca="1" si="74"/>
        <v>0</v>
      </c>
      <c r="BC41" s="1490">
        <f t="shared" ca="1" si="74"/>
        <v>0</v>
      </c>
      <c r="BD41" s="1490">
        <f t="shared" ca="1" si="74"/>
        <v>0</v>
      </c>
      <c r="BE41" s="1490">
        <f t="shared" ca="1" si="74"/>
        <v>0</v>
      </c>
      <c r="BF41" s="1490">
        <f t="shared" ca="1" si="74"/>
        <v>0</v>
      </c>
      <c r="BG41" s="1490">
        <f t="shared" ca="1" si="74"/>
        <v>0</v>
      </c>
      <c r="BH41" s="1490">
        <f t="shared" ca="1" si="74"/>
        <v>0</v>
      </c>
      <c r="BI41" s="1490">
        <f t="shared" ca="1" si="74"/>
        <v>0</v>
      </c>
      <c r="BJ41" s="1490">
        <f t="shared" ca="1" si="74"/>
        <v>0</v>
      </c>
      <c r="BK41" s="1490">
        <f t="shared" ca="1" si="74"/>
        <v>0</v>
      </c>
      <c r="BL41" s="1490">
        <f t="shared" ca="1" si="74"/>
        <v>0</v>
      </c>
      <c r="BM41" s="1490">
        <f t="shared" ca="1" si="74"/>
        <v>0</v>
      </c>
      <c r="BN41" s="1490">
        <f t="shared" ca="1" si="74"/>
        <v>0</v>
      </c>
      <c r="BO41" s="1490">
        <f t="shared" ca="1" si="74"/>
        <v>0</v>
      </c>
      <c r="BP41" s="1490">
        <f t="shared" ca="1" si="74"/>
        <v>0</v>
      </c>
      <c r="BQ41" s="1490">
        <f t="shared" ca="1" si="74"/>
        <v>0</v>
      </c>
      <c r="BR41" s="1490">
        <f t="shared" ref="BR41:EC41" ca="1" si="75">BR39+BR40</f>
        <v>0</v>
      </c>
      <c r="BS41" s="1490">
        <f t="shared" ca="1" si="75"/>
        <v>0</v>
      </c>
      <c r="BT41" s="1490">
        <f t="shared" ca="1" si="75"/>
        <v>0</v>
      </c>
      <c r="BU41" s="1490">
        <f t="shared" ca="1" si="75"/>
        <v>0</v>
      </c>
      <c r="BV41" s="1490">
        <f t="shared" ca="1" si="75"/>
        <v>0</v>
      </c>
      <c r="BW41" s="1490">
        <f t="shared" ca="1" si="75"/>
        <v>0</v>
      </c>
      <c r="BX41" s="1490">
        <f t="shared" ca="1" si="75"/>
        <v>0</v>
      </c>
      <c r="BY41" s="1490">
        <f t="shared" ca="1" si="75"/>
        <v>0</v>
      </c>
      <c r="BZ41" s="1490">
        <f t="shared" ca="1" si="75"/>
        <v>0</v>
      </c>
      <c r="CA41" s="1490">
        <f t="shared" ca="1" si="75"/>
        <v>0</v>
      </c>
      <c r="CB41" s="1490">
        <f t="shared" ca="1" si="75"/>
        <v>0</v>
      </c>
      <c r="CC41" s="1490">
        <f t="shared" ca="1" si="75"/>
        <v>0</v>
      </c>
      <c r="CD41" s="1490">
        <f t="shared" ca="1" si="75"/>
        <v>0</v>
      </c>
      <c r="CE41" s="1490">
        <f t="shared" ca="1" si="75"/>
        <v>0</v>
      </c>
      <c r="CF41" s="1490">
        <f t="shared" ca="1" si="75"/>
        <v>0</v>
      </c>
      <c r="CG41" s="1490">
        <f t="shared" ca="1" si="75"/>
        <v>0</v>
      </c>
      <c r="CH41" s="1490">
        <f t="shared" ca="1" si="75"/>
        <v>0</v>
      </c>
      <c r="CI41" s="1490">
        <f t="shared" ca="1" si="75"/>
        <v>0</v>
      </c>
      <c r="CJ41" s="1490">
        <f t="shared" ca="1" si="75"/>
        <v>0</v>
      </c>
      <c r="CK41" s="1490">
        <f t="shared" ca="1" si="75"/>
        <v>0</v>
      </c>
      <c r="CL41" s="1490">
        <f t="shared" ca="1" si="75"/>
        <v>0</v>
      </c>
      <c r="CM41" s="1490">
        <f t="shared" ca="1" si="75"/>
        <v>0</v>
      </c>
      <c r="CN41" s="1490">
        <f t="shared" ca="1" si="75"/>
        <v>0</v>
      </c>
      <c r="CO41" s="1490">
        <f t="shared" ca="1" si="75"/>
        <v>0</v>
      </c>
      <c r="CP41" s="1490">
        <f t="shared" ca="1" si="75"/>
        <v>0</v>
      </c>
      <c r="CQ41" s="1490">
        <f t="shared" ca="1" si="75"/>
        <v>0</v>
      </c>
      <c r="CR41" s="1490">
        <f t="shared" ca="1" si="75"/>
        <v>0</v>
      </c>
      <c r="CS41" s="1490">
        <f t="shared" ca="1" si="75"/>
        <v>0</v>
      </c>
      <c r="CT41" s="1490">
        <f t="shared" ca="1" si="75"/>
        <v>0</v>
      </c>
      <c r="CU41" s="1490">
        <f t="shared" ca="1" si="75"/>
        <v>0</v>
      </c>
      <c r="CV41" s="1490">
        <f t="shared" ca="1" si="75"/>
        <v>0</v>
      </c>
      <c r="CW41" s="1490">
        <f t="shared" ca="1" si="75"/>
        <v>0</v>
      </c>
      <c r="CX41" s="1490">
        <f t="shared" ca="1" si="75"/>
        <v>0</v>
      </c>
      <c r="CY41" s="1490">
        <f t="shared" ca="1" si="75"/>
        <v>0</v>
      </c>
      <c r="CZ41" s="1490">
        <f t="shared" ca="1" si="75"/>
        <v>0</v>
      </c>
      <c r="DA41" s="1490">
        <f t="shared" ca="1" si="75"/>
        <v>0</v>
      </c>
      <c r="DB41" s="1490">
        <f t="shared" ca="1" si="75"/>
        <v>0</v>
      </c>
      <c r="DC41" s="1490">
        <f t="shared" ca="1" si="75"/>
        <v>0</v>
      </c>
      <c r="DD41" s="1490">
        <f t="shared" ca="1" si="75"/>
        <v>0</v>
      </c>
      <c r="DE41" s="1490">
        <f t="shared" ca="1" si="75"/>
        <v>0</v>
      </c>
      <c r="DF41" s="1490">
        <f t="shared" ca="1" si="75"/>
        <v>0</v>
      </c>
      <c r="DG41" s="1490">
        <f t="shared" ca="1" si="75"/>
        <v>0</v>
      </c>
      <c r="DH41" s="1490">
        <f t="shared" ca="1" si="75"/>
        <v>0</v>
      </c>
      <c r="DI41" s="1490">
        <f t="shared" ca="1" si="75"/>
        <v>0</v>
      </c>
      <c r="DJ41" s="1490">
        <f t="shared" ca="1" si="75"/>
        <v>0</v>
      </c>
      <c r="DK41" s="1490">
        <f t="shared" ca="1" si="75"/>
        <v>0</v>
      </c>
      <c r="DL41" s="1490">
        <f t="shared" ca="1" si="75"/>
        <v>0</v>
      </c>
      <c r="DM41" s="1490">
        <f t="shared" ca="1" si="75"/>
        <v>0</v>
      </c>
      <c r="DN41" s="1490">
        <f t="shared" ca="1" si="75"/>
        <v>0</v>
      </c>
      <c r="DO41" s="1490">
        <f t="shared" ca="1" si="75"/>
        <v>0</v>
      </c>
      <c r="DP41" s="1490">
        <f t="shared" ca="1" si="75"/>
        <v>0</v>
      </c>
      <c r="DQ41" s="1490">
        <f t="shared" ca="1" si="75"/>
        <v>0</v>
      </c>
      <c r="DR41" s="1490">
        <f t="shared" ca="1" si="75"/>
        <v>0</v>
      </c>
      <c r="DS41" s="1490">
        <f t="shared" ca="1" si="75"/>
        <v>0</v>
      </c>
      <c r="DT41" s="1490">
        <f t="shared" ca="1" si="75"/>
        <v>0</v>
      </c>
      <c r="DU41" s="1490">
        <f t="shared" si="75"/>
        <v>0</v>
      </c>
      <c r="DV41" s="1490">
        <f t="shared" si="75"/>
        <v>0</v>
      </c>
      <c r="DW41" s="1490">
        <f t="shared" si="75"/>
        <v>0</v>
      </c>
      <c r="DX41" s="1490">
        <f t="shared" si="75"/>
        <v>0</v>
      </c>
      <c r="DY41" s="1490">
        <f t="shared" si="75"/>
        <v>0</v>
      </c>
      <c r="DZ41" s="1490">
        <f t="shared" si="75"/>
        <v>0</v>
      </c>
      <c r="EA41" s="1490">
        <f t="shared" si="75"/>
        <v>0</v>
      </c>
      <c r="EB41" s="1490">
        <f t="shared" si="75"/>
        <v>0</v>
      </c>
      <c r="EC41" s="1490">
        <f t="shared" si="75"/>
        <v>0</v>
      </c>
      <c r="ED41" s="1490">
        <f t="shared" ref="ED41:FH41" si="76">ED39+ED40</f>
        <v>0</v>
      </c>
      <c r="EE41" s="1490">
        <f t="shared" si="76"/>
        <v>0</v>
      </c>
      <c r="EF41" s="1490">
        <f t="shared" si="76"/>
        <v>0</v>
      </c>
      <c r="EG41" s="1490">
        <f t="shared" si="76"/>
        <v>0</v>
      </c>
      <c r="EH41" s="1490">
        <f t="shared" si="76"/>
        <v>0</v>
      </c>
      <c r="EI41" s="1490">
        <f t="shared" si="76"/>
        <v>0</v>
      </c>
      <c r="EJ41" s="1490">
        <f t="shared" si="76"/>
        <v>0</v>
      </c>
      <c r="EK41" s="1490">
        <f t="shared" si="76"/>
        <v>0</v>
      </c>
      <c r="EL41" s="1490">
        <f t="shared" si="76"/>
        <v>0</v>
      </c>
      <c r="EM41" s="1490">
        <f t="shared" si="76"/>
        <v>0</v>
      </c>
      <c r="EN41" s="1490">
        <f t="shared" si="76"/>
        <v>0</v>
      </c>
      <c r="EO41" s="1490">
        <f t="shared" si="76"/>
        <v>0</v>
      </c>
      <c r="EP41" s="1490">
        <f t="shared" si="76"/>
        <v>0</v>
      </c>
      <c r="EQ41" s="1490">
        <f t="shared" si="76"/>
        <v>0</v>
      </c>
      <c r="ER41" s="1490">
        <f t="shared" si="76"/>
        <v>0</v>
      </c>
      <c r="ES41" s="1490">
        <f t="shared" si="76"/>
        <v>0</v>
      </c>
      <c r="ET41" s="1490">
        <f t="shared" si="76"/>
        <v>0</v>
      </c>
      <c r="EU41" s="1490">
        <f t="shared" si="76"/>
        <v>0</v>
      </c>
      <c r="EV41" s="1490">
        <f t="shared" si="76"/>
        <v>0</v>
      </c>
      <c r="EW41" s="1490">
        <f t="shared" si="76"/>
        <v>0</v>
      </c>
      <c r="EX41" s="1490">
        <f t="shared" si="76"/>
        <v>0</v>
      </c>
      <c r="EY41" s="1490">
        <f t="shared" si="76"/>
        <v>0</v>
      </c>
      <c r="EZ41" s="1490">
        <f t="shared" si="76"/>
        <v>0</v>
      </c>
      <c r="FA41" s="1490">
        <f t="shared" si="76"/>
        <v>0</v>
      </c>
      <c r="FB41" s="1490">
        <f t="shared" si="76"/>
        <v>0</v>
      </c>
      <c r="FC41" s="1490">
        <f t="shared" si="76"/>
        <v>0</v>
      </c>
      <c r="FD41" s="1490">
        <f t="shared" si="76"/>
        <v>0</v>
      </c>
      <c r="FE41" s="1490">
        <f t="shared" si="76"/>
        <v>0</v>
      </c>
      <c r="FF41" s="1490">
        <f t="shared" si="76"/>
        <v>0</v>
      </c>
      <c r="FG41" s="1490">
        <f t="shared" si="76"/>
        <v>0</v>
      </c>
      <c r="FH41" s="1500">
        <f t="shared" si="76"/>
        <v>0</v>
      </c>
      <c r="FI41" s="1500"/>
      <c r="FJ41" s="1500"/>
      <c r="FK41" s="1500"/>
      <c r="FL41" s="1538"/>
      <c r="FM41" s="1556"/>
    </row>
    <row r="42" spans="1:169">
      <c r="A42" s="1739"/>
      <c r="B42" s="1744"/>
      <c r="C42" s="1499" t="s">
        <v>226</v>
      </c>
      <c r="D42" s="1486"/>
      <c r="E42" s="1490">
        <f ca="1">IF(E41&lt;0,E41,0)</f>
        <v>0</v>
      </c>
      <c r="F42" s="1505">
        <f ca="1">IF(F41&lt;0,F41,0)</f>
        <v>0</v>
      </c>
      <c r="G42" s="1505">
        <f ca="1">IF(G41&lt;0,G41,0)</f>
        <v>0</v>
      </c>
      <c r="H42" s="1505">
        <f t="shared" ref="H42:BS42" ca="1" si="77">IF(H41&lt;0,H41,0)</f>
        <v>0</v>
      </c>
      <c r="I42" s="1505">
        <f t="shared" ca="1" si="77"/>
        <v>0</v>
      </c>
      <c r="J42" s="1505">
        <f t="shared" ca="1" si="77"/>
        <v>0</v>
      </c>
      <c r="K42" s="1505">
        <f t="shared" ca="1" si="77"/>
        <v>0</v>
      </c>
      <c r="L42" s="1505">
        <f t="shared" ca="1" si="77"/>
        <v>0</v>
      </c>
      <c r="M42" s="1505">
        <f t="shared" ca="1" si="77"/>
        <v>0</v>
      </c>
      <c r="N42" s="1505">
        <f t="shared" ca="1" si="77"/>
        <v>0</v>
      </c>
      <c r="O42" s="1505">
        <f t="shared" ca="1" si="77"/>
        <v>0</v>
      </c>
      <c r="P42" s="1505">
        <f t="shared" ca="1" si="77"/>
        <v>0</v>
      </c>
      <c r="Q42" s="1505">
        <f t="shared" ca="1" si="77"/>
        <v>0</v>
      </c>
      <c r="R42" s="1505">
        <f t="shared" ca="1" si="77"/>
        <v>0</v>
      </c>
      <c r="S42" s="1505">
        <f t="shared" ca="1" si="77"/>
        <v>0</v>
      </c>
      <c r="T42" s="1505">
        <f t="shared" ca="1" si="77"/>
        <v>0</v>
      </c>
      <c r="U42" s="1505">
        <f t="shared" ca="1" si="77"/>
        <v>0</v>
      </c>
      <c r="V42" s="1505">
        <f t="shared" ca="1" si="77"/>
        <v>0</v>
      </c>
      <c r="W42" s="1505">
        <f t="shared" ca="1" si="77"/>
        <v>0</v>
      </c>
      <c r="X42" s="1505">
        <f t="shared" ca="1" si="77"/>
        <v>0</v>
      </c>
      <c r="Y42" s="1505">
        <f t="shared" ca="1" si="77"/>
        <v>0</v>
      </c>
      <c r="Z42" s="1505">
        <f t="shared" ca="1" si="77"/>
        <v>0</v>
      </c>
      <c r="AA42" s="1505">
        <f t="shared" ca="1" si="77"/>
        <v>0</v>
      </c>
      <c r="AB42" s="1505">
        <f t="shared" ca="1" si="77"/>
        <v>0</v>
      </c>
      <c r="AC42" s="1505">
        <f t="shared" ca="1" si="77"/>
        <v>0</v>
      </c>
      <c r="AD42" s="1505">
        <f t="shared" ca="1" si="77"/>
        <v>0</v>
      </c>
      <c r="AE42" s="1505">
        <f t="shared" ca="1" si="77"/>
        <v>0</v>
      </c>
      <c r="AF42" s="1505">
        <f t="shared" ca="1" si="77"/>
        <v>0</v>
      </c>
      <c r="AG42" s="1505">
        <f t="shared" ca="1" si="77"/>
        <v>0</v>
      </c>
      <c r="AH42" s="1505">
        <f t="shared" ca="1" si="77"/>
        <v>0</v>
      </c>
      <c r="AI42" s="1505">
        <f t="shared" ca="1" si="77"/>
        <v>0</v>
      </c>
      <c r="AJ42" s="1505">
        <f t="shared" ca="1" si="77"/>
        <v>0</v>
      </c>
      <c r="AK42" s="1505">
        <f t="shared" ca="1" si="77"/>
        <v>0</v>
      </c>
      <c r="AL42" s="1505">
        <f t="shared" ca="1" si="77"/>
        <v>0</v>
      </c>
      <c r="AM42" s="1505">
        <f t="shared" ca="1" si="77"/>
        <v>0</v>
      </c>
      <c r="AN42" s="1505">
        <f t="shared" ca="1" si="77"/>
        <v>0</v>
      </c>
      <c r="AO42" s="1505">
        <f t="shared" ca="1" si="77"/>
        <v>0</v>
      </c>
      <c r="AP42" s="1505">
        <f t="shared" ca="1" si="77"/>
        <v>0</v>
      </c>
      <c r="AQ42" s="1505">
        <f t="shared" ca="1" si="77"/>
        <v>0</v>
      </c>
      <c r="AR42" s="1505">
        <f t="shared" ca="1" si="77"/>
        <v>0</v>
      </c>
      <c r="AS42" s="1505">
        <f t="shared" ca="1" si="77"/>
        <v>0</v>
      </c>
      <c r="AT42" s="1505">
        <f t="shared" ca="1" si="77"/>
        <v>0</v>
      </c>
      <c r="AU42" s="1505">
        <f t="shared" ca="1" si="77"/>
        <v>0</v>
      </c>
      <c r="AV42" s="1505">
        <f t="shared" ca="1" si="77"/>
        <v>0</v>
      </c>
      <c r="AW42" s="1505">
        <f t="shared" ca="1" si="77"/>
        <v>0</v>
      </c>
      <c r="AX42" s="1505">
        <f t="shared" ca="1" si="77"/>
        <v>0</v>
      </c>
      <c r="AY42" s="1505">
        <f t="shared" ca="1" si="77"/>
        <v>0</v>
      </c>
      <c r="AZ42" s="1505">
        <f t="shared" ca="1" si="77"/>
        <v>0</v>
      </c>
      <c r="BA42" s="1505">
        <f t="shared" ca="1" si="77"/>
        <v>0</v>
      </c>
      <c r="BB42" s="1505">
        <f t="shared" ca="1" si="77"/>
        <v>0</v>
      </c>
      <c r="BC42" s="1505">
        <f t="shared" ca="1" si="77"/>
        <v>0</v>
      </c>
      <c r="BD42" s="1505">
        <f t="shared" ca="1" si="77"/>
        <v>0</v>
      </c>
      <c r="BE42" s="1505">
        <f t="shared" ca="1" si="77"/>
        <v>0</v>
      </c>
      <c r="BF42" s="1505">
        <f t="shared" ca="1" si="77"/>
        <v>0</v>
      </c>
      <c r="BG42" s="1505">
        <f t="shared" ca="1" si="77"/>
        <v>0</v>
      </c>
      <c r="BH42" s="1505">
        <f t="shared" ca="1" si="77"/>
        <v>0</v>
      </c>
      <c r="BI42" s="1505">
        <f t="shared" ca="1" si="77"/>
        <v>0</v>
      </c>
      <c r="BJ42" s="1505">
        <f t="shared" ca="1" si="77"/>
        <v>0</v>
      </c>
      <c r="BK42" s="1505">
        <f t="shared" ca="1" si="77"/>
        <v>0</v>
      </c>
      <c r="BL42" s="1505">
        <f t="shared" ca="1" si="77"/>
        <v>0</v>
      </c>
      <c r="BM42" s="1505">
        <f t="shared" ca="1" si="77"/>
        <v>0</v>
      </c>
      <c r="BN42" s="1505">
        <f t="shared" ca="1" si="77"/>
        <v>0</v>
      </c>
      <c r="BO42" s="1505">
        <f t="shared" ca="1" si="77"/>
        <v>0</v>
      </c>
      <c r="BP42" s="1505">
        <f t="shared" ca="1" si="77"/>
        <v>0</v>
      </c>
      <c r="BQ42" s="1505">
        <f t="shared" ca="1" si="77"/>
        <v>0</v>
      </c>
      <c r="BR42" s="1505">
        <f t="shared" ca="1" si="77"/>
        <v>0</v>
      </c>
      <c r="BS42" s="1505">
        <f t="shared" ca="1" si="77"/>
        <v>0</v>
      </c>
      <c r="BT42" s="1505">
        <f t="shared" ref="BT42:EE42" ca="1" si="78">IF(BT41&lt;0,BT41,0)</f>
        <v>0</v>
      </c>
      <c r="BU42" s="1505">
        <f t="shared" ca="1" si="78"/>
        <v>0</v>
      </c>
      <c r="BV42" s="1505">
        <f t="shared" ca="1" si="78"/>
        <v>0</v>
      </c>
      <c r="BW42" s="1505">
        <f t="shared" ca="1" si="78"/>
        <v>0</v>
      </c>
      <c r="BX42" s="1505">
        <f t="shared" ca="1" si="78"/>
        <v>0</v>
      </c>
      <c r="BY42" s="1505">
        <f t="shared" ca="1" si="78"/>
        <v>0</v>
      </c>
      <c r="BZ42" s="1505">
        <f t="shared" ca="1" si="78"/>
        <v>0</v>
      </c>
      <c r="CA42" s="1505">
        <f t="shared" ca="1" si="78"/>
        <v>0</v>
      </c>
      <c r="CB42" s="1505">
        <f t="shared" ca="1" si="78"/>
        <v>0</v>
      </c>
      <c r="CC42" s="1505">
        <f t="shared" ca="1" si="78"/>
        <v>0</v>
      </c>
      <c r="CD42" s="1505">
        <f t="shared" ca="1" si="78"/>
        <v>0</v>
      </c>
      <c r="CE42" s="1505">
        <f t="shared" ca="1" si="78"/>
        <v>0</v>
      </c>
      <c r="CF42" s="1505">
        <f t="shared" ca="1" si="78"/>
        <v>0</v>
      </c>
      <c r="CG42" s="1505">
        <f t="shared" ca="1" si="78"/>
        <v>0</v>
      </c>
      <c r="CH42" s="1505">
        <f t="shared" ca="1" si="78"/>
        <v>0</v>
      </c>
      <c r="CI42" s="1505">
        <f t="shared" ca="1" si="78"/>
        <v>0</v>
      </c>
      <c r="CJ42" s="1505">
        <f t="shared" ca="1" si="78"/>
        <v>0</v>
      </c>
      <c r="CK42" s="1505">
        <f t="shared" ca="1" si="78"/>
        <v>0</v>
      </c>
      <c r="CL42" s="1505">
        <f t="shared" ca="1" si="78"/>
        <v>0</v>
      </c>
      <c r="CM42" s="1505">
        <f t="shared" ca="1" si="78"/>
        <v>0</v>
      </c>
      <c r="CN42" s="1505">
        <f t="shared" ca="1" si="78"/>
        <v>0</v>
      </c>
      <c r="CO42" s="1505">
        <f t="shared" ca="1" si="78"/>
        <v>0</v>
      </c>
      <c r="CP42" s="1505">
        <f t="shared" ca="1" si="78"/>
        <v>0</v>
      </c>
      <c r="CQ42" s="1505">
        <f t="shared" ca="1" si="78"/>
        <v>0</v>
      </c>
      <c r="CR42" s="1505">
        <f t="shared" ca="1" si="78"/>
        <v>0</v>
      </c>
      <c r="CS42" s="1505">
        <f t="shared" ca="1" si="78"/>
        <v>0</v>
      </c>
      <c r="CT42" s="1505">
        <f t="shared" ca="1" si="78"/>
        <v>0</v>
      </c>
      <c r="CU42" s="1505">
        <f t="shared" ca="1" si="78"/>
        <v>0</v>
      </c>
      <c r="CV42" s="1505">
        <f t="shared" ca="1" si="78"/>
        <v>0</v>
      </c>
      <c r="CW42" s="1505">
        <f t="shared" ca="1" si="78"/>
        <v>0</v>
      </c>
      <c r="CX42" s="1505">
        <f t="shared" ca="1" si="78"/>
        <v>0</v>
      </c>
      <c r="CY42" s="1505">
        <f t="shared" ca="1" si="78"/>
        <v>0</v>
      </c>
      <c r="CZ42" s="1505">
        <f t="shared" ca="1" si="78"/>
        <v>0</v>
      </c>
      <c r="DA42" s="1505">
        <f t="shared" ca="1" si="78"/>
        <v>0</v>
      </c>
      <c r="DB42" s="1505">
        <f t="shared" ca="1" si="78"/>
        <v>0</v>
      </c>
      <c r="DC42" s="1505">
        <f t="shared" ca="1" si="78"/>
        <v>0</v>
      </c>
      <c r="DD42" s="1505">
        <f t="shared" ca="1" si="78"/>
        <v>0</v>
      </c>
      <c r="DE42" s="1505">
        <f t="shared" ca="1" si="78"/>
        <v>0</v>
      </c>
      <c r="DF42" s="1505">
        <f t="shared" ca="1" si="78"/>
        <v>0</v>
      </c>
      <c r="DG42" s="1505">
        <f t="shared" ca="1" si="78"/>
        <v>0</v>
      </c>
      <c r="DH42" s="1505">
        <f t="shared" ca="1" si="78"/>
        <v>0</v>
      </c>
      <c r="DI42" s="1505">
        <f t="shared" ca="1" si="78"/>
        <v>0</v>
      </c>
      <c r="DJ42" s="1505">
        <f t="shared" ca="1" si="78"/>
        <v>0</v>
      </c>
      <c r="DK42" s="1505">
        <f t="shared" ca="1" si="78"/>
        <v>0</v>
      </c>
      <c r="DL42" s="1505">
        <f t="shared" ca="1" si="78"/>
        <v>0</v>
      </c>
      <c r="DM42" s="1505">
        <f t="shared" ca="1" si="78"/>
        <v>0</v>
      </c>
      <c r="DN42" s="1505">
        <f t="shared" ca="1" si="78"/>
        <v>0</v>
      </c>
      <c r="DO42" s="1505">
        <f t="shared" ca="1" si="78"/>
        <v>0</v>
      </c>
      <c r="DP42" s="1505">
        <f t="shared" ca="1" si="78"/>
        <v>0</v>
      </c>
      <c r="DQ42" s="1505">
        <f t="shared" ca="1" si="78"/>
        <v>0</v>
      </c>
      <c r="DR42" s="1505">
        <f t="shared" ca="1" si="78"/>
        <v>0</v>
      </c>
      <c r="DS42" s="1505">
        <f t="shared" ca="1" si="78"/>
        <v>0</v>
      </c>
      <c r="DT42" s="1505">
        <f t="shared" ca="1" si="78"/>
        <v>0</v>
      </c>
      <c r="DU42" s="1505">
        <f t="shared" si="78"/>
        <v>0</v>
      </c>
      <c r="DV42" s="1505">
        <f t="shared" si="78"/>
        <v>0</v>
      </c>
      <c r="DW42" s="1505">
        <f t="shared" si="78"/>
        <v>0</v>
      </c>
      <c r="DX42" s="1505">
        <f t="shared" si="78"/>
        <v>0</v>
      </c>
      <c r="DY42" s="1505">
        <f t="shared" si="78"/>
        <v>0</v>
      </c>
      <c r="DZ42" s="1505">
        <f t="shared" si="78"/>
        <v>0</v>
      </c>
      <c r="EA42" s="1505">
        <f t="shared" si="78"/>
        <v>0</v>
      </c>
      <c r="EB42" s="1505">
        <f t="shared" si="78"/>
        <v>0</v>
      </c>
      <c r="EC42" s="1505">
        <f t="shared" si="78"/>
        <v>0</v>
      </c>
      <c r="ED42" s="1505">
        <f t="shared" si="78"/>
        <v>0</v>
      </c>
      <c r="EE42" s="1505">
        <f t="shared" si="78"/>
        <v>0</v>
      </c>
      <c r="EF42" s="1505">
        <f t="shared" ref="EF42:FL42" si="79">IF(EF41&lt;0,EF41,0)</f>
        <v>0</v>
      </c>
      <c r="EG42" s="1505">
        <f t="shared" si="79"/>
        <v>0</v>
      </c>
      <c r="EH42" s="1505">
        <f t="shared" si="79"/>
        <v>0</v>
      </c>
      <c r="EI42" s="1505">
        <f t="shared" si="79"/>
        <v>0</v>
      </c>
      <c r="EJ42" s="1505">
        <f t="shared" si="79"/>
        <v>0</v>
      </c>
      <c r="EK42" s="1505">
        <f t="shared" si="79"/>
        <v>0</v>
      </c>
      <c r="EL42" s="1505">
        <f t="shared" si="79"/>
        <v>0</v>
      </c>
      <c r="EM42" s="1505">
        <f t="shared" si="79"/>
        <v>0</v>
      </c>
      <c r="EN42" s="1505">
        <f t="shared" si="79"/>
        <v>0</v>
      </c>
      <c r="EO42" s="1505">
        <f t="shared" si="79"/>
        <v>0</v>
      </c>
      <c r="EP42" s="1505">
        <f t="shared" si="79"/>
        <v>0</v>
      </c>
      <c r="EQ42" s="1505">
        <f t="shared" si="79"/>
        <v>0</v>
      </c>
      <c r="ER42" s="1505">
        <f t="shared" si="79"/>
        <v>0</v>
      </c>
      <c r="ES42" s="1505">
        <f t="shared" si="79"/>
        <v>0</v>
      </c>
      <c r="ET42" s="1505">
        <f t="shared" si="79"/>
        <v>0</v>
      </c>
      <c r="EU42" s="1505">
        <f t="shared" si="79"/>
        <v>0</v>
      </c>
      <c r="EV42" s="1505">
        <f t="shared" si="79"/>
        <v>0</v>
      </c>
      <c r="EW42" s="1505">
        <f t="shared" si="79"/>
        <v>0</v>
      </c>
      <c r="EX42" s="1505">
        <f t="shared" si="79"/>
        <v>0</v>
      </c>
      <c r="EY42" s="1505">
        <f t="shared" si="79"/>
        <v>0</v>
      </c>
      <c r="EZ42" s="1505">
        <f t="shared" si="79"/>
        <v>0</v>
      </c>
      <c r="FA42" s="1505">
        <f t="shared" si="79"/>
        <v>0</v>
      </c>
      <c r="FB42" s="1505">
        <f t="shared" si="79"/>
        <v>0</v>
      </c>
      <c r="FC42" s="1505">
        <f t="shared" si="79"/>
        <v>0</v>
      </c>
      <c r="FD42" s="1505">
        <f t="shared" si="79"/>
        <v>0</v>
      </c>
      <c r="FE42" s="1505">
        <f t="shared" si="79"/>
        <v>0</v>
      </c>
      <c r="FF42" s="1505">
        <f t="shared" si="79"/>
        <v>0</v>
      </c>
      <c r="FG42" s="1505">
        <f t="shared" si="79"/>
        <v>0</v>
      </c>
      <c r="FH42" s="1543">
        <f t="shared" si="79"/>
        <v>0</v>
      </c>
      <c r="FI42" s="1543">
        <f t="shared" si="79"/>
        <v>0</v>
      </c>
      <c r="FJ42" s="1543">
        <f t="shared" si="79"/>
        <v>0</v>
      </c>
      <c r="FK42" s="1543">
        <f t="shared" si="79"/>
        <v>0</v>
      </c>
      <c r="FL42" s="1544">
        <f t="shared" si="79"/>
        <v>0</v>
      </c>
      <c r="FM42" s="1556"/>
    </row>
    <row r="43" spans="1:169">
      <c r="A43" s="1739"/>
      <c r="B43" s="1744"/>
      <c r="C43" s="1499" t="s">
        <v>227</v>
      </c>
      <c r="D43" s="1486"/>
      <c r="E43" s="1490">
        <f ca="1">E42</f>
        <v>0</v>
      </c>
      <c r="F43" s="1505">
        <f t="shared" ref="F43:M43" ca="1" si="80">F42+E45</f>
        <v>0</v>
      </c>
      <c r="G43" s="1505">
        <f t="shared" ca="1" si="80"/>
        <v>0</v>
      </c>
      <c r="H43" s="1505">
        <f t="shared" ca="1" si="80"/>
        <v>0</v>
      </c>
      <c r="I43" s="1505">
        <f t="shared" ca="1" si="80"/>
        <v>0</v>
      </c>
      <c r="J43" s="1505">
        <f t="shared" ca="1" si="80"/>
        <v>0</v>
      </c>
      <c r="K43" s="1505">
        <f t="shared" ca="1" si="80"/>
        <v>0</v>
      </c>
      <c r="L43" s="1505">
        <f t="shared" ca="1" si="80"/>
        <v>0</v>
      </c>
      <c r="M43" s="1505">
        <f t="shared" ca="1" si="80"/>
        <v>0</v>
      </c>
      <c r="N43" s="1505">
        <f t="shared" ref="N43:BS43" ca="1" si="81">N42+M45</f>
        <v>0</v>
      </c>
      <c r="O43" s="1505">
        <f t="shared" ca="1" si="81"/>
        <v>0</v>
      </c>
      <c r="P43" s="1505">
        <f t="shared" ca="1" si="81"/>
        <v>0</v>
      </c>
      <c r="Q43" s="1505">
        <f t="shared" ca="1" si="81"/>
        <v>0</v>
      </c>
      <c r="R43" s="1505">
        <f t="shared" ca="1" si="81"/>
        <v>0</v>
      </c>
      <c r="S43" s="1505">
        <f t="shared" ca="1" si="81"/>
        <v>0</v>
      </c>
      <c r="T43" s="1505">
        <f t="shared" ca="1" si="81"/>
        <v>0</v>
      </c>
      <c r="U43" s="1505">
        <f t="shared" ca="1" si="81"/>
        <v>0</v>
      </c>
      <c r="V43" s="1505">
        <f t="shared" ca="1" si="81"/>
        <v>0</v>
      </c>
      <c r="W43" s="1505">
        <f t="shared" ca="1" si="81"/>
        <v>0</v>
      </c>
      <c r="X43" s="1505">
        <f t="shared" ca="1" si="81"/>
        <v>0</v>
      </c>
      <c r="Y43" s="1505">
        <f t="shared" ca="1" si="81"/>
        <v>0</v>
      </c>
      <c r="Z43" s="1505">
        <f t="shared" ca="1" si="81"/>
        <v>0</v>
      </c>
      <c r="AA43" s="1505">
        <f t="shared" ca="1" si="81"/>
        <v>0</v>
      </c>
      <c r="AB43" s="1505">
        <f t="shared" ca="1" si="81"/>
        <v>0</v>
      </c>
      <c r="AC43" s="1505">
        <f t="shared" ca="1" si="81"/>
        <v>0</v>
      </c>
      <c r="AD43" s="1505">
        <f t="shared" ca="1" si="81"/>
        <v>0</v>
      </c>
      <c r="AE43" s="1505">
        <f t="shared" ca="1" si="81"/>
        <v>0</v>
      </c>
      <c r="AF43" s="1505">
        <f t="shared" ca="1" si="81"/>
        <v>0</v>
      </c>
      <c r="AG43" s="1505">
        <f t="shared" ca="1" si="81"/>
        <v>0</v>
      </c>
      <c r="AH43" s="1505">
        <f t="shared" ca="1" si="81"/>
        <v>0</v>
      </c>
      <c r="AI43" s="1505">
        <f t="shared" ca="1" si="81"/>
        <v>0</v>
      </c>
      <c r="AJ43" s="1505">
        <f t="shared" ca="1" si="81"/>
        <v>0</v>
      </c>
      <c r="AK43" s="1505">
        <f t="shared" ca="1" si="81"/>
        <v>0</v>
      </c>
      <c r="AL43" s="1505">
        <f t="shared" ca="1" si="81"/>
        <v>0</v>
      </c>
      <c r="AM43" s="1505">
        <f t="shared" ca="1" si="81"/>
        <v>0</v>
      </c>
      <c r="AN43" s="1505">
        <f t="shared" ca="1" si="81"/>
        <v>0</v>
      </c>
      <c r="AO43" s="1505">
        <f t="shared" ca="1" si="81"/>
        <v>0</v>
      </c>
      <c r="AP43" s="1505">
        <f t="shared" ca="1" si="81"/>
        <v>0</v>
      </c>
      <c r="AQ43" s="1505">
        <f t="shared" ca="1" si="81"/>
        <v>0</v>
      </c>
      <c r="AR43" s="1505">
        <f t="shared" ca="1" si="81"/>
        <v>0</v>
      </c>
      <c r="AS43" s="1505">
        <f t="shared" ca="1" si="81"/>
        <v>0</v>
      </c>
      <c r="AT43" s="1505">
        <f t="shared" ca="1" si="81"/>
        <v>0</v>
      </c>
      <c r="AU43" s="1505">
        <f t="shared" ca="1" si="81"/>
        <v>0</v>
      </c>
      <c r="AV43" s="1505">
        <f t="shared" ca="1" si="81"/>
        <v>0</v>
      </c>
      <c r="AW43" s="1505">
        <f t="shared" ca="1" si="81"/>
        <v>0</v>
      </c>
      <c r="AX43" s="1505">
        <f t="shared" ca="1" si="81"/>
        <v>0</v>
      </c>
      <c r="AY43" s="1505">
        <f t="shared" ca="1" si="81"/>
        <v>0</v>
      </c>
      <c r="AZ43" s="1505">
        <f t="shared" ca="1" si="81"/>
        <v>0</v>
      </c>
      <c r="BA43" s="1505">
        <f t="shared" ca="1" si="81"/>
        <v>0</v>
      </c>
      <c r="BB43" s="1505">
        <f t="shared" ca="1" si="81"/>
        <v>0</v>
      </c>
      <c r="BC43" s="1505">
        <f t="shared" ca="1" si="81"/>
        <v>0</v>
      </c>
      <c r="BD43" s="1505">
        <f t="shared" ca="1" si="81"/>
        <v>0</v>
      </c>
      <c r="BE43" s="1505">
        <f t="shared" ca="1" si="81"/>
        <v>0</v>
      </c>
      <c r="BF43" s="1505">
        <f t="shared" ca="1" si="81"/>
        <v>0</v>
      </c>
      <c r="BG43" s="1505">
        <f t="shared" ca="1" si="81"/>
        <v>0</v>
      </c>
      <c r="BH43" s="1505">
        <f t="shared" ca="1" si="81"/>
        <v>0</v>
      </c>
      <c r="BI43" s="1505">
        <f t="shared" ca="1" si="81"/>
        <v>0</v>
      </c>
      <c r="BJ43" s="1505">
        <f t="shared" ca="1" si="81"/>
        <v>0</v>
      </c>
      <c r="BK43" s="1505">
        <f t="shared" ca="1" si="81"/>
        <v>0</v>
      </c>
      <c r="BL43" s="1505">
        <f t="shared" ca="1" si="81"/>
        <v>0</v>
      </c>
      <c r="BM43" s="1505">
        <f t="shared" ca="1" si="81"/>
        <v>0</v>
      </c>
      <c r="BN43" s="1505">
        <f t="shared" ca="1" si="81"/>
        <v>0</v>
      </c>
      <c r="BO43" s="1505">
        <f t="shared" ca="1" si="81"/>
        <v>0</v>
      </c>
      <c r="BP43" s="1505">
        <f t="shared" ca="1" si="81"/>
        <v>0</v>
      </c>
      <c r="BQ43" s="1505">
        <f t="shared" ca="1" si="81"/>
        <v>0</v>
      </c>
      <c r="BR43" s="1505">
        <f t="shared" ca="1" si="81"/>
        <v>0</v>
      </c>
      <c r="BS43" s="1505">
        <f t="shared" ca="1" si="81"/>
        <v>0</v>
      </c>
      <c r="BT43" s="1505">
        <f t="shared" ref="BT43:EE43" ca="1" si="82">BT42+BS45</f>
        <v>0</v>
      </c>
      <c r="BU43" s="1505">
        <f t="shared" ca="1" si="82"/>
        <v>0</v>
      </c>
      <c r="BV43" s="1505">
        <f t="shared" ca="1" si="82"/>
        <v>0</v>
      </c>
      <c r="BW43" s="1505">
        <f t="shared" ca="1" si="82"/>
        <v>0</v>
      </c>
      <c r="BX43" s="1505">
        <f t="shared" ca="1" si="82"/>
        <v>0</v>
      </c>
      <c r="BY43" s="1505">
        <f t="shared" ca="1" si="82"/>
        <v>0</v>
      </c>
      <c r="BZ43" s="1505">
        <f t="shared" ca="1" si="82"/>
        <v>0</v>
      </c>
      <c r="CA43" s="1505">
        <f t="shared" ca="1" si="82"/>
        <v>0</v>
      </c>
      <c r="CB43" s="1505">
        <f t="shared" ca="1" si="82"/>
        <v>0</v>
      </c>
      <c r="CC43" s="1505">
        <f t="shared" ca="1" si="82"/>
        <v>0</v>
      </c>
      <c r="CD43" s="1505">
        <f t="shared" ca="1" si="82"/>
        <v>0</v>
      </c>
      <c r="CE43" s="1505">
        <f t="shared" ca="1" si="82"/>
        <v>0</v>
      </c>
      <c r="CF43" s="1505">
        <f t="shared" ca="1" si="82"/>
        <v>0</v>
      </c>
      <c r="CG43" s="1505">
        <f t="shared" ca="1" si="82"/>
        <v>0</v>
      </c>
      <c r="CH43" s="1505">
        <f t="shared" ca="1" si="82"/>
        <v>0</v>
      </c>
      <c r="CI43" s="1505">
        <f t="shared" ca="1" si="82"/>
        <v>0</v>
      </c>
      <c r="CJ43" s="1505">
        <f t="shared" ca="1" si="82"/>
        <v>0</v>
      </c>
      <c r="CK43" s="1505">
        <f t="shared" ca="1" si="82"/>
        <v>0</v>
      </c>
      <c r="CL43" s="1505">
        <f t="shared" ca="1" si="82"/>
        <v>0</v>
      </c>
      <c r="CM43" s="1505">
        <f t="shared" ca="1" si="82"/>
        <v>0</v>
      </c>
      <c r="CN43" s="1505">
        <f t="shared" ca="1" si="82"/>
        <v>0</v>
      </c>
      <c r="CO43" s="1505">
        <f t="shared" ca="1" si="82"/>
        <v>0</v>
      </c>
      <c r="CP43" s="1505">
        <f t="shared" ca="1" si="82"/>
        <v>0</v>
      </c>
      <c r="CQ43" s="1505">
        <f t="shared" ca="1" si="82"/>
        <v>0</v>
      </c>
      <c r="CR43" s="1505">
        <f t="shared" ca="1" si="82"/>
        <v>0</v>
      </c>
      <c r="CS43" s="1505">
        <f t="shared" ca="1" si="82"/>
        <v>0</v>
      </c>
      <c r="CT43" s="1505">
        <f t="shared" ca="1" si="82"/>
        <v>0</v>
      </c>
      <c r="CU43" s="1505">
        <f t="shared" ca="1" si="82"/>
        <v>0</v>
      </c>
      <c r="CV43" s="1505">
        <f t="shared" ca="1" si="82"/>
        <v>0</v>
      </c>
      <c r="CW43" s="1505">
        <f t="shared" ca="1" si="82"/>
        <v>0</v>
      </c>
      <c r="CX43" s="1505">
        <f t="shared" ca="1" si="82"/>
        <v>0</v>
      </c>
      <c r="CY43" s="1505">
        <f t="shared" ca="1" si="82"/>
        <v>0</v>
      </c>
      <c r="CZ43" s="1505">
        <f t="shared" ca="1" si="82"/>
        <v>0</v>
      </c>
      <c r="DA43" s="1505">
        <f t="shared" ca="1" si="82"/>
        <v>0</v>
      </c>
      <c r="DB43" s="1505">
        <f t="shared" ca="1" si="82"/>
        <v>0</v>
      </c>
      <c r="DC43" s="1505">
        <f t="shared" ca="1" si="82"/>
        <v>0</v>
      </c>
      <c r="DD43" s="1505">
        <f t="shared" ca="1" si="82"/>
        <v>0</v>
      </c>
      <c r="DE43" s="1505">
        <f t="shared" ca="1" si="82"/>
        <v>0</v>
      </c>
      <c r="DF43" s="1505">
        <f t="shared" ca="1" si="82"/>
        <v>0</v>
      </c>
      <c r="DG43" s="1505">
        <f t="shared" ca="1" si="82"/>
        <v>0</v>
      </c>
      <c r="DH43" s="1505">
        <f t="shared" ca="1" si="82"/>
        <v>0</v>
      </c>
      <c r="DI43" s="1505">
        <f t="shared" ca="1" si="82"/>
        <v>0</v>
      </c>
      <c r="DJ43" s="1505">
        <f t="shared" ca="1" si="82"/>
        <v>0</v>
      </c>
      <c r="DK43" s="1505">
        <f t="shared" ca="1" si="82"/>
        <v>0</v>
      </c>
      <c r="DL43" s="1505">
        <f t="shared" ca="1" si="82"/>
        <v>0</v>
      </c>
      <c r="DM43" s="1505">
        <f t="shared" ca="1" si="82"/>
        <v>0</v>
      </c>
      <c r="DN43" s="1505">
        <f t="shared" ca="1" si="82"/>
        <v>0</v>
      </c>
      <c r="DO43" s="1505">
        <f t="shared" ca="1" si="82"/>
        <v>0</v>
      </c>
      <c r="DP43" s="1505">
        <f t="shared" ca="1" si="82"/>
        <v>0</v>
      </c>
      <c r="DQ43" s="1505">
        <f t="shared" ca="1" si="82"/>
        <v>0</v>
      </c>
      <c r="DR43" s="1505">
        <f t="shared" ca="1" si="82"/>
        <v>0</v>
      </c>
      <c r="DS43" s="1505">
        <f t="shared" ca="1" si="82"/>
        <v>0</v>
      </c>
      <c r="DT43" s="1505">
        <f t="shared" ca="1" si="82"/>
        <v>0</v>
      </c>
      <c r="DU43" s="1505">
        <f t="shared" ca="1" si="82"/>
        <v>0</v>
      </c>
      <c r="DV43" s="1505">
        <f t="shared" ca="1" si="82"/>
        <v>0</v>
      </c>
      <c r="DW43" s="1505">
        <f t="shared" ca="1" si="82"/>
        <v>0</v>
      </c>
      <c r="DX43" s="1505">
        <f t="shared" ca="1" si="82"/>
        <v>0</v>
      </c>
      <c r="DY43" s="1505">
        <f t="shared" ca="1" si="82"/>
        <v>0</v>
      </c>
      <c r="DZ43" s="1505">
        <f t="shared" ca="1" si="82"/>
        <v>0</v>
      </c>
      <c r="EA43" s="1505">
        <f t="shared" ca="1" si="82"/>
        <v>0</v>
      </c>
      <c r="EB43" s="1505">
        <f t="shared" ca="1" si="82"/>
        <v>0</v>
      </c>
      <c r="EC43" s="1505">
        <f t="shared" ca="1" si="82"/>
        <v>0</v>
      </c>
      <c r="ED43" s="1505">
        <f t="shared" ca="1" si="82"/>
        <v>0</v>
      </c>
      <c r="EE43" s="1505">
        <f t="shared" ca="1" si="82"/>
        <v>0</v>
      </c>
      <c r="EF43" s="1505">
        <f t="shared" ref="EF43:FL43" ca="1" si="83">EF42+EE45</f>
        <v>0</v>
      </c>
      <c r="EG43" s="1505">
        <f t="shared" ca="1" si="83"/>
        <v>0</v>
      </c>
      <c r="EH43" s="1505">
        <f t="shared" ca="1" si="83"/>
        <v>0</v>
      </c>
      <c r="EI43" s="1505">
        <f t="shared" ca="1" si="83"/>
        <v>0</v>
      </c>
      <c r="EJ43" s="1505">
        <f t="shared" ca="1" si="83"/>
        <v>0</v>
      </c>
      <c r="EK43" s="1505">
        <f t="shared" ca="1" si="83"/>
        <v>0</v>
      </c>
      <c r="EL43" s="1505">
        <f t="shared" ca="1" si="83"/>
        <v>0</v>
      </c>
      <c r="EM43" s="1505">
        <f t="shared" ca="1" si="83"/>
        <v>0</v>
      </c>
      <c r="EN43" s="1505">
        <f t="shared" ca="1" si="83"/>
        <v>0</v>
      </c>
      <c r="EO43" s="1505">
        <f t="shared" ca="1" si="83"/>
        <v>0</v>
      </c>
      <c r="EP43" s="1505">
        <f t="shared" ca="1" si="83"/>
        <v>0</v>
      </c>
      <c r="EQ43" s="1505">
        <f t="shared" ca="1" si="83"/>
        <v>0</v>
      </c>
      <c r="ER43" s="1505">
        <f t="shared" ca="1" si="83"/>
        <v>0</v>
      </c>
      <c r="ES43" s="1505">
        <f t="shared" ca="1" si="83"/>
        <v>0</v>
      </c>
      <c r="ET43" s="1505">
        <f t="shared" ca="1" si="83"/>
        <v>0</v>
      </c>
      <c r="EU43" s="1505">
        <f t="shared" ca="1" si="83"/>
        <v>0</v>
      </c>
      <c r="EV43" s="1505">
        <f t="shared" ca="1" si="83"/>
        <v>0</v>
      </c>
      <c r="EW43" s="1505">
        <f t="shared" ca="1" si="83"/>
        <v>0</v>
      </c>
      <c r="EX43" s="1505">
        <f t="shared" ca="1" si="83"/>
        <v>0</v>
      </c>
      <c r="EY43" s="1505">
        <f t="shared" ca="1" si="83"/>
        <v>0</v>
      </c>
      <c r="EZ43" s="1505">
        <f t="shared" ca="1" si="83"/>
        <v>0</v>
      </c>
      <c r="FA43" s="1505">
        <f t="shared" ca="1" si="83"/>
        <v>0</v>
      </c>
      <c r="FB43" s="1505">
        <f t="shared" ca="1" si="83"/>
        <v>0</v>
      </c>
      <c r="FC43" s="1505">
        <f t="shared" ca="1" si="83"/>
        <v>0</v>
      </c>
      <c r="FD43" s="1505">
        <f t="shared" ca="1" si="83"/>
        <v>0</v>
      </c>
      <c r="FE43" s="1505">
        <f t="shared" ca="1" si="83"/>
        <v>0</v>
      </c>
      <c r="FF43" s="1505">
        <f t="shared" ca="1" si="83"/>
        <v>0</v>
      </c>
      <c r="FG43" s="1505">
        <f t="shared" ca="1" si="83"/>
        <v>0</v>
      </c>
      <c r="FH43" s="1543">
        <f t="shared" ca="1" si="83"/>
        <v>0</v>
      </c>
      <c r="FI43" s="1543">
        <f t="shared" ca="1" si="83"/>
        <v>0</v>
      </c>
      <c r="FJ43" s="1543">
        <f t="shared" ca="1" si="83"/>
        <v>0</v>
      </c>
      <c r="FK43" s="1543">
        <f t="shared" ca="1" si="83"/>
        <v>0</v>
      </c>
      <c r="FL43" s="1544">
        <f t="shared" ca="1" si="83"/>
        <v>0</v>
      </c>
      <c r="FM43" s="1556"/>
    </row>
    <row r="44" spans="1:169">
      <c r="A44" s="1739"/>
      <c r="B44" s="1744"/>
      <c r="C44" s="1499" t="s">
        <v>228</v>
      </c>
      <c r="D44" s="1486"/>
      <c r="E44" s="1490">
        <f ca="1">IF(AND(E41&gt;0,(E41+E43)&gt;0),-E43,IF(AND(E41&gt;0,(E41+E43)&lt;0),E41,0))</f>
        <v>0</v>
      </c>
      <c r="F44" s="1505">
        <f ca="1">IF(AND(F41&gt;0,(F41+F43)&gt;0),-F43,IF(AND(F41&gt;0,(F41+F43)&lt;0),F41,0))</f>
        <v>0</v>
      </c>
      <c r="G44" s="1505">
        <f ca="1">IF(AND(G41&gt;0,(G41+G43)&gt;0),-G43,IF(AND(G41&gt;0,(G41+G43)&lt;0),G41,0))</f>
        <v>0</v>
      </c>
      <c r="H44" s="1505">
        <f t="shared" ref="H44:BS44" ca="1" si="84">IF(AND(H41&gt;0,(H41+H43)&gt;0),-H43,IF(AND(H41&gt;0,(H41+H43)&lt;0),H41,0))</f>
        <v>0</v>
      </c>
      <c r="I44" s="1505">
        <f t="shared" ca="1" si="84"/>
        <v>0</v>
      </c>
      <c r="J44" s="1505">
        <f t="shared" ca="1" si="84"/>
        <v>0</v>
      </c>
      <c r="K44" s="1505">
        <f t="shared" ca="1" si="84"/>
        <v>0</v>
      </c>
      <c r="L44" s="1505">
        <f t="shared" ca="1" si="84"/>
        <v>0</v>
      </c>
      <c r="M44" s="1505">
        <f t="shared" ca="1" si="84"/>
        <v>0</v>
      </c>
      <c r="N44" s="1505">
        <f t="shared" ca="1" si="84"/>
        <v>0</v>
      </c>
      <c r="O44" s="1505">
        <f t="shared" ca="1" si="84"/>
        <v>0</v>
      </c>
      <c r="P44" s="1505">
        <f t="shared" ca="1" si="84"/>
        <v>0</v>
      </c>
      <c r="Q44" s="1505">
        <f t="shared" ca="1" si="84"/>
        <v>0</v>
      </c>
      <c r="R44" s="1505">
        <f t="shared" ca="1" si="84"/>
        <v>0</v>
      </c>
      <c r="S44" s="1505">
        <f t="shared" ca="1" si="84"/>
        <v>0</v>
      </c>
      <c r="T44" s="1505">
        <f t="shared" ca="1" si="84"/>
        <v>0</v>
      </c>
      <c r="U44" s="1505">
        <f t="shared" ca="1" si="84"/>
        <v>0</v>
      </c>
      <c r="V44" s="1505">
        <f t="shared" ca="1" si="84"/>
        <v>0</v>
      </c>
      <c r="W44" s="1505">
        <f t="shared" ca="1" si="84"/>
        <v>0</v>
      </c>
      <c r="X44" s="1505">
        <f t="shared" ca="1" si="84"/>
        <v>0</v>
      </c>
      <c r="Y44" s="1505">
        <f t="shared" ca="1" si="84"/>
        <v>0</v>
      </c>
      <c r="Z44" s="1505">
        <f t="shared" ca="1" si="84"/>
        <v>0</v>
      </c>
      <c r="AA44" s="1505">
        <f t="shared" ca="1" si="84"/>
        <v>0</v>
      </c>
      <c r="AB44" s="1505">
        <f t="shared" ca="1" si="84"/>
        <v>0</v>
      </c>
      <c r="AC44" s="1505">
        <f t="shared" ca="1" si="84"/>
        <v>0</v>
      </c>
      <c r="AD44" s="1505">
        <f t="shared" ca="1" si="84"/>
        <v>0</v>
      </c>
      <c r="AE44" s="1505">
        <f t="shared" ca="1" si="84"/>
        <v>0</v>
      </c>
      <c r="AF44" s="1505">
        <f t="shared" ca="1" si="84"/>
        <v>0</v>
      </c>
      <c r="AG44" s="1505">
        <f t="shared" ca="1" si="84"/>
        <v>0</v>
      </c>
      <c r="AH44" s="1505">
        <f t="shared" ca="1" si="84"/>
        <v>0</v>
      </c>
      <c r="AI44" s="1505">
        <f t="shared" ca="1" si="84"/>
        <v>0</v>
      </c>
      <c r="AJ44" s="1505">
        <f t="shared" ca="1" si="84"/>
        <v>0</v>
      </c>
      <c r="AK44" s="1505">
        <f t="shared" ca="1" si="84"/>
        <v>0</v>
      </c>
      <c r="AL44" s="1505">
        <f t="shared" ca="1" si="84"/>
        <v>0</v>
      </c>
      <c r="AM44" s="1505">
        <f t="shared" ca="1" si="84"/>
        <v>0</v>
      </c>
      <c r="AN44" s="1505">
        <f t="shared" ca="1" si="84"/>
        <v>0</v>
      </c>
      <c r="AO44" s="1505">
        <f t="shared" ca="1" si="84"/>
        <v>0</v>
      </c>
      <c r="AP44" s="1505">
        <f t="shared" ca="1" si="84"/>
        <v>0</v>
      </c>
      <c r="AQ44" s="1505">
        <f t="shared" ca="1" si="84"/>
        <v>0</v>
      </c>
      <c r="AR44" s="1505">
        <f t="shared" ca="1" si="84"/>
        <v>0</v>
      </c>
      <c r="AS44" s="1505">
        <f t="shared" ca="1" si="84"/>
        <v>0</v>
      </c>
      <c r="AT44" s="1505">
        <f t="shared" ca="1" si="84"/>
        <v>0</v>
      </c>
      <c r="AU44" s="1505">
        <f t="shared" ca="1" si="84"/>
        <v>0</v>
      </c>
      <c r="AV44" s="1505">
        <f t="shared" ca="1" si="84"/>
        <v>0</v>
      </c>
      <c r="AW44" s="1505">
        <f t="shared" ca="1" si="84"/>
        <v>0</v>
      </c>
      <c r="AX44" s="1505">
        <f t="shared" ca="1" si="84"/>
        <v>0</v>
      </c>
      <c r="AY44" s="1505">
        <f t="shared" ca="1" si="84"/>
        <v>0</v>
      </c>
      <c r="AZ44" s="1505">
        <f t="shared" ca="1" si="84"/>
        <v>0</v>
      </c>
      <c r="BA44" s="1505">
        <f t="shared" ca="1" si="84"/>
        <v>0</v>
      </c>
      <c r="BB44" s="1505">
        <f t="shared" ca="1" si="84"/>
        <v>0</v>
      </c>
      <c r="BC44" s="1505">
        <f t="shared" ca="1" si="84"/>
        <v>0</v>
      </c>
      <c r="BD44" s="1505">
        <f t="shared" ca="1" si="84"/>
        <v>0</v>
      </c>
      <c r="BE44" s="1505">
        <f t="shared" ca="1" si="84"/>
        <v>0</v>
      </c>
      <c r="BF44" s="1505">
        <f t="shared" ca="1" si="84"/>
        <v>0</v>
      </c>
      <c r="BG44" s="1505">
        <f t="shared" ca="1" si="84"/>
        <v>0</v>
      </c>
      <c r="BH44" s="1505">
        <f t="shared" ca="1" si="84"/>
        <v>0</v>
      </c>
      <c r="BI44" s="1505">
        <f t="shared" ca="1" si="84"/>
        <v>0</v>
      </c>
      <c r="BJ44" s="1505">
        <f t="shared" ca="1" si="84"/>
        <v>0</v>
      </c>
      <c r="BK44" s="1505">
        <f t="shared" ca="1" si="84"/>
        <v>0</v>
      </c>
      <c r="BL44" s="1505">
        <f t="shared" ca="1" si="84"/>
        <v>0</v>
      </c>
      <c r="BM44" s="1505">
        <f t="shared" ca="1" si="84"/>
        <v>0</v>
      </c>
      <c r="BN44" s="1505">
        <f t="shared" ca="1" si="84"/>
        <v>0</v>
      </c>
      <c r="BO44" s="1505">
        <f t="shared" ca="1" si="84"/>
        <v>0</v>
      </c>
      <c r="BP44" s="1505">
        <f t="shared" ca="1" si="84"/>
        <v>0</v>
      </c>
      <c r="BQ44" s="1505">
        <f t="shared" ca="1" si="84"/>
        <v>0</v>
      </c>
      <c r="BR44" s="1505">
        <f t="shared" ca="1" si="84"/>
        <v>0</v>
      </c>
      <c r="BS44" s="1505">
        <f t="shared" ca="1" si="84"/>
        <v>0</v>
      </c>
      <c r="BT44" s="1505">
        <f t="shared" ref="BT44:EE44" ca="1" si="85">IF(AND(BT41&gt;0,(BT41+BT43)&gt;0),-BT43,IF(AND(BT41&gt;0,(BT41+BT43)&lt;0),BT41,0))</f>
        <v>0</v>
      </c>
      <c r="BU44" s="1505">
        <f t="shared" ca="1" si="85"/>
        <v>0</v>
      </c>
      <c r="BV44" s="1505">
        <f t="shared" ca="1" si="85"/>
        <v>0</v>
      </c>
      <c r="BW44" s="1505">
        <f t="shared" ca="1" si="85"/>
        <v>0</v>
      </c>
      <c r="BX44" s="1505">
        <f t="shared" ca="1" si="85"/>
        <v>0</v>
      </c>
      <c r="BY44" s="1505">
        <f t="shared" ca="1" si="85"/>
        <v>0</v>
      </c>
      <c r="BZ44" s="1505">
        <f t="shared" ca="1" si="85"/>
        <v>0</v>
      </c>
      <c r="CA44" s="1505">
        <f t="shared" ca="1" si="85"/>
        <v>0</v>
      </c>
      <c r="CB44" s="1505">
        <f t="shared" ca="1" si="85"/>
        <v>0</v>
      </c>
      <c r="CC44" s="1505">
        <f t="shared" ca="1" si="85"/>
        <v>0</v>
      </c>
      <c r="CD44" s="1505">
        <f t="shared" ca="1" si="85"/>
        <v>0</v>
      </c>
      <c r="CE44" s="1505">
        <f t="shared" ca="1" si="85"/>
        <v>0</v>
      </c>
      <c r="CF44" s="1505">
        <f t="shared" ca="1" si="85"/>
        <v>0</v>
      </c>
      <c r="CG44" s="1505">
        <f t="shared" ca="1" si="85"/>
        <v>0</v>
      </c>
      <c r="CH44" s="1505">
        <f t="shared" ca="1" si="85"/>
        <v>0</v>
      </c>
      <c r="CI44" s="1505">
        <f t="shared" ca="1" si="85"/>
        <v>0</v>
      </c>
      <c r="CJ44" s="1505">
        <f t="shared" ca="1" si="85"/>
        <v>0</v>
      </c>
      <c r="CK44" s="1505">
        <f t="shared" ca="1" si="85"/>
        <v>0</v>
      </c>
      <c r="CL44" s="1505">
        <f t="shared" ca="1" si="85"/>
        <v>0</v>
      </c>
      <c r="CM44" s="1505">
        <f t="shared" ca="1" si="85"/>
        <v>0</v>
      </c>
      <c r="CN44" s="1505">
        <f t="shared" ca="1" si="85"/>
        <v>0</v>
      </c>
      <c r="CO44" s="1505">
        <f t="shared" ca="1" si="85"/>
        <v>0</v>
      </c>
      <c r="CP44" s="1505">
        <f t="shared" ca="1" si="85"/>
        <v>0</v>
      </c>
      <c r="CQ44" s="1505">
        <f t="shared" ca="1" si="85"/>
        <v>0</v>
      </c>
      <c r="CR44" s="1505">
        <f t="shared" ca="1" si="85"/>
        <v>0</v>
      </c>
      <c r="CS44" s="1505">
        <f t="shared" ca="1" si="85"/>
        <v>0</v>
      </c>
      <c r="CT44" s="1505">
        <f t="shared" ca="1" si="85"/>
        <v>0</v>
      </c>
      <c r="CU44" s="1505">
        <f t="shared" ca="1" si="85"/>
        <v>0</v>
      </c>
      <c r="CV44" s="1505">
        <f t="shared" ca="1" si="85"/>
        <v>0</v>
      </c>
      <c r="CW44" s="1505">
        <f t="shared" ca="1" si="85"/>
        <v>0</v>
      </c>
      <c r="CX44" s="1505">
        <f t="shared" ca="1" si="85"/>
        <v>0</v>
      </c>
      <c r="CY44" s="1505">
        <f t="shared" ca="1" si="85"/>
        <v>0</v>
      </c>
      <c r="CZ44" s="1505">
        <f t="shared" ca="1" si="85"/>
        <v>0</v>
      </c>
      <c r="DA44" s="1505">
        <f t="shared" ca="1" si="85"/>
        <v>0</v>
      </c>
      <c r="DB44" s="1505">
        <f t="shared" ca="1" si="85"/>
        <v>0</v>
      </c>
      <c r="DC44" s="1505">
        <f t="shared" ca="1" si="85"/>
        <v>0</v>
      </c>
      <c r="DD44" s="1505">
        <f t="shared" ca="1" si="85"/>
        <v>0</v>
      </c>
      <c r="DE44" s="1505">
        <f t="shared" ca="1" si="85"/>
        <v>0</v>
      </c>
      <c r="DF44" s="1505">
        <f t="shared" ca="1" si="85"/>
        <v>0</v>
      </c>
      <c r="DG44" s="1505">
        <f t="shared" ca="1" si="85"/>
        <v>0</v>
      </c>
      <c r="DH44" s="1505">
        <f t="shared" ca="1" si="85"/>
        <v>0</v>
      </c>
      <c r="DI44" s="1505">
        <f t="shared" ca="1" si="85"/>
        <v>0</v>
      </c>
      <c r="DJ44" s="1505">
        <f t="shared" ca="1" si="85"/>
        <v>0</v>
      </c>
      <c r="DK44" s="1505">
        <f t="shared" ca="1" si="85"/>
        <v>0</v>
      </c>
      <c r="DL44" s="1505">
        <f t="shared" ca="1" si="85"/>
        <v>0</v>
      </c>
      <c r="DM44" s="1505">
        <f t="shared" ca="1" si="85"/>
        <v>0</v>
      </c>
      <c r="DN44" s="1505">
        <f t="shared" ca="1" si="85"/>
        <v>0</v>
      </c>
      <c r="DO44" s="1505">
        <f t="shared" ca="1" si="85"/>
        <v>0</v>
      </c>
      <c r="DP44" s="1505">
        <f t="shared" ca="1" si="85"/>
        <v>0</v>
      </c>
      <c r="DQ44" s="1505">
        <f t="shared" ca="1" si="85"/>
        <v>0</v>
      </c>
      <c r="DR44" s="1505">
        <f t="shared" ca="1" si="85"/>
        <v>0</v>
      </c>
      <c r="DS44" s="1505">
        <f t="shared" ca="1" si="85"/>
        <v>0</v>
      </c>
      <c r="DT44" s="1505">
        <f t="shared" ca="1" si="85"/>
        <v>0</v>
      </c>
      <c r="DU44" s="1505">
        <f t="shared" ca="1" si="85"/>
        <v>0</v>
      </c>
      <c r="DV44" s="1505">
        <f t="shared" ca="1" si="85"/>
        <v>0</v>
      </c>
      <c r="DW44" s="1505">
        <f t="shared" ca="1" si="85"/>
        <v>0</v>
      </c>
      <c r="DX44" s="1505">
        <f t="shared" ca="1" si="85"/>
        <v>0</v>
      </c>
      <c r="DY44" s="1505">
        <f t="shared" ca="1" si="85"/>
        <v>0</v>
      </c>
      <c r="DZ44" s="1505">
        <f t="shared" ca="1" si="85"/>
        <v>0</v>
      </c>
      <c r="EA44" s="1505">
        <f t="shared" ca="1" si="85"/>
        <v>0</v>
      </c>
      <c r="EB44" s="1505">
        <f t="shared" ca="1" si="85"/>
        <v>0</v>
      </c>
      <c r="EC44" s="1505">
        <f t="shared" ca="1" si="85"/>
        <v>0</v>
      </c>
      <c r="ED44" s="1505">
        <f t="shared" ca="1" si="85"/>
        <v>0</v>
      </c>
      <c r="EE44" s="1505">
        <f t="shared" ca="1" si="85"/>
        <v>0</v>
      </c>
      <c r="EF44" s="1505">
        <f t="shared" ref="EF44:FL44" ca="1" si="86">IF(AND(EF41&gt;0,(EF41+EF43)&gt;0),-EF43,IF(AND(EF41&gt;0,(EF41+EF43)&lt;0),EF41,0))</f>
        <v>0</v>
      </c>
      <c r="EG44" s="1505">
        <f t="shared" ca="1" si="86"/>
        <v>0</v>
      </c>
      <c r="EH44" s="1505">
        <f t="shared" ca="1" si="86"/>
        <v>0</v>
      </c>
      <c r="EI44" s="1505">
        <f t="shared" ca="1" si="86"/>
        <v>0</v>
      </c>
      <c r="EJ44" s="1505">
        <f t="shared" ca="1" si="86"/>
        <v>0</v>
      </c>
      <c r="EK44" s="1505">
        <f t="shared" ca="1" si="86"/>
        <v>0</v>
      </c>
      <c r="EL44" s="1505">
        <f t="shared" ca="1" si="86"/>
        <v>0</v>
      </c>
      <c r="EM44" s="1505">
        <f t="shared" ca="1" si="86"/>
        <v>0</v>
      </c>
      <c r="EN44" s="1505">
        <f t="shared" ca="1" si="86"/>
        <v>0</v>
      </c>
      <c r="EO44" s="1505">
        <f t="shared" ca="1" si="86"/>
        <v>0</v>
      </c>
      <c r="EP44" s="1505">
        <f t="shared" ca="1" si="86"/>
        <v>0</v>
      </c>
      <c r="EQ44" s="1505">
        <f t="shared" ca="1" si="86"/>
        <v>0</v>
      </c>
      <c r="ER44" s="1505">
        <f t="shared" ca="1" si="86"/>
        <v>0</v>
      </c>
      <c r="ES44" s="1505">
        <f t="shared" ca="1" si="86"/>
        <v>0</v>
      </c>
      <c r="ET44" s="1505">
        <f t="shared" ca="1" si="86"/>
        <v>0</v>
      </c>
      <c r="EU44" s="1505">
        <f t="shared" ca="1" si="86"/>
        <v>0</v>
      </c>
      <c r="EV44" s="1505">
        <f t="shared" ca="1" si="86"/>
        <v>0</v>
      </c>
      <c r="EW44" s="1505">
        <f t="shared" ca="1" si="86"/>
        <v>0</v>
      </c>
      <c r="EX44" s="1505">
        <f t="shared" ca="1" si="86"/>
        <v>0</v>
      </c>
      <c r="EY44" s="1505">
        <f t="shared" ca="1" si="86"/>
        <v>0</v>
      </c>
      <c r="EZ44" s="1505">
        <f t="shared" ca="1" si="86"/>
        <v>0</v>
      </c>
      <c r="FA44" s="1505">
        <f t="shared" ca="1" si="86"/>
        <v>0</v>
      </c>
      <c r="FB44" s="1505">
        <f t="shared" ca="1" si="86"/>
        <v>0</v>
      </c>
      <c r="FC44" s="1505">
        <f t="shared" ca="1" si="86"/>
        <v>0</v>
      </c>
      <c r="FD44" s="1505">
        <f t="shared" ca="1" si="86"/>
        <v>0</v>
      </c>
      <c r="FE44" s="1505">
        <f t="shared" ca="1" si="86"/>
        <v>0</v>
      </c>
      <c r="FF44" s="1505">
        <f t="shared" ca="1" si="86"/>
        <v>0</v>
      </c>
      <c r="FG44" s="1505">
        <f t="shared" ca="1" si="86"/>
        <v>0</v>
      </c>
      <c r="FH44" s="1543">
        <f t="shared" ca="1" si="86"/>
        <v>0</v>
      </c>
      <c r="FI44" s="1543">
        <f t="shared" ca="1" si="86"/>
        <v>0</v>
      </c>
      <c r="FJ44" s="1543">
        <f t="shared" ca="1" si="86"/>
        <v>0</v>
      </c>
      <c r="FK44" s="1543">
        <f t="shared" ca="1" si="86"/>
        <v>0</v>
      </c>
      <c r="FL44" s="1544">
        <f t="shared" ca="1" si="86"/>
        <v>0</v>
      </c>
      <c r="FM44" s="1556"/>
    </row>
    <row r="45" spans="1:169">
      <c r="A45" s="1739"/>
      <c r="B45" s="1745"/>
      <c r="C45" s="1499" t="s">
        <v>229</v>
      </c>
      <c r="D45" s="1486"/>
      <c r="E45" s="1490">
        <f ca="1">E43+E44</f>
        <v>0</v>
      </c>
      <c r="F45" s="1505">
        <f ca="1">F43+F44</f>
        <v>0</v>
      </c>
      <c r="G45" s="1505">
        <f ca="1">G43+G44</f>
        <v>0</v>
      </c>
      <c r="H45" s="1505">
        <f ca="1">H43+H44</f>
        <v>0</v>
      </c>
      <c r="I45" s="1505">
        <f ca="1">I43+I44</f>
        <v>0</v>
      </c>
      <c r="J45" s="1505">
        <f t="shared" ref="J45:BS45" ca="1" si="87">J43+J44</f>
        <v>0</v>
      </c>
      <c r="K45" s="1505">
        <f t="shared" ca="1" si="87"/>
        <v>0</v>
      </c>
      <c r="L45" s="1505">
        <f t="shared" ca="1" si="87"/>
        <v>0</v>
      </c>
      <c r="M45" s="1505">
        <f t="shared" ca="1" si="87"/>
        <v>0</v>
      </c>
      <c r="N45" s="1505">
        <f t="shared" ca="1" si="87"/>
        <v>0</v>
      </c>
      <c r="O45" s="1505">
        <f t="shared" ca="1" si="87"/>
        <v>0</v>
      </c>
      <c r="P45" s="1505">
        <f t="shared" ca="1" si="87"/>
        <v>0</v>
      </c>
      <c r="Q45" s="1505">
        <f t="shared" ca="1" si="87"/>
        <v>0</v>
      </c>
      <c r="R45" s="1505">
        <f t="shared" ca="1" si="87"/>
        <v>0</v>
      </c>
      <c r="S45" s="1505">
        <f t="shared" ca="1" si="87"/>
        <v>0</v>
      </c>
      <c r="T45" s="1505">
        <f t="shared" ca="1" si="87"/>
        <v>0</v>
      </c>
      <c r="U45" s="1505">
        <f t="shared" ca="1" si="87"/>
        <v>0</v>
      </c>
      <c r="V45" s="1505">
        <f t="shared" ca="1" si="87"/>
        <v>0</v>
      </c>
      <c r="W45" s="1505">
        <f t="shared" ca="1" si="87"/>
        <v>0</v>
      </c>
      <c r="X45" s="1505">
        <f t="shared" ca="1" si="87"/>
        <v>0</v>
      </c>
      <c r="Y45" s="1505">
        <f t="shared" ca="1" si="87"/>
        <v>0</v>
      </c>
      <c r="Z45" s="1505">
        <f t="shared" ca="1" si="87"/>
        <v>0</v>
      </c>
      <c r="AA45" s="1505">
        <f t="shared" ca="1" si="87"/>
        <v>0</v>
      </c>
      <c r="AB45" s="1505">
        <f t="shared" ca="1" si="87"/>
        <v>0</v>
      </c>
      <c r="AC45" s="1505">
        <f t="shared" ca="1" si="87"/>
        <v>0</v>
      </c>
      <c r="AD45" s="1505">
        <f t="shared" ca="1" si="87"/>
        <v>0</v>
      </c>
      <c r="AE45" s="1505">
        <f t="shared" ca="1" si="87"/>
        <v>0</v>
      </c>
      <c r="AF45" s="1505">
        <f t="shared" ca="1" si="87"/>
        <v>0</v>
      </c>
      <c r="AG45" s="1505">
        <f t="shared" ca="1" si="87"/>
        <v>0</v>
      </c>
      <c r="AH45" s="1505">
        <f t="shared" ca="1" si="87"/>
        <v>0</v>
      </c>
      <c r="AI45" s="1505">
        <f t="shared" ca="1" si="87"/>
        <v>0</v>
      </c>
      <c r="AJ45" s="1505">
        <f t="shared" ca="1" si="87"/>
        <v>0</v>
      </c>
      <c r="AK45" s="1505">
        <f t="shared" ca="1" si="87"/>
        <v>0</v>
      </c>
      <c r="AL45" s="1505">
        <f t="shared" ca="1" si="87"/>
        <v>0</v>
      </c>
      <c r="AM45" s="1505">
        <f t="shared" ca="1" si="87"/>
        <v>0</v>
      </c>
      <c r="AN45" s="1505">
        <f t="shared" ca="1" si="87"/>
        <v>0</v>
      </c>
      <c r="AO45" s="1505">
        <f t="shared" ca="1" si="87"/>
        <v>0</v>
      </c>
      <c r="AP45" s="1505">
        <f t="shared" ca="1" si="87"/>
        <v>0</v>
      </c>
      <c r="AQ45" s="1505">
        <f t="shared" ca="1" si="87"/>
        <v>0</v>
      </c>
      <c r="AR45" s="1505">
        <f t="shared" ca="1" si="87"/>
        <v>0</v>
      </c>
      <c r="AS45" s="1505">
        <f t="shared" ca="1" si="87"/>
        <v>0</v>
      </c>
      <c r="AT45" s="1505">
        <f t="shared" ca="1" si="87"/>
        <v>0</v>
      </c>
      <c r="AU45" s="1505">
        <f t="shared" ca="1" si="87"/>
        <v>0</v>
      </c>
      <c r="AV45" s="1505">
        <f t="shared" ca="1" si="87"/>
        <v>0</v>
      </c>
      <c r="AW45" s="1505">
        <f t="shared" ca="1" si="87"/>
        <v>0</v>
      </c>
      <c r="AX45" s="1505">
        <f t="shared" ca="1" si="87"/>
        <v>0</v>
      </c>
      <c r="AY45" s="1505">
        <f t="shared" ca="1" si="87"/>
        <v>0</v>
      </c>
      <c r="AZ45" s="1505">
        <f t="shared" ca="1" si="87"/>
        <v>0</v>
      </c>
      <c r="BA45" s="1505">
        <f t="shared" ca="1" si="87"/>
        <v>0</v>
      </c>
      <c r="BB45" s="1505">
        <f t="shared" ca="1" si="87"/>
        <v>0</v>
      </c>
      <c r="BC45" s="1505">
        <f t="shared" ca="1" si="87"/>
        <v>0</v>
      </c>
      <c r="BD45" s="1505">
        <f t="shared" ca="1" si="87"/>
        <v>0</v>
      </c>
      <c r="BE45" s="1505">
        <f t="shared" ca="1" si="87"/>
        <v>0</v>
      </c>
      <c r="BF45" s="1505">
        <f t="shared" ca="1" si="87"/>
        <v>0</v>
      </c>
      <c r="BG45" s="1505">
        <f t="shared" ca="1" si="87"/>
        <v>0</v>
      </c>
      <c r="BH45" s="1505">
        <f t="shared" ca="1" si="87"/>
        <v>0</v>
      </c>
      <c r="BI45" s="1505">
        <f t="shared" ca="1" si="87"/>
        <v>0</v>
      </c>
      <c r="BJ45" s="1505">
        <f t="shared" ca="1" si="87"/>
        <v>0</v>
      </c>
      <c r="BK45" s="1505">
        <f t="shared" ca="1" si="87"/>
        <v>0</v>
      </c>
      <c r="BL45" s="1505">
        <f t="shared" ca="1" si="87"/>
        <v>0</v>
      </c>
      <c r="BM45" s="1505">
        <f t="shared" ca="1" si="87"/>
        <v>0</v>
      </c>
      <c r="BN45" s="1505">
        <f t="shared" ca="1" si="87"/>
        <v>0</v>
      </c>
      <c r="BO45" s="1505">
        <f t="shared" ca="1" si="87"/>
        <v>0</v>
      </c>
      <c r="BP45" s="1505">
        <f t="shared" ca="1" si="87"/>
        <v>0</v>
      </c>
      <c r="BQ45" s="1505">
        <f t="shared" ca="1" si="87"/>
        <v>0</v>
      </c>
      <c r="BR45" s="1505">
        <f t="shared" ca="1" si="87"/>
        <v>0</v>
      </c>
      <c r="BS45" s="1505">
        <f t="shared" ca="1" si="87"/>
        <v>0</v>
      </c>
      <c r="BT45" s="1505">
        <f t="shared" ref="BT45:EE45" ca="1" si="88">BT43+BT44</f>
        <v>0</v>
      </c>
      <c r="BU45" s="1505">
        <f t="shared" ca="1" si="88"/>
        <v>0</v>
      </c>
      <c r="BV45" s="1505">
        <f t="shared" ca="1" si="88"/>
        <v>0</v>
      </c>
      <c r="BW45" s="1505">
        <f t="shared" ca="1" si="88"/>
        <v>0</v>
      </c>
      <c r="BX45" s="1505">
        <f t="shared" ca="1" si="88"/>
        <v>0</v>
      </c>
      <c r="BY45" s="1505">
        <f t="shared" ca="1" si="88"/>
        <v>0</v>
      </c>
      <c r="BZ45" s="1505">
        <f t="shared" ca="1" si="88"/>
        <v>0</v>
      </c>
      <c r="CA45" s="1505">
        <f t="shared" ca="1" si="88"/>
        <v>0</v>
      </c>
      <c r="CB45" s="1505">
        <f t="shared" ca="1" si="88"/>
        <v>0</v>
      </c>
      <c r="CC45" s="1505">
        <f t="shared" ca="1" si="88"/>
        <v>0</v>
      </c>
      <c r="CD45" s="1505">
        <f t="shared" ca="1" si="88"/>
        <v>0</v>
      </c>
      <c r="CE45" s="1505">
        <f t="shared" ca="1" si="88"/>
        <v>0</v>
      </c>
      <c r="CF45" s="1505">
        <f t="shared" ca="1" si="88"/>
        <v>0</v>
      </c>
      <c r="CG45" s="1505">
        <f t="shared" ca="1" si="88"/>
        <v>0</v>
      </c>
      <c r="CH45" s="1505">
        <f t="shared" ca="1" si="88"/>
        <v>0</v>
      </c>
      <c r="CI45" s="1505">
        <f t="shared" ca="1" si="88"/>
        <v>0</v>
      </c>
      <c r="CJ45" s="1505">
        <f t="shared" ca="1" si="88"/>
        <v>0</v>
      </c>
      <c r="CK45" s="1505">
        <f t="shared" ca="1" si="88"/>
        <v>0</v>
      </c>
      <c r="CL45" s="1505">
        <f t="shared" ca="1" si="88"/>
        <v>0</v>
      </c>
      <c r="CM45" s="1505">
        <f t="shared" ca="1" si="88"/>
        <v>0</v>
      </c>
      <c r="CN45" s="1505">
        <f t="shared" ca="1" si="88"/>
        <v>0</v>
      </c>
      <c r="CO45" s="1505">
        <f t="shared" ca="1" si="88"/>
        <v>0</v>
      </c>
      <c r="CP45" s="1505">
        <f t="shared" ca="1" si="88"/>
        <v>0</v>
      </c>
      <c r="CQ45" s="1505">
        <f t="shared" ca="1" si="88"/>
        <v>0</v>
      </c>
      <c r="CR45" s="1505">
        <f t="shared" ca="1" si="88"/>
        <v>0</v>
      </c>
      <c r="CS45" s="1505">
        <f t="shared" ca="1" si="88"/>
        <v>0</v>
      </c>
      <c r="CT45" s="1505">
        <f t="shared" ca="1" si="88"/>
        <v>0</v>
      </c>
      <c r="CU45" s="1505">
        <f t="shared" ca="1" si="88"/>
        <v>0</v>
      </c>
      <c r="CV45" s="1505">
        <f t="shared" ca="1" si="88"/>
        <v>0</v>
      </c>
      <c r="CW45" s="1505">
        <f t="shared" ca="1" si="88"/>
        <v>0</v>
      </c>
      <c r="CX45" s="1505">
        <f t="shared" ca="1" si="88"/>
        <v>0</v>
      </c>
      <c r="CY45" s="1505">
        <f t="shared" ca="1" si="88"/>
        <v>0</v>
      </c>
      <c r="CZ45" s="1505">
        <f t="shared" ca="1" si="88"/>
        <v>0</v>
      </c>
      <c r="DA45" s="1505">
        <f t="shared" ca="1" si="88"/>
        <v>0</v>
      </c>
      <c r="DB45" s="1505">
        <f t="shared" ca="1" si="88"/>
        <v>0</v>
      </c>
      <c r="DC45" s="1505">
        <f t="shared" ca="1" si="88"/>
        <v>0</v>
      </c>
      <c r="DD45" s="1505">
        <f t="shared" ca="1" si="88"/>
        <v>0</v>
      </c>
      <c r="DE45" s="1505">
        <f t="shared" ca="1" si="88"/>
        <v>0</v>
      </c>
      <c r="DF45" s="1505">
        <f t="shared" ca="1" si="88"/>
        <v>0</v>
      </c>
      <c r="DG45" s="1505">
        <f t="shared" ca="1" si="88"/>
        <v>0</v>
      </c>
      <c r="DH45" s="1505">
        <f t="shared" ca="1" si="88"/>
        <v>0</v>
      </c>
      <c r="DI45" s="1505">
        <f t="shared" ca="1" si="88"/>
        <v>0</v>
      </c>
      <c r="DJ45" s="1505">
        <f t="shared" ca="1" si="88"/>
        <v>0</v>
      </c>
      <c r="DK45" s="1505">
        <f t="shared" ca="1" si="88"/>
        <v>0</v>
      </c>
      <c r="DL45" s="1505">
        <f t="shared" ca="1" si="88"/>
        <v>0</v>
      </c>
      <c r="DM45" s="1505">
        <f t="shared" ca="1" si="88"/>
        <v>0</v>
      </c>
      <c r="DN45" s="1505">
        <f t="shared" ca="1" si="88"/>
        <v>0</v>
      </c>
      <c r="DO45" s="1505">
        <f t="shared" ca="1" si="88"/>
        <v>0</v>
      </c>
      <c r="DP45" s="1505">
        <f t="shared" ca="1" si="88"/>
        <v>0</v>
      </c>
      <c r="DQ45" s="1505">
        <f t="shared" ca="1" si="88"/>
        <v>0</v>
      </c>
      <c r="DR45" s="1505">
        <f t="shared" ca="1" si="88"/>
        <v>0</v>
      </c>
      <c r="DS45" s="1505">
        <f t="shared" ca="1" si="88"/>
        <v>0</v>
      </c>
      <c r="DT45" s="1505">
        <f t="shared" ca="1" si="88"/>
        <v>0</v>
      </c>
      <c r="DU45" s="1505">
        <f t="shared" ca="1" si="88"/>
        <v>0</v>
      </c>
      <c r="DV45" s="1505">
        <f t="shared" ca="1" si="88"/>
        <v>0</v>
      </c>
      <c r="DW45" s="1505">
        <f t="shared" ca="1" si="88"/>
        <v>0</v>
      </c>
      <c r="DX45" s="1505">
        <f t="shared" ca="1" si="88"/>
        <v>0</v>
      </c>
      <c r="DY45" s="1505">
        <f t="shared" ca="1" si="88"/>
        <v>0</v>
      </c>
      <c r="DZ45" s="1505">
        <f t="shared" ca="1" si="88"/>
        <v>0</v>
      </c>
      <c r="EA45" s="1505">
        <f t="shared" ca="1" si="88"/>
        <v>0</v>
      </c>
      <c r="EB45" s="1505">
        <f t="shared" ca="1" si="88"/>
        <v>0</v>
      </c>
      <c r="EC45" s="1505">
        <f t="shared" ca="1" si="88"/>
        <v>0</v>
      </c>
      <c r="ED45" s="1505">
        <f t="shared" ca="1" si="88"/>
        <v>0</v>
      </c>
      <c r="EE45" s="1505">
        <f t="shared" ca="1" si="88"/>
        <v>0</v>
      </c>
      <c r="EF45" s="1505">
        <f t="shared" ref="EF45:FL45" ca="1" si="89">EF43+EF44</f>
        <v>0</v>
      </c>
      <c r="EG45" s="1505">
        <f t="shared" ca="1" si="89"/>
        <v>0</v>
      </c>
      <c r="EH45" s="1505">
        <f t="shared" ca="1" si="89"/>
        <v>0</v>
      </c>
      <c r="EI45" s="1505">
        <f t="shared" ca="1" si="89"/>
        <v>0</v>
      </c>
      <c r="EJ45" s="1505">
        <f t="shared" ca="1" si="89"/>
        <v>0</v>
      </c>
      <c r="EK45" s="1505">
        <f t="shared" ca="1" si="89"/>
        <v>0</v>
      </c>
      <c r="EL45" s="1505">
        <f t="shared" ca="1" si="89"/>
        <v>0</v>
      </c>
      <c r="EM45" s="1505">
        <f t="shared" ca="1" si="89"/>
        <v>0</v>
      </c>
      <c r="EN45" s="1505">
        <f t="shared" ca="1" si="89"/>
        <v>0</v>
      </c>
      <c r="EO45" s="1505">
        <f t="shared" ca="1" si="89"/>
        <v>0</v>
      </c>
      <c r="EP45" s="1505">
        <f t="shared" ca="1" si="89"/>
        <v>0</v>
      </c>
      <c r="EQ45" s="1505">
        <f t="shared" ca="1" si="89"/>
        <v>0</v>
      </c>
      <c r="ER45" s="1505">
        <f t="shared" ca="1" si="89"/>
        <v>0</v>
      </c>
      <c r="ES45" s="1505">
        <f t="shared" ca="1" si="89"/>
        <v>0</v>
      </c>
      <c r="ET45" s="1505">
        <f t="shared" ca="1" si="89"/>
        <v>0</v>
      </c>
      <c r="EU45" s="1505">
        <f t="shared" ca="1" si="89"/>
        <v>0</v>
      </c>
      <c r="EV45" s="1505">
        <f t="shared" ca="1" si="89"/>
        <v>0</v>
      </c>
      <c r="EW45" s="1505">
        <f t="shared" ca="1" si="89"/>
        <v>0</v>
      </c>
      <c r="EX45" s="1505">
        <f t="shared" ca="1" si="89"/>
        <v>0</v>
      </c>
      <c r="EY45" s="1505">
        <f t="shared" ca="1" si="89"/>
        <v>0</v>
      </c>
      <c r="EZ45" s="1505">
        <f t="shared" ca="1" si="89"/>
        <v>0</v>
      </c>
      <c r="FA45" s="1505">
        <f t="shared" ca="1" si="89"/>
        <v>0</v>
      </c>
      <c r="FB45" s="1505">
        <f t="shared" ca="1" si="89"/>
        <v>0</v>
      </c>
      <c r="FC45" s="1505">
        <f t="shared" ca="1" si="89"/>
        <v>0</v>
      </c>
      <c r="FD45" s="1505">
        <f t="shared" ca="1" si="89"/>
        <v>0</v>
      </c>
      <c r="FE45" s="1505">
        <f t="shared" ca="1" si="89"/>
        <v>0</v>
      </c>
      <c r="FF45" s="1505">
        <f t="shared" ca="1" si="89"/>
        <v>0</v>
      </c>
      <c r="FG45" s="1505">
        <f t="shared" ca="1" si="89"/>
        <v>0</v>
      </c>
      <c r="FH45" s="1543">
        <f t="shared" ca="1" si="89"/>
        <v>0</v>
      </c>
      <c r="FI45" s="1543">
        <f t="shared" ca="1" si="89"/>
        <v>0</v>
      </c>
      <c r="FJ45" s="1543">
        <f t="shared" ca="1" si="89"/>
        <v>0</v>
      </c>
      <c r="FK45" s="1543">
        <f t="shared" ca="1" si="89"/>
        <v>0</v>
      </c>
      <c r="FL45" s="1544">
        <f t="shared" ca="1" si="89"/>
        <v>0</v>
      </c>
      <c r="FM45" s="1556"/>
    </row>
    <row r="46" spans="1:169">
      <c r="A46" s="1739"/>
      <c r="B46" s="1738" t="s">
        <v>230</v>
      </c>
      <c r="C46" s="1485" t="s">
        <v>231</v>
      </c>
      <c r="D46" s="1506">
        <f ca="1">D39-D38</f>
        <v>0</v>
      </c>
      <c r="E46" s="1507">
        <f ca="1">E39-E38</f>
        <v>0</v>
      </c>
      <c r="F46" s="1507">
        <f ca="1">F39-F38</f>
        <v>0</v>
      </c>
      <c r="G46" s="1507">
        <f t="shared" ref="G46:BQ46" ca="1" si="90">G39-G38</f>
        <v>0</v>
      </c>
      <c r="H46" s="1507">
        <f t="shared" ca="1" si="90"/>
        <v>0</v>
      </c>
      <c r="I46" s="1507">
        <f t="shared" ca="1" si="90"/>
        <v>0</v>
      </c>
      <c r="J46" s="1507">
        <f t="shared" ca="1" si="90"/>
        <v>0</v>
      </c>
      <c r="K46" s="1507">
        <f t="shared" ca="1" si="90"/>
        <v>0</v>
      </c>
      <c r="L46" s="1507">
        <f t="shared" ca="1" si="90"/>
        <v>0</v>
      </c>
      <c r="M46" s="1507">
        <f t="shared" ca="1" si="90"/>
        <v>0</v>
      </c>
      <c r="N46" s="1507">
        <f t="shared" ca="1" si="90"/>
        <v>0</v>
      </c>
      <c r="O46" s="1507">
        <f t="shared" ca="1" si="90"/>
        <v>0</v>
      </c>
      <c r="P46" s="1507">
        <f t="shared" ca="1" si="90"/>
        <v>0</v>
      </c>
      <c r="Q46" s="1507">
        <f t="shared" ca="1" si="90"/>
        <v>0</v>
      </c>
      <c r="R46" s="1507">
        <f t="shared" ca="1" si="90"/>
        <v>0</v>
      </c>
      <c r="S46" s="1507">
        <f t="shared" ca="1" si="90"/>
        <v>0</v>
      </c>
      <c r="T46" s="1507">
        <f t="shared" ca="1" si="90"/>
        <v>0</v>
      </c>
      <c r="U46" s="1507">
        <f t="shared" ca="1" si="90"/>
        <v>0</v>
      </c>
      <c r="V46" s="1507">
        <f t="shared" ca="1" si="90"/>
        <v>0</v>
      </c>
      <c r="W46" s="1507">
        <f t="shared" ca="1" si="90"/>
        <v>0</v>
      </c>
      <c r="X46" s="1507">
        <f t="shared" ca="1" si="90"/>
        <v>0</v>
      </c>
      <c r="Y46" s="1507">
        <f t="shared" ca="1" si="90"/>
        <v>0</v>
      </c>
      <c r="Z46" s="1507">
        <f t="shared" ca="1" si="90"/>
        <v>0</v>
      </c>
      <c r="AA46" s="1507">
        <f t="shared" ca="1" si="90"/>
        <v>0</v>
      </c>
      <c r="AB46" s="1507">
        <f t="shared" ca="1" si="90"/>
        <v>0</v>
      </c>
      <c r="AC46" s="1507">
        <f t="shared" ca="1" si="90"/>
        <v>0</v>
      </c>
      <c r="AD46" s="1507">
        <f t="shared" ca="1" si="90"/>
        <v>0</v>
      </c>
      <c r="AE46" s="1507">
        <f t="shared" ca="1" si="90"/>
        <v>0</v>
      </c>
      <c r="AF46" s="1507">
        <f t="shared" ca="1" si="90"/>
        <v>0</v>
      </c>
      <c r="AG46" s="1507">
        <f t="shared" ca="1" si="90"/>
        <v>0</v>
      </c>
      <c r="AH46" s="1507">
        <f t="shared" ca="1" si="90"/>
        <v>0</v>
      </c>
      <c r="AI46" s="1507">
        <f t="shared" ca="1" si="90"/>
        <v>0</v>
      </c>
      <c r="AJ46" s="1507">
        <f t="shared" ca="1" si="90"/>
        <v>0</v>
      </c>
      <c r="AK46" s="1507">
        <f t="shared" ca="1" si="90"/>
        <v>0</v>
      </c>
      <c r="AL46" s="1507">
        <f t="shared" ca="1" si="90"/>
        <v>0</v>
      </c>
      <c r="AM46" s="1507">
        <f t="shared" ca="1" si="90"/>
        <v>0</v>
      </c>
      <c r="AN46" s="1507">
        <f t="shared" ca="1" si="90"/>
        <v>0</v>
      </c>
      <c r="AO46" s="1507">
        <f t="shared" ca="1" si="90"/>
        <v>0</v>
      </c>
      <c r="AP46" s="1507">
        <f t="shared" ca="1" si="90"/>
        <v>0</v>
      </c>
      <c r="AQ46" s="1507">
        <f t="shared" ca="1" si="90"/>
        <v>0</v>
      </c>
      <c r="AR46" s="1507">
        <f t="shared" ca="1" si="90"/>
        <v>0</v>
      </c>
      <c r="AS46" s="1507">
        <f t="shared" ca="1" si="90"/>
        <v>0</v>
      </c>
      <c r="AT46" s="1507">
        <f t="shared" ca="1" si="90"/>
        <v>0</v>
      </c>
      <c r="AU46" s="1507">
        <f t="shared" ca="1" si="90"/>
        <v>0</v>
      </c>
      <c r="AV46" s="1507">
        <f t="shared" ca="1" si="90"/>
        <v>0</v>
      </c>
      <c r="AW46" s="1507">
        <f t="shared" ca="1" si="90"/>
        <v>0</v>
      </c>
      <c r="AX46" s="1507">
        <f t="shared" ca="1" si="90"/>
        <v>0</v>
      </c>
      <c r="AY46" s="1507">
        <f t="shared" ca="1" si="90"/>
        <v>0</v>
      </c>
      <c r="AZ46" s="1507">
        <f t="shared" ca="1" si="90"/>
        <v>0</v>
      </c>
      <c r="BA46" s="1507">
        <f t="shared" ca="1" si="90"/>
        <v>0</v>
      </c>
      <c r="BB46" s="1507">
        <f t="shared" ca="1" si="90"/>
        <v>0</v>
      </c>
      <c r="BC46" s="1507">
        <f t="shared" ca="1" si="90"/>
        <v>0</v>
      </c>
      <c r="BD46" s="1507">
        <f t="shared" ca="1" si="90"/>
        <v>0</v>
      </c>
      <c r="BE46" s="1507">
        <f t="shared" ca="1" si="90"/>
        <v>0</v>
      </c>
      <c r="BF46" s="1507">
        <f t="shared" ca="1" si="90"/>
        <v>0</v>
      </c>
      <c r="BG46" s="1507">
        <f t="shared" ca="1" si="90"/>
        <v>0</v>
      </c>
      <c r="BH46" s="1507">
        <f t="shared" ca="1" si="90"/>
        <v>0</v>
      </c>
      <c r="BI46" s="1507">
        <f t="shared" ca="1" si="90"/>
        <v>0</v>
      </c>
      <c r="BJ46" s="1507">
        <f t="shared" ca="1" si="90"/>
        <v>0</v>
      </c>
      <c r="BK46" s="1507">
        <f t="shared" ca="1" si="90"/>
        <v>0</v>
      </c>
      <c r="BL46" s="1507">
        <f t="shared" ca="1" si="90"/>
        <v>0</v>
      </c>
      <c r="BM46" s="1507">
        <f t="shared" ca="1" si="90"/>
        <v>0</v>
      </c>
      <c r="BN46" s="1507">
        <f t="shared" ca="1" si="90"/>
        <v>0</v>
      </c>
      <c r="BO46" s="1507">
        <f t="shared" ca="1" si="90"/>
        <v>0</v>
      </c>
      <c r="BP46" s="1507">
        <f t="shared" ca="1" si="90"/>
        <v>0</v>
      </c>
      <c r="BQ46" s="1507">
        <f t="shared" ca="1" si="90"/>
        <v>0</v>
      </c>
      <c r="BR46" s="1507">
        <f t="shared" ref="BR46:EC46" ca="1" si="91">BR39-BR38</f>
        <v>0</v>
      </c>
      <c r="BS46" s="1507">
        <f t="shared" ca="1" si="91"/>
        <v>0</v>
      </c>
      <c r="BT46" s="1507">
        <f t="shared" ca="1" si="91"/>
        <v>0</v>
      </c>
      <c r="BU46" s="1507">
        <f t="shared" ca="1" si="91"/>
        <v>0</v>
      </c>
      <c r="BV46" s="1507">
        <f t="shared" ca="1" si="91"/>
        <v>0</v>
      </c>
      <c r="BW46" s="1507">
        <f t="shared" ca="1" si="91"/>
        <v>0</v>
      </c>
      <c r="BX46" s="1507">
        <f t="shared" ca="1" si="91"/>
        <v>0</v>
      </c>
      <c r="BY46" s="1507">
        <f t="shared" ca="1" si="91"/>
        <v>0</v>
      </c>
      <c r="BZ46" s="1507">
        <f t="shared" ca="1" si="91"/>
        <v>0</v>
      </c>
      <c r="CA46" s="1507">
        <f t="shared" ca="1" si="91"/>
        <v>0</v>
      </c>
      <c r="CB46" s="1507">
        <f t="shared" ca="1" si="91"/>
        <v>0</v>
      </c>
      <c r="CC46" s="1507">
        <f t="shared" ca="1" si="91"/>
        <v>0</v>
      </c>
      <c r="CD46" s="1507">
        <f t="shared" ca="1" si="91"/>
        <v>0</v>
      </c>
      <c r="CE46" s="1507">
        <f t="shared" ca="1" si="91"/>
        <v>0</v>
      </c>
      <c r="CF46" s="1507">
        <f t="shared" ca="1" si="91"/>
        <v>0</v>
      </c>
      <c r="CG46" s="1507">
        <f t="shared" ca="1" si="91"/>
        <v>0</v>
      </c>
      <c r="CH46" s="1507">
        <f t="shared" ca="1" si="91"/>
        <v>0</v>
      </c>
      <c r="CI46" s="1507">
        <f t="shared" ca="1" si="91"/>
        <v>0</v>
      </c>
      <c r="CJ46" s="1507">
        <f t="shared" ca="1" si="91"/>
        <v>0</v>
      </c>
      <c r="CK46" s="1507">
        <f t="shared" ca="1" si="91"/>
        <v>0</v>
      </c>
      <c r="CL46" s="1507">
        <f t="shared" ca="1" si="91"/>
        <v>0</v>
      </c>
      <c r="CM46" s="1507">
        <f t="shared" ca="1" si="91"/>
        <v>0</v>
      </c>
      <c r="CN46" s="1507">
        <f t="shared" ca="1" si="91"/>
        <v>0</v>
      </c>
      <c r="CO46" s="1507">
        <f t="shared" ca="1" si="91"/>
        <v>0</v>
      </c>
      <c r="CP46" s="1507">
        <f t="shared" ca="1" si="91"/>
        <v>0</v>
      </c>
      <c r="CQ46" s="1507">
        <f t="shared" ca="1" si="91"/>
        <v>0</v>
      </c>
      <c r="CR46" s="1507">
        <f t="shared" ca="1" si="91"/>
        <v>0</v>
      </c>
      <c r="CS46" s="1507">
        <f t="shared" ca="1" si="91"/>
        <v>0</v>
      </c>
      <c r="CT46" s="1507">
        <f t="shared" ca="1" si="91"/>
        <v>0</v>
      </c>
      <c r="CU46" s="1507">
        <f t="shared" ca="1" si="91"/>
        <v>0</v>
      </c>
      <c r="CV46" s="1507">
        <f t="shared" ca="1" si="91"/>
        <v>0</v>
      </c>
      <c r="CW46" s="1507">
        <f t="shared" ca="1" si="91"/>
        <v>0</v>
      </c>
      <c r="CX46" s="1507">
        <f t="shared" ca="1" si="91"/>
        <v>0</v>
      </c>
      <c r="CY46" s="1507">
        <f t="shared" ca="1" si="91"/>
        <v>0</v>
      </c>
      <c r="CZ46" s="1507">
        <f t="shared" ca="1" si="91"/>
        <v>0</v>
      </c>
      <c r="DA46" s="1507">
        <f t="shared" ca="1" si="91"/>
        <v>0</v>
      </c>
      <c r="DB46" s="1507">
        <f t="shared" ca="1" si="91"/>
        <v>0</v>
      </c>
      <c r="DC46" s="1507">
        <f t="shared" ca="1" si="91"/>
        <v>0</v>
      </c>
      <c r="DD46" s="1507">
        <f t="shared" ca="1" si="91"/>
        <v>0</v>
      </c>
      <c r="DE46" s="1507">
        <f t="shared" ca="1" si="91"/>
        <v>0</v>
      </c>
      <c r="DF46" s="1507">
        <f t="shared" ca="1" si="91"/>
        <v>0</v>
      </c>
      <c r="DG46" s="1507">
        <f t="shared" ca="1" si="91"/>
        <v>0</v>
      </c>
      <c r="DH46" s="1507">
        <f t="shared" ca="1" si="91"/>
        <v>0</v>
      </c>
      <c r="DI46" s="1507">
        <f t="shared" ca="1" si="91"/>
        <v>0</v>
      </c>
      <c r="DJ46" s="1507">
        <f t="shared" ca="1" si="91"/>
        <v>0</v>
      </c>
      <c r="DK46" s="1507">
        <f t="shared" ca="1" si="91"/>
        <v>0</v>
      </c>
      <c r="DL46" s="1507">
        <f t="shared" ca="1" si="91"/>
        <v>0</v>
      </c>
      <c r="DM46" s="1507">
        <f t="shared" ca="1" si="91"/>
        <v>0</v>
      </c>
      <c r="DN46" s="1507">
        <f t="shared" ca="1" si="91"/>
        <v>0</v>
      </c>
      <c r="DO46" s="1507">
        <f t="shared" ca="1" si="91"/>
        <v>0</v>
      </c>
      <c r="DP46" s="1507">
        <f t="shared" ca="1" si="91"/>
        <v>0</v>
      </c>
      <c r="DQ46" s="1507">
        <f t="shared" ca="1" si="91"/>
        <v>0</v>
      </c>
      <c r="DR46" s="1507">
        <f t="shared" ca="1" si="91"/>
        <v>0</v>
      </c>
      <c r="DS46" s="1507">
        <f t="shared" ca="1" si="91"/>
        <v>0</v>
      </c>
      <c r="DT46" s="1507">
        <f t="shared" ca="1" si="91"/>
        <v>0</v>
      </c>
      <c r="DU46" s="1507">
        <f t="shared" si="91"/>
        <v>0</v>
      </c>
      <c r="DV46" s="1507">
        <f t="shared" si="91"/>
        <v>0</v>
      </c>
      <c r="DW46" s="1507">
        <f t="shared" si="91"/>
        <v>0</v>
      </c>
      <c r="DX46" s="1507">
        <f t="shared" si="91"/>
        <v>0</v>
      </c>
      <c r="DY46" s="1507">
        <f t="shared" si="91"/>
        <v>0</v>
      </c>
      <c r="DZ46" s="1507">
        <f t="shared" si="91"/>
        <v>0</v>
      </c>
      <c r="EA46" s="1507">
        <f t="shared" si="91"/>
        <v>0</v>
      </c>
      <c r="EB46" s="1507">
        <f t="shared" si="91"/>
        <v>0</v>
      </c>
      <c r="EC46" s="1507">
        <f t="shared" si="91"/>
        <v>0</v>
      </c>
      <c r="ED46" s="1507">
        <f t="shared" ref="ED46:FL46" si="92">ED39-ED38</f>
        <v>0</v>
      </c>
      <c r="EE46" s="1507">
        <f t="shared" si="92"/>
        <v>0</v>
      </c>
      <c r="EF46" s="1507">
        <f t="shared" si="92"/>
        <v>0</v>
      </c>
      <c r="EG46" s="1507">
        <f t="shared" si="92"/>
        <v>0</v>
      </c>
      <c r="EH46" s="1507">
        <f t="shared" si="92"/>
        <v>0</v>
      </c>
      <c r="EI46" s="1507">
        <f t="shared" si="92"/>
        <v>0</v>
      </c>
      <c r="EJ46" s="1507">
        <f t="shared" si="92"/>
        <v>0</v>
      </c>
      <c r="EK46" s="1507">
        <f t="shared" si="92"/>
        <v>0</v>
      </c>
      <c r="EL46" s="1507">
        <f t="shared" si="92"/>
        <v>0</v>
      </c>
      <c r="EM46" s="1507">
        <f t="shared" si="92"/>
        <v>0</v>
      </c>
      <c r="EN46" s="1507">
        <f t="shared" si="92"/>
        <v>0</v>
      </c>
      <c r="EO46" s="1507">
        <f t="shared" si="92"/>
        <v>0</v>
      </c>
      <c r="EP46" s="1507">
        <f t="shared" si="92"/>
        <v>0</v>
      </c>
      <c r="EQ46" s="1507">
        <f t="shared" si="92"/>
        <v>0</v>
      </c>
      <c r="ER46" s="1507">
        <f t="shared" si="92"/>
        <v>0</v>
      </c>
      <c r="ES46" s="1507">
        <f t="shared" si="92"/>
        <v>0</v>
      </c>
      <c r="ET46" s="1507">
        <f t="shared" si="92"/>
        <v>0</v>
      </c>
      <c r="EU46" s="1507">
        <f t="shared" si="92"/>
        <v>0</v>
      </c>
      <c r="EV46" s="1507">
        <f t="shared" si="92"/>
        <v>0</v>
      </c>
      <c r="EW46" s="1507">
        <f t="shared" si="92"/>
        <v>0</v>
      </c>
      <c r="EX46" s="1507">
        <f t="shared" si="92"/>
        <v>0</v>
      </c>
      <c r="EY46" s="1507">
        <f t="shared" si="92"/>
        <v>0</v>
      </c>
      <c r="EZ46" s="1507">
        <f t="shared" si="92"/>
        <v>0</v>
      </c>
      <c r="FA46" s="1507">
        <f t="shared" si="92"/>
        <v>0</v>
      </c>
      <c r="FB46" s="1507">
        <f t="shared" si="92"/>
        <v>0</v>
      </c>
      <c r="FC46" s="1507">
        <f t="shared" si="92"/>
        <v>0</v>
      </c>
      <c r="FD46" s="1507">
        <f t="shared" si="92"/>
        <v>0</v>
      </c>
      <c r="FE46" s="1507">
        <f t="shared" si="92"/>
        <v>0</v>
      </c>
      <c r="FF46" s="1507">
        <f t="shared" si="92"/>
        <v>0</v>
      </c>
      <c r="FG46" s="1507">
        <f t="shared" si="92"/>
        <v>0</v>
      </c>
      <c r="FH46" s="1486">
        <f t="shared" si="92"/>
        <v>0</v>
      </c>
      <c r="FI46" s="1486">
        <f t="shared" si="92"/>
        <v>0</v>
      </c>
      <c r="FJ46" s="1486">
        <f t="shared" si="92"/>
        <v>0</v>
      </c>
      <c r="FK46" s="1486">
        <f t="shared" si="92"/>
        <v>0</v>
      </c>
      <c r="FL46" s="1545">
        <f t="shared" si="92"/>
        <v>0</v>
      </c>
      <c r="FM46" s="1558"/>
    </row>
    <row r="47" spans="1:169">
      <c r="A47" s="1739"/>
      <c r="B47" s="1743"/>
      <c r="C47" s="1485" t="s">
        <v>232</v>
      </c>
      <c r="D47" s="1488">
        <f>IF(D16=0,0,D46/D16)</f>
        <v>0</v>
      </c>
      <c r="E47" s="1508">
        <f>IF(E16=0,0,E46/E16)</f>
        <v>0</v>
      </c>
      <c r="F47" s="1508">
        <f t="shared" ref="F47:BQ47" si="93">IF(F16=0,0,F46/F16)</f>
        <v>0</v>
      </c>
      <c r="G47" s="1508">
        <f t="shared" si="93"/>
        <v>0</v>
      </c>
      <c r="H47" s="1508">
        <f t="shared" si="93"/>
        <v>0</v>
      </c>
      <c r="I47" s="1508">
        <f t="shared" si="93"/>
        <v>0</v>
      </c>
      <c r="J47" s="1508">
        <f t="shared" si="93"/>
        <v>0</v>
      </c>
      <c r="K47" s="1508">
        <f t="shared" si="93"/>
        <v>0</v>
      </c>
      <c r="L47" s="1508">
        <f t="shared" si="93"/>
        <v>0</v>
      </c>
      <c r="M47" s="1508">
        <f t="shared" si="93"/>
        <v>0</v>
      </c>
      <c r="N47" s="1508">
        <f t="shared" si="93"/>
        <v>0</v>
      </c>
      <c r="O47" s="1508">
        <f t="shared" si="93"/>
        <v>0</v>
      </c>
      <c r="P47" s="1508">
        <f t="shared" si="93"/>
        <v>0</v>
      </c>
      <c r="Q47" s="1508">
        <f t="shared" si="93"/>
        <v>0</v>
      </c>
      <c r="R47" s="1508">
        <f t="shared" si="93"/>
        <v>0</v>
      </c>
      <c r="S47" s="1508">
        <f t="shared" si="93"/>
        <v>0</v>
      </c>
      <c r="T47" s="1508">
        <f t="shared" si="93"/>
        <v>0</v>
      </c>
      <c r="U47" s="1508">
        <f t="shared" si="93"/>
        <v>0</v>
      </c>
      <c r="V47" s="1508">
        <f t="shared" si="93"/>
        <v>0</v>
      </c>
      <c r="W47" s="1508">
        <f t="shared" si="93"/>
        <v>0</v>
      </c>
      <c r="X47" s="1508">
        <f t="shared" si="93"/>
        <v>0</v>
      </c>
      <c r="Y47" s="1508">
        <f t="shared" si="93"/>
        <v>0</v>
      </c>
      <c r="Z47" s="1508">
        <f t="shared" si="93"/>
        <v>0</v>
      </c>
      <c r="AA47" s="1508">
        <f t="shared" si="93"/>
        <v>0</v>
      </c>
      <c r="AB47" s="1508">
        <f t="shared" si="93"/>
        <v>0</v>
      </c>
      <c r="AC47" s="1508">
        <f t="shared" si="93"/>
        <v>0</v>
      </c>
      <c r="AD47" s="1508">
        <f t="shared" si="93"/>
        <v>0</v>
      </c>
      <c r="AE47" s="1508">
        <f t="shared" si="93"/>
        <v>0</v>
      </c>
      <c r="AF47" s="1508">
        <f t="shared" si="93"/>
        <v>0</v>
      </c>
      <c r="AG47" s="1508">
        <f t="shared" si="93"/>
        <v>0</v>
      </c>
      <c r="AH47" s="1508">
        <f t="shared" si="93"/>
        <v>0</v>
      </c>
      <c r="AI47" s="1508">
        <f t="shared" si="93"/>
        <v>0</v>
      </c>
      <c r="AJ47" s="1508">
        <f t="shared" si="93"/>
        <v>0</v>
      </c>
      <c r="AK47" s="1508">
        <f t="shared" si="93"/>
        <v>0</v>
      </c>
      <c r="AL47" s="1508">
        <f t="shared" si="93"/>
        <v>0</v>
      </c>
      <c r="AM47" s="1508">
        <f t="shared" si="93"/>
        <v>0</v>
      </c>
      <c r="AN47" s="1508">
        <f t="shared" si="93"/>
        <v>0</v>
      </c>
      <c r="AO47" s="1508">
        <f t="shared" si="93"/>
        <v>0</v>
      </c>
      <c r="AP47" s="1508">
        <f t="shared" si="93"/>
        <v>0</v>
      </c>
      <c r="AQ47" s="1508">
        <f t="shared" si="93"/>
        <v>0</v>
      </c>
      <c r="AR47" s="1508">
        <f t="shared" si="93"/>
        <v>0</v>
      </c>
      <c r="AS47" s="1508">
        <f t="shared" si="93"/>
        <v>0</v>
      </c>
      <c r="AT47" s="1508">
        <f t="shared" si="93"/>
        <v>0</v>
      </c>
      <c r="AU47" s="1508">
        <f t="shared" si="93"/>
        <v>0</v>
      </c>
      <c r="AV47" s="1508">
        <f t="shared" si="93"/>
        <v>0</v>
      </c>
      <c r="AW47" s="1508">
        <f t="shared" si="93"/>
        <v>0</v>
      </c>
      <c r="AX47" s="1508">
        <f t="shared" si="93"/>
        <v>0</v>
      </c>
      <c r="AY47" s="1508">
        <f t="shared" si="93"/>
        <v>0</v>
      </c>
      <c r="AZ47" s="1508">
        <f t="shared" si="93"/>
        <v>0</v>
      </c>
      <c r="BA47" s="1508">
        <f t="shared" si="93"/>
        <v>0</v>
      </c>
      <c r="BB47" s="1508">
        <f t="shared" si="93"/>
        <v>0</v>
      </c>
      <c r="BC47" s="1508">
        <f t="shared" si="93"/>
        <v>0</v>
      </c>
      <c r="BD47" s="1508">
        <f t="shared" si="93"/>
        <v>0</v>
      </c>
      <c r="BE47" s="1508">
        <f t="shared" si="93"/>
        <v>0</v>
      </c>
      <c r="BF47" s="1508">
        <f t="shared" si="93"/>
        <v>0</v>
      </c>
      <c r="BG47" s="1508">
        <f t="shared" si="93"/>
        <v>0</v>
      </c>
      <c r="BH47" s="1508">
        <f t="shared" si="93"/>
        <v>0</v>
      </c>
      <c r="BI47" s="1508">
        <f t="shared" si="93"/>
        <v>0</v>
      </c>
      <c r="BJ47" s="1508">
        <f t="shared" si="93"/>
        <v>0</v>
      </c>
      <c r="BK47" s="1508">
        <f t="shared" si="93"/>
        <v>0</v>
      </c>
      <c r="BL47" s="1508">
        <f t="shared" si="93"/>
        <v>0</v>
      </c>
      <c r="BM47" s="1508">
        <f t="shared" si="93"/>
        <v>0</v>
      </c>
      <c r="BN47" s="1508">
        <f t="shared" si="93"/>
        <v>0</v>
      </c>
      <c r="BO47" s="1508">
        <f t="shared" si="93"/>
        <v>0</v>
      </c>
      <c r="BP47" s="1508">
        <f t="shared" si="93"/>
        <v>0</v>
      </c>
      <c r="BQ47" s="1508">
        <f t="shared" si="93"/>
        <v>0</v>
      </c>
      <c r="BR47" s="1508">
        <f t="shared" ref="BR47:EC47" si="94">IF(BR16=0,0,BR46/BR16)</f>
        <v>0</v>
      </c>
      <c r="BS47" s="1508">
        <f t="shared" si="94"/>
        <v>0</v>
      </c>
      <c r="BT47" s="1508">
        <f t="shared" si="94"/>
        <v>0</v>
      </c>
      <c r="BU47" s="1508">
        <f t="shared" si="94"/>
        <v>0</v>
      </c>
      <c r="BV47" s="1508">
        <f t="shared" si="94"/>
        <v>0</v>
      </c>
      <c r="BW47" s="1508">
        <f t="shared" si="94"/>
        <v>0</v>
      </c>
      <c r="BX47" s="1508">
        <f t="shared" si="94"/>
        <v>0</v>
      </c>
      <c r="BY47" s="1508">
        <f t="shared" si="94"/>
        <v>0</v>
      </c>
      <c r="BZ47" s="1508">
        <f t="shared" si="94"/>
        <v>0</v>
      </c>
      <c r="CA47" s="1508">
        <f t="shared" si="94"/>
        <v>0</v>
      </c>
      <c r="CB47" s="1508">
        <f t="shared" si="94"/>
        <v>0</v>
      </c>
      <c r="CC47" s="1508">
        <f t="shared" si="94"/>
        <v>0</v>
      </c>
      <c r="CD47" s="1508">
        <f t="shared" si="94"/>
        <v>0</v>
      </c>
      <c r="CE47" s="1508">
        <f t="shared" si="94"/>
        <v>0</v>
      </c>
      <c r="CF47" s="1508">
        <f t="shared" si="94"/>
        <v>0</v>
      </c>
      <c r="CG47" s="1508">
        <f t="shared" si="94"/>
        <v>0</v>
      </c>
      <c r="CH47" s="1508">
        <f t="shared" si="94"/>
        <v>0</v>
      </c>
      <c r="CI47" s="1508">
        <f t="shared" si="94"/>
        <v>0</v>
      </c>
      <c r="CJ47" s="1508">
        <f t="shared" si="94"/>
        <v>0</v>
      </c>
      <c r="CK47" s="1508">
        <f t="shared" si="94"/>
        <v>0</v>
      </c>
      <c r="CL47" s="1508">
        <f t="shared" si="94"/>
        <v>0</v>
      </c>
      <c r="CM47" s="1508">
        <f t="shared" si="94"/>
        <v>0</v>
      </c>
      <c r="CN47" s="1508">
        <f t="shared" si="94"/>
        <v>0</v>
      </c>
      <c r="CO47" s="1508">
        <f t="shared" si="94"/>
        <v>0</v>
      </c>
      <c r="CP47" s="1508">
        <f t="shared" si="94"/>
        <v>0</v>
      </c>
      <c r="CQ47" s="1508">
        <f t="shared" si="94"/>
        <v>0</v>
      </c>
      <c r="CR47" s="1508">
        <f t="shared" si="94"/>
        <v>0</v>
      </c>
      <c r="CS47" s="1508">
        <f t="shared" si="94"/>
        <v>0</v>
      </c>
      <c r="CT47" s="1508">
        <f t="shared" si="94"/>
        <v>0</v>
      </c>
      <c r="CU47" s="1508">
        <f t="shared" si="94"/>
        <v>0</v>
      </c>
      <c r="CV47" s="1508">
        <f t="shared" si="94"/>
        <v>0</v>
      </c>
      <c r="CW47" s="1508">
        <f t="shared" si="94"/>
        <v>0</v>
      </c>
      <c r="CX47" s="1508">
        <f t="shared" si="94"/>
        <v>0</v>
      </c>
      <c r="CY47" s="1508">
        <f t="shared" si="94"/>
        <v>0</v>
      </c>
      <c r="CZ47" s="1508">
        <f t="shared" si="94"/>
        <v>0</v>
      </c>
      <c r="DA47" s="1508">
        <f t="shared" si="94"/>
        <v>0</v>
      </c>
      <c r="DB47" s="1508">
        <f t="shared" si="94"/>
        <v>0</v>
      </c>
      <c r="DC47" s="1508">
        <f t="shared" si="94"/>
        <v>0</v>
      </c>
      <c r="DD47" s="1508">
        <f t="shared" si="94"/>
        <v>0</v>
      </c>
      <c r="DE47" s="1508">
        <f t="shared" si="94"/>
        <v>0</v>
      </c>
      <c r="DF47" s="1508">
        <f t="shared" si="94"/>
        <v>0</v>
      </c>
      <c r="DG47" s="1508">
        <f t="shared" si="94"/>
        <v>0</v>
      </c>
      <c r="DH47" s="1508">
        <f t="shared" si="94"/>
        <v>0</v>
      </c>
      <c r="DI47" s="1508">
        <f t="shared" si="94"/>
        <v>0</v>
      </c>
      <c r="DJ47" s="1508">
        <f t="shared" si="94"/>
        <v>0</v>
      </c>
      <c r="DK47" s="1508">
        <f t="shared" si="94"/>
        <v>0</v>
      </c>
      <c r="DL47" s="1508">
        <f t="shared" si="94"/>
        <v>0</v>
      </c>
      <c r="DM47" s="1508">
        <f t="shared" si="94"/>
        <v>0</v>
      </c>
      <c r="DN47" s="1508">
        <f t="shared" si="94"/>
        <v>0</v>
      </c>
      <c r="DO47" s="1508">
        <f t="shared" si="94"/>
        <v>0</v>
      </c>
      <c r="DP47" s="1508">
        <f t="shared" si="94"/>
        <v>0</v>
      </c>
      <c r="DQ47" s="1508">
        <f t="shared" si="94"/>
        <v>0</v>
      </c>
      <c r="DR47" s="1508">
        <f t="shared" si="94"/>
        <v>0</v>
      </c>
      <c r="DS47" s="1508">
        <f t="shared" si="94"/>
        <v>0</v>
      </c>
      <c r="DT47" s="1508">
        <f t="shared" si="94"/>
        <v>0</v>
      </c>
      <c r="DU47" s="1508">
        <f t="shared" si="94"/>
        <v>0</v>
      </c>
      <c r="DV47" s="1508">
        <f t="shared" si="94"/>
        <v>0</v>
      </c>
      <c r="DW47" s="1508">
        <f t="shared" si="94"/>
        <v>0</v>
      </c>
      <c r="DX47" s="1508">
        <f t="shared" si="94"/>
        <v>0</v>
      </c>
      <c r="DY47" s="1508">
        <f t="shared" si="94"/>
        <v>0</v>
      </c>
      <c r="DZ47" s="1508">
        <f t="shared" si="94"/>
        <v>0</v>
      </c>
      <c r="EA47" s="1508">
        <f t="shared" si="94"/>
        <v>0</v>
      </c>
      <c r="EB47" s="1508">
        <f t="shared" si="94"/>
        <v>0</v>
      </c>
      <c r="EC47" s="1508">
        <f t="shared" si="94"/>
        <v>0</v>
      </c>
      <c r="ED47" s="1508">
        <f t="shared" ref="ED47:FH47" si="95">IF(ED16=0,0,ED46/ED16)</f>
        <v>0</v>
      </c>
      <c r="EE47" s="1508">
        <f t="shared" si="95"/>
        <v>0</v>
      </c>
      <c r="EF47" s="1508">
        <f t="shared" si="95"/>
        <v>0</v>
      </c>
      <c r="EG47" s="1508">
        <f t="shared" si="95"/>
        <v>0</v>
      </c>
      <c r="EH47" s="1508">
        <f t="shared" si="95"/>
        <v>0</v>
      </c>
      <c r="EI47" s="1508">
        <f t="shared" si="95"/>
        <v>0</v>
      </c>
      <c r="EJ47" s="1508">
        <f t="shared" si="95"/>
        <v>0</v>
      </c>
      <c r="EK47" s="1508">
        <f t="shared" si="95"/>
        <v>0</v>
      </c>
      <c r="EL47" s="1508">
        <f t="shared" si="95"/>
        <v>0</v>
      </c>
      <c r="EM47" s="1508">
        <f t="shared" si="95"/>
        <v>0</v>
      </c>
      <c r="EN47" s="1508">
        <f t="shared" si="95"/>
        <v>0</v>
      </c>
      <c r="EO47" s="1508">
        <f t="shared" si="95"/>
        <v>0</v>
      </c>
      <c r="EP47" s="1508">
        <f t="shared" si="95"/>
        <v>0</v>
      </c>
      <c r="EQ47" s="1508">
        <f t="shared" si="95"/>
        <v>0</v>
      </c>
      <c r="ER47" s="1508">
        <f t="shared" si="95"/>
        <v>0</v>
      </c>
      <c r="ES47" s="1508">
        <f t="shared" si="95"/>
        <v>0</v>
      </c>
      <c r="ET47" s="1508">
        <f t="shared" si="95"/>
        <v>0</v>
      </c>
      <c r="EU47" s="1508">
        <f t="shared" si="95"/>
        <v>0</v>
      </c>
      <c r="EV47" s="1508">
        <f t="shared" si="95"/>
        <v>0</v>
      </c>
      <c r="EW47" s="1508">
        <f t="shared" si="95"/>
        <v>0</v>
      </c>
      <c r="EX47" s="1508">
        <f t="shared" si="95"/>
        <v>0</v>
      </c>
      <c r="EY47" s="1508">
        <f t="shared" si="95"/>
        <v>0</v>
      </c>
      <c r="EZ47" s="1508">
        <f t="shared" si="95"/>
        <v>0</v>
      </c>
      <c r="FA47" s="1508">
        <f t="shared" si="95"/>
        <v>0</v>
      </c>
      <c r="FB47" s="1508">
        <f t="shared" si="95"/>
        <v>0</v>
      </c>
      <c r="FC47" s="1508">
        <f t="shared" si="95"/>
        <v>0</v>
      </c>
      <c r="FD47" s="1508">
        <f t="shared" si="95"/>
        <v>0</v>
      </c>
      <c r="FE47" s="1508">
        <f t="shared" si="95"/>
        <v>0</v>
      </c>
      <c r="FF47" s="1508">
        <f t="shared" si="95"/>
        <v>0</v>
      </c>
      <c r="FG47" s="1508">
        <f t="shared" si="95"/>
        <v>0</v>
      </c>
      <c r="FH47" s="1488">
        <f t="shared" si="95"/>
        <v>0</v>
      </c>
      <c r="FI47" s="1488"/>
      <c r="FJ47" s="1488"/>
      <c r="FK47" s="1488"/>
      <c r="FL47" s="1546"/>
      <c r="FM47" s="1557"/>
    </row>
    <row r="48" spans="1:169">
      <c r="A48" s="1739"/>
      <c r="B48" s="1732" t="s">
        <v>233</v>
      </c>
      <c r="C48" s="1733"/>
      <c r="D48" s="1486">
        <f ca="1">SUM(E48:FL48)</f>
        <v>0</v>
      </c>
      <c r="E48" s="1500">
        <f ca="1">自持参数设置!C6</f>
        <v>0</v>
      </c>
      <c r="F48" s="1509"/>
      <c r="G48" s="1509"/>
      <c r="H48" s="1509"/>
      <c r="I48" s="1509"/>
      <c r="J48" s="1509"/>
      <c r="K48" s="1509"/>
      <c r="L48" s="1509"/>
      <c r="M48" s="1509"/>
      <c r="N48" s="1509"/>
      <c r="O48" s="1509"/>
      <c r="P48" s="1509"/>
      <c r="Q48" s="1509"/>
      <c r="R48" s="1509"/>
      <c r="S48" s="1509"/>
      <c r="T48" s="1509"/>
      <c r="U48" s="1509"/>
      <c r="V48" s="1509"/>
      <c r="W48" s="1509"/>
      <c r="X48" s="1509"/>
      <c r="Y48" s="1509"/>
      <c r="Z48" s="1509"/>
      <c r="AA48" s="1509"/>
      <c r="AB48" s="1509"/>
      <c r="AC48" s="1509"/>
      <c r="AD48" s="1509"/>
      <c r="AE48" s="1509"/>
      <c r="AF48" s="1509"/>
      <c r="AG48" s="1509"/>
      <c r="AH48" s="1509"/>
      <c r="AI48" s="1509"/>
      <c r="AJ48" s="1509"/>
      <c r="AK48" s="1509"/>
      <c r="AL48" s="1509"/>
      <c r="AM48" s="1509"/>
      <c r="AN48" s="1509"/>
      <c r="AO48" s="1509"/>
      <c r="AP48" s="1509"/>
      <c r="AQ48" s="1509"/>
      <c r="AR48" s="1509"/>
      <c r="AS48" s="1500"/>
      <c r="AT48" s="1509"/>
      <c r="AU48" s="1509"/>
      <c r="AV48" s="1509"/>
      <c r="AW48" s="1509"/>
      <c r="AX48" s="1509"/>
      <c r="AY48" s="1509"/>
      <c r="AZ48" s="1509"/>
      <c r="BA48" s="1509"/>
      <c r="BB48" s="1509"/>
      <c r="BC48" s="1509"/>
      <c r="BD48" s="1509"/>
      <c r="BE48" s="1509"/>
      <c r="BF48" s="1509"/>
      <c r="BG48" s="1509"/>
      <c r="BH48" s="1509"/>
      <c r="BI48" s="1509"/>
      <c r="BJ48" s="1509"/>
      <c r="BK48" s="1509"/>
      <c r="BL48" s="1509"/>
      <c r="BM48" s="1509"/>
      <c r="BN48" s="1509"/>
      <c r="BO48" s="1509"/>
      <c r="BP48" s="1509"/>
      <c r="BQ48" s="1509"/>
      <c r="BR48" s="1509"/>
      <c r="BS48" s="1509"/>
      <c r="BT48" s="1509"/>
      <c r="BU48" s="1509"/>
      <c r="BV48" s="1509"/>
      <c r="BW48" s="1509"/>
      <c r="BX48" s="1509"/>
      <c r="BY48" s="1509"/>
      <c r="BZ48" s="1509"/>
      <c r="CA48" s="1509"/>
      <c r="CB48" s="1509"/>
      <c r="CC48" s="1509"/>
      <c r="CD48" s="1509"/>
      <c r="CE48" s="1509"/>
      <c r="CF48" s="1509"/>
      <c r="CG48" s="1500"/>
      <c r="CH48" s="1509"/>
      <c r="CI48" s="1509"/>
      <c r="CJ48" s="1509"/>
      <c r="CK48" s="1509"/>
      <c r="CL48" s="1509"/>
      <c r="CM48" s="1509"/>
      <c r="CN48" s="1509"/>
      <c r="CO48" s="1509"/>
      <c r="CP48" s="1509"/>
      <c r="CQ48" s="1509"/>
      <c r="CR48" s="1509"/>
      <c r="CS48" s="1509"/>
      <c r="CT48" s="1509"/>
      <c r="CU48" s="1509"/>
      <c r="CV48" s="1509"/>
      <c r="CW48" s="1509"/>
      <c r="CX48" s="1509"/>
      <c r="CY48" s="1509"/>
      <c r="CZ48" s="1509"/>
      <c r="DA48" s="1509"/>
      <c r="DB48" s="1509"/>
      <c r="DC48" s="1509"/>
      <c r="DD48" s="1509"/>
      <c r="DE48" s="1509"/>
      <c r="DF48" s="1509"/>
      <c r="DG48" s="1509"/>
      <c r="DH48" s="1509"/>
      <c r="DI48" s="1509"/>
      <c r="DJ48" s="1509"/>
      <c r="DK48" s="1509"/>
      <c r="DL48" s="1509"/>
      <c r="DM48" s="1509"/>
      <c r="DN48" s="1509"/>
      <c r="DO48" s="1509"/>
      <c r="DP48" s="1509"/>
      <c r="DQ48" s="1509"/>
      <c r="DR48" s="1509"/>
      <c r="DS48" s="1509"/>
      <c r="DT48" s="1509"/>
      <c r="DU48" s="1500"/>
      <c r="DV48" s="1509"/>
      <c r="DW48" s="1509"/>
      <c r="DX48" s="1509"/>
      <c r="DY48" s="1509"/>
      <c r="DZ48" s="1509"/>
      <c r="EA48" s="1509"/>
      <c r="EB48" s="1509"/>
      <c r="EC48" s="1509"/>
      <c r="ED48" s="1509"/>
      <c r="EE48" s="1509"/>
      <c r="EF48" s="1509"/>
      <c r="EG48" s="1509"/>
      <c r="EH48" s="1509"/>
      <c r="EI48" s="1509"/>
      <c r="EJ48" s="1509"/>
      <c r="EK48" s="1509"/>
      <c r="EL48" s="1509"/>
      <c r="EM48" s="1509"/>
      <c r="EN48" s="1509"/>
      <c r="EO48" s="1509"/>
      <c r="EP48" s="1509"/>
      <c r="EQ48" s="1509"/>
      <c r="ER48" s="1509"/>
      <c r="ES48" s="1509"/>
      <c r="ET48" s="1509"/>
      <c r="EU48" s="1509"/>
      <c r="EV48" s="1509"/>
      <c r="EW48" s="1509"/>
      <c r="EX48" s="1509"/>
      <c r="EY48" s="1509"/>
      <c r="EZ48" s="1509"/>
      <c r="FA48" s="1509"/>
      <c r="FB48" s="1509"/>
      <c r="FC48" s="1509"/>
      <c r="FD48" s="1509"/>
      <c r="FE48" s="1509"/>
      <c r="FF48" s="1509"/>
      <c r="FG48" s="1509"/>
      <c r="FH48" s="1509"/>
      <c r="FI48" s="1509"/>
      <c r="FJ48" s="1509"/>
      <c r="FK48" s="1509"/>
      <c r="FL48" s="1536"/>
      <c r="FM48" s="1559"/>
    </row>
    <row r="49" spans="1:169">
      <c r="A49" s="1739"/>
      <c r="B49" s="1734" t="s">
        <v>234</v>
      </c>
      <c r="C49" s="1733"/>
      <c r="D49" s="1486">
        <f>SUM(E49:FL49)</f>
        <v>0</v>
      </c>
      <c r="E49" s="1500">
        <f>E16</f>
        <v>0</v>
      </c>
      <c r="F49" s="1500">
        <f>F16</f>
        <v>0</v>
      </c>
      <c r="G49" s="1500">
        <f>G16</f>
        <v>0</v>
      </c>
      <c r="H49" s="1500">
        <f>H16</f>
        <v>0</v>
      </c>
      <c r="I49" s="1500">
        <f t="shared" ref="I49:BQ49" si="96">I16</f>
        <v>0</v>
      </c>
      <c r="J49" s="1500">
        <f t="shared" si="96"/>
        <v>0</v>
      </c>
      <c r="K49" s="1500">
        <f t="shared" si="96"/>
        <v>0</v>
      </c>
      <c r="L49" s="1500">
        <f t="shared" si="96"/>
        <v>0</v>
      </c>
      <c r="M49" s="1500">
        <f t="shared" si="96"/>
        <v>0</v>
      </c>
      <c r="N49" s="1500">
        <f t="shared" si="96"/>
        <v>0</v>
      </c>
      <c r="O49" s="1500">
        <f t="shared" si="96"/>
        <v>0</v>
      </c>
      <c r="P49" s="1500">
        <f t="shared" si="96"/>
        <v>0</v>
      </c>
      <c r="Q49" s="1500">
        <f t="shared" si="96"/>
        <v>0</v>
      </c>
      <c r="R49" s="1500">
        <f t="shared" si="96"/>
        <v>0</v>
      </c>
      <c r="S49" s="1500">
        <f t="shared" si="96"/>
        <v>0</v>
      </c>
      <c r="T49" s="1500">
        <f t="shared" si="96"/>
        <v>0</v>
      </c>
      <c r="U49" s="1500">
        <f t="shared" si="96"/>
        <v>0</v>
      </c>
      <c r="V49" s="1500">
        <f t="shared" si="96"/>
        <v>0</v>
      </c>
      <c r="W49" s="1500">
        <f t="shared" si="96"/>
        <v>0</v>
      </c>
      <c r="X49" s="1500">
        <f t="shared" si="96"/>
        <v>0</v>
      </c>
      <c r="Y49" s="1500">
        <f t="shared" si="96"/>
        <v>0</v>
      </c>
      <c r="Z49" s="1500">
        <f t="shared" si="96"/>
        <v>0</v>
      </c>
      <c r="AA49" s="1500">
        <f t="shared" si="96"/>
        <v>0</v>
      </c>
      <c r="AB49" s="1500">
        <f t="shared" si="96"/>
        <v>0</v>
      </c>
      <c r="AC49" s="1500">
        <f t="shared" si="96"/>
        <v>0</v>
      </c>
      <c r="AD49" s="1500">
        <f t="shared" si="96"/>
        <v>0</v>
      </c>
      <c r="AE49" s="1500">
        <f t="shared" si="96"/>
        <v>0</v>
      </c>
      <c r="AF49" s="1500">
        <f t="shared" si="96"/>
        <v>0</v>
      </c>
      <c r="AG49" s="1500">
        <f t="shared" si="96"/>
        <v>0</v>
      </c>
      <c r="AH49" s="1500">
        <f t="shared" si="96"/>
        <v>0</v>
      </c>
      <c r="AI49" s="1500">
        <f t="shared" si="96"/>
        <v>0</v>
      </c>
      <c r="AJ49" s="1500">
        <f t="shared" si="96"/>
        <v>0</v>
      </c>
      <c r="AK49" s="1500">
        <f t="shared" si="96"/>
        <v>0</v>
      </c>
      <c r="AL49" s="1500">
        <f t="shared" si="96"/>
        <v>0</v>
      </c>
      <c r="AM49" s="1500">
        <f t="shared" si="96"/>
        <v>0</v>
      </c>
      <c r="AN49" s="1500">
        <f t="shared" si="96"/>
        <v>0</v>
      </c>
      <c r="AO49" s="1500">
        <f t="shared" si="96"/>
        <v>0</v>
      </c>
      <c r="AP49" s="1500">
        <f t="shared" si="96"/>
        <v>0</v>
      </c>
      <c r="AQ49" s="1500">
        <f t="shared" si="96"/>
        <v>0</v>
      </c>
      <c r="AR49" s="1500">
        <f t="shared" si="96"/>
        <v>0</v>
      </c>
      <c r="AS49" s="1500">
        <f t="shared" si="96"/>
        <v>0</v>
      </c>
      <c r="AT49" s="1500">
        <f t="shared" si="96"/>
        <v>0</v>
      </c>
      <c r="AU49" s="1500">
        <f t="shared" si="96"/>
        <v>0</v>
      </c>
      <c r="AV49" s="1500">
        <f t="shared" si="96"/>
        <v>0</v>
      </c>
      <c r="AW49" s="1500">
        <f t="shared" si="96"/>
        <v>0</v>
      </c>
      <c r="AX49" s="1500">
        <f t="shared" si="96"/>
        <v>0</v>
      </c>
      <c r="AY49" s="1500">
        <f t="shared" si="96"/>
        <v>0</v>
      </c>
      <c r="AZ49" s="1500">
        <f t="shared" si="96"/>
        <v>0</v>
      </c>
      <c r="BA49" s="1500">
        <f t="shared" si="96"/>
        <v>0</v>
      </c>
      <c r="BB49" s="1500">
        <f t="shared" si="96"/>
        <v>0</v>
      </c>
      <c r="BC49" s="1500">
        <f t="shared" si="96"/>
        <v>0</v>
      </c>
      <c r="BD49" s="1500">
        <f t="shared" si="96"/>
        <v>0</v>
      </c>
      <c r="BE49" s="1500">
        <f t="shared" si="96"/>
        <v>0</v>
      </c>
      <c r="BF49" s="1500">
        <f t="shared" si="96"/>
        <v>0</v>
      </c>
      <c r="BG49" s="1500">
        <f t="shared" si="96"/>
        <v>0</v>
      </c>
      <c r="BH49" s="1500">
        <f t="shared" si="96"/>
        <v>0</v>
      </c>
      <c r="BI49" s="1500">
        <f t="shared" si="96"/>
        <v>0</v>
      </c>
      <c r="BJ49" s="1500">
        <f t="shared" si="96"/>
        <v>0</v>
      </c>
      <c r="BK49" s="1500">
        <f t="shared" si="96"/>
        <v>0</v>
      </c>
      <c r="BL49" s="1500">
        <f t="shared" si="96"/>
        <v>0</v>
      </c>
      <c r="BM49" s="1500">
        <f t="shared" si="96"/>
        <v>0</v>
      </c>
      <c r="BN49" s="1500">
        <f t="shared" si="96"/>
        <v>0</v>
      </c>
      <c r="BO49" s="1500">
        <f t="shared" si="96"/>
        <v>0</v>
      </c>
      <c r="BP49" s="1500">
        <f t="shared" si="96"/>
        <v>0</v>
      </c>
      <c r="BQ49" s="1500">
        <f t="shared" si="96"/>
        <v>0</v>
      </c>
      <c r="BR49" s="1500">
        <f t="shared" ref="BR49:EC49" si="97">BR16</f>
        <v>0</v>
      </c>
      <c r="BS49" s="1500">
        <f t="shared" si="97"/>
        <v>0</v>
      </c>
      <c r="BT49" s="1500">
        <f t="shared" si="97"/>
        <v>0</v>
      </c>
      <c r="BU49" s="1500">
        <f t="shared" si="97"/>
        <v>0</v>
      </c>
      <c r="BV49" s="1500">
        <f t="shared" si="97"/>
        <v>0</v>
      </c>
      <c r="BW49" s="1500">
        <f t="shared" si="97"/>
        <v>0</v>
      </c>
      <c r="BX49" s="1500">
        <f t="shared" si="97"/>
        <v>0</v>
      </c>
      <c r="BY49" s="1500">
        <f t="shared" si="97"/>
        <v>0</v>
      </c>
      <c r="BZ49" s="1500">
        <f t="shared" si="97"/>
        <v>0</v>
      </c>
      <c r="CA49" s="1500">
        <f t="shared" si="97"/>
        <v>0</v>
      </c>
      <c r="CB49" s="1500">
        <f t="shared" si="97"/>
        <v>0</v>
      </c>
      <c r="CC49" s="1500">
        <f t="shared" si="97"/>
        <v>0</v>
      </c>
      <c r="CD49" s="1500">
        <f t="shared" si="97"/>
        <v>0</v>
      </c>
      <c r="CE49" s="1500">
        <f t="shared" si="97"/>
        <v>0</v>
      </c>
      <c r="CF49" s="1500">
        <f t="shared" si="97"/>
        <v>0</v>
      </c>
      <c r="CG49" s="1500">
        <f t="shared" si="97"/>
        <v>0</v>
      </c>
      <c r="CH49" s="1500">
        <f t="shared" si="97"/>
        <v>0</v>
      </c>
      <c r="CI49" s="1500">
        <f t="shared" si="97"/>
        <v>0</v>
      </c>
      <c r="CJ49" s="1500">
        <f t="shared" si="97"/>
        <v>0</v>
      </c>
      <c r="CK49" s="1500">
        <f t="shared" si="97"/>
        <v>0</v>
      </c>
      <c r="CL49" s="1500">
        <f t="shared" si="97"/>
        <v>0</v>
      </c>
      <c r="CM49" s="1500">
        <f t="shared" si="97"/>
        <v>0</v>
      </c>
      <c r="CN49" s="1500">
        <f t="shared" si="97"/>
        <v>0</v>
      </c>
      <c r="CO49" s="1500">
        <f t="shared" si="97"/>
        <v>0</v>
      </c>
      <c r="CP49" s="1500">
        <f t="shared" si="97"/>
        <v>0</v>
      </c>
      <c r="CQ49" s="1500">
        <f t="shared" si="97"/>
        <v>0</v>
      </c>
      <c r="CR49" s="1500">
        <f t="shared" si="97"/>
        <v>0</v>
      </c>
      <c r="CS49" s="1500">
        <f t="shared" si="97"/>
        <v>0</v>
      </c>
      <c r="CT49" s="1500">
        <f t="shared" si="97"/>
        <v>0</v>
      </c>
      <c r="CU49" s="1500">
        <f t="shared" si="97"/>
        <v>0</v>
      </c>
      <c r="CV49" s="1500">
        <f t="shared" si="97"/>
        <v>0</v>
      </c>
      <c r="CW49" s="1500">
        <f t="shared" si="97"/>
        <v>0</v>
      </c>
      <c r="CX49" s="1500">
        <f t="shared" si="97"/>
        <v>0</v>
      </c>
      <c r="CY49" s="1500">
        <f t="shared" si="97"/>
        <v>0</v>
      </c>
      <c r="CZ49" s="1500">
        <f t="shared" si="97"/>
        <v>0</v>
      </c>
      <c r="DA49" s="1500">
        <f t="shared" si="97"/>
        <v>0</v>
      </c>
      <c r="DB49" s="1500">
        <f t="shared" si="97"/>
        <v>0</v>
      </c>
      <c r="DC49" s="1500">
        <f t="shared" si="97"/>
        <v>0</v>
      </c>
      <c r="DD49" s="1500">
        <f t="shared" si="97"/>
        <v>0</v>
      </c>
      <c r="DE49" s="1500">
        <f t="shared" si="97"/>
        <v>0</v>
      </c>
      <c r="DF49" s="1500">
        <f t="shared" si="97"/>
        <v>0</v>
      </c>
      <c r="DG49" s="1500">
        <f t="shared" si="97"/>
        <v>0</v>
      </c>
      <c r="DH49" s="1500">
        <f t="shared" si="97"/>
        <v>0</v>
      </c>
      <c r="DI49" s="1500">
        <f t="shared" si="97"/>
        <v>0</v>
      </c>
      <c r="DJ49" s="1500">
        <f t="shared" si="97"/>
        <v>0</v>
      </c>
      <c r="DK49" s="1500">
        <f t="shared" si="97"/>
        <v>0</v>
      </c>
      <c r="DL49" s="1500">
        <f t="shared" si="97"/>
        <v>0</v>
      </c>
      <c r="DM49" s="1500">
        <f t="shared" si="97"/>
        <v>0</v>
      </c>
      <c r="DN49" s="1500">
        <f t="shared" si="97"/>
        <v>0</v>
      </c>
      <c r="DO49" s="1500">
        <f t="shared" si="97"/>
        <v>0</v>
      </c>
      <c r="DP49" s="1500">
        <f t="shared" si="97"/>
        <v>0</v>
      </c>
      <c r="DQ49" s="1500">
        <f t="shared" si="97"/>
        <v>0</v>
      </c>
      <c r="DR49" s="1500">
        <f t="shared" si="97"/>
        <v>0</v>
      </c>
      <c r="DS49" s="1500">
        <f t="shared" si="97"/>
        <v>0</v>
      </c>
      <c r="DT49" s="1500">
        <f t="shared" si="97"/>
        <v>0</v>
      </c>
      <c r="DU49" s="1500">
        <f t="shared" si="97"/>
        <v>0</v>
      </c>
      <c r="DV49" s="1500">
        <f t="shared" si="97"/>
        <v>0</v>
      </c>
      <c r="DW49" s="1500">
        <f t="shared" si="97"/>
        <v>0</v>
      </c>
      <c r="DX49" s="1500">
        <f t="shared" si="97"/>
        <v>0</v>
      </c>
      <c r="DY49" s="1500">
        <f t="shared" si="97"/>
        <v>0</v>
      </c>
      <c r="DZ49" s="1500">
        <f t="shared" si="97"/>
        <v>0</v>
      </c>
      <c r="EA49" s="1500">
        <f t="shared" si="97"/>
        <v>0</v>
      </c>
      <c r="EB49" s="1500">
        <f t="shared" si="97"/>
        <v>0</v>
      </c>
      <c r="EC49" s="1500">
        <f t="shared" si="97"/>
        <v>0</v>
      </c>
      <c r="ED49" s="1500">
        <f t="shared" ref="ED49:FL49" si="98">ED16</f>
        <v>0</v>
      </c>
      <c r="EE49" s="1500">
        <f t="shared" si="98"/>
        <v>0</v>
      </c>
      <c r="EF49" s="1500">
        <f t="shared" si="98"/>
        <v>0</v>
      </c>
      <c r="EG49" s="1500">
        <f t="shared" si="98"/>
        <v>0</v>
      </c>
      <c r="EH49" s="1500">
        <f t="shared" si="98"/>
        <v>0</v>
      </c>
      <c r="EI49" s="1500">
        <f t="shared" si="98"/>
        <v>0</v>
      </c>
      <c r="EJ49" s="1500">
        <f t="shared" si="98"/>
        <v>0</v>
      </c>
      <c r="EK49" s="1500">
        <f t="shared" si="98"/>
        <v>0</v>
      </c>
      <c r="EL49" s="1500">
        <f t="shared" si="98"/>
        <v>0</v>
      </c>
      <c r="EM49" s="1500">
        <f t="shared" si="98"/>
        <v>0</v>
      </c>
      <c r="EN49" s="1500">
        <f t="shared" si="98"/>
        <v>0</v>
      </c>
      <c r="EO49" s="1500">
        <f t="shared" si="98"/>
        <v>0</v>
      </c>
      <c r="EP49" s="1500">
        <f t="shared" si="98"/>
        <v>0</v>
      </c>
      <c r="EQ49" s="1500">
        <f t="shared" si="98"/>
        <v>0</v>
      </c>
      <c r="ER49" s="1500">
        <f t="shared" si="98"/>
        <v>0</v>
      </c>
      <c r="ES49" s="1500">
        <f t="shared" si="98"/>
        <v>0</v>
      </c>
      <c r="ET49" s="1500">
        <f t="shared" si="98"/>
        <v>0</v>
      </c>
      <c r="EU49" s="1500">
        <f t="shared" si="98"/>
        <v>0</v>
      </c>
      <c r="EV49" s="1500">
        <f t="shared" si="98"/>
        <v>0</v>
      </c>
      <c r="EW49" s="1500">
        <f t="shared" si="98"/>
        <v>0</v>
      </c>
      <c r="EX49" s="1500">
        <f t="shared" si="98"/>
        <v>0</v>
      </c>
      <c r="EY49" s="1500">
        <f t="shared" si="98"/>
        <v>0</v>
      </c>
      <c r="EZ49" s="1500">
        <f t="shared" si="98"/>
        <v>0</v>
      </c>
      <c r="FA49" s="1500">
        <f t="shared" si="98"/>
        <v>0</v>
      </c>
      <c r="FB49" s="1500">
        <f t="shared" si="98"/>
        <v>0</v>
      </c>
      <c r="FC49" s="1500">
        <f t="shared" si="98"/>
        <v>0</v>
      </c>
      <c r="FD49" s="1500">
        <f t="shared" si="98"/>
        <v>0</v>
      </c>
      <c r="FE49" s="1500">
        <f t="shared" si="98"/>
        <v>0</v>
      </c>
      <c r="FF49" s="1500">
        <f t="shared" si="98"/>
        <v>0</v>
      </c>
      <c r="FG49" s="1500">
        <f t="shared" si="98"/>
        <v>0</v>
      </c>
      <c r="FH49" s="1500">
        <f t="shared" si="98"/>
        <v>0</v>
      </c>
      <c r="FI49" s="1500">
        <f t="shared" si="98"/>
        <v>0</v>
      </c>
      <c r="FJ49" s="1500">
        <f t="shared" si="98"/>
        <v>0</v>
      </c>
      <c r="FK49" s="1500">
        <f t="shared" si="98"/>
        <v>0</v>
      </c>
      <c r="FL49" s="1538">
        <f t="shared" si="98"/>
        <v>0</v>
      </c>
      <c r="FM49" s="1559"/>
    </row>
    <row r="50" spans="1:169">
      <c r="A50" s="1739"/>
      <c r="B50" s="1734" t="s">
        <v>235</v>
      </c>
      <c r="C50" s="1733"/>
      <c r="D50" s="1486">
        <f ca="1">SUM(E50:FL50)</f>
        <v>0</v>
      </c>
      <c r="E50" s="1510">
        <f ca="1">E17+E18+E19+E24+E28+E34+E35+E36+E38+SUM(E22:AR22,E23:AR23)</f>
        <v>0</v>
      </c>
      <c r="F50" s="1500">
        <f ca="1">F17+F18+F19+F24+F28+F34+F35+F36+F38</f>
        <v>0</v>
      </c>
      <c r="G50" s="1500">
        <f t="shared" ref="G50:AR50" ca="1" si="99">G17+G18+G19+G24+G28+G34+G35+G36+G38</f>
        <v>0</v>
      </c>
      <c r="H50" s="1500">
        <f t="shared" ca="1" si="99"/>
        <v>0</v>
      </c>
      <c r="I50" s="1500">
        <f t="shared" ca="1" si="99"/>
        <v>0</v>
      </c>
      <c r="J50" s="1500">
        <f t="shared" ca="1" si="99"/>
        <v>0</v>
      </c>
      <c r="K50" s="1500">
        <f t="shared" ca="1" si="99"/>
        <v>0</v>
      </c>
      <c r="L50" s="1500">
        <f t="shared" ca="1" si="99"/>
        <v>0</v>
      </c>
      <c r="M50" s="1500">
        <f t="shared" ca="1" si="99"/>
        <v>0</v>
      </c>
      <c r="N50" s="1500">
        <f t="shared" ca="1" si="99"/>
        <v>0</v>
      </c>
      <c r="O50" s="1500">
        <f t="shared" ca="1" si="99"/>
        <v>0</v>
      </c>
      <c r="P50" s="1500">
        <f t="shared" ca="1" si="99"/>
        <v>0</v>
      </c>
      <c r="Q50" s="1500">
        <f t="shared" ca="1" si="99"/>
        <v>0</v>
      </c>
      <c r="R50" s="1500">
        <f t="shared" ca="1" si="99"/>
        <v>0</v>
      </c>
      <c r="S50" s="1500">
        <f t="shared" ca="1" si="99"/>
        <v>0</v>
      </c>
      <c r="T50" s="1500">
        <f t="shared" ca="1" si="99"/>
        <v>0</v>
      </c>
      <c r="U50" s="1500">
        <f t="shared" ca="1" si="99"/>
        <v>0</v>
      </c>
      <c r="V50" s="1500">
        <f t="shared" ca="1" si="99"/>
        <v>0</v>
      </c>
      <c r="W50" s="1500">
        <f t="shared" ca="1" si="99"/>
        <v>0</v>
      </c>
      <c r="X50" s="1500">
        <f t="shared" ca="1" si="99"/>
        <v>0</v>
      </c>
      <c r="Y50" s="1500">
        <f t="shared" ca="1" si="99"/>
        <v>0</v>
      </c>
      <c r="Z50" s="1500">
        <f t="shared" ca="1" si="99"/>
        <v>0</v>
      </c>
      <c r="AA50" s="1500">
        <f t="shared" ca="1" si="99"/>
        <v>0</v>
      </c>
      <c r="AB50" s="1500">
        <f t="shared" ca="1" si="99"/>
        <v>0</v>
      </c>
      <c r="AC50" s="1500">
        <f t="shared" ca="1" si="99"/>
        <v>0</v>
      </c>
      <c r="AD50" s="1500">
        <f t="shared" ca="1" si="99"/>
        <v>0</v>
      </c>
      <c r="AE50" s="1500">
        <f t="shared" ca="1" si="99"/>
        <v>0</v>
      </c>
      <c r="AF50" s="1500">
        <f t="shared" ca="1" si="99"/>
        <v>0</v>
      </c>
      <c r="AG50" s="1500">
        <f t="shared" ca="1" si="99"/>
        <v>0</v>
      </c>
      <c r="AH50" s="1500">
        <f t="shared" ca="1" si="99"/>
        <v>0</v>
      </c>
      <c r="AI50" s="1500">
        <f t="shared" ca="1" si="99"/>
        <v>0</v>
      </c>
      <c r="AJ50" s="1500">
        <f t="shared" ca="1" si="99"/>
        <v>0</v>
      </c>
      <c r="AK50" s="1500">
        <f t="shared" ca="1" si="99"/>
        <v>0</v>
      </c>
      <c r="AL50" s="1500">
        <f t="shared" ca="1" si="99"/>
        <v>0</v>
      </c>
      <c r="AM50" s="1500">
        <f t="shared" ca="1" si="99"/>
        <v>0</v>
      </c>
      <c r="AN50" s="1500">
        <f t="shared" ca="1" si="99"/>
        <v>0</v>
      </c>
      <c r="AO50" s="1500">
        <f t="shared" ca="1" si="99"/>
        <v>0</v>
      </c>
      <c r="AP50" s="1500">
        <f t="shared" ca="1" si="99"/>
        <v>0</v>
      </c>
      <c r="AQ50" s="1500">
        <f t="shared" ca="1" si="99"/>
        <v>0</v>
      </c>
      <c r="AR50" s="1500">
        <f t="shared" ca="1" si="99"/>
        <v>0</v>
      </c>
      <c r="AS50" s="1510">
        <f ca="1">AS17+AS18+AS19+AS24+AS28+AS34+AS35+AS36+AS38+SUM(AS22:CF22,AS23:CF23)</f>
        <v>0</v>
      </c>
      <c r="AT50" s="1500">
        <f ca="1">AT17+AT18+AT19+AT24+AT28+AT34+AT35+AT36+AT38</f>
        <v>0</v>
      </c>
      <c r="AU50" s="1500">
        <f t="shared" ref="AU50:CF50" ca="1" si="100">AU17+AU18+AU19+AU24+AU28+AU34+AU35+AU36+AU38</f>
        <v>0</v>
      </c>
      <c r="AV50" s="1500">
        <f t="shared" ca="1" si="100"/>
        <v>0</v>
      </c>
      <c r="AW50" s="1500">
        <f t="shared" ca="1" si="100"/>
        <v>0</v>
      </c>
      <c r="AX50" s="1500">
        <f t="shared" ca="1" si="100"/>
        <v>0</v>
      </c>
      <c r="AY50" s="1500">
        <f t="shared" ca="1" si="100"/>
        <v>0</v>
      </c>
      <c r="AZ50" s="1500">
        <f t="shared" ca="1" si="100"/>
        <v>0</v>
      </c>
      <c r="BA50" s="1500">
        <f t="shared" ca="1" si="100"/>
        <v>0</v>
      </c>
      <c r="BB50" s="1500">
        <f t="shared" ca="1" si="100"/>
        <v>0</v>
      </c>
      <c r="BC50" s="1500">
        <f t="shared" ca="1" si="100"/>
        <v>0</v>
      </c>
      <c r="BD50" s="1500">
        <f t="shared" ca="1" si="100"/>
        <v>0</v>
      </c>
      <c r="BE50" s="1500">
        <f t="shared" ca="1" si="100"/>
        <v>0</v>
      </c>
      <c r="BF50" s="1500">
        <f t="shared" ca="1" si="100"/>
        <v>0</v>
      </c>
      <c r="BG50" s="1500">
        <f t="shared" ca="1" si="100"/>
        <v>0</v>
      </c>
      <c r="BH50" s="1500">
        <f t="shared" ca="1" si="100"/>
        <v>0</v>
      </c>
      <c r="BI50" s="1500">
        <f t="shared" ca="1" si="100"/>
        <v>0</v>
      </c>
      <c r="BJ50" s="1500">
        <f t="shared" ca="1" si="100"/>
        <v>0</v>
      </c>
      <c r="BK50" s="1500">
        <f t="shared" ca="1" si="100"/>
        <v>0</v>
      </c>
      <c r="BL50" s="1500">
        <f t="shared" ca="1" si="100"/>
        <v>0</v>
      </c>
      <c r="BM50" s="1500">
        <f t="shared" ca="1" si="100"/>
        <v>0</v>
      </c>
      <c r="BN50" s="1500">
        <f t="shared" ca="1" si="100"/>
        <v>0</v>
      </c>
      <c r="BO50" s="1500">
        <f t="shared" ca="1" si="100"/>
        <v>0</v>
      </c>
      <c r="BP50" s="1500">
        <f t="shared" ca="1" si="100"/>
        <v>0</v>
      </c>
      <c r="BQ50" s="1500">
        <f t="shared" ca="1" si="100"/>
        <v>0</v>
      </c>
      <c r="BR50" s="1500">
        <f t="shared" ca="1" si="100"/>
        <v>0</v>
      </c>
      <c r="BS50" s="1500">
        <f t="shared" ca="1" si="100"/>
        <v>0</v>
      </c>
      <c r="BT50" s="1500">
        <f t="shared" ca="1" si="100"/>
        <v>0</v>
      </c>
      <c r="BU50" s="1500">
        <f t="shared" ca="1" si="100"/>
        <v>0</v>
      </c>
      <c r="BV50" s="1500">
        <f t="shared" ca="1" si="100"/>
        <v>0</v>
      </c>
      <c r="BW50" s="1500">
        <f t="shared" ca="1" si="100"/>
        <v>0</v>
      </c>
      <c r="BX50" s="1500">
        <f t="shared" ca="1" si="100"/>
        <v>0</v>
      </c>
      <c r="BY50" s="1500">
        <f t="shared" ca="1" si="100"/>
        <v>0</v>
      </c>
      <c r="BZ50" s="1500">
        <f t="shared" ca="1" si="100"/>
        <v>0</v>
      </c>
      <c r="CA50" s="1500">
        <f t="shared" ca="1" si="100"/>
        <v>0</v>
      </c>
      <c r="CB50" s="1500">
        <f t="shared" ca="1" si="100"/>
        <v>0</v>
      </c>
      <c r="CC50" s="1500">
        <f t="shared" ca="1" si="100"/>
        <v>0</v>
      </c>
      <c r="CD50" s="1500">
        <f t="shared" ca="1" si="100"/>
        <v>0</v>
      </c>
      <c r="CE50" s="1500">
        <f t="shared" ca="1" si="100"/>
        <v>0</v>
      </c>
      <c r="CF50" s="1500">
        <f t="shared" ca="1" si="100"/>
        <v>0</v>
      </c>
      <c r="CG50" s="1510">
        <f ca="1">CG17+CG18+CG19+CG24+CG28+CG34+CG35+CG36+CG38+SUM(CG22:DT22,CG23:DT23)</f>
        <v>0</v>
      </c>
      <c r="CH50" s="1500">
        <f ca="1">CH17+CH18+CH19+CH24+CH28+CH34+CH35+CH36+CH38</f>
        <v>0</v>
      </c>
      <c r="CI50" s="1500">
        <f t="shared" ref="CI50:DT50" ca="1" si="101">CI17+CI18+CI19+CI24+CI28+CI34+CI35+CI36+CI38</f>
        <v>0</v>
      </c>
      <c r="CJ50" s="1500">
        <f t="shared" ca="1" si="101"/>
        <v>0</v>
      </c>
      <c r="CK50" s="1500">
        <f t="shared" ca="1" si="101"/>
        <v>0</v>
      </c>
      <c r="CL50" s="1500">
        <f t="shared" ca="1" si="101"/>
        <v>0</v>
      </c>
      <c r="CM50" s="1500">
        <f t="shared" ca="1" si="101"/>
        <v>0</v>
      </c>
      <c r="CN50" s="1500">
        <f t="shared" ca="1" si="101"/>
        <v>0</v>
      </c>
      <c r="CO50" s="1500">
        <f t="shared" ca="1" si="101"/>
        <v>0</v>
      </c>
      <c r="CP50" s="1500">
        <f t="shared" ca="1" si="101"/>
        <v>0</v>
      </c>
      <c r="CQ50" s="1500">
        <f t="shared" ca="1" si="101"/>
        <v>0</v>
      </c>
      <c r="CR50" s="1500">
        <f t="shared" ca="1" si="101"/>
        <v>0</v>
      </c>
      <c r="CS50" s="1500">
        <f t="shared" ca="1" si="101"/>
        <v>0</v>
      </c>
      <c r="CT50" s="1500">
        <f t="shared" ca="1" si="101"/>
        <v>0</v>
      </c>
      <c r="CU50" s="1500">
        <f t="shared" ca="1" si="101"/>
        <v>0</v>
      </c>
      <c r="CV50" s="1500">
        <f t="shared" ca="1" si="101"/>
        <v>0</v>
      </c>
      <c r="CW50" s="1500">
        <f t="shared" ca="1" si="101"/>
        <v>0</v>
      </c>
      <c r="CX50" s="1500">
        <f t="shared" ca="1" si="101"/>
        <v>0</v>
      </c>
      <c r="CY50" s="1500">
        <f t="shared" ca="1" si="101"/>
        <v>0</v>
      </c>
      <c r="CZ50" s="1500">
        <f t="shared" ca="1" si="101"/>
        <v>0</v>
      </c>
      <c r="DA50" s="1500">
        <f t="shared" ca="1" si="101"/>
        <v>0</v>
      </c>
      <c r="DB50" s="1500">
        <f t="shared" ca="1" si="101"/>
        <v>0</v>
      </c>
      <c r="DC50" s="1500">
        <f t="shared" ca="1" si="101"/>
        <v>0</v>
      </c>
      <c r="DD50" s="1500">
        <f t="shared" ca="1" si="101"/>
        <v>0</v>
      </c>
      <c r="DE50" s="1500">
        <f t="shared" ca="1" si="101"/>
        <v>0</v>
      </c>
      <c r="DF50" s="1500">
        <f t="shared" ca="1" si="101"/>
        <v>0</v>
      </c>
      <c r="DG50" s="1500">
        <f t="shared" ca="1" si="101"/>
        <v>0</v>
      </c>
      <c r="DH50" s="1500">
        <f t="shared" ca="1" si="101"/>
        <v>0</v>
      </c>
      <c r="DI50" s="1500">
        <f t="shared" ca="1" si="101"/>
        <v>0</v>
      </c>
      <c r="DJ50" s="1500">
        <f t="shared" ca="1" si="101"/>
        <v>0</v>
      </c>
      <c r="DK50" s="1500">
        <f t="shared" ca="1" si="101"/>
        <v>0</v>
      </c>
      <c r="DL50" s="1500">
        <f t="shared" ca="1" si="101"/>
        <v>0</v>
      </c>
      <c r="DM50" s="1500">
        <f t="shared" ca="1" si="101"/>
        <v>0</v>
      </c>
      <c r="DN50" s="1500">
        <f t="shared" ca="1" si="101"/>
        <v>0</v>
      </c>
      <c r="DO50" s="1500">
        <f t="shared" ca="1" si="101"/>
        <v>0</v>
      </c>
      <c r="DP50" s="1500">
        <f t="shared" ca="1" si="101"/>
        <v>0</v>
      </c>
      <c r="DQ50" s="1500">
        <f t="shared" ca="1" si="101"/>
        <v>0</v>
      </c>
      <c r="DR50" s="1500">
        <f t="shared" ca="1" si="101"/>
        <v>0</v>
      </c>
      <c r="DS50" s="1500">
        <f t="shared" ca="1" si="101"/>
        <v>0</v>
      </c>
      <c r="DT50" s="1500">
        <f t="shared" ca="1" si="101"/>
        <v>0</v>
      </c>
      <c r="DU50" s="1510">
        <f>DU17+DU18+DU19+DU24+DU28+DU34+DU35+DU36+DU38+SUM(DU22:FH22,DU23:FH23)</f>
        <v>0</v>
      </c>
      <c r="DV50" s="1500">
        <f>DV17+DV18+DV19+DV24+DV28+DV34+DV35+DV36+DV38</f>
        <v>0</v>
      </c>
      <c r="DW50" s="1500">
        <f t="shared" ref="DW50:FH50" si="102">DW17+DW18+DW19+DW24+DW28+DW34+DW35+DW36+DW38</f>
        <v>0</v>
      </c>
      <c r="DX50" s="1500">
        <f t="shared" si="102"/>
        <v>0</v>
      </c>
      <c r="DY50" s="1500">
        <f t="shared" si="102"/>
        <v>0</v>
      </c>
      <c r="DZ50" s="1500">
        <f t="shared" si="102"/>
        <v>0</v>
      </c>
      <c r="EA50" s="1500">
        <f t="shared" si="102"/>
        <v>0</v>
      </c>
      <c r="EB50" s="1500">
        <f t="shared" si="102"/>
        <v>0</v>
      </c>
      <c r="EC50" s="1500">
        <f t="shared" si="102"/>
        <v>0</v>
      </c>
      <c r="ED50" s="1500">
        <f t="shared" si="102"/>
        <v>0</v>
      </c>
      <c r="EE50" s="1500">
        <f t="shared" si="102"/>
        <v>0</v>
      </c>
      <c r="EF50" s="1500">
        <f t="shared" si="102"/>
        <v>0</v>
      </c>
      <c r="EG50" s="1500">
        <f t="shared" si="102"/>
        <v>0</v>
      </c>
      <c r="EH50" s="1500">
        <f t="shared" si="102"/>
        <v>0</v>
      </c>
      <c r="EI50" s="1500">
        <f t="shared" si="102"/>
        <v>0</v>
      </c>
      <c r="EJ50" s="1500">
        <f t="shared" si="102"/>
        <v>0</v>
      </c>
      <c r="EK50" s="1500">
        <f t="shared" si="102"/>
        <v>0</v>
      </c>
      <c r="EL50" s="1500">
        <f t="shared" si="102"/>
        <v>0</v>
      </c>
      <c r="EM50" s="1500">
        <f t="shared" si="102"/>
        <v>0</v>
      </c>
      <c r="EN50" s="1500">
        <f t="shared" si="102"/>
        <v>0</v>
      </c>
      <c r="EO50" s="1500">
        <f t="shared" si="102"/>
        <v>0</v>
      </c>
      <c r="EP50" s="1500">
        <f t="shared" si="102"/>
        <v>0</v>
      </c>
      <c r="EQ50" s="1500">
        <f t="shared" si="102"/>
        <v>0</v>
      </c>
      <c r="ER50" s="1500">
        <f t="shared" si="102"/>
        <v>0</v>
      </c>
      <c r="ES50" s="1500">
        <f t="shared" si="102"/>
        <v>0</v>
      </c>
      <c r="ET50" s="1500">
        <f t="shared" si="102"/>
        <v>0</v>
      </c>
      <c r="EU50" s="1500">
        <f t="shared" si="102"/>
        <v>0</v>
      </c>
      <c r="EV50" s="1500">
        <f t="shared" si="102"/>
        <v>0</v>
      </c>
      <c r="EW50" s="1500">
        <f t="shared" si="102"/>
        <v>0</v>
      </c>
      <c r="EX50" s="1500">
        <f t="shared" si="102"/>
        <v>0</v>
      </c>
      <c r="EY50" s="1500">
        <f t="shared" si="102"/>
        <v>0</v>
      </c>
      <c r="EZ50" s="1500">
        <f t="shared" si="102"/>
        <v>0</v>
      </c>
      <c r="FA50" s="1500">
        <f t="shared" si="102"/>
        <v>0</v>
      </c>
      <c r="FB50" s="1500">
        <f t="shared" si="102"/>
        <v>0</v>
      </c>
      <c r="FC50" s="1500">
        <f t="shared" si="102"/>
        <v>0</v>
      </c>
      <c r="FD50" s="1500">
        <f t="shared" si="102"/>
        <v>0</v>
      </c>
      <c r="FE50" s="1500">
        <f t="shared" si="102"/>
        <v>0</v>
      </c>
      <c r="FF50" s="1500">
        <f t="shared" si="102"/>
        <v>0</v>
      </c>
      <c r="FG50" s="1500">
        <f t="shared" si="102"/>
        <v>0</v>
      </c>
      <c r="FH50" s="1500">
        <f t="shared" si="102"/>
        <v>0</v>
      </c>
      <c r="FI50" s="1509"/>
      <c r="FJ50" s="1509"/>
      <c r="FK50" s="1509"/>
      <c r="FL50" s="1536"/>
      <c r="FM50" s="1559"/>
    </row>
    <row r="51" spans="1:169">
      <c r="A51" s="1739"/>
      <c r="B51" s="1735" t="s">
        <v>236</v>
      </c>
      <c r="C51" s="1736"/>
      <c r="D51" s="1486">
        <f ca="1">D49-D48-D50</f>
        <v>0</v>
      </c>
      <c r="E51" s="1500">
        <f ca="1">E49-E48-E50</f>
        <v>0</v>
      </c>
      <c r="F51" s="1500">
        <f ca="1">E51+F49-F48-F50</f>
        <v>0</v>
      </c>
      <c r="G51" s="1500">
        <f t="shared" ref="G51:BR51" ca="1" si="103">F51+G49-G48-G50</f>
        <v>0</v>
      </c>
      <c r="H51" s="1500">
        <f t="shared" ca="1" si="103"/>
        <v>0</v>
      </c>
      <c r="I51" s="1500">
        <f t="shared" ca="1" si="103"/>
        <v>0</v>
      </c>
      <c r="J51" s="1500">
        <f t="shared" ca="1" si="103"/>
        <v>0</v>
      </c>
      <c r="K51" s="1500">
        <f t="shared" ca="1" si="103"/>
        <v>0</v>
      </c>
      <c r="L51" s="1500">
        <f t="shared" ca="1" si="103"/>
        <v>0</v>
      </c>
      <c r="M51" s="1500">
        <f t="shared" ca="1" si="103"/>
        <v>0</v>
      </c>
      <c r="N51" s="1500">
        <f t="shared" ca="1" si="103"/>
        <v>0</v>
      </c>
      <c r="O51" s="1500">
        <f t="shared" ca="1" si="103"/>
        <v>0</v>
      </c>
      <c r="P51" s="1500">
        <f t="shared" ca="1" si="103"/>
        <v>0</v>
      </c>
      <c r="Q51" s="1500">
        <f t="shared" ca="1" si="103"/>
        <v>0</v>
      </c>
      <c r="R51" s="1500">
        <f t="shared" ca="1" si="103"/>
        <v>0</v>
      </c>
      <c r="S51" s="1500">
        <f t="shared" ca="1" si="103"/>
        <v>0</v>
      </c>
      <c r="T51" s="1500">
        <f t="shared" ca="1" si="103"/>
        <v>0</v>
      </c>
      <c r="U51" s="1500">
        <f t="shared" ca="1" si="103"/>
        <v>0</v>
      </c>
      <c r="V51" s="1500">
        <f t="shared" ca="1" si="103"/>
        <v>0</v>
      </c>
      <c r="W51" s="1500">
        <f t="shared" ca="1" si="103"/>
        <v>0</v>
      </c>
      <c r="X51" s="1500">
        <f t="shared" ca="1" si="103"/>
        <v>0</v>
      </c>
      <c r="Y51" s="1500">
        <f t="shared" ca="1" si="103"/>
        <v>0</v>
      </c>
      <c r="Z51" s="1500">
        <f t="shared" ca="1" si="103"/>
        <v>0</v>
      </c>
      <c r="AA51" s="1500">
        <f t="shared" ca="1" si="103"/>
        <v>0</v>
      </c>
      <c r="AB51" s="1500">
        <f t="shared" ca="1" si="103"/>
        <v>0</v>
      </c>
      <c r="AC51" s="1500">
        <f t="shared" ca="1" si="103"/>
        <v>0</v>
      </c>
      <c r="AD51" s="1500">
        <f t="shared" ca="1" si="103"/>
        <v>0</v>
      </c>
      <c r="AE51" s="1500">
        <f t="shared" ca="1" si="103"/>
        <v>0</v>
      </c>
      <c r="AF51" s="1500">
        <f t="shared" ca="1" si="103"/>
        <v>0</v>
      </c>
      <c r="AG51" s="1500">
        <f t="shared" ca="1" si="103"/>
        <v>0</v>
      </c>
      <c r="AH51" s="1500">
        <f t="shared" ca="1" si="103"/>
        <v>0</v>
      </c>
      <c r="AI51" s="1500">
        <f t="shared" ca="1" si="103"/>
        <v>0</v>
      </c>
      <c r="AJ51" s="1500">
        <f t="shared" ca="1" si="103"/>
        <v>0</v>
      </c>
      <c r="AK51" s="1500">
        <f t="shared" ca="1" si="103"/>
        <v>0</v>
      </c>
      <c r="AL51" s="1500">
        <f t="shared" ca="1" si="103"/>
        <v>0</v>
      </c>
      <c r="AM51" s="1500">
        <f t="shared" ca="1" si="103"/>
        <v>0</v>
      </c>
      <c r="AN51" s="1500">
        <f t="shared" ca="1" si="103"/>
        <v>0</v>
      </c>
      <c r="AO51" s="1500">
        <f t="shared" ca="1" si="103"/>
        <v>0</v>
      </c>
      <c r="AP51" s="1500">
        <f t="shared" ca="1" si="103"/>
        <v>0</v>
      </c>
      <c r="AQ51" s="1500">
        <f t="shared" ca="1" si="103"/>
        <v>0</v>
      </c>
      <c r="AR51" s="1500">
        <f t="shared" ca="1" si="103"/>
        <v>0</v>
      </c>
      <c r="AS51" s="1500">
        <f t="shared" ca="1" si="103"/>
        <v>0</v>
      </c>
      <c r="AT51" s="1500">
        <f t="shared" ca="1" si="103"/>
        <v>0</v>
      </c>
      <c r="AU51" s="1500">
        <f t="shared" ca="1" si="103"/>
        <v>0</v>
      </c>
      <c r="AV51" s="1500">
        <f t="shared" ca="1" si="103"/>
        <v>0</v>
      </c>
      <c r="AW51" s="1500">
        <f t="shared" ca="1" si="103"/>
        <v>0</v>
      </c>
      <c r="AX51" s="1500">
        <f t="shared" ca="1" si="103"/>
        <v>0</v>
      </c>
      <c r="AY51" s="1500">
        <f t="shared" ca="1" si="103"/>
        <v>0</v>
      </c>
      <c r="AZ51" s="1500">
        <f t="shared" ca="1" si="103"/>
        <v>0</v>
      </c>
      <c r="BA51" s="1500">
        <f t="shared" ca="1" si="103"/>
        <v>0</v>
      </c>
      <c r="BB51" s="1500">
        <f t="shared" ca="1" si="103"/>
        <v>0</v>
      </c>
      <c r="BC51" s="1500">
        <f t="shared" ca="1" si="103"/>
        <v>0</v>
      </c>
      <c r="BD51" s="1500">
        <f t="shared" ca="1" si="103"/>
        <v>0</v>
      </c>
      <c r="BE51" s="1500">
        <f t="shared" ca="1" si="103"/>
        <v>0</v>
      </c>
      <c r="BF51" s="1500">
        <f t="shared" ca="1" si="103"/>
        <v>0</v>
      </c>
      <c r="BG51" s="1500">
        <f t="shared" ca="1" si="103"/>
        <v>0</v>
      </c>
      <c r="BH51" s="1500">
        <f t="shared" ca="1" si="103"/>
        <v>0</v>
      </c>
      <c r="BI51" s="1500">
        <f t="shared" ca="1" si="103"/>
        <v>0</v>
      </c>
      <c r="BJ51" s="1500">
        <f t="shared" ca="1" si="103"/>
        <v>0</v>
      </c>
      <c r="BK51" s="1500">
        <f t="shared" ca="1" si="103"/>
        <v>0</v>
      </c>
      <c r="BL51" s="1500">
        <f t="shared" ca="1" si="103"/>
        <v>0</v>
      </c>
      <c r="BM51" s="1500">
        <f t="shared" ca="1" si="103"/>
        <v>0</v>
      </c>
      <c r="BN51" s="1500">
        <f t="shared" ca="1" si="103"/>
        <v>0</v>
      </c>
      <c r="BO51" s="1500">
        <f t="shared" ca="1" si="103"/>
        <v>0</v>
      </c>
      <c r="BP51" s="1500">
        <f t="shared" ca="1" si="103"/>
        <v>0</v>
      </c>
      <c r="BQ51" s="1500">
        <f t="shared" ca="1" si="103"/>
        <v>0</v>
      </c>
      <c r="BR51" s="1500">
        <f t="shared" ca="1" si="103"/>
        <v>0</v>
      </c>
      <c r="BS51" s="1500">
        <f t="shared" ref="BS51:ED51" ca="1" si="104">BR51+BS49-BS48-BS50</f>
        <v>0</v>
      </c>
      <c r="BT51" s="1500">
        <f t="shared" ca="1" si="104"/>
        <v>0</v>
      </c>
      <c r="BU51" s="1500">
        <f t="shared" ca="1" si="104"/>
        <v>0</v>
      </c>
      <c r="BV51" s="1500">
        <f t="shared" ca="1" si="104"/>
        <v>0</v>
      </c>
      <c r="BW51" s="1500">
        <f t="shared" ca="1" si="104"/>
        <v>0</v>
      </c>
      <c r="BX51" s="1500">
        <f t="shared" ca="1" si="104"/>
        <v>0</v>
      </c>
      <c r="BY51" s="1500">
        <f t="shared" ca="1" si="104"/>
        <v>0</v>
      </c>
      <c r="BZ51" s="1500">
        <f t="shared" ca="1" si="104"/>
        <v>0</v>
      </c>
      <c r="CA51" s="1500">
        <f t="shared" ca="1" si="104"/>
        <v>0</v>
      </c>
      <c r="CB51" s="1500">
        <f t="shared" ca="1" si="104"/>
        <v>0</v>
      </c>
      <c r="CC51" s="1500">
        <f t="shared" ca="1" si="104"/>
        <v>0</v>
      </c>
      <c r="CD51" s="1500">
        <f t="shared" ca="1" si="104"/>
        <v>0</v>
      </c>
      <c r="CE51" s="1500">
        <f t="shared" ca="1" si="104"/>
        <v>0</v>
      </c>
      <c r="CF51" s="1500">
        <f t="shared" ca="1" si="104"/>
        <v>0</v>
      </c>
      <c r="CG51" s="1500">
        <f t="shared" ca="1" si="104"/>
        <v>0</v>
      </c>
      <c r="CH51" s="1500">
        <f t="shared" ca="1" si="104"/>
        <v>0</v>
      </c>
      <c r="CI51" s="1500">
        <f t="shared" ca="1" si="104"/>
        <v>0</v>
      </c>
      <c r="CJ51" s="1500">
        <f t="shared" ca="1" si="104"/>
        <v>0</v>
      </c>
      <c r="CK51" s="1500">
        <f t="shared" ca="1" si="104"/>
        <v>0</v>
      </c>
      <c r="CL51" s="1500">
        <f t="shared" ca="1" si="104"/>
        <v>0</v>
      </c>
      <c r="CM51" s="1500">
        <f t="shared" ca="1" si="104"/>
        <v>0</v>
      </c>
      <c r="CN51" s="1500">
        <f t="shared" ca="1" si="104"/>
        <v>0</v>
      </c>
      <c r="CO51" s="1500">
        <f t="shared" ca="1" si="104"/>
        <v>0</v>
      </c>
      <c r="CP51" s="1500">
        <f t="shared" ca="1" si="104"/>
        <v>0</v>
      </c>
      <c r="CQ51" s="1500">
        <f t="shared" ca="1" si="104"/>
        <v>0</v>
      </c>
      <c r="CR51" s="1500">
        <f t="shared" ca="1" si="104"/>
        <v>0</v>
      </c>
      <c r="CS51" s="1500">
        <f t="shared" ca="1" si="104"/>
        <v>0</v>
      </c>
      <c r="CT51" s="1500">
        <f t="shared" ca="1" si="104"/>
        <v>0</v>
      </c>
      <c r="CU51" s="1500">
        <f t="shared" ca="1" si="104"/>
        <v>0</v>
      </c>
      <c r="CV51" s="1500">
        <f t="shared" ca="1" si="104"/>
        <v>0</v>
      </c>
      <c r="CW51" s="1500">
        <f t="shared" ca="1" si="104"/>
        <v>0</v>
      </c>
      <c r="CX51" s="1500">
        <f t="shared" ca="1" si="104"/>
        <v>0</v>
      </c>
      <c r="CY51" s="1500">
        <f t="shared" ca="1" si="104"/>
        <v>0</v>
      </c>
      <c r="CZ51" s="1500">
        <f t="shared" ca="1" si="104"/>
        <v>0</v>
      </c>
      <c r="DA51" s="1500">
        <f t="shared" ca="1" si="104"/>
        <v>0</v>
      </c>
      <c r="DB51" s="1500">
        <f t="shared" ca="1" si="104"/>
        <v>0</v>
      </c>
      <c r="DC51" s="1500">
        <f t="shared" ca="1" si="104"/>
        <v>0</v>
      </c>
      <c r="DD51" s="1500">
        <f t="shared" ca="1" si="104"/>
        <v>0</v>
      </c>
      <c r="DE51" s="1500">
        <f t="shared" ca="1" si="104"/>
        <v>0</v>
      </c>
      <c r="DF51" s="1500">
        <f t="shared" ca="1" si="104"/>
        <v>0</v>
      </c>
      <c r="DG51" s="1500">
        <f t="shared" ca="1" si="104"/>
        <v>0</v>
      </c>
      <c r="DH51" s="1500">
        <f t="shared" ca="1" si="104"/>
        <v>0</v>
      </c>
      <c r="DI51" s="1500">
        <f t="shared" ca="1" si="104"/>
        <v>0</v>
      </c>
      <c r="DJ51" s="1500">
        <f t="shared" ca="1" si="104"/>
        <v>0</v>
      </c>
      <c r="DK51" s="1500">
        <f t="shared" ca="1" si="104"/>
        <v>0</v>
      </c>
      <c r="DL51" s="1500">
        <f t="shared" ca="1" si="104"/>
        <v>0</v>
      </c>
      <c r="DM51" s="1500">
        <f t="shared" ca="1" si="104"/>
        <v>0</v>
      </c>
      <c r="DN51" s="1500">
        <f t="shared" ca="1" si="104"/>
        <v>0</v>
      </c>
      <c r="DO51" s="1500">
        <f t="shared" ca="1" si="104"/>
        <v>0</v>
      </c>
      <c r="DP51" s="1500">
        <f t="shared" ca="1" si="104"/>
        <v>0</v>
      </c>
      <c r="DQ51" s="1500">
        <f t="shared" ca="1" si="104"/>
        <v>0</v>
      </c>
      <c r="DR51" s="1500">
        <f t="shared" ca="1" si="104"/>
        <v>0</v>
      </c>
      <c r="DS51" s="1500">
        <f t="shared" ca="1" si="104"/>
        <v>0</v>
      </c>
      <c r="DT51" s="1500">
        <f t="shared" ca="1" si="104"/>
        <v>0</v>
      </c>
      <c r="DU51" s="1500">
        <f t="shared" ca="1" si="104"/>
        <v>0</v>
      </c>
      <c r="DV51" s="1500">
        <f t="shared" ca="1" si="104"/>
        <v>0</v>
      </c>
      <c r="DW51" s="1500">
        <f t="shared" ca="1" si="104"/>
        <v>0</v>
      </c>
      <c r="DX51" s="1500">
        <f t="shared" ca="1" si="104"/>
        <v>0</v>
      </c>
      <c r="DY51" s="1500">
        <f t="shared" ca="1" si="104"/>
        <v>0</v>
      </c>
      <c r="DZ51" s="1500">
        <f t="shared" ca="1" si="104"/>
        <v>0</v>
      </c>
      <c r="EA51" s="1500">
        <f t="shared" ca="1" si="104"/>
        <v>0</v>
      </c>
      <c r="EB51" s="1500">
        <f t="shared" ca="1" si="104"/>
        <v>0</v>
      </c>
      <c r="EC51" s="1500">
        <f t="shared" ca="1" si="104"/>
        <v>0</v>
      </c>
      <c r="ED51" s="1500">
        <f t="shared" ca="1" si="104"/>
        <v>0</v>
      </c>
      <c r="EE51" s="1500">
        <f t="shared" ref="EE51:FH51" ca="1" si="105">ED51+EE49-EE48-EE50</f>
        <v>0</v>
      </c>
      <c r="EF51" s="1500">
        <f t="shared" ca="1" si="105"/>
        <v>0</v>
      </c>
      <c r="EG51" s="1500">
        <f t="shared" ca="1" si="105"/>
        <v>0</v>
      </c>
      <c r="EH51" s="1500">
        <f t="shared" ca="1" si="105"/>
        <v>0</v>
      </c>
      <c r="EI51" s="1500">
        <f t="shared" ca="1" si="105"/>
        <v>0</v>
      </c>
      <c r="EJ51" s="1500">
        <f t="shared" ca="1" si="105"/>
        <v>0</v>
      </c>
      <c r="EK51" s="1500">
        <f t="shared" ca="1" si="105"/>
        <v>0</v>
      </c>
      <c r="EL51" s="1500">
        <f t="shared" ca="1" si="105"/>
        <v>0</v>
      </c>
      <c r="EM51" s="1500">
        <f t="shared" ca="1" si="105"/>
        <v>0</v>
      </c>
      <c r="EN51" s="1500">
        <f t="shared" ca="1" si="105"/>
        <v>0</v>
      </c>
      <c r="EO51" s="1500">
        <f t="shared" ca="1" si="105"/>
        <v>0</v>
      </c>
      <c r="EP51" s="1500">
        <f t="shared" ca="1" si="105"/>
        <v>0</v>
      </c>
      <c r="EQ51" s="1500">
        <f t="shared" ca="1" si="105"/>
        <v>0</v>
      </c>
      <c r="ER51" s="1500">
        <f t="shared" ca="1" si="105"/>
        <v>0</v>
      </c>
      <c r="ES51" s="1500">
        <f t="shared" ca="1" si="105"/>
        <v>0</v>
      </c>
      <c r="ET51" s="1500">
        <f t="shared" ca="1" si="105"/>
        <v>0</v>
      </c>
      <c r="EU51" s="1500">
        <f t="shared" ca="1" si="105"/>
        <v>0</v>
      </c>
      <c r="EV51" s="1500">
        <f t="shared" ca="1" si="105"/>
        <v>0</v>
      </c>
      <c r="EW51" s="1500">
        <f t="shared" ca="1" si="105"/>
        <v>0</v>
      </c>
      <c r="EX51" s="1500">
        <f t="shared" ca="1" si="105"/>
        <v>0</v>
      </c>
      <c r="EY51" s="1500">
        <f t="shared" ca="1" si="105"/>
        <v>0</v>
      </c>
      <c r="EZ51" s="1500">
        <f t="shared" ca="1" si="105"/>
        <v>0</v>
      </c>
      <c r="FA51" s="1500">
        <f t="shared" ca="1" si="105"/>
        <v>0</v>
      </c>
      <c r="FB51" s="1500">
        <f t="shared" ca="1" si="105"/>
        <v>0</v>
      </c>
      <c r="FC51" s="1500">
        <f t="shared" ca="1" si="105"/>
        <v>0</v>
      </c>
      <c r="FD51" s="1500">
        <f t="shared" ca="1" si="105"/>
        <v>0</v>
      </c>
      <c r="FE51" s="1500">
        <f t="shared" ca="1" si="105"/>
        <v>0</v>
      </c>
      <c r="FF51" s="1500">
        <f t="shared" ca="1" si="105"/>
        <v>0</v>
      </c>
      <c r="FG51" s="1500">
        <f t="shared" ca="1" si="105"/>
        <v>0</v>
      </c>
      <c r="FH51" s="1500">
        <f t="shared" ca="1" si="105"/>
        <v>0</v>
      </c>
      <c r="FI51" s="1500">
        <f t="shared" ref="FI51:FL51" si="106">FI49-FI48-FI50</f>
        <v>0</v>
      </c>
      <c r="FJ51" s="1500">
        <f t="shared" si="106"/>
        <v>0</v>
      </c>
      <c r="FK51" s="1500">
        <f t="shared" si="106"/>
        <v>0</v>
      </c>
      <c r="FL51" s="1538">
        <f t="shared" si="106"/>
        <v>0</v>
      </c>
      <c r="FM51" s="1559"/>
    </row>
    <row r="52" spans="1:169">
      <c r="A52" s="1740"/>
      <c r="B52" s="1511" t="s">
        <v>237</v>
      </c>
      <c r="C52" s="1512" t="s">
        <v>238</v>
      </c>
      <c r="D52" s="1513">
        <f>D53-D54</f>
        <v>0</v>
      </c>
      <c r="E52" s="1500">
        <f>E53-E54</f>
        <v>0</v>
      </c>
      <c r="F52" s="1500">
        <f>E52+F53-F54</f>
        <v>0</v>
      </c>
      <c r="G52" s="1500">
        <f t="shared" ref="G52:BR52" si="107">F52+G53-G54</f>
        <v>0</v>
      </c>
      <c r="H52" s="1500">
        <f t="shared" si="107"/>
        <v>0</v>
      </c>
      <c r="I52" s="1500">
        <f t="shared" si="107"/>
        <v>0</v>
      </c>
      <c r="J52" s="1500">
        <f t="shared" si="107"/>
        <v>0</v>
      </c>
      <c r="K52" s="1500">
        <f t="shared" si="107"/>
        <v>0</v>
      </c>
      <c r="L52" s="1500">
        <f t="shared" si="107"/>
        <v>0</v>
      </c>
      <c r="M52" s="1500">
        <f t="shared" si="107"/>
        <v>0</v>
      </c>
      <c r="N52" s="1500">
        <f t="shared" si="107"/>
        <v>0</v>
      </c>
      <c r="O52" s="1500">
        <f t="shared" si="107"/>
        <v>0</v>
      </c>
      <c r="P52" s="1500">
        <f t="shared" si="107"/>
        <v>0</v>
      </c>
      <c r="Q52" s="1500">
        <f t="shared" si="107"/>
        <v>0</v>
      </c>
      <c r="R52" s="1500">
        <f t="shared" si="107"/>
        <v>0</v>
      </c>
      <c r="S52" s="1500">
        <f t="shared" si="107"/>
        <v>0</v>
      </c>
      <c r="T52" s="1500">
        <f t="shared" si="107"/>
        <v>0</v>
      </c>
      <c r="U52" s="1500">
        <f t="shared" si="107"/>
        <v>0</v>
      </c>
      <c r="V52" s="1500">
        <f t="shared" si="107"/>
        <v>0</v>
      </c>
      <c r="W52" s="1500">
        <f t="shared" si="107"/>
        <v>0</v>
      </c>
      <c r="X52" s="1500">
        <f t="shared" si="107"/>
        <v>0</v>
      </c>
      <c r="Y52" s="1500">
        <f t="shared" si="107"/>
        <v>0</v>
      </c>
      <c r="Z52" s="1500">
        <f t="shared" si="107"/>
        <v>0</v>
      </c>
      <c r="AA52" s="1500">
        <f t="shared" si="107"/>
        <v>0</v>
      </c>
      <c r="AB52" s="1500">
        <f t="shared" si="107"/>
        <v>0</v>
      </c>
      <c r="AC52" s="1500">
        <f t="shared" si="107"/>
        <v>0</v>
      </c>
      <c r="AD52" s="1500">
        <f t="shared" si="107"/>
        <v>0</v>
      </c>
      <c r="AE52" s="1500">
        <f t="shared" si="107"/>
        <v>0</v>
      </c>
      <c r="AF52" s="1500">
        <f t="shared" si="107"/>
        <v>0</v>
      </c>
      <c r="AG52" s="1500">
        <f t="shared" si="107"/>
        <v>0</v>
      </c>
      <c r="AH52" s="1500">
        <f t="shared" si="107"/>
        <v>0</v>
      </c>
      <c r="AI52" s="1500">
        <f t="shared" si="107"/>
        <v>0</v>
      </c>
      <c r="AJ52" s="1500">
        <f t="shared" si="107"/>
        <v>0</v>
      </c>
      <c r="AK52" s="1500">
        <f t="shared" si="107"/>
        <v>0</v>
      </c>
      <c r="AL52" s="1500">
        <f t="shared" si="107"/>
        <v>0</v>
      </c>
      <c r="AM52" s="1500">
        <f t="shared" si="107"/>
        <v>0</v>
      </c>
      <c r="AN52" s="1500">
        <f t="shared" si="107"/>
        <v>0</v>
      </c>
      <c r="AO52" s="1500">
        <f t="shared" si="107"/>
        <v>0</v>
      </c>
      <c r="AP52" s="1500">
        <f t="shared" si="107"/>
        <v>0</v>
      </c>
      <c r="AQ52" s="1500">
        <f t="shared" si="107"/>
        <v>0</v>
      </c>
      <c r="AR52" s="1500">
        <f t="shared" si="107"/>
        <v>0</v>
      </c>
      <c r="AS52" s="1500">
        <f t="shared" si="107"/>
        <v>0</v>
      </c>
      <c r="AT52" s="1500">
        <f t="shared" si="107"/>
        <v>0</v>
      </c>
      <c r="AU52" s="1500">
        <f t="shared" si="107"/>
        <v>0</v>
      </c>
      <c r="AV52" s="1500">
        <f t="shared" si="107"/>
        <v>0</v>
      </c>
      <c r="AW52" s="1500">
        <f t="shared" si="107"/>
        <v>0</v>
      </c>
      <c r="AX52" s="1500">
        <f t="shared" si="107"/>
        <v>0</v>
      </c>
      <c r="AY52" s="1500">
        <f t="shared" si="107"/>
        <v>0</v>
      </c>
      <c r="AZ52" s="1500">
        <f t="shared" si="107"/>
        <v>0</v>
      </c>
      <c r="BA52" s="1500">
        <f t="shared" si="107"/>
        <v>0</v>
      </c>
      <c r="BB52" s="1500">
        <f t="shared" si="107"/>
        <v>0</v>
      </c>
      <c r="BC52" s="1500">
        <f t="shared" si="107"/>
        <v>0</v>
      </c>
      <c r="BD52" s="1500">
        <f t="shared" si="107"/>
        <v>0</v>
      </c>
      <c r="BE52" s="1500">
        <f t="shared" si="107"/>
        <v>0</v>
      </c>
      <c r="BF52" s="1500">
        <f t="shared" si="107"/>
        <v>0</v>
      </c>
      <c r="BG52" s="1500">
        <f t="shared" si="107"/>
        <v>0</v>
      </c>
      <c r="BH52" s="1500">
        <f t="shared" si="107"/>
        <v>0</v>
      </c>
      <c r="BI52" s="1500">
        <f t="shared" si="107"/>
        <v>0</v>
      </c>
      <c r="BJ52" s="1500">
        <f t="shared" si="107"/>
        <v>0</v>
      </c>
      <c r="BK52" s="1500">
        <f t="shared" si="107"/>
        <v>0</v>
      </c>
      <c r="BL52" s="1500">
        <f t="shared" si="107"/>
        <v>0</v>
      </c>
      <c r="BM52" s="1500">
        <f t="shared" si="107"/>
        <v>0</v>
      </c>
      <c r="BN52" s="1500">
        <f t="shared" si="107"/>
        <v>0</v>
      </c>
      <c r="BO52" s="1500">
        <f t="shared" si="107"/>
        <v>0</v>
      </c>
      <c r="BP52" s="1500">
        <f t="shared" si="107"/>
        <v>0</v>
      </c>
      <c r="BQ52" s="1500">
        <f t="shared" si="107"/>
        <v>0</v>
      </c>
      <c r="BR52" s="1500">
        <f t="shared" si="107"/>
        <v>0</v>
      </c>
      <c r="BS52" s="1500">
        <f t="shared" ref="BS52:ED52" si="108">BR52+BS53-BS54</f>
        <v>0</v>
      </c>
      <c r="BT52" s="1500">
        <f t="shared" si="108"/>
        <v>0</v>
      </c>
      <c r="BU52" s="1500">
        <f t="shared" si="108"/>
        <v>0</v>
      </c>
      <c r="BV52" s="1500">
        <f t="shared" si="108"/>
        <v>0</v>
      </c>
      <c r="BW52" s="1500">
        <f t="shared" si="108"/>
        <v>0</v>
      </c>
      <c r="BX52" s="1500">
        <f t="shared" si="108"/>
        <v>0</v>
      </c>
      <c r="BY52" s="1500">
        <f t="shared" si="108"/>
        <v>0</v>
      </c>
      <c r="BZ52" s="1500">
        <f t="shared" si="108"/>
        <v>0</v>
      </c>
      <c r="CA52" s="1500">
        <f t="shared" si="108"/>
        <v>0</v>
      </c>
      <c r="CB52" s="1500">
        <f t="shared" si="108"/>
        <v>0</v>
      </c>
      <c r="CC52" s="1500">
        <f t="shared" si="108"/>
        <v>0</v>
      </c>
      <c r="CD52" s="1500">
        <f t="shared" si="108"/>
        <v>0</v>
      </c>
      <c r="CE52" s="1500">
        <f t="shared" si="108"/>
        <v>0</v>
      </c>
      <c r="CF52" s="1500">
        <f t="shared" si="108"/>
        <v>0</v>
      </c>
      <c r="CG52" s="1500">
        <f t="shared" si="108"/>
        <v>0</v>
      </c>
      <c r="CH52" s="1500">
        <f t="shared" si="108"/>
        <v>0</v>
      </c>
      <c r="CI52" s="1500">
        <f t="shared" si="108"/>
        <v>0</v>
      </c>
      <c r="CJ52" s="1500">
        <f t="shared" si="108"/>
        <v>0</v>
      </c>
      <c r="CK52" s="1500">
        <f t="shared" si="108"/>
        <v>0</v>
      </c>
      <c r="CL52" s="1500">
        <f t="shared" si="108"/>
        <v>0</v>
      </c>
      <c r="CM52" s="1500">
        <f t="shared" si="108"/>
        <v>0</v>
      </c>
      <c r="CN52" s="1500">
        <f t="shared" si="108"/>
        <v>0</v>
      </c>
      <c r="CO52" s="1500">
        <f t="shared" si="108"/>
        <v>0</v>
      </c>
      <c r="CP52" s="1500">
        <f t="shared" si="108"/>
        <v>0</v>
      </c>
      <c r="CQ52" s="1500">
        <f t="shared" si="108"/>
        <v>0</v>
      </c>
      <c r="CR52" s="1500">
        <f t="shared" si="108"/>
        <v>0</v>
      </c>
      <c r="CS52" s="1500">
        <f t="shared" si="108"/>
        <v>0</v>
      </c>
      <c r="CT52" s="1500">
        <f t="shared" si="108"/>
        <v>0</v>
      </c>
      <c r="CU52" s="1500">
        <f t="shared" si="108"/>
        <v>0</v>
      </c>
      <c r="CV52" s="1500">
        <f t="shared" si="108"/>
        <v>0</v>
      </c>
      <c r="CW52" s="1500">
        <f t="shared" si="108"/>
        <v>0</v>
      </c>
      <c r="CX52" s="1500">
        <f t="shared" si="108"/>
        <v>0</v>
      </c>
      <c r="CY52" s="1500">
        <f t="shared" si="108"/>
        <v>0</v>
      </c>
      <c r="CZ52" s="1500">
        <f t="shared" si="108"/>
        <v>0</v>
      </c>
      <c r="DA52" s="1500">
        <f t="shared" si="108"/>
        <v>0</v>
      </c>
      <c r="DB52" s="1500">
        <f t="shared" si="108"/>
        <v>0</v>
      </c>
      <c r="DC52" s="1500">
        <f t="shared" si="108"/>
        <v>0</v>
      </c>
      <c r="DD52" s="1500">
        <f t="shared" si="108"/>
        <v>0</v>
      </c>
      <c r="DE52" s="1500">
        <f t="shared" si="108"/>
        <v>0</v>
      </c>
      <c r="DF52" s="1500">
        <f t="shared" si="108"/>
        <v>0</v>
      </c>
      <c r="DG52" s="1500">
        <f t="shared" si="108"/>
        <v>0</v>
      </c>
      <c r="DH52" s="1500">
        <f t="shared" si="108"/>
        <v>0</v>
      </c>
      <c r="DI52" s="1500">
        <f t="shared" si="108"/>
        <v>0</v>
      </c>
      <c r="DJ52" s="1500">
        <f t="shared" si="108"/>
        <v>0</v>
      </c>
      <c r="DK52" s="1500">
        <f t="shared" si="108"/>
        <v>0</v>
      </c>
      <c r="DL52" s="1500">
        <f t="shared" si="108"/>
        <v>0</v>
      </c>
      <c r="DM52" s="1500">
        <f t="shared" si="108"/>
        <v>0</v>
      </c>
      <c r="DN52" s="1500">
        <f t="shared" si="108"/>
        <v>0</v>
      </c>
      <c r="DO52" s="1500">
        <f t="shared" si="108"/>
        <v>0</v>
      </c>
      <c r="DP52" s="1500">
        <f t="shared" si="108"/>
        <v>0</v>
      </c>
      <c r="DQ52" s="1500">
        <f t="shared" si="108"/>
        <v>0</v>
      </c>
      <c r="DR52" s="1500">
        <f t="shared" si="108"/>
        <v>0</v>
      </c>
      <c r="DS52" s="1500">
        <f t="shared" si="108"/>
        <v>0</v>
      </c>
      <c r="DT52" s="1500">
        <f t="shared" si="108"/>
        <v>0</v>
      </c>
      <c r="DU52" s="1500">
        <f t="shared" si="108"/>
        <v>0</v>
      </c>
      <c r="DV52" s="1500">
        <f t="shared" si="108"/>
        <v>0</v>
      </c>
      <c r="DW52" s="1500">
        <f t="shared" si="108"/>
        <v>0</v>
      </c>
      <c r="DX52" s="1500">
        <f t="shared" si="108"/>
        <v>0</v>
      </c>
      <c r="DY52" s="1500">
        <f t="shared" si="108"/>
        <v>0</v>
      </c>
      <c r="DZ52" s="1500">
        <f t="shared" si="108"/>
        <v>0</v>
      </c>
      <c r="EA52" s="1500">
        <f t="shared" si="108"/>
        <v>0</v>
      </c>
      <c r="EB52" s="1500">
        <f t="shared" si="108"/>
        <v>0</v>
      </c>
      <c r="EC52" s="1500">
        <f t="shared" si="108"/>
        <v>0</v>
      </c>
      <c r="ED52" s="1500">
        <f t="shared" si="108"/>
        <v>0</v>
      </c>
      <c r="EE52" s="1500">
        <f t="shared" ref="EE52:FG52" si="109">ED52+EE53-EE54</f>
        <v>0</v>
      </c>
      <c r="EF52" s="1500">
        <f t="shared" si="109"/>
        <v>0</v>
      </c>
      <c r="EG52" s="1500">
        <f t="shared" si="109"/>
        <v>0</v>
      </c>
      <c r="EH52" s="1500">
        <f t="shared" si="109"/>
        <v>0</v>
      </c>
      <c r="EI52" s="1500">
        <f t="shared" si="109"/>
        <v>0</v>
      </c>
      <c r="EJ52" s="1500">
        <f t="shared" si="109"/>
        <v>0</v>
      </c>
      <c r="EK52" s="1500">
        <f t="shared" si="109"/>
        <v>0</v>
      </c>
      <c r="EL52" s="1500">
        <f t="shared" si="109"/>
        <v>0</v>
      </c>
      <c r="EM52" s="1500">
        <f t="shared" si="109"/>
        <v>0</v>
      </c>
      <c r="EN52" s="1500">
        <f t="shared" si="109"/>
        <v>0</v>
      </c>
      <c r="EO52" s="1500">
        <f t="shared" si="109"/>
        <v>0</v>
      </c>
      <c r="EP52" s="1500">
        <f t="shared" si="109"/>
        <v>0</v>
      </c>
      <c r="EQ52" s="1500">
        <f t="shared" si="109"/>
        <v>0</v>
      </c>
      <c r="ER52" s="1500">
        <f t="shared" si="109"/>
        <v>0</v>
      </c>
      <c r="ES52" s="1500">
        <f t="shared" si="109"/>
        <v>0</v>
      </c>
      <c r="ET52" s="1500">
        <f t="shared" si="109"/>
        <v>0</v>
      </c>
      <c r="EU52" s="1500">
        <f t="shared" si="109"/>
        <v>0</v>
      </c>
      <c r="EV52" s="1500">
        <f t="shared" si="109"/>
        <v>0</v>
      </c>
      <c r="EW52" s="1500">
        <f t="shared" si="109"/>
        <v>0</v>
      </c>
      <c r="EX52" s="1500">
        <f t="shared" si="109"/>
        <v>0</v>
      </c>
      <c r="EY52" s="1500">
        <f t="shared" si="109"/>
        <v>0</v>
      </c>
      <c r="EZ52" s="1500">
        <f t="shared" si="109"/>
        <v>0</v>
      </c>
      <c r="FA52" s="1500">
        <f t="shared" si="109"/>
        <v>0</v>
      </c>
      <c r="FB52" s="1500">
        <f t="shared" si="109"/>
        <v>0</v>
      </c>
      <c r="FC52" s="1500">
        <f t="shared" si="109"/>
        <v>0</v>
      </c>
      <c r="FD52" s="1500">
        <f t="shared" si="109"/>
        <v>0</v>
      </c>
      <c r="FE52" s="1500">
        <f t="shared" si="109"/>
        <v>0</v>
      </c>
      <c r="FF52" s="1500">
        <f t="shared" si="109"/>
        <v>0</v>
      </c>
      <c r="FG52" s="1500">
        <f t="shared" si="109"/>
        <v>0</v>
      </c>
      <c r="FH52" s="1500"/>
      <c r="FI52" s="1500"/>
      <c r="FJ52" s="1500"/>
      <c r="FK52" s="1500"/>
      <c r="FL52" s="1500"/>
      <c r="FM52" s="1559"/>
    </row>
    <row r="53" spans="1:169">
      <c r="A53" s="1740"/>
      <c r="B53" s="1514" t="s">
        <v>239</v>
      </c>
      <c r="C53" s="1514"/>
      <c r="D53" s="1513">
        <f>SUM(E53:FL53)</f>
        <v>0</v>
      </c>
      <c r="E53" s="1515"/>
      <c r="F53" s="1515"/>
      <c r="G53" s="1515"/>
      <c r="H53" s="1515"/>
      <c r="I53" s="1515"/>
      <c r="J53" s="1515"/>
      <c r="K53" s="1515"/>
      <c r="L53" s="1515"/>
      <c r="M53" s="1515"/>
      <c r="N53" s="1515"/>
      <c r="O53" s="1515"/>
      <c r="P53" s="1515"/>
      <c r="Q53" s="1515"/>
      <c r="R53" s="1515"/>
      <c r="S53" s="1515"/>
      <c r="T53" s="1515"/>
      <c r="U53" s="1515"/>
      <c r="V53" s="1515"/>
      <c r="W53" s="1515"/>
      <c r="X53" s="1515"/>
      <c r="Y53" s="1515"/>
      <c r="Z53" s="1515"/>
      <c r="AA53" s="1515"/>
      <c r="AB53" s="1515"/>
      <c r="AC53" s="1515"/>
      <c r="AD53" s="1515"/>
      <c r="AE53" s="1515"/>
      <c r="AF53" s="1515"/>
      <c r="AG53" s="1515"/>
      <c r="AH53" s="1515"/>
      <c r="AI53" s="1515"/>
      <c r="AJ53" s="1515"/>
      <c r="AK53" s="1515"/>
      <c r="AL53" s="1515"/>
      <c r="AM53" s="1515"/>
      <c r="AN53" s="1515"/>
      <c r="AO53" s="1515"/>
      <c r="AP53" s="1515"/>
      <c r="AQ53" s="1515"/>
      <c r="AR53" s="1515"/>
      <c r="AS53" s="1515"/>
      <c r="AT53" s="1515"/>
      <c r="AU53" s="1515"/>
      <c r="AV53" s="1515"/>
      <c r="AW53" s="1515"/>
      <c r="AX53" s="1515"/>
      <c r="AY53" s="1515"/>
      <c r="AZ53" s="1515"/>
      <c r="BA53" s="1515"/>
      <c r="BB53" s="1515"/>
      <c r="BC53" s="1515"/>
      <c r="BD53" s="1515"/>
      <c r="BE53" s="1515"/>
      <c r="BF53" s="1515"/>
      <c r="BG53" s="1515"/>
      <c r="BH53" s="1515"/>
      <c r="BI53" s="1515"/>
      <c r="BJ53" s="1515"/>
      <c r="BK53" s="1515"/>
      <c r="BL53" s="1515"/>
      <c r="BM53" s="1515"/>
      <c r="BN53" s="1515"/>
      <c r="BO53" s="1515"/>
      <c r="BP53" s="1515"/>
      <c r="BQ53" s="1515"/>
      <c r="BR53" s="1515"/>
      <c r="BS53" s="1515"/>
      <c r="BT53" s="1515"/>
      <c r="BU53" s="1515"/>
      <c r="BV53" s="1515"/>
      <c r="BW53" s="1515"/>
      <c r="BX53" s="1515"/>
      <c r="BY53" s="1515"/>
      <c r="BZ53" s="1515"/>
      <c r="CA53" s="1515"/>
      <c r="CB53" s="1515"/>
      <c r="CC53" s="1515"/>
      <c r="CD53" s="1515"/>
      <c r="CE53" s="1515"/>
      <c r="CF53" s="1515"/>
      <c r="CG53" s="1515"/>
      <c r="CH53" s="1515"/>
      <c r="CI53" s="1515"/>
      <c r="CJ53" s="1515"/>
      <c r="CK53" s="1515"/>
      <c r="CL53" s="1515"/>
      <c r="CM53" s="1515"/>
      <c r="CN53" s="1515"/>
      <c r="CO53" s="1515"/>
      <c r="CP53" s="1515"/>
      <c r="CQ53" s="1515"/>
      <c r="CR53" s="1515"/>
      <c r="CS53" s="1515"/>
      <c r="CT53" s="1515"/>
      <c r="CU53" s="1515"/>
      <c r="CV53" s="1515"/>
      <c r="CW53" s="1515"/>
      <c r="CX53" s="1515"/>
      <c r="CY53" s="1515"/>
      <c r="CZ53" s="1515"/>
      <c r="DA53" s="1515"/>
      <c r="DB53" s="1515"/>
      <c r="DC53" s="1515"/>
      <c r="DD53" s="1515"/>
      <c r="DE53" s="1515"/>
      <c r="DF53" s="1515"/>
      <c r="DG53" s="1515"/>
      <c r="DH53" s="1515"/>
      <c r="DI53" s="1515"/>
      <c r="DJ53" s="1515"/>
      <c r="DK53" s="1515"/>
      <c r="DL53" s="1515"/>
      <c r="DM53" s="1515"/>
      <c r="DN53" s="1515"/>
      <c r="DO53" s="1515"/>
      <c r="DP53" s="1515"/>
      <c r="DQ53" s="1515"/>
      <c r="DR53" s="1515"/>
      <c r="DS53" s="1515"/>
      <c r="DT53" s="1515"/>
      <c r="DU53" s="1515"/>
      <c r="DV53" s="1515"/>
      <c r="DW53" s="1515"/>
      <c r="DX53" s="1515"/>
      <c r="DY53" s="1515"/>
      <c r="DZ53" s="1515"/>
      <c r="EA53" s="1515"/>
      <c r="EB53" s="1515"/>
      <c r="EC53" s="1515"/>
      <c r="ED53" s="1515"/>
      <c r="EE53" s="1515"/>
      <c r="EF53" s="1515"/>
      <c r="EG53" s="1515"/>
      <c r="EH53" s="1515"/>
      <c r="EI53" s="1515"/>
      <c r="EJ53" s="1515"/>
      <c r="EK53" s="1515"/>
      <c r="EL53" s="1515"/>
      <c r="EM53" s="1515"/>
      <c r="EN53" s="1515"/>
      <c r="EO53" s="1515"/>
      <c r="EP53" s="1515"/>
      <c r="EQ53" s="1515"/>
      <c r="ER53" s="1515"/>
      <c r="ES53" s="1515"/>
      <c r="ET53" s="1515"/>
      <c r="EU53" s="1515"/>
      <c r="EV53" s="1515"/>
      <c r="EW53" s="1515"/>
      <c r="EX53" s="1515"/>
      <c r="EY53" s="1515"/>
      <c r="EZ53" s="1515"/>
      <c r="FA53" s="1515"/>
      <c r="FB53" s="1515"/>
      <c r="FC53" s="1515"/>
      <c r="FD53" s="1515"/>
      <c r="FE53" s="1515"/>
      <c r="FF53" s="1515"/>
      <c r="FG53" s="1515"/>
      <c r="FH53" s="1515"/>
      <c r="FI53" s="1515"/>
      <c r="FJ53" s="1515"/>
      <c r="FK53" s="1515"/>
      <c r="FL53" s="1547"/>
      <c r="FM53" s="1553"/>
    </row>
    <row r="54" spans="1:169">
      <c r="A54" s="1741"/>
      <c r="B54" s="1516" t="s">
        <v>240</v>
      </c>
      <c r="C54" s="1517"/>
      <c r="D54" s="1513">
        <f t="shared" ref="D54:D57" si="110">SUM(E54:FL54)</f>
        <v>0</v>
      </c>
      <c r="E54" s="1518"/>
      <c r="F54" s="1518"/>
      <c r="G54" s="1518"/>
      <c r="H54" s="1518"/>
      <c r="I54" s="1518"/>
      <c r="J54" s="1518"/>
      <c r="K54" s="1518"/>
      <c r="L54" s="1518"/>
      <c r="M54" s="1518"/>
      <c r="N54" s="1518"/>
      <c r="O54" s="1518"/>
      <c r="P54" s="1518"/>
      <c r="Q54" s="1518"/>
      <c r="R54" s="1518"/>
      <c r="S54" s="1518"/>
      <c r="T54" s="1518"/>
      <c r="U54" s="1518"/>
      <c r="V54" s="1518"/>
      <c r="W54" s="1518"/>
      <c r="X54" s="1518"/>
      <c r="Y54" s="1518"/>
      <c r="Z54" s="1518"/>
      <c r="AA54" s="1518"/>
      <c r="AB54" s="1518"/>
      <c r="AC54" s="1518"/>
      <c r="AD54" s="1518"/>
      <c r="AE54" s="1518"/>
      <c r="AF54" s="1518"/>
      <c r="AG54" s="1518"/>
      <c r="AH54" s="1518"/>
      <c r="AI54" s="1518"/>
      <c r="AJ54" s="1518"/>
      <c r="AK54" s="1518"/>
      <c r="AL54" s="1518"/>
      <c r="AM54" s="1518"/>
      <c r="AN54" s="1518"/>
      <c r="AO54" s="1518"/>
      <c r="AP54" s="1518"/>
      <c r="AQ54" s="1518"/>
      <c r="AR54" s="1518"/>
      <c r="AS54" s="1518"/>
      <c r="AT54" s="1518"/>
      <c r="AU54" s="1518"/>
      <c r="AV54" s="1518"/>
      <c r="AW54" s="1518"/>
      <c r="AX54" s="1518"/>
      <c r="AY54" s="1518"/>
      <c r="AZ54" s="1518"/>
      <c r="BA54" s="1518"/>
      <c r="BB54" s="1518"/>
      <c r="BC54" s="1518"/>
      <c r="BD54" s="1518"/>
      <c r="BE54" s="1518"/>
      <c r="BF54" s="1518"/>
      <c r="BG54" s="1518"/>
      <c r="BH54" s="1518"/>
      <c r="BI54" s="1518"/>
      <c r="BJ54" s="1518"/>
      <c r="BK54" s="1518"/>
      <c r="BL54" s="1518"/>
      <c r="BM54" s="1518"/>
      <c r="BN54" s="1518"/>
      <c r="BO54" s="1518"/>
      <c r="BP54" s="1518"/>
      <c r="BQ54" s="1518"/>
      <c r="BR54" s="1518"/>
      <c r="BS54" s="1518"/>
      <c r="BT54" s="1518"/>
      <c r="BU54" s="1518"/>
      <c r="BV54" s="1518"/>
      <c r="BW54" s="1518"/>
      <c r="BX54" s="1518"/>
      <c r="BY54" s="1518"/>
      <c r="BZ54" s="1518"/>
      <c r="CA54" s="1518"/>
      <c r="CB54" s="1518"/>
      <c r="CC54" s="1518"/>
      <c r="CD54" s="1518"/>
      <c r="CE54" s="1518"/>
      <c r="CF54" s="1518"/>
      <c r="CG54" s="1518"/>
      <c r="CH54" s="1518"/>
      <c r="CI54" s="1518"/>
      <c r="CJ54" s="1518"/>
      <c r="CK54" s="1518"/>
      <c r="CL54" s="1518"/>
      <c r="CM54" s="1518"/>
      <c r="CN54" s="1518"/>
      <c r="CO54" s="1518"/>
      <c r="CP54" s="1518"/>
      <c r="CQ54" s="1518"/>
      <c r="CR54" s="1518"/>
      <c r="CS54" s="1518"/>
      <c r="CT54" s="1518"/>
      <c r="CU54" s="1518"/>
      <c r="CV54" s="1518"/>
      <c r="CW54" s="1518"/>
      <c r="CX54" s="1518"/>
      <c r="CY54" s="1518"/>
      <c r="CZ54" s="1518"/>
      <c r="DA54" s="1518"/>
      <c r="DB54" s="1518"/>
      <c r="DC54" s="1518"/>
      <c r="DD54" s="1518"/>
      <c r="DE54" s="1518"/>
      <c r="DF54" s="1518"/>
      <c r="DG54" s="1518"/>
      <c r="DH54" s="1518"/>
      <c r="DI54" s="1518"/>
      <c r="DJ54" s="1518"/>
      <c r="DK54" s="1518"/>
      <c r="DL54" s="1518"/>
      <c r="DM54" s="1518"/>
      <c r="DN54" s="1518"/>
      <c r="DO54" s="1518"/>
      <c r="DP54" s="1518"/>
      <c r="DQ54" s="1518"/>
      <c r="DR54" s="1518"/>
      <c r="DS54" s="1518"/>
      <c r="DT54" s="1518"/>
      <c r="DU54" s="1518"/>
      <c r="DV54" s="1518"/>
      <c r="DW54" s="1518"/>
      <c r="DX54" s="1518"/>
      <c r="DY54" s="1518"/>
      <c r="DZ54" s="1518"/>
      <c r="EA54" s="1518"/>
      <c r="EB54" s="1518"/>
      <c r="EC54" s="1518"/>
      <c r="ED54" s="1518"/>
      <c r="EE54" s="1518"/>
      <c r="EF54" s="1518"/>
      <c r="EG54" s="1518"/>
      <c r="EH54" s="1518"/>
      <c r="EI54" s="1518"/>
      <c r="EJ54" s="1518"/>
      <c r="EK54" s="1518"/>
      <c r="EL54" s="1518"/>
      <c r="EM54" s="1518"/>
      <c r="EN54" s="1518"/>
      <c r="EO54" s="1518"/>
      <c r="EP54" s="1518"/>
      <c r="EQ54" s="1518"/>
      <c r="ER54" s="1518"/>
      <c r="ES54" s="1518"/>
      <c r="ET54" s="1518"/>
      <c r="EU54" s="1518"/>
      <c r="EV54" s="1518"/>
      <c r="EW54" s="1518"/>
      <c r="EX54" s="1518"/>
      <c r="EY54" s="1518"/>
      <c r="EZ54" s="1518"/>
      <c r="FA54" s="1518"/>
      <c r="FB54" s="1518"/>
      <c r="FC54" s="1518"/>
      <c r="FD54" s="1518"/>
      <c r="FE54" s="1518"/>
      <c r="FF54" s="1518"/>
      <c r="FG54" s="1518"/>
      <c r="FH54" s="1518"/>
      <c r="FI54" s="1518"/>
      <c r="FJ54" s="1518"/>
      <c r="FK54" s="1518"/>
      <c r="FL54" s="1548"/>
      <c r="FM54" s="1553"/>
    </row>
    <row r="55" spans="1:169">
      <c r="A55" s="1519"/>
      <c r="B55" s="1511" t="s">
        <v>241</v>
      </c>
      <c r="C55" s="1516"/>
      <c r="D55" s="1513">
        <f>D56-D57</f>
        <v>0</v>
      </c>
      <c r="E55" s="1500">
        <f>E56-E57</f>
        <v>0</v>
      </c>
      <c r="F55" s="1500">
        <f>E55+F56-F57</f>
        <v>0</v>
      </c>
      <c r="G55" s="1500">
        <f>F55+G56-G57</f>
        <v>0</v>
      </c>
      <c r="H55" s="1500">
        <f>G55+H56-H57</f>
        <v>0</v>
      </c>
      <c r="I55" s="1500">
        <f>H55+I56-I57</f>
        <v>0</v>
      </c>
      <c r="J55" s="1500">
        <f>I55+J56-J57</f>
        <v>0</v>
      </c>
      <c r="K55" s="1500">
        <f t="shared" ref="K55:BR55" si="111">J55+K56-K57</f>
        <v>0</v>
      </c>
      <c r="L55" s="1500">
        <f t="shared" si="111"/>
        <v>0</v>
      </c>
      <c r="M55" s="1500">
        <f t="shared" si="111"/>
        <v>0</v>
      </c>
      <c r="N55" s="1500">
        <f t="shared" si="111"/>
        <v>0</v>
      </c>
      <c r="O55" s="1500">
        <f t="shared" si="111"/>
        <v>0</v>
      </c>
      <c r="P55" s="1500">
        <f t="shared" si="111"/>
        <v>0</v>
      </c>
      <c r="Q55" s="1500">
        <f t="shared" si="111"/>
        <v>0</v>
      </c>
      <c r="R55" s="1500">
        <f t="shared" si="111"/>
        <v>0</v>
      </c>
      <c r="S55" s="1500">
        <f t="shared" si="111"/>
        <v>0</v>
      </c>
      <c r="T55" s="1500">
        <f t="shared" si="111"/>
        <v>0</v>
      </c>
      <c r="U55" s="1500">
        <f t="shared" si="111"/>
        <v>0</v>
      </c>
      <c r="V55" s="1500">
        <f t="shared" si="111"/>
        <v>0</v>
      </c>
      <c r="W55" s="1500">
        <f t="shared" si="111"/>
        <v>0</v>
      </c>
      <c r="X55" s="1500">
        <f t="shared" si="111"/>
        <v>0</v>
      </c>
      <c r="Y55" s="1500">
        <f t="shared" si="111"/>
        <v>0</v>
      </c>
      <c r="Z55" s="1500">
        <f t="shared" si="111"/>
        <v>0</v>
      </c>
      <c r="AA55" s="1500">
        <f t="shared" si="111"/>
        <v>0</v>
      </c>
      <c r="AB55" s="1500">
        <f t="shared" si="111"/>
        <v>0</v>
      </c>
      <c r="AC55" s="1500">
        <f t="shared" si="111"/>
        <v>0</v>
      </c>
      <c r="AD55" s="1500">
        <f t="shared" si="111"/>
        <v>0</v>
      </c>
      <c r="AE55" s="1500">
        <f t="shared" si="111"/>
        <v>0</v>
      </c>
      <c r="AF55" s="1500">
        <f t="shared" si="111"/>
        <v>0</v>
      </c>
      <c r="AG55" s="1500">
        <f t="shared" si="111"/>
        <v>0</v>
      </c>
      <c r="AH55" s="1500">
        <f t="shared" si="111"/>
        <v>0</v>
      </c>
      <c r="AI55" s="1500">
        <f t="shared" si="111"/>
        <v>0</v>
      </c>
      <c r="AJ55" s="1500">
        <f t="shared" si="111"/>
        <v>0</v>
      </c>
      <c r="AK55" s="1500">
        <f t="shared" si="111"/>
        <v>0</v>
      </c>
      <c r="AL55" s="1500">
        <f t="shared" si="111"/>
        <v>0</v>
      </c>
      <c r="AM55" s="1500">
        <f t="shared" si="111"/>
        <v>0</v>
      </c>
      <c r="AN55" s="1500">
        <f t="shared" si="111"/>
        <v>0</v>
      </c>
      <c r="AO55" s="1500">
        <f t="shared" si="111"/>
        <v>0</v>
      </c>
      <c r="AP55" s="1500">
        <f t="shared" si="111"/>
        <v>0</v>
      </c>
      <c r="AQ55" s="1500">
        <f t="shared" si="111"/>
        <v>0</v>
      </c>
      <c r="AR55" s="1500">
        <f t="shared" si="111"/>
        <v>0</v>
      </c>
      <c r="AS55" s="1500">
        <f t="shared" si="111"/>
        <v>0</v>
      </c>
      <c r="AT55" s="1500">
        <f t="shared" si="111"/>
        <v>0</v>
      </c>
      <c r="AU55" s="1500">
        <f t="shared" si="111"/>
        <v>0</v>
      </c>
      <c r="AV55" s="1500">
        <f t="shared" si="111"/>
        <v>0</v>
      </c>
      <c r="AW55" s="1500">
        <f t="shared" si="111"/>
        <v>0</v>
      </c>
      <c r="AX55" s="1500">
        <f t="shared" si="111"/>
        <v>0</v>
      </c>
      <c r="AY55" s="1500">
        <f t="shared" si="111"/>
        <v>0</v>
      </c>
      <c r="AZ55" s="1500">
        <f t="shared" si="111"/>
        <v>0</v>
      </c>
      <c r="BA55" s="1500">
        <f t="shared" si="111"/>
        <v>0</v>
      </c>
      <c r="BB55" s="1500">
        <f t="shared" si="111"/>
        <v>0</v>
      </c>
      <c r="BC55" s="1500">
        <f t="shared" si="111"/>
        <v>0</v>
      </c>
      <c r="BD55" s="1500">
        <f t="shared" si="111"/>
        <v>0</v>
      </c>
      <c r="BE55" s="1500">
        <f t="shared" si="111"/>
        <v>0</v>
      </c>
      <c r="BF55" s="1500">
        <f t="shared" si="111"/>
        <v>0</v>
      </c>
      <c r="BG55" s="1500">
        <f t="shared" si="111"/>
        <v>0</v>
      </c>
      <c r="BH55" s="1500">
        <f t="shared" si="111"/>
        <v>0</v>
      </c>
      <c r="BI55" s="1500">
        <f t="shared" si="111"/>
        <v>0</v>
      </c>
      <c r="BJ55" s="1500">
        <f t="shared" si="111"/>
        <v>0</v>
      </c>
      <c r="BK55" s="1500">
        <f t="shared" si="111"/>
        <v>0</v>
      </c>
      <c r="BL55" s="1500">
        <f t="shared" si="111"/>
        <v>0</v>
      </c>
      <c r="BM55" s="1500">
        <f t="shared" si="111"/>
        <v>0</v>
      </c>
      <c r="BN55" s="1500">
        <f t="shared" si="111"/>
        <v>0</v>
      </c>
      <c r="BO55" s="1500">
        <f t="shared" si="111"/>
        <v>0</v>
      </c>
      <c r="BP55" s="1500">
        <f t="shared" si="111"/>
        <v>0</v>
      </c>
      <c r="BQ55" s="1500">
        <f t="shared" si="111"/>
        <v>0</v>
      </c>
      <c r="BR55" s="1500">
        <f t="shared" si="111"/>
        <v>0</v>
      </c>
      <c r="BS55" s="1500">
        <f t="shared" ref="BS55:ED55" si="112">BR55+BS56-BS57</f>
        <v>0</v>
      </c>
      <c r="BT55" s="1500">
        <f t="shared" si="112"/>
        <v>0</v>
      </c>
      <c r="BU55" s="1500">
        <f t="shared" si="112"/>
        <v>0</v>
      </c>
      <c r="BV55" s="1500">
        <f t="shared" si="112"/>
        <v>0</v>
      </c>
      <c r="BW55" s="1500">
        <f t="shared" si="112"/>
        <v>0</v>
      </c>
      <c r="BX55" s="1500">
        <f t="shared" si="112"/>
        <v>0</v>
      </c>
      <c r="BY55" s="1500">
        <f t="shared" si="112"/>
        <v>0</v>
      </c>
      <c r="BZ55" s="1500">
        <f t="shared" si="112"/>
        <v>0</v>
      </c>
      <c r="CA55" s="1500">
        <f t="shared" si="112"/>
        <v>0</v>
      </c>
      <c r="CB55" s="1500">
        <f t="shared" si="112"/>
        <v>0</v>
      </c>
      <c r="CC55" s="1500">
        <f t="shared" si="112"/>
        <v>0</v>
      </c>
      <c r="CD55" s="1500">
        <f t="shared" si="112"/>
        <v>0</v>
      </c>
      <c r="CE55" s="1500">
        <f t="shared" si="112"/>
        <v>0</v>
      </c>
      <c r="CF55" s="1500">
        <f t="shared" si="112"/>
        <v>0</v>
      </c>
      <c r="CG55" s="1500">
        <f t="shared" si="112"/>
        <v>0</v>
      </c>
      <c r="CH55" s="1500">
        <f t="shared" si="112"/>
        <v>0</v>
      </c>
      <c r="CI55" s="1500">
        <f t="shared" si="112"/>
        <v>0</v>
      </c>
      <c r="CJ55" s="1500">
        <f t="shared" si="112"/>
        <v>0</v>
      </c>
      <c r="CK55" s="1500">
        <f t="shared" si="112"/>
        <v>0</v>
      </c>
      <c r="CL55" s="1500">
        <f t="shared" si="112"/>
        <v>0</v>
      </c>
      <c r="CM55" s="1500">
        <f t="shared" si="112"/>
        <v>0</v>
      </c>
      <c r="CN55" s="1500">
        <f t="shared" si="112"/>
        <v>0</v>
      </c>
      <c r="CO55" s="1500">
        <f t="shared" si="112"/>
        <v>0</v>
      </c>
      <c r="CP55" s="1500">
        <f t="shared" si="112"/>
        <v>0</v>
      </c>
      <c r="CQ55" s="1500">
        <f t="shared" si="112"/>
        <v>0</v>
      </c>
      <c r="CR55" s="1500">
        <f t="shared" si="112"/>
        <v>0</v>
      </c>
      <c r="CS55" s="1500">
        <f t="shared" si="112"/>
        <v>0</v>
      </c>
      <c r="CT55" s="1500">
        <f t="shared" si="112"/>
        <v>0</v>
      </c>
      <c r="CU55" s="1500">
        <f t="shared" si="112"/>
        <v>0</v>
      </c>
      <c r="CV55" s="1500">
        <f t="shared" si="112"/>
        <v>0</v>
      </c>
      <c r="CW55" s="1500">
        <f t="shared" si="112"/>
        <v>0</v>
      </c>
      <c r="CX55" s="1500">
        <f t="shared" si="112"/>
        <v>0</v>
      </c>
      <c r="CY55" s="1500">
        <f t="shared" si="112"/>
        <v>0</v>
      </c>
      <c r="CZ55" s="1500">
        <f t="shared" si="112"/>
        <v>0</v>
      </c>
      <c r="DA55" s="1500">
        <f t="shared" si="112"/>
        <v>0</v>
      </c>
      <c r="DB55" s="1500">
        <f t="shared" si="112"/>
        <v>0</v>
      </c>
      <c r="DC55" s="1500">
        <f t="shared" si="112"/>
        <v>0</v>
      </c>
      <c r="DD55" s="1500">
        <f t="shared" si="112"/>
        <v>0</v>
      </c>
      <c r="DE55" s="1500">
        <f t="shared" si="112"/>
        <v>0</v>
      </c>
      <c r="DF55" s="1500">
        <f t="shared" si="112"/>
        <v>0</v>
      </c>
      <c r="DG55" s="1500">
        <f t="shared" si="112"/>
        <v>0</v>
      </c>
      <c r="DH55" s="1500">
        <f t="shared" si="112"/>
        <v>0</v>
      </c>
      <c r="DI55" s="1500">
        <f t="shared" si="112"/>
        <v>0</v>
      </c>
      <c r="DJ55" s="1500">
        <f t="shared" si="112"/>
        <v>0</v>
      </c>
      <c r="DK55" s="1500">
        <f t="shared" si="112"/>
        <v>0</v>
      </c>
      <c r="DL55" s="1500">
        <f t="shared" si="112"/>
        <v>0</v>
      </c>
      <c r="DM55" s="1500">
        <f t="shared" si="112"/>
        <v>0</v>
      </c>
      <c r="DN55" s="1500">
        <f t="shared" si="112"/>
        <v>0</v>
      </c>
      <c r="DO55" s="1500">
        <f t="shared" si="112"/>
        <v>0</v>
      </c>
      <c r="DP55" s="1500">
        <f t="shared" si="112"/>
        <v>0</v>
      </c>
      <c r="DQ55" s="1500">
        <f t="shared" si="112"/>
        <v>0</v>
      </c>
      <c r="DR55" s="1500">
        <f t="shared" si="112"/>
        <v>0</v>
      </c>
      <c r="DS55" s="1500">
        <f t="shared" si="112"/>
        <v>0</v>
      </c>
      <c r="DT55" s="1500">
        <f t="shared" si="112"/>
        <v>0</v>
      </c>
      <c r="DU55" s="1500">
        <f t="shared" si="112"/>
        <v>0</v>
      </c>
      <c r="DV55" s="1500">
        <f t="shared" si="112"/>
        <v>0</v>
      </c>
      <c r="DW55" s="1500">
        <f t="shared" si="112"/>
        <v>0</v>
      </c>
      <c r="DX55" s="1500">
        <f t="shared" si="112"/>
        <v>0</v>
      </c>
      <c r="DY55" s="1500">
        <f t="shared" si="112"/>
        <v>0</v>
      </c>
      <c r="DZ55" s="1500">
        <f t="shared" si="112"/>
        <v>0</v>
      </c>
      <c r="EA55" s="1500">
        <f t="shared" si="112"/>
        <v>0</v>
      </c>
      <c r="EB55" s="1500">
        <f t="shared" si="112"/>
        <v>0</v>
      </c>
      <c r="EC55" s="1500">
        <f t="shared" si="112"/>
        <v>0</v>
      </c>
      <c r="ED55" s="1500">
        <f t="shared" si="112"/>
        <v>0</v>
      </c>
      <c r="EE55" s="1500">
        <f t="shared" ref="EE55:FL55" si="113">ED55+EE56-EE57</f>
        <v>0</v>
      </c>
      <c r="EF55" s="1500">
        <f t="shared" si="113"/>
        <v>0</v>
      </c>
      <c r="EG55" s="1500">
        <f t="shared" si="113"/>
        <v>0</v>
      </c>
      <c r="EH55" s="1500">
        <f t="shared" si="113"/>
        <v>0</v>
      </c>
      <c r="EI55" s="1500">
        <f t="shared" si="113"/>
        <v>0</v>
      </c>
      <c r="EJ55" s="1500">
        <f t="shared" si="113"/>
        <v>0</v>
      </c>
      <c r="EK55" s="1500">
        <f t="shared" si="113"/>
        <v>0</v>
      </c>
      <c r="EL55" s="1500">
        <f t="shared" si="113"/>
        <v>0</v>
      </c>
      <c r="EM55" s="1500">
        <f t="shared" si="113"/>
        <v>0</v>
      </c>
      <c r="EN55" s="1500">
        <f t="shared" si="113"/>
        <v>0</v>
      </c>
      <c r="EO55" s="1500">
        <f t="shared" si="113"/>
        <v>0</v>
      </c>
      <c r="EP55" s="1500">
        <f t="shared" si="113"/>
        <v>0</v>
      </c>
      <c r="EQ55" s="1500">
        <f t="shared" si="113"/>
        <v>0</v>
      </c>
      <c r="ER55" s="1500">
        <f t="shared" si="113"/>
        <v>0</v>
      </c>
      <c r="ES55" s="1500">
        <f t="shared" si="113"/>
        <v>0</v>
      </c>
      <c r="ET55" s="1500">
        <f t="shared" si="113"/>
        <v>0</v>
      </c>
      <c r="EU55" s="1500">
        <f t="shared" si="113"/>
        <v>0</v>
      </c>
      <c r="EV55" s="1500">
        <f t="shared" si="113"/>
        <v>0</v>
      </c>
      <c r="EW55" s="1500">
        <f t="shared" si="113"/>
        <v>0</v>
      </c>
      <c r="EX55" s="1500">
        <f t="shared" si="113"/>
        <v>0</v>
      </c>
      <c r="EY55" s="1500">
        <f t="shared" si="113"/>
        <v>0</v>
      </c>
      <c r="EZ55" s="1500">
        <f t="shared" si="113"/>
        <v>0</v>
      </c>
      <c r="FA55" s="1500">
        <f t="shared" si="113"/>
        <v>0</v>
      </c>
      <c r="FB55" s="1500">
        <f t="shared" si="113"/>
        <v>0</v>
      </c>
      <c r="FC55" s="1500">
        <f t="shared" si="113"/>
        <v>0</v>
      </c>
      <c r="FD55" s="1500">
        <f t="shared" si="113"/>
        <v>0</v>
      </c>
      <c r="FE55" s="1500">
        <f t="shared" si="113"/>
        <v>0</v>
      </c>
      <c r="FF55" s="1500">
        <f t="shared" si="113"/>
        <v>0</v>
      </c>
      <c r="FG55" s="1500">
        <f t="shared" si="113"/>
        <v>0</v>
      </c>
      <c r="FH55" s="1500">
        <f t="shared" si="113"/>
        <v>0</v>
      </c>
      <c r="FI55" s="1500">
        <f t="shared" si="113"/>
        <v>0</v>
      </c>
      <c r="FJ55" s="1500">
        <f t="shared" si="113"/>
        <v>0</v>
      </c>
      <c r="FK55" s="1500">
        <f t="shared" si="113"/>
        <v>0</v>
      </c>
      <c r="FL55" s="1500">
        <f t="shared" si="113"/>
        <v>0</v>
      </c>
      <c r="FM55" s="1553"/>
    </row>
    <row r="56" spans="1:169">
      <c r="A56" s="1519"/>
      <c r="B56" s="1514" t="s">
        <v>242</v>
      </c>
      <c r="C56" s="1514"/>
      <c r="D56" s="1513">
        <f t="shared" si="110"/>
        <v>0</v>
      </c>
      <c r="E56" s="1520"/>
      <c r="F56" s="1520"/>
      <c r="G56" s="1520"/>
      <c r="H56" s="1520"/>
      <c r="I56" s="1520"/>
      <c r="J56" s="1520"/>
      <c r="K56" s="1520"/>
      <c r="L56" s="1520"/>
      <c r="M56" s="1520"/>
      <c r="N56" s="1520"/>
      <c r="O56" s="1520"/>
      <c r="P56" s="1520"/>
      <c r="Q56" s="1520"/>
      <c r="R56" s="1520"/>
      <c r="S56" s="1520"/>
      <c r="T56" s="1520"/>
      <c r="U56" s="1520"/>
      <c r="V56" s="1520"/>
      <c r="W56" s="1520"/>
      <c r="X56" s="1520"/>
      <c r="Y56" s="1520"/>
      <c r="Z56" s="1520"/>
      <c r="AA56" s="1520"/>
      <c r="AB56" s="1520"/>
      <c r="AC56" s="1520"/>
      <c r="AD56" s="1520"/>
      <c r="AE56" s="1520"/>
      <c r="AF56" s="1520"/>
      <c r="AG56" s="1520"/>
      <c r="AH56" s="1520"/>
      <c r="AI56" s="1520"/>
      <c r="AJ56" s="1520"/>
      <c r="AK56" s="1520"/>
      <c r="AL56" s="1520"/>
      <c r="AM56" s="1520"/>
      <c r="AN56" s="1520"/>
      <c r="AO56" s="1520"/>
      <c r="AP56" s="1520"/>
      <c r="AQ56" s="1520"/>
      <c r="AR56" s="1520"/>
      <c r="AS56" s="1520"/>
      <c r="AT56" s="1520"/>
      <c r="AU56" s="1520"/>
      <c r="AV56" s="1520"/>
      <c r="AW56" s="1520"/>
      <c r="AX56" s="1520"/>
      <c r="AY56" s="1520"/>
      <c r="AZ56" s="1520"/>
      <c r="BA56" s="1520"/>
      <c r="BB56" s="1520"/>
      <c r="BC56" s="1520"/>
      <c r="BD56" s="1520"/>
      <c r="BE56" s="1520"/>
      <c r="BF56" s="1520"/>
      <c r="BG56" s="1520"/>
      <c r="BH56" s="1520"/>
      <c r="BI56" s="1520"/>
      <c r="BJ56" s="1520"/>
      <c r="BK56" s="1520"/>
      <c r="BL56" s="1520"/>
      <c r="BM56" s="1520"/>
      <c r="BN56" s="1520"/>
      <c r="BO56" s="1520"/>
      <c r="BP56" s="1520"/>
      <c r="BQ56" s="1520"/>
      <c r="BR56" s="1520"/>
      <c r="BS56" s="1520"/>
      <c r="BT56" s="1520"/>
      <c r="BU56" s="1520"/>
      <c r="BV56" s="1520"/>
      <c r="BW56" s="1520"/>
      <c r="BX56" s="1520"/>
      <c r="BY56" s="1520"/>
      <c r="BZ56" s="1520"/>
      <c r="CA56" s="1520"/>
      <c r="CB56" s="1520"/>
      <c r="CC56" s="1520"/>
      <c r="CD56" s="1520"/>
      <c r="CE56" s="1520"/>
      <c r="CF56" s="1520"/>
      <c r="CG56" s="1520"/>
      <c r="CH56" s="1520"/>
      <c r="CI56" s="1520"/>
      <c r="CJ56" s="1520"/>
      <c r="CK56" s="1520"/>
      <c r="CL56" s="1520"/>
      <c r="CM56" s="1520"/>
      <c r="CN56" s="1520"/>
      <c r="CO56" s="1520"/>
      <c r="CP56" s="1520"/>
      <c r="CQ56" s="1520"/>
      <c r="CR56" s="1520"/>
      <c r="CS56" s="1520"/>
      <c r="CT56" s="1520"/>
      <c r="CU56" s="1520"/>
      <c r="CV56" s="1520"/>
      <c r="CW56" s="1520"/>
      <c r="CX56" s="1520"/>
      <c r="CY56" s="1520"/>
      <c r="CZ56" s="1520"/>
      <c r="DA56" s="1520"/>
      <c r="DB56" s="1520"/>
      <c r="DC56" s="1520"/>
      <c r="DD56" s="1520"/>
      <c r="DE56" s="1520"/>
      <c r="DF56" s="1520"/>
      <c r="DG56" s="1520"/>
      <c r="DH56" s="1520"/>
      <c r="DI56" s="1520"/>
      <c r="DJ56" s="1520"/>
      <c r="DK56" s="1520"/>
      <c r="DL56" s="1520"/>
      <c r="DM56" s="1520"/>
      <c r="DN56" s="1520"/>
      <c r="DO56" s="1520"/>
      <c r="DP56" s="1520"/>
      <c r="DQ56" s="1520"/>
      <c r="DR56" s="1520"/>
      <c r="DS56" s="1520"/>
      <c r="DT56" s="1520"/>
      <c r="DU56" s="1520"/>
      <c r="DV56" s="1520"/>
      <c r="DW56" s="1520"/>
      <c r="DX56" s="1520"/>
      <c r="DY56" s="1520"/>
      <c r="DZ56" s="1520"/>
      <c r="EA56" s="1520"/>
      <c r="EB56" s="1520"/>
      <c r="EC56" s="1520"/>
      <c r="ED56" s="1520"/>
      <c r="EE56" s="1520"/>
      <c r="EF56" s="1520"/>
      <c r="EG56" s="1520"/>
      <c r="EH56" s="1520"/>
      <c r="EI56" s="1520"/>
      <c r="EJ56" s="1520"/>
      <c r="EK56" s="1520"/>
      <c r="EL56" s="1520"/>
      <c r="EM56" s="1520"/>
      <c r="EN56" s="1520"/>
      <c r="EO56" s="1520"/>
      <c r="EP56" s="1520"/>
      <c r="EQ56" s="1520"/>
      <c r="ER56" s="1520"/>
      <c r="ES56" s="1520"/>
      <c r="ET56" s="1520"/>
      <c r="EU56" s="1520"/>
      <c r="EV56" s="1520"/>
      <c r="EW56" s="1520"/>
      <c r="EX56" s="1520"/>
      <c r="EY56" s="1520"/>
      <c r="EZ56" s="1520"/>
      <c r="FA56" s="1520"/>
      <c r="FB56" s="1520"/>
      <c r="FC56" s="1520"/>
      <c r="FD56" s="1520"/>
      <c r="FE56" s="1520"/>
      <c r="FF56" s="1520"/>
      <c r="FG56" s="1520"/>
      <c r="FH56" s="1520"/>
      <c r="FI56" s="1549"/>
      <c r="FJ56" s="1549"/>
      <c r="FK56" s="1549"/>
      <c r="FL56" s="1549"/>
      <c r="FM56" s="1553"/>
    </row>
    <row r="57" spans="1:169">
      <c r="A57" s="1519"/>
      <c r="B57" s="1516" t="s">
        <v>243</v>
      </c>
      <c r="C57" s="1516"/>
      <c r="D57" s="1513">
        <f t="shared" si="110"/>
        <v>0</v>
      </c>
      <c r="E57" s="1520"/>
      <c r="F57" s="1520"/>
      <c r="G57" s="1520"/>
      <c r="H57" s="1520"/>
      <c r="I57" s="1520"/>
      <c r="J57" s="1520"/>
      <c r="K57" s="1520"/>
      <c r="L57" s="1520"/>
      <c r="M57" s="1520"/>
      <c r="N57" s="1520"/>
      <c r="O57" s="1520"/>
      <c r="P57" s="1520"/>
      <c r="Q57" s="1520"/>
      <c r="R57" s="1520"/>
      <c r="S57" s="1520"/>
      <c r="T57" s="1520"/>
      <c r="U57" s="1520"/>
      <c r="V57" s="1520"/>
      <c r="W57" s="1520"/>
      <c r="X57" s="1520"/>
      <c r="Y57" s="1520"/>
      <c r="Z57" s="1520"/>
      <c r="AA57" s="1520"/>
      <c r="AB57" s="1520"/>
      <c r="AC57" s="1520"/>
      <c r="AD57" s="1520"/>
      <c r="AE57" s="1520"/>
      <c r="AF57" s="1520"/>
      <c r="AG57" s="1520"/>
      <c r="AH57" s="1520"/>
      <c r="AI57" s="1520"/>
      <c r="AJ57" s="1520"/>
      <c r="AK57" s="1520"/>
      <c r="AL57" s="1520"/>
      <c r="AM57" s="1520"/>
      <c r="AN57" s="1520"/>
      <c r="AO57" s="1520"/>
      <c r="AP57" s="1520"/>
      <c r="AQ57" s="1520"/>
      <c r="AR57" s="1520"/>
      <c r="AS57" s="1520"/>
      <c r="AT57" s="1520"/>
      <c r="AU57" s="1520"/>
      <c r="AV57" s="1520"/>
      <c r="AW57" s="1520"/>
      <c r="AX57" s="1520"/>
      <c r="AY57" s="1520"/>
      <c r="AZ57" s="1520"/>
      <c r="BA57" s="1520"/>
      <c r="BB57" s="1520"/>
      <c r="BC57" s="1520"/>
      <c r="BD57" s="1520"/>
      <c r="BE57" s="1520"/>
      <c r="BF57" s="1520"/>
      <c r="BG57" s="1520"/>
      <c r="BH57" s="1520"/>
      <c r="BI57" s="1520"/>
      <c r="BJ57" s="1520"/>
      <c r="BK57" s="1520"/>
      <c r="BL57" s="1520"/>
      <c r="BM57" s="1520"/>
      <c r="BN57" s="1520"/>
      <c r="BO57" s="1520"/>
      <c r="BP57" s="1520"/>
      <c r="BQ57" s="1520"/>
      <c r="BR57" s="1520"/>
      <c r="BS57" s="1520"/>
      <c r="BT57" s="1520"/>
      <c r="BU57" s="1520"/>
      <c r="BV57" s="1520"/>
      <c r="BW57" s="1520"/>
      <c r="BX57" s="1520"/>
      <c r="BY57" s="1520"/>
      <c r="BZ57" s="1520"/>
      <c r="CA57" s="1520"/>
      <c r="CB57" s="1520"/>
      <c r="CC57" s="1520"/>
      <c r="CD57" s="1520"/>
      <c r="CE57" s="1520"/>
      <c r="CF57" s="1520"/>
      <c r="CG57" s="1520"/>
      <c r="CH57" s="1520"/>
      <c r="CI57" s="1520"/>
      <c r="CJ57" s="1520"/>
      <c r="CK57" s="1520"/>
      <c r="CL57" s="1520"/>
      <c r="CM57" s="1520"/>
      <c r="CN57" s="1520"/>
      <c r="CO57" s="1520"/>
      <c r="CP57" s="1520"/>
      <c r="CQ57" s="1520"/>
      <c r="CR57" s="1520"/>
      <c r="CS57" s="1520"/>
      <c r="CT57" s="1520"/>
      <c r="CU57" s="1520"/>
      <c r="CV57" s="1520"/>
      <c r="CW57" s="1520"/>
      <c r="CX57" s="1520"/>
      <c r="CY57" s="1520"/>
      <c r="CZ57" s="1520"/>
      <c r="DA57" s="1520"/>
      <c r="DB57" s="1520"/>
      <c r="DC57" s="1520"/>
      <c r="DD57" s="1520"/>
      <c r="DE57" s="1520"/>
      <c r="DF57" s="1520"/>
      <c r="DG57" s="1520"/>
      <c r="DH57" s="1520"/>
      <c r="DI57" s="1520"/>
      <c r="DJ57" s="1520"/>
      <c r="DK57" s="1520"/>
      <c r="DL57" s="1520"/>
      <c r="DM57" s="1520"/>
      <c r="DN57" s="1520"/>
      <c r="DO57" s="1520"/>
      <c r="DP57" s="1520"/>
      <c r="DQ57" s="1520"/>
      <c r="DR57" s="1520"/>
      <c r="DS57" s="1520"/>
      <c r="DT57" s="1520"/>
      <c r="DU57" s="1520"/>
      <c r="DV57" s="1520"/>
      <c r="DW57" s="1520"/>
      <c r="DX57" s="1520"/>
      <c r="DY57" s="1520"/>
      <c r="DZ57" s="1520"/>
      <c r="EA57" s="1520"/>
      <c r="EB57" s="1520"/>
      <c r="EC57" s="1520"/>
      <c r="ED57" s="1520"/>
      <c r="EE57" s="1520"/>
      <c r="EF57" s="1520"/>
      <c r="EG57" s="1520"/>
      <c r="EH57" s="1520"/>
      <c r="EI57" s="1520"/>
      <c r="EJ57" s="1520"/>
      <c r="EK57" s="1520"/>
      <c r="EL57" s="1520"/>
      <c r="EM57" s="1520"/>
      <c r="EN57" s="1520"/>
      <c r="EO57" s="1520"/>
      <c r="EP57" s="1520"/>
      <c r="EQ57" s="1520"/>
      <c r="ER57" s="1520"/>
      <c r="ES57" s="1520"/>
      <c r="ET57" s="1520"/>
      <c r="EU57" s="1520"/>
      <c r="EV57" s="1520"/>
      <c r="EW57" s="1520"/>
      <c r="EX57" s="1520"/>
      <c r="EY57" s="1520"/>
      <c r="EZ57" s="1520"/>
      <c r="FA57" s="1520"/>
      <c r="FB57" s="1520"/>
      <c r="FC57" s="1520"/>
      <c r="FD57" s="1520"/>
      <c r="FE57" s="1520"/>
      <c r="FF57" s="1520"/>
      <c r="FG57" s="1520"/>
      <c r="FH57" s="1520"/>
      <c r="FI57" s="1549"/>
      <c r="FJ57" s="1549"/>
      <c r="FK57" s="1549"/>
      <c r="FL57" s="1549"/>
      <c r="FM57" s="1553"/>
    </row>
    <row r="58" spans="1:169">
      <c r="B58" s="1511" t="s">
        <v>244</v>
      </c>
      <c r="C58" s="1516"/>
      <c r="D58" s="1513">
        <f>D59+D60</f>
        <v>0</v>
      </c>
      <c r="E58" s="1521">
        <f>E59+E60</f>
        <v>0</v>
      </c>
      <c r="F58" s="1521">
        <f t="shared" ref="F58:BQ58" si="114">F59+F60</f>
        <v>0</v>
      </c>
      <c r="G58" s="1521">
        <f t="shared" si="114"/>
        <v>0</v>
      </c>
      <c r="H58" s="1521">
        <f t="shared" si="114"/>
        <v>0</v>
      </c>
      <c r="I58" s="1521">
        <f t="shared" si="114"/>
        <v>0</v>
      </c>
      <c r="J58" s="1521">
        <f t="shared" si="114"/>
        <v>0</v>
      </c>
      <c r="K58" s="1521">
        <f t="shared" si="114"/>
        <v>0</v>
      </c>
      <c r="L58" s="1521">
        <f t="shared" si="114"/>
        <v>0</v>
      </c>
      <c r="M58" s="1521">
        <f t="shared" si="114"/>
        <v>0</v>
      </c>
      <c r="N58" s="1521">
        <f t="shared" si="114"/>
        <v>0</v>
      </c>
      <c r="O58" s="1521">
        <f t="shared" si="114"/>
        <v>0</v>
      </c>
      <c r="P58" s="1521">
        <f t="shared" si="114"/>
        <v>0</v>
      </c>
      <c r="Q58" s="1521">
        <f t="shared" si="114"/>
        <v>0</v>
      </c>
      <c r="R58" s="1521">
        <f t="shared" si="114"/>
        <v>0</v>
      </c>
      <c r="S58" s="1521">
        <f t="shared" si="114"/>
        <v>0</v>
      </c>
      <c r="T58" s="1521">
        <f t="shared" si="114"/>
        <v>0</v>
      </c>
      <c r="U58" s="1521">
        <f t="shared" si="114"/>
        <v>0</v>
      </c>
      <c r="V58" s="1521">
        <f t="shared" si="114"/>
        <v>0</v>
      </c>
      <c r="W58" s="1521">
        <f t="shared" si="114"/>
        <v>0</v>
      </c>
      <c r="X58" s="1521">
        <f t="shared" si="114"/>
        <v>0</v>
      </c>
      <c r="Y58" s="1521">
        <f t="shared" si="114"/>
        <v>0</v>
      </c>
      <c r="Z58" s="1521">
        <f t="shared" si="114"/>
        <v>0</v>
      </c>
      <c r="AA58" s="1521">
        <f t="shared" si="114"/>
        <v>0</v>
      </c>
      <c r="AB58" s="1521">
        <f t="shared" si="114"/>
        <v>0</v>
      </c>
      <c r="AC58" s="1521">
        <f t="shared" si="114"/>
        <v>0</v>
      </c>
      <c r="AD58" s="1521">
        <f t="shared" si="114"/>
        <v>0</v>
      </c>
      <c r="AE58" s="1521">
        <f t="shared" si="114"/>
        <v>0</v>
      </c>
      <c r="AF58" s="1521">
        <f t="shared" si="114"/>
        <v>0</v>
      </c>
      <c r="AG58" s="1521">
        <f t="shared" si="114"/>
        <v>0</v>
      </c>
      <c r="AH58" s="1521">
        <f t="shared" si="114"/>
        <v>0</v>
      </c>
      <c r="AI58" s="1521">
        <f t="shared" si="114"/>
        <v>0</v>
      </c>
      <c r="AJ58" s="1521">
        <f t="shared" si="114"/>
        <v>0</v>
      </c>
      <c r="AK58" s="1521">
        <f t="shared" si="114"/>
        <v>0</v>
      </c>
      <c r="AL58" s="1521">
        <f t="shared" si="114"/>
        <v>0</v>
      </c>
      <c r="AM58" s="1521">
        <f t="shared" si="114"/>
        <v>0</v>
      </c>
      <c r="AN58" s="1521">
        <f t="shared" si="114"/>
        <v>0</v>
      </c>
      <c r="AO58" s="1521">
        <f t="shared" si="114"/>
        <v>0</v>
      </c>
      <c r="AP58" s="1521">
        <f t="shared" si="114"/>
        <v>0</v>
      </c>
      <c r="AQ58" s="1521">
        <f t="shared" si="114"/>
        <v>0</v>
      </c>
      <c r="AR58" s="1521">
        <f t="shared" si="114"/>
        <v>0</v>
      </c>
      <c r="AS58" s="1521">
        <f t="shared" si="114"/>
        <v>0</v>
      </c>
      <c r="AT58" s="1521">
        <f t="shared" si="114"/>
        <v>0</v>
      </c>
      <c r="AU58" s="1521">
        <f t="shared" si="114"/>
        <v>0</v>
      </c>
      <c r="AV58" s="1521">
        <f t="shared" si="114"/>
        <v>0</v>
      </c>
      <c r="AW58" s="1521">
        <f t="shared" si="114"/>
        <v>0</v>
      </c>
      <c r="AX58" s="1521">
        <f t="shared" si="114"/>
        <v>0</v>
      </c>
      <c r="AY58" s="1521">
        <f t="shared" si="114"/>
        <v>0</v>
      </c>
      <c r="AZ58" s="1521">
        <f t="shared" si="114"/>
        <v>0</v>
      </c>
      <c r="BA58" s="1521">
        <f t="shared" si="114"/>
        <v>0</v>
      </c>
      <c r="BB58" s="1521">
        <f t="shared" si="114"/>
        <v>0</v>
      </c>
      <c r="BC58" s="1521">
        <f t="shared" si="114"/>
        <v>0</v>
      </c>
      <c r="BD58" s="1521">
        <f t="shared" si="114"/>
        <v>0</v>
      </c>
      <c r="BE58" s="1521">
        <f t="shared" si="114"/>
        <v>0</v>
      </c>
      <c r="BF58" s="1521">
        <f t="shared" si="114"/>
        <v>0</v>
      </c>
      <c r="BG58" s="1521">
        <f t="shared" si="114"/>
        <v>0</v>
      </c>
      <c r="BH58" s="1521">
        <f t="shared" si="114"/>
        <v>0</v>
      </c>
      <c r="BI58" s="1521">
        <f t="shared" si="114"/>
        <v>0</v>
      </c>
      <c r="BJ58" s="1521">
        <f t="shared" si="114"/>
        <v>0</v>
      </c>
      <c r="BK58" s="1521">
        <f t="shared" si="114"/>
        <v>0</v>
      </c>
      <c r="BL58" s="1521">
        <f t="shared" si="114"/>
        <v>0</v>
      </c>
      <c r="BM58" s="1521">
        <f t="shared" si="114"/>
        <v>0</v>
      </c>
      <c r="BN58" s="1521">
        <f t="shared" si="114"/>
        <v>0</v>
      </c>
      <c r="BO58" s="1521">
        <f t="shared" si="114"/>
        <v>0</v>
      </c>
      <c r="BP58" s="1521">
        <f t="shared" si="114"/>
        <v>0</v>
      </c>
      <c r="BQ58" s="1521">
        <f t="shared" si="114"/>
        <v>0</v>
      </c>
      <c r="BR58" s="1521">
        <f t="shared" ref="BR58:EC58" si="115">BR59+BR60</f>
        <v>0</v>
      </c>
      <c r="BS58" s="1521">
        <f t="shared" si="115"/>
        <v>0</v>
      </c>
      <c r="BT58" s="1521">
        <f t="shared" si="115"/>
        <v>0</v>
      </c>
      <c r="BU58" s="1521">
        <f t="shared" si="115"/>
        <v>0</v>
      </c>
      <c r="BV58" s="1521">
        <f t="shared" si="115"/>
        <v>0</v>
      </c>
      <c r="BW58" s="1521">
        <f t="shared" si="115"/>
        <v>0</v>
      </c>
      <c r="BX58" s="1521">
        <f t="shared" si="115"/>
        <v>0</v>
      </c>
      <c r="BY58" s="1521">
        <f t="shared" si="115"/>
        <v>0</v>
      </c>
      <c r="BZ58" s="1521">
        <f t="shared" si="115"/>
        <v>0</v>
      </c>
      <c r="CA58" s="1521">
        <f t="shared" si="115"/>
        <v>0</v>
      </c>
      <c r="CB58" s="1521">
        <f t="shared" si="115"/>
        <v>0</v>
      </c>
      <c r="CC58" s="1521">
        <f t="shared" si="115"/>
        <v>0</v>
      </c>
      <c r="CD58" s="1521">
        <f t="shared" si="115"/>
        <v>0</v>
      </c>
      <c r="CE58" s="1521">
        <f t="shared" si="115"/>
        <v>0</v>
      </c>
      <c r="CF58" s="1521">
        <f t="shared" si="115"/>
        <v>0</v>
      </c>
      <c r="CG58" s="1521">
        <f t="shared" si="115"/>
        <v>0</v>
      </c>
      <c r="CH58" s="1521">
        <f t="shared" si="115"/>
        <v>0</v>
      </c>
      <c r="CI58" s="1521">
        <f t="shared" si="115"/>
        <v>0</v>
      </c>
      <c r="CJ58" s="1521">
        <f t="shared" si="115"/>
        <v>0</v>
      </c>
      <c r="CK58" s="1521">
        <f t="shared" si="115"/>
        <v>0</v>
      </c>
      <c r="CL58" s="1521">
        <f t="shared" si="115"/>
        <v>0</v>
      </c>
      <c r="CM58" s="1521">
        <f t="shared" si="115"/>
        <v>0</v>
      </c>
      <c r="CN58" s="1521">
        <f t="shared" si="115"/>
        <v>0</v>
      </c>
      <c r="CO58" s="1521">
        <f t="shared" si="115"/>
        <v>0</v>
      </c>
      <c r="CP58" s="1521">
        <f t="shared" si="115"/>
        <v>0</v>
      </c>
      <c r="CQ58" s="1521">
        <f t="shared" si="115"/>
        <v>0</v>
      </c>
      <c r="CR58" s="1521">
        <f t="shared" si="115"/>
        <v>0</v>
      </c>
      <c r="CS58" s="1521">
        <f t="shared" si="115"/>
        <v>0</v>
      </c>
      <c r="CT58" s="1521">
        <f t="shared" si="115"/>
        <v>0</v>
      </c>
      <c r="CU58" s="1521">
        <f t="shared" si="115"/>
        <v>0</v>
      </c>
      <c r="CV58" s="1521">
        <f t="shared" si="115"/>
        <v>0</v>
      </c>
      <c r="CW58" s="1521">
        <f t="shared" si="115"/>
        <v>0</v>
      </c>
      <c r="CX58" s="1521">
        <f t="shared" si="115"/>
        <v>0</v>
      </c>
      <c r="CY58" s="1521">
        <f t="shared" si="115"/>
        <v>0</v>
      </c>
      <c r="CZ58" s="1521">
        <f t="shared" si="115"/>
        <v>0</v>
      </c>
      <c r="DA58" s="1521">
        <f t="shared" si="115"/>
        <v>0</v>
      </c>
      <c r="DB58" s="1521">
        <f t="shared" si="115"/>
        <v>0</v>
      </c>
      <c r="DC58" s="1521">
        <f t="shared" si="115"/>
        <v>0</v>
      </c>
      <c r="DD58" s="1521">
        <f t="shared" si="115"/>
        <v>0</v>
      </c>
      <c r="DE58" s="1521">
        <f t="shared" si="115"/>
        <v>0</v>
      </c>
      <c r="DF58" s="1521">
        <f t="shared" si="115"/>
        <v>0</v>
      </c>
      <c r="DG58" s="1521">
        <f t="shared" si="115"/>
        <v>0</v>
      </c>
      <c r="DH58" s="1521">
        <f t="shared" si="115"/>
        <v>0</v>
      </c>
      <c r="DI58" s="1521">
        <f t="shared" si="115"/>
        <v>0</v>
      </c>
      <c r="DJ58" s="1521">
        <f t="shared" si="115"/>
        <v>0</v>
      </c>
      <c r="DK58" s="1521">
        <f t="shared" si="115"/>
        <v>0</v>
      </c>
      <c r="DL58" s="1521">
        <f t="shared" si="115"/>
        <v>0</v>
      </c>
      <c r="DM58" s="1521">
        <f t="shared" si="115"/>
        <v>0</v>
      </c>
      <c r="DN58" s="1521">
        <f t="shared" si="115"/>
        <v>0</v>
      </c>
      <c r="DO58" s="1521">
        <f t="shared" si="115"/>
        <v>0</v>
      </c>
      <c r="DP58" s="1521">
        <f t="shared" si="115"/>
        <v>0</v>
      </c>
      <c r="DQ58" s="1521">
        <f t="shared" si="115"/>
        <v>0</v>
      </c>
      <c r="DR58" s="1521">
        <f t="shared" si="115"/>
        <v>0</v>
      </c>
      <c r="DS58" s="1521">
        <f t="shared" si="115"/>
        <v>0</v>
      </c>
      <c r="DT58" s="1521">
        <f t="shared" si="115"/>
        <v>0</v>
      </c>
      <c r="DU58" s="1521">
        <f t="shared" si="115"/>
        <v>0</v>
      </c>
      <c r="DV58" s="1521">
        <f t="shared" si="115"/>
        <v>0</v>
      </c>
      <c r="DW58" s="1521">
        <f t="shared" si="115"/>
        <v>0</v>
      </c>
      <c r="DX58" s="1521">
        <f t="shared" si="115"/>
        <v>0</v>
      </c>
      <c r="DY58" s="1521">
        <f t="shared" si="115"/>
        <v>0</v>
      </c>
      <c r="DZ58" s="1521">
        <f t="shared" si="115"/>
        <v>0</v>
      </c>
      <c r="EA58" s="1521">
        <f t="shared" si="115"/>
        <v>0</v>
      </c>
      <c r="EB58" s="1521">
        <f t="shared" si="115"/>
        <v>0</v>
      </c>
      <c r="EC58" s="1521">
        <f t="shared" si="115"/>
        <v>0</v>
      </c>
      <c r="ED58" s="1521">
        <f t="shared" ref="ED58:FL58" si="116">ED59+ED60</f>
        <v>0</v>
      </c>
      <c r="EE58" s="1521">
        <f t="shared" si="116"/>
        <v>0</v>
      </c>
      <c r="EF58" s="1521">
        <f t="shared" si="116"/>
        <v>0</v>
      </c>
      <c r="EG58" s="1521">
        <f t="shared" si="116"/>
        <v>0</v>
      </c>
      <c r="EH58" s="1521">
        <f t="shared" si="116"/>
        <v>0</v>
      </c>
      <c r="EI58" s="1521">
        <f t="shared" si="116"/>
        <v>0</v>
      </c>
      <c r="EJ58" s="1521">
        <f t="shared" si="116"/>
        <v>0</v>
      </c>
      <c r="EK58" s="1521">
        <f t="shared" si="116"/>
        <v>0</v>
      </c>
      <c r="EL58" s="1521">
        <f t="shared" si="116"/>
        <v>0</v>
      </c>
      <c r="EM58" s="1521">
        <f t="shared" si="116"/>
        <v>0</v>
      </c>
      <c r="EN58" s="1521">
        <f t="shared" si="116"/>
        <v>0</v>
      </c>
      <c r="EO58" s="1521">
        <f t="shared" si="116"/>
        <v>0</v>
      </c>
      <c r="EP58" s="1521">
        <f t="shared" si="116"/>
        <v>0</v>
      </c>
      <c r="EQ58" s="1521">
        <f t="shared" si="116"/>
        <v>0</v>
      </c>
      <c r="ER58" s="1521">
        <f t="shared" si="116"/>
        <v>0</v>
      </c>
      <c r="ES58" s="1521">
        <f t="shared" si="116"/>
        <v>0</v>
      </c>
      <c r="ET58" s="1521">
        <f t="shared" si="116"/>
        <v>0</v>
      </c>
      <c r="EU58" s="1521">
        <f t="shared" si="116"/>
        <v>0</v>
      </c>
      <c r="EV58" s="1521">
        <f t="shared" si="116"/>
        <v>0</v>
      </c>
      <c r="EW58" s="1521">
        <f t="shared" si="116"/>
        <v>0</v>
      </c>
      <c r="EX58" s="1521">
        <f t="shared" si="116"/>
        <v>0</v>
      </c>
      <c r="EY58" s="1521">
        <f t="shared" si="116"/>
        <v>0</v>
      </c>
      <c r="EZ58" s="1521">
        <f t="shared" si="116"/>
        <v>0</v>
      </c>
      <c r="FA58" s="1521">
        <f t="shared" si="116"/>
        <v>0</v>
      </c>
      <c r="FB58" s="1521">
        <f t="shared" si="116"/>
        <v>0</v>
      </c>
      <c r="FC58" s="1521">
        <f t="shared" si="116"/>
        <v>0</v>
      </c>
      <c r="FD58" s="1521">
        <f t="shared" si="116"/>
        <v>0</v>
      </c>
      <c r="FE58" s="1521">
        <f t="shared" si="116"/>
        <v>0</v>
      </c>
      <c r="FF58" s="1521">
        <f t="shared" si="116"/>
        <v>0</v>
      </c>
      <c r="FG58" s="1521">
        <f t="shared" si="116"/>
        <v>0</v>
      </c>
      <c r="FH58" s="1521">
        <f t="shared" si="116"/>
        <v>0</v>
      </c>
      <c r="FI58" s="1521">
        <f t="shared" si="116"/>
        <v>0</v>
      </c>
      <c r="FJ58" s="1521">
        <f t="shared" si="116"/>
        <v>0</v>
      </c>
      <c r="FK58" s="1521">
        <f t="shared" si="116"/>
        <v>0</v>
      </c>
      <c r="FL58" s="1521">
        <f t="shared" si="116"/>
        <v>0</v>
      </c>
      <c r="FM58" s="1553"/>
    </row>
    <row r="59" spans="1:169">
      <c r="B59" s="1522" t="s">
        <v>245</v>
      </c>
      <c r="C59" s="1523">
        <v>0.1</v>
      </c>
      <c r="D59" s="1524">
        <f>SUM(E59:FL59)</f>
        <v>0</v>
      </c>
      <c r="E59" s="1525">
        <f>E52*$C$59/4</f>
        <v>0</v>
      </c>
      <c r="F59" s="1525">
        <f t="shared" ref="F59:BQ59" si="117">F52*$C$59/4</f>
        <v>0</v>
      </c>
      <c r="G59" s="1525">
        <f t="shared" si="117"/>
        <v>0</v>
      </c>
      <c r="H59" s="1525">
        <f t="shared" si="117"/>
        <v>0</v>
      </c>
      <c r="I59" s="1525">
        <f t="shared" si="117"/>
        <v>0</v>
      </c>
      <c r="J59" s="1525">
        <f t="shared" si="117"/>
        <v>0</v>
      </c>
      <c r="K59" s="1525">
        <f t="shared" si="117"/>
        <v>0</v>
      </c>
      <c r="L59" s="1525">
        <f t="shared" si="117"/>
        <v>0</v>
      </c>
      <c r="M59" s="1525">
        <f t="shared" si="117"/>
        <v>0</v>
      </c>
      <c r="N59" s="1525">
        <f t="shared" si="117"/>
        <v>0</v>
      </c>
      <c r="O59" s="1525">
        <f t="shared" si="117"/>
        <v>0</v>
      </c>
      <c r="P59" s="1525">
        <f t="shared" si="117"/>
        <v>0</v>
      </c>
      <c r="Q59" s="1525">
        <f t="shared" si="117"/>
        <v>0</v>
      </c>
      <c r="R59" s="1525">
        <f t="shared" si="117"/>
        <v>0</v>
      </c>
      <c r="S59" s="1525">
        <f t="shared" si="117"/>
        <v>0</v>
      </c>
      <c r="T59" s="1525">
        <f t="shared" si="117"/>
        <v>0</v>
      </c>
      <c r="U59" s="1525">
        <f t="shared" si="117"/>
        <v>0</v>
      </c>
      <c r="V59" s="1525">
        <f t="shared" si="117"/>
        <v>0</v>
      </c>
      <c r="W59" s="1525">
        <f t="shared" si="117"/>
        <v>0</v>
      </c>
      <c r="X59" s="1525">
        <f t="shared" si="117"/>
        <v>0</v>
      </c>
      <c r="Y59" s="1525">
        <f t="shared" si="117"/>
        <v>0</v>
      </c>
      <c r="Z59" s="1525">
        <f t="shared" si="117"/>
        <v>0</v>
      </c>
      <c r="AA59" s="1525">
        <f t="shared" si="117"/>
        <v>0</v>
      </c>
      <c r="AB59" s="1525">
        <f t="shared" si="117"/>
        <v>0</v>
      </c>
      <c r="AC59" s="1525">
        <f t="shared" si="117"/>
        <v>0</v>
      </c>
      <c r="AD59" s="1525">
        <f t="shared" si="117"/>
        <v>0</v>
      </c>
      <c r="AE59" s="1525">
        <f t="shared" si="117"/>
        <v>0</v>
      </c>
      <c r="AF59" s="1525">
        <f t="shared" si="117"/>
        <v>0</v>
      </c>
      <c r="AG59" s="1525">
        <f t="shared" si="117"/>
        <v>0</v>
      </c>
      <c r="AH59" s="1525">
        <f t="shared" si="117"/>
        <v>0</v>
      </c>
      <c r="AI59" s="1525">
        <f t="shared" si="117"/>
        <v>0</v>
      </c>
      <c r="AJ59" s="1525">
        <f t="shared" si="117"/>
        <v>0</v>
      </c>
      <c r="AK59" s="1525">
        <f t="shared" si="117"/>
        <v>0</v>
      </c>
      <c r="AL59" s="1525">
        <f t="shared" si="117"/>
        <v>0</v>
      </c>
      <c r="AM59" s="1525">
        <f t="shared" si="117"/>
        <v>0</v>
      </c>
      <c r="AN59" s="1525">
        <f t="shared" si="117"/>
        <v>0</v>
      </c>
      <c r="AO59" s="1525">
        <f t="shared" si="117"/>
        <v>0</v>
      </c>
      <c r="AP59" s="1525">
        <f t="shared" si="117"/>
        <v>0</v>
      </c>
      <c r="AQ59" s="1525">
        <f t="shared" si="117"/>
        <v>0</v>
      </c>
      <c r="AR59" s="1525">
        <f t="shared" si="117"/>
        <v>0</v>
      </c>
      <c r="AS59" s="1525">
        <f t="shared" si="117"/>
        <v>0</v>
      </c>
      <c r="AT59" s="1525">
        <f t="shared" si="117"/>
        <v>0</v>
      </c>
      <c r="AU59" s="1525">
        <f t="shared" si="117"/>
        <v>0</v>
      </c>
      <c r="AV59" s="1525">
        <f t="shared" si="117"/>
        <v>0</v>
      </c>
      <c r="AW59" s="1525">
        <f t="shared" si="117"/>
        <v>0</v>
      </c>
      <c r="AX59" s="1525">
        <f t="shared" si="117"/>
        <v>0</v>
      </c>
      <c r="AY59" s="1525">
        <f t="shared" si="117"/>
        <v>0</v>
      </c>
      <c r="AZ59" s="1525">
        <f t="shared" si="117"/>
        <v>0</v>
      </c>
      <c r="BA59" s="1525">
        <f t="shared" si="117"/>
        <v>0</v>
      </c>
      <c r="BB59" s="1525">
        <f t="shared" si="117"/>
        <v>0</v>
      </c>
      <c r="BC59" s="1525">
        <f t="shared" si="117"/>
        <v>0</v>
      </c>
      <c r="BD59" s="1525">
        <f t="shared" si="117"/>
        <v>0</v>
      </c>
      <c r="BE59" s="1525">
        <f t="shared" si="117"/>
        <v>0</v>
      </c>
      <c r="BF59" s="1525">
        <f t="shared" si="117"/>
        <v>0</v>
      </c>
      <c r="BG59" s="1525">
        <f t="shared" si="117"/>
        <v>0</v>
      </c>
      <c r="BH59" s="1525">
        <f t="shared" si="117"/>
        <v>0</v>
      </c>
      <c r="BI59" s="1525">
        <f t="shared" si="117"/>
        <v>0</v>
      </c>
      <c r="BJ59" s="1525">
        <f t="shared" si="117"/>
        <v>0</v>
      </c>
      <c r="BK59" s="1525">
        <f t="shared" si="117"/>
        <v>0</v>
      </c>
      <c r="BL59" s="1525">
        <f t="shared" si="117"/>
        <v>0</v>
      </c>
      <c r="BM59" s="1525">
        <f t="shared" si="117"/>
        <v>0</v>
      </c>
      <c r="BN59" s="1525">
        <f t="shared" si="117"/>
        <v>0</v>
      </c>
      <c r="BO59" s="1525">
        <f t="shared" si="117"/>
        <v>0</v>
      </c>
      <c r="BP59" s="1525">
        <f t="shared" si="117"/>
        <v>0</v>
      </c>
      <c r="BQ59" s="1525">
        <f t="shared" si="117"/>
        <v>0</v>
      </c>
      <c r="BR59" s="1525">
        <f t="shared" ref="BR59:EC59" si="118">BR52*$C$59/4</f>
        <v>0</v>
      </c>
      <c r="BS59" s="1525">
        <f t="shared" si="118"/>
        <v>0</v>
      </c>
      <c r="BT59" s="1525">
        <f t="shared" si="118"/>
        <v>0</v>
      </c>
      <c r="BU59" s="1525">
        <f t="shared" si="118"/>
        <v>0</v>
      </c>
      <c r="BV59" s="1525">
        <f t="shared" si="118"/>
        <v>0</v>
      </c>
      <c r="BW59" s="1525">
        <f t="shared" si="118"/>
        <v>0</v>
      </c>
      <c r="BX59" s="1525">
        <f t="shared" si="118"/>
        <v>0</v>
      </c>
      <c r="BY59" s="1525">
        <f t="shared" si="118"/>
        <v>0</v>
      </c>
      <c r="BZ59" s="1525">
        <f t="shared" si="118"/>
        <v>0</v>
      </c>
      <c r="CA59" s="1525">
        <f t="shared" si="118"/>
        <v>0</v>
      </c>
      <c r="CB59" s="1525">
        <f t="shared" si="118"/>
        <v>0</v>
      </c>
      <c r="CC59" s="1525">
        <f t="shared" si="118"/>
        <v>0</v>
      </c>
      <c r="CD59" s="1525">
        <f t="shared" si="118"/>
        <v>0</v>
      </c>
      <c r="CE59" s="1525">
        <f t="shared" si="118"/>
        <v>0</v>
      </c>
      <c r="CF59" s="1525">
        <f t="shared" si="118"/>
        <v>0</v>
      </c>
      <c r="CG59" s="1525">
        <f t="shared" si="118"/>
        <v>0</v>
      </c>
      <c r="CH59" s="1525">
        <f t="shared" si="118"/>
        <v>0</v>
      </c>
      <c r="CI59" s="1525">
        <f t="shared" si="118"/>
        <v>0</v>
      </c>
      <c r="CJ59" s="1525">
        <f t="shared" si="118"/>
        <v>0</v>
      </c>
      <c r="CK59" s="1525">
        <f t="shared" si="118"/>
        <v>0</v>
      </c>
      <c r="CL59" s="1525">
        <f t="shared" si="118"/>
        <v>0</v>
      </c>
      <c r="CM59" s="1525">
        <f t="shared" si="118"/>
        <v>0</v>
      </c>
      <c r="CN59" s="1525">
        <f t="shared" si="118"/>
        <v>0</v>
      </c>
      <c r="CO59" s="1525">
        <f t="shared" si="118"/>
        <v>0</v>
      </c>
      <c r="CP59" s="1525">
        <f t="shared" si="118"/>
        <v>0</v>
      </c>
      <c r="CQ59" s="1525">
        <f t="shared" si="118"/>
        <v>0</v>
      </c>
      <c r="CR59" s="1525">
        <f t="shared" si="118"/>
        <v>0</v>
      </c>
      <c r="CS59" s="1525">
        <f t="shared" si="118"/>
        <v>0</v>
      </c>
      <c r="CT59" s="1525">
        <f t="shared" si="118"/>
        <v>0</v>
      </c>
      <c r="CU59" s="1525">
        <f t="shared" si="118"/>
        <v>0</v>
      </c>
      <c r="CV59" s="1525">
        <f t="shared" si="118"/>
        <v>0</v>
      </c>
      <c r="CW59" s="1525">
        <f t="shared" si="118"/>
        <v>0</v>
      </c>
      <c r="CX59" s="1525">
        <f t="shared" si="118"/>
        <v>0</v>
      </c>
      <c r="CY59" s="1525">
        <f t="shared" si="118"/>
        <v>0</v>
      </c>
      <c r="CZ59" s="1525">
        <f t="shared" si="118"/>
        <v>0</v>
      </c>
      <c r="DA59" s="1525">
        <f t="shared" si="118"/>
        <v>0</v>
      </c>
      <c r="DB59" s="1525">
        <f t="shared" si="118"/>
        <v>0</v>
      </c>
      <c r="DC59" s="1525">
        <f t="shared" si="118"/>
        <v>0</v>
      </c>
      <c r="DD59" s="1525">
        <f t="shared" si="118"/>
        <v>0</v>
      </c>
      <c r="DE59" s="1525">
        <f t="shared" si="118"/>
        <v>0</v>
      </c>
      <c r="DF59" s="1525">
        <f t="shared" si="118"/>
        <v>0</v>
      </c>
      <c r="DG59" s="1525">
        <f t="shared" si="118"/>
        <v>0</v>
      </c>
      <c r="DH59" s="1525">
        <f t="shared" si="118"/>
        <v>0</v>
      </c>
      <c r="DI59" s="1525">
        <f t="shared" si="118"/>
        <v>0</v>
      </c>
      <c r="DJ59" s="1525">
        <f t="shared" si="118"/>
        <v>0</v>
      </c>
      <c r="DK59" s="1525">
        <f t="shared" si="118"/>
        <v>0</v>
      </c>
      <c r="DL59" s="1525">
        <f t="shared" si="118"/>
        <v>0</v>
      </c>
      <c r="DM59" s="1525">
        <f t="shared" si="118"/>
        <v>0</v>
      </c>
      <c r="DN59" s="1525">
        <f t="shared" si="118"/>
        <v>0</v>
      </c>
      <c r="DO59" s="1525">
        <f t="shared" si="118"/>
        <v>0</v>
      </c>
      <c r="DP59" s="1525">
        <f t="shared" si="118"/>
        <v>0</v>
      </c>
      <c r="DQ59" s="1525">
        <f t="shared" si="118"/>
        <v>0</v>
      </c>
      <c r="DR59" s="1525">
        <f t="shared" si="118"/>
        <v>0</v>
      </c>
      <c r="DS59" s="1525">
        <f t="shared" si="118"/>
        <v>0</v>
      </c>
      <c r="DT59" s="1525">
        <f t="shared" si="118"/>
        <v>0</v>
      </c>
      <c r="DU59" s="1525">
        <f t="shared" si="118"/>
        <v>0</v>
      </c>
      <c r="DV59" s="1525">
        <f t="shared" si="118"/>
        <v>0</v>
      </c>
      <c r="DW59" s="1525">
        <f t="shared" si="118"/>
        <v>0</v>
      </c>
      <c r="DX59" s="1525">
        <f t="shared" si="118"/>
        <v>0</v>
      </c>
      <c r="DY59" s="1525">
        <f t="shared" si="118"/>
        <v>0</v>
      </c>
      <c r="DZ59" s="1525">
        <f t="shared" si="118"/>
        <v>0</v>
      </c>
      <c r="EA59" s="1525">
        <f t="shared" si="118"/>
        <v>0</v>
      </c>
      <c r="EB59" s="1525">
        <f t="shared" si="118"/>
        <v>0</v>
      </c>
      <c r="EC59" s="1525">
        <f t="shared" si="118"/>
        <v>0</v>
      </c>
      <c r="ED59" s="1525">
        <f t="shared" ref="ED59:FH59" si="119">ED52*$C$59/4</f>
        <v>0</v>
      </c>
      <c r="EE59" s="1525">
        <f t="shared" si="119"/>
        <v>0</v>
      </c>
      <c r="EF59" s="1525">
        <f t="shared" si="119"/>
        <v>0</v>
      </c>
      <c r="EG59" s="1525">
        <f t="shared" si="119"/>
        <v>0</v>
      </c>
      <c r="EH59" s="1525">
        <f t="shared" si="119"/>
        <v>0</v>
      </c>
      <c r="EI59" s="1525">
        <f t="shared" si="119"/>
        <v>0</v>
      </c>
      <c r="EJ59" s="1525">
        <f t="shared" si="119"/>
        <v>0</v>
      </c>
      <c r="EK59" s="1525">
        <f t="shared" si="119"/>
        <v>0</v>
      </c>
      <c r="EL59" s="1525">
        <f t="shared" si="119"/>
        <v>0</v>
      </c>
      <c r="EM59" s="1525">
        <f t="shared" si="119"/>
        <v>0</v>
      </c>
      <c r="EN59" s="1525">
        <f t="shared" si="119"/>
        <v>0</v>
      </c>
      <c r="EO59" s="1525">
        <f t="shared" si="119"/>
        <v>0</v>
      </c>
      <c r="EP59" s="1525">
        <f t="shared" si="119"/>
        <v>0</v>
      </c>
      <c r="EQ59" s="1525">
        <f t="shared" si="119"/>
        <v>0</v>
      </c>
      <c r="ER59" s="1525">
        <f t="shared" si="119"/>
        <v>0</v>
      </c>
      <c r="ES59" s="1525">
        <f t="shared" si="119"/>
        <v>0</v>
      </c>
      <c r="ET59" s="1525">
        <f t="shared" si="119"/>
        <v>0</v>
      </c>
      <c r="EU59" s="1525">
        <f t="shared" si="119"/>
        <v>0</v>
      </c>
      <c r="EV59" s="1525">
        <f t="shared" si="119"/>
        <v>0</v>
      </c>
      <c r="EW59" s="1525">
        <f t="shared" si="119"/>
        <v>0</v>
      </c>
      <c r="EX59" s="1525">
        <f t="shared" si="119"/>
        <v>0</v>
      </c>
      <c r="EY59" s="1525">
        <f t="shared" si="119"/>
        <v>0</v>
      </c>
      <c r="EZ59" s="1525">
        <f t="shared" si="119"/>
        <v>0</v>
      </c>
      <c r="FA59" s="1525">
        <f t="shared" si="119"/>
        <v>0</v>
      </c>
      <c r="FB59" s="1525">
        <f t="shared" si="119"/>
        <v>0</v>
      </c>
      <c r="FC59" s="1525">
        <f t="shared" si="119"/>
        <v>0</v>
      </c>
      <c r="FD59" s="1525">
        <f t="shared" si="119"/>
        <v>0</v>
      </c>
      <c r="FE59" s="1525">
        <f t="shared" si="119"/>
        <v>0</v>
      </c>
      <c r="FF59" s="1525">
        <f t="shared" si="119"/>
        <v>0</v>
      </c>
      <c r="FG59" s="1525">
        <f t="shared" si="119"/>
        <v>0</v>
      </c>
      <c r="FH59" s="1525">
        <f t="shared" si="119"/>
        <v>0</v>
      </c>
      <c r="FI59" s="1525">
        <f t="shared" ref="FI59:FL59" si="120">FI53*$C$59/4</f>
        <v>0</v>
      </c>
      <c r="FJ59" s="1525">
        <f t="shared" si="120"/>
        <v>0</v>
      </c>
      <c r="FK59" s="1525">
        <f t="shared" si="120"/>
        <v>0</v>
      </c>
      <c r="FL59" s="1525">
        <f t="shared" si="120"/>
        <v>0</v>
      </c>
      <c r="FM59" s="1553"/>
    </row>
    <row r="60" spans="1:169">
      <c r="B60" s="1514" t="s">
        <v>246</v>
      </c>
      <c r="C60" s="1526">
        <v>0.06</v>
      </c>
      <c r="D60" s="1527">
        <f>SUM(E60:FL60)</f>
        <v>0</v>
      </c>
      <c r="E60" s="1521">
        <f>E55*$C$60/4</f>
        <v>0</v>
      </c>
      <c r="F60" s="1521">
        <f t="shared" ref="F60:BQ60" si="121">F55*$C$60/4</f>
        <v>0</v>
      </c>
      <c r="G60" s="1521">
        <f t="shared" si="121"/>
        <v>0</v>
      </c>
      <c r="H60" s="1521">
        <f t="shared" si="121"/>
        <v>0</v>
      </c>
      <c r="I60" s="1521">
        <f t="shared" si="121"/>
        <v>0</v>
      </c>
      <c r="J60" s="1521">
        <f t="shared" si="121"/>
        <v>0</v>
      </c>
      <c r="K60" s="1521">
        <f t="shared" si="121"/>
        <v>0</v>
      </c>
      <c r="L60" s="1521">
        <f t="shared" si="121"/>
        <v>0</v>
      </c>
      <c r="M60" s="1521">
        <f t="shared" si="121"/>
        <v>0</v>
      </c>
      <c r="N60" s="1521">
        <f t="shared" si="121"/>
        <v>0</v>
      </c>
      <c r="O60" s="1521">
        <f t="shared" si="121"/>
        <v>0</v>
      </c>
      <c r="P60" s="1521">
        <f t="shared" si="121"/>
        <v>0</v>
      </c>
      <c r="Q60" s="1521">
        <f t="shared" si="121"/>
        <v>0</v>
      </c>
      <c r="R60" s="1521">
        <f t="shared" si="121"/>
        <v>0</v>
      </c>
      <c r="S60" s="1521">
        <f t="shared" si="121"/>
        <v>0</v>
      </c>
      <c r="T60" s="1521">
        <f t="shared" si="121"/>
        <v>0</v>
      </c>
      <c r="U60" s="1521">
        <f t="shared" si="121"/>
        <v>0</v>
      </c>
      <c r="V60" s="1521">
        <f t="shared" si="121"/>
        <v>0</v>
      </c>
      <c r="W60" s="1521">
        <f t="shared" si="121"/>
        <v>0</v>
      </c>
      <c r="X60" s="1521">
        <f t="shared" si="121"/>
        <v>0</v>
      </c>
      <c r="Y60" s="1521">
        <f t="shared" si="121"/>
        <v>0</v>
      </c>
      <c r="Z60" s="1521">
        <f t="shared" si="121"/>
        <v>0</v>
      </c>
      <c r="AA60" s="1521">
        <f t="shared" si="121"/>
        <v>0</v>
      </c>
      <c r="AB60" s="1521">
        <f t="shared" si="121"/>
        <v>0</v>
      </c>
      <c r="AC60" s="1521">
        <f t="shared" si="121"/>
        <v>0</v>
      </c>
      <c r="AD60" s="1521">
        <f t="shared" si="121"/>
        <v>0</v>
      </c>
      <c r="AE60" s="1521">
        <f t="shared" si="121"/>
        <v>0</v>
      </c>
      <c r="AF60" s="1521">
        <f t="shared" si="121"/>
        <v>0</v>
      </c>
      <c r="AG60" s="1521">
        <f t="shared" si="121"/>
        <v>0</v>
      </c>
      <c r="AH60" s="1521">
        <f t="shared" si="121"/>
        <v>0</v>
      </c>
      <c r="AI60" s="1521">
        <f t="shared" si="121"/>
        <v>0</v>
      </c>
      <c r="AJ60" s="1521">
        <f t="shared" si="121"/>
        <v>0</v>
      </c>
      <c r="AK60" s="1521">
        <f t="shared" si="121"/>
        <v>0</v>
      </c>
      <c r="AL60" s="1521">
        <f t="shared" si="121"/>
        <v>0</v>
      </c>
      <c r="AM60" s="1521">
        <f t="shared" si="121"/>
        <v>0</v>
      </c>
      <c r="AN60" s="1521">
        <f t="shared" si="121"/>
        <v>0</v>
      </c>
      <c r="AO60" s="1521">
        <f t="shared" si="121"/>
        <v>0</v>
      </c>
      <c r="AP60" s="1521">
        <f t="shared" si="121"/>
        <v>0</v>
      </c>
      <c r="AQ60" s="1521">
        <f t="shared" si="121"/>
        <v>0</v>
      </c>
      <c r="AR60" s="1521">
        <f t="shared" si="121"/>
        <v>0</v>
      </c>
      <c r="AS60" s="1521">
        <f t="shared" si="121"/>
        <v>0</v>
      </c>
      <c r="AT60" s="1521">
        <f t="shared" si="121"/>
        <v>0</v>
      </c>
      <c r="AU60" s="1521">
        <f t="shared" si="121"/>
        <v>0</v>
      </c>
      <c r="AV60" s="1521">
        <f t="shared" si="121"/>
        <v>0</v>
      </c>
      <c r="AW60" s="1521">
        <f t="shared" si="121"/>
        <v>0</v>
      </c>
      <c r="AX60" s="1521">
        <f t="shared" si="121"/>
        <v>0</v>
      </c>
      <c r="AY60" s="1521">
        <f t="shared" si="121"/>
        <v>0</v>
      </c>
      <c r="AZ60" s="1521">
        <f t="shared" si="121"/>
        <v>0</v>
      </c>
      <c r="BA60" s="1521">
        <f t="shared" si="121"/>
        <v>0</v>
      </c>
      <c r="BB60" s="1521">
        <f t="shared" si="121"/>
        <v>0</v>
      </c>
      <c r="BC60" s="1521">
        <f t="shared" si="121"/>
        <v>0</v>
      </c>
      <c r="BD60" s="1521">
        <f t="shared" si="121"/>
        <v>0</v>
      </c>
      <c r="BE60" s="1521">
        <f t="shared" si="121"/>
        <v>0</v>
      </c>
      <c r="BF60" s="1521">
        <f t="shared" si="121"/>
        <v>0</v>
      </c>
      <c r="BG60" s="1521">
        <f t="shared" si="121"/>
        <v>0</v>
      </c>
      <c r="BH60" s="1521">
        <f t="shared" si="121"/>
        <v>0</v>
      </c>
      <c r="BI60" s="1521">
        <f t="shared" si="121"/>
        <v>0</v>
      </c>
      <c r="BJ60" s="1521">
        <f t="shared" si="121"/>
        <v>0</v>
      </c>
      <c r="BK60" s="1521">
        <f t="shared" si="121"/>
        <v>0</v>
      </c>
      <c r="BL60" s="1521">
        <f t="shared" si="121"/>
        <v>0</v>
      </c>
      <c r="BM60" s="1521">
        <f t="shared" si="121"/>
        <v>0</v>
      </c>
      <c r="BN60" s="1521">
        <f t="shared" si="121"/>
        <v>0</v>
      </c>
      <c r="BO60" s="1521">
        <f t="shared" si="121"/>
        <v>0</v>
      </c>
      <c r="BP60" s="1521">
        <f t="shared" si="121"/>
        <v>0</v>
      </c>
      <c r="BQ60" s="1521">
        <f t="shared" si="121"/>
        <v>0</v>
      </c>
      <c r="BR60" s="1521">
        <f t="shared" ref="BR60:EC60" si="122">BR55*$C$60/4</f>
        <v>0</v>
      </c>
      <c r="BS60" s="1521">
        <f t="shared" si="122"/>
        <v>0</v>
      </c>
      <c r="BT60" s="1521">
        <f t="shared" si="122"/>
        <v>0</v>
      </c>
      <c r="BU60" s="1521">
        <f t="shared" si="122"/>
        <v>0</v>
      </c>
      <c r="BV60" s="1521">
        <f t="shared" si="122"/>
        <v>0</v>
      </c>
      <c r="BW60" s="1521">
        <f t="shared" si="122"/>
        <v>0</v>
      </c>
      <c r="BX60" s="1521">
        <f t="shared" si="122"/>
        <v>0</v>
      </c>
      <c r="BY60" s="1521">
        <f t="shared" si="122"/>
        <v>0</v>
      </c>
      <c r="BZ60" s="1521">
        <f t="shared" si="122"/>
        <v>0</v>
      </c>
      <c r="CA60" s="1521">
        <f t="shared" si="122"/>
        <v>0</v>
      </c>
      <c r="CB60" s="1521">
        <f t="shared" si="122"/>
        <v>0</v>
      </c>
      <c r="CC60" s="1521">
        <f t="shared" si="122"/>
        <v>0</v>
      </c>
      <c r="CD60" s="1521">
        <f t="shared" si="122"/>
        <v>0</v>
      </c>
      <c r="CE60" s="1521">
        <f t="shared" si="122"/>
        <v>0</v>
      </c>
      <c r="CF60" s="1521">
        <f t="shared" si="122"/>
        <v>0</v>
      </c>
      <c r="CG60" s="1521">
        <f t="shared" si="122"/>
        <v>0</v>
      </c>
      <c r="CH60" s="1521">
        <f t="shared" si="122"/>
        <v>0</v>
      </c>
      <c r="CI60" s="1521">
        <f t="shared" si="122"/>
        <v>0</v>
      </c>
      <c r="CJ60" s="1521">
        <f t="shared" si="122"/>
        <v>0</v>
      </c>
      <c r="CK60" s="1521">
        <f t="shared" si="122"/>
        <v>0</v>
      </c>
      <c r="CL60" s="1521">
        <f t="shared" si="122"/>
        <v>0</v>
      </c>
      <c r="CM60" s="1521">
        <f t="shared" si="122"/>
        <v>0</v>
      </c>
      <c r="CN60" s="1521">
        <f t="shared" si="122"/>
        <v>0</v>
      </c>
      <c r="CO60" s="1521">
        <f t="shared" si="122"/>
        <v>0</v>
      </c>
      <c r="CP60" s="1521">
        <f t="shared" si="122"/>
        <v>0</v>
      </c>
      <c r="CQ60" s="1521">
        <f t="shared" si="122"/>
        <v>0</v>
      </c>
      <c r="CR60" s="1521">
        <f t="shared" si="122"/>
        <v>0</v>
      </c>
      <c r="CS60" s="1521">
        <f t="shared" si="122"/>
        <v>0</v>
      </c>
      <c r="CT60" s="1521">
        <f t="shared" si="122"/>
        <v>0</v>
      </c>
      <c r="CU60" s="1521">
        <f t="shared" si="122"/>
        <v>0</v>
      </c>
      <c r="CV60" s="1521">
        <f t="shared" si="122"/>
        <v>0</v>
      </c>
      <c r="CW60" s="1521">
        <f t="shared" si="122"/>
        <v>0</v>
      </c>
      <c r="CX60" s="1521">
        <f t="shared" si="122"/>
        <v>0</v>
      </c>
      <c r="CY60" s="1521">
        <f t="shared" si="122"/>
        <v>0</v>
      </c>
      <c r="CZ60" s="1521">
        <f t="shared" si="122"/>
        <v>0</v>
      </c>
      <c r="DA60" s="1521">
        <f t="shared" si="122"/>
        <v>0</v>
      </c>
      <c r="DB60" s="1521">
        <f t="shared" si="122"/>
        <v>0</v>
      </c>
      <c r="DC60" s="1521">
        <f t="shared" si="122"/>
        <v>0</v>
      </c>
      <c r="DD60" s="1521">
        <f t="shared" si="122"/>
        <v>0</v>
      </c>
      <c r="DE60" s="1521">
        <f t="shared" si="122"/>
        <v>0</v>
      </c>
      <c r="DF60" s="1521">
        <f t="shared" si="122"/>
        <v>0</v>
      </c>
      <c r="DG60" s="1521">
        <f t="shared" si="122"/>
        <v>0</v>
      </c>
      <c r="DH60" s="1521">
        <f t="shared" si="122"/>
        <v>0</v>
      </c>
      <c r="DI60" s="1521">
        <f t="shared" si="122"/>
        <v>0</v>
      </c>
      <c r="DJ60" s="1521">
        <f t="shared" si="122"/>
        <v>0</v>
      </c>
      <c r="DK60" s="1521">
        <f t="shared" si="122"/>
        <v>0</v>
      </c>
      <c r="DL60" s="1521">
        <f t="shared" si="122"/>
        <v>0</v>
      </c>
      <c r="DM60" s="1521">
        <f t="shared" si="122"/>
        <v>0</v>
      </c>
      <c r="DN60" s="1521">
        <f t="shared" si="122"/>
        <v>0</v>
      </c>
      <c r="DO60" s="1521">
        <f t="shared" si="122"/>
        <v>0</v>
      </c>
      <c r="DP60" s="1521">
        <f t="shared" si="122"/>
        <v>0</v>
      </c>
      <c r="DQ60" s="1521">
        <f t="shared" si="122"/>
        <v>0</v>
      </c>
      <c r="DR60" s="1521">
        <f t="shared" si="122"/>
        <v>0</v>
      </c>
      <c r="DS60" s="1521">
        <f t="shared" si="122"/>
        <v>0</v>
      </c>
      <c r="DT60" s="1521">
        <f t="shared" si="122"/>
        <v>0</v>
      </c>
      <c r="DU60" s="1521">
        <f t="shared" si="122"/>
        <v>0</v>
      </c>
      <c r="DV60" s="1521">
        <f t="shared" si="122"/>
        <v>0</v>
      </c>
      <c r="DW60" s="1521">
        <f t="shared" si="122"/>
        <v>0</v>
      </c>
      <c r="DX60" s="1521">
        <f t="shared" si="122"/>
        <v>0</v>
      </c>
      <c r="DY60" s="1521">
        <f t="shared" si="122"/>
        <v>0</v>
      </c>
      <c r="DZ60" s="1521">
        <f t="shared" si="122"/>
        <v>0</v>
      </c>
      <c r="EA60" s="1521">
        <f t="shared" si="122"/>
        <v>0</v>
      </c>
      <c r="EB60" s="1521">
        <f t="shared" si="122"/>
        <v>0</v>
      </c>
      <c r="EC60" s="1521">
        <f t="shared" si="122"/>
        <v>0</v>
      </c>
      <c r="ED60" s="1521">
        <f t="shared" ref="ED60:FH60" si="123">ED55*$C$60/4</f>
        <v>0</v>
      </c>
      <c r="EE60" s="1521">
        <f t="shared" si="123"/>
        <v>0</v>
      </c>
      <c r="EF60" s="1521">
        <f t="shared" si="123"/>
        <v>0</v>
      </c>
      <c r="EG60" s="1521">
        <f t="shared" si="123"/>
        <v>0</v>
      </c>
      <c r="EH60" s="1521">
        <f t="shared" si="123"/>
        <v>0</v>
      </c>
      <c r="EI60" s="1521">
        <f t="shared" si="123"/>
        <v>0</v>
      </c>
      <c r="EJ60" s="1521">
        <f t="shared" si="123"/>
        <v>0</v>
      </c>
      <c r="EK60" s="1521">
        <f t="shared" si="123"/>
        <v>0</v>
      </c>
      <c r="EL60" s="1521">
        <f t="shared" si="123"/>
        <v>0</v>
      </c>
      <c r="EM60" s="1521">
        <f t="shared" si="123"/>
        <v>0</v>
      </c>
      <c r="EN60" s="1521">
        <f t="shared" si="123"/>
        <v>0</v>
      </c>
      <c r="EO60" s="1521">
        <f t="shared" si="123"/>
        <v>0</v>
      </c>
      <c r="EP60" s="1521">
        <f t="shared" si="123"/>
        <v>0</v>
      </c>
      <c r="EQ60" s="1521">
        <f t="shared" si="123"/>
        <v>0</v>
      </c>
      <c r="ER60" s="1521">
        <f t="shared" si="123"/>
        <v>0</v>
      </c>
      <c r="ES60" s="1521">
        <f t="shared" si="123"/>
        <v>0</v>
      </c>
      <c r="ET60" s="1521">
        <f t="shared" si="123"/>
        <v>0</v>
      </c>
      <c r="EU60" s="1521">
        <f t="shared" si="123"/>
        <v>0</v>
      </c>
      <c r="EV60" s="1521">
        <f t="shared" si="123"/>
        <v>0</v>
      </c>
      <c r="EW60" s="1521">
        <f t="shared" si="123"/>
        <v>0</v>
      </c>
      <c r="EX60" s="1521">
        <f t="shared" si="123"/>
        <v>0</v>
      </c>
      <c r="EY60" s="1521">
        <f t="shared" si="123"/>
        <v>0</v>
      </c>
      <c r="EZ60" s="1521">
        <f t="shared" si="123"/>
        <v>0</v>
      </c>
      <c r="FA60" s="1521">
        <f t="shared" si="123"/>
        <v>0</v>
      </c>
      <c r="FB60" s="1521">
        <f t="shared" si="123"/>
        <v>0</v>
      </c>
      <c r="FC60" s="1521">
        <f t="shared" si="123"/>
        <v>0</v>
      </c>
      <c r="FD60" s="1521">
        <f t="shared" si="123"/>
        <v>0</v>
      </c>
      <c r="FE60" s="1521">
        <f t="shared" si="123"/>
        <v>0</v>
      </c>
      <c r="FF60" s="1521">
        <f t="shared" si="123"/>
        <v>0</v>
      </c>
      <c r="FG60" s="1521">
        <f t="shared" si="123"/>
        <v>0</v>
      </c>
      <c r="FH60" s="1521">
        <f t="shared" si="123"/>
        <v>0</v>
      </c>
      <c r="FI60" s="1528"/>
      <c r="FJ60" s="1528"/>
      <c r="FK60" s="1528"/>
      <c r="FL60" s="1528"/>
    </row>
    <row r="61" spans="1:169">
      <c r="B61" s="1511" t="s">
        <v>247</v>
      </c>
      <c r="C61" s="1528"/>
      <c r="D61" s="1521">
        <f ca="1">D51+D52+D55</f>
        <v>0</v>
      </c>
      <c r="E61" s="1521">
        <f ca="1">E51+E52+E55-SUM($E58:E58)</f>
        <v>0</v>
      </c>
      <c r="F61" s="1521">
        <f ca="1">F51+F52+F55-SUM($E58:F58)</f>
        <v>0</v>
      </c>
      <c r="G61" s="1521">
        <f ca="1">G51+G52+G55-SUM($E58:G58)</f>
        <v>0</v>
      </c>
      <c r="H61" s="1521">
        <f ca="1">H51+H52+H55-SUM($E58:H58)</f>
        <v>0</v>
      </c>
      <c r="I61" s="1521">
        <f ca="1">I51+I52+I55-SUM($E58:I58)</f>
        <v>0</v>
      </c>
      <c r="J61" s="1521">
        <f ca="1">J51+J52+J55-SUM($E58:J58)</f>
        <v>0</v>
      </c>
      <c r="K61" s="1521">
        <f ca="1">K51+K52+K55-SUM($E58:K58)</f>
        <v>0</v>
      </c>
      <c r="L61" s="1521">
        <f ca="1">L51+L52+L55-SUM($E58:L58)</f>
        <v>0</v>
      </c>
      <c r="M61" s="1521">
        <f ca="1">M51+M52+M55-SUM($E58:M58)</f>
        <v>0</v>
      </c>
      <c r="N61" s="1521">
        <f ca="1">N51+N52+N55-SUM($E58:N58)</f>
        <v>0</v>
      </c>
      <c r="O61" s="1521">
        <f ca="1">O51+O52+O55-SUM($E58:O58)</f>
        <v>0</v>
      </c>
      <c r="P61" s="1521">
        <f ca="1">P51+P52+P55-SUM($E58:P58)</f>
        <v>0</v>
      </c>
      <c r="Q61" s="1521">
        <f ca="1">Q51+Q52+Q55-SUM($E58:Q58)</f>
        <v>0</v>
      </c>
      <c r="R61" s="1521">
        <f ca="1">R51+R52+R55-SUM($E58:R58)</f>
        <v>0</v>
      </c>
      <c r="S61" s="1521">
        <f ca="1">S51+S52+S55-SUM($E58:S58)</f>
        <v>0</v>
      </c>
      <c r="T61" s="1521">
        <f ca="1">T51+T52+T55-SUM($E58:T58)</f>
        <v>0</v>
      </c>
      <c r="U61" s="1521">
        <f ca="1">U51+U52+U55-SUM($E58:U58)</f>
        <v>0</v>
      </c>
      <c r="V61" s="1521">
        <f ca="1">V51+V52+V55-SUM($E58:V58)</f>
        <v>0</v>
      </c>
      <c r="W61" s="1521">
        <f ca="1">W51+W52+W55-SUM($E58:W58)</f>
        <v>0</v>
      </c>
      <c r="X61" s="1521">
        <f ca="1">X51+X52+X55-SUM($E58:X58)</f>
        <v>0</v>
      </c>
      <c r="Y61" s="1521">
        <f ca="1">Y51+Y52+Y55-SUM($E58:Y58)</f>
        <v>0</v>
      </c>
      <c r="Z61" s="1521">
        <f ca="1">Z51+Z52+Z55-SUM($E58:Z58)</f>
        <v>0</v>
      </c>
      <c r="AA61" s="1521">
        <f ca="1">AA51+AA52+AA55-SUM($E58:AA58)</f>
        <v>0</v>
      </c>
      <c r="AB61" s="1521">
        <f ca="1">AB51+AB52+AB55-SUM($E58:AB58)</f>
        <v>0</v>
      </c>
      <c r="AC61" s="1521">
        <f ca="1">AC51+AC52+AC55-SUM($E58:AC58)</f>
        <v>0</v>
      </c>
      <c r="AD61" s="1521">
        <f ca="1">AD51+AD52+AD55-SUM($E58:AD58)</f>
        <v>0</v>
      </c>
      <c r="AE61" s="1521">
        <f ca="1">AE51+AE52+AE55-SUM($E58:AE58)</f>
        <v>0</v>
      </c>
      <c r="AF61" s="1521">
        <f ca="1">AF51+AF52+AF55-SUM($E58:AF58)</f>
        <v>0</v>
      </c>
      <c r="AG61" s="1521">
        <f ca="1">AG51+AG52+AG55-SUM($E58:AG58)</f>
        <v>0</v>
      </c>
      <c r="AH61" s="1521">
        <f ca="1">AH51+AH52+AH55-SUM($E58:AH58)</f>
        <v>0</v>
      </c>
      <c r="AI61" s="1521">
        <f ca="1">AI51+AI52+AI55-SUM($E58:AI58)</f>
        <v>0</v>
      </c>
      <c r="AJ61" s="1521">
        <f ca="1">AJ51+AJ52+AJ55-SUM($E58:AJ58)</f>
        <v>0</v>
      </c>
      <c r="AK61" s="1521">
        <f ca="1">AK51+AK52+AK55-SUM($E58:AK58)</f>
        <v>0</v>
      </c>
      <c r="AL61" s="1521">
        <f ca="1">AL51+AL52+AL55-SUM($E58:AL58)</f>
        <v>0</v>
      </c>
      <c r="AM61" s="1521">
        <f ca="1">AM51+AM52+AM55-SUM($E58:AM58)</f>
        <v>0</v>
      </c>
      <c r="AN61" s="1521">
        <f ca="1">AN51+AN52+AN55-SUM($E58:AN58)</f>
        <v>0</v>
      </c>
      <c r="AO61" s="1521">
        <f ca="1">AO51+AO52+AO55-SUM($E58:AO58)</f>
        <v>0</v>
      </c>
      <c r="AP61" s="1521">
        <f ca="1">AP51+AP52+AP55-SUM($E58:AP58)</f>
        <v>0</v>
      </c>
      <c r="AQ61" s="1521">
        <f ca="1">AQ51+AQ52+AQ55-SUM($E58:AQ58)</f>
        <v>0</v>
      </c>
      <c r="AR61" s="1521">
        <f ca="1">AR51+AR52+AR55-SUM($E58:AR58)</f>
        <v>0</v>
      </c>
      <c r="AS61" s="1521">
        <f ca="1">AS51+AS52+AS55-SUM($E58:AS58)</f>
        <v>0</v>
      </c>
      <c r="AT61" s="1521">
        <f ca="1">AT51+AT52+AT55-SUM($E58:AT58)</f>
        <v>0</v>
      </c>
      <c r="AU61" s="1521">
        <f ca="1">AU51+AU52+AU55-SUM($E58:AU58)</f>
        <v>0</v>
      </c>
      <c r="AV61" s="1521">
        <f ca="1">AV51+AV52+AV55-SUM($E58:AV58)</f>
        <v>0</v>
      </c>
      <c r="AW61" s="1521">
        <f ca="1">AW51+AW52+AW55-SUM($E58:AW58)</f>
        <v>0</v>
      </c>
      <c r="AX61" s="1521">
        <f ca="1">AX51+AX52+AX55-SUM($E58:AX58)</f>
        <v>0</v>
      </c>
      <c r="AY61" s="1521">
        <f ca="1">AY51+AY52+AY55-SUM($E58:AY58)</f>
        <v>0</v>
      </c>
      <c r="AZ61" s="1521">
        <f ca="1">AZ51+AZ52+AZ55-SUM($E58:AZ58)</f>
        <v>0</v>
      </c>
      <c r="BA61" s="1521">
        <f ca="1">BA51+BA52+BA55-SUM($E58:BA58)</f>
        <v>0</v>
      </c>
      <c r="BB61" s="1521">
        <f ca="1">BB51+BB52+BB55-SUM($E58:BB58)</f>
        <v>0</v>
      </c>
      <c r="BC61" s="1521">
        <f ca="1">BC51+BC52+BC55-SUM($E58:BC58)</f>
        <v>0</v>
      </c>
      <c r="BD61" s="1521">
        <f ca="1">BD51+BD52+BD55-SUM($E58:BD58)</f>
        <v>0</v>
      </c>
      <c r="BE61" s="1521">
        <f ca="1">BE51+BE52+BE55-SUM($E58:BE58)</f>
        <v>0</v>
      </c>
      <c r="BF61" s="1521">
        <f ca="1">BF51+BF52+BF55-SUM($E58:BF58)</f>
        <v>0</v>
      </c>
      <c r="BG61" s="1521">
        <f ca="1">BG51+BG52+BG55-SUM($E58:BG58)</f>
        <v>0</v>
      </c>
      <c r="BH61" s="1521">
        <f ca="1">BH51+BH52+BH55-SUM($E58:BH58)</f>
        <v>0</v>
      </c>
      <c r="BI61" s="1521">
        <f ca="1">BI51+BI52+BI55-SUM($E58:BI58)</f>
        <v>0</v>
      </c>
      <c r="BJ61" s="1521">
        <f ca="1">BJ51+BJ52+BJ55-SUM($E58:BJ58)</f>
        <v>0</v>
      </c>
      <c r="BK61" s="1521">
        <f ca="1">BK51+BK52+BK55-SUM($E58:BK58)</f>
        <v>0</v>
      </c>
      <c r="BL61" s="1521">
        <f ca="1">BL51+BL52+BL55-SUM($E58:BL58)</f>
        <v>0</v>
      </c>
      <c r="BM61" s="1521">
        <f ca="1">BM51+BM52+BM55-SUM($E58:BM58)</f>
        <v>0</v>
      </c>
      <c r="BN61" s="1521">
        <f ca="1">BN51+BN52+BN55-SUM($E58:BN58)</f>
        <v>0</v>
      </c>
      <c r="BO61" s="1521">
        <f ca="1">BO51+BO52+BO55-SUM($E58:BO58)</f>
        <v>0</v>
      </c>
      <c r="BP61" s="1521">
        <f ca="1">BP51+BP52+BP55-SUM($E58:BP58)</f>
        <v>0</v>
      </c>
      <c r="BQ61" s="1521">
        <f ca="1">BQ51+BQ52+BQ55-SUM($E58:BQ58)</f>
        <v>0</v>
      </c>
      <c r="BR61" s="1521">
        <f ca="1">BR51+BR52+BR55-SUM($E58:BR58)</f>
        <v>0</v>
      </c>
      <c r="BS61" s="1521">
        <f ca="1">BS51+BS52+BS55-SUM($E58:BS58)</f>
        <v>0</v>
      </c>
      <c r="BT61" s="1521">
        <f ca="1">BT51+BT52+BT55-SUM($E58:BT58)</f>
        <v>0</v>
      </c>
      <c r="BU61" s="1521">
        <f ca="1">BU51+BU52+BU55-SUM($E58:BU58)</f>
        <v>0</v>
      </c>
      <c r="BV61" s="1521">
        <f ca="1">BV51+BV52+BV55-SUM($E58:BV58)</f>
        <v>0</v>
      </c>
      <c r="BW61" s="1521">
        <f ca="1">BW51+BW52+BW55-SUM($E58:BW58)</f>
        <v>0</v>
      </c>
      <c r="BX61" s="1521">
        <f ca="1">BX51+BX52+BX55-SUM($E58:BX58)</f>
        <v>0</v>
      </c>
      <c r="BY61" s="1521">
        <f ca="1">BY51+BY52+BY55-SUM($E58:BY58)</f>
        <v>0</v>
      </c>
      <c r="BZ61" s="1521">
        <f ca="1">BZ51+BZ52+BZ55-SUM($E58:BZ58)</f>
        <v>0</v>
      </c>
      <c r="CA61" s="1521">
        <f ca="1">CA51+CA52+CA55-SUM($E58:CA58)</f>
        <v>0</v>
      </c>
      <c r="CB61" s="1521">
        <f ca="1">CB51+CB52+CB55-SUM($E58:CB58)</f>
        <v>0</v>
      </c>
      <c r="CC61" s="1521">
        <f ca="1">CC51+CC52+CC55-SUM($E58:CC58)</f>
        <v>0</v>
      </c>
      <c r="CD61" s="1521">
        <f ca="1">CD51+CD52+CD55-SUM($E58:CD58)</f>
        <v>0</v>
      </c>
      <c r="CE61" s="1521">
        <f ca="1">CE51+CE52+CE55-SUM($E58:CE58)</f>
        <v>0</v>
      </c>
      <c r="CF61" s="1521">
        <f ca="1">CF51+CF52+CF55-SUM($E58:CF58)</f>
        <v>0</v>
      </c>
      <c r="CG61" s="1521">
        <f ca="1">CG51+CG52+CG55-SUM($E58:CG58)</f>
        <v>0</v>
      </c>
      <c r="CH61" s="1521">
        <f ca="1">CH51+CH52+CH55-SUM($E58:CH58)</f>
        <v>0</v>
      </c>
      <c r="CI61" s="1521">
        <f ca="1">CI51+CI52+CI55-SUM($E58:CI58)</f>
        <v>0</v>
      </c>
      <c r="CJ61" s="1521">
        <f ca="1">CJ51+CJ52+CJ55-SUM($E58:CJ58)</f>
        <v>0</v>
      </c>
      <c r="CK61" s="1521">
        <f ca="1">CK51+CK52+CK55-SUM($E58:CK58)</f>
        <v>0</v>
      </c>
      <c r="CL61" s="1521">
        <f ca="1">CL51+CL52+CL55-SUM($E58:CL58)</f>
        <v>0</v>
      </c>
      <c r="CM61" s="1521">
        <f ca="1">CM51+CM52+CM55-SUM($E58:CM58)</f>
        <v>0</v>
      </c>
      <c r="CN61" s="1521">
        <f ca="1">CN51+CN52+CN55-SUM($E58:CN58)</f>
        <v>0</v>
      </c>
      <c r="CO61" s="1521">
        <f ca="1">CO51+CO52+CO55-SUM($E58:CO58)</f>
        <v>0</v>
      </c>
      <c r="CP61" s="1521">
        <f ca="1">CP51+CP52+CP55-SUM($E58:CP58)</f>
        <v>0</v>
      </c>
      <c r="CQ61" s="1521">
        <f ca="1">CQ51+CQ52+CQ55-SUM($E58:CQ58)</f>
        <v>0</v>
      </c>
      <c r="CR61" s="1521">
        <f ca="1">CR51+CR52+CR55-SUM($E58:CR58)</f>
        <v>0</v>
      </c>
      <c r="CS61" s="1521">
        <f ca="1">CS51+CS52+CS55-SUM($E58:CS58)</f>
        <v>0</v>
      </c>
      <c r="CT61" s="1521">
        <f ca="1">CT51+CT52+CT55-SUM($E58:CT58)</f>
        <v>0</v>
      </c>
      <c r="CU61" s="1521">
        <f ca="1">CU51+CU52+CU55-SUM($E58:CU58)</f>
        <v>0</v>
      </c>
      <c r="CV61" s="1521">
        <f ca="1">CV51+CV52+CV55-SUM($E58:CV58)</f>
        <v>0</v>
      </c>
      <c r="CW61" s="1521">
        <f ca="1">CW51+CW52+CW55-SUM($E58:CW58)</f>
        <v>0</v>
      </c>
      <c r="CX61" s="1521">
        <f ca="1">CX51+CX52+CX55-SUM($E58:CX58)</f>
        <v>0</v>
      </c>
      <c r="CY61" s="1521">
        <f ca="1">CY51+CY52+CY55-SUM($E58:CY58)</f>
        <v>0</v>
      </c>
      <c r="CZ61" s="1521">
        <f ca="1">CZ51+CZ52+CZ55-SUM($E58:CZ58)</f>
        <v>0</v>
      </c>
      <c r="DA61" s="1521">
        <f ca="1">DA51+DA52+DA55-SUM($E58:DA58)</f>
        <v>0</v>
      </c>
      <c r="DB61" s="1521">
        <f ca="1">DB51+DB52+DB55-SUM($E58:DB58)</f>
        <v>0</v>
      </c>
      <c r="DC61" s="1521">
        <f ca="1">DC51+DC52+DC55-SUM($E58:DC58)</f>
        <v>0</v>
      </c>
      <c r="DD61" s="1521">
        <f ca="1">DD51+DD52+DD55-SUM($E58:DD58)</f>
        <v>0</v>
      </c>
      <c r="DE61" s="1521">
        <f ca="1">DE51+DE52+DE55-SUM($E58:DE58)</f>
        <v>0</v>
      </c>
      <c r="DF61" s="1521">
        <f ca="1">DF51+DF52+DF55-SUM($E58:DF58)</f>
        <v>0</v>
      </c>
      <c r="DG61" s="1521">
        <f ca="1">DG51+DG52+DG55-SUM($E58:DG58)</f>
        <v>0</v>
      </c>
      <c r="DH61" s="1521">
        <f ca="1">DH51+DH52+DH55-SUM($E58:DH58)</f>
        <v>0</v>
      </c>
      <c r="DI61" s="1521">
        <f ca="1">DI51+DI52+DI55-SUM($E58:DI58)</f>
        <v>0</v>
      </c>
      <c r="DJ61" s="1521">
        <f ca="1">DJ51+DJ52+DJ55-SUM($E58:DJ58)</f>
        <v>0</v>
      </c>
      <c r="DK61" s="1521">
        <f ca="1">DK51+DK52+DK55-SUM($E58:DK58)</f>
        <v>0</v>
      </c>
      <c r="DL61" s="1521">
        <f ca="1">DL51+DL52+DL55-SUM($E58:DL58)</f>
        <v>0</v>
      </c>
      <c r="DM61" s="1521">
        <f ca="1">DM51+DM52+DM55-SUM($E58:DM58)</f>
        <v>0</v>
      </c>
      <c r="DN61" s="1521">
        <f ca="1">DN51+DN52+DN55-SUM($E58:DN58)</f>
        <v>0</v>
      </c>
      <c r="DO61" s="1521">
        <f ca="1">DO51+DO52+DO55-SUM($E58:DO58)</f>
        <v>0</v>
      </c>
      <c r="DP61" s="1521">
        <f ca="1">DP51+DP52+DP55-SUM($E58:DP58)</f>
        <v>0</v>
      </c>
      <c r="DQ61" s="1521">
        <f ca="1">DQ51+DQ52+DQ55-SUM($E58:DQ58)</f>
        <v>0</v>
      </c>
      <c r="DR61" s="1521">
        <f ca="1">DR51+DR52+DR55-SUM($E58:DR58)</f>
        <v>0</v>
      </c>
      <c r="DS61" s="1521">
        <f ca="1">DS51+DS52+DS55-SUM($E58:DS58)</f>
        <v>0</v>
      </c>
      <c r="DT61" s="1521">
        <f ca="1">DT51+DT52+DT55-SUM($E58:DT58)</f>
        <v>0</v>
      </c>
      <c r="DU61" s="1521">
        <f ca="1">DU51+DU52+DU55-SUM($E58:DU58)</f>
        <v>0</v>
      </c>
      <c r="DV61" s="1521">
        <f ca="1">DV51+DV52+DV55-SUM($E58:DV58)</f>
        <v>0</v>
      </c>
      <c r="DW61" s="1521">
        <f ca="1">DW51+DW52+DW55-SUM($E58:DW58)</f>
        <v>0</v>
      </c>
      <c r="DX61" s="1521">
        <f ca="1">DX51+DX52+DX55-SUM($E58:DX58)</f>
        <v>0</v>
      </c>
      <c r="DY61" s="1521">
        <f ca="1">DY51+DY52+DY55-SUM($E58:DY58)</f>
        <v>0</v>
      </c>
      <c r="DZ61" s="1521">
        <f ca="1">DZ51+DZ52+DZ55-SUM($E58:DZ58)</f>
        <v>0</v>
      </c>
      <c r="EA61" s="1521">
        <f ca="1">EA51+EA52+EA55-SUM($E58:EA58)</f>
        <v>0</v>
      </c>
      <c r="EB61" s="1521">
        <f ca="1">EB51+EB52+EB55-SUM($E58:EB58)</f>
        <v>0</v>
      </c>
      <c r="EC61" s="1521">
        <f ca="1">EC51+EC52+EC55-SUM($E58:EC58)</f>
        <v>0</v>
      </c>
      <c r="ED61" s="1521">
        <f ca="1">ED51+ED52+ED55-SUM($E58:ED58)</f>
        <v>0</v>
      </c>
      <c r="EE61" s="1521">
        <f ca="1">EE51+EE52+EE55-SUM($E58:EE58)</f>
        <v>0</v>
      </c>
      <c r="EF61" s="1521">
        <f ca="1">EF51+EF52+EF55-SUM($E58:EF58)</f>
        <v>0</v>
      </c>
      <c r="EG61" s="1521">
        <f ca="1">EG51+EG52+EG55-SUM($E58:EG58)</f>
        <v>0</v>
      </c>
      <c r="EH61" s="1521">
        <f ca="1">EH51+EH52+EH55-SUM($E58:EH58)</f>
        <v>0</v>
      </c>
      <c r="EI61" s="1521">
        <f ca="1">EI51+EI52+EI55-SUM($E58:EI58)</f>
        <v>0</v>
      </c>
      <c r="EJ61" s="1521">
        <f ca="1">EJ51+EJ52+EJ55-SUM($E58:EJ58)</f>
        <v>0</v>
      </c>
      <c r="EK61" s="1521">
        <f ca="1">EK51+EK52+EK55-SUM($E58:EK58)</f>
        <v>0</v>
      </c>
      <c r="EL61" s="1521">
        <f ca="1">EL51+EL52+EL55-SUM($E58:EL58)</f>
        <v>0</v>
      </c>
      <c r="EM61" s="1521">
        <f ca="1">EM51+EM52+EM55-SUM($E58:EM58)</f>
        <v>0</v>
      </c>
      <c r="EN61" s="1521">
        <f ca="1">EN51+EN52+EN55-SUM($E58:EN58)</f>
        <v>0</v>
      </c>
      <c r="EO61" s="1521">
        <f ca="1">EO51+EO52+EO55-SUM($E58:EO58)</f>
        <v>0</v>
      </c>
      <c r="EP61" s="1521">
        <f ca="1">EP51+EP52+EP55-SUM($E58:EP58)</f>
        <v>0</v>
      </c>
      <c r="EQ61" s="1521">
        <f ca="1">EQ51+EQ52+EQ55-SUM($E58:EQ58)</f>
        <v>0</v>
      </c>
      <c r="ER61" s="1521">
        <f ca="1">ER51+ER52+ER55-SUM($E58:ER58)</f>
        <v>0</v>
      </c>
      <c r="ES61" s="1521">
        <f ca="1">ES51+ES52+ES55-SUM($E58:ES58)</f>
        <v>0</v>
      </c>
      <c r="ET61" s="1521">
        <f ca="1">ET51+ET52+ET55-SUM($E58:ET58)</f>
        <v>0</v>
      </c>
      <c r="EU61" s="1521">
        <f ca="1">EU51+EU52+EU55-SUM($E58:EU58)</f>
        <v>0</v>
      </c>
      <c r="EV61" s="1521">
        <f ca="1">EV51+EV52+EV55-SUM($E58:EV58)</f>
        <v>0</v>
      </c>
      <c r="EW61" s="1521">
        <f ca="1">EW51+EW52+EW55-SUM($E58:EW58)</f>
        <v>0</v>
      </c>
      <c r="EX61" s="1521">
        <f ca="1">EX51+EX52+EX55-SUM($E58:EX58)</f>
        <v>0</v>
      </c>
      <c r="EY61" s="1521">
        <f ca="1">EY51+EY52+EY55-SUM($E58:EY58)</f>
        <v>0</v>
      </c>
      <c r="EZ61" s="1521">
        <f ca="1">EZ51+EZ52+EZ55-SUM($E58:EZ58)</f>
        <v>0</v>
      </c>
      <c r="FA61" s="1521">
        <f ca="1">FA51+FA52+FA55-SUM($E58:FA58)</f>
        <v>0</v>
      </c>
      <c r="FB61" s="1521">
        <f ca="1">FB51+FB52+FB55-SUM($E58:FB58)</f>
        <v>0</v>
      </c>
      <c r="FC61" s="1521">
        <f ca="1">FC51+FC52+FC55-SUM($E58:FC58)</f>
        <v>0</v>
      </c>
      <c r="FD61" s="1521">
        <f ca="1">FD51+FD52+FD55-SUM($E58:FD58)</f>
        <v>0</v>
      </c>
      <c r="FE61" s="1521">
        <f ca="1">FE51+FE52+FE55-SUM($E58:FE58)</f>
        <v>0</v>
      </c>
      <c r="FF61" s="1521">
        <f ca="1">FF51+FF52+FF55-SUM($E58:FF58)</f>
        <v>0</v>
      </c>
      <c r="FG61" s="1521">
        <f ca="1">FG51+FG52+FG55-SUM($E58:FG58)</f>
        <v>0</v>
      </c>
      <c r="FH61" s="1521">
        <f ca="1">FH51+FH52+FH55-SUM($E58:FH58)</f>
        <v>0</v>
      </c>
      <c r="FI61" s="1521"/>
      <c r="FJ61" s="1521"/>
      <c r="FK61" s="1521"/>
      <c r="FL61" s="1521"/>
    </row>
    <row r="62" spans="1:169">
      <c r="C62" s="1529" t="s">
        <v>248</v>
      </c>
      <c r="D62" s="1530">
        <f ca="1">D46-FH61</f>
        <v>0</v>
      </c>
    </row>
  </sheetData>
  <mergeCells count="55">
    <mergeCell ref="A3:A5"/>
    <mergeCell ref="A6:A54"/>
    <mergeCell ref="B3:B5"/>
    <mergeCell ref="B6:B16"/>
    <mergeCell ref="B17:B25"/>
    <mergeCell ref="B26:B27"/>
    <mergeCell ref="B28:B45"/>
    <mergeCell ref="B46:B47"/>
    <mergeCell ref="FI3:FL3"/>
    <mergeCell ref="B48:C48"/>
    <mergeCell ref="B49:C49"/>
    <mergeCell ref="B50:C50"/>
    <mergeCell ref="B51:C51"/>
    <mergeCell ref="C3:C5"/>
    <mergeCell ref="D3:D5"/>
    <mergeCell ref="EO3:ER3"/>
    <mergeCell ref="ES3:EV3"/>
    <mergeCell ref="EW3:EZ3"/>
    <mergeCell ref="FA3:FD3"/>
    <mergeCell ref="FE3:FH3"/>
    <mergeCell ref="DU3:DX3"/>
    <mergeCell ref="DY3:EB3"/>
    <mergeCell ref="EC3:EF3"/>
    <mergeCell ref="EG3:EJ3"/>
    <mergeCell ref="EK3:EN3"/>
    <mergeCell ref="DA3:DD3"/>
    <mergeCell ref="DE3:DH3"/>
    <mergeCell ref="DI3:DL3"/>
    <mergeCell ref="DM3:DP3"/>
    <mergeCell ref="DQ3:DT3"/>
    <mergeCell ref="CG3:CJ3"/>
    <mergeCell ref="CK3:CN3"/>
    <mergeCell ref="CO3:CR3"/>
    <mergeCell ref="CS3:CV3"/>
    <mergeCell ref="CW3:CZ3"/>
    <mergeCell ref="BM3:BP3"/>
    <mergeCell ref="BQ3:BT3"/>
    <mergeCell ref="BU3:BX3"/>
    <mergeCell ref="BY3:CB3"/>
    <mergeCell ref="CC3:CF3"/>
    <mergeCell ref="AS3:AV3"/>
    <mergeCell ref="AW3:AZ3"/>
    <mergeCell ref="BA3:BD3"/>
    <mergeCell ref="BE3:BH3"/>
    <mergeCell ref="BI3:BL3"/>
    <mergeCell ref="Y3:AB3"/>
    <mergeCell ref="AC3:AF3"/>
    <mergeCell ref="AG3:AJ3"/>
    <mergeCell ref="AK3:AN3"/>
    <mergeCell ref="AO3:AR3"/>
    <mergeCell ref="E3:H3"/>
    <mergeCell ref="I3:L3"/>
    <mergeCell ref="M3:P3"/>
    <mergeCell ref="Q3:T3"/>
    <mergeCell ref="U3:X3"/>
  </mergeCells>
  <phoneticPr fontId="102" type="noConversion"/>
  <dataValidations count="1">
    <dataValidation type="list" allowBlank="1" showInputMessage="1" showErrorMessage="1" sqref="L64541 IA64541 RW64541 ABS64541 ALO64541 AVK64541 BFG64541 BPC64541 BYY64541 CIU64541 CSQ64541 DCM64541 DMI64541 DWE64541 EGA64541 EPW64541 EZS64541 FJO64541 FTK64541 GDG64541 GNC64541 GWY64541 HGU64541 HQQ64541 IAM64541 IKI64541 IUE64541 JEA64541 JNW64541 JXS64541 KHO64541 KRK64541 LBG64541 LLC64541 LUY64541 MEU64541 MOQ64541 MYM64541 NII64541 NSE64541 OCA64541 OLW64541 OVS64541 PFO64541 PPK64541 PZG64541 QJC64541 QSY64541 RCU64541 RMQ64541 RWM64541 SGI64541 SQE64541 TAA64541 TJW64541 TTS64541 UDO64541 UNK64541 UXG64541 VHC64541 L130077 IA130077 RW130077 ABS130077 ALO130077 AVK130077 BFG130077 BPC130077 BYY130077 CIU130077 CSQ130077 DCM130077 DMI130077 DWE130077 EGA130077 EPW130077 EZS130077 FJO130077 FTK130077 GDG130077 GNC130077 GWY130077 HGU130077 HQQ130077 IAM130077 IKI130077 IUE130077 JEA130077 JNW130077 JXS130077 KHO130077 KRK130077 LBG130077 LLC130077 LUY130077 MEU130077 MOQ130077 MYM130077 NII130077 NSE130077 OCA130077 OLW130077 OVS130077 PFO130077 PPK130077 PZG130077 QJC130077 QSY130077 RCU130077 RMQ130077 RWM130077 SGI130077 SQE130077 TAA130077 TJW130077 TTS130077 UDO130077 UNK130077 UXG130077 VHC130077 L195613 IA195613 RW195613 ABS195613 ALO195613 AVK195613 BFG195613 BPC195613 BYY195613 CIU195613 CSQ195613 DCM195613 DMI195613 DWE195613 EGA195613 EPW195613 EZS195613 FJO195613 FTK195613 GDG195613 GNC195613 GWY195613 HGU195613 HQQ195613 IAM195613 IKI195613 IUE195613 JEA195613 JNW195613 JXS195613 KHO195613 KRK195613 LBG195613 LLC195613 LUY195613 MEU195613 MOQ195613 MYM195613 NII195613 NSE195613 OCA195613 OLW195613 OVS195613 PFO195613 PPK195613 PZG195613 QJC195613 QSY195613 RCU195613 RMQ195613 RWM195613 SGI195613 SQE195613 TAA195613 TJW195613 TTS195613 UDO195613 UNK195613 UXG195613 VHC195613 L261149 IA261149 RW261149 ABS261149 ALO261149 AVK261149 BFG261149 BPC261149 BYY261149 CIU261149 CSQ261149 DCM261149 DMI261149 DWE261149 EGA261149 EPW261149 EZS261149 FJO261149 FTK261149 GDG261149 GNC261149 GWY261149 HGU261149 HQQ261149 IAM261149 IKI261149 IUE261149 JEA261149 JNW261149 JXS261149 KHO261149 KRK261149 LBG261149 LLC261149 LUY261149 MEU261149 MOQ261149 MYM261149 NII261149 NSE261149 OCA261149 OLW261149 OVS261149 PFO261149 PPK261149 PZG261149 QJC261149 QSY261149 RCU261149 RMQ261149 RWM261149 SGI261149 SQE261149 TAA261149 TJW261149 TTS261149 UDO261149 UNK261149 UXG261149 VHC261149 L326685 IA326685 RW326685 ABS326685 ALO326685 AVK326685 BFG326685 BPC326685 BYY326685 CIU326685 CSQ326685 DCM326685 DMI326685 DWE326685 EGA326685 EPW326685 EZS326685 FJO326685 FTK326685 GDG326685 GNC326685 GWY326685 HGU326685 HQQ326685 IAM326685 IKI326685 IUE326685 JEA326685 JNW326685 JXS326685 KHO326685 KRK326685 LBG326685 LLC326685 LUY326685 MEU326685 MOQ326685 MYM326685 NII326685 NSE326685 OCA326685 OLW326685 OVS326685 PFO326685 PPK326685 PZG326685 QJC326685 QSY326685 RCU326685 RMQ326685 RWM326685 SGI326685 SQE326685 TAA326685 TJW326685 TTS326685 UDO326685 UNK326685 UXG326685 VHC326685 L392221 IA392221 RW392221 ABS392221 ALO392221 AVK392221 BFG392221 BPC392221 BYY392221 CIU392221 CSQ392221 DCM392221 DMI392221 DWE392221 EGA392221 EPW392221 EZS392221 FJO392221 FTK392221 GDG392221 GNC392221 GWY392221 HGU392221 HQQ392221 IAM392221 IKI392221 IUE392221 JEA392221 JNW392221 JXS392221 KHO392221 KRK392221 LBG392221 LLC392221 LUY392221 MEU392221 MOQ392221 MYM392221 NII392221 NSE392221 OCA392221 OLW392221 OVS392221 PFO392221 PPK392221 PZG392221 QJC392221 QSY392221 RCU392221 RMQ392221 RWM392221 SGI392221 SQE392221 TAA392221 TJW392221 TTS392221 UDO392221 UNK392221 UXG392221 VHC392221 L457757 IA457757 RW457757 ABS457757 ALO457757 AVK457757 BFG457757 BPC457757 BYY457757 CIU457757 CSQ457757 DCM457757 DMI457757 DWE457757 EGA457757 EPW457757 EZS457757 FJO457757 FTK457757 GDG457757 GNC457757 GWY457757 HGU457757 HQQ457757 IAM457757 IKI457757 IUE457757 JEA457757 JNW457757 JXS457757 KHO457757 KRK457757 LBG457757 LLC457757 LUY457757 MEU457757 MOQ457757 MYM457757 NII457757 NSE457757 OCA457757 OLW457757 OVS457757 PFO457757 PPK457757 PZG457757 QJC457757 QSY457757 RCU457757 RMQ457757 RWM457757 SGI457757 SQE457757 TAA457757 TJW457757 TTS457757 UDO457757 UNK457757 UXG457757 VHC457757 L523293 IA523293 RW523293 ABS523293 ALO523293 AVK523293 BFG523293 BPC523293 BYY523293 CIU523293 CSQ523293 DCM523293 DMI523293 DWE523293 EGA523293 EPW523293 EZS523293 FJO523293 FTK523293 GDG523293 GNC523293 GWY523293 HGU523293 HQQ523293 IAM523293 IKI523293 IUE523293 JEA523293 JNW523293 JXS523293 KHO523293 KRK523293 LBG523293 LLC523293 LUY523293 MEU523293 MOQ523293 MYM523293 NII523293 NSE523293 OCA523293 OLW523293 OVS523293 PFO523293 PPK523293 PZG523293 QJC523293 QSY523293 RCU523293 RMQ523293 RWM523293 SGI523293 SQE523293 TAA523293 TJW523293 TTS523293 UDO523293 UNK523293 UXG523293 VHC523293 L588829 IA588829 RW588829 ABS588829 ALO588829 AVK588829 BFG588829 BPC588829 BYY588829 CIU588829 CSQ588829 DCM588829 DMI588829 DWE588829 EGA588829 EPW588829 EZS588829 FJO588829 FTK588829 GDG588829 GNC588829 GWY588829 HGU588829 HQQ588829 IAM588829 IKI588829 IUE588829 JEA588829 JNW588829 JXS588829 KHO588829 KRK588829 LBG588829 LLC588829 LUY588829 MEU588829 MOQ588829 MYM588829 NII588829 NSE588829 OCA588829 OLW588829 OVS588829 PFO588829 PPK588829 PZG588829 QJC588829 QSY588829 RCU588829 RMQ588829 RWM588829 SGI588829 SQE588829 TAA588829 TJW588829 TTS588829 UDO588829 UNK588829 UXG588829 VHC588829 L654365 IA654365 RW654365 ABS654365 ALO654365 AVK654365 BFG654365 BPC654365 BYY654365 CIU654365 CSQ654365 DCM654365 DMI654365 DWE654365 EGA654365 EPW654365 EZS654365 FJO654365 FTK654365 GDG654365 GNC654365 GWY654365 HGU654365 HQQ654365 IAM654365 IKI654365 IUE654365 JEA654365 JNW654365 JXS654365 KHO654365 KRK654365 LBG654365 LLC654365 LUY654365 MEU654365 MOQ654365 MYM654365 NII654365 NSE654365 OCA654365 OLW654365 OVS654365 PFO654365 PPK654365 PZG654365 QJC654365 QSY654365 RCU654365 RMQ654365 RWM654365 SGI654365 SQE654365 TAA654365 TJW654365 TTS654365 UDO654365 UNK654365 UXG654365 VHC654365 L719901 IA719901 RW719901 ABS719901 ALO719901 AVK719901 BFG719901 BPC719901 BYY719901 CIU719901 CSQ719901 DCM719901 DMI719901 DWE719901 EGA719901 EPW719901 EZS719901 FJO719901 FTK719901 GDG719901 GNC719901 GWY719901 HGU719901 HQQ719901 IAM719901 IKI719901 IUE719901 JEA719901 JNW719901 JXS719901 KHO719901 KRK719901 LBG719901 LLC719901 LUY719901 MEU719901 MOQ719901 MYM719901 NII719901 NSE719901 OCA719901 OLW719901 OVS719901 PFO719901 PPK719901 PZG719901 QJC719901 QSY719901 RCU719901 RMQ719901 RWM719901 SGI719901 SQE719901 TAA719901 TJW719901 TTS719901 UDO719901 UNK719901 UXG719901 VHC719901 L785437 IA785437 RW785437 ABS785437 ALO785437 AVK785437 BFG785437 BPC785437 BYY785437 CIU785437 CSQ785437 DCM785437 DMI785437 DWE785437 EGA785437 EPW785437 EZS785437 FJO785437 FTK785437 GDG785437 GNC785437 GWY785437 HGU785437 HQQ785437 IAM785437 IKI785437 IUE785437 JEA785437 JNW785437 JXS785437 KHO785437 KRK785437 LBG785437 LLC785437 LUY785437 MEU785437 MOQ785437 MYM785437 NII785437 NSE785437 OCA785437 OLW785437 OVS785437 PFO785437 PPK785437 PZG785437 QJC785437 QSY785437 RCU785437 RMQ785437 RWM785437 SGI785437 SQE785437 TAA785437 TJW785437 TTS785437 UDO785437 UNK785437 UXG785437 VHC785437 L850973 IA850973 RW850973 ABS850973 ALO850973 AVK850973 BFG850973 BPC850973 BYY850973 CIU850973 CSQ850973 DCM850973 DMI850973 DWE850973 EGA850973 EPW850973 EZS850973 FJO850973 FTK850973 GDG850973 GNC850973 GWY850973 HGU850973 HQQ850973 IAM850973 IKI850973 IUE850973 JEA850973 JNW850973 JXS850973 KHO850973 KRK850973 LBG850973 LLC850973 LUY850973 MEU850973 MOQ850973 MYM850973 NII850973 NSE850973 OCA850973 OLW850973 OVS850973 PFO850973 PPK850973 PZG850973 QJC850973 QSY850973 RCU850973 RMQ850973 RWM850973 SGI850973 SQE850973 TAA850973 TJW850973 TTS850973 UDO850973 UNK850973 UXG850973 VHC850973 L916509 IA916509 RW916509 ABS916509 ALO916509 AVK916509 BFG916509 BPC916509 BYY916509 CIU916509 CSQ916509 DCM916509 DMI916509 DWE916509 EGA916509 EPW916509 EZS916509 FJO916509 FTK916509 GDG916509 GNC916509 GWY916509 HGU916509 HQQ916509 IAM916509 IKI916509 IUE916509 JEA916509 JNW916509 JXS916509 KHO916509 KRK916509 LBG916509 LLC916509 LUY916509 MEU916509 MOQ916509 MYM916509 NII916509 NSE916509 OCA916509 OLW916509 OVS916509 PFO916509 PPK916509 PZG916509 QJC916509 QSY916509 RCU916509 RMQ916509 RWM916509 SGI916509 SQE916509 TAA916509 TJW916509 TTS916509 UDO916509 UNK916509 UXG916509 VHC916509 L982045 IA982045 RW982045 ABS982045 ALO982045 AVK982045 BFG982045 BPC982045 BYY982045 CIU982045 CSQ982045 DCM982045 DMI982045 DWE982045 EGA982045 EPW982045 EZS982045 FJO982045 FTK982045 GDG982045 GNC982045 GWY982045 HGU982045 HQQ982045 IAM982045 IKI982045 IUE982045 JEA982045 JNW982045 JXS982045 KHO982045 KRK982045 LBG982045 LLC982045 LUY982045 MEU982045 MOQ982045 MYM982045 NII982045 NSE982045 OCA982045 OLW982045 OVS982045 PFO982045 PPK982045 PZG982045 QJC982045 QSY982045 RCU982045 RMQ982045 RWM982045 SGI982045 SQE982045 TAA982045 TJW982045 TTS982045 UDO982045 UNK982045 UXG982045 VHC982045">
      <formula1>"从租计征,从价计征"</formula1>
    </dataValidation>
  </dataValidations>
  <pageMargins left="0.69930555555555596" right="0.69930555555555596"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3:Q58"/>
  <sheetViews>
    <sheetView topLeftCell="A2" workbookViewId="0">
      <pane xSplit="5" ySplit="3" topLeftCell="F17" activePane="bottomRight" state="frozen"/>
      <selection activeCell="A2" sqref="A2"/>
      <selection pane="topRight"/>
      <selection pane="bottomLeft"/>
      <selection pane="bottomRight" activeCell="L30" sqref="L30"/>
    </sheetView>
  </sheetViews>
  <sheetFormatPr defaultColWidth="9" defaultRowHeight="13.5"/>
  <cols>
    <col min="1" max="1" width="9" style="260"/>
    <col min="2" max="2" width="23.5" style="260" customWidth="1"/>
    <col min="3" max="3" width="11" style="260" customWidth="1"/>
    <col min="4" max="4" width="6.875" style="260" customWidth="1"/>
    <col min="5" max="5" width="13.125" style="1461" customWidth="1"/>
    <col min="6" max="6" width="11" style="260" customWidth="1"/>
    <col min="7" max="7" width="8" style="260" customWidth="1"/>
    <col min="8" max="8" width="11" style="260" customWidth="1"/>
    <col min="9" max="9" width="6.125" style="260" customWidth="1"/>
    <col min="10" max="10" width="11" style="260" customWidth="1"/>
    <col min="11" max="11" width="4.875" style="260" customWidth="1"/>
    <col min="12" max="12" width="11" style="260" customWidth="1"/>
    <col min="13" max="13" width="5.25" style="260" customWidth="1"/>
    <col min="14" max="14" width="11" style="260" customWidth="1"/>
    <col min="15" max="15" width="5.5" style="260" customWidth="1"/>
    <col min="16" max="16" width="11" style="260" customWidth="1"/>
    <col min="17" max="17" width="9.125" style="260" customWidth="1"/>
    <col min="18" max="16384" width="9" style="260"/>
  </cols>
  <sheetData>
    <row r="3" spans="1:17">
      <c r="A3" s="1746"/>
      <c r="B3" s="1747"/>
      <c r="C3" s="1747"/>
      <c r="D3" s="1747"/>
      <c r="E3" s="1789" t="s">
        <v>249</v>
      </c>
      <c r="F3" s="1758" t="s">
        <v>19</v>
      </c>
      <c r="G3" s="1759"/>
      <c r="H3" s="1754" t="s">
        <v>20</v>
      </c>
      <c r="I3" s="1755"/>
      <c r="J3" s="1758" t="s">
        <v>21</v>
      </c>
      <c r="K3" s="1759"/>
      <c r="L3" s="1754" t="s">
        <v>22</v>
      </c>
      <c r="M3" s="1755"/>
      <c r="N3" s="1758" t="s">
        <v>23</v>
      </c>
      <c r="O3" s="1759"/>
      <c r="P3" s="1754" t="s">
        <v>24</v>
      </c>
      <c r="Q3" s="1755"/>
    </row>
    <row r="4" spans="1:17" ht="25.5" customHeight="1">
      <c r="A4" s="1748" t="s">
        <v>250</v>
      </c>
      <c r="B4" s="1748"/>
      <c r="C4" s="1749" t="s">
        <v>251</v>
      </c>
      <c r="D4" s="1750"/>
      <c r="E4" s="1790"/>
      <c r="F4" s="1760"/>
      <c r="G4" s="1761"/>
      <c r="H4" s="1756"/>
      <c r="I4" s="1757"/>
      <c r="J4" s="1760"/>
      <c r="K4" s="1761"/>
      <c r="L4" s="1756"/>
      <c r="M4" s="1757"/>
      <c r="N4" s="1760"/>
      <c r="O4" s="1761"/>
      <c r="P4" s="1756"/>
      <c r="Q4" s="1757"/>
    </row>
    <row r="5" spans="1:17">
      <c r="A5" s="1787" t="s">
        <v>252</v>
      </c>
      <c r="B5" s="1377" t="s">
        <v>253</v>
      </c>
      <c r="C5" s="1751">
        <f>综合表!C5</f>
        <v>25847.699999999997</v>
      </c>
      <c r="D5" s="1752"/>
      <c r="E5" s="1462">
        <f>'8.项目规划指标表'!C14</f>
        <v>0</v>
      </c>
      <c r="F5" s="1753">
        <f>综合表!G5</f>
        <v>24144.982762499996</v>
      </c>
      <c r="G5" s="1753"/>
      <c r="H5" s="1753">
        <f>综合表!AG5</f>
        <v>0</v>
      </c>
      <c r="I5" s="1753"/>
      <c r="J5" s="1753">
        <f>综合表!BG5</f>
        <v>0</v>
      </c>
      <c r="K5" s="1753"/>
      <c r="L5" s="1753">
        <f>综合表!CG5</f>
        <v>0</v>
      </c>
      <c r="M5" s="1753"/>
      <c r="N5" s="1753">
        <f>综合表!DG5</f>
        <v>0</v>
      </c>
      <c r="O5" s="1753"/>
      <c r="P5" s="1753">
        <f>综合表!EG5</f>
        <v>0</v>
      </c>
      <c r="Q5" s="1753"/>
    </row>
    <row r="6" spans="1:17">
      <c r="A6" s="1787"/>
      <c r="B6" s="1377" t="s">
        <v>254</v>
      </c>
      <c r="C6" s="1751">
        <f>综合表!C6</f>
        <v>81287</v>
      </c>
      <c r="D6" s="1752"/>
      <c r="E6" s="1462">
        <f>'8.项目规划指标表'!D14</f>
        <v>0</v>
      </c>
      <c r="F6" s="1753">
        <f>综合表!G6</f>
        <v>81287</v>
      </c>
      <c r="G6" s="1753"/>
      <c r="H6" s="1753">
        <f>综合表!AG6</f>
        <v>0</v>
      </c>
      <c r="I6" s="1753"/>
      <c r="J6" s="1753">
        <f>综合表!BG6</f>
        <v>0</v>
      </c>
      <c r="K6" s="1753"/>
      <c r="L6" s="1753">
        <f>综合表!CG6</f>
        <v>0</v>
      </c>
      <c r="M6" s="1753"/>
      <c r="N6" s="1753">
        <f>综合表!DG6</f>
        <v>0</v>
      </c>
      <c r="O6" s="1753"/>
      <c r="P6" s="1753">
        <f>综合表!EG6</f>
        <v>0</v>
      </c>
      <c r="Q6" s="1753"/>
    </row>
    <row r="7" spans="1:17">
      <c r="A7" s="1787"/>
      <c r="B7" s="1377" t="s">
        <v>255</v>
      </c>
      <c r="C7" s="1751">
        <f>综合表!C7</f>
        <v>59740</v>
      </c>
      <c r="D7" s="1752"/>
      <c r="E7" s="1462">
        <f>'8.项目规划指标表'!E14</f>
        <v>0</v>
      </c>
      <c r="F7" s="1753">
        <f>综合表!G7</f>
        <v>59740</v>
      </c>
      <c r="G7" s="1753"/>
      <c r="H7" s="1753">
        <f>综合表!AG7</f>
        <v>0</v>
      </c>
      <c r="I7" s="1753"/>
      <c r="J7" s="1753">
        <f>综合表!BG7</f>
        <v>0</v>
      </c>
      <c r="K7" s="1753"/>
      <c r="L7" s="1753">
        <f>综合表!CG7</f>
        <v>0</v>
      </c>
      <c r="M7" s="1753"/>
      <c r="N7" s="1753">
        <f>综合表!DG7</f>
        <v>0</v>
      </c>
      <c r="O7" s="1753"/>
      <c r="P7" s="1753">
        <f>综合表!EG7</f>
        <v>0</v>
      </c>
      <c r="Q7" s="1753"/>
    </row>
    <row r="8" spans="1:17">
      <c r="A8" s="1787"/>
      <c r="B8" s="1379" t="s">
        <v>256</v>
      </c>
      <c r="C8" s="1751">
        <f>综合表!C8</f>
        <v>609</v>
      </c>
      <c r="D8" s="1752"/>
      <c r="E8" s="1462"/>
      <c r="F8" s="1753">
        <f>综合表!G8</f>
        <v>609</v>
      </c>
      <c r="G8" s="1753"/>
      <c r="H8" s="1753">
        <f>综合表!AG8</f>
        <v>0</v>
      </c>
      <c r="I8" s="1753"/>
      <c r="J8" s="1753">
        <f>综合表!BG8</f>
        <v>0</v>
      </c>
      <c r="K8" s="1753"/>
      <c r="L8" s="1753">
        <f>综合表!CG8</f>
        <v>0</v>
      </c>
      <c r="M8" s="1753"/>
      <c r="N8" s="1753">
        <f>综合表!DG8</f>
        <v>0</v>
      </c>
      <c r="O8" s="1753"/>
      <c r="P8" s="1753">
        <f>综合表!EG8</f>
        <v>0</v>
      </c>
      <c r="Q8" s="1753"/>
    </row>
    <row r="9" spans="1:17">
      <c r="A9" s="1787"/>
      <c r="B9" s="1377" t="s">
        <v>257</v>
      </c>
      <c r="C9" s="1762">
        <f>'8.项目规划指标表'!D16/'8.项目规划指标表'!C16</f>
        <v>2.4998355753123103</v>
      </c>
      <c r="D9" s="1763"/>
      <c r="E9" s="1463" t="e">
        <f>E6/E5</f>
        <v>#DIV/0!</v>
      </c>
      <c r="F9" s="1764">
        <f>综合表!G9</f>
        <v>2.64850054477234</v>
      </c>
      <c r="G9" s="1765"/>
      <c r="H9" s="1766">
        <f>综合表!AG9</f>
        <v>0</v>
      </c>
      <c r="I9" s="1766"/>
      <c r="J9" s="1766">
        <f>综合表!BG9</f>
        <v>0</v>
      </c>
      <c r="K9" s="1766"/>
      <c r="L9" s="1766">
        <f>综合表!CG9</f>
        <v>0</v>
      </c>
      <c r="M9" s="1766"/>
      <c r="N9" s="1766">
        <f>综合表!DG9</f>
        <v>0</v>
      </c>
      <c r="O9" s="1766"/>
      <c r="P9" s="1766">
        <f>综合表!EG9</f>
        <v>0</v>
      </c>
      <c r="Q9" s="1766"/>
    </row>
    <row r="10" spans="1:17">
      <c r="A10" s="1787"/>
      <c r="B10" s="1382" t="s">
        <v>258</v>
      </c>
      <c r="C10" s="1767">
        <f>SUM(F10:Q10)</f>
        <v>95988.878167238086</v>
      </c>
      <c r="D10" s="1768"/>
      <c r="E10" s="1462" t="s">
        <v>259</v>
      </c>
      <c r="F10" s="1769">
        <f>'3.保本售价试算'!O6</f>
        <v>95988.878167238086</v>
      </c>
      <c r="G10" s="1770"/>
      <c r="H10" s="1769">
        <f>'3.保本售价试算'!AB6</f>
        <v>0</v>
      </c>
      <c r="I10" s="1770"/>
      <c r="J10" s="1769">
        <f>'3.保本售价试算'!AO6</f>
        <v>0</v>
      </c>
      <c r="K10" s="1770"/>
      <c r="L10" s="1769">
        <f>'3.保本售价试算'!BB6</f>
        <v>0</v>
      </c>
      <c r="M10" s="1770"/>
      <c r="N10" s="1769">
        <f>'3.保本售价试算'!BO6</f>
        <v>0</v>
      </c>
      <c r="O10" s="1770"/>
      <c r="P10" s="1769">
        <f>'3.保本售价试算'!CB6</f>
        <v>0</v>
      </c>
      <c r="Q10" s="1770"/>
    </row>
    <row r="11" spans="1:17">
      <c r="A11" s="1788"/>
      <c r="B11" s="1376" t="s">
        <v>260</v>
      </c>
      <c r="C11" s="1767">
        <f>SUM(E11:Q11)</f>
        <v>100593.19495999999</v>
      </c>
      <c r="D11" s="1768"/>
      <c r="E11" s="1464">
        <f>自持利润及现金流量表!D16</f>
        <v>0</v>
      </c>
      <c r="F11" s="1769">
        <f>'5.分产品利润表'!O6</f>
        <v>100593.19495999999</v>
      </c>
      <c r="G11" s="1770"/>
      <c r="H11" s="1769">
        <f>'5.分产品利润表'!AB6</f>
        <v>0</v>
      </c>
      <c r="I11" s="1770"/>
      <c r="J11" s="1769">
        <f>'5.分产品利润表'!AO6</f>
        <v>0</v>
      </c>
      <c r="K11" s="1770"/>
      <c r="L11" s="1769">
        <f>'5.分产品利润表'!BB6</f>
        <v>0</v>
      </c>
      <c r="M11" s="1770"/>
      <c r="N11" s="1769">
        <f>'5.分产品利润表'!BO6</f>
        <v>0</v>
      </c>
      <c r="O11" s="1770"/>
      <c r="P11" s="1769">
        <f>'5.分产品利润表'!CB6</f>
        <v>0</v>
      </c>
      <c r="Q11" s="1770"/>
    </row>
    <row r="12" spans="1:17">
      <c r="A12" s="1788"/>
      <c r="B12" s="1376" t="str">
        <f>CONCATENATE("3.土地成本","（",ROUND(IFERROR(C12/($C$12+$C$13)%,0),2),"%）")</f>
        <v>3.土地成本（39.61%）</v>
      </c>
      <c r="C12" s="1767">
        <f>SUM(E12:Q12)</f>
        <v>20460.111314965787</v>
      </c>
      <c r="D12" s="1768"/>
      <c r="E12" s="1462">
        <f>'12.土地成本表'!C96</f>
        <v>0</v>
      </c>
      <c r="F12" s="1769">
        <f>'5.分产品利润表'!O7-'5.分产品利润表'!Y7</f>
        <v>20460.111314965787</v>
      </c>
      <c r="G12" s="1770"/>
      <c r="H12" s="1769">
        <f>'5.分产品利润表'!AB7-'5.分产品利润表'!AL7</f>
        <v>0</v>
      </c>
      <c r="I12" s="1770"/>
      <c r="J12" s="1769">
        <f>'5.分产品利润表'!AO7-'5.分产品利润表'!AY7</f>
        <v>0</v>
      </c>
      <c r="K12" s="1770"/>
      <c r="L12" s="1769">
        <f>'5.分产品利润表'!BB7-'5.分产品利润表'!BL7</f>
        <v>0</v>
      </c>
      <c r="M12" s="1770"/>
      <c r="N12" s="1769">
        <f>'5.分产品利润表'!BO7-'5.分产品利润表'!BY7</f>
        <v>0</v>
      </c>
      <c r="O12" s="1770"/>
      <c r="P12" s="1769">
        <f>'5.分产品利润表'!CB7-'5.分产品利润表'!CL7</f>
        <v>0</v>
      </c>
      <c r="Q12" s="1770"/>
    </row>
    <row r="13" spans="1:17">
      <c r="A13" s="1788"/>
      <c r="B13" s="1376" t="str">
        <f>CONCATENATE("4.建安成本","（",ROUND(IFERROR(C13/($C$12+$C$13)%,0),2),"%）")</f>
        <v>4.建安成本（60.39%）</v>
      </c>
      <c r="C13" s="1767">
        <f>SUM(E13:Q13)</f>
        <v>31190.531999999999</v>
      </c>
      <c r="D13" s="1768"/>
      <c r="E13" s="1462">
        <f>'5.分产品利润表'!L8+'5.分产品利润表'!L10+自持利润及现金流量表!D17+自持利润及现金流量表!D22+自持利润及现金流量表!D23+自持利润及现金流量表!D24</f>
        <v>0</v>
      </c>
      <c r="F13" s="1769">
        <f>'5.分产品利润表'!O8-'5.分产品利润表'!Y8</f>
        <v>31190.531999999999</v>
      </c>
      <c r="G13" s="1770"/>
      <c r="H13" s="1769">
        <f>'5.分产品利润表'!AB8-'5.分产品利润表'!AL8</f>
        <v>0</v>
      </c>
      <c r="I13" s="1770"/>
      <c r="J13" s="1769">
        <f>'5.分产品利润表'!AO8-'5.分产品利润表'!AY8</f>
        <v>0</v>
      </c>
      <c r="K13" s="1770"/>
      <c r="L13" s="1769">
        <f>'5.分产品利润表'!BB8-'5.分产品利润表'!BL8</f>
        <v>0</v>
      </c>
      <c r="M13" s="1770"/>
      <c r="N13" s="1769">
        <f>'5.分产品利润表'!BO8-'5.分产品利润表'!BY8</f>
        <v>0</v>
      </c>
      <c r="O13" s="1770"/>
      <c r="P13" s="1769">
        <f>'5.分产品利润表'!CB8-'5.分产品利润表'!CL8</f>
        <v>0</v>
      </c>
      <c r="Q13" s="1770"/>
    </row>
    <row r="14" spans="1:17">
      <c r="A14" s="1788"/>
      <c r="B14" s="1396" t="s">
        <v>261</v>
      </c>
      <c r="C14" s="1767">
        <f>SUM(E14:Q14)</f>
        <v>48942.551645034204</v>
      </c>
      <c r="D14" s="1768"/>
      <c r="E14" s="1462"/>
      <c r="F14" s="1771">
        <f>F11-F12-F13</f>
        <v>48942.551645034204</v>
      </c>
      <c r="G14" s="1772"/>
      <c r="H14" s="1771">
        <f t="shared" ref="H14" si="0">H11-H12-H13</f>
        <v>0</v>
      </c>
      <c r="I14" s="1772"/>
      <c r="J14" s="1771">
        <f t="shared" ref="J14" si="1">J11-J12-J13</f>
        <v>0</v>
      </c>
      <c r="K14" s="1772"/>
      <c r="L14" s="1771">
        <f t="shared" ref="L14" si="2">L11-L12-L13</f>
        <v>0</v>
      </c>
      <c r="M14" s="1772"/>
      <c r="N14" s="1771">
        <f t="shared" ref="N14" si="3">N11-N12-N13</f>
        <v>0</v>
      </c>
      <c r="O14" s="1772"/>
      <c r="P14" s="1771">
        <f>P11-P12-P13</f>
        <v>0</v>
      </c>
      <c r="Q14" s="1772"/>
    </row>
    <row r="15" spans="1:17">
      <c r="A15" s="1788"/>
      <c r="B15" s="1396" t="s">
        <v>262</v>
      </c>
      <c r="C15" s="1773">
        <f>IFERROR(C14/C11,0)</f>
        <v>0.48653938931451357</v>
      </c>
      <c r="D15" s="1774"/>
      <c r="E15" s="1462"/>
      <c r="F15" s="1775">
        <f>IFERROR(F14/F11,0)</f>
        <v>0.48653938931451357</v>
      </c>
      <c r="G15" s="1776"/>
      <c r="H15" s="1775">
        <f>IFERROR(H14/H11,0)</f>
        <v>0</v>
      </c>
      <c r="I15" s="1776"/>
      <c r="J15" s="1775">
        <f>IFERROR(J14/J11,0)</f>
        <v>0</v>
      </c>
      <c r="K15" s="1776"/>
      <c r="L15" s="1775">
        <f>IFERROR(L14/L11,0)</f>
        <v>0</v>
      </c>
      <c r="M15" s="1776"/>
      <c r="N15" s="1775">
        <f>IFERROR(N14/N11,0)</f>
        <v>0</v>
      </c>
      <c r="O15" s="1776"/>
      <c r="P15" s="1775">
        <f>IFERROR(P14/P11,0)</f>
        <v>0</v>
      </c>
      <c r="Q15" s="1776"/>
    </row>
    <row r="16" spans="1:17">
      <c r="A16" s="1788"/>
      <c r="B16" s="1376" t="str">
        <f>CONCATENATE("7.营销费用","（",ROUND(IFERROR(C16/($C$11)%,0),2),"%）")</f>
        <v>7.营销费用（2.5%）</v>
      </c>
      <c r="C16" s="1767">
        <f>SUM(E16:Q16)</f>
        <v>2514.829874</v>
      </c>
      <c r="D16" s="1768"/>
      <c r="E16" s="1462">
        <f>自持利润及现金流量表!D18</f>
        <v>0</v>
      </c>
      <c r="F16" s="1777">
        <f>'5.分产品利润表'!O17</f>
        <v>2514.829874</v>
      </c>
      <c r="G16" s="1778"/>
      <c r="H16" s="1777">
        <f>'5.分产品利润表'!AB17</f>
        <v>0</v>
      </c>
      <c r="I16" s="1778"/>
      <c r="J16" s="1777">
        <f>'5.分产品利润表'!AO17</f>
        <v>0</v>
      </c>
      <c r="K16" s="1778"/>
      <c r="L16" s="1777">
        <f>'5.分产品利润表'!BB17</f>
        <v>0</v>
      </c>
      <c r="M16" s="1778"/>
      <c r="N16" s="1777">
        <f>'5.分产品利润表'!BO17</f>
        <v>0</v>
      </c>
      <c r="O16" s="1778"/>
      <c r="P16" s="1777">
        <f>'5.分产品利润表'!CB17</f>
        <v>0</v>
      </c>
      <c r="Q16" s="1778"/>
    </row>
    <row r="17" spans="1:17">
      <c r="A17" s="1788"/>
      <c r="B17" s="1376" t="str">
        <f>CONCATENATE("8.管理费用","（",ROUND(IFERROR(C17/($C$11)%,0),2),"%）")</f>
        <v>8.管理费用（2%）</v>
      </c>
      <c r="C17" s="1767">
        <f>SUM(E17:Q17)</f>
        <v>2011.8638992000001</v>
      </c>
      <c r="D17" s="1768"/>
      <c r="E17" s="1462">
        <f>自持利润及现金流量表!D19</f>
        <v>0</v>
      </c>
      <c r="F17" s="1777">
        <f>'5.分产品利润表'!O16</f>
        <v>2011.8638992000001</v>
      </c>
      <c r="G17" s="1778"/>
      <c r="H17" s="1777">
        <f>'5.分产品利润表'!AB16</f>
        <v>0</v>
      </c>
      <c r="I17" s="1778"/>
      <c r="J17" s="1777">
        <f>'5.分产品利润表'!AO16</f>
        <v>0</v>
      </c>
      <c r="K17" s="1778"/>
      <c r="L17" s="1777">
        <f>'5.分产品利润表'!BB16</f>
        <v>0</v>
      </c>
      <c r="M17" s="1778"/>
      <c r="N17" s="1777">
        <f>'5.分产品利润表'!BO16</f>
        <v>0</v>
      </c>
      <c r="O17" s="1778"/>
      <c r="P17" s="1777">
        <f>'5.分产品利润表'!CB16</f>
        <v>0</v>
      </c>
      <c r="Q17" s="1778"/>
    </row>
    <row r="18" spans="1:17">
      <c r="A18" s="1788"/>
      <c r="B18" s="1376" t="str">
        <f ca="1">CONCATENATE("9.财务费用","（",ROUND(IFERROR(C18/($C$11)%,0),2),"%）")</f>
        <v>9.财务费用（0.9%）</v>
      </c>
      <c r="C18" s="1767">
        <f ca="1">SUM(E18:Q18)</f>
        <v>901.5</v>
      </c>
      <c r="D18" s="1768"/>
      <c r="E18" s="1462">
        <f ca="1">'5.分产品利润表'!L18</f>
        <v>0</v>
      </c>
      <c r="F18" s="1777">
        <f ca="1">'5.分产品利润表'!O18-'5.分产品利润表'!Y18</f>
        <v>901.5</v>
      </c>
      <c r="G18" s="1778"/>
      <c r="H18" s="1777">
        <f ca="1">'5.分产品利润表'!AB18-'5.分产品利润表'!AL18</f>
        <v>0</v>
      </c>
      <c r="I18" s="1778"/>
      <c r="J18" s="1777">
        <f ca="1">'5.分产品利润表'!AO18-'5.分产品利润表'!AY18</f>
        <v>0</v>
      </c>
      <c r="K18" s="1778"/>
      <c r="L18" s="1777">
        <f ca="1">'5.分产品利润表'!BB18-'5.分产品利润表'!BL18</f>
        <v>0</v>
      </c>
      <c r="M18" s="1778"/>
      <c r="N18" s="1777">
        <f ca="1">'5.分产品利润表'!BO18-'5.分产品利润表'!BY18</f>
        <v>0</v>
      </c>
      <c r="O18" s="1778"/>
      <c r="P18" s="1777">
        <f ca="1">'5.分产品利润表'!CB18-'5.分产品利润表'!CL18</f>
        <v>0</v>
      </c>
      <c r="Q18" s="1778"/>
    </row>
    <row r="19" spans="1:17">
      <c r="A19" s="1788"/>
      <c r="B19" s="1376" t="str">
        <f ca="1">CONCATENATE("10.税负","（",ROUND(IFERROR(C19/($C$11)%,0),2),"%）")</f>
        <v>10.税负（22.65%）</v>
      </c>
      <c r="C19" s="1767">
        <f ca="1">SUM(E19:Q19)</f>
        <v>22782.496488224773</v>
      </c>
      <c r="D19" s="1768"/>
      <c r="E19" s="1462">
        <f ca="1">自持利润及现金流量表!D37+自持利润及现金流量表!D38</f>
        <v>0</v>
      </c>
      <c r="F19" s="1777">
        <f ca="1">'5.分产品利润表'!O10+'5.分产品利润表'!O13+'5.分产品利润表'!O14+'5.分产品利润表'!O15+'5.分产品利润表'!O19</f>
        <v>22782.496488224773</v>
      </c>
      <c r="G19" s="1778"/>
      <c r="H19" s="1777">
        <f ca="1">'5.分产品利润表'!AB10+'5.分产品利润表'!AB13+'5.分产品利润表'!AB14+'5.分产品利润表'!AB15+'5.分产品利润表'!AB19</f>
        <v>0</v>
      </c>
      <c r="I19" s="1778"/>
      <c r="J19" s="1777">
        <f ca="1">'5.分产品利润表'!AO10+'5.分产品利润表'!AO13+'5.分产品利润表'!AO14+'5.分产品利润表'!AO15+'5.分产品利润表'!AO19</f>
        <v>0</v>
      </c>
      <c r="K19" s="1778"/>
      <c r="L19" s="1777">
        <f ca="1">'5.分产品利润表'!BB10+'5.分产品利润表'!BB13+'5.分产品利润表'!BB14+'5.分产品利润表'!BB15+'5.分产品利润表'!BB19</f>
        <v>0</v>
      </c>
      <c r="M19" s="1778"/>
      <c r="N19" s="1777">
        <f ca="1">'5.分产品利润表'!BO10+'5.分产品利润表'!BO13+'5.分产品利润表'!BO14+'5.分产品利润表'!BO15+'5.分产品利润表'!BO19</f>
        <v>0</v>
      </c>
      <c r="O19" s="1778"/>
      <c r="P19" s="1777">
        <f ca="1">'5.分产品利润表'!CB10+'5.分产品利润表'!CB13+'5.分产品利润表'!CB14+'5.分产品利润表'!CB15+'5.分产品利润表'!CB19</f>
        <v>0</v>
      </c>
      <c r="Q19" s="1778"/>
    </row>
    <row r="20" spans="1:17">
      <c r="A20" s="1788"/>
      <c r="B20" s="1376" t="s">
        <v>263</v>
      </c>
      <c r="C20" s="1767">
        <f ca="1">E20+F20+H20+J20+L20+N20+P20</f>
        <v>20731.86138360943</v>
      </c>
      <c r="D20" s="1768"/>
      <c r="E20" s="1462">
        <f ca="1">E11-E12-E13-E16-E17-E18-E19</f>
        <v>0</v>
      </c>
      <c r="F20" s="1777">
        <f ca="1">F14-F16-F17-F18-F19+(F22+F23)*0.75+F24</f>
        <v>20731.86138360943</v>
      </c>
      <c r="G20" s="1778" t="e">
        <f>G11-G13-#REF!-G14-G15</f>
        <v>#REF!</v>
      </c>
      <c r="H20" s="1777">
        <f t="shared" ref="H20" ca="1" si="4">H14-H16-H17-H18-H19+(H22+H23)*0.75+H24</f>
        <v>0</v>
      </c>
      <c r="I20" s="1778" t="e">
        <f>I11-I13-#REF!-I14-I15</f>
        <v>#REF!</v>
      </c>
      <c r="J20" s="1777">
        <f t="shared" ref="J20" ca="1" si="5">J14-J16-J17-J18-J19+(J22+J23)*0.75+J24</f>
        <v>0</v>
      </c>
      <c r="K20" s="1778" t="e">
        <f>K11-K13-#REF!-K14-K15</f>
        <v>#REF!</v>
      </c>
      <c r="L20" s="1777">
        <f t="shared" ref="L20" ca="1" si="6">L14-L16-L17-L18-L19+(L22+L23)*0.75+L24</f>
        <v>0</v>
      </c>
      <c r="M20" s="1778" t="e">
        <f>M11-M13-#REF!-M14-M15</f>
        <v>#REF!</v>
      </c>
      <c r="N20" s="1777">
        <f t="shared" ref="N20" ca="1" si="7">N14-N16-N17-N18-N19+(N22+N23)*0.75+N24</f>
        <v>0</v>
      </c>
      <c r="O20" s="1778" t="e">
        <f>O11-O13-#REF!-O14-O15</f>
        <v>#REF!</v>
      </c>
      <c r="P20" s="1777">
        <f ca="1">P14-P16-P17-P18-P19+(P22+P23)*0.75+P24</f>
        <v>0</v>
      </c>
      <c r="Q20" s="1778" t="e">
        <f>Q11-Q13-#REF!-Q14-Q15</f>
        <v>#REF!</v>
      </c>
    </row>
    <row r="21" spans="1:17">
      <c r="A21" s="1788"/>
      <c r="B21" s="1376" t="s">
        <v>264</v>
      </c>
      <c r="C21" s="1779">
        <f ca="1">IFERROR(C20/C11,0)</f>
        <v>0.20609606238129005</v>
      </c>
      <c r="D21" s="1779"/>
      <c r="E21" s="1465" t="e">
        <f ca="1">E20/E11</f>
        <v>#DIV/0!</v>
      </c>
      <c r="F21" s="1780">
        <f ca="1">IFERROR(F20/F11,0)</f>
        <v>0.20609606238129005</v>
      </c>
      <c r="G21" s="1781"/>
      <c r="H21" s="1780">
        <f ca="1">IFERROR(H20/H11,0)</f>
        <v>0</v>
      </c>
      <c r="I21" s="1781"/>
      <c r="J21" s="1780">
        <f ca="1">IFERROR(J20/J11,0)</f>
        <v>0</v>
      </c>
      <c r="K21" s="1781"/>
      <c r="L21" s="1780">
        <f ca="1">IFERROR(L20/L11,0)</f>
        <v>0</v>
      </c>
      <c r="M21" s="1781"/>
      <c r="N21" s="1780">
        <f ca="1">IFERROR(N20/N11,0)</f>
        <v>0</v>
      </c>
      <c r="O21" s="1781"/>
      <c r="P21" s="1780">
        <f ca="1">IFERROR(P20/P11,0)</f>
        <v>0</v>
      </c>
      <c r="Q21" s="1781"/>
    </row>
    <row r="22" spans="1:17">
      <c r="A22" s="1788"/>
      <c r="B22" s="1393" t="s">
        <v>265</v>
      </c>
      <c r="C22" s="1767">
        <f>SUM(E22:Q22)</f>
        <v>0</v>
      </c>
      <c r="D22" s="1768"/>
      <c r="E22" s="1462"/>
      <c r="F22" s="1782">
        <f>'5.分产品利润表'!O23</f>
        <v>0</v>
      </c>
      <c r="G22" s="1782"/>
      <c r="H22" s="1782">
        <f>'5.分产品利润表'!AB23</f>
        <v>0</v>
      </c>
      <c r="I22" s="1782"/>
      <c r="J22" s="1782">
        <f>'5.分产品利润表'!AO23</f>
        <v>0</v>
      </c>
      <c r="K22" s="1782"/>
      <c r="L22" s="1782">
        <f>'5.分产品利润表'!BB23</f>
        <v>0</v>
      </c>
      <c r="M22" s="1782"/>
      <c r="N22" s="1782">
        <f>'5.分产品利润表'!BO23</f>
        <v>0</v>
      </c>
      <c r="O22" s="1782"/>
      <c r="P22" s="1782">
        <f>'5.分产品利润表'!CB23</f>
        <v>0</v>
      </c>
      <c r="Q22" s="1782"/>
    </row>
    <row r="23" spans="1:17">
      <c r="A23" s="1788"/>
      <c r="B23" s="1393" t="s">
        <v>266</v>
      </c>
      <c r="C23" s="1767">
        <f ca="1">SUM(E23:Q23)</f>
        <v>0</v>
      </c>
      <c r="D23" s="1768"/>
      <c r="E23" s="1462"/>
      <c r="F23" s="1782">
        <f ca="1">'5.分产品利润表'!O22</f>
        <v>0</v>
      </c>
      <c r="G23" s="1782"/>
      <c r="H23" s="1782">
        <f ca="1">'5.分产品利润表'!AB22</f>
        <v>0</v>
      </c>
      <c r="I23" s="1782"/>
      <c r="J23" s="1782">
        <f ca="1">'5.分产品利润表'!AO22</f>
        <v>0</v>
      </c>
      <c r="K23" s="1782"/>
      <c r="L23" s="1782">
        <f ca="1">'5.分产品利润表'!BB22</f>
        <v>0</v>
      </c>
      <c r="M23" s="1782"/>
      <c r="N23" s="1782">
        <f ca="1">'5.分产品利润表'!BO22</f>
        <v>0</v>
      </c>
      <c r="O23" s="1782"/>
      <c r="P23" s="1782">
        <f ca="1">'5.分产品利润表'!CB22</f>
        <v>0</v>
      </c>
      <c r="Q23" s="1782"/>
    </row>
    <row r="24" spans="1:17">
      <c r="A24" s="1788"/>
      <c r="B24" s="1393" t="s">
        <v>267</v>
      </c>
      <c r="C24" s="1767">
        <f ca="1">SUM(E24:Q24)</f>
        <v>0</v>
      </c>
      <c r="D24" s="1768"/>
      <c r="E24" s="1462"/>
      <c r="F24" s="1782">
        <f ca="1">'5.分产品利润表'!O24</f>
        <v>0</v>
      </c>
      <c r="G24" s="1782"/>
      <c r="H24" s="1782">
        <f ca="1">'5.分产品利润表'!AB24</f>
        <v>0</v>
      </c>
      <c r="I24" s="1782"/>
      <c r="J24" s="1782">
        <f ca="1">'5.分产品利润表'!AO24</f>
        <v>0</v>
      </c>
      <c r="K24" s="1782"/>
      <c r="L24" s="1782">
        <f ca="1">'5.分产品利润表'!BB24</f>
        <v>0</v>
      </c>
      <c r="M24" s="1782"/>
      <c r="N24" s="1782">
        <f ca="1">'5.分产品利润表'!BO24</f>
        <v>0</v>
      </c>
      <c r="O24" s="1782"/>
      <c r="P24" s="1782">
        <f ca="1">'5.分产品利润表'!CB24</f>
        <v>0</v>
      </c>
      <c r="Q24" s="1782"/>
    </row>
    <row r="25" spans="1:17">
      <c r="A25" s="1788"/>
      <c r="B25" s="1407" t="s">
        <v>268</v>
      </c>
      <c r="C25" s="1783">
        <f ca="1">C20-(C22+C23)*0.75-C24</f>
        <v>20731.86138360943</v>
      </c>
      <c r="D25" s="1783"/>
      <c r="E25" s="1466">
        <f ca="1">E20</f>
        <v>0</v>
      </c>
      <c r="F25" s="1783">
        <f ca="1">F20-(F22+F23)*0.75-F24</f>
        <v>20731.86138360943</v>
      </c>
      <c r="G25" s="1783"/>
      <c r="H25" s="1783">
        <f t="shared" ref="H25" ca="1" si="8">H20+(H22+H23)*0.75+H24</f>
        <v>0</v>
      </c>
      <c r="I25" s="1783"/>
      <c r="J25" s="1783">
        <f t="shared" ref="J25" ca="1" si="9">J20+(J22+J23)*0.75+J24</f>
        <v>0</v>
      </c>
      <c r="K25" s="1783"/>
      <c r="L25" s="1783">
        <f t="shared" ref="L25" ca="1" si="10">L20+(L22+L23)*0.75+L24</f>
        <v>0</v>
      </c>
      <c r="M25" s="1783"/>
      <c r="N25" s="1783">
        <f t="shared" ref="N25" ca="1" si="11">N20+(N22+N23)*0.75+N24</f>
        <v>0</v>
      </c>
      <c r="O25" s="1783"/>
      <c r="P25" s="1783">
        <f t="shared" ref="P25" ca="1" si="12">P20+(P22+P23)*0.75+P24</f>
        <v>0</v>
      </c>
      <c r="Q25" s="1783"/>
    </row>
    <row r="26" spans="1:17">
      <c r="A26" s="1788"/>
      <c r="B26" s="1407" t="str">
        <f>CONCATENATE("属于佳兆业净利润","（",ROUND(IFERROR(收并购参数设置!C8*100,0),2),"%）")</f>
        <v>属于佳兆业净利润（100%）</v>
      </c>
      <c r="C26" s="1783">
        <f ca="1">C20*收并购参数设置!$C$8</f>
        <v>20731.86138360943</v>
      </c>
      <c r="D26" s="1783"/>
      <c r="E26" s="1466">
        <f ca="1">E25*收并购参数设置!C8</f>
        <v>0</v>
      </c>
      <c r="F26" s="1783">
        <f ca="1">F20*收并购参数设置!$C$8</f>
        <v>20731.86138360943</v>
      </c>
      <c r="G26" s="1783"/>
      <c r="H26" s="1783">
        <f ca="1">H25*收并购参数设置!$C$8</f>
        <v>0</v>
      </c>
      <c r="I26" s="1783"/>
      <c r="J26" s="1783">
        <f ca="1">J25*收并购参数设置!$C$8</f>
        <v>0</v>
      </c>
      <c r="K26" s="1783"/>
      <c r="L26" s="1783">
        <f ca="1">L25*收并购参数设置!$C$8</f>
        <v>0</v>
      </c>
      <c r="M26" s="1783"/>
      <c r="N26" s="1783">
        <f ca="1">N25*收并购参数设置!$C$8</f>
        <v>0</v>
      </c>
      <c r="O26" s="1783"/>
      <c r="P26" s="1783">
        <f ca="1">P25*收并购参数设置!$C$8</f>
        <v>0</v>
      </c>
      <c r="Q26" s="1783"/>
    </row>
    <row r="27" spans="1:17">
      <c r="A27" s="1788"/>
      <c r="B27" s="1393" t="s">
        <v>127</v>
      </c>
      <c r="C27" s="1784">
        <f>'7.现金流量表'!C45</f>
        <v>17491.397481298311</v>
      </c>
      <c r="D27" s="1785"/>
      <c r="E27" s="1467"/>
      <c r="F27" s="1468"/>
      <c r="G27" s="1469"/>
      <c r="H27" s="1469"/>
      <c r="I27" s="1469"/>
      <c r="J27" s="1469"/>
      <c r="K27" s="1469"/>
      <c r="L27" s="1469"/>
      <c r="M27" s="1469"/>
      <c r="N27" s="1469"/>
      <c r="O27" s="1469"/>
      <c r="P27" s="1469"/>
      <c r="Q27" s="1469"/>
    </row>
    <row r="28" spans="1:17">
      <c r="A28" s="1788"/>
      <c r="B28" s="1393" t="s">
        <v>269</v>
      </c>
      <c r="C28" s="1784">
        <f>(收并购参数设置!E5+收并购参数设置!E6)-SUM(收并购参数设置!C22:F22)</f>
        <v>0</v>
      </c>
      <c r="D28" s="1785"/>
      <c r="E28" s="1470"/>
      <c r="F28" s="1471"/>
      <c r="G28" s="1472"/>
      <c r="H28" s="1472"/>
      <c r="I28" s="1472"/>
      <c r="J28" s="1472"/>
      <c r="K28" s="1472"/>
      <c r="L28" s="1472"/>
      <c r="M28" s="1472"/>
      <c r="N28" s="1472"/>
      <c r="O28" s="1472"/>
      <c r="P28" s="1472"/>
      <c r="Q28" s="1472"/>
    </row>
    <row r="29" spans="1:17">
      <c r="A29" s="1788"/>
      <c r="B29" s="1393" t="s">
        <v>270</v>
      </c>
      <c r="C29" s="1791">
        <f>'7.现金流量表'!C55</f>
        <v>1500</v>
      </c>
      <c r="D29" s="1792"/>
      <c r="E29" s="1470"/>
      <c r="F29" s="1471"/>
      <c r="G29" s="1472"/>
      <c r="H29" s="1472"/>
      <c r="I29" s="1472"/>
      <c r="J29" s="1472"/>
      <c r="K29" s="1472"/>
      <c r="L29" s="1472"/>
      <c r="M29" s="1472"/>
      <c r="N29" s="1472"/>
      <c r="O29" s="1472"/>
      <c r="P29" s="1472"/>
      <c r="Q29" s="1472"/>
    </row>
    <row r="30" spans="1:17">
      <c r="A30" s="1788"/>
      <c r="B30" s="1393" t="s">
        <v>271</v>
      </c>
      <c r="C30" s="1791">
        <f>'7.现金流量表'!C54</f>
        <v>735</v>
      </c>
      <c r="D30" s="1792"/>
      <c r="E30" s="1470"/>
      <c r="F30" s="1471">
        <f ca="1">C29+C30+'17.财务费用测算表'!C22+'17.财务费用测算表'!C23</f>
        <v>3136.5</v>
      </c>
      <c r="G30" s="1472"/>
      <c r="H30" s="1472"/>
      <c r="I30" s="1472"/>
      <c r="J30" s="1472"/>
      <c r="K30" s="1472"/>
      <c r="L30" s="1472"/>
      <c r="M30" s="1472"/>
      <c r="N30" s="1472"/>
      <c r="O30" s="1472"/>
      <c r="P30" s="1472"/>
      <c r="Q30" s="1472"/>
    </row>
    <row r="31" spans="1:17">
      <c r="A31" s="1788"/>
      <c r="B31" s="1393" t="s">
        <v>272</v>
      </c>
      <c r="C31" s="1784">
        <f>IF(收并购参数设置!E7="是",0,IF(收并购参数设置!E8="是",'17.财务费用测算表'!C22*(收并购参数设置!E9-收并购参数设置!C8)*(收并购参数设置!C9/12%-1),0))</f>
        <v>0</v>
      </c>
      <c r="D31" s="1785"/>
      <c r="E31" s="1470" t="s">
        <v>1057</v>
      </c>
      <c r="F31" s="1471">
        <f ca="1">C30+'17.财务费用测算表'!C22</f>
        <v>999</v>
      </c>
      <c r="G31" s="1472"/>
      <c r="H31" s="1472"/>
      <c r="I31" s="1472"/>
      <c r="J31" s="1472"/>
      <c r="K31" s="1472"/>
      <c r="L31" s="1472"/>
      <c r="M31" s="1472"/>
      <c r="N31" s="1472"/>
      <c r="O31" s="1472"/>
      <c r="P31" s="1472"/>
      <c r="Q31" s="1472"/>
    </row>
    <row r="32" spans="1:17">
      <c r="A32" s="1788"/>
      <c r="B32" s="1393" t="s">
        <v>134</v>
      </c>
      <c r="C32" s="1784">
        <f>IF(收并购参数设置!E11="是",收并购参数设置!C11*(1-1/1.06*25%-1/1.06*6%),收并购参数设置!C11)</f>
        <v>0</v>
      </c>
      <c r="D32" s="1785"/>
      <c r="E32" s="1470"/>
      <c r="F32" s="1471"/>
      <c r="G32" s="1472"/>
      <c r="H32" s="1472"/>
      <c r="I32" s="1472"/>
      <c r="J32" s="1472"/>
      <c r="K32" s="1472"/>
      <c r="L32" s="1472"/>
      <c r="M32" s="1472"/>
      <c r="N32" s="1472"/>
      <c r="O32" s="1472"/>
      <c r="P32" s="1472"/>
      <c r="Q32" s="1472"/>
    </row>
    <row r="33" spans="1:17">
      <c r="A33" s="1788"/>
      <c r="B33" s="1393" t="s">
        <v>136</v>
      </c>
      <c r="C33" s="1784">
        <f>IF(收并购参数设置!E12="是",收并购参数设置!C12*(1-25%),收并购参数设置!C12)</f>
        <v>0</v>
      </c>
      <c r="D33" s="1785"/>
      <c r="E33" s="1470"/>
      <c r="F33" s="1471"/>
      <c r="G33" s="1472"/>
      <c r="H33" s="1472"/>
      <c r="I33" s="1472"/>
      <c r="J33" s="1472"/>
      <c r="K33" s="1472"/>
      <c r="L33" s="1472"/>
      <c r="M33" s="1472"/>
      <c r="N33" s="1472"/>
      <c r="O33" s="1472"/>
      <c r="P33" s="1472"/>
      <c r="Q33" s="1472"/>
    </row>
    <row r="34" spans="1:17" s="623" customFormat="1">
      <c r="A34" s="1788"/>
      <c r="B34" s="1393" t="s">
        <v>137</v>
      </c>
      <c r="C34" s="1784">
        <f>IF(收并购参数设置!E13="是",收并购参数设置!C13*(1-25%),收并购参数设置!C13)</f>
        <v>0</v>
      </c>
      <c r="D34" s="1785"/>
      <c r="E34" s="1470"/>
      <c r="F34" s="1471"/>
      <c r="G34" s="1472"/>
      <c r="H34" s="1472"/>
      <c r="I34" s="1472"/>
      <c r="J34" s="1472"/>
      <c r="K34" s="1472"/>
      <c r="L34" s="1472"/>
      <c r="M34" s="1472"/>
      <c r="N34" s="1472"/>
      <c r="O34" s="1472"/>
      <c r="P34" s="1472"/>
      <c r="Q34" s="1472"/>
    </row>
    <row r="35" spans="1:17" s="623" customFormat="1">
      <c r="A35" s="1788"/>
      <c r="B35" s="1393" t="s">
        <v>138</v>
      </c>
      <c r="C35" s="1784">
        <f>C11*收并购参数设置!C14*(1-收并购参数设置!C8)</f>
        <v>0</v>
      </c>
      <c r="D35" s="1785"/>
      <c r="E35" s="1470"/>
      <c r="F35" s="1471"/>
      <c r="G35" s="1472"/>
      <c r="H35" s="1472"/>
      <c r="I35" s="1472"/>
      <c r="J35" s="1472"/>
      <c r="K35" s="1472"/>
      <c r="L35" s="1472"/>
      <c r="M35" s="1472"/>
      <c r="N35" s="1472"/>
      <c r="O35" s="1472"/>
      <c r="P35" s="1472"/>
      <c r="Q35" s="1472"/>
    </row>
    <row r="36" spans="1:17" s="623" customFormat="1">
      <c r="A36" s="1788"/>
      <c r="B36" s="1393" t="s">
        <v>139</v>
      </c>
      <c r="C36" s="1784">
        <f>C11*收并购参数设置!E14*(1-收并购参数设置!C8)</f>
        <v>0</v>
      </c>
      <c r="D36" s="1785"/>
      <c r="E36" s="1470"/>
      <c r="F36" s="1471"/>
      <c r="G36" s="1472"/>
      <c r="H36" s="1472"/>
      <c r="I36" s="1472"/>
      <c r="J36" s="1472"/>
      <c r="K36" s="1472"/>
      <c r="L36" s="1472"/>
      <c r="M36" s="1472"/>
      <c r="N36" s="1472"/>
      <c r="O36" s="1472"/>
      <c r="P36" s="1472"/>
      <c r="Q36" s="1472"/>
    </row>
    <row r="37" spans="1:17" s="623" customFormat="1">
      <c r="A37" s="1788"/>
      <c r="B37" s="1393" t="s">
        <v>273</v>
      </c>
      <c r="C37" s="1784">
        <f>收并购参数设置!C15</f>
        <v>0</v>
      </c>
      <c r="D37" s="1785"/>
      <c r="E37" s="1470"/>
      <c r="F37" s="1471"/>
      <c r="G37" s="1472"/>
      <c r="H37" s="1472"/>
      <c r="I37" s="1472"/>
      <c r="J37" s="1472"/>
      <c r="K37" s="1472"/>
      <c r="L37" s="1472"/>
      <c r="M37" s="1472"/>
      <c r="N37" s="1472"/>
      <c r="O37" s="1472"/>
      <c r="P37" s="1472"/>
      <c r="Q37" s="1472"/>
    </row>
    <row r="38" spans="1:17" s="623" customFormat="1">
      <c r="A38" s="1788"/>
      <c r="B38" s="1393" t="s">
        <v>274</v>
      </c>
      <c r="C38" s="1784"/>
      <c r="D38" s="1785"/>
      <c r="E38" s="1470"/>
      <c r="F38" s="1471"/>
      <c r="G38" s="1472"/>
      <c r="H38" s="1472"/>
      <c r="I38" s="1472"/>
      <c r="J38" s="1472"/>
      <c r="K38" s="1472"/>
      <c r="L38" s="1472"/>
      <c r="M38" s="1472"/>
      <c r="N38" s="1472"/>
      <c r="O38" s="1472"/>
      <c r="P38" s="1472"/>
      <c r="Q38" s="1472"/>
    </row>
    <row r="39" spans="1:17" s="623" customFormat="1">
      <c r="A39" s="1788"/>
      <c r="B39" s="1407" t="s">
        <v>275</v>
      </c>
      <c r="C39" s="1783">
        <f ca="1">C26-C27-C28-C29-C30+C31-C32-C33-C34+C35+C36-C37-C38</f>
        <v>1005.4639023111195</v>
      </c>
      <c r="D39" s="1783"/>
      <c r="E39" s="1473"/>
      <c r="F39" s="1471"/>
      <c r="G39" s="1472"/>
      <c r="H39" s="1472"/>
      <c r="I39" s="1472"/>
      <c r="J39" s="1472"/>
      <c r="K39" s="1472"/>
      <c r="L39" s="1472"/>
      <c r="M39" s="1472"/>
      <c r="N39" s="1472"/>
      <c r="O39" s="1472"/>
      <c r="P39" s="1472"/>
      <c r="Q39" s="1472"/>
    </row>
    <row r="40" spans="1:17" s="623" customFormat="1">
      <c r="A40" s="1788"/>
      <c r="B40" s="1407" t="s">
        <v>276</v>
      </c>
      <c r="C40" s="1786">
        <f ca="1">C39/C11</f>
        <v>9.9953471277150849E-3</v>
      </c>
      <c r="D40" s="1786"/>
      <c r="E40" s="1473"/>
      <c r="F40" s="1474"/>
      <c r="G40" s="1420"/>
      <c r="H40" s="1420"/>
      <c r="I40" s="1420"/>
      <c r="J40" s="1420"/>
      <c r="K40" s="1420"/>
      <c r="L40" s="1420"/>
      <c r="M40" s="1420"/>
      <c r="N40" s="1420"/>
      <c r="O40" s="1420"/>
      <c r="P40" s="1420"/>
      <c r="Q40" s="1420"/>
    </row>
    <row r="41" spans="1:17" s="623" customFormat="1">
      <c r="E41" s="1475"/>
    </row>
    <row r="42" spans="1:17" s="623" customFormat="1">
      <c r="E42" s="1475"/>
    </row>
    <row r="43" spans="1:17" s="623" customFormat="1">
      <c r="E43" s="1475"/>
    </row>
    <row r="44" spans="1:17" s="623" customFormat="1">
      <c r="E44" s="1475"/>
    </row>
    <row r="45" spans="1:17" s="623" customFormat="1">
      <c r="E45" s="1475"/>
    </row>
    <row r="58" spans="3:3" hidden="1">
      <c r="C58" s="1476">
        <f>-(-C27-C28-C29-C30+C31-C32-C33-C34+C35+C36-C37-C38)</f>
        <v>19726.397481298311</v>
      </c>
    </row>
  </sheetData>
  <sheetProtection formatCells="0" formatColumns="0" formatRows="0"/>
  <mergeCells count="180">
    <mergeCell ref="P3:Q4"/>
    <mergeCell ref="C38:D38"/>
    <mergeCell ref="C39:D39"/>
    <mergeCell ref="C40:D40"/>
    <mergeCell ref="A5:A9"/>
    <mergeCell ref="A10:A40"/>
    <mergeCell ref="E3:E4"/>
    <mergeCell ref="F3:G4"/>
    <mergeCell ref="H3:I4"/>
    <mergeCell ref="J3:K4"/>
    <mergeCell ref="C29:D29"/>
    <mergeCell ref="C30:D30"/>
    <mergeCell ref="C31:D31"/>
    <mergeCell ref="C32:D32"/>
    <mergeCell ref="C33:D33"/>
    <mergeCell ref="C34:D34"/>
    <mergeCell ref="C35:D35"/>
    <mergeCell ref="C36:D36"/>
    <mergeCell ref="C37:D37"/>
    <mergeCell ref="C26:D26"/>
    <mergeCell ref="F26:G26"/>
    <mergeCell ref="H26:I26"/>
    <mergeCell ref="J26:K26"/>
    <mergeCell ref="L26:M26"/>
    <mergeCell ref="N26:O26"/>
    <mergeCell ref="P26:Q26"/>
    <mergeCell ref="C27:D27"/>
    <mergeCell ref="C28:D28"/>
    <mergeCell ref="C24:D24"/>
    <mergeCell ref="F24:G24"/>
    <mergeCell ref="H24:I24"/>
    <mergeCell ref="J24:K24"/>
    <mergeCell ref="L24:M24"/>
    <mergeCell ref="N24:O24"/>
    <mergeCell ref="P24:Q24"/>
    <mergeCell ref="C25:D25"/>
    <mergeCell ref="F25:G25"/>
    <mergeCell ref="H25:I25"/>
    <mergeCell ref="J25:K25"/>
    <mergeCell ref="L25:M25"/>
    <mergeCell ref="N25:O25"/>
    <mergeCell ref="P25:Q25"/>
    <mergeCell ref="C22:D22"/>
    <mergeCell ref="F22:G22"/>
    <mergeCell ref="H22:I22"/>
    <mergeCell ref="J22:K22"/>
    <mergeCell ref="L22:M22"/>
    <mergeCell ref="N22:O22"/>
    <mergeCell ref="P22:Q22"/>
    <mergeCell ref="C23:D23"/>
    <mergeCell ref="F23:G23"/>
    <mergeCell ref="H23:I23"/>
    <mergeCell ref="J23:K23"/>
    <mergeCell ref="L23:M23"/>
    <mergeCell ref="N23:O23"/>
    <mergeCell ref="P23:Q23"/>
    <mergeCell ref="C20:D20"/>
    <mergeCell ref="F20:G20"/>
    <mergeCell ref="H20:I20"/>
    <mergeCell ref="J20:K20"/>
    <mergeCell ref="L20:M20"/>
    <mergeCell ref="N20:O20"/>
    <mergeCell ref="P20:Q20"/>
    <mergeCell ref="C21:D21"/>
    <mergeCell ref="F21:G21"/>
    <mergeCell ref="H21:I21"/>
    <mergeCell ref="J21:K21"/>
    <mergeCell ref="L21:M21"/>
    <mergeCell ref="N21:O21"/>
    <mergeCell ref="P21:Q21"/>
    <mergeCell ref="C18:D18"/>
    <mergeCell ref="F18:G18"/>
    <mergeCell ref="H18:I18"/>
    <mergeCell ref="J18:K18"/>
    <mergeCell ref="L18:M18"/>
    <mergeCell ref="N18:O18"/>
    <mergeCell ref="P18:Q18"/>
    <mergeCell ref="C19:D19"/>
    <mergeCell ref="F19:G19"/>
    <mergeCell ref="H19:I19"/>
    <mergeCell ref="J19:K19"/>
    <mergeCell ref="L19:M19"/>
    <mergeCell ref="N19:O19"/>
    <mergeCell ref="P19:Q19"/>
    <mergeCell ref="C16:D16"/>
    <mergeCell ref="F16:G16"/>
    <mergeCell ref="H16:I16"/>
    <mergeCell ref="J16:K16"/>
    <mergeCell ref="L16:M16"/>
    <mergeCell ref="N16:O16"/>
    <mergeCell ref="P16:Q16"/>
    <mergeCell ref="C17:D17"/>
    <mergeCell ref="F17:G17"/>
    <mergeCell ref="H17:I17"/>
    <mergeCell ref="J17:K17"/>
    <mergeCell ref="L17:M17"/>
    <mergeCell ref="N17:O17"/>
    <mergeCell ref="P17:Q17"/>
    <mergeCell ref="C14:D14"/>
    <mergeCell ref="F14:G14"/>
    <mergeCell ref="H14:I14"/>
    <mergeCell ref="J14:K14"/>
    <mergeCell ref="L14:M14"/>
    <mergeCell ref="N14:O14"/>
    <mergeCell ref="P14:Q14"/>
    <mergeCell ref="C15:D15"/>
    <mergeCell ref="F15:G15"/>
    <mergeCell ref="H15:I15"/>
    <mergeCell ref="J15:K15"/>
    <mergeCell ref="L15:M15"/>
    <mergeCell ref="N15:O15"/>
    <mergeCell ref="P15:Q15"/>
    <mergeCell ref="C12:D12"/>
    <mergeCell ref="F12:G12"/>
    <mergeCell ref="H12:I12"/>
    <mergeCell ref="J12:K12"/>
    <mergeCell ref="L12:M12"/>
    <mergeCell ref="N12:O12"/>
    <mergeCell ref="P12:Q12"/>
    <mergeCell ref="C13:D13"/>
    <mergeCell ref="F13:G13"/>
    <mergeCell ref="H13:I13"/>
    <mergeCell ref="J13:K13"/>
    <mergeCell ref="L13:M13"/>
    <mergeCell ref="N13:O13"/>
    <mergeCell ref="P13:Q13"/>
    <mergeCell ref="C10:D10"/>
    <mergeCell ref="F10:G10"/>
    <mergeCell ref="H10:I10"/>
    <mergeCell ref="J10:K10"/>
    <mergeCell ref="L10:M10"/>
    <mergeCell ref="N10:O10"/>
    <mergeCell ref="P10:Q10"/>
    <mergeCell ref="C11:D11"/>
    <mergeCell ref="F11:G11"/>
    <mergeCell ref="H11:I11"/>
    <mergeCell ref="J11:K11"/>
    <mergeCell ref="L11:M11"/>
    <mergeCell ref="N11:O11"/>
    <mergeCell ref="P11:Q11"/>
    <mergeCell ref="C8:D8"/>
    <mergeCell ref="F8:G8"/>
    <mergeCell ref="H8:I8"/>
    <mergeCell ref="J8:K8"/>
    <mergeCell ref="L8:M8"/>
    <mergeCell ref="N8:O8"/>
    <mergeCell ref="P8:Q8"/>
    <mergeCell ref="C9:D9"/>
    <mergeCell ref="F9:G9"/>
    <mergeCell ref="H9:I9"/>
    <mergeCell ref="J9:K9"/>
    <mergeCell ref="L9:M9"/>
    <mergeCell ref="N9:O9"/>
    <mergeCell ref="P9:Q9"/>
    <mergeCell ref="P5:Q5"/>
    <mergeCell ref="C6:D6"/>
    <mergeCell ref="F6:G6"/>
    <mergeCell ref="H6:I6"/>
    <mergeCell ref="J6:K6"/>
    <mergeCell ref="L6:M6"/>
    <mergeCell ref="N6:O6"/>
    <mergeCell ref="P6:Q6"/>
    <mergeCell ref="C7:D7"/>
    <mergeCell ref="F7:G7"/>
    <mergeCell ref="H7:I7"/>
    <mergeCell ref="J7:K7"/>
    <mergeCell ref="L7:M7"/>
    <mergeCell ref="N7:O7"/>
    <mergeCell ref="P7:Q7"/>
    <mergeCell ref="A3:D3"/>
    <mergeCell ref="A4:B4"/>
    <mergeCell ref="C4:D4"/>
    <mergeCell ref="C5:D5"/>
    <mergeCell ref="F5:G5"/>
    <mergeCell ref="H5:I5"/>
    <mergeCell ref="J5:K5"/>
    <mergeCell ref="L5:M5"/>
    <mergeCell ref="N5:O5"/>
    <mergeCell ref="L3:M4"/>
    <mergeCell ref="N3:O4"/>
  </mergeCells>
  <phoneticPr fontId="102" type="noConversion"/>
  <pageMargins left="0.69930555555555596" right="0.69930555555555596" top="0.75" bottom="0.75" header="0.3" footer="0.3"/>
  <pageSetup paperSize="9" scale="46"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FFC000"/>
    <outlinePr summaryRight="0"/>
    <pageSetUpPr fitToPage="1"/>
  </sheetPr>
  <dimension ref="A1:FF118"/>
  <sheetViews>
    <sheetView zoomScale="90" zoomScaleNormal="90" workbookViewId="0">
      <pane xSplit="2" ySplit="10" topLeftCell="C25" activePane="bottomRight" state="frozen"/>
      <selection pane="topRight"/>
      <selection pane="bottomLeft"/>
      <selection pane="bottomRight" activeCell="E4" sqref="E4:F4"/>
    </sheetView>
  </sheetViews>
  <sheetFormatPr defaultColWidth="9" defaultRowHeight="12" outlineLevelRow="1" outlineLevelCol="1"/>
  <cols>
    <col min="1" max="1" width="5.75" style="1370" customWidth="1"/>
    <col min="2" max="2" width="28.5" style="1370" customWidth="1"/>
    <col min="3" max="3" width="11.25" style="1370" customWidth="1"/>
    <col min="4" max="4" width="11.5" style="1370" customWidth="1"/>
    <col min="5" max="5" width="10.875" style="1370" customWidth="1"/>
    <col min="6" max="6" width="10.5" style="1370" customWidth="1"/>
    <col min="7" max="7" width="10.875" style="1370" customWidth="1"/>
    <col min="8" max="8" width="11.125" style="1370" customWidth="1"/>
    <col min="9" max="9" width="10.875" style="1370" customWidth="1" outlineLevel="1"/>
    <col min="10" max="10" width="11.125" style="1370" customWidth="1" outlineLevel="1"/>
    <col min="11" max="11" width="9.875" style="1370" customWidth="1" outlineLevel="1"/>
    <col min="12" max="12" width="11" style="1371" customWidth="1" outlineLevel="1"/>
    <col min="13" max="13" width="11.125" style="1371" customWidth="1" outlineLevel="1"/>
    <col min="14" max="14" width="9.875" style="1371" customWidth="1" outlineLevel="1"/>
    <col min="15" max="15" width="11.75" style="1371" customWidth="1" outlineLevel="1"/>
    <col min="16" max="16" width="10.125" style="1371" customWidth="1" outlineLevel="1"/>
    <col min="17" max="18" width="10.125" style="1370" customWidth="1" outlineLevel="1"/>
    <col min="19" max="19" width="10.5" style="1370" customWidth="1" outlineLevel="1"/>
    <col min="20" max="20" width="10.75" style="1370" customWidth="1" outlineLevel="1"/>
    <col min="21" max="21" width="11.5" style="1370" customWidth="1" outlineLevel="1"/>
    <col min="22" max="22" width="10.75" style="1370" customWidth="1" outlineLevel="1"/>
    <col min="23" max="23" width="10.375" style="1370" customWidth="1" outlineLevel="1"/>
    <col min="24" max="25" width="8.5" style="1370" customWidth="1" outlineLevel="1"/>
    <col min="26" max="26" width="9.625" style="1370" customWidth="1" outlineLevel="1"/>
    <col min="27" max="27" width="9.5" style="1370" customWidth="1" outlineLevel="1"/>
    <col min="28" max="28" width="9.625" style="1370" customWidth="1" outlineLevel="1"/>
    <col min="29" max="29" width="9.5" style="1370" customWidth="1" outlineLevel="1"/>
    <col min="30" max="30" width="9.625" style="1370" customWidth="1" outlineLevel="1"/>
    <col min="31" max="31" width="9.5" style="1370" customWidth="1" outlineLevel="1"/>
    <col min="32" max="32" width="9.625" style="1370" customWidth="1" outlineLevel="1"/>
    <col min="33" max="33" width="10.875" style="1370" customWidth="1"/>
    <col min="34" max="34" width="11.125" style="1370" customWidth="1" collapsed="1"/>
    <col min="35" max="35" width="9.625" style="1370" hidden="1" customWidth="1" outlineLevel="1"/>
    <col min="36" max="36" width="11.125" style="1370" hidden="1" customWidth="1" outlineLevel="1"/>
    <col min="37" max="37" width="10.125" style="1370" hidden="1" customWidth="1" outlineLevel="1"/>
    <col min="38" max="38" width="11.5" style="1370" hidden="1" customWidth="1" outlineLevel="1"/>
    <col min="39" max="54" width="9" style="1371" hidden="1" customWidth="1" outlineLevel="1"/>
    <col min="55" max="55" width="11" style="1371" hidden="1" customWidth="1" outlineLevel="1"/>
    <col min="56" max="58" width="9" style="1371" hidden="1" customWidth="1" outlineLevel="1"/>
    <col min="59" max="59" width="10.875" style="1370" customWidth="1"/>
    <col min="60" max="60" width="11.125" style="1370" customWidth="1"/>
    <col min="61" max="84" width="9" style="1371" customWidth="1" outlineLevel="1"/>
    <col min="85" max="85" width="10.875" style="1370" customWidth="1"/>
    <col min="86" max="86" width="11.125" style="1370" customWidth="1" collapsed="1"/>
    <col min="87" max="110" width="9" style="1371" hidden="1" customWidth="1" outlineLevel="1"/>
    <col min="111" max="111" width="10.875" style="1370" customWidth="1"/>
    <col min="112" max="112" width="11.125" style="1370" customWidth="1" collapsed="1"/>
    <col min="113" max="136" width="9" style="1371" hidden="1" customWidth="1" outlineLevel="1"/>
    <col min="137" max="137" width="10.875" style="1370" customWidth="1"/>
    <col min="138" max="138" width="11.125" style="1370" customWidth="1" collapsed="1"/>
    <col min="139" max="162" width="9" style="1371" hidden="1" customWidth="1" outlineLevel="1"/>
    <col min="163" max="16384" width="9" style="1370"/>
  </cols>
  <sheetData>
    <row r="1" spans="1:162" s="1356" customFormat="1" ht="26.25" customHeight="1">
      <c r="A1" s="1372">
        <f>目录!C2</f>
        <v>0</v>
      </c>
      <c r="B1" s="1373"/>
      <c r="C1" s="1373"/>
      <c r="D1" s="1373"/>
      <c r="E1" s="1373"/>
      <c r="F1" s="1373"/>
      <c r="G1" s="1373"/>
      <c r="H1" s="1373"/>
      <c r="I1" s="1373"/>
      <c r="J1" s="1373"/>
      <c r="K1" s="1373"/>
      <c r="L1" s="1373"/>
      <c r="M1" s="1373"/>
      <c r="N1" s="1373"/>
      <c r="O1" s="1373"/>
      <c r="P1" s="1429"/>
      <c r="Q1" s="1373"/>
      <c r="R1" s="1373"/>
      <c r="S1" s="1373"/>
      <c r="T1" s="1373"/>
      <c r="U1" s="1373"/>
      <c r="V1" s="1373"/>
      <c r="W1" s="1373"/>
      <c r="X1" s="1373"/>
      <c r="Y1" s="1373"/>
      <c r="Z1" s="1373"/>
      <c r="AA1" s="1373"/>
      <c r="AB1" s="1373"/>
      <c r="AC1" s="1373"/>
      <c r="AD1" s="1373"/>
      <c r="AE1" s="1373"/>
      <c r="AF1" s="1373"/>
      <c r="AG1" s="1373"/>
      <c r="AH1" s="1373"/>
      <c r="AI1" s="1373"/>
      <c r="AJ1" s="1373"/>
      <c r="AK1" s="1373"/>
      <c r="AL1" s="1373"/>
      <c r="AM1" s="1357"/>
      <c r="AN1" s="1357"/>
      <c r="AO1" s="1357"/>
      <c r="AP1" s="1357"/>
      <c r="AQ1" s="1357"/>
      <c r="AR1" s="1357"/>
      <c r="AS1" s="1357"/>
      <c r="AT1" s="1357"/>
      <c r="AU1" s="1357"/>
      <c r="AV1" s="1357"/>
      <c r="AW1" s="1357"/>
      <c r="AX1" s="1357"/>
      <c r="AY1" s="1357"/>
      <c r="AZ1" s="1357"/>
      <c r="BA1" s="1357"/>
      <c r="BB1" s="1357"/>
      <c r="BC1" s="1357"/>
      <c r="BD1" s="1357"/>
      <c r="BE1" s="1357"/>
      <c r="BF1" s="1357"/>
      <c r="BG1" s="1373"/>
      <c r="BH1" s="1373"/>
      <c r="BI1" s="1357"/>
      <c r="BJ1" s="1357"/>
      <c r="BK1" s="1357"/>
      <c r="BL1" s="1357"/>
      <c r="BM1" s="1357"/>
      <c r="BN1" s="1357"/>
      <c r="BO1" s="1357"/>
      <c r="BP1" s="1357"/>
      <c r="BQ1" s="1357"/>
      <c r="BR1" s="1357"/>
      <c r="BS1" s="1357"/>
      <c r="BT1" s="1357"/>
      <c r="BU1" s="1357"/>
      <c r="BV1" s="1357"/>
      <c r="BW1" s="1357"/>
      <c r="BX1" s="1357"/>
      <c r="BY1" s="1357"/>
      <c r="BZ1" s="1357"/>
      <c r="CA1" s="1357"/>
      <c r="CB1" s="1357"/>
      <c r="CC1" s="1357"/>
      <c r="CD1" s="1357"/>
      <c r="CE1" s="1357"/>
      <c r="CF1" s="1357"/>
      <c r="CG1" s="1373"/>
      <c r="CH1" s="1373"/>
      <c r="CI1" s="1357"/>
      <c r="CJ1" s="1357"/>
      <c r="CK1" s="1357"/>
      <c r="CL1" s="1357"/>
      <c r="CM1" s="1357"/>
      <c r="CN1" s="1357"/>
      <c r="CO1" s="1357"/>
      <c r="CP1" s="1357"/>
      <c r="CQ1" s="1357"/>
      <c r="CR1" s="1357"/>
      <c r="CS1" s="1357"/>
      <c r="CT1" s="1357"/>
      <c r="CU1" s="1357"/>
      <c r="CV1" s="1357"/>
      <c r="CW1" s="1357"/>
      <c r="CX1" s="1357"/>
      <c r="CY1" s="1357"/>
      <c r="CZ1" s="1357"/>
      <c r="DA1" s="1357"/>
      <c r="DB1" s="1357"/>
      <c r="DC1" s="1357"/>
      <c r="DD1" s="1357"/>
      <c r="DE1" s="1357"/>
      <c r="DF1" s="1357"/>
      <c r="DG1" s="1373"/>
      <c r="DH1" s="1373"/>
      <c r="DI1" s="1357"/>
      <c r="DJ1" s="1357"/>
      <c r="DK1" s="1357"/>
      <c r="DL1" s="1357"/>
      <c r="DM1" s="1357"/>
      <c r="DN1" s="1357"/>
      <c r="DO1" s="1357"/>
      <c r="DP1" s="1357"/>
      <c r="DQ1" s="1357"/>
      <c r="DR1" s="1357"/>
      <c r="DS1" s="1357"/>
      <c r="DT1" s="1357"/>
      <c r="DU1" s="1357"/>
      <c r="DV1" s="1357"/>
      <c r="DW1" s="1357"/>
      <c r="DX1" s="1357"/>
      <c r="DY1" s="1357"/>
      <c r="DZ1" s="1357"/>
      <c r="EA1" s="1357"/>
      <c r="EB1" s="1357"/>
      <c r="EC1" s="1357"/>
      <c r="ED1" s="1357"/>
      <c r="EE1" s="1357"/>
      <c r="EF1" s="1357"/>
      <c r="EG1" s="1373"/>
      <c r="EH1" s="1373"/>
      <c r="EI1" s="1357"/>
      <c r="EJ1" s="1357"/>
      <c r="EK1" s="1357"/>
      <c r="EL1" s="1357"/>
      <c r="EM1" s="1357"/>
      <c r="EN1" s="1357"/>
      <c r="EO1" s="1357"/>
      <c r="EP1" s="1357"/>
      <c r="EQ1" s="1357"/>
      <c r="ER1" s="1357"/>
      <c r="ES1" s="1357"/>
      <c r="ET1" s="1357"/>
      <c r="EU1" s="1357"/>
      <c r="EV1" s="1357"/>
      <c r="EW1" s="1357"/>
      <c r="EX1" s="1357"/>
      <c r="EY1" s="1357"/>
      <c r="EZ1" s="1357"/>
      <c r="FA1" s="1357"/>
      <c r="FB1" s="1357"/>
      <c r="FC1" s="1357"/>
      <c r="FD1" s="1357"/>
      <c r="FE1" s="1357"/>
      <c r="FF1" s="1357"/>
    </row>
    <row r="2" spans="1:162" s="1357" customFormat="1" ht="18" customHeight="1">
      <c r="A2" s="1357" t="s">
        <v>277</v>
      </c>
      <c r="B2" s="1374"/>
      <c r="C2" s="1371" t="s">
        <v>278</v>
      </c>
      <c r="D2" s="1374"/>
      <c r="E2" s="1374"/>
      <c r="F2" s="1374"/>
      <c r="G2" s="1374"/>
      <c r="H2" s="1374"/>
      <c r="I2" s="1374"/>
      <c r="J2" s="1374"/>
      <c r="K2" s="1374"/>
      <c r="AG2" s="1374"/>
      <c r="AH2" s="1374"/>
      <c r="BG2" s="1374"/>
      <c r="BH2" s="1374"/>
      <c r="CG2" s="1374"/>
      <c r="CH2" s="1374"/>
      <c r="DG2" s="1374"/>
      <c r="DH2" s="1374"/>
      <c r="EG2" s="1374"/>
      <c r="EH2" s="1374"/>
    </row>
    <row r="3" spans="1:162" s="1357" customFormat="1" ht="18.75" customHeight="1">
      <c r="A3" s="1746"/>
      <c r="B3" s="1747"/>
      <c r="C3" s="1747"/>
      <c r="D3" s="1747"/>
      <c r="E3" s="1747"/>
      <c r="F3" s="1747"/>
      <c r="G3" s="1746" t="s">
        <v>19</v>
      </c>
      <c r="H3" s="1746"/>
      <c r="I3" s="1746"/>
      <c r="J3" s="1746"/>
      <c r="K3" s="1746"/>
      <c r="L3" s="1746"/>
      <c r="M3" s="1746"/>
      <c r="N3" s="1746"/>
      <c r="O3" s="1746"/>
      <c r="P3" s="1746"/>
      <c r="Q3" s="1746"/>
      <c r="R3" s="1746"/>
      <c r="S3" s="1746"/>
      <c r="T3" s="1746"/>
      <c r="U3" s="1746"/>
      <c r="V3" s="1746"/>
      <c r="W3" s="1746"/>
      <c r="X3" s="1746"/>
      <c r="Y3" s="1746"/>
      <c r="Z3" s="1746"/>
      <c r="AA3" s="1746"/>
      <c r="AB3" s="1746"/>
      <c r="AC3" s="1746"/>
      <c r="AD3" s="1746"/>
      <c r="AE3" s="1746"/>
      <c r="AF3" s="1746"/>
      <c r="AG3" s="1793" t="s">
        <v>20</v>
      </c>
      <c r="AH3" s="1793"/>
      <c r="AI3" s="1793"/>
      <c r="AJ3" s="1793"/>
      <c r="AK3" s="1793"/>
      <c r="AL3" s="1793"/>
      <c r="AM3" s="1793"/>
      <c r="AN3" s="1793"/>
      <c r="AO3" s="1793"/>
      <c r="AP3" s="1793"/>
      <c r="AQ3" s="1793"/>
      <c r="AR3" s="1793"/>
      <c r="AS3" s="1793"/>
      <c r="AT3" s="1793"/>
      <c r="AU3" s="1793"/>
      <c r="AV3" s="1793"/>
      <c r="AW3" s="1793"/>
      <c r="AX3" s="1793"/>
      <c r="AY3" s="1793"/>
      <c r="AZ3" s="1793"/>
      <c r="BA3" s="1793"/>
      <c r="BB3" s="1793"/>
      <c r="BC3" s="1793"/>
      <c r="BD3" s="1793"/>
      <c r="BE3" s="1793"/>
      <c r="BF3" s="1793"/>
      <c r="BG3" s="1746" t="s">
        <v>21</v>
      </c>
      <c r="BH3" s="1746"/>
      <c r="BI3" s="1746"/>
      <c r="BJ3" s="1746"/>
      <c r="BK3" s="1746"/>
      <c r="BL3" s="1746"/>
      <c r="BM3" s="1746"/>
      <c r="BN3" s="1746"/>
      <c r="BO3" s="1746"/>
      <c r="BP3" s="1746"/>
      <c r="BQ3" s="1746"/>
      <c r="BR3" s="1746"/>
      <c r="BS3" s="1746"/>
      <c r="BT3" s="1746"/>
      <c r="BU3" s="1746"/>
      <c r="BV3" s="1746"/>
      <c r="BW3" s="1746"/>
      <c r="BX3" s="1746"/>
      <c r="BY3" s="1746"/>
      <c r="BZ3" s="1746"/>
      <c r="CA3" s="1746"/>
      <c r="CB3" s="1746"/>
      <c r="CC3" s="1746"/>
      <c r="CD3" s="1746"/>
      <c r="CE3" s="1746"/>
      <c r="CF3" s="1746"/>
      <c r="CG3" s="1793" t="s">
        <v>22</v>
      </c>
      <c r="CH3" s="1793"/>
      <c r="CI3" s="1793"/>
      <c r="CJ3" s="1793"/>
      <c r="CK3" s="1793"/>
      <c r="CL3" s="1793"/>
      <c r="CM3" s="1793"/>
      <c r="CN3" s="1793"/>
      <c r="CO3" s="1793"/>
      <c r="CP3" s="1793"/>
      <c r="CQ3" s="1793"/>
      <c r="CR3" s="1793"/>
      <c r="CS3" s="1793"/>
      <c r="CT3" s="1793"/>
      <c r="CU3" s="1793"/>
      <c r="CV3" s="1793"/>
      <c r="CW3" s="1793"/>
      <c r="CX3" s="1793"/>
      <c r="CY3" s="1793"/>
      <c r="CZ3" s="1793"/>
      <c r="DA3" s="1793"/>
      <c r="DB3" s="1793"/>
      <c r="DC3" s="1793"/>
      <c r="DD3" s="1793"/>
      <c r="DE3" s="1793"/>
      <c r="DF3" s="1793"/>
      <c r="DG3" s="1746" t="s">
        <v>23</v>
      </c>
      <c r="DH3" s="1746"/>
      <c r="DI3" s="1746"/>
      <c r="DJ3" s="1746"/>
      <c r="DK3" s="1746"/>
      <c r="DL3" s="1746"/>
      <c r="DM3" s="1746"/>
      <c r="DN3" s="1746"/>
      <c r="DO3" s="1746"/>
      <c r="DP3" s="1746"/>
      <c r="DQ3" s="1746"/>
      <c r="DR3" s="1746"/>
      <c r="DS3" s="1746"/>
      <c r="DT3" s="1746"/>
      <c r="DU3" s="1746"/>
      <c r="DV3" s="1746"/>
      <c r="DW3" s="1746"/>
      <c r="DX3" s="1746"/>
      <c r="DY3" s="1746"/>
      <c r="DZ3" s="1746"/>
      <c r="EA3" s="1746"/>
      <c r="EB3" s="1746"/>
      <c r="EC3" s="1746"/>
      <c r="ED3" s="1746"/>
      <c r="EE3" s="1746"/>
      <c r="EF3" s="1746"/>
      <c r="EG3" s="1793" t="s">
        <v>24</v>
      </c>
      <c r="EH3" s="1793"/>
      <c r="EI3" s="1793"/>
      <c r="EJ3" s="1793"/>
      <c r="EK3" s="1793"/>
      <c r="EL3" s="1793"/>
      <c r="EM3" s="1793"/>
      <c r="EN3" s="1793"/>
      <c r="EO3" s="1793"/>
      <c r="EP3" s="1793"/>
      <c r="EQ3" s="1793"/>
      <c r="ER3" s="1793"/>
      <c r="ES3" s="1793"/>
      <c r="ET3" s="1793"/>
      <c r="EU3" s="1793"/>
      <c r="EV3" s="1793"/>
      <c r="EW3" s="1793"/>
      <c r="EX3" s="1793"/>
      <c r="EY3" s="1793"/>
      <c r="EZ3" s="1793"/>
      <c r="FA3" s="1793"/>
      <c r="FB3" s="1793"/>
      <c r="FC3" s="1793"/>
      <c r="FD3" s="1793"/>
      <c r="FE3" s="1793"/>
      <c r="FF3" s="1793"/>
    </row>
    <row r="4" spans="1:162" s="1358" customFormat="1" ht="27" customHeight="1">
      <c r="A4" s="1748" t="s">
        <v>279</v>
      </c>
      <c r="B4" s="1748"/>
      <c r="C4" s="1749" t="s">
        <v>251</v>
      </c>
      <c r="D4" s="1750"/>
      <c r="E4" s="1749" t="s">
        <v>280</v>
      </c>
      <c r="F4" s="1750"/>
      <c r="G4" s="1794" t="s">
        <v>281</v>
      </c>
      <c r="H4" s="1795"/>
      <c r="I4" s="1794" t="str">
        <f>'8.项目规划指标表'!B5</f>
        <v>高层</v>
      </c>
      <c r="J4" s="1795"/>
      <c r="K4" s="1794" t="str">
        <f>'8.项目规划指标表'!B6</f>
        <v>商铺</v>
      </c>
      <c r="L4" s="1796"/>
      <c r="M4" s="1794" t="str">
        <f>'8.项目规划指标表'!B7</f>
        <v>回迁商业</v>
      </c>
      <c r="N4" s="1796"/>
      <c r="O4" s="1794">
        <f>'8.项目规划指标表'!B8</f>
        <v>0</v>
      </c>
      <c r="P4" s="1796"/>
      <c r="Q4" s="1794">
        <f>'8.项目规划指标表'!B9</f>
        <v>0</v>
      </c>
      <c r="R4" s="1796"/>
      <c r="S4" s="1794">
        <f>'8.项目规划指标表'!B10</f>
        <v>0</v>
      </c>
      <c r="T4" s="1796"/>
      <c r="U4" s="1794">
        <f>'8.项目规划指标表'!B11</f>
        <v>0</v>
      </c>
      <c r="V4" s="1796"/>
      <c r="W4" s="1794">
        <f>'8.项目规划指标表'!B12</f>
        <v>0</v>
      </c>
      <c r="X4" s="1796"/>
      <c r="Y4" s="1794">
        <f>'8.项目规划指标表'!B13</f>
        <v>0</v>
      </c>
      <c r="Z4" s="1796"/>
      <c r="AA4" s="1794" t="str">
        <f>'8.项目规划指标表'!B14</f>
        <v>自持物业</v>
      </c>
      <c r="AB4" s="1796"/>
      <c r="AC4" s="1794" t="str">
        <f>'8.项目规划指标表'!B18</f>
        <v>有产权车库(个)</v>
      </c>
      <c r="AD4" s="1796"/>
      <c r="AE4" s="1794" t="str">
        <f>'8.项目规划指标表'!B19</f>
        <v>无产权车库(个)</v>
      </c>
      <c r="AF4" s="1796"/>
      <c r="AG4" s="1794" t="s">
        <v>282</v>
      </c>
      <c r="AH4" s="1795"/>
      <c r="AI4" s="1797" t="str">
        <f>I4</f>
        <v>高层</v>
      </c>
      <c r="AJ4" s="1798"/>
      <c r="AK4" s="1797" t="str">
        <f t="shared" ref="AK4" si="0">K4</f>
        <v>商铺</v>
      </c>
      <c r="AL4" s="1798"/>
      <c r="AM4" s="1797" t="str">
        <f t="shared" ref="AM4" si="1">M4</f>
        <v>回迁商业</v>
      </c>
      <c r="AN4" s="1798"/>
      <c r="AO4" s="1797">
        <f t="shared" ref="AO4" si="2">O4</f>
        <v>0</v>
      </c>
      <c r="AP4" s="1798"/>
      <c r="AQ4" s="1797">
        <f t="shared" ref="AQ4" si="3">Q4</f>
        <v>0</v>
      </c>
      <c r="AR4" s="1798"/>
      <c r="AS4" s="1797">
        <f t="shared" ref="AS4" si="4">S4</f>
        <v>0</v>
      </c>
      <c r="AT4" s="1798"/>
      <c r="AU4" s="1797">
        <f t="shared" ref="AU4" si="5">U4</f>
        <v>0</v>
      </c>
      <c r="AV4" s="1798"/>
      <c r="AW4" s="1797">
        <f t="shared" ref="AW4" si="6">W4</f>
        <v>0</v>
      </c>
      <c r="AX4" s="1798"/>
      <c r="AY4" s="1797">
        <f t="shared" ref="AY4" si="7">Y4</f>
        <v>0</v>
      </c>
      <c r="AZ4" s="1798"/>
      <c r="BA4" s="1797" t="str">
        <f t="shared" ref="BA4" si="8">AA4</f>
        <v>自持物业</v>
      </c>
      <c r="BB4" s="1798"/>
      <c r="BC4" s="1797" t="str">
        <f t="shared" ref="BC4" si="9">AC4</f>
        <v>有产权车库(个)</v>
      </c>
      <c r="BD4" s="1798"/>
      <c r="BE4" s="1797" t="str">
        <f t="shared" ref="BE4" si="10">AE4</f>
        <v>无产权车库(个)</v>
      </c>
      <c r="BF4" s="1798"/>
      <c r="BG4" s="1794" t="s">
        <v>283</v>
      </c>
      <c r="BH4" s="1795"/>
      <c r="BI4" s="1797" t="str">
        <f>AI4</f>
        <v>高层</v>
      </c>
      <c r="BJ4" s="1798"/>
      <c r="BK4" s="1797" t="str">
        <f>AK4</f>
        <v>商铺</v>
      </c>
      <c r="BL4" s="1798"/>
      <c r="BM4" s="1797" t="str">
        <f>AM4</f>
        <v>回迁商业</v>
      </c>
      <c r="BN4" s="1798"/>
      <c r="BO4" s="1797">
        <f>AO4</f>
        <v>0</v>
      </c>
      <c r="BP4" s="1798"/>
      <c r="BQ4" s="1797">
        <f>AQ4</f>
        <v>0</v>
      </c>
      <c r="BR4" s="1798"/>
      <c r="BS4" s="1797">
        <f>AS4</f>
        <v>0</v>
      </c>
      <c r="BT4" s="1798"/>
      <c r="BU4" s="1797">
        <f>AU4</f>
        <v>0</v>
      </c>
      <c r="BV4" s="1798"/>
      <c r="BW4" s="1797">
        <f>AW4</f>
        <v>0</v>
      </c>
      <c r="BX4" s="1798"/>
      <c r="BY4" s="1797">
        <f t="shared" ref="BY4" si="11">AY4</f>
        <v>0</v>
      </c>
      <c r="BZ4" s="1798"/>
      <c r="CA4" s="1797" t="str">
        <f t="shared" ref="CA4" si="12">BA4</f>
        <v>自持物业</v>
      </c>
      <c r="CB4" s="1798"/>
      <c r="CC4" s="1797" t="str">
        <f t="shared" ref="CC4" si="13">BC4</f>
        <v>有产权车库(个)</v>
      </c>
      <c r="CD4" s="1798"/>
      <c r="CE4" s="1797" t="str">
        <f t="shared" ref="CE4" si="14">BE4</f>
        <v>无产权车库(个)</v>
      </c>
      <c r="CF4" s="1798"/>
      <c r="CG4" s="1794" t="s">
        <v>284</v>
      </c>
      <c r="CH4" s="1795"/>
      <c r="CI4" s="1797" t="str">
        <f>BI4</f>
        <v>高层</v>
      </c>
      <c r="CJ4" s="1798"/>
      <c r="CK4" s="1797" t="str">
        <f t="shared" ref="CK4" si="15">BK4</f>
        <v>商铺</v>
      </c>
      <c r="CL4" s="1798"/>
      <c r="CM4" s="1797" t="str">
        <f t="shared" ref="CM4" si="16">BM4</f>
        <v>回迁商业</v>
      </c>
      <c r="CN4" s="1798"/>
      <c r="CO4" s="1797">
        <f t="shared" ref="CO4" si="17">BO4</f>
        <v>0</v>
      </c>
      <c r="CP4" s="1798"/>
      <c r="CQ4" s="1797">
        <f t="shared" ref="CQ4" si="18">BQ4</f>
        <v>0</v>
      </c>
      <c r="CR4" s="1798"/>
      <c r="CS4" s="1797">
        <f t="shared" ref="CS4" si="19">BS4</f>
        <v>0</v>
      </c>
      <c r="CT4" s="1798"/>
      <c r="CU4" s="1797">
        <f t="shared" ref="CU4" si="20">BU4</f>
        <v>0</v>
      </c>
      <c r="CV4" s="1798"/>
      <c r="CW4" s="1797">
        <f t="shared" ref="CW4" si="21">BW4</f>
        <v>0</v>
      </c>
      <c r="CX4" s="1798"/>
      <c r="CY4" s="1797">
        <f t="shared" ref="CY4" si="22">BY4</f>
        <v>0</v>
      </c>
      <c r="CZ4" s="1798"/>
      <c r="DA4" s="1797" t="str">
        <f t="shared" ref="DA4" si="23">CA4</f>
        <v>自持物业</v>
      </c>
      <c r="DB4" s="1798"/>
      <c r="DC4" s="1797" t="str">
        <f t="shared" ref="DC4" si="24">CC4</f>
        <v>有产权车库(个)</v>
      </c>
      <c r="DD4" s="1798"/>
      <c r="DE4" s="1797" t="str">
        <f t="shared" ref="DE4" si="25">CE4</f>
        <v>无产权车库(个)</v>
      </c>
      <c r="DF4" s="1798"/>
      <c r="DG4" s="1794" t="s">
        <v>285</v>
      </c>
      <c r="DH4" s="1795"/>
      <c r="DI4" s="1797" t="str">
        <f>CI4</f>
        <v>高层</v>
      </c>
      <c r="DJ4" s="1798"/>
      <c r="DK4" s="1797" t="str">
        <f>CK4</f>
        <v>商铺</v>
      </c>
      <c r="DL4" s="1798"/>
      <c r="DM4" s="1797" t="str">
        <f>CM4</f>
        <v>回迁商业</v>
      </c>
      <c r="DN4" s="1798"/>
      <c r="DO4" s="1797">
        <f>CO4</f>
        <v>0</v>
      </c>
      <c r="DP4" s="1798"/>
      <c r="DQ4" s="1797">
        <f>CQ4</f>
        <v>0</v>
      </c>
      <c r="DR4" s="1798"/>
      <c r="DS4" s="1797">
        <f>CS4</f>
        <v>0</v>
      </c>
      <c r="DT4" s="1798"/>
      <c r="DU4" s="1797">
        <f>CU4</f>
        <v>0</v>
      </c>
      <c r="DV4" s="1798"/>
      <c r="DW4" s="1797">
        <f>CW4</f>
        <v>0</v>
      </c>
      <c r="DX4" s="1798"/>
      <c r="DY4" s="1797">
        <f t="shared" ref="DY4" si="26">CY4</f>
        <v>0</v>
      </c>
      <c r="DZ4" s="1798"/>
      <c r="EA4" s="1797" t="str">
        <f t="shared" ref="EA4" si="27">DA4</f>
        <v>自持物业</v>
      </c>
      <c r="EB4" s="1798"/>
      <c r="EC4" s="1797" t="str">
        <f t="shared" ref="EC4" si="28">DC4</f>
        <v>有产权车库(个)</v>
      </c>
      <c r="ED4" s="1798"/>
      <c r="EE4" s="1797" t="str">
        <f t="shared" ref="EE4" si="29">DE4</f>
        <v>无产权车库(个)</v>
      </c>
      <c r="EF4" s="1798"/>
      <c r="EG4" s="1794" t="s">
        <v>286</v>
      </c>
      <c r="EH4" s="1795"/>
      <c r="EI4" s="1797" t="str">
        <f>DI4</f>
        <v>高层</v>
      </c>
      <c r="EJ4" s="1798"/>
      <c r="EK4" s="1797" t="str">
        <f t="shared" ref="EK4" si="30">DK4</f>
        <v>商铺</v>
      </c>
      <c r="EL4" s="1798"/>
      <c r="EM4" s="1797" t="str">
        <f t="shared" ref="EM4" si="31">DM4</f>
        <v>回迁商业</v>
      </c>
      <c r="EN4" s="1798"/>
      <c r="EO4" s="1797">
        <f t="shared" ref="EO4" si="32">DO4</f>
        <v>0</v>
      </c>
      <c r="EP4" s="1798"/>
      <c r="EQ4" s="1797">
        <f t="shared" ref="EQ4" si="33">DQ4</f>
        <v>0</v>
      </c>
      <c r="ER4" s="1798"/>
      <c r="ES4" s="1797">
        <f t="shared" ref="ES4" si="34">DS4</f>
        <v>0</v>
      </c>
      <c r="ET4" s="1798"/>
      <c r="EU4" s="1797">
        <f t="shared" ref="EU4" si="35">DU4</f>
        <v>0</v>
      </c>
      <c r="EV4" s="1798"/>
      <c r="EW4" s="1797">
        <f t="shared" ref="EW4" si="36">DW4</f>
        <v>0</v>
      </c>
      <c r="EX4" s="1798"/>
      <c r="EY4" s="1797">
        <f t="shared" ref="EY4" si="37">DY4</f>
        <v>0</v>
      </c>
      <c r="EZ4" s="1798"/>
      <c r="FA4" s="1797" t="str">
        <f t="shared" ref="FA4" si="38">EA4</f>
        <v>自持物业</v>
      </c>
      <c r="FB4" s="1798"/>
      <c r="FC4" s="1797" t="str">
        <f t="shared" ref="FC4" si="39">EC4</f>
        <v>有产权车库(个)</v>
      </c>
      <c r="FD4" s="1798"/>
      <c r="FE4" s="1797" t="str">
        <f t="shared" ref="FE4" si="40">EE4</f>
        <v>无产权车库(个)</v>
      </c>
      <c r="FF4" s="1798"/>
    </row>
    <row r="5" spans="1:162" s="1359" customFormat="1" ht="16.5" customHeight="1">
      <c r="A5" s="1787" t="s">
        <v>252</v>
      </c>
      <c r="B5" s="1377" t="s">
        <v>253</v>
      </c>
      <c r="C5" s="1799">
        <f>E5+G5+AG5+BG5+CG5+DG5+EG5</f>
        <v>25847.699999999997</v>
      </c>
      <c r="D5" s="1800"/>
      <c r="E5" s="1799">
        <f>'8.项目规划指标表'!C15</f>
        <v>1702.7172375</v>
      </c>
      <c r="F5" s="1800"/>
      <c r="G5" s="1794">
        <f>SUM(I5:AF5)</f>
        <v>24144.982762499996</v>
      </c>
      <c r="H5" s="1795"/>
      <c r="I5" s="1794">
        <f>SUMIF('8.项目规划指标表'!$B$5:$B$14,综合表!I4,'8.项目规划指标表'!$G$5:$G$15)</f>
        <v>13628.800934302324</v>
      </c>
      <c r="J5" s="1795"/>
      <c r="K5" s="1794">
        <f>SUMIF('8.项目规划指标表'!$B$5:$B$14,综合表!K4,'8.项目规划指标表'!$G$5:$G$15)</f>
        <v>7410.0622164244169</v>
      </c>
      <c r="L5" s="1795"/>
      <c r="M5" s="1794">
        <f>SUMIF('8.项目规划指标表'!$B$5:$B$14,综合表!M4,'8.项目规划指标表'!$G$5:$G$15)</f>
        <v>3106.1196117732552</v>
      </c>
      <c r="N5" s="1795"/>
      <c r="O5" s="1794">
        <f>SUMIF('8.项目规划指标表'!$B$5:$B$14,综合表!O4,'8.项目规划指标表'!$G$5:$G$15)</f>
        <v>0</v>
      </c>
      <c r="P5" s="1795"/>
      <c r="Q5" s="1794">
        <f>SUMIF('8.项目规划指标表'!$B$5:$B$14,综合表!Q4,'8.项目规划指标表'!$G$5:$G$15)</f>
        <v>0</v>
      </c>
      <c r="R5" s="1795"/>
      <c r="S5" s="1794">
        <f>SUMIF('8.项目规划指标表'!$B$5:$B$14,综合表!S4,'8.项目规划指标表'!$G$5:$G$15)</f>
        <v>0</v>
      </c>
      <c r="T5" s="1795"/>
      <c r="U5" s="1794">
        <f>SUMIF('8.项目规划指标表'!$B$5:$B$14,综合表!U4,'8.项目规划指标表'!$G$5:$G$15)</f>
        <v>0</v>
      </c>
      <c r="V5" s="1795"/>
      <c r="W5" s="1794">
        <f>SUMIF('8.项目规划指标表'!$B$5:$B$14,综合表!W4,'8.项目规划指标表'!$G$5:$G$15)</f>
        <v>0</v>
      </c>
      <c r="X5" s="1795"/>
      <c r="Y5" s="1794">
        <f>SUMIF('8.项目规划指标表'!$B$5:$B$14,综合表!Y4,'8.项目规划指标表'!$G$5:$G$15)</f>
        <v>0</v>
      </c>
      <c r="Z5" s="1795"/>
      <c r="AA5" s="1794">
        <f>SUMIF('8.项目规划指标表'!$B$5:$B$14,综合表!AA4,'8.项目规划指标表'!$G$5:$G$15)</f>
        <v>0</v>
      </c>
      <c r="AB5" s="1795"/>
      <c r="AC5" s="1794"/>
      <c r="AD5" s="1795"/>
      <c r="AE5" s="1794"/>
      <c r="AF5" s="1795"/>
      <c r="AG5" s="1794">
        <f>SUM(AI5:BF5)</f>
        <v>0</v>
      </c>
      <c r="AH5" s="1795"/>
      <c r="AI5" s="1794">
        <f>SUMIF('8.项目规划指标表'!$B$5:$B$14,综合表!AI4,'8.项目规划指标表'!$K$5:$K$15)</f>
        <v>0</v>
      </c>
      <c r="AJ5" s="1795"/>
      <c r="AK5" s="1794">
        <f>SUMIF('8.项目规划指标表'!$B$5:$B$14,综合表!AK4,'8.项目规划指标表'!$K$5:$K$15)</f>
        <v>0</v>
      </c>
      <c r="AL5" s="1795"/>
      <c r="AM5" s="1794">
        <f>SUMIF('8.项目规划指标表'!$B$5:$B$14,综合表!AM4,'8.项目规划指标表'!$K$5:$K$15)</f>
        <v>0</v>
      </c>
      <c r="AN5" s="1795"/>
      <c r="AO5" s="1794">
        <f>SUMIF('8.项目规划指标表'!$B$5:$B$14,综合表!AO4,'8.项目规划指标表'!$K$5:$K$15)</f>
        <v>0</v>
      </c>
      <c r="AP5" s="1795"/>
      <c r="AQ5" s="1794">
        <f>SUMIF('8.项目规划指标表'!$B$5:$B$14,综合表!AQ4,'8.项目规划指标表'!$K$5:$K$15)</f>
        <v>0</v>
      </c>
      <c r="AR5" s="1795"/>
      <c r="AS5" s="1794">
        <f>SUMIF('8.项目规划指标表'!$B$5:$B$14,综合表!AS4,'8.项目规划指标表'!$K$5:$K$15)</f>
        <v>0</v>
      </c>
      <c r="AT5" s="1795"/>
      <c r="AU5" s="1794">
        <f>SUMIF('8.项目规划指标表'!$B$5:$B$14,综合表!AU4,'8.项目规划指标表'!$K$5:$K$15)</f>
        <v>0</v>
      </c>
      <c r="AV5" s="1795"/>
      <c r="AW5" s="1794">
        <f>SUMIF('8.项目规划指标表'!$B$5:$B$14,综合表!AW4,'8.项目规划指标表'!$K$5:$K$15)</f>
        <v>0</v>
      </c>
      <c r="AX5" s="1795"/>
      <c r="AY5" s="1794">
        <f>SUMIF('8.项目规划指标表'!$B$5:$B$14,综合表!AY4,'8.项目规划指标表'!$K$5:$K$15)</f>
        <v>0</v>
      </c>
      <c r="AZ5" s="1795"/>
      <c r="BA5" s="1794">
        <f>SUMIF('8.项目规划指标表'!$B$5:$B$14,综合表!BA4,'8.项目规划指标表'!$K$5:$K$15)</f>
        <v>0</v>
      </c>
      <c r="BB5" s="1795"/>
      <c r="BC5" s="1794"/>
      <c r="BD5" s="1795"/>
      <c r="BE5" s="1794"/>
      <c r="BF5" s="1795"/>
      <c r="BG5" s="1794">
        <f>SUM(BI5:CF5)</f>
        <v>0</v>
      </c>
      <c r="BH5" s="1795"/>
      <c r="BI5" s="1794">
        <f>SUMIF('8.项目规划指标表'!$B$5:$B$14,综合表!BI4,'8.项目规划指标表'!$O$5:$O$15)</f>
        <v>0</v>
      </c>
      <c r="BJ5" s="1795"/>
      <c r="BK5" s="1794">
        <f>SUMIF('8.项目规划指标表'!$B$5:$B$14,综合表!BK4,'8.项目规划指标表'!$O$5:$O$15)</f>
        <v>0</v>
      </c>
      <c r="BL5" s="1795"/>
      <c r="BM5" s="1794">
        <f>SUMIF('8.项目规划指标表'!$B$5:$B$14,综合表!BM4,'8.项目规划指标表'!$O$5:$O$15)</f>
        <v>0</v>
      </c>
      <c r="BN5" s="1795"/>
      <c r="BO5" s="1794">
        <f>SUMIF('8.项目规划指标表'!$B$5:$B$14,综合表!BO4,'8.项目规划指标表'!$O$5:$O$15)</f>
        <v>0</v>
      </c>
      <c r="BP5" s="1795"/>
      <c r="BQ5" s="1794">
        <f>SUMIF('8.项目规划指标表'!$B$5:$B$14,综合表!BQ4,'8.项目规划指标表'!$O$5:$O$15)</f>
        <v>0</v>
      </c>
      <c r="BR5" s="1795"/>
      <c r="BS5" s="1794">
        <f>SUMIF('8.项目规划指标表'!$B$5:$B$14,综合表!BS4,'8.项目规划指标表'!$O$5:$O$15)</f>
        <v>0</v>
      </c>
      <c r="BT5" s="1795"/>
      <c r="BU5" s="1794">
        <f>SUMIF('8.项目规划指标表'!$B$5:$B$14,综合表!BU4,'8.项目规划指标表'!$O$5:$O$15)</f>
        <v>0</v>
      </c>
      <c r="BV5" s="1795"/>
      <c r="BW5" s="1794">
        <f>SUMIF('8.项目规划指标表'!$B$5:$B$14,综合表!BW4,'8.项目规划指标表'!$O$5:$O$15)</f>
        <v>0</v>
      </c>
      <c r="BX5" s="1795"/>
      <c r="BY5" s="1794">
        <f>SUMIF('8.项目规划指标表'!$B$5:$B$14,综合表!BY4,'8.项目规划指标表'!$O$5:$O$15)</f>
        <v>0</v>
      </c>
      <c r="BZ5" s="1795"/>
      <c r="CA5" s="1794">
        <f>SUMIF('8.项目规划指标表'!$B$5:$B$14,综合表!CA4,'8.项目规划指标表'!$O$5:$O$15)</f>
        <v>0</v>
      </c>
      <c r="CB5" s="1795"/>
      <c r="CC5" s="1794"/>
      <c r="CD5" s="1795"/>
      <c r="CE5" s="1794"/>
      <c r="CF5" s="1795"/>
      <c r="CG5" s="1794">
        <f>SUM(CI5:DF5)</f>
        <v>0</v>
      </c>
      <c r="CH5" s="1795"/>
      <c r="CI5" s="1794">
        <f>SUMIF('8.项目规划指标表'!$B$5:$B$14,综合表!CI4,'8.项目规划指标表'!$S$5:$S$15)</f>
        <v>0</v>
      </c>
      <c r="CJ5" s="1795"/>
      <c r="CK5" s="1794">
        <f>SUMIF('8.项目规划指标表'!$B$5:$B$14,综合表!CK4,'8.项目规划指标表'!$S$5:$S$15)</f>
        <v>0</v>
      </c>
      <c r="CL5" s="1795"/>
      <c r="CM5" s="1794">
        <f>SUMIF('8.项目规划指标表'!$B$5:$B$14,综合表!CM4,'8.项目规划指标表'!$S$5:$S$15)</f>
        <v>0</v>
      </c>
      <c r="CN5" s="1795"/>
      <c r="CO5" s="1794">
        <f>SUMIF('8.项目规划指标表'!$B$5:$B$14,综合表!CO4,'8.项目规划指标表'!$S$5:$S$15)</f>
        <v>0</v>
      </c>
      <c r="CP5" s="1795"/>
      <c r="CQ5" s="1794">
        <f>SUMIF('8.项目规划指标表'!$B$5:$B$14,综合表!CQ4,'8.项目规划指标表'!$S$5:$S$15)</f>
        <v>0</v>
      </c>
      <c r="CR5" s="1795"/>
      <c r="CS5" s="1794">
        <f>SUMIF('8.项目规划指标表'!$B$5:$B$14,综合表!CS4,'8.项目规划指标表'!$S$5:$S$15)</f>
        <v>0</v>
      </c>
      <c r="CT5" s="1795"/>
      <c r="CU5" s="1794">
        <f>SUMIF('8.项目规划指标表'!$B$5:$B$14,综合表!CU4,'8.项目规划指标表'!$S$5:$S$15)</f>
        <v>0</v>
      </c>
      <c r="CV5" s="1795"/>
      <c r="CW5" s="1794">
        <f>SUMIF('8.项目规划指标表'!$B$5:$B$14,综合表!CW4,'8.项目规划指标表'!$S$5:$S$15)</f>
        <v>0</v>
      </c>
      <c r="CX5" s="1795"/>
      <c r="CY5" s="1794">
        <f>SUMIF('8.项目规划指标表'!$B$5:$B$14,综合表!CY4,'8.项目规划指标表'!$S$5:$S$15)</f>
        <v>0</v>
      </c>
      <c r="CZ5" s="1795"/>
      <c r="DA5" s="1794">
        <f>SUMIF('8.项目规划指标表'!$B$5:$B$14,综合表!DA4,'8.项目规划指标表'!$S$5:$S$15)</f>
        <v>0</v>
      </c>
      <c r="DB5" s="1795"/>
      <c r="DC5" s="1794"/>
      <c r="DD5" s="1795"/>
      <c r="DE5" s="1794"/>
      <c r="DF5" s="1795"/>
      <c r="DG5" s="1794">
        <f>SUM(DI5:EF5)</f>
        <v>0</v>
      </c>
      <c r="DH5" s="1795"/>
      <c r="DI5" s="1794">
        <f>SUMIF('8.项目规划指标表'!$B$5:$B$14,综合表!DI4,'8.项目规划指标表'!$W$5:$W$15)</f>
        <v>0</v>
      </c>
      <c r="DJ5" s="1795"/>
      <c r="DK5" s="1794">
        <f>SUMIF('8.项目规划指标表'!$B$5:$B$14,综合表!DK4,'8.项目规划指标表'!$W$5:$W$15)</f>
        <v>0</v>
      </c>
      <c r="DL5" s="1795"/>
      <c r="DM5" s="1794">
        <f>SUMIF('8.项目规划指标表'!$B$5:$B$14,综合表!DM4,'8.项目规划指标表'!$W$5:$W$15)</f>
        <v>0</v>
      </c>
      <c r="DN5" s="1795"/>
      <c r="DO5" s="1794">
        <f>SUMIF('8.项目规划指标表'!$B$5:$B$14,综合表!DO4,'8.项目规划指标表'!$W$5:$W$15)</f>
        <v>0</v>
      </c>
      <c r="DP5" s="1795"/>
      <c r="DQ5" s="1794">
        <f>SUMIF('8.项目规划指标表'!$B$5:$B$14,综合表!DQ4,'8.项目规划指标表'!$W$5:$W$15)</f>
        <v>0</v>
      </c>
      <c r="DR5" s="1795"/>
      <c r="DS5" s="1794">
        <f>SUMIF('8.项目规划指标表'!$B$5:$B$14,综合表!DS4,'8.项目规划指标表'!$W$5:$W$15)</f>
        <v>0</v>
      </c>
      <c r="DT5" s="1795"/>
      <c r="DU5" s="1794">
        <f>SUMIF('8.项目规划指标表'!$B$5:$B$14,综合表!DU4,'8.项目规划指标表'!$W$5:$W$15)</f>
        <v>0</v>
      </c>
      <c r="DV5" s="1795"/>
      <c r="DW5" s="1794">
        <f>SUMIF('8.项目规划指标表'!$B$5:$B$14,综合表!DW4,'8.项目规划指标表'!$W$5:$W$15)</f>
        <v>0</v>
      </c>
      <c r="DX5" s="1795"/>
      <c r="DY5" s="1794">
        <f>SUMIF('8.项目规划指标表'!$B$5:$B$14,综合表!DY4,'8.项目规划指标表'!$W$5:$W$15)</f>
        <v>0</v>
      </c>
      <c r="DZ5" s="1795"/>
      <c r="EA5" s="1794">
        <f>SUMIF('8.项目规划指标表'!$B$5:$B$14,综合表!EA4,'8.项目规划指标表'!$W$5:$W$15)</f>
        <v>0</v>
      </c>
      <c r="EB5" s="1795"/>
      <c r="EC5" s="1794"/>
      <c r="ED5" s="1795"/>
      <c r="EE5" s="1794"/>
      <c r="EF5" s="1795"/>
      <c r="EG5" s="1794">
        <f>SUM(EI5:FF5)</f>
        <v>0</v>
      </c>
      <c r="EH5" s="1795"/>
      <c r="EI5" s="1794">
        <f>SUMIF('8.项目规划指标表'!$B$5:$B$14,综合表!EI4,'8.项目规划指标表'!$AA$5:$AA$15)</f>
        <v>0</v>
      </c>
      <c r="EJ5" s="1795"/>
      <c r="EK5" s="1794">
        <f>SUMIF('8.项目规划指标表'!$B$5:$B$14,综合表!EK4,'8.项目规划指标表'!$AA$5:$AA$15)</f>
        <v>0</v>
      </c>
      <c r="EL5" s="1795"/>
      <c r="EM5" s="1794">
        <f>SUMIF('8.项目规划指标表'!$B$5:$B$14,综合表!EM4,'8.项目规划指标表'!$AA$5:$AA$15)</f>
        <v>0</v>
      </c>
      <c r="EN5" s="1795"/>
      <c r="EO5" s="1794">
        <f>SUMIF('8.项目规划指标表'!$B$5:$B$14,综合表!EO4,'8.项目规划指标表'!$AA$5:$AA$15)</f>
        <v>0</v>
      </c>
      <c r="EP5" s="1795"/>
      <c r="EQ5" s="1794">
        <f>SUMIF('8.项目规划指标表'!$B$5:$B$14,综合表!EQ4,'8.项目规划指标表'!$AA$5:$AA$15)</f>
        <v>0</v>
      </c>
      <c r="ER5" s="1795"/>
      <c r="ES5" s="1794">
        <f>SUMIF('8.项目规划指标表'!$B$5:$B$14,综合表!ES4,'8.项目规划指标表'!$AA$5:$AA$15)</f>
        <v>0</v>
      </c>
      <c r="ET5" s="1795"/>
      <c r="EU5" s="1794">
        <f>SUMIF('8.项目规划指标表'!$B$5:$B$14,综合表!EU4,'8.项目规划指标表'!$AA$5:$AA$15)</f>
        <v>0</v>
      </c>
      <c r="EV5" s="1795"/>
      <c r="EW5" s="1794">
        <f>SUMIF('8.项目规划指标表'!$B$5:$B$14,综合表!EW4,'8.项目规划指标表'!$AA$5:$AA$15)</f>
        <v>0</v>
      </c>
      <c r="EX5" s="1795"/>
      <c r="EY5" s="1794">
        <f>SUMIF('8.项目规划指标表'!$B$5:$B$14,综合表!EY4,'8.项目规划指标表'!$AA$5:$AA$15)</f>
        <v>0</v>
      </c>
      <c r="EZ5" s="1795"/>
      <c r="FA5" s="1794">
        <f>SUMIF('8.项目规划指标表'!$B$5:$B$14,综合表!FA4,'8.项目规划指标表'!$AA$5:$AA$15)</f>
        <v>0</v>
      </c>
      <c r="FB5" s="1795"/>
      <c r="FC5" s="1794"/>
      <c r="FD5" s="1795"/>
      <c r="FE5" s="1794"/>
      <c r="FF5" s="1795"/>
    </row>
    <row r="6" spans="1:162" s="1359" customFormat="1" ht="16.5" customHeight="1">
      <c r="A6" s="1787"/>
      <c r="B6" s="1377" t="s">
        <v>254</v>
      </c>
      <c r="C6" s="1799">
        <f t="shared" ref="C6:C7" si="41">E6+G6+AG6+BG6+CG6+DG6+EG6</f>
        <v>81287</v>
      </c>
      <c r="D6" s="1800"/>
      <c r="E6" s="1799">
        <f>'8.项目规划指标表'!F16</f>
        <v>0</v>
      </c>
      <c r="F6" s="1800"/>
      <c r="G6" s="1794">
        <f>SUM(I6:AF6)</f>
        <v>81287</v>
      </c>
      <c r="H6" s="1795"/>
      <c r="I6" s="1794">
        <f>SUMIF('8.项目规划指标表'!$B$5:$B$14,综合表!I4,'8.项目规划指标表'!$H$5:$H$15)</f>
        <v>56100</v>
      </c>
      <c r="J6" s="1796"/>
      <c r="K6" s="1794">
        <f>SUMIF('8.项目规划指标表'!$B$5:$B$14,综合表!K4,'8.项目规划指标表'!$H$5:$H$15)</f>
        <v>3640</v>
      </c>
      <c r="L6" s="1796"/>
      <c r="M6" s="1794">
        <f>SUMIF('8.项目规划指标表'!$B$5:$B$14,综合表!M4,'8.项目规划指标表'!$H$5:$H$15)</f>
        <v>4208</v>
      </c>
      <c r="N6" s="1796"/>
      <c r="O6" s="1794">
        <f>SUMIF('8.项目规划指标表'!$B$5:$B$14,综合表!O4,'8.项目规划指标表'!$H$5:$H$15)</f>
        <v>0</v>
      </c>
      <c r="P6" s="1796"/>
      <c r="Q6" s="1794">
        <f>SUMIF('8.项目规划指标表'!$B$5:$B$14,综合表!Q4,'8.项目规划指标表'!$H$5:$H$15)</f>
        <v>0</v>
      </c>
      <c r="R6" s="1796"/>
      <c r="S6" s="1794">
        <f>SUMIF('8.项目规划指标表'!$B$5:$B$14,综合表!S4,'8.项目规划指标表'!$H$5:$H$15)</f>
        <v>0</v>
      </c>
      <c r="T6" s="1796"/>
      <c r="U6" s="1794">
        <f>SUMIF('8.项目规划指标表'!$B$5:$B$14,综合表!U4,'8.项目规划指标表'!$H$5:$H$15)</f>
        <v>0</v>
      </c>
      <c r="V6" s="1796"/>
      <c r="W6" s="1794">
        <f>SUMIF('8.项目规划指标表'!$B$5:$B$14,综合表!W4,'8.项目规划指标表'!$H$5:$H$15)</f>
        <v>0</v>
      </c>
      <c r="X6" s="1796"/>
      <c r="Y6" s="1794">
        <f>SUMIF('8.项目规划指标表'!$B$5:$B$14,综合表!Y4,'8.项目规划指标表'!$H$5:$H$15)</f>
        <v>0</v>
      </c>
      <c r="Z6" s="1796"/>
      <c r="AA6" s="1794">
        <f>SUMIF('8.项目规划指标表'!$B$5:$B$14,综合表!AA4,'8.项目规划指标表'!$H$5:$H$15)</f>
        <v>0</v>
      </c>
      <c r="AB6" s="1796"/>
      <c r="AC6" s="1794">
        <f>SUMIF('8.项目规划指标表'!$B$5:$B$19,综合表!AC4,'8.项目规划指标表'!$G$5:$G$19)</f>
        <v>13082</v>
      </c>
      <c r="AD6" s="1796"/>
      <c r="AE6" s="1794">
        <f>SUMIF('8.项目规划指标表'!$B$5:$B$19,综合表!AE4,'8.项目规划指标表'!$G$5:$G$19)</f>
        <v>4257</v>
      </c>
      <c r="AF6" s="1796"/>
      <c r="AG6" s="1794">
        <f>SUM(AI6:BF6)</f>
        <v>0</v>
      </c>
      <c r="AH6" s="1795"/>
      <c r="AI6" s="1794">
        <f>SUMIF('8.项目规划指标表'!$B$5:$B$14,综合表!AI4,'8.项目规划指标表'!$L$5:$L$15)</f>
        <v>0</v>
      </c>
      <c r="AJ6" s="1796"/>
      <c r="AK6" s="1794">
        <f>SUMIF('8.项目规划指标表'!$B$5:$B$14,综合表!AK4,'8.项目规划指标表'!$L$5:$L$15)</f>
        <v>0</v>
      </c>
      <c r="AL6" s="1796"/>
      <c r="AM6" s="1794">
        <f>SUMIF('8.项目规划指标表'!$B$5:$B$14,综合表!AM4,'8.项目规划指标表'!$L$5:$L$15)</f>
        <v>0</v>
      </c>
      <c r="AN6" s="1796"/>
      <c r="AO6" s="1794">
        <f>SUMIF('8.项目规划指标表'!$B$5:$B$14,综合表!AO4,'8.项目规划指标表'!$L$5:$L$15)</f>
        <v>0</v>
      </c>
      <c r="AP6" s="1796"/>
      <c r="AQ6" s="1794">
        <f>SUMIF('8.项目规划指标表'!$B$5:$B$14,综合表!AQ4,'8.项目规划指标表'!$L$5:$L$15)</f>
        <v>0</v>
      </c>
      <c r="AR6" s="1796"/>
      <c r="AS6" s="1794">
        <f>SUMIF('8.项目规划指标表'!$B$5:$B$14,综合表!AS4,'8.项目规划指标表'!$L$5:$L$15)</f>
        <v>0</v>
      </c>
      <c r="AT6" s="1796"/>
      <c r="AU6" s="1794">
        <f>SUMIF('8.项目规划指标表'!$B$5:$B$14,综合表!AU4,'8.项目规划指标表'!$L$5:$L$15)</f>
        <v>0</v>
      </c>
      <c r="AV6" s="1796"/>
      <c r="AW6" s="1794">
        <f>SUMIF('8.项目规划指标表'!$B$5:$B$14,综合表!AW4,'8.项目规划指标表'!$L$5:$L$15)</f>
        <v>0</v>
      </c>
      <c r="AX6" s="1796"/>
      <c r="AY6" s="1794">
        <f>SUMIF('8.项目规划指标表'!$B$5:$B$14,综合表!AY4,'8.项目规划指标表'!$L$5:$L$15)</f>
        <v>0</v>
      </c>
      <c r="AZ6" s="1796"/>
      <c r="BA6" s="1794">
        <f>SUMIF('8.项目规划指标表'!$B$5:$B$14,综合表!BA4,'8.项目规划指标表'!$L$5:$L$15)</f>
        <v>0</v>
      </c>
      <c r="BB6" s="1796"/>
      <c r="BC6" s="1794">
        <f>SUMIF('8.项目规划指标表'!$B$5:$B$19,综合表!BC4,'8.项目规划指标表'!$K$5:$K$19)</f>
        <v>0</v>
      </c>
      <c r="BD6" s="1796"/>
      <c r="BE6" s="1794">
        <f>SUMIF('8.项目规划指标表'!$B$5:$B$19,综合表!BE4,'8.项目规划指标表'!$K$5:$K$19)</f>
        <v>0</v>
      </c>
      <c r="BF6" s="1796"/>
      <c r="BG6" s="1794">
        <f>SUM(BI6:CF6)</f>
        <v>0</v>
      </c>
      <c r="BH6" s="1795"/>
      <c r="BI6" s="1797">
        <f>SUMIF('8.项目规划指标表'!$B$5:$B$14,综合表!BI4,'8.项目规划指标表'!$P$5:$P$15)</f>
        <v>0</v>
      </c>
      <c r="BJ6" s="1798"/>
      <c r="BK6" s="1797">
        <f>SUMIF('8.项目规划指标表'!$B$5:$B$14,综合表!BK4,'8.项目规划指标表'!$P$5:$P$15)</f>
        <v>0</v>
      </c>
      <c r="BL6" s="1798"/>
      <c r="BM6" s="1797">
        <f>SUMIF('8.项目规划指标表'!$B$5:$B$14,综合表!BM4,'8.项目规划指标表'!$P$5:$P$15)</f>
        <v>0</v>
      </c>
      <c r="BN6" s="1798"/>
      <c r="BO6" s="1797">
        <f>SUMIF('8.项目规划指标表'!$B$5:$B$14,综合表!BO4,'8.项目规划指标表'!$P$5:$P$15)</f>
        <v>0</v>
      </c>
      <c r="BP6" s="1798"/>
      <c r="BQ6" s="1797">
        <f>SUMIF('8.项目规划指标表'!$B$5:$B$14,综合表!BQ4,'8.项目规划指标表'!$P$5:$P$15)</f>
        <v>0</v>
      </c>
      <c r="BR6" s="1798"/>
      <c r="BS6" s="1797">
        <f>SUMIF('8.项目规划指标表'!$B$5:$B$14,综合表!BS4,'8.项目规划指标表'!$P$5:$P$15)</f>
        <v>0</v>
      </c>
      <c r="BT6" s="1798"/>
      <c r="BU6" s="1797">
        <f>SUMIF('8.项目规划指标表'!$B$5:$B$14,综合表!BU4,'8.项目规划指标表'!$P$5:$P$15)</f>
        <v>0</v>
      </c>
      <c r="BV6" s="1798"/>
      <c r="BW6" s="1797">
        <f>SUMIF('8.项目规划指标表'!$B$5:$B$14,综合表!BW4,'8.项目规划指标表'!$P$5:$P$15)</f>
        <v>0</v>
      </c>
      <c r="BX6" s="1798"/>
      <c r="BY6" s="1797">
        <f>SUMIF('8.项目规划指标表'!$B$5:$B$14,综合表!BY4,'8.项目规划指标表'!$P$5:$P$15)</f>
        <v>0</v>
      </c>
      <c r="BZ6" s="1798"/>
      <c r="CA6" s="1797">
        <f>SUMIF('8.项目规划指标表'!$B$5:$B$14,综合表!CA4,'8.项目规划指标表'!$P$5:$P$15)</f>
        <v>0</v>
      </c>
      <c r="CB6" s="1798"/>
      <c r="CC6" s="1797">
        <f>SUMIF('8.项目规划指标表'!$B$5:$B$19,综合表!CC4,'8.项目规划指标表'!$O$5:$O$19)</f>
        <v>0</v>
      </c>
      <c r="CD6" s="1798"/>
      <c r="CE6" s="1797">
        <f>SUMIF('8.项目规划指标表'!$B$5:$B$19,综合表!CE4,'8.项目规划指标表'!$O$5:$O$19)</f>
        <v>0</v>
      </c>
      <c r="CF6" s="1798"/>
      <c r="CG6" s="1794">
        <f>SUM(CI6:DF6)</f>
        <v>0</v>
      </c>
      <c r="CH6" s="1795"/>
      <c r="CI6" s="1797">
        <f>SUMIF('8.项目规划指标表'!$B$5:$B$14,综合表!CI4,'8.项目规划指标表'!$T$5:$T$15)</f>
        <v>0</v>
      </c>
      <c r="CJ6" s="1798"/>
      <c r="CK6" s="1797">
        <f>SUMIF('8.项目规划指标表'!$B$5:$B$14,综合表!CK4,'8.项目规划指标表'!$T$5:$T$15)</f>
        <v>0</v>
      </c>
      <c r="CL6" s="1798"/>
      <c r="CM6" s="1797">
        <f>SUMIF('8.项目规划指标表'!$B$5:$B$14,综合表!CM4,'8.项目规划指标表'!$T$5:$T$15)</f>
        <v>0</v>
      </c>
      <c r="CN6" s="1798"/>
      <c r="CO6" s="1797">
        <f>SUMIF('8.项目规划指标表'!$B$5:$B$14,综合表!CO4,'8.项目规划指标表'!$T$5:$T$15)</f>
        <v>0</v>
      </c>
      <c r="CP6" s="1798"/>
      <c r="CQ6" s="1797">
        <f>SUMIF('8.项目规划指标表'!$B$5:$B$14,综合表!CQ4,'8.项目规划指标表'!$T$5:$T$15)</f>
        <v>0</v>
      </c>
      <c r="CR6" s="1798"/>
      <c r="CS6" s="1797">
        <f>SUMIF('8.项目规划指标表'!$B$5:$B$14,综合表!CS4,'8.项目规划指标表'!$T$5:$T$15)</f>
        <v>0</v>
      </c>
      <c r="CT6" s="1798"/>
      <c r="CU6" s="1797">
        <f>SUMIF('8.项目规划指标表'!$B$5:$B$14,综合表!CU4,'8.项目规划指标表'!$T$5:$T$15)</f>
        <v>0</v>
      </c>
      <c r="CV6" s="1798"/>
      <c r="CW6" s="1797">
        <f>SUMIF('8.项目规划指标表'!$B$5:$B$14,综合表!CW4,'8.项目规划指标表'!$T$5:$T$15)</f>
        <v>0</v>
      </c>
      <c r="CX6" s="1798"/>
      <c r="CY6" s="1797">
        <f>SUMIF('8.项目规划指标表'!$B$5:$B$14,综合表!CY4,'8.项目规划指标表'!$T$5:$T$15)</f>
        <v>0</v>
      </c>
      <c r="CZ6" s="1798"/>
      <c r="DA6" s="1797">
        <f>SUMIF('8.项目规划指标表'!$B$5:$B$14,综合表!DA4,'8.项目规划指标表'!$T$5:$T$15)</f>
        <v>0</v>
      </c>
      <c r="DB6" s="1798"/>
      <c r="DC6" s="1797">
        <f>SUMIF('8.项目规划指标表'!$B$5:$B$19,综合表!DC4,'8.项目规划指标表'!$S$5:$S$19)</f>
        <v>0</v>
      </c>
      <c r="DD6" s="1798"/>
      <c r="DE6" s="1797">
        <f>SUMIF('8.项目规划指标表'!$B$5:$B$19,综合表!DE4,'8.项目规划指标表'!$S$5:$S$19)</f>
        <v>0</v>
      </c>
      <c r="DF6" s="1798"/>
      <c r="DG6" s="1794">
        <f>SUM(DI6:EF6)</f>
        <v>0</v>
      </c>
      <c r="DH6" s="1795"/>
      <c r="DI6" s="1797">
        <f>SUMIF('8.项目规划指标表'!$B$5:$B$14,综合表!DI4,'8.项目规划指标表'!$X$5:$X$15)</f>
        <v>0</v>
      </c>
      <c r="DJ6" s="1798"/>
      <c r="DK6" s="1797">
        <f>SUMIF('8.项目规划指标表'!$B$5:$B$14,综合表!DK4,'8.项目规划指标表'!$X$5:$X$15)</f>
        <v>0</v>
      </c>
      <c r="DL6" s="1798"/>
      <c r="DM6" s="1797">
        <f>SUMIF('8.项目规划指标表'!$B$5:$B$14,综合表!DM4,'8.项目规划指标表'!$X$5:$X$15)</f>
        <v>0</v>
      </c>
      <c r="DN6" s="1798"/>
      <c r="DO6" s="1797">
        <f>SUMIF('8.项目规划指标表'!$B$5:$B$14,综合表!DO4,'8.项目规划指标表'!$X$5:$X$15)</f>
        <v>0</v>
      </c>
      <c r="DP6" s="1798"/>
      <c r="DQ6" s="1797">
        <f>SUMIF('8.项目规划指标表'!$B$5:$B$14,综合表!DQ4,'8.项目规划指标表'!$X$5:$X$15)</f>
        <v>0</v>
      </c>
      <c r="DR6" s="1798"/>
      <c r="DS6" s="1797">
        <f>SUMIF('8.项目规划指标表'!$B$5:$B$14,综合表!DS4,'8.项目规划指标表'!$X$5:$X$15)</f>
        <v>0</v>
      </c>
      <c r="DT6" s="1798"/>
      <c r="DU6" s="1797">
        <f>SUMIF('8.项目规划指标表'!$B$5:$B$14,综合表!DU4,'8.项目规划指标表'!$X$5:$X$15)</f>
        <v>0</v>
      </c>
      <c r="DV6" s="1798"/>
      <c r="DW6" s="1797">
        <f>SUMIF('8.项目规划指标表'!$B$5:$B$14,综合表!DW4,'8.项目规划指标表'!$X$5:$X$15)</f>
        <v>0</v>
      </c>
      <c r="DX6" s="1798"/>
      <c r="DY6" s="1797">
        <f>SUMIF('8.项目规划指标表'!$B$5:$B$14,综合表!DY4,'8.项目规划指标表'!$X$5:$X$15)</f>
        <v>0</v>
      </c>
      <c r="DZ6" s="1798"/>
      <c r="EA6" s="1797">
        <f>SUMIF('8.项目规划指标表'!$B$5:$B$14,综合表!EA4,'8.项目规划指标表'!$X$5:$X$15)</f>
        <v>0</v>
      </c>
      <c r="EB6" s="1798"/>
      <c r="EC6" s="1797">
        <f>SUMIF('8.项目规划指标表'!$B$5:$B$19,综合表!EC4,'8.项目规划指标表'!$W$5:$W$19)</f>
        <v>0</v>
      </c>
      <c r="ED6" s="1798"/>
      <c r="EE6" s="1797">
        <f>SUMIF('8.项目规划指标表'!$B$5:$B$19,综合表!EE4,'8.项目规划指标表'!$W$5:$W$19)</f>
        <v>0</v>
      </c>
      <c r="EF6" s="1798"/>
      <c r="EG6" s="1794">
        <f>SUM(EI6:FF6)</f>
        <v>0</v>
      </c>
      <c r="EH6" s="1795"/>
      <c r="EI6" s="1797">
        <f>SUMIF('8.项目规划指标表'!$B$5:$B$14,综合表!EI4,'8.项目规划指标表'!$AB$5:$AB$15)</f>
        <v>0</v>
      </c>
      <c r="EJ6" s="1798"/>
      <c r="EK6" s="1797">
        <f>SUMIF('8.项目规划指标表'!$B$5:$B$14,综合表!EK4,'8.项目规划指标表'!$AB$5:$AB$15)</f>
        <v>0</v>
      </c>
      <c r="EL6" s="1798"/>
      <c r="EM6" s="1797">
        <f>SUMIF('8.项目规划指标表'!$B$5:$B$14,综合表!EM4,'8.项目规划指标表'!$AB$5:$AB$15)</f>
        <v>0</v>
      </c>
      <c r="EN6" s="1798"/>
      <c r="EO6" s="1797">
        <f>SUMIF('8.项目规划指标表'!$B$5:$B$14,综合表!EO4,'8.项目规划指标表'!$AB$5:$AB$15)</f>
        <v>0</v>
      </c>
      <c r="EP6" s="1798"/>
      <c r="EQ6" s="1797">
        <f>SUMIF('8.项目规划指标表'!$B$5:$B$14,综合表!EQ4,'8.项目规划指标表'!$AB$5:$AB$15)</f>
        <v>0</v>
      </c>
      <c r="ER6" s="1798"/>
      <c r="ES6" s="1797">
        <f>SUMIF('8.项目规划指标表'!$B$5:$B$14,综合表!ES4,'8.项目规划指标表'!$AB$5:$AB$15)</f>
        <v>0</v>
      </c>
      <c r="ET6" s="1798"/>
      <c r="EU6" s="1797">
        <f>SUMIF('8.项目规划指标表'!$B$5:$B$14,综合表!EU4,'8.项目规划指标表'!$AB$5:$AB$15)</f>
        <v>0</v>
      </c>
      <c r="EV6" s="1798"/>
      <c r="EW6" s="1797">
        <f>SUMIF('8.项目规划指标表'!$B$5:$B$14,综合表!EW4,'8.项目规划指标表'!$AB$5:$AB$15)</f>
        <v>0</v>
      </c>
      <c r="EX6" s="1798"/>
      <c r="EY6" s="1797">
        <f>SUMIF('8.项目规划指标表'!$B$5:$B$14,综合表!EY4,'8.项目规划指标表'!$AB$5:$AB$15)</f>
        <v>0</v>
      </c>
      <c r="EZ6" s="1798"/>
      <c r="FA6" s="1797">
        <f>SUMIF('8.项目规划指标表'!$B$5:$B$14,综合表!FA4,'8.项目规划指标表'!$AB$5:$AB$15)</f>
        <v>0</v>
      </c>
      <c r="FB6" s="1798"/>
      <c r="FC6" s="1797">
        <f>SUMIF('8.项目规划指标表'!$B$5:$B$19,综合表!FC4,'8.项目规划指标表'!$AA$5:$AA$19)</f>
        <v>0</v>
      </c>
      <c r="FD6" s="1798"/>
      <c r="FE6" s="1797">
        <f>SUMIF('8.项目规划指标表'!$B$5:$B$19,综合表!FE4,'8.项目规划指标表'!$AA$5:$AA$19)</f>
        <v>0</v>
      </c>
      <c r="FF6" s="1798"/>
    </row>
    <row r="7" spans="1:162" s="1359" customFormat="1" ht="16.5" customHeight="1">
      <c r="A7" s="1787"/>
      <c r="B7" s="1377" t="s">
        <v>255</v>
      </c>
      <c r="C7" s="1799">
        <f t="shared" si="41"/>
        <v>59740</v>
      </c>
      <c r="D7" s="1800"/>
      <c r="E7" s="1799"/>
      <c r="F7" s="1800"/>
      <c r="G7" s="1794">
        <f>SUM(I7:AF7)</f>
        <v>59740</v>
      </c>
      <c r="H7" s="1795"/>
      <c r="I7" s="1794">
        <f>SUMIF('8.项目规划指标表'!$B$5:$B$14,综合表!I4,'8.项目规划指标表'!$I$5:$I$15)</f>
        <v>56100</v>
      </c>
      <c r="J7" s="1796"/>
      <c r="K7" s="1794">
        <f>SUMIF('8.项目规划指标表'!$B$5:$B$14,综合表!K4,'8.项目规划指标表'!$I$5:$I$15)</f>
        <v>3640</v>
      </c>
      <c r="L7" s="1796"/>
      <c r="M7" s="1794">
        <f>SUMIF('8.项目规划指标表'!$B$5:$B$14,综合表!M4,'8.项目规划指标表'!$I$5:$I$15)</f>
        <v>0</v>
      </c>
      <c r="N7" s="1796"/>
      <c r="O7" s="1794">
        <f>SUMIF('8.项目规划指标表'!$B$5:$B$14,综合表!O4,'8.项目规划指标表'!$I$5:$I$15)</f>
        <v>0</v>
      </c>
      <c r="P7" s="1796"/>
      <c r="Q7" s="1794">
        <f>SUMIF('8.项目规划指标表'!$B$5:$B$14,综合表!Q4,'8.项目规划指标表'!$I$5:$I$15)</f>
        <v>0</v>
      </c>
      <c r="R7" s="1796"/>
      <c r="S7" s="1794">
        <f>SUMIF('8.项目规划指标表'!$B$5:$B$14,综合表!S4,'8.项目规划指标表'!$I$5:$I$15)</f>
        <v>0</v>
      </c>
      <c r="T7" s="1796"/>
      <c r="U7" s="1794">
        <f>SUMIF('8.项目规划指标表'!$B$5:$B$14,综合表!U4,'8.项目规划指标表'!$I$5:$I$15)</f>
        <v>0</v>
      </c>
      <c r="V7" s="1796"/>
      <c r="W7" s="1794">
        <f>SUMIF('8.项目规划指标表'!$B$5:$B$14,综合表!W4,'8.项目规划指标表'!$I$5:$I$15)</f>
        <v>0</v>
      </c>
      <c r="X7" s="1796"/>
      <c r="Y7" s="1794">
        <f>SUMIF('8.项目规划指标表'!$B$5:$B$14,综合表!Y4,'8.项目规划指标表'!$I$5:$I$15)</f>
        <v>0</v>
      </c>
      <c r="Z7" s="1796"/>
      <c r="AA7" s="1794">
        <f>SUMIF('8.项目规划指标表'!$B$5:$B$14,综合表!AA4,'8.项目规划指标表'!$I$5:$I$15)</f>
        <v>0</v>
      </c>
      <c r="AB7" s="1796"/>
      <c r="AC7" s="1794"/>
      <c r="AD7" s="1796"/>
      <c r="AE7" s="1794"/>
      <c r="AF7" s="1796"/>
      <c r="AG7" s="1794">
        <f>SUM(AI7:BF7)</f>
        <v>0</v>
      </c>
      <c r="AH7" s="1795"/>
      <c r="AI7" s="1794">
        <f>SUMIF('8.项目规划指标表'!$B$5:$B$14,综合表!AI4,'8.项目规划指标表'!$M$5:$M$15)</f>
        <v>0</v>
      </c>
      <c r="AJ7" s="1796"/>
      <c r="AK7" s="1794">
        <f>SUMIF('8.项目规划指标表'!$B$5:$B$14,综合表!AK4,'8.项目规划指标表'!$M$5:$M$15)</f>
        <v>0</v>
      </c>
      <c r="AL7" s="1796"/>
      <c r="AM7" s="1794">
        <f>SUMIF('8.项目规划指标表'!$B$5:$B$14,综合表!AM4,'8.项目规划指标表'!$M$5:$M$15)</f>
        <v>0</v>
      </c>
      <c r="AN7" s="1796"/>
      <c r="AO7" s="1794">
        <f>SUMIF('8.项目规划指标表'!$B$5:$B$14,综合表!AO4,'8.项目规划指标表'!$M$5:$M$15)</f>
        <v>0</v>
      </c>
      <c r="AP7" s="1796"/>
      <c r="AQ7" s="1794">
        <f>SUMIF('8.项目规划指标表'!$B$5:$B$14,综合表!AQ4,'8.项目规划指标表'!$M$5:$M$15)</f>
        <v>0</v>
      </c>
      <c r="AR7" s="1796"/>
      <c r="AS7" s="1794">
        <f>SUMIF('8.项目规划指标表'!$B$5:$B$14,综合表!AS4,'8.项目规划指标表'!$M$5:$M$15)</f>
        <v>0</v>
      </c>
      <c r="AT7" s="1796"/>
      <c r="AU7" s="1794">
        <f>SUMIF('8.项目规划指标表'!$B$5:$B$14,综合表!AU4,'8.项目规划指标表'!$M$5:$M$15)</f>
        <v>0</v>
      </c>
      <c r="AV7" s="1796"/>
      <c r="AW7" s="1794">
        <f>SUMIF('8.项目规划指标表'!$B$5:$B$14,综合表!AW4,'8.项目规划指标表'!$M$5:$M$15)</f>
        <v>0</v>
      </c>
      <c r="AX7" s="1796"/>
      <c r="AY7" s="1794">
        <f>SUMIF('8.项目规划指标表'!$B$5:$B$14,综合表!AY4,'8.项目规划指标表'!$M$5:$M$15)</f>
        <v>0</v>
      </c>
      <c r="AZ7" s="1796"/>
      <c r="BA7" s="1794">
        <f>SUMIF('8.项目规划指标表'!$B$5:$B$14,综合表!BA4,'8.项目规划指标表'!$M$5:$M$15)</f>
        <v>0</v>
      </c>
      <c r="BB7" s="1796"/>
      <c r="BC7" s="1794"/>
      <c r="BD7" s="1796"/>
      <c r="BE7" s="1794"/>
      <c r="BF7" s="1796"/>
      <c r="BG7" s="1794">
        <f>SUM(BI7:CF7)</f>
        <v>0</v>
      </c>
      <c r="BH7" s="1795"/>
      <c r="BI7" s="1797">
        <f>SUMIF('8.项目规划指标表'!$B$5:$B$14,综合表!BI4,'8.项目规划指标表'!$Q$5:$Q$15)</f>
        <v>0</v>
      </c>
      <c r="BJ7" s="1798"/>
      <c r="BK7" s="1797">
        <f>SUMIF('8.项目规划指标表'!$B$5:$B$14,综合表!BK4,'8.项目规划指标表'!$Q$5:$Q$15)</f>
        <v>0</v>
      </c>
      <c r="BL7" s="1798"/>
      <c r="BM7" s="1797">
        <f>SUMIF('8.项目规划指标表'!$B$5:$B$14,综合表!BM4,'8.项目规划指标表'!$Q$5:$Q$15)</f>
        <v>0</v>
      </c>
      <c r="BN7" s="1798"/>
      <c r="BO7" s="1797">
        <f>SUMIF('8.项目规划指标表'!$B$5:$B$14,综合表!BO4,'8.项目规划指标表'!$Q$5:$Q$15)</f>
        <v>0</v>
      </c>
      <c r="BP7" s="1798"/>
      <c r="BQ7" s="1797">
        <f>SUMIF('8.项目规划指标表'!$B$5:$B$14,综合表!BQ4,'8.项目规划指标表'!$Q$5:$Q$15)</f>
        <v>0</v>
      </c>
      <c r="BR7" s="1798"/>
      <c r="BS7" s="1797">
        <f>SUMIF('8.项目规划指标表'!$B$5:$B$14,综合表!BS4,'8.项目规划指标表'!$Q$5:$Q$15)</f>
        <v>0</v>
      </c>
      <c r="BT7" s="1798"/>
      <c r="BU7" s="1797">
        <f>SUMIF('8.项目规划指标表'!$B$5:$B$14,综合表!BU4,'8.项目规划指标表'!$Q$5:$Q$15)</f>
        <v>0</v>
      </c>
      <c r="BV7" s="1798"/>
      <c r="BW7" s="1797">
        <f>SUMIF('8.项目规划指标表'!$B$5:$B$14,综合表!BW4,'8.项目规划指标表'!$Q$5:$Q$15)</f>
        <v>0</v>
      </c>
      <c r="BX7" s="1798"/>
      <c r="BY7" s="1797">
        <f>SUMIF('8.项目规划指标表'!$B$5:$B$14,综合表!BY4,'8.项目规划指标表'!$Q$5:$Q$15)</f>
        <v>0</v>
      </c>
      <c r="BZ7" s="1798"/>
      <c r="CA7" s="1797">
        <f>SUMIF('8.项目规划指标表'!$B$5:$B$14,综合表!CA4,'8.项目规划指标表'!$Q$5:$Q$15)</f>
        <v>0</v>
      </c>
      <c r="CB7" s="1798"/>
      <c r="CC7" s="1797"/>
      <c r="CD7" s="1798"/>
      <c r="CE7" s="1797"/>
      <c r="CF7" s="1798"/>
      <c r="CG7" s="1794">
        <f>SUM(CI7:DF7)</f>
        <v>0</v>
      </c>
      <c r="CH7" s="1795"/>
      <c r="CI7" s="1797">
        <f>SUMIF('8.项目规划指标表'!$B$5:$B$14,综合表!CI4,'8.项目规划指标表'!$U$5:$U$15)</f>
        <v>0</v>
      </c>
      <c r="CJ7" s="1798"/>
      <c r="CK7" s="1797">
        <f>SUMIF('8.项目规划指标表'!$B$5:$B$14,综合表!CK4,'8.项目规划指标表'!$U$5:$U$15)</f>
        <v>0</v>
      </c>
      <c r="CL7" s="1798"/>
      <c r="CM7" s="1797">
        <f>SUMIF('8.项目规划指标表'!$B$5:$B$14,综合表!CM4,'8.项目规划指标表'!$U$5:$U$15)</f>
        <v>0</v>
      </c>
      <c r="CN7" s="1798"/>
      <c r="CO7" s="1797">
        <f>SUMIF('8.项目规划指标表'!$B$5:$B$14,综合表!CO4,'8.项目规划指标表'!$U$5:$U$15)</f>
        <v>0</v>
      </c>
      <c r="CP7" s="1798"/>
      <c r="CQ7" s="1797">
        <f>SUMIF('8.项目规划指标表'!$B$5:$B$14,综合表!CQ4,'8.项目规划指标表'!$U$5:$U$15)</f>
        <v>0</v>
      </c>
      <c r="CR7" s="1798"/>
      <c r="CS7" s="1797">
        <f>SUMIF('8.项目规划指标表'!$B$5:$B$14,综合表!CS4,'8.项目规划指标表'!$U$5:$U$15)</f>
        <v>0</v>
      </c>
      <c r="CT7" s="1798"/>
      <c r="CU7" s="1797">
        <f>SUMIF('8.项目规划指标表'!$B$5:$B$14,综合表!CU4,'8.项目规划指标表'!$U$5:$U$15)</f>
        <v>0</v>
      </c>
      <c r="CV7" s="1798"/>
      <c r="CW7" s="1797">
        <f>SUMIF('8.项目规划指标表'!$B$5:$B$14,综合表!CW4,'8.项目规划指标表'!$U$5:$U$15)</f>
        <v>0</v>
      </c>
      <c r="CX7" s="1798"/>
      <c r="CY7" s="1797">
        <f>SUMIF('8.项目规划指标表'!$B$5:$B$14,综合表!CY4,'8.项目规划指标表'!$U$5:$U$15)</f>
        <v>0</v>
      </c>
      <c r="CZ7" s="1798"/>
      <c r="DA7" s="1797">
        <f>SUMIF('8.项目规划指标表'!$B$5:$B$14,综合表!DA4,'8.项目规划指标表'!$U$5:$U$15)</f>
        <v>0</v>
      </c>
      <c r="DB7" s="1798"/>
      <c r="DC7" s="1797"/>
      <c r="DD7" s="1798"/>
      <c r="DE7" s="1797"/>
      <c r="DF7" s="1798"/>
      <c r="DG7" s="1794">
        <f>SUM(DI7:EF7)</f>
        <v>0</v>
      </c>
      <c r="DH7" s="1795"/>
      <c r="DI7" s="1797">
        <f>SUMIF('8.项目规划指标表'!$B$5:$B$14,综合表!DI4,'8.项目规划指标表'!$Y$5:$Y$15)</f>
        <v>0</v>
      </c>
      <c r="DJ7" s="1798"/>
      <c r="DK7" s="1797">
        <f>SUMIF('8.项目规划指标表'!$B$5:$B$14,综合表!DK4,'8.项目规划指标表'!$Y$5:$Y$15)</f>
        <v>0</v>
      </c>
      <c r="DL7" s="1798"/>
      <c r="DM7" s="1797">
        <f>SUMIF('8.项目规划指标表'!$B$5:$B$14,综合表!DM4,'8.项目规划指标表'!$Y$5:$Y$15)</f>
        <v>0</v>
      </c>
      <c r="DN7" s="1798"/>
      <c r="DO7" s="1797">
        <f>SUMIF('8.项目规划指标表'!$B$5:$B$14,综合表!DO4,'8.项目规划指标表'!$Y$5:$Y$15)</f>
        <v>0</v>
      </c>
      <c r="DP7" s="1798"/>
      <c r="DQ7" s="1797">
        <f>SUMIF('8.项目规划指标表'!$B$5:$B$14,综合表!DQ4,'8.项目规划指标表'!$Y$5:$Y$15)</f>
        <v>0</v>
      </c>
      <c r="DR7" s="1798"/>
      <c r="DS7" s="1797">
        <f>SUMIF('8.项目规划指标表'!$B$5:$B$14,综合表!DS4,'8.项目规划指标表'!$Y$5:$Y$15)</f>
        <v>0</v>
      </c>
      <c r="DT7" s="1798"/>
      <c r="DU7" s="1797">
        <f>SUMIF('8.项目规划指标表'!$B$5:$B$14,综合表!DU4,'8.项目规划指标表'!$Y$5:$Y$15)</f>
        <v>0</v>
      </c>
      <c r="DV7" s="1798"/>
      <c r="DW7" s="1797">
        <f>SUMIF('8.项目规划指标表'!$B$5:$B$14,综合表!DW4,'8.项目规划指标表'!$Y$5:$Y$15)</f>
        <v>0</v>
      </c>
      <c r="DX7" s="1798"/>
      <c r="DY7" s="1797">
        <f>SUMIF('8.项目规划指标表'!$B$5:$B$14,综合表!DY4,'8.项目规划指标表'!$Y$5:$Y$15)</f>
        <v>0</v>
      </c>
      <c r="DZ7" s="1798"/>
      <c r="EA7" s="1797">
        <f>SUMIF('8.项目规划指标表'!$B$5:$B$14,综合表!EA4,'8.项目规划指标表'!$Y$5:$Y$15)</f>
        <v>0</v>
      </c>
      <c r="EB7" s="1798"/>
      <c r="EC7" s="1797"/>
      <c r="ED7" s="1798"/>
      <c r="EE7" s="1797"/>
      <c r="EF7" s="1798"/>
      <c r="EG7" s="1794">
        <f>SUM(EI7:FF7)</f>
        <v>0</v>
      </c>
      <c r="EH7" s="1795"/>
      <c r="EI7" s="1797">
        <f>SUMIF('8.项目规划指标表'!$B$5:$B$14,综合表!EI4,'8.项目规划指标表'!$AC$5:$AC$15)</f>
        <v>0</v>
      </c>
      <c r="EJ7" s="1798"/>
      <c r="EK7" s="1797">
        <f>SUMIF('8.项目规划指标表'!$B$5:$B$14,综合表!EK4,'8.项目规划指标表'!$AC$5:$AC$15)</f>
        <v>0</v>
      </c>
      <c r="EL7" s="1798"/>
      <c r="EM7" s="1797">
        <f>SUMIF('8.项目规划指标表'!$B$5:$B$14,综合表!EM4,'8.项目规划指标表'!$AC$5:$AC$15)</f>
        <v>0</v>
      </c>
      <c r="EN7" s="1798"/>
      <c r="EO7" s="1797">
        <f>SUMIF('8.项目规划指标表'!$B$5:$B$14,综合表!EO4,'8.项目规划指标表'!$AC$5:$AC$15)</f>
        <v>0</v>
      </c>
      <c r="EP7" s="1798"/>
      <c r="EQ7" s="1797">
        <f>SUMIF('8.项目规划指标表'!$B$5:$B$14,综合表!EQ4,'8.项目规划指标表'!$AC$5:$AC$15)</f>
        <v>0</v>
      </c>
      <c r="ER7" s="1798"/>
      <c r="ES7" s="1797">
        <f>SUMIF('8.项目规划指标表'!$B$5:$B$14,综合表!ES4,'8.项目规划指标表'!$AC$5:$AC$15)</f>
        <v>0</v>
      </c>
      <c r="ET7" s="1798"/>
      <c r="EU7" s="1797">
        <f>SUMIF('8.项目规划指标表'!$B$5:$B$14,综合表!EU4,'8.项目规划指标表'!$AC$5:$AC$15)</f>
        <v>0</v>
      </c>
      <c r="EV7" s="1798"/>
      <c r="EW7" s="1797">
        <f>SUMIF('8.项目规划指标表'!$B$5:$B$14,综合表!EW4,'8.项目规划指标表'!$AC$5:$AC$15)</f>
        <v>0</v>
      </c>
      <c r="EX7" s="1798"/>
      <c r="EY7" s="1797">
        <f>SUMIF('8.项目规划指标表'!$B$5:$B$14,综合表!EY4,'8.项目规划指标表'!$AC$5:$AC$15)</f>
        <v>0</v>
      </c>
      <c r="EZ7" s="1798"/>
      <c r="FA7" s="1797">
        <f>SUMIF('8.项目规划指标表'!$B$5:$B$14,综合表!FA4,'8.项目规划指标表'!$AC$5:$AC$15)</f>
        <v>0</v>
      </c>
      <c r="FB7" s="1798"/>
      <c r="FC7" s="1797"/>
      <c r="FD7" s="1798"/>
      <c r="FE7" s="1797"/>
      <c r="FF7" s="1798"/>
    </row>
    <row r="8" spans="1:162" s="1359" customFormat="1" ht="16.5" customHeight="1">
      <c r="A8" s="1787"/>
      <c r="B8" s="1379" t="s">
        <v>287</v>
      </c>
      <c r="C8" s="1799">
        <f t="shared" ref="C8" si="42">E8+G8+AG8+BG8+CG8+DG8+EG8</f>
        <v>609</v>
      </c>
      <c r="D8" s="1800"/>
      <c r="E8" s="1801"/>
      <c r="F8" s="1802"/>
      <c r="G8" s="1794">
        <f>SUM(I8:AF8)</f>
        <v>609</v>
      </c>
      <c r="H8" s="1795"/>
      <c r="I8" s="1803"/>
      <c r="J8" s="1804"/>
      <c r="K8" s="1803"/>
      <c r="L8" s="1804"/>
      <c r="M8" s="1803"/>
      <c r="N8" s="1804"/>
      <c r="O8" s="1803"/>
      <c r="P8" s="1804"/>
      <c r="Q8" s="1803"/>
      <c r="R8" s="1804"/>
      <c r="S8" s="1803"/>
      <c r="T8" s="1804"/>
      <c r="U8" s="1803"/>
      <c r="V8" s="1804"/>
      <c r="W8" s="1803"/>
      <c r="X8" s="1804"/>
      <c r="Y8" s="1803"/>
      <c r="Z8" s="1804"/>
      <c r="AA8" s="1803"/>
      <c r="AB8" s="1804"/>
      <c r="AC8" s="1803">
        <f>SUMIF('8.项目规划指标表'!$B$5:$B$19,综合表!AC4,'8.项目规划指标表'!$I$5:$I$19)</f>
        <v>422</v>
      </c>
      <c r="AD8" s="1804"/>
      <c r="AE8" s="1803">
        <f>SUMIF('8.项目规划指标表'!$B$5:$B$19,综合表!AE4,'8.项目规划指标表'!$I$5:$I$19)</f>
        <v>187</v>
      </c>
      <c r="AF8" s="1804"/>
      <c r="AG8" s="1794">
        <f>SUM(AI8:BF8)</f>
        <v>0</v>
      </c>
      <c r="AH8" s="1795"/>
      <c r="AI8" s="1803"/>
      <c r="AJ8" s="1804"/>
      <c r="AK8" s="1803"/>
      <c r="AL8" s="1804"/>
      <c r="AM8" s="1803"/>
      <c r="AN8" s="1804"/>
      <c r="AO8" s="1803"/>
      <c r="AP8" s="1804"/>
      <c r="AQ8" s="1803"/>
      <c r="AR8" s="1804"/>
      <c r="AS8" s="1803"/>
      <c r="AT8" s="1804"/>
      <c r="AU8" s="1803"/>
      <c r="AV8" s="1804"/>
      <c r="AW8" s="1803"/>
      <c r="AX8" s="1804"/>
      <c r="AY8" s="1803"/>
      <c r="AZ8" s="1804"/>
      <c r="BA8" s="1803"/>
      <c r="BB8" s="1804"/>
      <c r="BC8" s="1803">
        <f>SUMIF('8.项目规划指标表'!$B$5:$B$19,综合表!BC4,'8.项目规划指标表'!$M$5:$M$19)</f>
        <v>0</v>
      </c>
      <c r="BD8" s="1804"/>
      <c r="BE8" s="1803">
        <f>SUMIF('8.项目规划指标表'!$B$5:$B$19,综合表!BE4,'8.项目规划指标表'!$M$5:$M$19)</f>
        <v>0</v>
      </c>
      <c r="BF8" s="1804"/>
      <c r="BG8" s="1794">
        <f>SUM(BI8:CF8)</f>
        <v>0</v>
      </c>
      <c r="BH8" s="1795"/>
      <c r="BI8" s="1803"/>
      <c r="BJ8" s="1804"/>
      <c r="BK8" s="1803"/>
      <c r="BL8" s="1804"/>
      <c r="BM8" s="1803"/>
      <c r="BN8" s="1804"/>
      <c r="BO8" s="1803"/>
      <c r="BP8" s="1804"/>
      <c r="BQ8" s="1803"/>
      <c r="BR8" s="1804"/>
      <c r="BS8" s="1803"/>
      <c r="BT8" s="1804"/>
      <c r="BU8" s="1803"/>
      <c r="BV8" s="1804"/>
      <c r="BW8" s="1803"/>
      <c r="BX8" s="1804"/>
      <c r="BY8" s="1803"/>
      <c r="BZ8" s="1804"/>
      <c r="CA8" s="1803"/>
      <c r="CB8" s="1804"/>
      <c r="CC8" s="1803">
        <f>SUMIF('8.项目规划指标表'!$B$5:$B$19,综合表!CC4,'8.项目规划指标表'!$Q$5:$Q$19)</f>
        <v>0</v>
      </c>
      <c r="CD8" s="1804"/>
      <c r="CE8" s="1803">
        <f>SUMIF('8.项目规划指标表'!$B$5:$B$19,综合表!CE4,'8.项目规划指标表'!$Q$5:$Q$19)</f>
        <v>0</v>
      </c>
      <c r="CF8" s="1804"/>
      <c r="CG8" s="1794">
        <f>SUM(CI8:DF8)</f>
        <v>0</v>
      </c>
      <c r="CH8" s="1795"/>
      <c r="CI8" s="1803"/>
      <c r="CJ8" s="1804"/>
      <c r="CK8" s="1803"/>
      <c r="CL8" s="1804"/>
      <c r="CM8" s="1803"/>
      <c r="CN8" s="1804"/>
      <c r="CO8" s="1803"/>
      <c r="CP8" s="1804"/>
      <c r="CQ8" s="1803"/>
      <c r="CR8" s="1804"/>
      <c r="CS8" s="1803"/>
      <c r="CT8" s="1804"/>
      <c r="CU8" s="1803"/>
      <c r="CV8" s="1804"/>
      <c r="CW8" s="1803"/>
      <c r="CX8" s="1804"/>
      <c r="CY8" s="1803"/>
      <c r="CZ8" s="1804"/>
      <c r="DA8" s="1803"/>
      <c r="DB8" s="1804"/>
      <c r="DC8" s="1803">
        <f>SUMIF('8.项目规划指标表'!$B$5:$B$19,综合表!DC4,'8.项目规划指标表'!$U$5:$U$19)</f>
        <v>0</v>
      </c>
      <c r="DD8" s="1804"/>
      <c r="DE8" s="1803">
        <f>SUMIF('8.项目规划指标表'!$B$5:$B$19,综合表!DE4,'8.项目规划指标表'!$U$5:$U$19)</f>
        <v>0</v>
      </c>
      <c r="DF8" s="1804"/>
      <c r="DG8" s="1794">
        <f>SUM(DI8:EF8)</f>
        <v>0</v>
      </c>
      <c r="DH8" s="1795"/>
      <c r="DI8" s="1803"/>
      <c r="DJ8" s="1804"/>
      <c r="DK8" s="1803"/>
      <c r="DL8" s="1804"/>
      <c r="DM8" s="1803"/>
      <c r="DN8" s="1804"/>
      <c r="DO8" s="1803"/>
      <c r="DP8" s="1804"/>
      <c r="DQ8" s="1803"/>
      <c r="DR8" s="1804"/>
      <c r="DS8" s="1803"/>
      <c r="DT8" s="1804"/>
      <c r="DU8" s="1803"/>
      <c r="DV8" s="1804"/>
      <c r="DW8" s="1803"/>
      <c r="DX8" s="1804"/>
      <c r="DY8" s="1803"/>
      <c r="DZ8" s="1804"/>
      <c r="EA8" s="1803"/>
      <c r="EB8" s="1804"/>
      <c r="EC8" s="1803">
        <f>SUMIF('8.项目规划指标表'!$B$5:$B$19,综合表!EC4,'8.项目规划指标表'!$Y$5:$Y$19)</f>
        <v>0</v>
      </c>
      <c r="ED8" s="1804"/>
      <c r="EE8" s="1803">
        <f>SUMIF('8.项目规划指标表'!$B$5:$B$19,综合表!EE4,'8.项目规划指标表'!$Y$5:$Y$19)</f>
        <v>0</v>
      </c>
      <c r="EF8" s="1804"/>
      <c r="EG8" s="1794">
        <f>SUM(EI8:FF8)</f>
        <v>0</v>
      </c>
      <c r="EH8" s="1795"/>
      <c r="EI8" s="1803"/>
      <c r="EJ8" s="1804"/>
      <c r="EK8" s="1803"/>
      <c r="EL8" s="1804"/>
      <c r="EM8" s="1803"/>
      <c r="EN8" s="1804"/>
      <c r="EO8" s="1803"/>
      <c r="EP8" s="1804"/>
      <c r="EQ8" s="1803"/>
      <c r="ER8" s="1804"/>
      <c r="ES8" s="1803"/>
      <c r="ET8" s="1804"/>
      <c r="EU8" s="1803"/>
      <c r="EV8" s="1804"/>
      <c r="EW8" s="1803"/>
      <c r="EX8" s="1804"/>
      <c r="EY8" s="1803"/>
      <c r="EZ8" s="1804"/>
      <c r="FA8" s="1803"/>
      <c r="FB8" s="1804"/>
      <c r="FC8" s="1803">
        <f>SUMIF('8.项目规划指标表'!$B$5:$B$19,综合表!FC4,'8.项目规划指标表'!$AC$5:$AC$19)</f>
        <v>0</v>
      </c>
      <c r="FD8" s="1804"/>
      <c r="FE8" s="1803">
        <f>SUMIF('8.项目规划指标表'!$B$5:$B$19,综合表!FE4,'8.项目规划指标表'!$U$5:$U$19)</f>
        <v>0</v>
      </c>
      <c r="FF8" s="1804"/>
    </row>
    <row r="9" spans="1:162" s="1359" customFormat="1" ht="16.5" customHeight="1">
      <c r="A9" s="1787"/>
      <c r="B9" s="1377" t="s">
        <v>257</v>
      </c>
      <c r="C9" s="1805">
        <f>C6/C5</f>
        <v>3.1448446089980928</v>
      </c>
      <c r="D9" s="1806"/>
      <c r="E9" s="1799"/>
      <c r="F9" s="1800"/>
      <c r="G9" s="1807">
        <f>IFERROR((G6-AC6-AE6)/G5,0)</f>
        <v>2.64850054477234</v>
      </c>
      <c r="H9" s="1808"/>
      <c r="I9" s="1807">
        <f t="shared" ref="I9" si="43">IFERROR(I6/I5,0)</f>
        <v>4.116282882876507</v>
      </c>
      <c r="J9" s="1808"/>
      <c r="K9" s="1807">
        <f t="shared" ref="K9" si="44">IFERROR(K6/K5,0)</f>
        <v>0.49122394572233591</v>
      </c>
      <c r="L9" s="1808"/>
      <c r="M9" s="1807">
        <f t="shared" ref="M9" si="45">IFERROR(M6/M5,0)</f>
        <v>1.3547449956692721</v>
      </c>
      <c r="N9" s="1808"/>
      <c r="O9" s="1807">
        <f t="shared" ref="O9" si="46">IFERROR(O6/O5,0)</f>
        <v>0</v>
      </c>
      <c r="P9" s="1808"/>
      <c r="Q9" s="1807">
        <f t="shared" ref="Q9" si="47">IFERROR(Q6/Q5,0)</f>
        <v>0</v>
      </c>
      <c r="R9" s="1808"/>
      <c r="S9" s="1807">
        <f t="shared" ref="S9" si="48">IFERROR(S6/S5,0)</f>
        <v>0</v>
      </c>
      <c r="T9" s="1808"/>
      <c r="U9" s="1807">
        <f t="shared" ref="U9" si="49">IFERROR(U6/U5,0)</f>
        <v>0</v>
      </c>
      <c r="V9" s="1808"/>
      <c r="W9" s="1807">
        <f t="shared" ref="W9" si="50">IFERROR(W6/W5,0)</f>
        <v>0</v>
      </c>
      <c r="X9" s="1808"/>
      <c r="Y9" s="1807">
        <f t="shared" ref="Y9" si="51">IFERROR(Y6/Y5,0)</f>
        <v>0</v>
      </c>
      <c r="Z9" s="1808"/>
      <c r="AA9" s="1807">
        <f t="shared" ref="AA9" si="52">IFERROR(AA6/AA5,0)</f>
        <v>0</v>
      </c>
      <c r="AB9" s="1808"/>
      <c r="AC9" s="1809"/>
      <c r="AD9" s="1810"/>
      <c r="AE9" s="1809"/>
      <c r="AF9" s="1810"/>
      <c r="AG9" s="1807">
        <f>IFERROR((AG6-BC6-BE6)/AG5,0)</f>
        <v>0</v>
      </c>
      <c r="AH9" s="1808"/>
      <c r="AI9" s="1807">
        <f t="shared" ref="AI9" si="53">IFERROR(AI6/AI5,0)</f>
        <v>0</v>
      </c>
      <c r="AJ9" s="1808"/>
      <c r="AK9" s="1807">
        <f t="shared" ref="AK9" si="54">IFERROR(AK6/AK5,0)</f>
        <v>0</v>
      </c>
      <c r="AL9" s="1808"/>
      <c r="AM9" s="1807">
        <f t="shared" ref="AM9" si="55">IFERROR(AM6/AM5,0)</f>
        <v>0</v>
      </c>
      <c r="AN9" s="1808"/>
      <c r="AO9" s="1807">
        <f t="shared" ref="AO9" si="56">IFERROR(AO6/AO5,0)</f>
        <v>0</v>
      </c>
      <c r="AP9" s="1808"/>
      <c r="AQ9" s="1807">
        <f t="shared" ref="AQ9" si="57">IFERROR(AQ6/AQ5,0)</f>
        <v>0</v>
      </c>
      <c r="AR9" s="1808"/>
      <c r="AS9" s="1807">
        <f t="shared" ref="AS9" si="58">IFERROR(AS6/AS5,0)</f>
        <v>0</v>
      </c>
      <c r="AT9" s="1808"/>
      <c r="AU9" s="1807">
        <f t="shared" ref="AU9" si="59">IFERROR(AU6/AU5,0)</f>
        <v>0</v>
      </c>
      <c r="AV9" s="1808"/>
      <c r="AW9" s="1807">
        <f t="shared" ref="AW9" si="60">IFERROR(AW6/AW5,0)</f>
        <v>0</v>
      </c>
      <c r="AX9" s="1808"/>
      <c r="AY9" s="1807">
        <f t="shared" ref="AY9" si="61">IFERROR(AY6/AY5,0)</f>
        <v>0</v>
      </c>
      <c r="AZ9" s="1808"/>
      <c r="BA9" s="1807">
        <f t="shared" ref="BA9" si="62">IFERROR(BA6/BA5,0)</f>
        <v>0</v>
      </c>
      <c r="BB9" s="1808"/>
      <c r="BC9" s="1809"/>
      <c r="BD9" s="1810"/>
      <c r="BE9" s="1809"/>
      <c r="BF9" s="1810"/>
      <c r="BG9" s="1807">
        <f>IFERROR((BG6-CC6-CE6)/BG5,0)</f>
        <v>0</v>
      </c>
      <c r="BH9" s="1808"/>
      <c r="BI9" s="1807">
        <f t="shared" ref="BI9" si="63">IFERROR(BI6/BI5,0)</f>
        <v>0</v>
      </c>
      <c r="BJ9" s="1808"/>
      <c r="BK9" s="1807">
        <f t="shared" ref="BK9" si="64">IFERROR(BK6/BK5,0)</f>
        <v>0</v>
      </c>
      <c r="BL9" s="1808"/>
      <c r="BM9" s="1807">
        <f t="shared" ref="BM9" si="65">IFERROR(BM6/BM5,0)</f>
        <v>0</v>
      </c>
      <c r="BN9" s="1808"/>
      <c r="BO9" s="1807">
        <f t="shared" ref="BO9" si="66">IFERROR(BO6/BO5,0)</f>
        <v>0</v>
      </c>
      <c r="BP9" s="1808"/>
      <c r="BQ9" s="1807">
        <f t="shared" ref="BQ9" si="67">IFERROR(BQ6/BQ5,0)</f>
        <v>0</v>
      </c>
      <c r="BR9" s="1808"/>
      <c r="BS9" s="1807">
        <f t="shared" ref="BS9" si="68">IFERROR(BS6/BS5,0)</f>
        <v>0</v>
      </c>
      <c r="BT9" s="1808"/>
      <c r="BU9" s="1807">
        <f t="shared" ref="BU9" si="69">IFERROR(BU6/BU5,0)</f>
        <v>0</v>
      </c>
      <c r="BV9" s="1808"/>
      <c r="BW9" s="1807">
        <f t="shared" ref="BW9" si="70">IFERROR(BW6/BW5,0)</f>
        <v>0</v>
      </c>
      <c r="BX9" s="1808"/>
      <c r="BY9" s="1807">
        <f t="shared" ref="BY9" si="71">IFERROR(BY6/BY5,0)</f>
        <v>0</v>
      </c>
      <c r="BZ9" s="1808"/>
      <c r="CA9" s="1807">
        <f t="shared" ref="CA9" si="72">IFERROR(CA6/CA5,0)</f>
        <v>0</v>
      </c>
      <c r="CB9" s="1808"/>
      <c r="CC9" s="1809"/>
      <c r="CD9" s="1810"/>
      <c r="CE9" s="1809"/>
      <c r="CF9" s="1810"/>
      <c r="CG9" s="1807">
        <f>IFERROR((CG6-DC6-DE6)/CG5,0)</f>
        <v>0</v>
      </c>
      <c r="CH9" s="1808"/>
      <c r="CI9" s="1807">
        <f t="shared" ref="CI9" si="73">IFERROR(CI6/CI5,0)</f>
        <v>0</v>
      </c>
      <c r="CJ9" s="1808"/>
      <c r="CK9" s="1807">
        <f t="shared" ref="CK9" si="74">IFERROR(CK6/CK5,0)</f>
        <v>0</v>
      </c>
      <c r="CL9" s="1808"/>
      <c r="CM9" s="1807">
        <f t="shared" ref="CM9" si="75">IFERROR(CM6/CM5,0)</f>
        <v>0</v>
      </c>
      <c r="CN9" s="1808"/>
      <c r="CO9" s="1807">
        <f t="shared" ref="CO9" si="76">IFERROR(CO6/CO5,0)</f>
        <v>0</v>
      </c>
      <c r="CP9" s="1808"/>
      <c r="CQ9" s="1807">
        <f t="shared" ref="CQ9" si="77">IFERROR(CQ6/CQ5,0)</f>
        <v>0</v>
      </c>
      <c r="CR9" s="1808"/>
      <c r="CS9" s="1807">
        <f t="shared" ref="CS9" si="78">IFERROR(CS6/CS5,0)</f>
        <v>0</v>
      </c>
      <c r="CT9" s="1808"/>
      <c r="CU9" s="1807">
        <f t="shared" ref="CU9" si="79">IFERROR(CU6/CU5,0)</f>
        <v>0</v>
      </c>
      <c r="CV9" s="1808"/>
      <c r="CW9" s="1807">
        <f t="shared" ref="CW9" si="80">IFERROR(CW6/CW5,0)</f>
        <v>0</v>
      </c>
      <c r="CX9" s="1808"/>
      <c r="CY9" s="1807">
        <f t="shared" ref="CY9" si="81">IFERROR(CY6/CY5,0)</f>
        <v>0</v>
      </c>
      <c r="CZ9" s="1808"/>
      <c r="DA9" s="1807">
        <f t="shared" ref="DA9" si="82">IFERROR(DA6/DA5,0)</f>
        <v>0</v>
      </c>
      <c r="DB9" s="1808"/>
      <c r="DC9" s="1809"/>
      <c r="DD9" s="1810"/>
      <c r="DE9" s="1809"/>
      <c r="DF9" s="1810"/>
      <c r="DG9" s="1807">
        <f>IFERROR((DG6-EC6-EE6)/DG5,0)</f>
        <v>0</v>
      </c>
      <c r="DH9" s="1808"/>
      <c r="DI9" s="1807">
        <f t="shared" ref="DI9" si="83">IFERROR(DI6/DI5,0)</f>
        <v>0</v>
      </c>
      <c r="DJ9" s="1808"/>
      <c r="DK9" s="1807">
        <f t="shared" ref="DK9" si="84">IFERROR(DK6/DK5,0)</f>
        <v>0</v>
      </c>
      <c r="DL9" s="1808"/>
      <c r="DM9" s="1807">
        <f t="shared" ref="DM9" si="85">IFERROR(DM6/DM5,0)</f>
        <v>0</v>
      </c>
      <c r="DN9" s="1808"/>
      <c r="DO9" s="1807">
        <f t="shared" ref="DO9" si="86">IFERROR(DO6/DO5,0)</f>
        <v>0</v>
      </c>
      <c r="DP9" s="1808"/>
      <c r="DQ9" s="1807">
        <f t="shared" ref="DQ9" si="87">IFERROR(DQ6/DQ5,0)</f>
        <v>0</v>
      </c>
      <c r="DR9" s="1808"/>
      <c r="DS9" s="1807">
        <f t="shared" ref="DS9" si="88">IFERROR(DS6/DS5,0)</f>
        <v>0</v>
      </c>
      <c r="DT9" s="1808"/>
      <c r="DU9" s="1807">
        <f t="shared" ref="DU9" si="89">IFERROR(DU6/DU5,0)</f>
        <v>0</v>
      </c>
      <c r="DV9" s="1808"/>
      <c r="DW9" s="1807">
        <f t="shared" ref="DW9" si="90">IFERROR(DW6/DW5,0)</f>
        <v>0</v>
      </c>
      <c r="DX9" s="1808"/>
      <c r="DY9" s="1807">
        <f t="shared" ref="DY9" si="91">IFERROR(DY6/DY5,0)</f>
        <v>0</v>
      </c>
      <c r="DZ9" s="1808"/>
      <c r="EA9" s="1807">
        <f t="shared" ref="EA9" si="92">IFERROR(EA6/EA5,0)</f>
        <v>0</v>
      </c>
      <c r="EB9" s="1808"/>
      <c r="EC9" s="1809"/>
      <c r="ED9" s="1810"/>
      <c r="EE9" s="1809"/>
      <c r="EF9" s="1810"/>
      <c r="EG9" s="1807">
        <f>IFERROR((EG6-FC6-FE6)/EG5,0)</f>
        <v>0</v>
      </c>
      <c r="EH9" s="1808"/>
      <c r="EI9" s="1807">
        <f t="shared" ref="EI9" si="93">IFERROR(EI6/EI5,0)</f>
        <v>0</v>
      </c>
      <c r="EJ9" s="1808"/>
      <c r="EK9" s="1807">
        <f t="shared" ref="EK9" si="94">IFERROR(EK6/EK5,0)</f>
        <v>0</v>
      </c>
      <c r="EL9" s="1808"/>
      <c r="EM9" s="1807">
        <f t="shared" ref="EM9" si="95">IFERROR(EM6/EM5,0)</f>
        <v>0</v>
      </c>
      <c r="EN9" s="1808"/>
      <c r="EO9" s="1807">
        <f t="shared" ref="EO9" si="96">IFERROR(EO6/EO5,0)</f>
        <v>0</v>
      </c>
      <c r="EP9" s="1808"/>
      <c r="EQ9" s="1807">
        <f t="shared" ref="EQ9" si="97">IFERROR(EQ6/EQ5,0)</f>
        <v>0</v>
      </c>
      <c r="ER9" s="1808"/>
      <c r="ES9" s="1807">
        <f t="shared" ref="ES9" si="98">IFERROR(ES6/ES5,0)</f>
        <v>0</v>
      </c>
      <c r="ET9" s="1808"/>
      <c r="EU9" s="1807">
        <f t="shared" ref="EU9" si="99">IFERROR(EU6/EU5,0)</f>
        <v>0</v>
      </c>
      <c r="EV9" s="1808"/>
      <c r="EW9" s="1807">
        <f t="shared" ref="EW9" si="100">IFERROR(EW6/EW5,0)</f>
        <v>0</v>
      </c>
      <c r="EX9" s="1808"/>
      <c r="EY9" s="1807">
        <f t="shared" ref="EY9" si="101">IFERROR(EY6/EY5,0)</f>
        <v>0</v>
      </c>
      <c r="EZ9" s="1808"/>
      <c r="FA9" s="1807">
        <f t="shared" ref="FA9" si="102">IFERROR(FA6/FA5,0)</f>
        <v>0</v>
      </c>
      <c r="FB9" s="1808"/>
      <c r="FC9" s="1809"/>
      <c r="FD9" s="1810"/>
      <c r="FE9" s="1809"/>
      <c r="FF9" s="1810"/>
    </row>
    <row r="10" spans="1:162" s="1360" customFormat="1" ht="19.5" customHeight="1">
      <c r="A10" s="1787" t="s">
        <v>288</v>
      </c>
      <c r="B10" s="1380"/>
      <c r="C10" s="1381" t="s">
        <v>289</v>
      </c>
      <c r="D10" s="1381" t="s">
        <v>290</v>
      </c>
      <c r="E10" s="1381" t="s">
        <v>291</v>
      </c>
      <c r="F10" s="1381" t="s">
        <v>290</v>
      </c>
      <c r="G10" s="1381" t="s">
        <v>291</v>
      </c>
      <c r="H10" s="1381" t="s">
        <v>290</v>
      </c>
      <c r="I10" s="1381" t="s">
        <v>291</v>
      </c>
      <c r="J10" s="1381" t="s">
        <v>290</v>
      </c>
      <c r="K10" s="1381" t="s">
        <v>291</v>
      </c>
      <c r="L10" s="1381" t="s">
        <v>290</v>
      </c>
      <c r="M10" s="1381" t="s">
        <v>291</v>
      </c>
      <c r="N10" s="1381" t="s">
        <v>290</v>
      </c>
      <c r="O10" s="1381" t="s">
        <v>291</v>
      </c>
      <c r="P10" s="1381" t="s">
        <v>290</v>
      </c>
      <c r="Q10" s="1381" t="s">
        <v>291</v>
      </c>
      <c r="R10" s="1381" t="s">
        <v>290</v>
      </c>
      <c r="S10" s="1381" t="s">
        <v>291</v>
      </c>
      <c r="T10" s="1381" t="s">
        <v>290</v>
      </c>
      <c r="U10" s="1381" t="s">
        <v>291</v>
      </c>
      <c r="V10" s="1381" t="s">
        <v>290</v>
      </c>
      <c r="W10" s="1381" t="s">
        <v>291</v>
      </c>
      <c r="X10" s="1381" t="s">
        <v>290</v>
      </c>
      <c r="Y10" s="1381" t="s">
        <v>291</v>
      </c>
      <c r="Z10" s="1381" t="s">
        <v>290</v>
      </c>
      <c r="AA10" s="1381" t="s">
        <v>291</v>
      </c>
      <c r="AB10" s="1381" t="s">
        <v>290</v>
      </c>
      <c r="AC10" s="1381" t="s">
        <v>291</v>
      </c>
      <c r="AD10" s="1381" t="s">
        <v>290</v>
      </c>
      <c r="AE10" s="1381" t="s">
        <v>291</v>
      </c>
      <c r="AF10" s="1381" t="s">
        <v>290</v>
      </c>
      <c r="AG10" s="1381" t="s">
        <v>291</v>
      </c>
      <c r="AH10" s="1381" t="s">
        <v>290</v>
      </c>
      <c r="AI10" s="1381" t="s">
        <v>291</v>
      </c>
      <c r="AJ10" s="1381" t="s">
        <v>290</v>
      </c>
      <c r="AK10" s="1381" t="s">
        <v>291</v>
      </c>
      <c r="AL10" s="1381" t="s">
        <v>290</v>
      </c>
      <c r="AM10" s="1381" t="s">
        <v>291</v>
      </c>
      <c r="AN10" s="1381" t="s">
        <v>290</v>
      </c>
      <c r="AO10" s="1381" t="s">
        <v>291</v>
      </c>
      <c r="AP10" s="1381" t="s">
        <v>290</v>
      </c>
      <c r="AQ10" s="1381" t="s">
        <v>291</v>
      </c>
      <c r="AR10" s="1381" t="s">
        <v>290</v>
      </c>
      <c r="AS10" s="1381" t="s">
        <v>291</v>
      </c>
      <c r="AT10" s="1381" t="s">
        <v>290</v>
      </c>
      <c r="AU10" s="1381" t="s">
        <v>291</v>
      </c>
      <c r="AV10" s="1381" t="s">
        <v>290</v>
      </c>
      <c r="AW10" s="1381" t="s">
        <v>291</v>
      </c>
      <c r="AX10" s="1381" t="s">
        <v>290</v>
      </c>
      <c r="AY10" s="1381" t="s">
        <v>291</v>
      </c>
      <c r="AZ10" s="1381" t="s">
        <v>290</v>
      </c>
      <c r="BA10" s="1381" t="s">
        <v>291</v>
      </c>
      <c r="BB10" s="1381" t="s">
        <v>290</v>
      </c>
      <c r="BC10" s="1381" t="s">
        <v>291</v>
      </c>
      <c r="BD10" s="1381" t="s">
        <v>290</v>
      </c>
      <c r="BE10" s="1381" t="s">
        <v>291</v>
      </c>
      <c r="BF10" s="1381" t="s">
        <v>290</v>
      </c>
      <c r="BG10" s="1381" t="s">
        <v>291</v>
      </c>
      <c r="BH10" s="1381" t="s">
        <v>290</v>
      </c>
      <c r="BI10" s="1381" t="s">
        <v>291</v>
      </c>
      <c r="BJ10" s="1381" t="s">
        <v>290</v>
      </c>
      <c r="BK10" s="1381" t="s">
        <v>291</v>
      </c>
      <c r="BL10" s="1381" t="s">
        <v>290</v>
      </c>
      <c r="BM10" s="1381" t="s">
        <v>291</v>
      </c>
      <c r="BN10" s="1381" t="s">
        <v>290</v>
      </c>
      <c r="BO10" s="1381" t="s">
        <v>291</v>
      </c>
      <c r="BP10" s="1381" t="s">
        <v>290</v>
      </c>
      <c r="BQ10" s="1381" t="s">
        <v>291</v>
      </c>
      <c r="BR10" s="1381" t="s">
        <v>290</v>
      </c>
      <c r="BS10" s="1381" t="s">
        <v>291</v>
      </c>
      <c r="BT10" s="1381" t="s">
        <v>290</v>
      </c>
      <c r="BU10" s="1381" t="s">
        <v>291</v>
      </c>
      <c r="BV10" s="1381" t="s">
        <v>290</v>
      </c>
      <c r="BW10" s="1381" t="s">
        <v>291</v>
      </c>
      <c r="BX10" s="1381" t="s">
        <v>290</v>
      </c>
      <c r="BY10" s="1381" t="s">
        <v>291</v>
      </c>
      <c r="BZ10" s="1381" t="s">
        <v>290</v>
      </c>
      <c r="CA10" s="1381" t="s">
        <v>291</v>
      </c>
      <c r="CB10" s="1381" t="s">
        <v>290</v>
      </c>
      <c r="CC10" s="1381" t="s">
        <v>291</v>
      </c>
      <c r="CD10" s="1381" t="s">
        <v>290</v>
      </c>
      <c r="CE10" s="1381" t="s">
        <v>291</v>
      </c>
      <c r="CF10" s="1381" t="s">
        <v>290</v>
      </c>
      <c r="CG10" s="1381" t="s">
        <v>291</v>
      </c>
      <c r="CH10" s="1381" t="s">
        <v>290</v>
      </c>
      <c r="CI10" s="1381" t="s">
        <v>291</v>
      </c>
      <c r="CJ10" s="1381" t="s">
        <v>290</v>
      </c>
      <c r="CK10" s="1381" t="s">
        <v>291</v>
      </c>
      <c r="CL10" s="1381" t="s">
        <v>290</v>
      </c>
      <c r="CM10" s="1381" t="s">
        <v>291</v>
      </c>
      <c r="CN10" s="1381" t="s">
        <v>290</v>
      </c>
      <c r="CO10" s="1381" t="s">
        <v>291</v>
      </c>
      <c r="CP10" s="1381" t="s">
        <v>290</v>
      </c>
      <c r="CQ10" s="1381" t="s">
        <v>291</v>
      </c>
      <c r="CR10" s="1381" t="s">
        <v>290</v>
      </c>
      <c r="CS10" s="1381" t="s">
        <v>291</v>
      </c>
      <c r="CT10" s="1381" t="s">
        <v>290</v>
      </c>
      <c r="CU10" s="1381" t="s">
        <v>291</v>
      </c>
      <c r="CV10" s="1381" t="s">
        <v>290</v>
      </c>
      <c r="CW10" s="1381" t="s">
        <v>291</v>
      </c>
      <c r="CX10" s="1381" t="s">
        <v>290</v>
      </c>
      <c r="CY10" s="1381" t="s">
        <v>291</v>
      </c>
      <c r="CZ10" s="1381" t="s">
        <v>290</v>
      </c>
      <c r="DA10" s="1381" t="s">
        <v>291</v>
      </c>
      <c r="DB10" s="1381" t="s">
        <v>290</v>
      </c>
      <c r="DC10" s="1381" t="s">
        <v>291</v>
      </c>
      <c r="DD10" s="1381" t="s">
        <v>290</v>
      </c>
      <c r="DE10" s="1381" t="s">
        <v>291</v>
      </c>
      <c r="DF10" s="1381" t="s">
        <v>290</v>
      </c>
      <c r="DG10" s="1381" t="s">
        <v>291</v>
      </c>
      <c r="DH10" s="1381" t="s">
        <v>290</v>
      </c>
      <c r="DI10" s="1381" t="s">
        <v>291</v>
      </c>
      <c r="DJ10" s="1381" t="s">
        <v>290</v>
      </c>
      <c r="DK10" s="1381" t="s">
        <v>291</v>
      </c>
      <c r="DL10" s="1381" t="s">
        <v>290</v>
      </c>
      <c r="DM10" s="1381" t="s">
        <v>291</v>
      </c>
      <c r="DN10" s="1381" t="s">
        <v>290</v>
      </c>
      <c r="DO10" s="1381" t="s">
        <v>291</v>
      </c>
      <c r="DP10" s="1381" t="s">
        <v>290</v>
      </c>
      <c r="DQ10" s="1381" t="s">
        <v>291</v>
      </c>
      <c r="DR10" s="1381" t="s">
        <v>290</v>
      </c>
      <c r="DS10" s="1381" t="s">
        <v>291</v>
      </c>
      <c r="DT10" s="1381" t="s">
        <v>290</v>
      </c>
      <c r="DU10" s="1381" t="s">
        <v>291</v>
      </c>
      <c r="DV10" s="1381" t="s">
        <v>290</v>
      </c>
      <c r="DW10" s="1381" t="s">
        <v>291</v>
      </c>
      <c r="DX10" s="1381" t="s">
        <v>290</v>
      </c>
      <c r="DY10" s="1381" t="s">
        <v>291</v>
      </c>
      <c r="DZ10" s="1381" t="s">
        <v>290</v>
      </c>
      <c r="EA10" s="1381" t="s">
        <v>291</v>
      </c>
      <c r="EB10" s="1381" t="s">
        <v>290</v>
      </c>
      <c r="EC10" s="1381" t="s">
        <v>291</v>
      </c>
      <c r="ED10" s="1381" t="s">
        <v>290</v>
      </c>
      <c r="EE10" s="1381" t="s">
        <v>291</v>
      </c>
      <c r="EF10" s="1381" t="s">
        <v>290</v>
      </c>
      <c r="EG10" s="1381" t="s">
        <v>291</v>
      </c>
      <c r="EH10" s="1381" t="s">
        <v>290</v>
      </c>
      <c r="EI10" s="1381" t="s">
        <v>291</v>
      </c>
      <c r="EJ10" s="1381" t="s">
        <v>290</v>
      </c>
      <c r="EK10" s="1381" t="s">
        <v>291</v>
      </c>
      <c r="EL10" s="1381" t="s">
        <v>290</v>
      </c>
      <c r="EM10" s="1381" t="s">
        <v>291</v>
      </c>
      <c r="EN10" s="1381" t="s">
        <v>290</v>
      </c>
      <c r="EO10" s="1381" t="s">
        <v>291</v>
      </c>
      <c r="EP10" s="1381" t="s">
        <v>290</v>
      </c>
      <c r="EQ10" s="1381" t="s">
        <v>291</v>
      </c>
      <c r="ER10" s="1381" t="s">
        <v>290</v>
      </c>
      <c r="ES10" s="1381" t="s">
        <v>291</v>
      </c>
      <c r="ET10" s="1381" t="s">
        <v>290</v>
      </c>
      <c r="EU10" s="1381" t="s">
        <v>291</v>
      </c>
      <c r="EV10" s="1381" t="s">
        <v>290</v>
      </c>
      <c r="EW10" s="1381" t="s">
        <v>291</v>
      </c>
      <c r="EX10" s="1381" t="s">
        <v>290</v>
      </c>
      <c r="EY10" s="1381" t="s">
        <v>291</v>
      </c>
      <c r="EZ10" s="1381" t="s">
        <v>290</v>
      </c>
      <c r="FA10" s="1381" t="s">
        <v>291</v>
      </c>
      <c r="FB10" s="1381" t="s">
        <v>290</v>
      </c>
      <c r="FC10" s="1381" t="s">
        <v>291</v>
      </c>
      <c r="FD10" s="1381" t="s">
        <v>290</v>
      </c>
      <c r="FE10" s="1381" t="s">
        <v>291</v>
      </c>
      <c r="FF10" s="1381" t="s">
        <v>290</v>
      </c>
    </row>
    <row r="11" spans="1:162" s="1359" customFormat="1" ht="17.25" customHeight="1">
      <c r="A11" s="1787"/>
      <c r="B11" s="1382" t="s">
        <v>258</v>
      </c>
      <c r="C11" s="1383">
        <f>D11/$C$7*10000</f>
        <v>16067.773379182805</v>
      </c>
      <c r="D11" s="1378">
        <f>H11+AH11+BF11+CH11+DH11+EH11</f>
        <v>95988.878167238086</v>
      </c>
      <c r="E11" s="1384"/>
      <c r="F11" s="1384"/>
      <c r="G11" s="1375">
        <f>IFERROR((H11-AD11-AF11)/$G$7*10000,0)</f>
        <v>15664.741302004115</v>
      </c>
      <c r="H11" s="1385">
        <f>J11+L11+N11+P11+R11+T11+V11+X11+Z11+AB11+AD11+AF11</f>
        <v>95988.878167238086</v>
      </c>
      <c r="I11" s="1375">
        <f>IFERROR(J11/$I$7*10000,0)</f>
        <v>12282.244655523706</v>
      </c>
      <c r="J11" s="1385">
        <f>SUMIF('3.保本售价试算'!$P$5:$AA$5,综合表!I4,'3.保本售价试算'!$P$6:$AA$6)</f>
        <v>68903.392517487999</v>
      </c>
      <c r="K11" s="1375">
        <f>IFERROR(L11/$K$7*10000,0)</f>
        <v>67796.076979902718</v>
      </c>
      <c r="L11" s="1385">
        <f>SUMIF('3.保本售价试算'!$P$5:$AA$5,综合表!K4,'3.保本售价试算'!$P$6:$AA$6)</f>
        <v>24677.772020684588</v>
      </c>
      <c r="M11" s="1375">
        <f>IFERROR(N11/$M$7*10000,0)</f>
        <v>0</v>
      </c>
      <c r="N11" s="1385">
        <f>SUMIF('3.保本售价试算'!$P$5:$AA$5,综合表!M4,'3.保本售价试算'!$P$6:$AA$6)</f>
        <v>0</v>
      </c>
      <c r="O11" s="1375">
        <f>IFERROR(P11/$O$7*10000,0)</f>
        <v>0</v>
      </c>
      <c r="P11" s="1385">
        <f>SUMIF('3.保本售价试算'!$P$5:$AA$5,综合表!O4,'3.保本售价试算'!$P$6:$AA$6)</f>
        <v>0</v>
      </c>
      <c r="Q11" s="1375">
        <f>IFERROR(R11/$Q$7*10000,0)</f>
        <v>0</v>
      </c>
      <c r="R11" s="1385">
        <f>SUMIF('3.保本售价试算'!$P$5:$AA$5,综合表!Q4,'3.保本售价试算'!$P$6:$AA$6)</f>
        <v>0</v>
      </c>
      <c r="S11" s="1375">
        <f>IFERROR(T11/$S$7*10000,0)</f>
        <v>0</v>
      </c>
      <c r="T11" s="1385">
        <f>SUMIF('3.保本售价试算'!$P$5:$AA$5,综合表!S4,'3.保本售价试算'!$P$6:$AA$6)</f>
        <v>0</v>
      </c>
      <c r="U11" s="1375">
        <f>IFERROR(V11/$U$7*10000,0)</f>
        <v>0</v>
      </c>
      <c r="V11" s="1385">
        <f>SUMIF('3.保本售价试算'!$P$5:$AA$5,综合表!U4,'3.保本售价试算'!$P$6:$AA$6)</f>
        <v>0</v>
      </c>
      <c r="W11" s="1375">
        <f>IFERROR(X11/$W$7*10000,0)</f>
        <v>0</v>
      </c>
      <c r="X11" s="1385">
        <f>SUMIF('3.保本售价试算'!$P$5:$AA$5,综合表!W4,'3.保本售价试算'!$P$6:$AA$6)</f>
        <v>0</v>
      </c>
      <c r="Y11" s="1375">
        <f>IFERROR(Z11/$Y$7*10000,0)</f>
        <v>0</v>
      </c>
      <c r="Z11" s="1385">
        <f>SUMIF('3.保本售价试算'!$P$5:$AA$5,综合表!Y4,'3.保本售价试算'!$P$6:$AA$6)</f>
        <v>0</v>
      </c>
      <c r="AA11" s="1375">
        <f>IFERROR(AB11/$AA$7*10000,0)</f>
        <v>0</v>
      </c>
      <c r="AB11" s="1385">
        <f>SUMIF('3.保本售价试算'!$P$5:$AA$5,综合表!AA4,'3.保本售价试算'!$P$6:$AA$6)</f>
        <v>0</v>
      </c>
      <c r="AC11" s="1375">
        <f>IFERROR(AD11/$AC$8*10000,0)</f>
        <v>57054.825333305751</v>
      </c>
      <c r="AD11" s="1385">
        <f>SUMIF('3.保本售价试算'!$P$5:$AA$5,综合表!AC4,'3.保本售价试算'!$P$6:$AA$6)</f>
        <v>2407.7136290655026</v>
      </c>
      <c r="AE11" s="1375">
        <f>IFERROR(AF11/$AE$8*10000,0)</f>
        <v>0</v>
      </c>
      <c r="AF11" s="1385">
        <f>SUMIF('3.保本售价试算'!$P$5:$AA$5,综合表!AE4,'3.保本售价试算'!$P$6:$AA$6)</f>
        <v>0</v>
      </c>
      <c r="AG11" s="1375">
        <f>IFERROR((AH11-BD11-BF11)/$AG$7*10000,0)</f>
        <v>0</v>
      </c>
      <c r="AH11" s="1385">
        <f>AJ11+AL11+AN11+AP11+AR11+AT11+AV11+AX11+AZ11+BB11+BD11+BF11</f>
        <v>0</v>
      </c>
      <c r="AI11" s="1375">
        <f>IFERROR(AJ11/$AI$7*10000,0)</f>
        <v>0</v>
      </c>
      <c r="AJ11" s="1378">
        <f>SUMIF('3.保本售价试算'!$AC$5:$AN$5,综合表!AI4,'3.保本售价试算'!$AC$6:$AN$6)</f>
        <v>0</v>
      </c>
      <c r="AK11" s="1375">
        <f>IFERROR(AL11/$AK$7*10000,0)</f>
        <v>0</v>
      </c>
      <c r="AL11" s="1378">
        <f>SUMIF('3.保本售价试算'!$AC$5:$AN$5,综合表!AK4,'3.保本售价试算'!$AC$6:$AN$6)</f>
        <v>0</v>
      </c>
      <c r="AM11" s="1375">
        <f>IFERROR(AN11/$AM$7*10000,0)</f>
        <v>0</v>
      </c>
      <c r="AN11" s="1378">
        <f>SUMIF('3.保本售价试算'!$AC$5:$AN$5,综合表!AM4,'3.保本售价试算'!$AC$6:$AN$6)</f>
        <v>0</v>
      </c>
      <c r="AO11" s="1375">
        <f>IFERROR(AP11/$AO$7*10000,0)</f>
        <v>0</v>
      </c>
      <c r="AP11" s="1378">
        <f>SUMIF('3.保本售价试算'!$AC$5:$AN$5,综合表!AO4,'3.保本售价试算'!$AC$6:$AN$6)</f>
        <v>0</v>
      </c>
      <c r="AQ11" s="1375">
        <f>IFERROR(AR11/$AQ$7*10000,0)</f>
        <v>0</v>
      </c>
      <c r="AR11" s="1378">
        <f>SUMIF('3.保本售价试算'!$AC$5:$AN$5,综合表!AQ4,'3.保本售价试算'!$AC$6:$AN$6)</f>
        <v>0</v>
      </c>
      <c r="AS11" s="1375">
        <f>IFERROR(AT11/$AS$7*10000,0)</f>
        <v>0</v>
      </c>
      <c r="AT11" s="1378">
        <f>SUMIF('3.保本售价试算'!$AC$5:$AN$5,综合表!AS4,'3.保本售价试算'!$AC$6:$AN$6)</f>
        <v>0</v>
      </c>
      <c r="AU11" s="1375">
        <f>IFERROR(AV11/$AU$7*10000,0)</f>
        <v>0</v>
      </c>
      <c r="AV11" s="1378">
        <f>SUMIF('3.保本售价试算'!$AC$5:$AN$5,综合表!AU4,'3.保本售价试算'!$AC$6:$AN$6)</f>
        <v>0</v>
      </c>
      <c r="AW11" s="1375">
        <f>IFERROR(AX11/$AW$7*10000,0)</f>
        <v>0</v>
      </c>
      <c r="AX11" s="1378">
        <f>SUMIF('3.保本售价试算'!$AC$5:$AN$5,综合表!AW4,'3.保本售价试算'!$AC$6:$AN$6)</f>
        <v>0</v>
      </c>
      <c r="AY11" s="1375">
        <f>IFERROR(AZ11/$AY$7*10000,0)</f>
        <v>0</v>
      </c>
      <c r="AZ11" s="1378">
        <f>SUMIF('3.保本售价试算'!$AC$5:$AN$5,综合表!AY4,'3.保本售价试算'!$AC$6:$AN$6)</f>
        <v>0</v>
      </c>
      <c r="BA11" s="1375">
        <f>IFERROR(BB11/$BA$7*10000,0)</f>
        <v>0</v>
      </c>
      <c r="BB11" s="1378">
        <f>SUMIF('3.保本售价试算'!$AC$5:$AN$5,综合表!BA4,'3.保本售价试算'!$AC$6:$AN$6)</f>
        <v>0</v>
      </c>
      <c r="BC11" s="1375">
        <f>IFERROR(BD11/$BC$8*10000,0)</f>
        <v>0</v>
      </c>
      <c r="BD11" s="1378">
        <f>SUMIF('3.保本售价试算'!$AC$5:$AN$5,综合表!BC4,'3.保本售价试算'!$AC$6:$AN$6)</f>
        <v>0</v>
      </c>
      <c r="BE11" s="1375">
        <f>IFERROR(BF11/$BE$8*10000,0)</f>
        <v>0</v>
      </c>
      <c r="BF11" s="1378">
        <f>SUMIF('3.保本售价试算'!$AC$5:$AN$5,综合表!BE4,'3.保本售价试算'!$AC$6:$AN$6)</f>
        <v>0</v>
      </c>
      <c r="BG11" s="1385">
        <f>IFERROR((BH11-CD11-CF11)/$BG$7*10000,0)</f>
        <v>0</v>
      </c>
      <c r="BH11" s="1385">
        <f>BJ11+BL11+BN11+BP11+BR11+BT11+BV11+BX11+BZ11+CB11+CD11+CF11</f>
        <v>0</v>
      </c>
      <c r="BI11" s="1375">
        <f>IFERROR(BJ11/$BI$7*10000,0)</f>
        <v>0</v>
      </c>
      <c r="BJ11" s="1378">
        <f>SUMIF('3.保本售价试算'!$AP$5:$BA$5,综合表!BI4,'3.保本售价试算'!$AP$6:$BA$6)</f>
        <v>0</v>
      </c>
      <c r="BK11" s="1375">
        <f>IFERROR(BL11/$BK$7*10000,0)</f>
        <v>0</v>
      </c>
      <c r="BL11" s="1378">
        <f>SUMIF('3.保本售价试算'!$AP$5:$BA$5,综合表!BK4,'3.保本售价试算'!$AP$6:$BA$6)</f>
        <v>0</v>
      </c>
      <c r="BM11" s="1375">
        <f>IFERROR(BN11/$BM$7*10000,0)</f>
        <v>0</v>
      </c>
      <c r="BN11" s="1378">
        <f>SUMIF('3.保本售价试算'!$AP$5:$BA$5,综合表!BM4,'3.保本售价试算'!$AP$6:$BA$6)</f>
        <v>0</v>
      </c>
      <c r="BO11" s="1375">
        <f>IFERROR(BP11/$BO$7*10000,0)</f>
        <v>0</v>
      </c>
      <c r="BP11" s="1378">
        <f>SUMIF('3.保本售价试算'!$AP$5:$BA$5,综合表!BO4,'3.保本售价试算'!$AP$6:$BA$6)</f>
        <v>0</v>
      </c>
      <c r="BQ11" s="1375">
        <f>IFERROR(BR11/$BQ$7*10000,0)</f>
        <v>0</v>
      </c>
      <c r="BR11" s="1378">
        <f>SUMIF('3.保本售价试算'!$AP$5:$BA$5,综合表!BQ4,'3.保本售价试算'!$AP$6:$BA$6)</f>
        <v>0</v>
      </c>
      <c r="BS11" s="1375">
        <f>IFERROR(BT11/$BS$7*10000,0)</f>
        <v>0</v>
      </c>
      <c r="BT11" s="1378">
        <f>SUMIF('3.保本售价试算'!$AP$5:$BA$5,综合表!BS4,'3.保本售价试算'!$AP$6:$BA$6)</f>
        <v>0</v>
      </c>
      <c r="BU11" s="1375">
        <f>IFERROR(BV11/$BU$7*10000,0)</f>
        <v>0</v>
      </c>
      <c r="BV11" s="1378">
        <f>SUMIF('3.保本售价试算'!$AP$5:$BA$5,综合表!BU4,'3.保本售价试算'!$AP$6:$BA$6)</f>
        <v>0</v>
      </c>
      <c r="BW11" s="1375">
        <f>IFERROR(BX11/$BW$7*10000,0)</f>
        <v>0</v>
      </c>
      <c r="BX11" s="1378">
        <f>SUMIF('3.保本售价试算'!$AP$5:$BA$5,综合表!BW4,'3.保本售价试算'!$AP$6:$BA$6)</f>
        <v>0</v>
      </c>
      <c r="BY11" s="1375">
        <f>IFERROR(BZ11/$BY$7*10000,0)</f>
        <v>0</v>
      </c>
      <c r="BZ11" s="1378">
        <f>SUMIF('3.保本售价试算'!$AP$5:$BA$5,综合表!BY4,'3.保本售价试算'!$AP$6:$BA$6)</f>
        <v>0</v>
      </c>
      <c r="CA11" s="1375">
        <f>IFERROR(CB11/$CA$7*10000,0)</f>
        <v>0</v>
      </c>
      <c r="CB11" s="1378">
        <f>SUMIF('3.保本售价试算'!$AP$5:$BA$5,综合表!CA4,'3.保本售价试算'!$AP$6:$BA$6)</f>
        <v>0</v>
      </c>
      <c r="CC11" s="1375">
        <f>IFERROR(CD11/$CC$8*10000,0)</f>
        <v>0</v>
      </c>
      <c r="CD11" s="1378">
        <f>SUMIF('3.保本售价试算'!$AP$5:$BA$5,综合表!CC4,'3.保本售价试算'!$AP$6:$BA$6)</f>
        <v>0</v>
      </c>
      <c r="CE11" s="1375">
        <f>IFERROR(CF11/$CE$8*10000,0)</f>
        <v>0</v>
      </c>
      <c r="CF11" s="1378">
        <f>SUMIF('3.保本售价试算'!$AP$5:$BA$5,综合表!CE4,'3.保本售价试算'!$AP$6:$BA$6)</f>
        <v>0</v>
      </c>
      <c r="CG11" s="1385">
        <f>IFERROR((CH11-DD11-DF11)/$CG$7*10000,0)</f>
        <v>0</v>
      </c>
      <c r="CH11" s="1385">
        <f>CJ11+CL11+CN11+CP11+CR11+CT11+CV11+CX11+CZ11+DB11+DD11+DF11</f>
        <v>0</v>
      </c>
      <c r="CI11" s="1375">
        <f>IFERROR(CJ11/$CI$7*10000,0)</f>
        <v>0</v>
      </c>
      <c r="CJ11" s="1378">
        <f>SUMIF('3.保本售价试算'!$BC$5:$BN$5,综合表!CI4,'3.保本售价试算'!$BC$6:$BN$6)</f>
        <v>0</v>
      </c>
      <c r="CK11" s="1375">
        <f>IFERROR(CL11/$CK$7*10000,0)</f>
        <v>0</v>
      </c>
      <c r="CL11" s="1378">
        <f>SUMIF('3.保本售价试算'!$BC$5:$BN$5,综合表!CK4,'3.保本售价试算'!$BC$6:$BN$6)</f>
        <v>0</v>
      </c>
      <c r="CM11" s="1375">
        <f>IFERROR(CN11/$CM$7*10000,0)</f>
        <v>0</v>
      </c>
      <c r="CN11" s="1378">
        <f>SUMIF('3.保本售价试算'!$BC$5:$BN$5,综合表!CM4,'3.保本售价试算'!$BC$6:$BN$6)</f>
        <v>0</v>
      </c>
      <c r="CO11" s="1375">
        <f>IFERROR(CP11/$CO$7*10000,0)</f>
        <v>0</v>
      </c>
      <c r="CP11" s="1378">
        <f>SUMIF('3.保本售价试算'!$BC$5:$BN$5,综合表!CO4,'3.保本售价试算'!$BC$6:$BN$6)</f>
        <v>0</v>
      </c>
      <c r="CQ11" s="1375">
        <f>IFERROR(CR11/$CQ$7*10000,0)</f>
        <v>0</v>
      </c>
      <c r="CR11" s="1378">
        <f>SUMIF('3.保本售价试算'!$BC$5:$BN$5,综合表!CQ4,'3.保本售价试算'!$BC$6:$BN$6)</f>
        <v>0</v>
      </c>
      <c r="CS11" s="1375">
        <f>IFERROR(CT11/$CS$7*10000,0)</f>
        <v>0</v>
      </c>
      <c r="CT11" s="1378">
        <f>SUMIF('3.保本售价试算'!$BC$5:$BN$5,综合表!CS4,'3.保本售价试算'!$BC$6:$BN$6)</f>
        <v>0</v>
      </c>
      <c r="CU11" s="1375">
        <f>IFERROR(CV11/$CU$7*10000,0)</f>
        <v>0</v>
      </c>
      <c r="CV11" s="1378">
        <f>SUMIF('3.保本售价试算'!$BC$5:$BN$5,综合表!CU4,'3.保本售价试算'!$BC$6:$BN$6)</f>
        <v>0</v>
      </c>
      <c r="CW11" s="1375">
        <f>IFERROR(CX11/$CW$7*10000,0)</f>
        <v>0</v>
      </c>
      <c r="CX11" s="1378">
        <f>SUMIF('3.保本售价试算'!$BC$5:$BN$5,综合表!CW4,'3.保本售价试算'!$BC$6:$BN$6)</f>
        <v>0</v>
      </c>
      <c r="CY11" s="1375">
        <f>IFERROR(CZ11/$CY$7*10000,0)</f>
        <v>0</v>
      </c>
      <c r="CZ11" s="1378">
        <f>SUMIF('3.保本售价试算'!$BC$5:$BN$5,综合表!CY4,'3.保本售价试算'!$BC$6:$BN$6)</f>
        <v>0</v>
      </c>
      <c r="DA11" s="1375">
        <f>IFERROR(DB11/$DA$7*10000,0)</f>
        <v>0</v>
      </c>
      <c r="DB11" s="1378">
        <f>SUMIF('3.保本售价试算'!$BC$5:$BN$5,综合表!DA4,'3.保本售价试算'!$BC$6:$BN$6)</f>
        <v>0</v>
      </c>
      <c r="DC11" s="1375">
        <f>IFERROR(DD11/$DC$8*10000,0)</f>
        <v>0</v>
      </c>
      <c r="DD11" s="1378">
        <f>SUMIF('3.保本售价试算'!$BC$5:$BN$5,综合表!DC4,'3.保本售价试算'!$BC$6:$BN$6)</f>
        <v>0</v>
      </c>
      <c r="DE11" s="1375">
        <f>IFERROR(DF11/$DE$8*10000,0)</f>
        <v>0</v>
      </c>
      <c r="DF11" s="1378">
        <f>SUMIF('3.保本售价试算'!$BC$5:$BN$5,综合表!DE4,'3.保本售价试算'!$BC$6:$BN$6)</f>
        <v>0</v>
      </c>
      <c r="DG11" s="1385">
        <f>IFERROR((DH11-ED11-EF11)/$DG$7*10000,0)</f>
        <v>0</v>
      </c>
      <c r="DH11" s="1385">
        <f>DJ11+DL11+DN11+DP11+DR11+DT11+DV11+DX11+DZ11+EB11+ED11+EF11</f>
        <v>0</v>
      </c>
      <c r="DI11" s="1375">
        <f>IFERROR(DJ11/$DI$7*10000,0)</f>
        <v>0</v>
      </c>
      <c r="DJ11" s="1378">
        <f>SUMIF('3.保本售价试算'!$BP$5:$CA$5,综合表!DI4,'3.保本售价试算'!$BP$6:$CA$6)</f>
        <v>0</v>
      </c>
      <c r="DK11" s="1375">
        <f>IFERROR(DL11/$DK$7*10000,0)</f>
        <v>0</v>
      </c>
      <c r="DL11" s="1378">
        <f>SUMIF('3.保本售价试算'!$BP$5:$CA$5,综合表!DK4,'3.保本售价试算'!$BP$6:$CA$6)</f>
        <v>0</v>
      </c>
      <c r="DM11" s="1375">
        <f>IFERROR(DN11/$DM$7*10000,0)</f>
        <v>0</v>
      </c>
      <c r="DN11" s="1378">
        <f>SUMIF('3.保本售价试算'!$BP$5:$CA$5,综合表!DM4,'3.保本售价试算'!$BP$6:$CA$6)</f>
        <v>0</v>
      </c>
      <c r="DO11" s="1375">
        <f>IFERROR(DP11/$DO$7*10000,0)</f>
        <v>0</v>
      </c>
      <c r="DP11" s="1378">
        <f>SUMIF('3.保本售价试算'!$BP$5:$CA$5,综合表!DO4,'3.保本售价试算'!$BP$6:$CA$6)</f>
        <v>0</v>
      </c>
      <c r="DQ11" s="1375">
        <f>IFERROR(DR11/$DQ$7*10000,0)</f>
        <v>0</v>
      </c>
      <c r="DR11" s="1378">
        <f>SUMIF('3.保本售价试算'!$BP$5:$CA$5,综合表!DQ4,'3.保本售价试算'!$BP$6:$CA$6)</f>
        <v>0</v>
      </c>
      <c r="DS11" s="1375">
        <f>IFERROR(DT11/$DS$7*10000,0)</f>
        <v>0</v>
      </c>
      <c r="DT11" s="1378">
        <f>SUMIF('3.保本售价试算'!$BP$5:$CA$5,综合表!DS4,'3.保本售价试算'!$BP$6:$CA$6)</f>
        <v>0</v>
      </c>
      <c r="DU11" s="1375">
        <f>IFERROR(DV11/$DU$7*10000,0)</f>
        <v>0</v>
      </c>
      <c r="DV11" s="1378">
        <f>SUMIF('3.保本售价试算'!$BP$5:$CA$5,综合表!DU4,'3.保本售价试算'!$BP$6:$CA$6)</f>
        <v>0</v>
      </c>
      <c r="DW11" s="1375">
        <f>IFERROR(DX11/$DW$7*10000,0)</f>
        <v>0</v>
      </c>
      <c r="DX11" s="1378">
        <f>SUMIF('3.保本售价试算'!$BP$5:$CA$5,综合表!DW4,'3.保本售价试算'!$BP$6:$CA$6)</f>
        <v>0</v>
      </c>
      <c r="DY11" s="1375">
        <f>IFERROR(DZ11/$DY$7*10000,0)</f>
        <v>0</v>
      </c>
      <c r="DZ11" s="1378">
        <f>SUMIF('3.保本售价试算'!$BP$5:$CA$5,综合表!DY4,'3.保本售价试算'!$BP$6:$CA$6)</f>
        <v>0</v>
      </c>
      <c r="EA11" s="1375">
        <f>IFERROR(EB11/$EA$7*10000,0)</f>
        <v>0</v>
      </c>
      <c r="EB11" s="1378">
        <f>SUMIF('3.保本售价试算'!$BP$5:$CA$5,综合表!EA4,'3.保本售价试算'!$BP$6:$CA$6)</f>
        <v>0</v>
      </c>
      <c r="EC11" s="1375">
        <f>IFERROR(ED11/$EC$8*10000,0)</f>
        <v>0</v>
      </c>
      <c r="ED11" s="1378">
        <f>SUMIF('3.保本售价试算'!$BP$5:$CA$5,综合表!EC4,'3.保本售价试算'!$BP$6:$CA$6)</f>
        <v>0</v>
      </c>
      <c r="EE11" s="1375">
        <f>IFERROR(EF11/$EE$8*10000,0)</f>
        <v>0</v>
      </c>
      <c r="EF11" s="1378">
        <f>SUMIF('3.保本售价试算'!$BP$5:$CA$5,综合表!EE4,'3.保本售价试算'!$BP$6:$CA$6)</f>
        <v>0</v>
      </c>
      <c r="EG11" s="1385">
        <f>IFERROR((EH11-FD11-FF11)/$EG$7*10000,0)</f>
        <v>0</v>
      </c>
      <c r="EH11" s="1385">
        <f>EJ11+EL11+EN11+EP11+ER11+ET11+EV11+EX11+EZ11+FB11+FD11+FF11</f>
        <v>0</v>
      </c>
      <c r="EI11" s="1375">
        <f>IFERROR(EJ11/$EI$7*10000,0)</f>
        <v>0</v>
      </c>
      <c r="EJ11" s="1378">
        <f>SUMIF('3.保本售价试算'!$CC$5:$CN$5,综合表!EI4,'3.保本售价试算'!$CC$6:$CN$6)</f>
        <v>0</v>
      </c>
      <c r="EK11" s="1375">
        <f>IFERROR(EL11/$EK$7*10000,0)</f>
        <v>0</v>
      </c>
      <c r="EL11" s="1378">
        <f>SUMIF('3.保本售价试算'!$CC$5:$CN$5,综合表!EK4,'3.保本售价试算'!$CC$6:$CN$6)</f>
        <v>0</v>
      </c>
      <c r="EM11" s="1375">
        <f>IFERROR(EN11/$EM$7*10000,0)</f>
        <v>0</v>
      </c>
      <c r="EN11" s="1378">
        <f>SUMIF('3.保本售价试算'!$CC$5:$CN$5,综合表!EM4,'3.保本售价试算'!$CC$6:$CN$6)</f>
        <v>0</v>
      </c>
      <c r="EO11" s="1375">
        <f>IFERROR(EP11/$EO$7*10000,0)</f>
        <v>0</v>
      </c>
      <c r="EP11" s="1378">
        <f>SUMIF('3.保本售价试算'!$CC$5:$CN$5,综合表!EO4,'3.保本售价试算'!$CC$6:$CN$6)</f>
        <v>0</v>
      </c>
      <c r="EQ11" s="1375">
        <f>IFERROR(ER11/$EQ$7*10000,0)</f>
        <v>0</v>
      </c>
      <c r="ER11" s="1378">
        <f>SUMIF('3.保本售价试算'!$CC$5:$CN$5,综合表!EQ4,'3.保本售价试算'!$CC$6:$CN$6)</f>
        <v>0</v>
      </c>
      <c r="ES11" s="1375">
        <f>IFERROR(ET11/$ES$7*10000,0)</f>
        <v>0</v>
      </c>
      <c r="ET11" s="1378">
        <f>SUMIF('3.保本售价试算'!$CC$5:$CN$5,综合表!ES4,'3.保本售价试算'!$CC$6:$CN$6)</f>
        <v>0</v>
      </c>
      <c r="EU11" s="1375">
        <f>IFERROR(EV11/$EU$7*10000,0)</f>
        <v>0</v>
      </c>
      <c r="EV11" s="1378">
        <f>SUMIF('3.保本售价试算'!$CC$5:$CN$5,综合表!EU4,'3.保本售价试算'!$CC$6:$CN$6)</f>
        <v>0</v>
      </c>
      <c r="EW11" s="1375">
        <f>IFERROR(EX11/$EW$7*10000,0)</f>
        <v>0</v>
      </c>
      <c r="EX11" s="1378">
        <f>SUMIF('3.保本售价试算'!$CC$5:$CN$5,综合表!EW4,'3.保本售价试算'!$CC$6:$CN$6)</f>
        <v>0</v>
      </c>
      <c r="EY11" s="1375">
        <f>IFERROR(EZ11/$EY$7*10000,0)</f>
        <v>0</v>
      </c>
      <c r="EZ11" s="1378">
        <f>SUMIF('3.保本售价试算'!$CC$5:$CN$5,综合表!EY4,'3.保本售价试算'!$CC$6:$CN$6)</f>
        <v>0</v>
      </c>
      <c r="FA11" s="1375">
        <f>IFERROR(FB11/$FA$7*10000,0)</f>
        <v>0</v>
      </c>
      <c r="FB11" s="1378">
        <f>SUMIF('3.保本售价试算'!$CC$5:$CN$5,综合表!FA4,'3.保本售价试算'!$CC$6:$CN$6)</f>
        <v>0</v>
      </c>
      <c r="FC11" s="1375">
        <f>IFERROR(FD11/$FC$8*10000,0)</f>
        <v>0</v>
      </c>
      <c r="FD11" s="1378">
        <f>SUMIF('3.保本售价试算'!$CC$5:$CN$5,综合表!FC4,'3.保本售价试算'!$CC$6:$CN$6)</f>
        <v>0</v>
      </c>
      <c r="FE11" s="1375">
        <f>IFERROR(FF11/$FE$8*10000,0)</f>
        <v>0</v>
      </c>
      <c r="FF11" s="1378">
        <f>SUMIF('3.保本售价试算'!$CC$5:$CN$5,综合表!FE4,'3.保本售价试算'!$CC$6:$CN$6)</f>
        <v>0</v>
      </c>
    </row>
    <row r="12" spans="1:162" s="1359" customFormat="1" ht="16.5" customHeight="1">
      <c r="A12" s="1788"/>
      <c r="B12" s="1376" t="s">
        <v>260</v>
      </c>
      <c r="C12" s="1383">
        <f>D12/$C$7*10000</f>
        <v>16838.499323736189</v>
      </c>
      <c r="D12" s="1378">
        <f t="shared" ref="D12:D20" si="103">H12+AH12+BH12+CH12+DH12+EH12</f>
        <v>100593.19495999999</v>
      </c>
      <c r="E12" s="1386"/>
      <c r="F12" s="1386"/>
      <c r="G12" s="1375">
        <f>IFERROR((H12-AD12-AF12)/$G$7*10000,0)</f>
        <v>16047.337623033145</v>
      </c>
      <c r="H12" s="1385">
        <f>J12+L12+N12+P12+R12+T12+V12+X12+Z12+AB12+AD12+AF12</f>
        <v>100593.19495999999</v>
      </c>
      <c r="I12" s="1375">
        <f t="shared" ref="I12:I28" si="104">IFERROR(J12/$I$7*10000,0)</f>
        <v>15531.335999999999</v>
      </c>
      <c r="J12" s="1385">
        <f>SUMIF('5.分产品利润表'!$P$5:$AA$5,综合表!I4,'5.分产品利润表'!$P$6:$AA$6)</f>
        <v>87130.794959999999</v>
      </c>
      <c r="K12" s="1375">
        <f t="shared" ref="K12:K28" si="105">IFERROR(L12/$K$7*10000,0)</f>
        <v>24000</v>
      </c>
      <c r="L12" s="1385">
        <f>SUMIF('5.分产品利润表'!$P$5:$AA$5,综合表!K4,'5.分产品利润表'!$P$6:$AA$6)</f>
        <v>8736</v>
      </c>
      <c r="M12" s="1375">
        <f t="shared" ref="M12:M28" si="106">IFERROR(N12/$M$7*10000,0)</f>
        <v>0</v>
      </c>
      <c r="N12" s="1385">
        <f>SUMIF('5.分产品利润表'!$P$5:$AA$5,综合表!M4,'5.分产品利润表'!$P$6:$AA$6)</f>
        <v>0</v>
      </c>
      <c r="O12" s="1375">
        <f t="shared" ref="O12:O28" si="107">IFERROR(P12/$O$7*10000,0)</f>
        <v>0</v>
      </c>
      <c r="P12" s="1385">
        <f>SUMIF('5.分产品利润表'!$P$5:$AA$5,综合表!O4,'5.分产品利润表'!$P$6:$AA$6)</f>
        <v>0</v>
      </c>
      <c r="Q12" s="1375">
        <f t="shared" ref="Q12:Q28" si="108">IFERROR(R12/$Q$7*10000,0)</f>
        <v>0</v>
      </c>
      <c r="R12" s="1385">
        <f>SUMIF('5.分产品利润表'!$P$5:$AA$5,综合表!Q4,'5.分产品利润表'!$P$6:$AA$6)</f>
        <v>0</v>
      </c>
      <c r="S12" s="1375">
        <f t="shared" ref="S12:S28" si="109">IFERROR(T12/$S$7*10000,0)</f>
        <v>0</v>
      </c>
      <c r="T12" s="1385">
        <f>SUMIF('5.分产品利润表'!$P$5:$AA$5,综合表!S4,'5.分产品利润表'!$P$6:$AA$6)</f>
        <v>0</v>
      </c>
      <c r="U12" s="1375">
        <f t="shared" ref="U12:U28" si="110">IFERROR(V12/$U$7*10000,0)</f>
        <v>0</v>
      </c>
      <c r="V12" s="1385">
        <f>SUMIF('5.分产品利润表'!$P$5:$AA$5,综合表!U4,'5.分产品利润表'!$P$6:$AA$6)</f>
        <v>0</v>
      </c>
      <c r="W12" s="1375">
        <f t="shared" ref="W12:W28" si="111">IFERROR(X12/$W$7*10000,0)</f>
        <v>0</v>
      </c>
      <c r="X12" s="1385">
        <f>SUMIF('5.分产品利润表'!$P$5:$AA$5,综合表!W4,'5.分产品利润表'!$P$6:$AA$6)</f>
        <v>0</v>
      </c>
      <c r="Y12" s="1375">
        <f t="shared" ref="Y12:Y28" si="112">IFERROR(Z12/$Y$7*10000,0)</f>
        <v>0</v>
      </c>
      <c r="Z12" s="1385">
        <f>SUMIF('5.分产品利润表'!$P$5:$AA$5,综合表!Y4,'5.分产品利润表'!$P$6:$AA$6)</f>
        <v>0</v>
      </c>
      <c r="AA12" s="1375">
        <f t="shared" ref="AA12:AA28" si="113">IFERROR(AB12/$AA$7*10000,0)</f>
        <v>0</v>
      </c>
      <c r="AB12" s="1385">
        <f>SUMIF('5.分产品利润表'!$P$5:$AA$5,综合表!AA4,'5.分产品利润表'!$P$6:$AA$6)</f>
        <v>0</v>
      </c>
      <c r="AC12" s="1375">
        <f t="shared" ref="AC12:AC28" si="114">IFERROR(AD12/$AC$8*10000,0)</f>
        <v>112000</v>
      </c>
      <c r="AD12" s="1385">
        <f>SUMIF('5.分产品利润表'!$P$5:$AA$5,综合表!AC4,'5.分产品利润表'!$P$6:$AA$6)</f>
        <v>4726.3999999999996</v>
      </c>
      <c r="AE12" s="1375">
        <f t="shared" ref="AE12:AE28" si="115">IFERROR(AF12/$AE$8*10000,0)</f>
        <v>0</v>
      </c>
      <c r="AF12" s="1385">
        <f>SUMIF('5.分产品利润表'!$P$5:$AA$5,综合表!AE4,'5.分产品利润表'!$P$6:$AA$6)</f>
        <v>0</v>
      </c>
      <c r="AG12" s="1375">
        <f t="shared" ref="AG12:AG28" si="116">IFERROR((AH12-BD12-BF12)/$AG$7*10000,0)</f>
        <v>0</v>
      </c>
      <c r="AH12" s="1385">
        <f>AJ12+AL12+AN12+AP12+AR12+AT12+AV12+AX12+AZ12+BB12+BD12+BF12</f>
        <v>0</v>
      </c>
      <c r="AI12" s="1375">
        <f t="shared" ref="AI12:AI28" si="117">IFERROR(AJ12/$AI$7*10000,0)</f>
        <v>0</v>
      </c>
      <c r="AJ12" s="1385">
        <f>SUMIF('5.分产品利润表'!$AC$5:$AN$5,综合表!AI4,'5.分产品利润表'!$AC$6:$AN$6)</f>
        <v>0</v>
      </c>
      <c r="AK12" s="1375">
        <f t="shared" ref="AK12:AK28" si="118">IFERROR(AL12/$AK$7*10000,0)</f>
        <v>0</v>
      </c>
      <c r="AL12" s="1385">
        <f>SUMIF('5.分产品利润表'!$AC$5:$AN$5,综合表!AK4,'5.分产品利润表'!$AC$6:$AN$6)</f>
        <v>0</v>
      </c>
      <c r="AM12" s="1375">
        <f t="shared" ref="AM12:AM28" si="119">IFERROR(AN12/$AM$7*10000,0)</f>
        <v>0</v>
      </c>
      <c r="AN12" s="1385">
        <f>SUMIF('5.分产品利润表'!$AC$5:$AN$5,综合表!AM4,'5.分产品利润表'!$AC$6:$AN$6)</f>
        <v>0</v>
      </c>
      <c r="AO12" s="1375">
        <f t="shared" ref="AO12:AO28" si="120">IFERROR(AP12/$AO$7*10000,0)</f>
        <v>0</v>
      </c>
      <c r="AP12" s="1385">
        <f>SUMIF('5.分产品利润表'!$AC$5:$AN$5,综合表!AO4,'5.分产品利润表'!$AC$6:$AN$6)</f>
        <v>0</v>
      </c>
      <c r="AQ12" s="1375">
        <f t="shared" ref="AQ12:AQ28" si="121">IFERROR(AR12/$AQ$7*10000,0)</f>
        <v>0</v>
      </c>
      <c r="AR12" s="1385">
        <f>SUMIF('5.分产品利润表'!$AC$5:$AN$5,综合表!AQ4,'5.分产品利润表'!$AC$6:$AN$6)</f>
        <v>0</v>
      </c>
      <c r="AS12" s="1375">
        <f t="shared" ref="AS12:AS28" si="122">IFERROR(AT12/$AS$7*10000,0)</f>
        <v>0</v>
      </c>
      <c r="AT12" s="1385">
        <f>SUMIF('5.分产品利润表'!$AC$5:$AN$5,综合表!AS4,'5.分产品利润表'!$AC$6:$AN$6)</f>
        <v>0</v>
      </c>
      <c r="AU12" s="1375">
        <f t="shared" ref="AU12:AU28" si="123">IFERROR(AV12/$AU$7*10000,0)</f>
        <v>0</v>
      </c>
      <c r="AV12" s="1385">
        <f>SUMIF('5.分产品利润表'!$AC$5:$AN$5,综合表!AU4,'5.分产品利润表'!$AC$6:$AN$6)</f>
        <v>0</v>
      </c>
      <c r="AW12" s="1375">
        <f t="shared" ref="AW12:AW27" si="124">IFERROR(AX12/$AW$7*10000,0)</f>
        <v>0</v>
      </c>
      <c r="AX12" s="1385">
        <f>SUMIF('5.分产品利润表'!$AC$5:$AN$5,综合表!AW4,'5.分产品利润表'!$AC$6:$AN$6)</f>
        <v>0</v>
      </c>
      <c r="AY12" s="1375">
        <f t="shared" ref="AY12:AY28" si="125">IFERROR(AZ12/$AY$7*10000,0)</f>
        <v>0</v>
      </c>
      <c r="AZ12" s="1385">
        <f>SUMIF('5.分产品利润表'!$AC$5:$AN$5,综合表!AY4,'5.分产品利润表'!$AC$6:$AN$6)</f>
        <v>0</v>
      </c>
      <c r="BA12" s="1375">
        <f t="shared" ref="BA12:BA28" si="126">IFERROR(BB12/$BA$7*10000,0)</f>
        <v>0</v>
      </c>
      <c r="BB12" s="1385">
        <f>SUMIF('5.分产品利润表'!$AC$5:$AN$5,综合表!BA4,'5.分产品利润表'!$AC$6:$AN$6)</f>
        <v>0</v>
      </c>
      <c r="BC12" s="1375">
        <f t="shared" ref="BC12:BC28" si="127">IFERROR(BD12/$BC$8*10000,0)</f>
        <v>0</v>
      </c>
      <c r="BD12" s="1385">
        <f>SUMIF('5.分产品利润表'!$AC$5:$AN$5,综合表!BC4,'5.分产品利润表'!$AC$6:$AN$6)</f>
        <v>0</v>
      </c>
      <c r="BE12" s="1375">
        <f t="shared" ref="BE12:BE28" si="128">IFERROR(BF12/$BE$8*10000,0)</f>
        <v>0</v>
      </c>
      <c r="BF12" s="1385">
        <f>SUMIF('5.分产品利润表'!$AC$5:$AN$5,综合表!BE4,'5.分产品利润表'!$AC$6:$AN$6)</f>
        <v>0</v>
      </c>
      <c r="BG12" s="1385">
        <f>IFERROR((BH12-CD12-CF12)/$BG$7*10000,0)</f>
        <v>0</v>
      </c>
      <c r="BH12" s="1385">
        <f>BJ12+BL12+BN12+BP12+BR12+BT12+BV12+BX12+BZ12+CB12+CD12+CF12</f>
        <v>0</v>
      </c>
      <c r="BI12" s="1375">
        <f t="shared" ref="BI12:BI28" si="129">IFERROR(BJ12/$BI$7*10000,0)</f>
        <v>0</v>
      </c>
      <c r="BJ12" s="1385">
        <f>SUMIF('5.分产品利润表'!$AP$5:$BA$5,综合表!BI4,'5.分产品利润表'!$AP$6:$BA$6)</f>
        <v>0</v>
      </c>
      <c r="BK12" s="1375">
        <f t="shared" ref="BK12:BK28" si="130">IFERROR(BL12/$BK$7*10000,0)</f>
        <v>0</v>
      </c>
      <c r="BL12" s="1385">
        <f>SUMIF('5.分产品利润表'!$AP$5:$BA$5,综合表!BK4,'5.分产品利润表'!$AP$6:$BA$6)</f>
        <v>0</v>
      </c>
      <c r="BM12" s="1375">
        <f t="shared" ref="BM12:BM28" si="131">IFERROR(BN12/$BM$7*10000,0)</f>
        <v>0</v>
      </c>
      <c r="BN12" s="1385">
        <f>SUMIF('5.分产品利润表'!$AP$5:$BA$5,综合表!BM4,'5.分产品利润表'!$AP$6:$BA$6)</f>
        <v>0</v>
      </c>
      <c r="BO12" s="1375">
        <f t="shared" ref="BO12:BO28" si="132">IFERROR(BP12/$BO$7*10000,0)</f>
        <v>0</v>
      </c>
      <c r="BP12" s="1385">
        <f>SUMIF('5.分产品利润表'!$AP$5:$BA$5,综合表!BO4,'5.分产品利润表'!$AP$6:$BA$6)</f>
        <v>0</v>
      </c>
      <c r="BQ12" s="1375">
        <f t="shared" ref="BQ12:BQ28" si="133">IFERROR(BR12/$BQ$7*10000,0)</f>
        <v>0</v>
      </c>
      <c r="BR12" s="1385">
        <f>SUMIF('5.分产品利润表'!$AP$5:$BA$5,综合表!BQ4,'5.分产品利润表'!$AP$6:$BA$6)</f>
        <v>0</v>
      </c>
      <c r="BS12" s="1375">
        <f t="shared" ref="BS12:BS28" si="134">IFERROR(BT12/$BS$7*10000,0)</f>
        <v>0</v>
      </c>
      <c r="BT12" s="1385">
        <f>SUMIF('5.分产品利润表'!$AP$5:$BA$5,综合表!BS4,'5.分产品利润表'!$AP$6:$BA$6)</f>
        <v>0</v>
      </c>
      <c r="BU12" s="1375">
        <f t="shared" ref="BU12:BU28" si="135">IFERROR(BV12/$BU$7*10000,0)</f>
        <v>0</v>
      </c>
      <c r="BV12" s="1385">
        <f>SUMIF('5.分产品利润表'!$AP$5:$BA$5,综合表!BU4,'5.分产品利润表'!$AP$6:$BA$6)</f>
        <v>0</v>
      </c>
      <c r="BW12" s="1375">
        <f t="shared" ref="BW12:BW28" si="136">IFERROR(BX12/$BW$7*10000,0)</f>
        <v>0</v>
      </c>
      <c r="BX12" s="1385">
        <f>SUMIF('5.分产品利润表'!$AP$5:$BA$5,综合表!BW4,'5.分产品利润表'!$AP$6:$BA$6)</f>
        <v>0</v>
      </c>
      <c r="BY12" s="1375">
        <f t="shared" ref="BY12:BY28" si="137">IFERROR(BZ12/$BY$7*10000,0)</f>
        <v>0</v>
      </c>
      <c r="BZ12" s="1385">
        <f>SUMIF('5.分产品利润表'!$AP$5:$BA$5,综合表!BY4,'5.分产品利润表'!$AP$6:$BA$6)</f>
        <v>0</v>
      </c>
      <c r="CA12" s="1375">
        <f t="shared" ref="CA12:CA28" si="138">IFERROR(CB12/$CA$7*10000,0)</f>
        <v>0</v>
      </c>
      <c r="CB12" s="1385">
        <f>SUMIF('5.分产品利润表'!$AP$5:$BA$5,综合表!CA4,'5.分产品利润表'!$AP$6:$BA$6)</f>
        <v>0</v>
      </c>
      <c r="CC12" s="1375">
        <f t="shared" ref="CC12:CC28" si="139">IFERROR(CD12/$CC$8*10000,0)</f>
        <v>0</v>
      </c>
      <c r="CD12" s="1385">
        <f>SUMIF('5.分产品利润表'!$AP$5:$BA$5,综合表!CC4,'5.分产品利润表'!$AP$6:$BA$6)</f>
        <v>0</v>
      </c>
      <c r="CE12" s="1375">
        <f t="shared" ref="CE12:CE28" si="140">IFERROR(CF12/$CE$8*10000,0)</f>
        <v>0</v>
      </c>
      <c r="CF12" s="1385">
        <f>SUMIF('5.分产品利润表'!$AP$5:$BA$5,综合表!CE4,'5.分产品利润表'!$AP$6:$BA$6)</f>
        <v>0</v>
      </c>
      <c r="CG12" s="1385">
        <f>IFERROR((CH12-DD12-DF12)/$CG$7*10000,0)</f>
        <v>0</v>
      </c>
      <c r="CH12" s="1385">
        <f>CJ12+CL12+CN12+CP12+CR12+CT12+CV12+CX12+CZ12+DB12+DD12+DF12</f>
        <v>0</v>
      </c>
      <c r="CI12" s="1375">
        <f t="shared" ref="CI12:CI28" si="141">IFERROR(CJ12/$CI$7*10000,0)</f>
        <v>0</v>
      </c>
      <c r="CJ12" s="1385">
        <f>SUMIF('5.分产品利润表'!$BC$5:$BN$5,综合表!CI4,'5.分产品利润表'!$BC$6:$BN$6)</f>
        <v>0</v>
      </c>
      <c r="CK12" s="1375">
        <f t="shared" ref="CK12:CK28" si="142">IFERROR(CL12/$CK$7*10000,0)</f>
        <v>0</v>
      </c>
      <c r="CL12" s="1385">
        <f>SUMIF('5.分产品利润表'!$BC$5:$BN$5,综合表!CK4,'5.分产品利润表'!$BC$6:$BN$6)</f>
        <v>0</v>
      </c>
      <c r="CM12" s="1375">
        <f t="shared" ref="CM12:CM28" si="143">IFERROR(CN12/$CM$7*10000,0)</f>
        <v>0</v>
      </c>
      <c r="CN12" s="1385">
        <f>SUMIF('5.分产品利润表'!$BC$5:$BN$5,综合表!CM4,'5.分产品利润表'!$BC$6:$BN$6)</f>
        <v>0</v>
      </c>
      <c r="CO12" s="1375">
        <f t="shared" ref="CO12:CO28" si="144">IFERROR(CP12/$CO$7*10000,0)</f>
        <v>0</v>
      </c>
      <c r="CP12" s="1385">
        <f>SUMIF('5.分产品利润表'!$BC$5:$BN$5,综合表!CO4,'5.分产品利润表'!$BC$6:$BN$6)</f>
        <v>0</v>
      </c>
      <c r="CQ12" s="1375">
        <f t="shared" ref="CQ12:CQ28" si="145">IFERROR(CR12/$CQ$7*10000,0)</f>
        <v>0</v>
      </c>
      <c r="CR12" s="1385">
        <f>SUMIF('5.分产品利润表'!$BC$5:$BN$5,综合表!CQ4,'5.分产品利润表'!$BC$6:$BN$6)</f>
        <v>0</v>
      </c>
      <c r="CS12" s="1375">
        <f t="shared" ref="CS12:CS28" si="146">IFERROR(CT12/$CS$7*10000,0)</f>
        <v>0</v>
      </c>
      <c r="CT12" s="1385">
        <f>SUMIF('5.分产品利润表'!$BC$5:$BN$5,综合表!CS4,'5.分产品利润表'!$BC$6:$BN$6)</f>
        <v>0</v>
      </c>
      <c r="CU12" s="1375">
        <f t="shared" ref="CU12:CU28" si="147">IFERROR(CV12/$CU$7*10000,0)</f>
        <v>0</v>
      </c>
      <c r="CV12" s="1385">
        <f>SUMIF('5.分产品利润表'!$BC$5:$BN$5,综合表!CU4,'5.分产品利润表'!$BC$6:$BN$6)</f>
        <v>0</v>
      </c>
      <c r="CW12" s="1375">
        <f t="shared" ref="CW12:CW28" si="148">IFERROR(CX12/$CW$7*10000,0)</f>
        <v>0</v>
      </c>
      <c r="CX12" s="1385">
        <f>SUMIF('5.分产品利润表'!$BC$5:$BN$5,综合表!CW4,'5.分产品利润表'!$BC$6:$BN$6)</f>
        <v>0</v>
      </c>
      <c r="CY12" s="1375">
        <f t="shared" ref="CY12:CY28" si="149">IFERROR(CZ12/$CY$7*10000,0)</f>
        <v>0</v>
      </c>
      <c r="CZ12" s="1385">
        <f>SUMIF('5.分产品利润表'!$BC$5:$BN$5,综合表!CY4,'5.分产品利润表'!$BC$6:$BN$6)</f>
        <v>0</v>
      </c>
      <c r="DA12" s="1375">
        <f t="shared" ref="DA12:DA28" si="150">IFERROR(DB12/$DA$7*10000,0)</f>
        <v>0</v>
      </c>
      <c r="DB12" s="1385">
        <f>SUMIF('5.分产品利润表'!$BC$5:$BN$5,综合表!DA4,'5.分产品利润表'!$BC$6:$BN$6)</f>
        <v>0</v>
      </c>
      <c r="DC12" s="1375">
        <f t="shared" ref="DC12:DC28" si="151">IFERROR(DD12/$DC$8*10000,0)</f>
        <v>0</v>
      </c>
      <c r="DD12" s="1385">
        <f>SUMIF('5.分产品利润表'!$BC$5:$BN$5,综合表!DC4,'5.分产品利润表'!$BC$6:$BN$6)</f>
        <v>0</v>
      </c>
      <c r="DE12" s="1375">
        <f t="shared" ref="DE12:DE28" si="152">IFERROR(DF12/$DE$8*10000,0)</f>
        <v>0</v>
      </c>
      <c r="DF12" s="1385">
        <f>SUMIF('5.分产品利润表'!$BC$5:$BN$5,综合表!DE4,'5.分产品利润表'!$BC$6:$BN$6)</f>
        <v>0</v>
      </c>
      <c r="DG12" s="1385">
        <f t="shared" ref="DG12:DG28" si="153">IFERROR((DH12-ED12-EF12)/$DG$7*10000,0)</f>
        <v>0</v>
      </c>
      <c r="DH12" s="1385">
        <f>DJ12+DL12+DN12+DP12+DR12+DT12+DV12+DX12+DZ12+EB12+ED12+EF12</f>
        <v>0</v>
      </c>
      <c r="DI12" s="1375">
        <f t="shared" ref="DI12:DI28" si="154">IFERROR(DJ12/$DI$7*10000,0)</f>
        <v>0</v>
      </c>
      <c r="DJ12" s="1385">
        <f>SUMIF('5.分产品利润表'!$BP$5:$CA$5,综合表!DI4,'5.分产品利润表'!$BP$6:$CA$6)</f>
        <v>0</v>
      </c>
      <c r="DK12" s="1375">
        <f t="shared" ref="DK12:DK28" si="155">IFERROR(DL12/$DK$7*10000,0)</f>
        <v>0</v>
      </c>
      <c r="DL12" s="1385">
        <f>SUMIF('5.分产品利润表'!$BP$5:$CA$5,综合表!DK4,'5.分产品利润表'!$BP$6:$CA$6)</f>
        <v>0</v>
      </c>
      <c r="DM12" s="1375">
        <f t="shared" ref="DM12:DM28" si="156">IFERROR(DN12/$DM$7*10000,0)</f>
        <v>0</v>
      </c>
      <c r="DN12" s="1385">
        <f>SUMIF('5.分产品利润表'!$BP$5:$CA$5,综合表!DM4,'5.分产品利润表'!$BP$6:$CA$6)</f>
        <v>0</v>
      </c>
      <c r="DO12" s="1375">
        <f t="shared" ref="DO12:DO28" si="157">IFERROR(DP12/$DO$7*10000,0)</f>
        <v>0</v>
      </c>
      <c r="DP12" s="1385">
        <f>SUMIF('5.分产品利润表'!$BP$5:$CA$5,综合表!DO4,'5.分产品利润表'!$BP$6:$CA$6)</f>
        <v>0</v>
      </c>
      <c r="DQ12" s="1375">
        <f t="shared" ref="DQ12:DQ28" si="158">IFERROR(DR12/$DQ$7*10000,0)</f>
        <v>0</v>
      </c>
      <c r="DR12" s="1385">
        <f>SUMIF('5.分产品利润表'!$BP$5:$CA$5,综合表!DQ4,'5.分产品利润表'!$BP$6:$CA$6)</f>
        <v>0</v>
      </c>
      <c r="DS12" s="1375">
        <f t="shared" ref="DS12:DS28" si="159">IFERROR(DT12/$DS$7*10000,0)</f>
        <v>0</v>
      </c>
      <c r="DT12" s="1385">
        <f>SUMIF('5.分产品利润表'!$BP$5:$CA$5,综合表!DS4,'5.分产品利润表'!$BP$6:$CA$6)</f>
        <v>0</v>
      </c>
      <c r="DU12" s="1375">
        <f t="shared" ref="DU12:DU28" si="160">IFERROR(DV12/$DU$7*10000,0)</f>
        <v>0</v>
      </c>
      <c r="DV12" s="1385">
        <f>SUMIF('5.分产品利润表'!$BP$5:$CA$5,综合表!DU4,'5.分产品利润表'!$BP$6:$CA$6)</f>
        <v>0</v>
      </c>
      <c r="DW12" s="1375">
        <f t="shared" ref="DW12:DW28" si="161">IFERROR(DX12/$DW$7*10000,0)</f>
        <v>0</v>
      </c>
      <c r="DX12" s="1385">
        <f>SUMIF('5.分产品利润表'!$BP$5:$CA$5,综合表!DW4,'5.分产品利润表'!$BP$6:$CA$6)</f>
        <v>0</v>
      </c>
      <c r="DY12" s="1375">
        <f t="shared" ref="DY12:DY28" si="162">IFERROR(DZ12/$DY$7*10000,0)</f>
        <v>0</v>
      </c>
      <c r="DZ12" s="1385">
        <f>SUMIF('5.分产品利润表'!$BP$5:$CA$5,综合表!DY4,'5.分产品利润表'!$BP$6:$CA$6)</f>
        <v>0</v>
      </c>
      <c r="EA12" s="1375">
        <f t="shared" ref="EA12:EA28" si="163">IFERROR(EB12/$EA$7*10000,0)</f>
        <v>0</v>
      </c>
      <c r="EB12" s="1385">
        <f>SUMIF('5.分产品利润表'!$BP$5:$CA$5,综合表!EA4,'5.分产品利润表'!$BP$6:$CA$6)</f>
        <v>0</v>
      </c>
      <c r="EC12" s="1375">
        <f t="shared" ref="EC12:EC28" si="164">IFERROR(ED12/$EC$8*10000,0)</f>
        <v>0</v>
      </c>
      <c r="ED12" s="1385">
        <f>SUMIF('5.分产品利润表'!$BP$5:$CA$5,综合表!EC4,'5.分产品利润表'!$BP$6:$CA$6)</f>
        <v>0</v>
      </c>
      <c r="EE12" s="1375">
        <f t="shared" ref="EE12:EE28" si="165">IFERROR(EF12/$EE$8*10000,0)</f>
        <v>0</v>
      </c>
      <c r="EF12" s="1385">
        <f>SUMIF('5.分产品利润表'!$BP$5:$CA$5,综合表!EE4,'5.分产品利润表'!$BP$6:$CA$6)</f>
        <v>0</v>
      </c>
      <c r="EG12" s="1385">
        <f t="shared" ref="EG12:EG28" si="166">IFERROR((EH12-FD12-FF12)/$EG$7*10000,0)</f>
        <v>0</v>
      </c>
      <c r="EH12" s="1385">
        <f>EJ12+EL12+EN12+EP12+ER12+ET12+EV12+EX12+EZ12+FB12+FD12+FF12</f>
        <v>0</v>
      </c>
      <c r="EI12" s="1375">
        <f t="shared" ref="EI12:EI28" si="167">IFERROR(EJ12/$EI$7*10000,0)</f>
        <v>0</v>
      </c>
      <c r="EJ12" s="1385">
        <f>SUMIF('5.分产品利润表'!$CC$5:$CN$5,综合表!EI4,'5.分产品利润表'!$CC$6:$CN$6)</f>
        <v>0</v>
      </c>
      <c r="EK12" s="1375">
        <f t="shared" ref="EK12:EK27" si="168">IFERROR(EL12/$EK$7*10000,0)</f>
        <v>0</v>
      </c>
      <c r="EL12" s="1385">
        <f>SUMIF('5.分产品利润表'!$CC$5:$CN$5,综合表!EK4,'5.分产品利润表'!$CC$6:$CN$6)</f>
        <v>0</v>
      </c>
      <c r="EM12" s="1375">
        <f t="shared" ref="EM12:EM28" si="169">IFERROR(EN12/$EM$7*10000,0)</f>
        <v>0</v>
      </c>
      <c r="EN12" s="1385">
        <f>SUMIF('5.分产品利润表'!$CC$5:$CN$5,综合表!EM4,'5.分产品利润表'!$CC$6:$CN$6)</f>
        <v>0</v>
      </c>
      <c r="EO12" s="1375">
        <f t="shared" ref="EO12:EO28" si="170">IFERROR(EP12/$EO$7*10000,0)</f>
        <v>0</v>
      </c>
      <c r="EP12" s="1385">
        <f>SUMIF('5.分产品利润表'!$CC$5:$CN$5,综合表!EO4,'5.分产品利润表'!$CC$6:$CN$6)</f>
        <v>0</v>
      </c>
      <c r="EQ12" s="1375">
        <f t="shared" ref="EQ12:EQ28" si="171">IFERROR(ER12/$EQ$7*10000,0)</f>
        <v>0</v>
      </c>
      <c r="ER12" s="1385">
        <f>SUMIF('5.分产品利润表'!$CC$5:$CN$5,综合表!EQ4,'5.分产品利润表'!$CC$6:$CN$6)</f>
        <v>0</v>
      </c>
      <c r="ES12" s="1375">
        <f t="shared" ref="ES12:ES28" si="172">IFERROR(ET12/$ES$7*10000,0)</f>
        <v>0</v>
      </c>
      <c r="ET12" s="1385">
        <f>SUMIF('5.分产品利润表'!$CC$5:$CN$5,综合表!ES4,'5.分产品利润表'!$CC$6:$CN$6)</f>
        <v>0</v>
      </c>
      <c r="EU12" s="1375">
        <f t="shared" ref="EU12:EU28" si="173">IFERROR(EV12/$EU$7*10000,0)</f>
        <v>0</v>
      </c>
      <c r="EV12" s="1385">
        <f>SUMIF('5.分产品利润表'!$CC$5:$CN$5,综合表!EU4,'5.分产品利润表'!$CC$6:$CN$6)</f>
        <v>0</v>
      </c>
      <c r="EW12" s="1375">
        <f t="shared" ref="EW12:EW28" si="174">IFERROR(EX12/$EW$7*10000,0)</f>
        <v>0</v>
      </c>
      <c r="EX12" s="1385">
        <f>SUMIF('5.分产品利润表'!$CC$5:$CN$5,综合表!EW4,'5.分产品利润表'!$CC$6:$CN$6)</f>
        <v>0</v>
      </c>
      <c r="EY12" s="1375">
        <f t="shared" ref="EY12:EY28" si="175">IFERROR(EZ12/$EY$7*10000,0)</f>
        <v>0</v>
      </c>
      <c r="EZ12" s="1385">
        <f>SUMIF('5.分产品利润表'!$CC$5:$CN$5,综合表!EY4,'5.分产品利润表'!$CC$6:$CN$6)</f>
        <v>0</v>
      </c>
      <c r="FA12" s="1375">
        <f t="shared" ref="FA12:FA28" si="176">IFERROR(FB12/$FA$7*10000,0)</f>
        <v>0</v>
      </c>
      <c r="FB12" s="1385">
        <f>SUMIF('5.分产品利润表'!$CC$5:$CN$5,综合表!FA4,'5.分产品利润表'!$CC$6:$CN$6)</f>
        <v>0</v>
      </c>
      <c r="FC12" s="1375">
        <f t="shared" ref="FC12:FC28" si="177">IFERROR(FD12/$FC$8*10000,0)</f>
        <v>0</v>
      </c>
      <c r="FD12" s="1385">
        <f>SUMIF('5.分产品利润表'!$CC$5:$CN$5,综合表!FC4,'5.分产品利润表'!$CC$6:$CN$6)</f>
        <v>0</v>
      </c>
      <c r="FE12" s="1375">
        <f t="shared" ref="FE12:FE28" si="178">IFERROR(FF12/$FE$8*10000,0)</f>
        <v>0</v>
      </c>
      <c r="FF12" s="1385">
        <f>SUMIF('5.分产品利润表'!$CC$5:$CN$5,综合表!FE4,'5.分产品利润表'!$CC$6:$CN$6)</f>
        <v>0</v>
      </c>
    </row>
    <row r="13" spans="1:162" s="1359" customFormat="1" ht="15.75" customHeight="1">
      <c r="A13" s="1788"/>
      <c r="B13" s="1376" t="str">
        <f>CONCATENATE("3.土地成本","（",ROUND(IFERROR(D13/($D$13+$D$14)%,0),2),"%）")</f>
        <v>3.土地成本（39.61%）</v>
      </c>
      <c r="C13" s="1383">
        <f t="shared" ref="C13:C28" si="179">D13/$C$7*10000</f>
        <v>3424.8596108077982</v>
      </c>
      <c r="D13" s="1378">
        <f t="shared" si="103"/>
        <v>20460.111314965787</v>
      </c>
      <c r="E13" s="1387"/>
      <c r="F13" s="1387"/>
      <c r="G13" s="1375">
        <f t="shared" ref="G13:G28" si="180">IFERROR((H13-AD13-AF13)/$G$7*10000,0)</f>
        <v>3424.8596108077982</v>
      </c>
      <c r="H13" s="1385">
        <f t="shared" ref="H13:H19" si="181">J13+L13+N13+P13+R13+T13+V13+X13+Z13+AB13+AD13+AF13</f>
        <v>20460.111314965787</v>
      </c>
      <c r="I13" s="1375">
        <f t="shared" si="104"/>
        <v>2362.5472902890087</v>
      </c>
      <c r="J13" s="1385">
        <f>SUMIF('5.分产品利润表'!$P$5:$AA$5,综合表!I4,'5.分产品利润表'!$P$7:$AA$7)</f>
        <v>13253.890298521339</v>
      </c>
      <c r="K13" s="1375">
        <f t="shared" si="105"/>
        <v>19797.310484737493</v>
      </c>
      <c r="L13" s="1385">
        <f>SUMIF('5.分产品利润表'!$P$5:$AA$5,综合表!K4,'5.分产品利润表'!$P$7:$AA$7)</f>
        <v>7206.2210164444468</v>
      </c>
      <c r="M13" s="1375">
        <f t="shared" si="106"/>
        <v>0</v>
      </c>
      <c r="N13" s="1385">
        <f>SUMIF('5.分产品利润表'!$P$5:$AA$5,综合表!M4,'5.分产品利润表'!$P$7:$AA$7)</f>
        <v>0</v>
      </c>
      <c r="O13" s="1375">
        <f t="shared" si="107"/>
        <v>0</v>
      </c>
      <c r="P13" s="1385">
        <f>SUMIF('5.分产品利润表'!$P$5:$AA$5,综合表!O4,'5.分产品利润表'!$P$7:$AA$7)</f>
        <v>0</v>
      </c>
      <c r="Q13" s="1375">
        <f t="shared" si="108"/>
        <v>0</v>
      </c>
      <c r="R13" s="1385">
        <f>SUMIF('5.分产品利润表'!$P$5:$AA$5,综合表!Q4,'5.分产品利润表'!$P$7:$AA$7)</f>
        <v>0</v>
      </c>
      <c r="S13" s="1375">
        <f t="shared" si="109"/>
        <v>0</v>
      </c>
      <c r="T13" s="1385">
        <f>SUMIF('5.分产品利润表'!$P$5:$AA$5,综合表!S4,'5.分产品利润表'!$P$7:$AA$7)</f>
        <v>0</v>
      </c>
      <c r="U13" s="1375">
        <f t="shared" si="110"/>
        <v>0</v>
      </c>
      <c r="V13" s="1385">
        <f>SUMIF('5.分产品利润表'!$P$5:$AA$5,综合表!U4,'5.分产品利润表'!$P$7:$AA$7)</f>
        <v>0</v>
      </c>
      <c r="W13" s="1375">
        <f t="shared" si="111"/>
        <v>0</v>
      </c>
      <c r="X13" s="1385">
        <f>SUMIF('5.分产品利润表'!$P$5:$AA$5,综合表!W4,'5.分产品利润表'!$P$7:$AA$7)</f>
        <v>0</v>
      </c>
      <c r="Y13" s="1375">
        <f t="shared" si="112"/>
        <v>0</v>
      </c>
      <c r="Z13" s="1385">
        <f>SUMIF('5.分产品利润表'!$P$5:$AA$5,综合表!Y4,'5.分产品利润表'!$P$7:$AA$7)</f>
        <v>0</v>
      </c>
      <c r="AA13" s="1375">
        <f t="shared" si="113"/>
        <v>0</v>
      </c>
      <c r="AB13" s="1385">
        <f>SUMIF('5.分产品利润表'!$P$5:$AA$5,综合表!AA4,'5.分产品利润表'!$P$7:$AA$7)</f>
        <v>0</v>
      </c>
      <c r="AC13" s="1375">
        <f t="shared" si="114"/>
        <v>0</v>
      </c>
      <c r="AD13" s="1385">
        <f>SUMIF('5.分产品利润表'!$P$5:$AA$5,综合表!AC4,'5.分产品利润表'!$P$7:$AA$7)</f>
        <v>0</v>
      </c>
      <c r="AE13" s="1375">
        <f t="shared" si="115"/>
        <v>0</v>
      </c>
      <c r="AF13" s="1385">
        <f>SUMIF('5.分产品利润表'!$P$5:$AA$5,综合表!AE4,'5.分产品利润表'!$P$7:$AA$7)</f>
        <v>0</v>
      </c>
      <c r="AG13" s="1375">
        <f t="shared" si="116"/>
        <v>0</v>
      </c>
      <c r="AH13" s="1385">
        <f t="shared" ref="AH13:AH28" si="182">AJ13+AL13+AN13+AP13+AR13+AT13+AV13+AX13+AZ13+BB13+BD13+BF13</f>
        <v>0</v>
      </c>
      <c r="AI13" s="1375">
        <f t="shared" si="117"/>
        <v>0</v>
      </c>
      <c r="AJ13" s="1378">
        <f>SUMIF('5.分产品利润表'!$AC$5:$AN$5,综合表!AI4,'5.分产品利润表'!$AC$7:$AN$7)</f>
        <v>0</v>
      </c>
      <c r="AK13" s="1375">
        <f t="shared" si="118"/>
        <v>0</v>
      </c>
      <c r="AL13" s="1378">
        <f>SUMIF('5.分产品利润表'!$AC$5:$AN$5,综合表!AK4,'5.分产品利润表'!$AC$7:$AN$7)</f>
        <v>0</v>
      </c>
      <c r="AM13" s="1375">
        <f t="shared" si="119"/>
        <v>0</v>
      </c>
      <c r="AN13" s="1378">
        <f>SUMIF('5.分产品利润表'!$AC$5:$AN$5,综合表!AM4,'5.分产品利润表'!$AC$7:$AN$7)</f>
        <v>0</v>
      </c>
      <c r="AO13" s="1375">
        <f t="shared" si="120"/>
        <v>0</v>
      </c>
      <c r="AP13" s="1378">
        <f>SUMIF('5.分产品利润表'!$AC$5:$AN$5,综合表!AO4,'5.分产品利润表'!$AC$7:$AN$7)</f>
        <v>0</v>
      </c>
      <c r="AQ13" s="1375">
        <f t="shared" si="121"/>
        <v>0</v>
      </c>
      <c r="AR13" s="1378">
        <f>SUMIF('5.分产品利润表'!$AC$5:$AN$5,综合表!AQ4,'5.分产品利润表'!$AC$7:$AN$7)</f>
        <v>0</v>
      </c>
      <c r="AS13" s="1375">
        <f t="shared" si="122"/>
        <v>0</v>
      </c>
      <c r="AT13" s="1378">
        <f>SUMIF('5.分产品利润表'!$AC$5:$AN$5,综合表!AS4,'5.分产品利润表'!$AC$7:$AN$7)</f>
        <v>0</v>
      </c>
      <c r="AU13" s="1375">
        <f t="shared" si="123"/>
        <v>0</v>
      </c>
      <c r="AV13" s="1378">
        <f>SUMIF('5.分产品利润表'!$AC$5:$AN$5,综合表!AU4,'5.分产品利润表'!$AC$7:$AN$7)</f>
        <v>0</v>
      </c>
      <c r="AW13" s="1375">
        <f t="shared" si="124"/>
        <v>0</v>
      </c>
      <c r="AX13" s="1378">
        <f>SUMIF('5.分产品利润表'!$AC$5:$AN$5,综合表!AW4,'5.分产品利润表'!$AC$7:$AN$7)</f>
        <v>0</v>
      </c>
      <c r="AY13" s="1375">
        <f t="shared" si="125"/>
        <v>0</v>
      </c>
      <c r="AZ13" s="1378">
        <f>SUMIF('5.分产品利润表'!$AC$5:$AN$5,综合表!AY4,'5.分产品利润表'!$AC$7:$AN$7)</f>
        <v>0</v>
      </c>
      <c r="BA13" s="1375">
        <f t="shared" si="126"/>
        <v>0</v>
      </c>
      <c r="BB13" s="1378">
        <f>SUMIF('5.分产品利润表'!$AC$5:$AN$5,综合表!BA4,'5.分产品利润表'!$AC$7:$AN$7)</f>
        <v>0</v>
      </c>
      <c r="BC13" s="1375">
        <f t="shared" si="127"/>
        <v>0</v>
      </c>
      <c r="BD13" s="1378">
        <f>SUMIF('5.分产品利润表'!$AC$5:$AN$5,综合表!BC4,'5.分产品利润表'!$AC$7:$AN$7)</f>
        <v>0</v>
      </c>
      <c r="BE13" s="1375">
        <f t="shared" si="128"/>
        <v>0</v>
      </c>
      <c r="BF13" s="1378">
        <f>SUMIF('5.分产品利润表'!$AC$5:$AN$5,综合表!BE4,'5.分产品利润表'!$AC$7:$AN$7)</f>
        <v>0</v>
      </c>
      <c r="BG13" s="1385">
        <f t="shared" ref="BG13:BG28" si="183">IFERROR((BH13-CD13-CF13)/$BG$7*10000,0)</f>
        <v>0</v>
      </c>
      <c r="BH13" s="1385">
        <f t="shared" ref="BH13:BH28" si="184">BJ13+BL13+BN13+BP13+BR13+BT13+BV13+BX13+BZ13+CB13+CD13+CF13</f>
        <v>0</v>
      </c>
      <c r="BI13" s="1375">
        <f t="shared" si="129"/>
        <v>0</v>
      </c>
      <c r="BJ13" s="1378">
        <f>SUMIF('5.分产品利润表'!$AP$5:$BA$5,综合表!BI4,'5.分产品利润表'!$AP$7:$BA$7)</f>
        <v>0</v>
      </c>
      <c r="BK13" s="1375">
        <f t="shared" si="130"/>
        <v>0</v>
      </c>
      <c r="BL13" s="1378">
        <f>SUMIF('5.分产品利润表'!$AP$5:$BA$5,综合表!BK4,'5.分产品利润表'!$AP$7:$BA$7)</f>
        <v>0</v>
      </c>
      <c r="BM13" s="1375">
        <f t="shared" si="131"/>
        <v>0</v>
      </c>
      <c r="BN13" s="1378">
        <f>SUMIF('5.分产品利润表'!$AP$5:$BA$5,综合表!BM4,'5.分产品利润表'!$AP$7:$BA$7)</f>
        <v>0</v>
      </c>
      <c r="BO13" s="1375">
        <f t="shared" si="132"/>
        <v>0</v>
      </c>
      <c r="BP13" s="1378">
        <f>SUMIF('5.分产品利润表'!$AP$5:$BA$5,综合表!BO4,'5.分产品利润表'!$AP$7:$BA$7)</f>
        <v>0</v>
      </c>
      <c r="BQ13" s="1375">
        <f t="shared" si="133"/>
        <v>0</v>
      </c>
      <c r="BR13" s="1378">
        <f>SUMIF('5.分产品利润表'!$AP$5:$BA$5,综合表!BQ4,'5.分产品利润表'!$AP$7:$BA$7)</f>
        <v>0</v>
      </c>
      <c r="BS13" s="1375">
        <f t="shared" si="134"/>
        <v>0</v>
      </c>
      <c r="BT13" s="1378">
        <f>SUMIF('5.分产品利润表'!$AP$5:$BA$5,综合表!BS4,'5.分产品利润表'!$AP$7:$BA$7)</f>
        <v>0</v>
      </c>
      <c r="BU13" s="1375">
        <f t="shared" si="135"/>
        <v>0</v>
      </c>
      <c r="BV13" s="1378">
        <f>SUMIF('5.分产品利润表'!$AP$5:$BA$5,综合表!BU4,'5.分产品利润表'!$AP$7:$BA$7)</f>
        <v>0</v>
      </c>
      <c r="BW13" s="1375">
        <f t="shared" si="136"/>
        <v>0</v>
      </c>
      <c r="BX13" s="1378">
        <f>SUMIF('5.分产品利润表'!$AP$5:$BA$5,综合表!BW4,'5.分产品利润表'!$AP$7:$BA$7)</f>
        <v>0</v>
      </c>
      <c r="BY13" s="1375">
        <f t="shared" si="137"/>
        <v>0</v>
      </c>
      <c r="BZ13" s="1378">
        <f>SUMIF('5.分产品利润表'!$AP$5:$BA$5,综合表!BY4,'5.分产品利润表'!$AP$7:$BA$7)</f>
        <v>0</v>
      </c>
      <c r="CA13" s="1375">
        <f t="shared" si="138"/>
        <v>0</v>
      </c>
      <c r="CB13" s="1378">
        <f>SUMIF('5.分产品利润表'!$AP$5:$BA$5,综合表!CA4,'5.分产品利润表'!$AP$7:$BA$7)</f>
        <v>0</v>
      </c>
      <c r="CC13" s="1375">
        <f t="shared" si="139"/>
        <v>0</v>
      </c>
      <c r="CD13" s="1378">
        <f>SUMIF('5.分产品利润表'!$AP$5:$BA$5,综合表!CC4,'5.分产品利润表'!$AP$7:$BA$7)</f>
        <v>0</v>
      </c>
      <c r="CE13" s="1375">
        <f t="shared" si="140"/>
        <v>0</v>
      </c>
      <c r="CF13" s="1378">
        <f>SUMIF('5.分产品利润表'!$AP$5:$BA$5,综合表!CE4,'5.分产品利润表'!$AP$7:$BA$7)</f>
        <v>0</v>
      </c>
      <c r="CG13" s="1385">
        <f t="shared" ref="CG13:CG28" si="185">IFERROR((CH13-DD13-DF13)/$CG$7*10000,0)</f>
        <v>0</v>
      </c>
      <c r="CH13" s="1385">
        <f t="shared" ref="CH13:CH28" si="186">CJ13+CL13+CN13+CP13+CR13+CT13+CV13+CX13+CZ13+DB13+DD13+DF13</f>
        <v>0</v>
      </c>
      <c r="CI13" s="1375">
        <f t="shared" si="141"/>
        <v>0</v>
      </c>
      <c r="CJ13" s="1378">
        <f>SUMIF('5.分产品利润表'!$BC$5:$BN$5,综合表!CI4,'5.分产品利润表'!$BC$7:$BN$7)</f>
        <v>0</v>
      </c>
      <c r="CK13" s="1375">
        <f t="shared" si="142"/>
        <v>0</v>
      </c>
      <c r="CL13" s="1378">
        <f>SUMIF('5.分产品利润表'!$BC$5:$BN$5,综合表!CK4,'5.分产品利润表'!$BC$7:$BN$7)</f>
        <v>0</v>
      </c>
      <c r="CM13" s="1375">
        <f t="shared" si="143"/>
        <v>0</v>
      </c>
      <c r="CN13" s="1378">
        <f>SUMIF('5.分产品利润表'!$BC$5:$BN$5,综合表!CM4,'5.分产品利润表'!$BC$7:$BN$7)</f>
        <v>0</v>
      </c>
      <c r="CO13" s="1375">
        <f t="shared" si="144"/>
        <v>0</v>
      </c>
      <c r="CP13" s="1378">
        <f>SUMIF('5.分产品利润表'!$BC$5:$BN$5,综合表!CO4,'5.分产品利润表'!$BC$7:$BN$7)</f>
        <v>0</v>
      </c>
      <c r="CQ13" s="1375">
        <f t="shared" si="145"/>
        <v>0</v>
      </c>
      <c r="CR13" s="1378">
        <f>SUMIF('5.分产品利润表'!$BC$5:$BN$5,综合表!CQ4,'5.分产品利润表'!$BC$7:$BN$7)</f>
        <v>0</v>
      </c>
      <c r="CS13" s="1375">
        <f t="shared" si="146"/>
        <v>0</v>
      </c>
      <c r="CT13" s="1378">
        <f>SUMIF('5.分产品利润表'!$BC$5:$BN$5,综合表!CS4,'5.分产品利润表'!$BC$7:$BN$7)</f>
        <v>0</v>
      </c>
      <c r="CU13" s="1375">
        <f t="shared" si="147"/>
        <v>0</v>
      </c>
      <c r="CV13" s="1378">
        <f>SUMIF('5.分产品利润表'!$BC$5:$BN$5,综合表!CU4,'5.分产品利润表'!$BC$7:$BN$7)</f>
        <v>0</v>
      </c>
      <c r="CW13" s="1375">
        <f t="shared" si="148"/>
        <v>0</v>
      </c>
      <c r="CX13" s="1378">
        <f>SUMIF('5.分产品利润表'!$BC$5:$BN$5,综合表!CW4,'5.分产品利润表'!$BC$7:$BN$7)</f>
        <v>0</v>
      </c>
      <c r="CY13" s="1375">
        <f t="shared" si="149"/>
        <v>0</v>
      </c>
      <c r="CZ13" s="1378">
        <f>SUMIF('5.分产品利润表'!$BC$5:$BN$5,综合表!CY4,'5.分产品利润表'!$BC$7:$BN$7)</f>
        <v>0</v>
      </c>
      <c r="DA13" s="1375">
        <f t="shared" si="150"/>
        <v>0</v>
      </c>
      <c r="DB13" s="1378">
        <f>SUMIF('5.分产品利润表'!$BC$5:$BN$5,综合表!DA4,'5.分产品利润表'!$BC$7:$BN$7)</f>
        <v>0</v>
      </c>
      <c r="DC13" s="1375">
        <f t="shared" si="151"/>
        <v>0</v>
      </c>
      <c r="DD13" s="1378">
        <f>SUMIF('5.分产品利润表'!$BC$5:$BN$5,综合表!DC4,'5.分产品利润表'!$BC$7:$BN$7)</f>
        <v>0</v>
      </c>
      <c r="DE13" s="1375">
        <f t="shared" si="152"/>
        <v>0</v>
      </c>
      <c r="DF13" s="1378">
        <f>SUMIF('5.分产品利润表'!$BC$5:$BN$5,综合表!DE4,'5.分产品利润表'!$BC$7:$BN$7)</f>
        <v>0</v>
      </c>
      <c r="DG13" s="1385">
        <f t="shared" si="153"/>
        <v>0</v>
      </c>
      <c r="DH13" s="1385">
        <f t="shared" ref="DH13:DH28" si="187">DJ13+DL13+DN13+DP13+DR13+DT13+DV13+DX13+DZ13+EB13+ED13+EF13</f>
        <v>0</v>
      </c>
      <c r="DI13" s="1375">
        <f t="shared" si="154"/>
        <v>0</v>
      </c>
      <c r="DJ13" s="1378">
        <f>SUMIF('5.分产品利润表'!$BP$5:$CA$5,综合表!DI4,'5.分产品利润表'!$BP$7:$CA$7)</f>
        <v>0</v>
      </c>
      <c r="DK13" s="1375">
        <f t="shared" si="155"/>
        <v>0</v>
      </c>
      <c r="DL13" s="1378">
        <f>SUMIF('5.分产品利润表'!$BP$5:$CA$5,综合表!DK4,'5.分产品利润表'!$BP$7:$CA$7)</f>
        <v>0</v>
      </c>
      <c r="DM13" s="1375">
        <f t="shared" si="156"/>
        <v>0</v>
      </c>
      <c r="DN13" s="1378">
        <f>SUMIF('5.分产品利润表'!$BP$5:$CA$5,综合表!DM4,'5.分产品利润表'!$BP$7:$CA$7)</f>
        <v>0</v>
      </c>
      <c r="DO13" s="1375">
        <f t="shared" si="157"/>
        <v>0</v>
      </c>
      <c r="DP13" s="1378">
        <f>SUMIF('5.分产品利润表'!$BP$5:$CA$5,综合表!DO4,'5.分产品利润表'!$BP$7:$CA$7)</f>
        <v>0</v>
      </c>
      <c r="DQ13" s="1375">
        <f t="shared" si="158"/>
        <v>0</v>
      </c>
      <c r="DR13" s="1378">
        <f>SUMIF('5.分产品利润表'!$BP$5:$CA$5,综合表!DQ4,'5.分产品利润表'!$BP$7:$CA$7)</f>
        <v>0</v>
      </c>
      <c r="DS13" s="1375">
        <f t="shared" si="159"/>
        <v>0</v>
      </c>
      <c r="DT13" s="1378">
        <f>SUMIF('5.分产品利润表'!$BP$5:$CA$5,综合表!DS4,'5.分产品利润表'!$BP$7:$CA$7)</f>
        <v>0</v>
      </c>
      <c r="DU13" s="1375">
        <f t="shared" si="160"/>
        <v>0</v>
      </c>
      <c r="DV13" s="1378">
        <f>SUMIF('5.分产品利润表'!$BP$5:$CA$5,综合表!DU4,'5.分产品利润表'!$BP$7:$CA$7)</f>
        <v>0</v>
      </c>
      <c r="DW13" s="1375">
        <f t="shared" si="161"/>
        <v>0</v>
      </c>
      <c r="DX13" s="1378">
        <f>SUMIF('5.分产品利润表'!$BP$5:$CA$5,综合表!DW4,'5.分产品利润表'!$BP$7:$CA$7)</f>
        <v>0</v>
      </c>
      <c r="DY13" s="1375">
        <f t="shared" si="162"/>
        <v>0</v>
      </c>
      <c r="DZ13" s="1378">
        <f>SUMIF('5.分产品利润表'!$BP$5:$CA$5,综合表!DY4,'5.分产品利润表'!$BP$7:$CA$7)</f>
        <v>0</v>
      </c>
      <c r="EA13" s="1375">
        <f t="shared" si="163"/>
        <v>0</v>
      </c>
      <c r="EB13" s="1378">
        <f>SUMIF('5.分产品利润表'!$BP$5:$CA$5,综合表!EA4,'5.分产品利润表'!$BP$7:$CA$7)</f>
        <v>0</v>
      </c>
      <c r="EC13" s="1375">
        <f t="shared" si="164"/>
        <v>0</v>
      </c>
      <c r="ED13" s="1378">
        <f>SUMIF('5.分产品利润表'!$BP$5:$CA$5,综合表!EC4,'5.分产品利润表'!$BP$7:$CA$7)</f>
        <v>0</v>
      </c>
      <c r="EE13" s="1375">
        <f t="shared" si="165"/>
        <v>0</v>
      </c>
      <c r="EF13" s="1378">
        <f>SUMIF('5.分产品利润表'!$BP$5:$CA$5,综合表!EE4,'5.分产品利润表'!$BP$7:$CA$7)</f>
        <v>0</v>
      </c>
      <c r="EG13" s="1385">
        <f t="shared" si="166"/>
        <v>0</v>
      </c>
      <c r="EH13" s="1385">
        <f t="shared" ref="EH13:EH28" si="188">EJ13+EL13+EN13+EP13+ER13+ET13+EV13+EX13+EZ13+FB13+FD13+FF13</f>
        <v>0</v>
      </c>
      <c r="EI13" s="1375">
        <f t="shared" si="167"/>
        <v>0</v>
      </c>
      <c r="EJ13" s="1378">
        <f>SUMIF('5.分产品利润表'!$CC$5:$CN$5,综合表!EI4,'5.分产品利润表'!$CC$7:$CN$7)</f>
        <v>0</v>
      </c>
      <c r="EK13" s="1375">
        <f t="shared" si="168"/>
        <v>0</v>
      </c>
      <c r="EL13" s="1378">
        <f>SUMIF('5.分产品利润表'!$CC$5:$CN$5,综合表!EK4,'5.分产品利润表'!$CC$7:$CN$7)</f>
        <v>0</v>
      </c>
      <c r="EM13" s="1375">
        <f t="shared" si="169"/>
        <v>0</v>
      </c>
      <c r="EN13" s="1378">
        <f>SUMIF('5.分产品利润表'!$CC$5:$CN$5,综合表!EM4,'5.分产品利润表'!$CC$7:$CN$7)</f>
        <v>0</v>
      </c>
      <c r="EO13" s="1375">
        <f t="shared" si="170"/>
        <v>0</v>
      </c>
      <c r="EP13" s="1378">
        <f>SUMIF('5.分产品利润表'!$CC$5:$CN$5,综合表!EO4,'5.分产品利润表'!$CC$7:$CN$7)</f>
        <v>0</v>
      </c>
      <c r="EQ13" s="1375">
        <f t="shared" si="171"/>
        <v>0</v>
      </c>
      <c r="ER13" s="1378">
        <f>SUMIF('5.分产品利润表'!$CC$5:$CN$5,综合表!EQ4,'5.分产品利润表'!$CC$7:$CN$7)</f>
        <v>0</v>
      </c>
      <c r="ES13" s="1375">
        <f t="shared" si="172"/>
        <v>0</v>
      </c>
      <c r="ET13" s="1378">
        <f>SUMIF('5.分产品利润表'!$CC$5:$CN$5,综合表!ES4,'5.分产品利润表'!$CC$7:$CN$7)</f>
        <v>0</v>
      </c>
      <c r="EU13" s="1375">
        <f t="shared" si="173"/>
        <v>0</v>
      </c>
      <c r="EV13" s="1378">
        <f>SUMIF('5.分产品利润表'!$CC$5:$CN$5,综合表!EU4,'5.分产品利润表'!$CC$7:$CN$7)</f>
        <v>0</v>
      </c>
      <c r="EW13" s="1375">
        <f t="shared" si="174"/>
        <v>0</v>
      </c>
      <c r="EX13" s="1378">
        <f>SUMIF('5.分产品利润表'!$CC$5:$CN$5,综合表!EW4,'5.分产品利润表'!$CC$7:$CN$7)</f>
        <v>0</v>
      </c>
      <c r="EY13" s="1375">
        <f t="shared" si="175"/>
        <v>0</v>
      </c>
      <c r="EZ13" s="1378">
        <f>SUMIF('5.分产品利润表'!$CC$5:$CN$5,综合表!EY4,'5.分产品利润表'!$CC$7:$CN$7)</f>
        <v>0</v>
      </c>
      <c r="FA13" s="1375">
        <f t="shared" si="176"/>
        <v>0</v>
      </c>
      <c r="FB13" s="1378">
        <f>SUMIF('5.分产品利润表'!$CC$5:$CN$5,综合表!FA4,'5.分产品利润表'!$CC$7:$CN$7)</f>
        <v>0</v>
      </c>
      <c r="FC13" s="1375">
        <f t="shared" si="177"/>
        <v>0</v>
      </c>
      <c r="FD13" s="1378">
        <f>SUMIF('5.分产品利润表'!$CC$5:$CN$5,综合表!FC4,'5.分产品利润表'!$CC$7:$CN$7)</f>
        <v>0</v>
      </c>
      <c r="FE13" s="1375">
        <f t="shared" si="178"/>
        <v>0</v>
      </c>
      <c r="FF13" s="1378">
        <f>SUMIF('5.分产品利润表'!$CC$5:$CN$5,综合表!FE4,'5.分产品利润表'!$CC$7:$CN$7)</f>
        <v>0</v>
      </c>
    </row>
    <row r="14" spans="1:162" s="1359" customFormat="1" ht="15.75" customHeight="1">
      <c r="A14" s="1788"/>
      <c r="B14" s="1376" t="str">
        <f>CONCATENATE("4.建安成本","（",ROUND(IFERROR(D14/($D$13+$D$14)%,0),2),"%）")</f>
        <v>4.建安成本（60.39%）</v>
      </c>
      <c r="C14" s="1383">
        <f t="shared" si="179"/>
        <v>5221.0465349849346</v>
      </c>
      <c r="D14" s="1378">
        <f t="shared" si="103"/>
        <v>31190.531999999999</v>
      </c>
      <c r="E14" s="1388"/>
      <c r="F14" s="1384"/>
      <c r="G14" s="1375">
        <f t="shared" si="180"/>
        <v>4908.3398727820559</v>
      </c>
      <c r="H14" s="1385">
        <f t="shared" si="181"/>
        <v>31190.531999999999</v>
      </c>
      <c r="I14" s="1375">
        <f t="shared" si="104"/>
        <v>4669.1003682624714</v>
      </c>
      <c r="J14" s="1378">
        <f t="shared" ref="J14:BX14" si="189">J15+J16+J17+J18+J19+J20+J25+J27+J28</f>
        <v>26193.653065952461</v>
      </c>
      <c r="K14" s="1375">
        <f t="shared" si="105"/>
        <v>4288.1003682624714</v>
      </c>
      <c r="L14" s="1378">
        <f t="shared" si="189"/>
        <v>1560.8685340475395</v>
      </c>
      <c r="M14" s="1375">
        <f t="shared" si="106"/>
        <v>0</v>
      </c>
      <c r="N14" s="1378">
        <f t="shared" si="189"/>
        <v>1567.9008000000001</v>
      </c>
      <c r="O14" s="1375">
        <f t="shared" si="107"/>
        <v>0</v>
      </c>
      <c r="P14" s="1378">
        <f t="shared" si="189"/>
        <v>0</v>
      </c>
      <c r="Q14" s="1375">
        <f t="shared" si="108"/>
        <v>0</v>
      </c>
      <c r="R14" s="1378">
        <f t="shared" si="189"/>
        <v>0</v>
      </c>
      <c r="S14" s="1375">
        <f t="shared" si="109"/>
        <v>0</v>
      </c>
      <c r="T14" s="1378">
        <f t="shared" si="189"/>
        <v>0</v>
      </c>
      <c r="U14" s="1375">
        <f t="shared" si="110"/>
        <v>0</v>
      </c>
      <c r="V14" s="1378">
        <f t="shared" si="189"/>
        <v>0</v>
      </c>
      <c r="W14" s="1375">
        <f t="shared" si="111"/>
        <v>0</v>
      </c>
      <c r="X14" s="1378">
        <f t="shared" si="189"/>
        <v>0</v>
      </c>
      <c r="Y14" s="1375">
        <f t="shared" si="112"/>
        <v>0</v>
      </c>
      <c r="Z14" s="1378">
        <f t="shared" si="189"/>
        <v>0</v>
      </c>
      <c r="AA14" s="1375">
        <f t="shared" si="113"/>
        <v>0</v>
      </c>
      <c r="AB14" s="1378">
        <f t="shared" si="189"/>
        <v>0</v>
      </c>
      <c r="AC14" s="1375">
        <f t="shared" si="114"/>
        <v>44268</v>
      </c>
      <c r="AD14" s="1378">
        <f t="shared" si="189"/>
        <v>1868.1096</v>
      </c>
      <c r="AE14" s="1375">
        <f t="shared" si="115"/>
        <v>0</v>
      </c>
      <c r="AF14" s="1378">
        <f t="shared" si="189"/>
        <v>0</v>
      </c>
      <c r="AG14" s="1375">
        <f t="shared" si="116"/>
        <v>0</v>
      </c>
      <c r="AH14" s="1385">
        <f t="shared" si="182"/>
        <v>0</v>
      </c>
      <c r="AI14" s="1375">
        <f t="shared" si="117"/>
        <v>0</v>
      </c>
      <c r="AJ14" s="1378">
        <f t="shared" si="189"/>
        <v>0</v>
      </c>
      <c r="AK14" s="1375">
        <f t="shared" si="118"/>
        <v>0</v>
      </c>
      <c r="AL14" s="1378">
        <f t="shared" si="189"/>
        <v>0</v>
      </c>
      <c r="AM14" s="1375">
        <f t="shared" si="119"/>
        <v>0</v>
      </c>
      <c r="AN14" s="1378">
        <f t="shared" si="189"/>
        <v>0</v>
      </c>
      <c r="AO14" s="1375">
        <f t="shared" si="120"/>
        <v>0</v>
      </c>
      <c r="AP14" s="1378">
        <f t="shared" si="189"/>
        <v>0</v>
      </c>
      <c r="AQ14" s="1375">
        <f t="shared" si="121"/>
        <v>0</v>
      </c>
      <c r="AR14" s="1378">
        <f t="shared" si="189"/>
        <v>0</v>
      </c>
      <c r="AS14" s="1375">
        <f t="shared" si="122"/>
        <v>0</v>
      </c>
      <c r="AT14" s="1378">
        <f t="shared" si="189"/>
        <v>0</v>
      </c>
      <c r="AU14" s="1375">
        <f t="shared" si="123"/>
        <v>0</v>
      </c>
      <c r="AV14" s="1378">
        <f t="shared" si="189"/>
        <v>0</v>
      </c>
      <c r="AW14" s="1375">
        <f t="shared" si="124"/>
        <v>0</v>
      </c>
      <c r="AX14" s="1378">
        <f t="shared" si="189"/>
        <v>0</v>
      </c>
      <c r="AY14" s="1375">
        <f t="shared" si="125"/>
        <v>0</v>
      </c>
      <c r="AZ14" s="1378">
        <f t="shared" si="189"/>
        <v>0</v>
      </c>
      <c r="BA14" s="1375">
        <f t="shared" si="126"/>
        <v>0</v>
      </c>
      <c r="BB14" s="1378">
        <f t="shared" si="189"/>
        <v>0</v>
      </c>
      <c r="BC14" s="1375">
        <f t="shared" si="127"/>
        <v>0</v>
      </c>
      <c r="BD14" s="1378">
        <f t="shared" si="189"/>
        <v>0</v>
      </c>
      <c r="BE14" s="1375">
        <f t="shared" si="128"/>
        <v>0</v>
      </c>
      <c r="BF14" s="1378">
        <f t="shared" si="189"/>
        <v>0</v>
      </c>
      <c r="BG14" s="1385">
        <f t="shared" si="183"/>
        <v>0</v>
      </c>
      <c r="BH14" s="1385">
        <f t="shared" si="184"/>
        <v>0</v>
      </c>
      <c r="BI14" s="1375">
        <f t="shared" si="129"/>
        <v>0</v>
      </c>
      <c r="BJ14" s="1378">
        <f t="shared" si="189"/>
        <v>0</v>
      </c>
      <c r="BK14" s="1375">
        <f t="shared" si="130"/>
        <v>0</v>
      </c>
      <c r="BL14" s="1378">
        <f t="shared" si="189"/>
        <v>0</v>
      </c>
      <c r="BM14" s="1375">
        <f t="shared" si="131"/>
        <v>0</v>
      </c>
      <c r="BN14" s="1378">
        <f t="shared" si="189"/>
        <v>0</v>
      </c>
      <c r="BO14" s="1375">
        <f t="shared" si="132"/>
        <v>0</v>
      </c>
      <c r="BP14" s="1378">
        <f t="shared" si="189"/>
        <v>0</v>
      </c>
      <c r="BQ14" s="1375">
        <f t="shared" si="133"/>
        <v>0</v>
      </c>
      <c r="BR14" s="1378">
        <f t="shared" si="189"/>
        <v>0</v>
      </c>
      <c r="BS14" s="1375">
        <f t="shared" si="134"/>
        <v>0</v>
      </c>
      <c r="BT14" s="1378">
        <f t="shared" si="189"/>
        <v>0</v>
      </c>
      <c r="BU14" s="1375">
        <f t="shared" si="135"/>
        <v>0</v>
      </c>
      <c r="BV14" s="1378">
        <f t="shared" si="189"/>
        <v>0</v>
      </c>
      <c r="BW14" s="1375">
        <f t="shared" si="136"/>
        <v>0</v>
      </c>
      <c r="BX14" s="1378">
        <f t="shared" si="189"/>
        <v>0</v>
      </c>
      <c r="BY14" s="1375">
        <f t="shared" si="137"/>
        <v>0</v>
      </c>
      <c r="BZ14" s="1378">
        <f t="shared" ref="BZ14:DX14" si="190">BZ15+BZ16+BZ17+BZ18+BZ19+BZ20+BZ25+BZ27+BZ28</f>
        <v>0</v>
      </c>
      <c r="CA14" s="1375">
        <f t="shared" si="138"/>
        <v>0</v>
      </c>
      <c r="CB14" s="1378">
        <f t="shared" si="190"/>
        <v>0</v>
      </c>
      <c r="CC14" s="1375">
        <f t="shared" si="139"/>
        <v>0</v>
      </c>
      <c r="CD14" s="1378">
        <f t="shared" si="190"/>
        <v>0</v>
      </c>
      <c r="CE14" s="1375">
        <f t="shared" si="140"/>
        <v>0</v>
      </c>
      <c r="CF14" s="1378">
        <f t="shared" si="190"/>
        <v>0</v>
      </c>
      <c r="CG14" s="1385">
        <f t="shared" si="185"/>
        <v>0</v>
      </c>
      <c r="CH14" s="1385">
        <f t="shared" si="186"/>
        <v>0</v>
      </c>
      <c r="CI14" s="1375">
        <f t="shared" si="141"/>
        <v>0</v>
      </c>
      <c r="CJ14" s="1378">
        <f t="shared" si="190"/>
        <v>0</v>
      </c>
      <c r="CK14" s="1375">
        <f t="shared" si="142"/>
        <v>0</v>
      </c>
      <c r="CL14" s="1378">
        <f t="shared" si="190"/>
        <v>0</v>
      </c>
      <c r="CM14" s="1375">
        <f t="shared" si="143"/>
        <v>0</v>
      </c>
      <c r="CN14" s="1378">
        <f t="shared" si="190"/>
        <v>0</v>
      </c>
      <c r="CO14" s="1375">
        <f t="shared" si="144"/>
        <v>0</v>
      </c>
      <c r="CP14" s="1378">
        <f t="shared" si="190"/>
        <v>0</v>
      </c>
      <c r="CQ14" s="1375">
        <f t="shared" si="145"/>
        <v>0</v>
      </c>
      <c r="CR14" s="1378">
        <f t="shared" si="190"/>
        <v>0</v>
      </c>
      <c r="CS14" s="1375">
        <f t="shared" si="146"/>
        <v>0</v>
      </c>
      <c r="CT14" s="1378">
        <f t="shared" si="190"/>
        <v>0</v>
      </c>
      <c r="CU14" s="1375">
        <f t="shared" si="147"/>
        <v>0</v>
      </c>
      <c r="CV14" s="1378">
        <f t="shared" si="190"/>
        <v>0</v>
      </c>
      <c r="CW14" s="1375">
        <f t="shared" si="148"/>
        <v>0</v>
      </c>
      <c r="CX14" s="1378">
        <f t="shared" si="190"/>
        <v>0</v>
      </c>
      <c r="CY14" s="1375">
        <f t="shared" si="149"/>
        <v>0</v>
      </c>
      <c r="CZ14" s="1378">
        <f t="shared" si="190"/>
        <v>0</v>
      </c>
      <c r="DA14" s="1375">
        <f t="shared" si="150"/>
        <v>0</v>
      </c>
      <c r="DB14" s="1378">
        <f t="shared" si="190"/>
        <v>0</v>
      </c>
      <c r="DC14" s="1375">
        <f t="shared" si="151"/>
        <v>0</v>
      </c>
      <c r="DD14" s="1378">
        <f t="shared" si="190"/>
        <v>0</v>
      </c>
      <c r="DE14" s="1375">
        <f t="shared" si="152"/>
        <v>0</v>
      </c>
      <c r="DF14" s="1378">
        <f t="shared" si="190"/>
        <v>0</v>
      </c>
      <c r="DG14" s="1385">
        <f t="shared" si="153"/>
        <v>0</v>
      </c>
      <c r="DH14" s="1385">
        <f t="shared" si="187"/>
        <v>0</v>
      </c>
      <c r="DI14" s="1375">
        <f t="shared" si="154"/>
        <v>0</v>
      </c>
      <c r="DJ14" s="1378">
        <f t="shared" si="190"/>
        <v>0</v>
      </c>
      <c r="DK14" s="1375">
        <f t="shared" si="155"/>
        <v>0</v>
      </c>
      <c r="DL14" s="1378">
        <f t="shared" si="190"/>
        <v>0</v>
      </c>
      <c r="DM14" s="1375">
        <f t="shared" si="156"/>
        <v>0</v>
      </c>
      <c r="DN14" s="1378">
        <f t="shared" si="190"/>
        <v>0</v>
      </c>
      <c r="DO14" s="1375">
        <f t="shared" si="157"/>
        <v>0</v>
      </c>
      <c r="DP14" s="1378">
        <f t="shared" si="190"/>
        <v>0</v>
      </c>
      <c r="DQ14" s="1375">
        <f t="shared" si="158"/>
        <v>0</v>
      </c>
      <c r="DR14" s="1378">
        <f t="shared" si="190"/>
        <v>0</v>
      </c>
      <c r="DS14" s="1375">
        <f t="shared" si="159"/>
        <v>0</v>
      </c>
      <c r="DT14" s="1378">
        <f t="shared" si="190"/>
        <v>0</v>
      </c>
      <c r="DU14" s="1375">
        <f t="shared" si="160"/>
        <v>0</v>
      </c>
      <c r="DV14" s="1378">
        <f t="shared" si="190"/>
        <v>0</v>
      </c>
      <c r="DW14" s="1375">
        <f t="shared" si="161"/>
        <v>0</v>
      </c>
      <c r="DX14" s="1378">
        <f t="shared" si="190"/>
        <v>0</v>
      </c>
      <c r="DY14" s="1375">
        <f t="shared" si="162"/>
        <v>0</v>
      </c>
      <c r="DZ14" s="1378">
        <f t="shared" ref="DZ14:FF14" si="191">DZ15+DZ16+DZ17+DZ18+DZ19+DZ20+DZ25+DZ27+DZ28</f>
        <v>0</v>
      </c>
      <c r="EA14" s="1375">
        <f t="shared" si="163"/>
        <v>0</v>
      </c>
      <c r="EB14" s="1378">
        <f t="shared" si="191"/>
        <v>0</v>
      </c>
      <c r="EC14" s="1375">
        <f t="shared" si="164"/>
        <v>0</v>
      </c>
      <c r="ED14" s="1378">
        <f t="shared" si="191"/>
        <v>0</v>
      </c>
      <c r="EE14" s="1375">
        <f t="shared" si="165"/>
        <v>0</v>
      </c>
      <c r="EF14" s="1378">
        <f t="shared" si="191"/>
        <v>0</v>
      </c>
      <c r="EG14" s="1385">
        <f t="shared" si="166"/>
        <v>0</v>
      </c>
      <c r="EH14" s="1385">
        <f t="shared" si="188"/>
        <v>0</v>
      </c>
      <c r="EI14" s="1375">
        <f t="shared" si="167"/>
        <v>0</v>
      </c>
      <c r="EJ14" s="1378">
        <f t="shared" si="191"/>
        <v>0</v>
      </c>
      <c r="EK14" s="1375">
        <f t="shared" si="168"/>
        <v>0</v>
      </c>
      <c r="EL14" s="1378">
        <f t="shared" si="191"/>
        <v>0</v>
      </c>
      <c r="EM14" s="1375">
        <f t="shared" si="169"/>
        <v>0</v>
      </c>
      <c r="EN14" s="1378">
        <f t="shared" si="191"/>
        <v>0</v>
      </c>
      <c r="EO14" s="1375">
        <f t="shared" si="170"/>
        <v>0</v>
      </c>
      <c r="EP14" s="1378">
        <f t="shared" si="191"/>
        <v>0</v>
      </c>
      <c r="EQ14" s="1375">
        <f t="shared" si="171"/>
        <v>0</v>
      </c>
      <c r="ER14" s="1378">
        <f t="shared" si="191"/>
        <v>0</v>
      </c>
      <c r="ES14" s="1375">
        <f t="shared" si="172"/>
        <v>0</v>
      </c>
      <c r="ET14" s="1378">
        <f t="shared" si="191"/>
        <v>0</v>
      </c>
      <c r="EU14" s="1375">
        <f t="shared" si="173"/>
        <v>0</v>
      </c>
      <c r="EV14" s="1378">
        <f t="shared" si="191"/>
        <v>0</v>
      </c>
      <c r="EW14" s="1375">
        <f t="shared" si="174"/>
        <v>0</v>
      </c>
      <c r="EX14" s="1378">
        <f t="shared" si="191"/>
        <v>0</v>
      </c>
      <c r="EY14" s="1375">
        <f t="shared" si="175"/>
        <v>0</v>
      </c>
      <c r="EZ14" s="1378">
        <f t="shared" si="191"/>
        <v>0</v>
      </c>
      <c r="FA14" s="1375">
        <f t="shared" si="176"/>
        <v>0</v>
      </c>
      <c r="FB14" s="1378">
        <f t="shared" si="191"/>
        <v>0</v>
      </c>
      <c r="FC14" s="1375">
        <f t="shared" si="177"/>
        <v>0</v>
      </c>
      <c r="FD14" s="1378">
        <f t="shared" si="191"/>
        <v>0</v>
      </c>
      <c r="FE14" s="1375">
        <f t="shared" si="178"/>
        <v>0</v>
      </c>
      <c r="FF14" s="1378">
        <f t="shared" si="191"/>
        <v>0</v>
      </c>
    </row>
    <row r="15" spans="1:162" s="1359" customFormat="1" ht="15.75" customHeight="1">
      <c r="A15" s="1788"/>
      <c r="B15" s="1376" t="str">
        <f>CONCATENATE("4.1开发前期准备费","（",ROUND(IFERROR(D15/($D$14)%,0),2),"%）")</f>
        <v>4.1开发前期准备费（3.49%）</v>
      </c>
      <c r="C15" s="1383">
        <f t="shared" si="179"/>
        <v>181.9745564111148</v>
      </c>
      <c r="D15" s="1378">
        <f t="shared" si="103"/>
        <v>1087.116</v>
      </c>
      <c r="E15" s="1389"/>
      <c r="F15" s="1384"/>
      <c r="G15" s="1375">
        <f t="shared" si="180"/>
        <v>181.9745564111148</v>
      </c>
      <c r="H15" s="1385">
        <f t="shared" si="181"/>
        <v>1087.116</v>
      </c>
      <c r="I15" s="1375">
        <f t="shared" si="104"/>
        <v>170</v>
      </c>
      <c r="J15" s="1385">
        <f>SUMIF('13.建安成本表'!$B$20:$B$32,综合表!I4,'13.建安成本表'!$E$20:$E$32)</f>
        <v>953.7</v>
      </c>
      <c r="K15" s="1375">
        <f t="shared" si="105"/>
        <v>170</v>
      </c>
      <c r="L15" s="1385">
        <f>SUMIF('13.建安成本表'!$B$20:$B$32,综合表!K4,'13.建安成本表'!$E$20:$E$32)</f>
        <v>61.88</v>
      </c>
      <c r="M15" s="1375">
        <f t="shared" si="106"/>
        <v>0</v>
      </c>
      <c r="N15" s="1385">
        <f>SUMIF('13.建安成本表'!$B$20:$B$32,综合表!M4,'13.建安成本表'!$E$20:$E$32)</f>
        <v>71.536000000000001</v>
      </c>
      <c r="O15" s="1375">
        <f t="shared" si="107"/>
        <v>0</v>
      </c>
      <c r="P15" s="1385">
        <f>SUMIF('13.建安成本表'!$B$20:$B$32,综合表!O4,'13.建安成本表'!$E$20:$E$32)</f>
        <v>0</v>
      </c>
      <c r="Q15" s="1375">
        <f t="shared" si="108"/>
        <v>0</v>
      </c>
      <c r="R15" s="1385">
        <f>SUMIF('13.建安成本表'!$B$20:$B$32,综合表!Q4,'13.建安成本表'!$E$20:$E$32)</f>
        <v>0</v>
      </c>
      <c r="S15" s="1375">
        <f t="shared" si="109"/>
        <v>0</v>
      </c>
      <c r="T15" s="1385">
        <f>SUMIF('13.建安成本表'!$B$20:$B$32,综合表!S4,'13.建安成本表'!$E$20:$E$32)</f>
        <v>0</v>
      </c>
      <c r="U15" s="1375">
        <f t="shared" si="110"/>
        <v>0</v>
      </c>
      <c r="V15" s="1385">
        <f>SUMIF('13.建安成本表'!$B$20:$B$32,综合表!U4,'13.建安成本表'!$E$20:$E$32)</f>
        <v>0</v>
      </c>
      <c r="W15" s="1375">
        <f t="shared" si="111"/>
        <v>0</v>
      </c>
      <c r="X15" s="1385">
        <f>SUMIF('13.建安成本表'!$B$20:$B$32,综合表!W4,'13.建安成本表'!$E$20:$E$32)</f>
        <v>0</v>
      </c>
      <c r="Y15" s="1375">
        <f t="shared" si="112"/>
        <v>0</v>
      </c>
      <c r="Z15" s="1385">
        <f>SUMIF('13.建安成本表'!$B$20:$B$32,综合表!Y4,'13.建安成本表'!$E$20:$E$32)</f>
        <v>0</v>
      </c>
      <c r="AA15" s="1375">
        <f t="shared" si="113"/>
        <v>0</v>
      </c>
      <c r="AB15" s="1385">
        <f>SUMIF('13.建安成本表'!$B$20:$B$32,综合表!AA4,'13.建安成本表'!$E$20:$E$32)</f>
        <v>0</v>
      </c>
      <c r="AC15" s="1375">
        <f t="shared" si="114"/>
        <v>0</v>
      </c>
      <c r="AD15" s="1385">
        <f>SUMIF('13.建安成本表'!$B$20:$B$32,综合表!AC4,'13.建安成本表'!$E$20:$E$32)</f>
        <v>0</v>
      </c>
      <c r="AE15" s="1375">
        <f t="shared" si="115"/>
        <v>0</v>
      </c>
      <c r="AF15" s="1385">
        <f>SUMIF('13.建安成本表'!$B$20:$B$32,综合表!AE4,'13.建安成本表'!$E$20:$E$32)</f>
        <v>0</v>
      </c>
      <c r="AG15" s="1375">
        <f t="shared" si="116"/>
        <v>0</v>
      </c>
      <c r="AH15" s="1385">
        <f t="shared" si="182"/>
        <v>0</v>
      </c>
      <c r="AI15" s="1375">
        <f t="shared" si="117"/>
        <v>0</v>
      </c>
      <c r="AJ15" s="1385">
        <f>SUMIF('13.建安成本表'!$B$20:$B$32,综合表!AI4,'13.建安成本表'!$H$20:$H$32)</f>
        <v>0</v>
      </c>
      <c r="AK15" s="1375">
        <f t="shared" si="118"/>
        <v>0</v>
      </c>
      <c r="AL15" s="1385">
        <f>SUMIF('13.建安成本表'!$B$20:$B$32,综合表!AK4,'13.建安成本表'!$H$20:$H$32)</f>
        <v>0</v>
      </c>
      <c r="AM15" s="1375">
        <f t="shared" si="119"/>
        <v>0</v>
      </c>
      <c r="AN15" s="1385">
        <f>SUMIF('13.建安成本表'!$B$20:$B$32,综合表!AM4,'13.建安成本表'!$H$20:$H$32)</f>
        <v>0</v>
      </c>
      <c r="AO15" s="1375">
        <f t="shared" si="120"/>
        <v>0</v>
      </c>
      <c r="AP15" s="1385">
        <f>SUMIF('13.建安成本表'!$B$20:$B$32,综合表!AO4,'13.建安成本表'!$H$20:$H$32)</f>
        <v>0</v>
      </c>
      <c r="AQ15" s="1375">
        <f t="shared" si="121"/>
        <v>0</v>
      </c>
      <c r="AR15" s="1385">
        <f>SUMIF('13.建安成本表'!$B$20:$B$32,综合表!AQ4,'13.建安成本表'!$H$20:$H$32)</f>
        <v>0</v>
      </c>
      <c r="AS15" s="1375">
        <f t="shared" si="122"/>
        <v>0</v>
      </c>
      <c r="AT15" s="1385">
        <f>SUMIF('13.建安成本表'!$B$20:$B$32,综合表!AS4,'13.建安成本表'!$H$20:$H$32)</f>
        <v>0</v>
      </c>
      <c r="AU15" s="1375">
        <f t="shared" si="123"/>
        <v>0</v>
      </c>
      <c r="AV15" s="1385">
        <f>SUMIF('13.建安成本表'!$B$20:$B$32,综合表!AU4,'13.建安成本表'!$H$20:$H$32)</f>
        <v>0</v>
      </c>
      <c r="AW15" s="1375">
        <f t="shared" si="124"/>
        <v>0</v>
      </c>
      <c r="AX15" s="1385">
        <f>SUMIF('13.建安成本表'!$B$20:$B$32,综合表!AW4,'13.建安成本表'!$H$20:$H$32)</f>
        <v>0</v>
      </c>
      <c r="AY15" s="1375">
        <f t="shared" si="125"/>
        <v>0</v>
      </c>
      <c r="AZ15" s="1385">
        <f>SUMIF('13.建安成本表'!$B$20:$B$32,综合表!AY4,'13.建安成本表'!$H$20:$H$32)</f>
        <v>0</v>
      </c>
      <c r="BA15" s="1375">
        <f t="shared" si="126"/>
        <v>0</v>
      </c>
      <c r="BB15" s="1385">
        <f>SUMIF('13.建安成本表'!$B$20:$B$32,综合表!BA4,'13.建安成本表'!$H$20:$H$32)</f>
        <v>0</v>
      </c>
      <c r="BC15" s="1375">
        <f t="shared" si="127"/>
        <v>0</v>
      </c>
      <c r="BD15" s="1385">
        <f>SUMIF('13.建安成本表'!$B$20:$B$32,综合表!BC4,'13.建安成本表'!$H$20:$H$32)</f>
        <v>0</v>
      </c>
      <c r="BE15" s="1375">
        <f t="shared" si="128"/>
        <v>0</v>
      </c>
      <c r="BF15" s="1385">
        <f>SUMIF('13.建安成本表'!$B$20:$B$32,综合表!BE4,'13.建安成本表'!$H$20:$H$32)</f>
        <v>0</v>
      </c>
      <c r="BG15" s="1385">
        <f t="shared" si="183"/>
        <v>0</v>
      </c>
      <c r="BH15" s="1385">
        <f t="shared" si="184"/>
        <v>0</v>
      </c>
      <c r="BI15" s="1375">
        <f t="shared" si="129"/>
        <v>0</v>
      </c>
      <c r="BJ15" s="1385">
        <f>SUMIF('13.建安成本表'!$B$20:$B$32,综合表!BI4,'13.建安成本表'!$K$20:$K$32)</f>
        <v>0</v>
      </c>
      <c r="BK15" s="1375">
        <f t="shared" si="130"/>
        <v>0</v>
      </c>
      <c r="BL15" s="1385">
        <f>SUMIF('13.建安成本表'!$B$20:$B$32,综合表!BK4,'13.建安成本表'!$K$20:$K$32)</f>
        <v>0</v>
      </c>
      <c r="BM15" s="1375">
        <f t="shared" si="131"/>
        <v>0</v>
      </c>
      <c r="BN15" s="1385">
        <f>SUMIF('13.建安成本表'!$B$20:$B$32,综合表!BM4,'13.建安成本表'!$K$20:$K$32)</f>
        <v>0</v>
      </c>
      <c r="BO15" s="1375">
        <f t="shared" si="132"/>
        <v>0</v>
      </c>
      <c r="BP15" s="1385">
        <f>SUMIF('13.建安成本表'!$B$20:$B$32,综合表!BO4,'13.建安成本表'!$K$20:$K$32)</f>
        <v>0</v>
      </c>
      <c r="BQ15" s="1375">
        <f t="shared" si="133"/>
        <v>0</v>
      </c>
      <c r="BR15" s="1385">
        <f>SUMIF('13.建安成本表'!$B$20:$B$32,综合表!BQ4,'13.建安成本表'!$K$20:$K$32)</f>
        <v>0</v>
      </c>
      <c r="BS15" s="1375">
        <f t="shared" si="134"/>
        <v>0</v>
      </c>
      <c r="BT15" s="1385">
        <f>SUMIF('13.建安成本表'!$B$20:$B$32,综合表!BS4,'13.建安成本表'!$K$20:$K$32)</f>
        <v>0</v>
      </c>
      <c r="BU15" s="1375">
        <f t="shared" si="135"/>
        <v>0</v>
      </c>
      <c r="BV15" s="1385">
        <f>SUMIF('13.建安成本表'!$B$20:$B$32,综合表!BU4,'13.建安成本表'!$K$20:$K$32)</f>
        <v>0</v>
      </c>
      <c r="BW15" s="1375">
        <f t="shared" si="136"/>
        <v>0</v>
      </c>
      <c r="BX15" s="1385">
        <f>SUMIF('13.建安成本表'!$B$20:$B$32,综合表!BW4,'13.建安成本表'!$K$20:$K$32)</f>
        <v>0</v>
      </c>
      <c r="BY15" s="1375">
        <f t="shared" si="137"/>
        <v>0</v>
      </c>
      <c r="BZ15" s="1385">
        <f>SUMIF('13.建安成本表'!$B$20:$B$32,综合表!BY4,'13.建安成本表'!$K$20:$K$32)</f>
        <v>0</v>
      </c>
      <c r="CA15" s="1375">
        <f t="shared" si="138"/>
        <v>0</v>
      </c>
      <c r="CB15" s="1385">
        <f>SUMIF('13.建安成本表'!$B$20:$B$32,综合表!CA4,'13.建安成本表'!$K$20:$K$32)</f>
        <v>0</v>
      </c>
      <c r="CC15" s="1375">
        <f t="shared" si="139"/>
        <v>0</v>
      </c>
      <c r="CD15" s="1385">
        <f>SUMIF('13.建安成本表'!$B$20:$B$32,综合表!CC4,'13.建安成本表'!$K$20:$K$32)</f>
        <v>0</v>
      </c>
      <c r="CE15" s="1375">
        <f t="shared" si="140"/>
        <v>0</v>
      </c>
      <c r="CF15" s="1385">
        <f>SUMIF('13.建安成本表'!$B$20:$B$32,综合表!CE4,'13.建安成本表'!$K$20:$K$32)</f>
        <v>0</v>
      </c>
      <c r="CG15" s="1385">
        <f t="shared" si="185"/>
        <v>0</v>
      </c>
      <c r="CH15" s="1385">
        <f t="shared" si="186"/>
        <v>0</v>
      </c>
      <c r="CI15" s="1375">
        <f t="shared" si="141"/>
        <v>0</v>
      </c>
      <c r="CJ15" s="1385">
        <f>SUMIF('13.建安成本表'!$B$20:$B$32,综合表!CI4,'13.建安成本表'!$N$20:$N$32)</f>
        <v>0</v>
      </c>
      <c r="CK15" s="1375">
        <f t="shared" si="142"/>
        <v>0</v>
      </c>
      <c r="CL15" s="1385">
        <f>SUMIF('13.建安成本表'!$B$20:$B$32,综合表!CK4,'13.建安成本表'!$N$20:$N$32)</f>
        <v>0</v>
      </c>
      <c r="CM15" s="1375">
        <f t="shared" si="143"/>
        <v>0</v>
      </c>
      <c r="CN15" s="1385">
        <f>SUMIF('13.建安成本表'!$B$20:$B$32,综合表!CM4,'13.建安成本表'!$N$20:$N$32)</f>
        <v>0</v>
      </c>
      <c r="CO15" s="1375">
        <f t="shared" si="144"/>
        <v>0</v>
      </c>
      <c r="CP15" s="1385">
        <f>SUMIF('13.建安成本表'!$B$20:$B$32,综合表!CO4,'13.建安成本表'!$N$20:$N$32)</f>
        <v>0</v>
      </c>
      <c r="CQ15" s="1375">
        <f t="shared" si="145"/>
        <v>0</v>
      </c>
      <c r="CR15" s="1385">
        <f>SUMIF('13.建安成本表'!$B$20:$B$32,综合表!CQ4,'13.建安成本表'!$N$20:$N$32)</f>
        <v>0</v>
      </c>
      <c r="CS15" s="1375">
        <f t="shared" si="146"/>
        <v>0</v>
      </c>
      <c r="CT15" s="1385">
        <f>SUMIF('13.建安成本表'!$B$20:$B$32,综合表!CS4,'13.建安成本表'!$N$20:$N$32)</f>
        <v>0</v>
      </c>
      <c r="CU15" s="1375">
        <f t="shared" si="147"/>
        <v>0</v>
      </c>
      <c r="CV15" s="1385">
        <f>SUMIF('13.建安成本表'!$B$20:$B$32,综合表!CU4,'13.建安成本表'!$N$20:$N$32)</f>
        <v>0</v>
      </c>
      <c r="CW15" s="1375">
        <f t="shared" si="148"/>
        <v>0</v>
      </c>
      <c r="CX15" s="1385">
        <f>SUMIF('13.建安成本表'!$B$20:$B$32,综合表!CW4,'13.建安成本表'!$N$20:$N$32)</f>
        <v>0</v>
      </c>
      <c r="CY15" s="1375">
        <f t="shared" si="149"/>
        <v>0</v>
      </c>
      <c r="CZ15" s="1385">
        <f>SUMIF('13.建安成本表'!$B$20:$B$32,综合表!CY4,'13.建安成本表'!$N$20:$N$32)</f>
        <v>0</v>
      </c>
      <c r="DA15" s="1375">
        <f t="shared" si="150"/>
        <v>0</v>
      </c>
      <c r="DB15" s="1385">
        <f>SUMIF('13.建安成本表'!$B$20:$B$32,综合表!DA4,'13.建安成本表'!$N$20:$N$32)</f>
        <v>0</v>
      </c>
      <c r="DC15" s="1375">
        <f t="shared" si="151"/>
        <v>0</v>
      </c>
      <c r="DD15" s="1385">
        <f>SUMIF('13.建安成本表'!$B$20:$B$32,综合表!DC4,'13.建安成本表'!$N$20:$N$32)</f>
        <v>0</v>
      </c>
      <c r="DE15" s="1375">
        <f t="shared" si="152"/>
        <v>0</v>
      </c>
      <c r="DF15" s="1385">
        <f>SUMIF('13.建安成本表'!$B$20:$B$32,综合表!DE4,'13.建安成本表'!$N$20:$N$32)</f>
        <v>0</v>
      </c>
      <c r="DG15" s="1385">
        <f t="shared" si="153"/>
        <v>0</v>
      </c>
      <c r="DH15" s="1385">
        <f t="shared" si="187"/>
        <v>0</v>
      </c>
      <c r="DI15" s="1375">
        <f t="shared" si="154"/>
        <v>0</v>
      </c>
      <c r="DJ15" s="1385">
        <f>SUMIF('13.建安成本表'!$B$20:$B$32,综合表!DI4,'13.建安成本表'!$Q$20:$Q$32)</f>
        <v>0</v>
      </c>
      <c r="DK15" s="1375">
        <f t="shared" si="155"/>
        <v>0</v>
      </c>
      <c r="DL15" s="1385">
        <f>SUMIF('13.建安成本表'!$B$20:$B$32,综合表!DK4,'13.建安成本表'!$Q$20:$Q$32)</f>
        <v>0</v>
      </c>
      <c r="DM15" s="1375">
        <f t="shared" si="156"/>
        <v>0</v>
      </c>
      <c r="DN15" s="1385">
        <f>SUMIF('13.建安成本表'!$B$20:$B$32,综合表!DM4,'13.建安成本表'!$Q$20:$Q$32)</f>
        <v>0</v>
      </c>
      <c r="DO15" s="1375">
        <f t="shared" si="157"/>
        <v>0</v>
      </c>
      <c r="DP15" s="1385">
        <f>SUMIF('13.建安成本表'!$B$20:$B$32,综合表!DO4,'13.建安成本表'!$Q$20:$Q$32)</f>
        <v>0</v>
      </c>
      <c r="DQ15" s="1375">
        <f t="shared" si="158"/>
        <v>0</v>
      </c>
      <c r="DR15" s="1385">
        <f>SUMIF('13.建安成本表'!$B$20:$B$32,综合表!DQ4,'13.建安成本表'!$Q$20:$Q$32)</f>
        <v>0</v>
      </c>
      <c r="DS15" s="1375">
        <f t="shared" si="159"/>
        <v>0</v>
      </c>
      <c r="DT15" s="1385">
        <f>SUMIF('13.建安成本表'!$B$20:$B$32,综合表!DS4,'13.建安成本表'!$Q$20:$Q$32)</f>
        <v>0</v>
      </c>
      <c r="DU15" s="1375">
        <f t="shared" si="160"/>
        <v>0</v>
      </c>
      <c r="DV15" s="1385">
        <f>SUMIF('13.建安成本表'!$B$20:$B$32,综合表!DU4,'13.建安成本表'!$Q$20:$Q$32)</f>
        <v>0</v>
      </c>
      <c r="DW15" s="1375">
        <f t="shared" si="161"/>
        <v>0</v>
      </c>
      <c r="DX15" s="1385">
        <f>SUMIF('13.建安成本表'!$B$20:$B$32,综合表!DW4,'13.建安成本表'!$Q$20:$Q$32)</f>
        <v>0</v>
      </c>
      <c r="DY15" s="1375">
        <f t="shared" si="162"/>
        <v>0</v>
      </c>
      <c r="DZ15" s="1385">
        <f>SUMIF('13.建安成本表'!$B$20:$B$32,综合表!DY4,'13.建安成本表'!$Q$20:$Q$32)</f>
        <v>0</v>
      </c>
      <c r="EA15" s="1375">
        <f t="shared" si="163"/>
        <v>0</v>
      </c>
      <c r="EB15" s="1385">
        <f>SUMIF('13.建安成本表'!$B$20:$B$32,综合表!EA4,'13.建安成本表'!$Q$20:$Q$32)</f>
        <v>0</v>
      </c>
      <c r="EC15" s="1375">
        <f t="shared" si="164"/>
        <v>0</v>
      </c>
      <c r="ED15" s="1385">
        <f>SUMIF('13.建安成本表'!$B$20:$B$32,综合表!EC4,'13.建安成本表'!$Q$20:$Q$32)</f>
        <v>0</v>
      </c>
      <c r="EE15" s="1375">
        <f t="shared" si="165"/>
        <v>0</v>
      </c>
      <c r="EF15" s="1385">
        <f>SUMIF('13.建安成本表'!$B$20:$B$32,综合表!EE4,'13.建安成本表'!$Q$20:$Q$32)</f>
        <v>0</v>
      </c>
      <c r="EG15" s="1385">
        <f t="shared" si="166"/>
        <v>0</v>
      </c>
      <c r="EH15" s="1385">
        <f t="shared" si="188"/>
        <v>0</v>
      </c>
      <c r="EI15" s="1375">
        <f t="shared" si="167"/>
        <v>0</v>
      </c>
      <c r="EJ15" s="1385">
        <f>SUMIF('13.建安成本表'!$B$20:$B$32,综合表!EI4,'13.建安成本表'!$T$20:$T$32)</f>
        <v>0</v>
      </c>
      <c r="EK15" s="1375">
        <f t="shared" si="168"/>
        <v>0</v>
      </c>
      <c r="EL15" s="1385">
        <f>SUMIF('13.建安成本表'!$B$20:$B$32,综合表!EK4,'13.建安成本表'!$T$20:$T$32)</f>
        <v>0</v>
      </c>
      <c r="EM15" s="1375">
        <f t="shared" si="169"/>
        <v>0</v>
      </c>
      <c r="EN15" s="1385">
        <f>SUMIF('13.建安成本表'!$B$20:$B$32,综合表!EM4,'13.建安成本表'!$T$20:$T$32)</f>
        <v>0</v>
      </c>
      <c r="EO15" s="1375">
        <f t="shared" si="170"/>
        <v>0</v>
      </c>
      <c r="EP15" s="1385">
        <f>SUMIF('13.建安成本表'!$B$20:$B$32,综合表!EO4,'13.建安成本表'!$T$20:$T$32)</f>
        <v>0</v>
      </c>
      <c r="EQ15" s="1375">
        <f t="shared" si="171"/>
        <v>0</v>
      </c>
      <c r="ER15" s="1385">
        <f>SUMIF('13.建安成本表'!$B$20:$B$32,综合表!EQ4,'13.建安成本表'!$T$20:$T$32)</f>
        <v>0</v>
      </c>
      <c r="ES15" s="1375">
        <f t="shared" si="172"/>
        <v>0</v>
      </c>
      <c r="ET15" s="1385">
        <f>SUMIF('13.建安成本表'!$B$20:$B$32,综合表!ES4,'13.建安成本表'!$T$20:$T$32)</f>
        <v>0</v>
      </c>
      <c r="EU15" s="1375">
        <f t="shared" si="173"/>
        <v>0</v>
      </c>
      <c r="EV15" s="1385">
        <f>SUMIF('13.建安成本表'!$B$20:$B$32,综合表!EU4,'13.建安成本表'!$T$20:$T$32)</f>
        <v>0</v>
      </c>
      <c r="EW15" s="1375">
        <f t="shared" si="174"/>
        <v>0</v>
      </c>
      <c r="EX15" s="1385">
        <f>SUMIF('13.建安成本表'!$B$20:$B$32,综合表!EW4,'13.建安成本表'!$T$20:$T$32)</f>
        <v>0</v>
      </c>
      <c r="EY15" s="1375">
        <f t="shared" si="175"/>
        <v>0</v>
      </c>
      <c r="EZ15" s="1385">
        <f>SUMIF('13.建安成本表'!$B$20:$B$32,综合表!EY4,'13.建安成本表'!$T$20:$T$32)</f>
        <v>0</v>
      </c>
      <c r="FA15" s="1375">
        <f t="shared" si="176"/>
        <v>0</v>
      </c>
      <c r="FB15" s="1385">
        <f>SUMIF('13.建安成本表'!$B$20:$B$32,综合表!FA4,'13.建安成本表'!$T$20:$T$32)</f>
        <v>0</v>
      </c>
      <c r="FC15" s="1375">
        <f t="shared" si="177"/>
        <v>0</v>
      </c>
      <c r="FD15" s="1385">
        <f>SUMIF('13.建安成本表'!$B$20:$B$32,综合表!FC4,'13.建安成本表'!$T$20:$T$32)</f>
        <v>0</v>
      </c>
      <c r="FE15" s="1375">
        <f t="shared" si="178"/>
        <v>0</v>
      </c>
      <c r="FF15" s="1385">
        <f>SUMIF('13.建安成本表'!$B$20:$B$32,综合表!FE4,'13.建安成本表'!$T$20:$T$32)</f>
        <v>0</v>
      </c>
    </row>
    <row r="16" spans="1:162" s="1359" customFormat="1" ht="15.75" customHeight="1">
      <c r="A16" s="1788"/>
      <c r="B16" s="1376" t="str">
        <f>CONCATENATE("4.2主体建筑工程费","（",ROUND(IFERROR(D16/($D$14)%,0),2),"%）")</f>
        <v>4.2主体建筑工程费（40.11%）</v>
      </c>
      <c r="C16" s="1383">
        <f t="shared" si="179"/>
        <v>2094.0052226314028</v>
      </c>
      <c r="D16" s="1378">
        <f t="shared" si="103"/>
        <v>12509.5872</v>
      </c>
      <c r="E16" s="1389"/>
      <c r="F16" s="1387"/>
      <c r="G16" s="1375">
        <f t="shared" si="180"/>
        <v>1781.2985604285236</v>
      </c>
      <c r="H16" s="1385">
        <f t="shared" si="181"/>
        <v>12509.5872</v>
      </c>
      <c r="I16" s="1375">
        <f t="shared" si="104"/>
        <v>1638</v>
      </c>
      <c r="J16" s="1385">
        <f>SUMIF('13.建安成本表'!$B$34:$B$46,综合表!I4,'13.建安成本表'!$E$34:$E$46)</f>
        <v>9189.18</v>
      </c>
      <c r="K16" s="1375">
        <f t="shared" si="105"/>
        <v>1976</v>
      </c>
      <c r="L16" s="1385">
        <f>SUMIF('13.建安成本表'!$B$34:$B$46,综合表!K4,'13.建安成本表'!$E$34:$E$46)</f>
        <v>719.26400000000001</v>
      </c>
      <c r="M16" s="1375">
        <f t="shared" si="106"/>
        <v>0</v>
      </c>
      <c r="N16" s="1385">
        <f>SUMIF('13.建安成本表'!$B$34:$B$46,综合表!M4,'13.建安成本表'!$E$34:$E$46)</f>
        <v>733.03359999999998</v>
      </c>
      <c r="O16" s="1375">
        <f t="shared" si="107"/>
        <v>0</v>
      </c>
      <c r="P16" s="1385">
        <f>SUMIF('13.建安成本表'!$B$34:$B$46,综合表!O4,'13.建安成本表'!$E$34:$E$46)</f>
        <v>0</v>
      </c>
      <c r="Q16" s="1375">
        <f t="shared" si="108"/>
        <v>0</v>
      </c>
      <c r="R16" s="1385">
        <f>SUMIF('13.建安成本表'!$B$34:$B$46,综合表!Q4,'13.建安成本表'!$E$34:$E$46)</f>
        <v>0</v>
      </c>
      <c r="S16" s="1375">
        <f t="shared" si="109"/>
        <v>0</v>
      </c>
      <c r="T16" s="1385">
        <f>SUMIF('13.建安成本表'!$B$34:$B$46,综合表!S4,'13.建安成本表'!$E$34:$E$46)</f>
        <v>0</v>
      </c>
      <c r="U16" s="1375">
        <f t="shared" si="110"/>
        <v>0</v>
      </c>
      <c r="V16" s="1385">
        <f>SUMIF('13.建安成本表'!$B$34:$B$46,综合表!U4,'13.建安成本表'!$E$34:$E$46)</f>
        <v>0</v>
      </c>
      <c r="W16" s="1375">
        <f t="shared" si="111"/>
        <v>0</v>
      </c>
      <c r="X16" s="1385">
        <f>SUMIF('13.建安成本表'!$B$34:$B$46,综合表!W4,'13.建安成本表'!$E$34:$E$46)</f>
        <v>0</v>
      </c>
      <c r="Y16" s="1375">
        <f t="shared" si="112"/>
        <v>0</v>
      </c>
      <c r="Z16" s="1385">
        <f>SUMIF('13.建安成本表'!$B$34:$B$46,综合表!Y4,'13.建安成本表'!$E$34:$E$46)</f>
        <v>0</v>
      </c>
      <c r="AA16" s="1375">
        <f t="shared" si="113"/>
        <v>0</v>
      </c>
      <c r="AB16" s="1385">
        <f>SUMIF('13.建安成本表'!$B$34:$B$46,综合表!AA4,'13.建安成本表'!$E$34:$E$46)</f>
        <v>0</v>
      </c>
      <c r="AC16" s="1375">
        <f t="shared" si="114"/>
        <v>44268</v>
      </c>
      <c r="AD16" s="1385">
        <f>SUMIF('13.建安成本表'!$B$34:$B$46,综合表!AC4,'13.建安成本表'!$E$34:$E$46)</f>
        <v>1868.1096</v>
      </c>
      <c r="AE16" s="1375">
        <f t="shared" si="115"/>
        <v>0</v>
      </c>
      <c r="AF16" s="1385">
        <f>SUMIF('13.建安成本表'!$B$34:$B$46,综合表!AE4,'13.建安成本表'!$E$34:$E$46)</f>
        <v>0</v>
      </c>
      <c r="AG16" s="1375">
        <f t="shared" si="116"/>
        <v>0</v>
      </c>
      <c r="AH16" s="1385">
        <f t="shared" si="182"/>
        <v>0</v>
      </c>
      <c r="AI16" s="1375">
        <f t="shared" si="117"/>
        <v>0</v>
      </c>
      <c r="AJ16" s="1378">
        <f>SUMIF('13.建安成本表'!$B$34:$B$46,综合表!AI4,'13.建安成本表'!$H$34:$H$46)</f>
        <v>0</v>
      </c>
      <c r="AK16" s="1375">
        <f t="shared" si="118"/>
        <v>0</v>
      </c>
      <c r="AL16" s="1378">
        <f>SUMIF('13.建安成本表'!$B$34:$B$46,综合表!AK4,'13.建安成本表'!$H$34:$H$46)</f>
        <v>0</v>
      </c>
      <c r="AM16" s="1375">
        <f t="shared" si="119"/>
        <v>0</v>
      </c>
      <c r="AN16" s="1378">
        <f>SUMIF('13.建安成本表'!$B$34:$B$46,综合表!AM4,'13.建安成本表'!$H$34:$H$46)</f>
        <v>0</v>
      </c>
      <c r="AO16" s="1375">
        <f t="shared" si="120"/>
        <v>0</v>
      </c>
      <c r="AP16" s="1378">
        <f>SUMIF('13.建安成本表'!$B$34:$B$46,综合表!AO4,'13.建安成本表'!$H$34:$H$46)</f>
        <v>0</v>
      </c>
      <c r="AQ16" s="1375">
        <f t="shared" si="121"/>
        <v>0</v>
      </c>
      <c r="AR16" s="1378">
        <f>SUMIF('13.建安成本表'!$B$34:$B$46,综合表!AQ4,'13.建安成本表'!$H$34:$H$46)</f>
        <v>0</v>
      </c>
      <c r="AS16" s="1375">
        <f t="shared" si="122"/>
        <v>0</v>
      </c>
      <c r="AT16" s="1378">
        <f>SUMIF('13.建安成本表'!$B$34:$B$46,综合表!AS4,'13.建安成本表'!$H$34:$H$46)</f>
        <v>0</v>
      </c>
      <c r="AU16" s="1375">
        <f t="shared" si="123"/>
        <v>0</v>
      </c>
      <c r="AV16" s="1378">
        <f>SUMIF('13.建安成本表'!$B$34:$B$46,综合表!AU4,'13.建安成本表'!$H$34:$H$46)</f>
        <v>0</v>
      </c>
      <c r="AW16" s="1375">
        <f t="shared" si="124"/>
        <v>0</v>
      </c>
      <c r="AX16" s="1378">
        <f>SUMIF('13.建安成本表'!$B$34:$B$46,综合表!AW4,'13.建安成本表'!$H$34:$H$46)</f>
        <v>0</v>
      </c>
      <c r="AY16" s="1375">
        <f t="shared" si="125"/>
        <v>0</v>
      </c>
      <c r="AZ16" s="1378">
        <f>SUMIF('13.建安成本表'!$B$34:$B$46,综合表!AY4,'13.建安成本表'!$H$34:$H$46)</f>
        <v>0</v>
      </c>
      <c r="BA16" s="1375">
        <f t="shared" si="126"/>
        <v>0</v>
      </c>
      <c r="BB16" s="1378">
        <f>SUMIF('13.建安成本表'!$B$34:$B$46,综合表!BA4,'13.建安成本表'!$H$34:$H$46)</f>
        <v>0</v>
      </c>
      <c r="BC16" s="1375">
        <f t="shared" si="127"/>
        <v>0</v>
      </c>
      <c r="BD16" s="1378">
        <f>SUMIF('13.建安成本表'!$B$34:$B$46,综合表!BC4,'13.建安成本表'!$H$34:$H$46)</f>
        <v>0</v>
      </c>
      <c r="BE16" s="1375">
        <f t="shared" si="128"/>
        <v>0</v>
      </c>
      <c r="BF16" s="1378">
        <f>SUMIF('13.建安成本表'!$B$34:$B$46,综合表!BE4,'13.建安成本表'!$H$34:$H$46)</f>
        <v>0</v>
      </c>
      <c r="BG16" s="1385">
        <f t="shared" si="183"/>
        <v>0</v>
      </c>
      <c r="BH16" s="1385">
        <f t="shared" si="184"/>
        <v>0</v>
      </c>
      <c r="BI16" s="1375">
        <f t="shared" si="129"/>
        <v>0</v>
      </c>
      <c r="BJ16" s="1378">
        <f>SUMIF('13.建安成本表'!$B$34:$B$46,综合表!BI4,'13.建安成本表'!$K$34:$K$46)</f>
        <v>0</v>
      </c>
      <c r="BK16" s="1375">
        <f t="shared" si="130"/>
        <v>0</v>
      </c>
      <c r="BL16" s="1378">
        <f>SUMIF('13.建安成本表'!$B$34:$B$46,综合表!BK4,'13.建安成本表'!$K$34:$K$46)</f>
        <v>0</v>
      </c>
      <c r="BM16" s="1375">
        <f t="shared" si="131"/>
        <v>0</v>
      </c>
      <c r="BN16" s="1378">
        <f>SUMIF('13.建安成本表'!$B$34:$B$46,综合表!BM4,'13.建安成本表'!$K$34:$K$46)</f>
        <v>0</v>
      </c>
      <c r="BO16" s="1375">
        <f t="shared" si="132"/>
        <v>0</v>
      </c>
      <c r="BP16" s="1378">
        <f>SUMIF('13.建安成本表'!$B$34:$B$46,综合表!BO4,'13.建安成本表'!$K$34:$K$46)</f>
        <v>0</v>
      </c>
      <c r="BQ16" s="1375">
        <f t="shared" si="133"/>
        <v>0</v>
      </c>
      <c r="BR16" s="1378">
        <f>SUMIF('13.建安成本表'!$B$34:$B$46,综合表!BQ4,'13.建安成本表'!$K$34:$K$46)</f>
        <v>0</v>
      </c>
      <c r="BS16" s="1375">
        <f t="shared" si="134"/>
        <v>0</v>
      </c>
      <c r="BT16" s="1378">
        <f>SUMIF('13.建安成本表'!$B$34:$B$46,综合表!BS4,'13.建安成本表'!$K$34:$K$46)</f>
        <v>0</v>
      </c>
      <c r="BU16" s="1375">
        <f t="shared" si="135"/>
        <v>0</v>
      </c>
      <c r="BV16" s="1378">
        <f>SUMIF('13.建安成本表'!$B$34:$B$46,综合表!BU4,'13.建安成本表'!$K$34:$K$46)</f>
        <v>0</v>
      </c>
      <c r="BW16" s="1375">
        <f t="shared" si="136"/>
        <v>0</v>
      </c>
      <c r="BX16" s="1378">
        <f>SUMIF('13.建安成本表'!$B$34:$B$46,综合表!BW4,'13.建安成本表'!$K$34:$K$46)</f>
        <v>0</v>
      </c>
      <c r="BY16" s="1375">
        <f t="shared" si="137"/>
        <v>0</v>
      </c>
      <c r="BZ16" s="1378">
        <f>SUMIF('13.建安成本表'!$B$34:$B$46,综合表!BY4,'13.建安成本表'!$K$34:$K$46)</f>
        <v>0</v>
      </c>
      <c r="CA16" s="1375">
        <f t="shared" si="138"/>
        <v>0</v>
      </c>
      <c r="CB16" s="1378">
        <f>SUMIF('13.建安成本表'!$B$34:$B$46,综合表!CA4,'13.建安成本表'!$K$34:$K$46)</f>
        <v>0</v>
      </c>
      <c r="CC16" s="1375">
        <f t="shared" si="139"/>
        <v>0</v>
      </c>
      <c r="CD16" s="1378">
        <f>SUMIF('13.建安成本表'!$B$34:$B$46,综合表!CC4,'13.建安成本表'!$K$34:$K$46)</f>
        <v>0</v>
      </c>
      <c r="CE16" s="1375">
        <f t="shared" si="140"/>
        <v>0</v>
      </c>
      <c r="CF16" s="1378">
        <f>SUMIF('13.建安成本表'!$B$34:$B$46,综合表!CE4,'13.建安成本表'!$K$34:$K$46)</f>
        <v>0</v>
      </c>
      <c r="CG16" s="1385">
        <f t="shared" si="185"/>
        <v>0</v>
      </c>
      <c r="CH16" s="1385">
        <f t="shared" si="186"/>
        <v>0</v>
      </c>
      <c r="CI16" s="1375">
        <f t="shared" si="141"/>
        <v>0</v>
      </c>
      <c r="CJ16" s="1378">
        <f>SUMIF('13.建安成本表'!$B$34:$B$46,综合表!CI4,'13.建安成本表'!$N$34:$N$46)</f>
        <v>0</v>
      </c>
      <c r="CK16" s="1375">
        <f t="shared" si="142"/>
        <v>0</v>
      </c>
      <c r="CL16" s="1378">
        <f>SUMIF('13.建安成本表'!$B$34:$B$46,综合表!CK4,'13.建安成本表'!$N$34:$N$46)</f>
        <v>0</v>
      </c>
      <c r="CM16" s="1375">
        <f t="shared" si="143"/>
        <v>0</v>
      </c>
      <c r="CN16" s="1378">
        <f>SUMIF('13.建安成本表'!$B$34:$B$46,综合表!CM4,'13.建安成本表'!$N$34:$N$46)</f>
        <v>0</v>
      </c>
      <c r="CO16" s="1375">
        <f t="shared" si="144"/>
        <v>0</v>
      </c>
      <c r="CP16" s="1378">
        <f>SUMIF('13.建安成本表'!$B$34:$B$46,综合表!CO4,'13.建安成本表'!$N$34:$N$46)</f>
        <v>0</v>
      </c>
      <c r="CQ16" s="1375">
        <f t="shared" si="145"/>
        <v>0</v>
      </c>
      <c r="CR16" s="1378">
        <f>SUMIF('13.建安成本表'!$B$34:$B$46,综合表!CQ4,'13.建安成本表'!$N$34:$N$46)</f>
        <v>0</v>
      </c>
      <c r="CS16" s="1375">
        <f t="shared" si="146"/>
        <v>0</v>
      </c>
      <c r="CT16" s="1378">
        <f>SUMIF('13.建安成本表'!$B$34:$B$46,综合表!CS4,'13.建安成本表'!$N$34:$N$46)</f>
        <v>0</v>
      </c>
      <c r="CU16" s="1375">
        <f t="shared" si="147"/>
        <v>0</v>
      </c>
      <c r="CV16" s="1378">
        <f>SUMIF('13.建安成本表'!$B$34:$B$46,综合表!CU4,'13.建安成本表'!$N$34:$N$46)</f>
        <v>0</v>
      </c>
      <c r="CW16" s="1375">
        <f t="shared" si="148"/>
        <v>0</v>
      </c>
      <c r="CX16" s="1378">
        <f>SUMIF('13.建安成本表'!$B$34:$B$46,综合表!CW4,'13.建安成本表'!$N$34:$N$46)</f>
        <v>0</v>
      </c>
      <c r="CY16" s="1375">
        <f t="shared" si="149"/>
        <v>0</v>
      </c>
      <c r="CZ16" s="1378">
        <f>SUMIF('13.建安成本表'!$B$34:$B$46,综合表!CY4,'13.建安成本表'!$N$34:$N$46)</f>
        <v>0</v>
      </c>
      <c r="DA16" s="1375">
        <f t="shared" si="150"/>
        <v>0</v>
      </c>
      <c r="DB16" s="1378">
        <f>SUMIF('13.建安成本表'!$B$34:$B$46,综合表!DA4,'13.建安成本表'!$N$34:$N$46)</f>
        <v>0</v>
      </c>
      <c r="DC16" s="1375">
        <f t="shared" si="151"/>
        <v>0</v>
      </c>
      <c r="DD16" s="1378">
        <f>SUMIF('13.建安成本表'!$B$34:$B$46,综合表!DC4,'13.建安成本表'!$N$34:$N$46)</f>
        <v>0</v>
      </c>
      <c r="DE16" s="1375">
        <f t="shared" si="152"/>
        <v>0</v>
      </c>
      <c r="DF16" s="1378">
        <f>SUMIF('13.建安成本表'!$B$34:$B$46,综合表!DE4,'13.建安成本表'!$N$34:$N$46)</f>
        <v>0</v>
      </c>
      <c r="DG16" s="1385">
        <f t="shared" si="153"/>
        <v>0</v>
      </c>
      <c r="DH16" s="1385">
        <f t="shared" si="187"/>
        <v>0</v>
      </c>
      <c r="DI16" s="1375">
        <f t="shared" si="154"/>
        <v>0</v>
      </c>
      <c r="DJ16" s="1378">
        <f>SUMIF('13.建安成本表'!$B$34:$B$46,综合表!DI4,'13.建安成本表'!$Q$34:$Q$46)</f>
        <v>0</v>
      </c>
      <c r="DK16" s="1375">
        <f t="shared" si="155"/>
        <v>0</v>
      </c>
      <c r="DL16" s="1378">
        <f>SUMIF('13.建安成本表'!$B$34:$B$46,综合表!DK4,'13.建安成本表'!$Q$34:$Q$46)</f>
        <v>0</v>
      </c>
      <c r="DM16" s="1375">
        <f t="shared" si="156"/>
        <v>0</v>
      </c>
      <c r="DN16" s="1378">
        <f>SUMIF('13.建安成本表'!$B$34:$B$46,综合表!DM4,'13.建安成本表'!$Q$34:$Q$46)</f>
        <v>0</v>
      </c>
      <c r="DO16" s="1375">
        <f t="shared" si="157"/>
        <v>0</v>
      </c>
      <c r="DP16" s="1378">
        <f>SUMIF('13.建安成本表'!$B$34:$B$46,综合表!DO4,'13.建安成本表'!$Q$34:$Q$46)</f>
        <v>0</v>
      </c>
      <c r="DQ16" s="1375">
        <f t="shared" si="158"/>
        <v>0</v>
      </c>
      <c r="DR16" s="1378">
        <f>SUMIF('13.建安成本表'!$B$34:$B$46,综合表!DQ4,'13.建安成本表'!$Q$34:$Q$46)</f>
        <v>0</v>
      </c>
      <c r="DS16" s="1375">
        <f t="shared" si="159"/>
        <v>0</v>
      </c>
      <c r="DT16" s="1378">
        <f>SUMIF('13.建安成本表'!$B$34:$B$46,综合表!DS4,'13.建安成本表'!$Q$34:$Q$46)</f>
        <v>0</v>
      </c>
      <c r="DU16" s="1375">
        <f t="shared" si="160"/>
        <v>0</v>
      </c>
      <c r="DV16" s="1378">
        <f>SUMIF('13.建安成本表'!$B$34:$B$46,综合表!DU4,'13.建安成本表'!$Q$34:$Q$46)</f>
        <v>0</v>
      </c>
      <c r="DW16" s="1375">
        <f t="shared" si="161"/>
        <v>0</v>
      </c>
      <c r="DX16" s="1378">
        <f>SUMIF('13.建安成本表'!$B$34:$B$46,综合表!DW4,'13.建安成本表'!$Q$34:$Q$46)</f>
        <v>0</v>
      </c>
      <c r="DY16" s="1375">
        <f t="shared" si="162"/>
        <v>0</v>
      </c>
      <c r="DZ16" s="1378">
        <f>SUMIF('13.建安成本表'!$B$34:$B$46,综合表!DY4,'13.建安成本表'!$Q$34:$Q$46)</f>
        <v>0</v>
      </c>
      <c r="EA16" s="1375">
        <f t="shared" si="163"/>
        <v>0</v>
      </c>
      <c r="EB16" s="1378">
        <f>SUMIF('13.建安成本表'!$B$34:$B$46,综合表!EA4,'13.建安成本表'!$Q$34:$Q$46)</f>
        <v>0</v>
      </c>
      <c r="EC16" s="1375">
        <f t="shared" si="164"/>
        <v>0</v>
      </c>
      <c r="ED16" s="1378">
        <f>SUMIF('13.建安成本表'!$B$34:$B$46,综合表!EC4,'13.建安成本表'!$Q$34:$Q$46)</f>
        <v>0</v>
      </c>
      <c r="EE16" s="1375">
        <f t="shared" si="165"/>
        <v>0</v>
      </c>
      <c r="EF16" s="1378">
        <f>SUMIF('13.建安成本表'!$B$34:$B$46,综合表!EE4,'13.建安成本表'!$Q$34:$Q$46)</f>
        <v>0</v>
      </c>
      <c r="EG16" s="1385">
        <f t="shared" si="166"/>
        <v>0</v>
      </c>
      <c r="EH16" s="1385">
        <f t="shared" si="188"/>
        <v>0</v>
      </c>
      <c r="EI16" s="1375">
        <f t="shared" si="167"/>
        <v>0</v>
      </c>
      <c r="EJ16" s="1378">
        <f>SUMIF('13.建安成本表'!$B$34:$B$46,综合表!EI4,'13.建安成本表'!$T$34:$T$46)</f>
        <v>0</v>
      </c>
      <c r="EK16" s="1375">
        <f t="shared" si="168"/>
        <v>0</v>
      </c>
      <c r="EL16" s="1378">
        <f>SUMIF('13.建安成本表'!$B$34:$B$46,综合表!EK4,'13.建安成本表'!$T$34:$T$46)</f>
        <v>0</v>
      </c>
      <c r="EM16" s="1375">
        <f t="shared" si="169"/>
        <v>0</v>
      </c>
      <c r="EN16" s="1378">
        <f>SUMIF('13.建安成本表'!$B$34:$B$46,综合表!EM4,'13.建安成本表'!$T$34:$T$46)</f>
        <v>0</v>
      </c>
      <c r="EO16" s="1375">
        <f t="shared" si="170"/>
        <v>0</v>
      </c>
      <c r="EP16" s="1378">
        <f>SUMIF('13.建安成本表'!$B$34:$B$46,综合表!EO4,'13.建安成本表'!$T$34:$T$46)</f>
        <v>0</v>
      </c>
      <c r="EQ16" s="1375">
        <f t="shared" si="171"/>
        <v>0</v>
      </c>
      <c r="ER16" s="1378">
        <f>SUMIF('13.建安成本表'!$B$34:$B$46,综合表!EQ4,'13.建安成本表'!$T$34:$T$46)</f>
        <v>0</v>
      </c>
      <c r="ES16" s="1375">
        <f t="shared" si="172"/>
        <v>0</v>
      </c>
      <c r="ET16" s="1378">
        <f>SUMIF('13.建安成本表'!$B$34:$B$46,综合表!ES4,'13.建安成本表'!$T$34:$T$46)</f>
        <v>0</v>
      </c>
      <c r="EU16" s="1375">
        <f t="shared" si="173"/>
        <v>0</v>
      </c>
      <c r="EV16" s="1378">
        <f>SUMIF('13.建安成本表'!$B$34:$B$46,综合表!EU4,'13.建安成本表'!$T$34:$T$46)</f>
        <v>0</v>
      </c>
      <c r="EW16" s="1375">
        <f t="shared" si="174"/>
        <v>0</v>
      </c>
      <c r="EX16" s="1378">
        <f>SUMIF('13.建安成本表'!$B$34:$B$46,综合表!EW4,'13.建安成本表'!$T$34:$T$46)</f>
        <v>0</v>
      </c>
      <c r="EY16" s="1375">
        <f t="shared" si="175"/>
        <v>0</v>
      </c>
      <c r="EZ16" s="1378">
        <f>SUMIF('13.建安成本表'!$B$34:$B$46,综合表!EY4,'13.建安成本表'!$T$34:$T$46)</f>
        <v>0</v>
      </c>
      <c r="FA16" s="1375">
        <f t="shared" si="176"/>
        <v>0</v>
      </c>
      <c r="FB16" s="1378">
        <f>SUMIF('13.建安成本表'!$B$34:$B$46,综合表!FA4,'13.建安成本表'!$T$34:$T$46)</f>
        <v>0</v>
      </c>
      <c r="FC16" s="1375">
        <f t="shared" si="177"/>
        <v>0</v>
      </c>
      <c r="FD16" s="1378">
        <f>SUMIF('13.建安成本表'!$B$34:$B$46,综合表!FC4,'13.建安成本表'!$T$34:$T$46)</f>
        <v>0</v>
      </c>
      <c r="FE16" s="1375">
        <f t="shared" si="178"/>
        <v>0</v>
      </c>
      <c r="FF16" s="1378">
        <f>SUMIF('13.建安成本表'!$B$34:$B$46,综合表!FE4,'13.建安成本表'!$T$34:$T$46)</f>
        <v>0</v>
      </c>
    </row>
    <row r="17" spans="1:162" s="1359" customFormat="1" ht="15.75" customHeight="1">
      <c r="A17" s="1788"/>
      <c r="B17" s="1376" t="str">
        <f>CONCATENATE("4.3主体精装修工程费","（",ROUND(IFERROR(D17/($D$14)%,0),2),"%）")</f>
        <v>4.3主体精装修工程费（24.34%）</v>
      </c>
      <c r="C17" s="1383">
        <f t="shared" si="179"/>
        <v>1270.8680950786743</v>
      </c>
      <c r="D17" s="1378">
        <f t="shared" si="103"/>
        <v>7592.1660000000002</v>
      </c>
      <c r="E17" s="1389"/>
      <c r="F17" s="1387"/>
      <c r="G17" s="1375">
        <f t="shared" si="180"/>
        <v>1270.8680950786743</v>
      </c>
      <c r="H17" s="1385">
        <f t="shared" si="181"/>
        <v>7592.1660000000002</v>
      </c>
      <c r="I17" s="1375">
        <f t="shared" si="104"/>
        <v>1291</v>
      </c>
      <c r="J17" s="1385">
        <f>SUMIF('13.建安成本表'!$B$48:$B$60,综合表!I4,'13.建安成本表'!$E$48:$E$60)</f>
        <v>7242.51</v>
      </c>
      <c r="K17" s="1375">
        <f t="shared" si="105"/>
        <v>608</v>
      </c>
      <c r="L17" s="1385">
        <f>SUMIF('13.建安成本表'!$B$48:$B$60,综合表!K4,'13.建安成本表'!$E$48:$E$60)</f>
        <v>221.31200000000001</v>
      </c>
      <c r="M17" s="1375">
        <f t="shared" si="106"/>
        <v>0</v>
      </c>
      <c r="N17" s="1385">
        <f>SUMIF('13.建安成本表'!$B$48:$B$60,综合表!M4,'13.建安成本表'!$E$48:$E$60)</f>
        <v>128.34399999999999</v>
      </c>
      <c r="O17" s="1375">
        <f t="shared" si="107"/>
        <v>0</v>
      </c>
      <c r="P17" s="1385">
        <f>SUMIF('13.建安成本表'!$B$48:$B$60,综合表!O4,'13.建安成本表'!$E$48:$E$60)</f>
        <v>0</v>
      </c>
      <c r="Q17" s="1375">
        <f t="shared" si="108"/>
        <v>0</v>
      </c>
      <c r="R17" s="1385">
        <f>SUMIF('13.建安成本表'!$B$48:$B$60,综合表!Q4,'13.建安成本表'!$E$48:$E$60)</f>
        <v>0</v>
      </c>
      <c r="S17" s="1375">
        <f t="shared" si="109"/>
        <v>0</v>
      </c>
      <c r="T17" s="1385">
        <f>SUMIF('13.建安成本表'!$B$48:$B$60,综合表!S4,'13.建安成本表'!$E$48:$E$60)</f>
        <v>0</v>
      </c>
      <c r="U17" s="1375">
        <f t="shared" si="110"/>
        <v>0</v>
      </c>
      <c r="V17" s="1385">
        <f>SUMIF('13.建安成本表'!$B$48:$B$60,综合表!U4,'13.建安成本表'!$E$48:$E$60)</f>
        <v>0</v>
      </c>
      <c r="W17" s="1375">
        <f t="shared" si="111"/>
        <v>0</v>
      </c>
      <c r="X17" s="1385">
        <f>SUMIF('13.建安成本表'!$B$48:$B$60,综合表!W4,'13.建安成本表'!$E$48:$E$60)</f>
        <v>0</v>
      </c>
      <c r="Y17" s="1375">
        <f t="shared" si="112"/>
        <v>0</v>
      </c>
      <c r="Z17" s="1385">
        <f>SUMIF('13.建安成本表'!$B$48:$B$60,综合表!Y4,'13.建安成本表'!$E$48:$E$60)</f>
        <v>0</v>
      </c>
      <c r="AA17" s="1375">
        <f t="shared" si="113"/>
        <v>0</v>
      </c>
      <c r="AB17" s="1385">
        <f>SUMIF('13.建安成本表'!$B$48:$B$60,综合表!AA4,'13.建安成本表'!$E$48:$E$60)</f>
        <v>0</v>
      </c>
      <c r="AC17" s="1375">
        <f t="shared" si="114"/>
        <v>0</v>
      </c>
      <c r="AD17" s="1385">
        <f>SUMIF('13.建安成本表'!$B$48:$B$60,综合表!AC4,'13.建安成本表'!$E$48:$E$60)</f>
        <v>0</v>
      </c>
      <c r="AE17" s="1375">
        <f t="shared" si="115"/>
        <v>0</v>
      </c>
      <c r="AF17" s="1385">
        <f>SUMIF('13.建安成本表'!$B$48:$B$60,综合表!AE4,'13.建安成本表'!$E$48:$E$60)</f>
        <v>0</v>
      </c>
      <c r="AG17" s="1375">
        <f t="shared" si="116"/>
        <v>0</v>
      </c>
      <c r="AH17" s="1385">
        <f t="shared" si="182"/>
        <v>0</v>
      </c>
      <c r="AI17" s="1375">
        <f t="shared" si="117"/>
        <v>0</v>
      </c>
      <c r="AJ17" s="1378">
        <f>SUMIF('13.建安成本表'!$B$48:$B$60,综合表!AI4,'13.建安成本表'!$H$48:$H$60)</f>
        <v>0</v>
      </c>
      <c r="AK17" s="1375">
        <f t="shared" si="118"/>
        <v>0</v>
      </c>
      <c r="AL17" s="1378">
        <f>SUMIF('13.建安成本表'!$B$48:$B$60,综合表!AK4,'13.建安成本表'!$H$48:$H$60)</f>
        <v>0</v>
      </c>
      <c r="AM17" s="1375">
        <f t="shared" si="119"/>
        <v>0</v>
      </c>
      <c r="AN17" s="1378">
        <f>SUMIF('13.建安成本表'!$B$48:$B$60,综合表!AM4,'13.建安成本表'!$H$48:$H$60)</f>
        <v>0</v>
      </c>
      <c r="AO17" s="1375">
        <f t="shared" si="120"/>
        <v>0</v>
      </c>
      <c r="AP17" s="1378">
        <f>SUMIF('13.建安成本表'!$B$48:$B$60,综合表!AO4,'13.建安成本表'!$H$48:$H$60)</f>
        <v>0</v>
      </c>
      <c r="AQ17" s="1375">
        <f t="shared" si="121"/>
        <v>0</v>
      </c>
      <c r="AR17" s="1378">
        <f>SUMIF('13.建安成本表'!$B$48:$B$60,综合表!AQ4,'13.建安成本表'!$H$48:$H$60)</f>
        <v>0</v>
      </c>
      <c r="AS17" s="1375">
        <f t="shared" si="122"/>
        <v>0</v>
      </c>
      <c r="AT17" s="1378">
        <f>SUMIF('13.建安成本表'!$B$48:$B$60,综合表!AS4,'13.建安成本表'!$H$48:$H$60)</f>
        <v>0</v>
      </c>
      <c r="AU17" s="1375">
        <f t="shared" si="123"/>
        <v>0</v>
      </c>
      <c r="AV17" s="1378">
        <f>SUMIF('13.建安成本表'!$B$48:$B$60,综合表!AU4,'13.建安成本表'!$H$48:$H$60)</f>
        <v>0</v>
      </c>
      <c r="AW17" s="1375">
        <f t="shared" si="124"/>
        <v>0</v>
      </c>
      <c r="AX17" s="1378">
        <f>SUMIF('13.建安成本表'!$B$48:$B$60,综合表!AW4,'13.建安成本表'!$H$48:$H$60)</f>
        <v>0</v>
      </c>
      <c r="AY17" s="1375">
        <f t="shared" si="125"/>
        <v>0</v>
      </c>
      <c r="AZ17" s="1378">
        <f>SUMIF('13.建安成本表'!$B$48:$B$60,综合表!AY4,'13.建安成本表'!$H$48:$H$60)</f>
        <v>0</v>
      </c>
      <c r="BA17" s="1375">
        <f t="shared" si="126"/>
        <v>0</v>
      </c>
      <c r="BB17" s="1378">
        <f>SUMIF('13.建安成本表'!$B$48:$B$60,综合表!BA4,'13.建安成本表'!$H$48:$H$60)</f>
        <v>0</v>
      </c>
      <c r="BC17" s="1375">
        <f t="shared" si="127"/>
        <v>0</v>
      </c>
      <c r="BD17" s="1378">
        <f>SUMIF('13.建安成本表'!$B$48:$B$60,综合表!BC4,'13.建安成本表'!$H$48:$H$60)</f>
        <v>0</v>
      </c>
      <c r="BE17" s="1375">
        <f t="shared" si="128"/>
        <v>0</v>
      </c>
      <c r="BF17" s="1378">
        <f>SUMIF('13.建安成本表'!$B$48:$B$60,综合表!BE4,'13.建安成本表'!$H$48:$H$60)</f>
        <v>0</v>
      </c>
      <c r="BG17" s="1385">
        <f t="shared" si="183"/>
        <v>0</v>
      </c>
      <c r="BH17" s="1385">
        <f t="shared" si="184"/>
        <v>0</v>
      </c>
      <c r="BI17" s="1375">
        <f t="shared" si="129"/>
        <v>0</v>
      </c>
      <c r="BJ17" s="1378">
        <f>SUMIF('13.建安成本表'!$B$48:$B$60,综合表!BI4,'13.建安成本表'!$K$48:$K$60)</f>
        <v>0</v>
      </c>
      <c r="BK17" s="1375">
        <f t="shared" si="130"/>
        <v>0</v>
      </c>
      <c r="BL17" s="1378">
        <f>SUMIF('13.建安成本表'!$B$48:$B$60,综合表!BK4,'13.建安成本表'!$K$48:$K$60)</f>
        <v>0</v>
      </c>
      <c r="BM17" s="1375">
        <f t="shared" si="131"/>
        <v>0</v>
      </c>
      <c r="BN17" s="1378">
        <f>SUMIF('13.建安成本表'!$B$48:$B$60,综合表!BM4,'13.建安成本表'!$K$48:$K$60)</f>
        <v>0</v>
      </c>
      <c r="BO17" s="1375">
        <f t="shared" si="132"/>
        <v>0</v>
      </c>
      <c r="BP17" s="1378">
        <f>SUMIF('13.建安成本表'!$B$48:$B$60,综合表!BO4,'13.建安成本表'!$K$48:$K$60)</f>
        <v>0</v>
      </c>
      <c r="BQ17" s="1375">
        <f t="shared" si="133"/>
        <v>0</v>
      </c>
      <c r="BR17" s="1378">
        <f>SUMIF('13.建安成本表'!$B$48:$B$60,综合表!BQ4,'13.建安成本表'!$K$48:$K$60)</f>
        <v>0</v>
      </c>
      <c r="BS17" s="1375">
        <f t="shared" si="134"/>
        <v>0</v>
      </c>
      <c r="BT17" s="1378">
        <f>SUMIF('13.建安成本表'!$B$48:$B$60,综合表!BS4,'13.建安成本表'!$K$48:$K$60)</f>
        <v>0</v>
      </c>
      <c r="BU17" s="1375">
        <f t="shared" si="135"/>
        <v>0</v>
      </c>
      <c r="BV17" s="1378">
        <f>SUMIF('13.建安成本表'!$B$48:$B$60,综合表!BU4,'13.建安成本表'!$K$48:$K$60)</f>
        <v>0</v>
      </c>
      <c r="BW17" s="1375">
        <f t="shared" si="136"/>
        <v>0</v>
      </c>
      <c r="BX17" s="1378">
        <f>SUMIF('13.建安成本表'!$B$48:$B$60,综合表!BW4,'13.建安成本表'!$K$48:$K$60)</f>
        <v>0</v>
      </c>
      <c r="BY17" s="1375">
        <f t="shared" si="137"/>
        <v>0</v>
      </c>
      <c r="BZ17" s="1378">
        <f>SUMIF('13.建安成本表'!$B$48:$B$60,综合表!BY4,'13.建安成本表'!$K$48:$K$60)</f>
        <v>0</v>
      </c>
      <c r="CA17" s="1375">
        <f t="shared" si="138"/>
        <v>0</v>
      </c>
      <c r="CB17" s="1378">
        <f>SUMIF('13.建安成本表'!$B$48:$B$60,综合表!CA4,'13.建安成本表'!$K$48:$K$60)</f>
        <v>0</v>
      </c>
      <c r="CC17" s="1375">
        <f t="shared" si="139"/>
        <v>0</v>
      </c>
      <c r="CD17" s="1378">
        <f>SUMIF('13.建安成本表'!$B$48:$B$60,综合表!CC4,'13.建安成本表'!$K$48:$K$60)</f>
        <v>0</v>
      </c>
      <c r="CE17" s="1375">
        <f t="shared" si="140"/>
        <v>0</v>
      </c>
      <c r="CF17" s="1378">
        <f>SUMIF('13.建安成本表'!$B$48:$B$60,综合表!CE4,'13.建安成本表'!$K$48:$K$60)</f>
        <v>0</v>
      </c>
      <c r="CG17" s="1385">
        <f t="shared" si="185"/>
        <v>0</v>
      </c>
      <c r="CH17" s="1385">
        <f t="shared" si="186"/>
        <v>0</v>
      </c>
      <c r="CI17" s="1375">
        <f t="shared" si="141"/>
        <v>0</v>
      </c>
      <c r="CJ17" s="1378">
        <f>SUMIF('13.建安成本表'!$B$48:$B$60,综合表!CI4,'13.建安成本表'!$N$48:$N$60)</f>
        <v>0</v>
      </c>
      <c r="CK17" s="1375">
        <f t="shared" si="142"/>
        <v>0</v>
      </c>
      <c r="CL17" s="1378">
        <f>SUMIF('13.建安成本表'!$B$48:$B$60,综合表!CK4,'13.建安成本表'!$N$48:$N$60)</f>
        <v>0</v>
      </c>
      <c r="CM17" s="1375">
        <f t="shared" si="143"/>
        <v>0</v>
      </c>
      <c r="CN17" s="1378">
        <f>SUMIF('13.建安成本表'!$B$48:$B$60,综合表!CM4,'13.建安成本表'!$N$48:$N$60)</f>
        <v>0</v>
      </c>
      <c r="CO17" s="1375">
        <f t="shared" si="144"/>
        <v>0</v>
      </c>
      <c r="CP17" s="1378">
        <f>SUMIF('13.建安成本表'!$B$48:$B$60,综合表!CO4,'13.建安成本表'!$N$48:$N$60)</f>
        <v>0</v>
      </c>
      <c r="CQ17" s="1375">
        <f t="shared" si="145"/>
        <v>0</v>
      </c>
      <c r="CR17" s="1378">
        <f>SUMIF('13.建安成本表'!$B$48:$B$60,综合表!CQ4,'13.建安成本表'!$N$48:$N$60)</f>
        <v>0</v>
      </c>
      <c r="CS17" s="1375">
        <f t="shared" si="146"/>
        <v>0</v>
      </c>
      <c r="CT17" s="1378">
        <f>SUMIF('13.建安成本表'!$B$48:$B$60,综合表!CS4,'13.建安成本表'!$N$48:$N$60)</f>
        <v>0</v>
      </c>
      <c r="CU17" s="1375">
        <f t="shared" si="147"/>
        <v>0</v>
      </c>
      <c r="CV17" s="1378">
        <f>SUMIF('13.建安成本表'!$B$48:$B$60,综合表!CU4,'13.建安成本表'!$N$48:$N$60)</f>
        <v>0</v>
      </c>
      <c r="CW17" s="1375">
        <f t="shared" si="148"/>
        <v>0</v>
      </c>
      <c r="CX17" s="1378">
        <f>SUMIF('13.建安成本表'!$B$48:$B$60,综合表!CW4,'13.建安成本表'!$N$48:$N$60)</f>
        <v>0</v>
      </c>
      <c r="CY17" s="1375">
        <f t="shared" si="149"/>
        <v>0</v>
      </c>
      <c r="CZ17" s="1378">
        <f>SUMIF('13.建安成本表'!$B$48:$B$60,综合表!CY4,'13.建安成本表'!$N$48:$N$60)</f>
        <v>0</v>
      </c>
      <c r="DA17" s="1375">
        <f t="shared" si="150"/>
        <v>0</v>
      </c>
      <c r="DB17" s="1378">
        <f>SUMIF('13.建安成本表'!$B$48:$B$60,综合表!DA4,'13.建安成本表'!$N$48:$N$60)</f>
        <v>0</v>
      </c>
      <c r="DC17" s="1375">
        <f t="shared" si="151"/>
        <v>0</v>
      </c>
      <c r="DD17" s="1378">
        <f>SUMIF('13.建安成本表'!$B$48:$B$60,综合表!DC4,'13.建安成本表'!$N$48:$N$60)</f>
        <v>0</v>
      </c>
      <c r="DE17" s="1375">
        <f t="shared" si="152"/>
        <v>0</v>
      </c>
      <c r="DF17" s="1378">
        <f>SUMIF('13.建安成本表'!$B$48:$B$60,综合表!DE4,'13.建安成本表'!$N$48:$N$60)</f>
        <v>0</v>
      </c>
      <c r="DG17" s="1385">
        <f t="shared" si="153"/>
        <v>0</v>
      </c>
      <c r="DH17" s="1385">
        <f t="shared" si="187"/>
        <v>0</v>
      </c>
      <c r="DI17" s="1375">
        <f t="shared" si="154"/>
        <v>0</v>
      </c>
      <c r="DJ17" s="1378">
        <f>SUMIF('13.建安成本表'!$B$48:$B$60,综合表!DI4,'13.建安成本表'!$Q$48:$Q$60)</f>
        <v>0</v>
      </c>
      <c r="DK17" s="1375">
        <f t="shared" si="155"/>
        <v>0</v>
      </c>
      <c r="DL17" s="1378">
        <f>SUMIF('13.建安成本表'!$B$48:$B$60,综合表!DK4,'13.建安成本表'!$Q$48:$Q$60)</f>
        <v>0</v>
      </c>
      <c r="DM17" s="1375">
        <f t="shared" si="156"/>
        <v>0</v>
      </c>
      <c r="DN17" s="1378">
        <f>SUMIF('13.建安成本表'!$B$48:$B$60,综合表!DM4,'13.建安成本表'!$Q$48:$Q$60)</f>
        <v>0</v>
      </c>
      <c r="DO17" s="1375">
        <f t="shared" si="157"/>
        <v>0</v>
      </c>
      <c r="DP17" s="1378">
        <f>SUMIF('13.建安成本表'!$B$48:$B$60,综合表!DO4,'13.建安成本表'!$Q$48:$Q$60)</f>
        <v>0</v>
      </c>
      <c r="DQ17" s="1375">
        <f t="shared" si="158"/>
        <v>0</v>
      </c>
      <c r="DR17" s="1378">
        <f>SUMIF('13.建安成本表'!$B$48:$B$60,综合表!DQ4,'13.建安成本表'!$Q$48:$Q$60)</f>
        <v>0</v>
      </c>
      <c r="DS17" s="1375">
        <f t="shared" si="159"/>
        <v>0</v>
      </c>
      <c r="DT17" s="1378">
        <f>SUMIF('13.建安成本表'!$B$48:$B$60,综合表!DS4,'13.建安成本表'!$Q$48:$Q$60)</f>
        <v>0</v>
      </c>
      <c r="DU17" s="1375">
        <f t="shared" si="160"/>
        <v>0</v>
      </c>
      <c r="DV17" s="1378">
        <f>SUMIF('13.建安成本表'!$B$48:$B$60,综合表!DU4,'13.建安成本表'!$Q$48:$Q$60)</f>
        <v>0</v>
      </c>
      <c r="DW17" s="1375">
        <f t="shared" si="161"/>
        <v>0</v>
      </c>
      <c r="DX17" s="1378">
        <f>SUMIF('13.建安成本表'!$B$48:$B$60,综合表!DW4,'13.建安成本表'!$Q$48:$Q$60)</f>
        <v>0</v>
      </c>
      <c r="DY17" s="1375">
        <f t="shared" si="162"/>
        <v>0</v>
      </c>
      <c r="DZ17" s="1378">
        <f>SUMIF('13.建安成本表'!$B$48:$B$60,综合表!DY4,'13.建安成本表'!$Q$48:$Q$60)</f>
        <v>0</v>
      </c>
      <c r="EA17" s="1375">
        <f t="shared" si="163"/>
        <v>0</v>
      </c>
      <c r="EB17" s="1378">
        <f>SUMIF('13.建安成本表'!$B$48:$B$60,综合表!EA4,'13.建安成本表'!$Q$48:$Q$60)</f>
        <v>0</v>
      </c>
      <c r="EC17" s="1375">
        <f t="shared" si="164"/>
        <v>0</v>
      </c>
      <c r="ED17" s="1378">
        <f>SUMIF('13.建安成本表'!$B$48:$B$60,综合表!EC4,'13.建安成本表'!$Q$48:$Q$60)</f>
        <v>0</v>
      </c>
      <c r="EE17" s="1375">
        <f t="shared" si="165"/>
        <v>0</v>
      </c>
      <c r="EF17" s="1378">
        <f>SUMIF('13.建安成本表'!$B$48:$B$60,综合表!EE4,'13.建安成本表'!$Q$48:$Q$60)</f>
        <v>0</v>
      </c>
      <c r="EG17" s="1385">
        <f t="shared" si="166"/>
        <v>0</v>
      </c>
      <c r="EH17" s="1385">
        <f t="shared" si="188"/>
        <v>0</v>
      </c>
      <c r="EI17" s="1375">
        <f t="shared" si="167"/>
        <v>0</v>
      </c>
      <c r="EJ17" s="1378">
        <f>SUMIF('13.建安成本表'!$B$48:$B$60,综合表!EI4,'13.建安成本表'!$T$48:$T$60)</f>
        <v>0</v>
      </c>
      <c r="EK17" s="1375">
        <f t="shared" si="168"/>
        <v>0</v>
      </c>
      <c r="EL17" s="1378">
        <f>SUMIF('13.建安成本表'!$B$48:$B$60,综合表!EK4,'13.建安成本表'!$T$48:$T$60)</f>
        <v>0</v>
      </c>
      <c r="EM17" s="1375">
        <f t="shared" si="169"/>
        <v>0</v>
      </c>
      <c r="EN17" s="1378">
        <f>SUMIF('13.建安成本表'!$B$48:$B$60,综合表!EM4,'13.建安成本表'!$T$48:$T$60)</f>
        <v>0</v>
      </c>
      <c r="EO17" s="1375">
        <f t="shared" si="170"/>
        <v>0</v>
      </c>
      <c r="EP17" s="1378">
        <f>SUMIF('13.建安成本表'!$B$48:$B$60,综合表!EO4,'13.建安成本表'!$T$48:$T$60)</f>
        <v>0</v>
      </c>
      <c r="EQ17" s="1375">
        <f t="shared" si="171"/>
        <v>0</v>
      </c>
      <c r="ER17" s="1378">
        <f>SUMIF('13.建安成本表'!$B$48:$B$60,综合表!EQ4,'13.建安成本表'!$T$48:$T$60)</f>
        <v>0</v>
      </c>
      <c r="ES17" s="1375">
        <f t="shared" si="172"/>
        <v>0</v>
      </c>
      <c r="ET17" s="1378">
        <f>SUMIF('13.建安成本表'!$B$48:$B$60,综合表!ES4,'13.建安成本表'!$T$48:$T$60)</f>
        <v>0</v>
      </c>
      <c r="EU17" s="1375">
        <f t="shared" si="173"/>
        <v>0</v>
      </c>
      <c r="EV17" s="1378">
        <f>SUMIF('13.建安成本表'!$B$48:$B$60,综合表!EU4,'13.建安成本表'!$T$48:$T$60)</f>
        <v>0</v>
      </c>
      <c r="EW17" s="1375">
        <f t="shared" si="174"/>
        <v>0</v>
      </c>
      <c r="EX17" s="1378">
        <f>SUMIF('13.建安成本表'!$B$48:$B$60,综合表!EW4,'13.建安成本表'!$T$48:$T$60)</f>
        <v>0</v>
      </c>
      <c r="EY17" s="1375">
        <f t="shared" si="175"/>
        <v>0</v>
      </c>
      <c r="EZ17" s="1378">
        <f>SUMIF('13.建安成本表'!$B$48:$B$60,综合表!EY4,'13.建安成本表'!$T$48:$T$60)</f>
        <v>0</v>
      </c>
      <c r="FA17" s="1375">
        <f t="shared" si="176"/>
        <v>0</v>
      </c>
      <c r="FB17" s="1378">
        <f>SUMIF('13.建安成本表'!$B$48:$B$60,综合表!FA4,'13.建安成本表'!$T$48:$T$60)</f>
        <v>0</v>
      </c>
      <c r="FC17" s="1375">
        <f t="shared" si="177"/>
        <v>0</v>
      </c>
      <c r="FD17" s="1378">
        <f>SUMIF('13.建安成本表'!$B$48:$B$60,综合表!FC4,'13.建安成本表'!$T$48:$T$60)</f>
        <v>0</v>
      </c>
      <c r="FE17" s="1375">
        <f t="shared" si="178"/>
        <v>0</v>
      </c>
      <c r="FF17" s="1378">
        <f>SUMIF('13.建安成本表'!$B$48:$B$60,综合表!FE4,'13.建安成本表'!$T$48:$T$60)</f>
        <v>0</v>
      </c>
    </row>
    <row r="18" spans="1:162" s="1361" customFormat="1" ht="15.75" customHeight="1">
      <c r="A18" s="1788"/>
      <c r="B18" s="1376" t="str">
        <f>CONCATENATE("4.4主体安装工程费","（",ROUND(IFERROR(D18/($D$14)%,0),2),"%）")</f>
        <v>4.4主体安装工程费（8.75%）</v>
      </c>
      <c r="C18" s="1383">
        <f t="shared" si="179"/>
        <v>457.081218613994</v>
      </c>
      <c r="D18" s="1378">
        <f t="shared" si="103"/>
        <v>2730.6032</v>
      </c>
      <c r="E18" s="1389"/>
      <c r="F18" s="1387"/>
      <c r="G18" s="1375">
        <f t="shared" si="180"/>
        <v>457.081218613994</v>
      </c>
      <c r="H18" s="1385">
        <f t="shared" si="181"/>
        <v>2730.6032</v>
      </c>
      <c r="I18" s="1375">
        <f t="shared" si="104"/>
        <v>428</v>
      </c>
      <c r="J18" s="1385">
        <f>SUMIF('13.建安成本表'!$B$62:$B$74,综合表!I4,'13.建安成本表'!$E$62:$E$74)</f>
        <v>2401.08</v>
      </c>
      <c r="K18" s="1375">
        <f t="shared" si="105"/>
        <v>392</v>
      </c>
      <c r="L18" s="1385">
        <f>SUMIF('13.建安成本表'!$B$62:$B$74,综合表!K4,'13.建安成本表'!$E$62:$E$74)</f>
        <v>142.68799999999999</v>
      </c>
      <c r="M18" s="1375">
        <f t="shared" si="106"/>
        <v>0</v>
      </c>
      <c r="N18" s="1385">
        <f>SUMIF('13.建安成本表'!$B$62:$B$74,综合表!M4,'13.建安成本表'!$E$62:$E$74)</f>
        <v>186.83519999999999</v>
      </c>
      <c r="O18" s="1375">
        <f t="shared" si="107"/>
        <v>0</v>
      </c>
      <c r="P18" s="1385">
        <f>SUMIF('13.建安成本表'!$B$62:$B$74,综合表!O4,'13.建安成本表'!$E$62:$E$74)</f>
        <v>0</v>
      </c>
      <c r="Q18" s="1375">
        <f t="shared" si="108"/>
        <v>0</v>
      </c>
      <c r="R18" s="1385">
        <f>SUMIF('13.建安成本表'!$B$62:$B$74,综合表!Q4,'13.建安成本表'!$E$62:$E$74)</f>
        <v>0</v>
      </c>
      <c r="S18" s="1375">
        <f t="shared" si="109"/>
        <v>0</v>
      </c>
      <c r="T18" s="1385">
        <f>SUMIF('13.建安成本表'!$B$62:$B$74,综合表!S4,'13.建安成本表'!$E$62:$E$74)</f>
        <v>0</v>
      </c>
      <c r="U18" s="1375">
        <f t="shared" si="110"/>
        <v>0</v>
      </c>
      <c r="V18" s="1385">
        <f>SUMIF('13.建安成本表'!$B$62:$B$74,综合表!U4,'13.建安成本表'!$E$62:$E$74)</f>
        <v>0</v>
      </c>
      <c r="W18" s="1375">
        <f t="shared" si="111"/>
        <v>0</v>
      </c>
      <c r="X18" s="1385">
        <f>SUMIF('13.建安成本表'!$B$62:$B$74,综合表!W4,'13.建安成本表'!$E$62:$E$74)</f>
        <v>0</v>
      </c>
      <c r="Y18" s="1375">
        <f t="shared" si="112"/>
        <v>0</v>
      </c>
      <c r="Z18" s="1385">
        <f>SUMIF('13.建安成本表'!$B$62:$B$74,综合表!Y4,'13.建安成本表'!$E$62:$E$74)</f>
        <v>0</v>
      </c>
      <c r="AA18" s="1375">
        <f t="shared" si="113"/>
        <v>0</v>
      </c>
      <c r="AB18" s="1385">
        <f>SUMIF('13.建安成本表'!$B$62:$B$74,综合表!AA4,'13.建安成本表'!$E$62:$E$74)</f>
        <v>0</v>
      </c>
      <c r="AC18" s="1375">
        <f t="shared" si="114"/>
        <v>0</v>
      </c>
      <c r="AD18" s="1385">
        <f>SUMIF('13.建安成本表'!$B$62:$B$74,综合表!AC4,'13.建安成本表'!$E$62:$E$74)</f>
        <v>0</v>
      </c>
      <c r="AE18" s="1375">
        <f t="shared" si="115"/>
        <v>0</v>
      </c>
      <c r="AF18" s="1385">
        <f>SUMIF('13.建安成本表'!$B$62:$B$74,综合表!AE4,'13.建安成本表'!$E$62:$E$74)</f>
        <v>0</v>
      </c>
      <c r="AG18" s="1375">
        <f t="shared" si="116"/>
        <v>0</v>
      </c>
      <c r="AH18" s="1385">
        <f t="shared" si="182"/>
        <v>0</v>
      </c>
      <c r="AI18" s="1375">
        <f t="shared" si="117"/>
        <v>0</v>
      </c>
      <c r="AJ18" s="1378">
        <f>SUMIF('13.建安成本表'!$B$62:$B$74,综合表!AI4,'13.建安成本表'!$H$62:$H$74)</f>
        <v>0</v>
      </c>
      <c r="AK18" s="1375">
        <f t="shared" si="118"/>
        <v>0</v>
      </c>
      <c r="AL18" s="1378">
        <f>SUMIF('13.建安成本表'!$B$62:$B$74,综合表!AK4,'13.建安成本表'!$H$62:$H$74)</f>
        <v>0</v>
      </c>
      <c r="AM18" s="1375">
        <f t="shared" si="119"/>
        <v>0</v>
      </c>
      <c r="AN18" s="1378">
        <f>SUMIF('13.建安成本表'!$B$62:$B$74,综合表!AM4,'13.建安成本表'!$H$62:$H$74)</f>
        <v>0</v>
      </c>
      <c r="AO18" s="1375">
        <f t="shared" si="120"/>
        <v>0</v>
      </c>
      <c r="AP18" s="1378">
        <f>SUMIF('13.建安成本表'!$B$62:$B$74,综合表!AO4,'13.建安成本表'!$H$62:$H$74)</f>
        <v>0</v>
      </c>
      <c r="AQ18" s="1375">
        <f t="shared" si="121"/>
        <v>0</v>
      </c>
      <c r="AR18" s="1378">
        <f>SUMIF('13.建安成本表'!$B$62:$B$74,综合表!AQ4,'13.建安成本表'!$H$62:$H$74)</f>
        <v>0</v>
      </c>
      <c r="AS18" s="1375">
        <f t="shared" si="122"/>
        <v>0</v>
      </c>
      <c r="AT18" s="1378">
        <f>SUMIF('13.建安成本表'!$B$62:$B$74,综合表!AS4,'13.建安成本表'!$H$62:$H$74)</f>
        <v>0</v>
      </c>
      <c r="AU18" s="1375">
        <f t="shared" si="123"/>
        <v>0</v>
      </c>
      <c r="AV18" s="1378">
        <f>SUMIF('13.建安成本表'!$B$62:$B$74,综合表!AU4,'13.建安成本表'!$H$62:$H$74)</f>
        <v>0</v>
      </c>
      <c r="AW18" s="1375">
        <f t="shared" si="124"/>
        <v>0</v>
      </c>
      <c r="AX18" s="1378">
        <f>SUMIF('13.建安成本表'!$B$62:$B$74,综合表!AW4,'13.建安成本表'!$H$62:$H$74)</f>
        <v>0</v>
      </c>
      <c r="AY18" s="1375">
        <f t="shared" si="125"/>
        <v>0</v>
      </c>
      <c r="AZ18" s="1378">
        <f>SUMIF('13.建安成本表'!$B$62:$B$74,综合表!AY4,'13.建安成本表'!$H$62:$H$74)</f>
        <v>0</v>
      </c>
      <c r="BA18" s="1375">
        <f t="shared" si="126"/>
        <v>0</v>
      </c>
      <c r="BB18" s="1378">
        <f>SUMIF('13.建安成本表'!$B$62:$B$74,综合表!BA4,'13.建安成本表'!$H$62:$H$74)</f>
        <v>0</v>
      </c>
      <c r="BC18" s="1375">
        <f t="shared" si="127"/>
        <v>0</v>
      </c>
      <c r="BD18" s="1378">
        <f>SUMIF('13.建安成本表'!$B$62:$B$74,综合表!BC4,'13.建安成本表'!$H$62:$H$74)</f>
        <v>0</v>
      </c>
      <c r="BE18" s="1375">
        <f t="shared" si="128"/>
        <v>0</v>
      </c>
      <c r="BF18" s="1378">
        <f>SUMIF('13.建安成本表'!$B$62:$B$74,综合表!BE4,'13.建安成本表'!$H$62:$H$74)</f>
        <v>0</v>
      </c>
      <c r="BG18" s="1385">
        <f t="shared" si="183"/>
        <v>0</v>
      </c>
      <c r="BH18" s="1385">
        <f t="shared" si="184"/>
        <v>0</v>
      </c>
      <c r="BI18" s="1375">
        <f t="shared" si="129"/>
        <v>0</v>
      </c>
      <c r="BJ18" s="1378">
        <f>SUMIF('13.建安成本表'!$B$62:$B$74,综合表!BI4,'13.建安成本表'!$K$62:$K$74)</f>
        <v>0</v>
      </c>
      <c r="BK18" s="1375">
        <f t="shared" si="130"/>
        <v>0</v>
      </c>
      <c r="BL18" s="1378">
        <f>SUMIF('13.建安成本表'!$B$62:$B$74,综合表!BK4,'13.建安成本表'!$K$62:$K$74)</f>
        <v>0</v>
      </c>
      <c r="BM18" s="1375">
        <f t="shared" si="131"/>
        <v>0</v>
      </c>
      <c r="BN18" s="1378">
        <f>SUMIF('13.建安成本表'!$B$62:$B$74,综合表!BM4,'13.建安成本表'!$K$62:$K$74)</f>
        <v>0</v>
      </c>
      <c r="BO18" s="1375">
        <f t="shared" si="132"/>
        <v>0</v>
      </c>
      <c r="BP18" s="1378">
        <f>SUMIF('13.建安成本表'!$B$62:$B$74,综合表!BO4,'13.建安成本表'!$K$62:$K$74)</f>
        <v>0</v>
      </c>
      <c r="BQ18" s="1375">
        <f t="shared" si="133"/>
        <v>0</v>
      </c>
      <c r="BR18" s="1378">
        <f>SUMIF('13.建安成本表'!$B$62:$B$74,综合表!BQ4,'13.建安成本表'!$K$62:$K$74)</f>
        <v>0</v>
      </c>
      <c r="BS18" s="1375">
        <f t="shared" si="134"/>
        <v>0</v>
      </c>
      <c r="BT18" s="1378">
        <f>SUMIF('13.建安成本表'!$B$62:$B$74,综合表!BS4,'13.建安成本表'!$K$62:$K$74)</f>
        <v>0</v>
      </c>
      <c r="BU18" s="1375">
        <f t="shared" si="135"/>
        <v>0</v>
      </c>
      <c r="BV18" s="1378">
        <f>SUMIF('13.建安成本表'!$B$62:$B$74,综合表!BU4,'13.建安成本表'!$K$62:$K$74)</f>
        <v>0</v>
      </c>
      <c r="BW18" s="1375">
        <f t="shared" si="136"/>
        <v>0</v>
      </c>
      <c r="BX18" s="1378">
        <f>SUMIF('13.建安成本表'!$B$62:$B$74,综合表!BW4,'13.建安成本表'!$K$62:$K$74)</f>
        <v>0</v>
      </c>
      <c r="BY18" s="1375">
        <f t="shared" si="137"/>
        <v>0</v>
      </c>
      <c r="BZ18" s="1378">
        <f>SUMIF('13.建安成本表'!$B$62:$B$74,综合表!BY4,'13.建安成本表'!$K$62:$K$74)</f>
        <v>0</v>
      </c>
      <c r="CA18" s="1375">
        <f t="shared" si="138"/>
        <v>0</v>
      </c>
      <c r="CB18" s="1378">
        <f>SUMIF('13.建安成本表'!$B$62:$B$74,综合表!CA4,'13.建安成本表'!$K$62:$K$74)</f>
        <v>0</v>
      </c>
      <c r="CC18" s="1375">
        <f t="shared" si="139"/>
        <v>0</v>
      </c>
      <c r="CD18" s="1378">
        <f>SUMIF('13.建安成本表'!$B$62:$B$74,综合表!CC4,'13.建安成本表'!$K$62:$K$74)</f>
        <v>0</v>
      </c>
      <c r="CE18" s="1375">
        <f t="shared" si="140"/>
        <v>0</v>
      </c>
      <c r="CF18" s="1378">
        <f>SUMIF('13.建安成本表'!$B$62:$B$74,综合表!CE4,'13.建安成本表'!$K$62:$K$74)</f>
        <v>0</v>
      </c>
      <c r="CG18" s="1385">
        <f t="shared" si="185"/>
        <v>0</v>
      </c>
      <c r="CH18" s="1385">
        <f t="shared" si="186"/>
        <v>0</v>
      </c>
      <c r="CI18" s="1375">
        <f t="shared" si="141"/>
        <v>0</v>
      </c>
      <c r="CJ18" s="1378">
        <f>SUMIF('13.建安成本表'!$B$62:$B$74,综合表!CI4,'13.建安成本表'!$N$62:$N$74)</f>
        <v>0</v>
      </c>
      <c r="CK18" s="1375">
        <f t="shared" si="142"/>
        <v>0</v>
      </c>
      <c r="CL18" s="1378">
        <f>SUMIF('13.建安成本表'!$B$62:$B$74,综合表!CK4,'13.建安成本表'!$N$62:$N$74)</f>
        <v>0</v>
      </c>
      <c r="CM18" s="1375">
        <f t="shared" si="143"/>
        <v>0</v>
      </c>
      <c r="CN18" s="1378">
        <f>SUMIF('13.建安成本表'!$B$62:$B$74,综合表!CM4,'13.建安成本表'!$N$62:$N$74)</f>
        <v>0</v>
      </c>
      <c r="CO18" s="1375">
        <f t="shared" si="144"/>
        <v>0</v>
      </c>
      <c r="CP18" s="1378">
        <f>SUMIF('13.建安成本表'!$B$62:$B$74,综合表!CO4,'13.建安成本表'!$N$62:$N$74)</f>
        <v>0</v>
      </c>
      <c r="CQ18" s="1375">
        <f t="shared" si="145"/>
        <v>0</v>
      </c>
      <c r="CR18" s="1378">
        <f>SUMIF('13.建安成本表'!$B$62:$B$74,综合表!CQ4,'13.建安成本表'!$N$62:$N$74)</f>
        <v>0</v>
      </c>
      <c r="CS18" s="1375">
        <f t="shared" si="146"/>
        <v>0</v>
      </c>
      <c r="CT18" s="1378">
        <f>SUMIF('13.建安成本表'!$B$62:$B$74,综合表!CS4,'13.建安成本表'!$N$62:$N$74)</f>
        <v>0</v>
      </c>
      <c r="CU18" s="1375">
        <f t="shared" si="147"/>
        <v>0</v>
      </c>
      <c r="CV18" s="1378">
        <f>SUMIF('13.建安成本表'!$B$62:$B$74,综合表!CU4,'13.建安成本表'!$N$62:$N$74)</f>
        <v>0</v>
      </c>
      <c r="CW18" s="1375">
        <f t="shared" si="148"/>
        <v>0</v>
      </c>
      <c r="CX18" s="1378">
        <f>SUMIF('13.建安成本表'!$B$62:$B$74,综合表!CW4,'13.建安成本表'!$N$62:$N$74)</f>
        <v>0</v>
      </c>
      <c r="CY18" s="1375">
        <f t="shared" si="149"/>
        <v>0</v>
      </c>
      <c r="CZ18" s="1378">
        <f>SUMIF('13.建安成本表'!$B$62:$B$74,综合表!CY4,'13.建安成本表'!$N$62:$N$74)</f>
        <v>0</v>
      </c>
      <c r="DA18" s="1375">
        <f t="shared" si="150"/>
        <v>0</v>
      </c>
      <c r="DB18" s="1378">
        <f>SUMIF('13.建安成本表'!$B$62:$B$74,综合表!DA4,'13.建安成本表'!$N$62:$N$74)</f>
        <v>0</v>
      </c>
      <c r="DC18" s="1375">
        <f t="shared" si="151"/>
        <v>0</v>
      </c>
      <c r="DD18" s="1378">
        <f>SUMIF('13.建安成本表'!$B$62:$B$74,综合表!DC4,'13.建安成本表'!$N$62:$N$74)</f>
        <v>0</v>
      </c>
      <c r="DE18" s="1375">
        <f t="shared" si="152"/>
        <v>0</v>
      </c>
      <c r="DF18" s="1378">
        <f>SUMIF('13.建安成本表'!$B$62:$B$74,综合表!DE4,'13.建安成本表'!$N$62:$N$74)</f>
        <v>0</v>
      </c>
      <c r="DG18" s="1385">
        <f t="shared" si="153"/>
        <v>0</v>
      </c>
      <c r="DH18" s="1385">
        <f t="shared" si="187"/>
        <v>0</v>
      </c>
      <c r="DI18" s="1375">
        <f t="shared" si="154"/>
        <v>0</v>
      </c>
      <c r="DJ18" s="1378">
        <f>SUMIF('13.建安成本表'!$B$62:$B$74,综合表!DI4,'13.建安成本表'!$Q$62:$Q$74)</f>
        <v>0</v>
      </c>
      <c r="DK18" s="1375">
        <f t="shared" si="155"/>
        <v>0</v>
      </c>
      <c r="DL18" s="1378">
        <f>SUMIF('13.建安成本表'!$B$62:$B$74,综合表!DK4,'13.建安成本表'!$Q$62:$Q$74)</f>
        <v>0</v>
      </c>
      <c r="DM18" s="1375">
        <f t="shared" si="156"/>
        <v>0</v>
      </c>
      <c r="DN18" s="1378">
        <f>SUMIF('13.建安成本表'!$B$62:$B$74,综合表!DM4,'13.建安成本表'!$Q$62:$Q$74)</f>
        <v>0</v>
      </c>
      <c r="DO18" s="1375">
        <f t="shared" si="157"/>
        <v>0</v>
      </c>
      <c r="DP18" s="1378">
        <f>SUMIF('13.建安成本表'!$B$62:$B$74,综合表!DO4,'13.建安成本表'!$Q$62:$Q$74)</f>
        <v>0</v>
      </c>
      <c r="DQ18" s="1375">
        <f t="shared" si="158"/>
        <v>0</v>
      </c>
      <c r="DR18" s="1378">
        <f>SUMIF('13.建安成本表'!$B$62:$B$74,综合表!DQ4,'13.建安成本表'!$Q$62:$Q$74)</f>
        <v>0</v>
      </c>
      <c r="DS18" s="1375">
        <f t="shared" si="159"/>
        <v>0</v>
      </c>
      <c r="DT18" s="1378">
        <f>SUMIF('13.建安成本表'!$B$62:$B$74,综合表!DS4,'13.建安成本表'!$Q$62:$Q$74)</f>
        <v>0</v>
      </c>
      <c r="DU18" s="1375">
        <f t="shared" si="160"/>
        <v>0</v>
      </c>
      <c r="DV18" s="1378">
        <f>SUMIF('13.建安成本表'!$B$62:$B$74,综合表!DU4,'13.建安成本表'!$Q$62:$Q$74)</f>
        <v>0</v>
      </c>
      <c r="DW18" s="1375">
        <f t="shared" si="161"/>
        <v>0</v>
      </c>
      <c r="DX18" s="1378">
        <f>SUMIF('13.建安成本表'!$B$62:$B$74,综合表!DW4,'13.建安成本表'!$Q$62:$Q$74)</f>
        <v>0</v>
      </c>
      <c r="DY18" s="1375">
        <f t="shared" si="162"/>
        <v>0</v>
      </c>
      <c r="DZ18" s="1378">
        <f>SUMIF('13.建安成本表'!$B$62:$B$74,综合表!DY4,'13.建安成本表'!$Q$62:$Q$74)</f>
        <v>0</v>
      </c>
      <c r="EA18" s="1375">
        <f t="shared" si="163"/>
        <v>0</v>
      </c>
      <c r="EB18" s="1378">
        <f>SUMIF('13.建安成本表'!$B$62:$B$74,综合表!EA4,'13.建安成本表'!$Q$62:$Q$74)</f>
        <v>0</v>
      </c>
      <c r="EC18" s="1375">
        <f t="shared" si="164"/>
        <v>0</v>
      </c>
      <c r="ED18" s="1378">
        <f>SUMIF('13.建安成本表'!$B$62:$B$74,综合表!EC4,'13.建安成本表'!$Q$62:$Q$74)</f>
        <v>0</v>
      </c>
      <c r="EE18" s="1375">
        <f t="shared" si="165"/>
        <v>0</v>
      </c>
      <c r="EF18" s="1378">
        <f>SUMIF('13.建安成本表'!$B$62:$B$74,综合表!EE4,'13.建安成本表'!$Q$62:$Q$74)</f>
        <v>0</v>
      </c>
      <c r="EG18" s="1385">
        <f t="shared" si="166"/>
        <v>0</v>
      </c>
      <c r="EH18" s="1385">
        <f t="shared" si="188"/>
        <v>0</v>
      </c>
      <c r="EI18" s="1375">
        <f t="shared" si="167"/>
        <v>0</v>
      </c>
      <c r="EJ18" s="1378">
        <f>SUMIF('13.建安成本表'!$B$62:$B$74,综合表!EI4,'13.建安成本表'!$T$62:$T$74)</f>
        <v>0</v>
      </c>
      <c r="EK18" s="1375">
        <f t="shared" si="168"/>
        <v>0</v>
      </c>
      <c r="EL18" s="1378">
        <f>SUMIF('13.建安成本表'!$B$62:$B$74,综合表!EK4,'13.建安成本表'!$T$62:$T$74)</f>
        <v>0</v>
      </c>
      <c r="EM18" s="1375">
        <f t="shared" si="169"/>
        <v>0</v>
      </c>
      <c r="EN18" s="1378">
        <f>SUMIF('13.建安成本表'!$B$62:$B$74,综合表!EM4,'13.建安成本表'!$T$62:$T$74)</f>
        <v>0</v>
      </c>
      <c r="EO18" s="1375">
        <f t="shared" si="170"/>
        <v>0</v>
      </c>
      <c r="EP18" s="1378">
        <f>SUMIF('13.建安成本表'!$B$62:$B$74,综合表!EO4,'13.建安成本表'!$T$62:$T$74)</f>
        <v>0</v>
      </c>
      <c r="EQ18" s="1375">
        <f t="shared" si="171"/>
        <v>0</v>
      </c>
      <c r="ER18" s="1378">
        <f>SUMIF('13.建安成本表'!$B$62:$B$74,综合表!EQ4,'13.建安成本表'!$T$62:$T$74)</f>
        <v>0</v>
      </c>
      <c r="ES18" s="1375">
        <f t="shared" si="172"/>
        <v>0</v>
      </c>
      <c r="ET18" s="1378">
        <f>SUMIF('13.建安成本表'!$B$62:$B$74,综合表!ES4,'13.建安成本表'!$T$62:$T$74)</f>
        <v>0</v>
      </c>
      <c r="EU18" s="1375">
        <f t="shared" si="173"/>
        <v>0</v>
      </c>
      <c r="EV18" s="1378">
        <f>SUMIF('13.建安成本表'!$B$62:$B$74,综合表!EU4,'13.建安成本表'!$T$62:$T$74)</f>
        <v>0</v>
      </c>
      <c r="EW18" s="1375">
        <f t="shared" si="174"/>
        <v>0</v>
      </c>
      <c r="EX18" s="1378">
        <f>SUMIF('13.建安成本表'!$B$62:$B$74,综合表!EW4,'13.建安成本表'!$T$62:$T$74)</f>
        <v>0</v>
      </c>
      <c r="EY18" s="1375">
        <f t="shared" si="175"/>
        <v>0</v>
      </c>
      <c r="EZ18" s="1378">
        <f>SUMIF('13.建安成本表'!$B$62:$B$74,综合表!EY4,'13.建安成本表'!$T$62:$T$74)</f>
        <v>0</v>
      </c>
      <c r="FA18" s="1375">
        <f t="shared" si="176"/>
        <v>0</v>
      </c>
      <c r="FB18" s="1378">
        <f>SUMIF('13.建安成本表'!$B$62:$B$74,综合表!FA4,'13.建安成本表'!$T$62:$T$74)</f>
        <v>0</v>
      </c>
      <c r="FC18" s="1375">
        <f t="shared" si="177"/>
        <v>0</v>
      </c>
      <c r="FD18" s="1378">
        <f>SUMIF('13.建安成本表'!$B$62:$B$74,综合表!FC4,'13.建安成本表'!$T$62:$T$74)</f>
        <v>0</v>
      </c>
      <c r="FE18" s="1375">
        <f t="shared" si="178"/>
        <v>0</v>
      </c>
      <c r="FF18" s="1378">
        <f>SUMIF('13.建安成本表'!$B$62:$B$74,综合表!FE4,'13.建安成本表'!$T$62:$T$74)</f>
        <v>0</v>
      </c>
    </row>
    <row r="19" spans="1:162" s="1361" customFormat="1" ht="15.75" customHeight="1">
      <c r="A19" s="1788"/>
      <c r="B19" s="1376" t="str">
        <f>CONCATENATE("4.5室外工程费","（",ROUND(IFERROR(D19/($D$14)%,0),2),"%）")</f>
        <v>4.5室外工程费（6.66%）</v>
      </c>
      <c r="C19" s="1383">
        <f t="shared" si="179"/>
        <v>347.89253431536662</v>
      </c>
      <c r="D19" s="1378">
        <f t="shared" si="103"/>
        <v>2078.31</v>
      </c>
      <c r="E19" s="1389"/>
      <c r="F19" s="1387"/>
      <c r="G19" s="1375">
        <f t="shared" si="180"/>
        <v>347.89253431536662</v>
      </c>
      <c r="H19" s="1385">
        <f t="shared" si="181"/>
        <v>2078.31</v>
      </c>
      <c r="I19" s="1375">
        <f t="shared" si="104"/>
        <v>325</v>
      </c>
      <c r="J19" s="1385">
        <f>SUMIF('13.建安成本表'!$B$76:$B$88,综合表!I4,'13.建安成本表'!$E$76:$E$88)</f>
        <v>1823.25</v>
      </c>
      <c r="K19" s="1375">
        <f t="shared" si="105"/>
        <v>325</v>
      </c>
      <c r="L19" s="1385">
        <f>SUMIF('13.建安成本表'!$B$76:$B$88,综合表!K4,'13.建安成本表'!$E$76:$E$88)</f>
        <v>118.3</v>
      </c>
      <c r="M19" s="1375">
        <f t="shared" si="106"/>
        <v>0</v>
      </c>
      <c r="N19" s="1385">
        <f>SUMIF('13.建安成本表'!$B$76:$B$88,综合表!M4,'13.建安成本表'!$E$76:$E$88)</f>
        <v>136.76</v>
      </c>
      <c r="O19" s="1375">
        <f t="shared" si="107"/>
        <v>0</v>
      </c>
      <c r="P19" s="1385">
        <f>SUMIF('13.建安成本表'!$B$76:$B$88,综合表!O4,'13.建安成本表'!$E$76:$E$88)</f>
        <v>0</v>
      </c>
      <c r="Q19" s="1375">
        <f t="shared" si="108"/>
        <v>0</v>
      </c>
      <c r="R19" s="1385">
        <f>SUMIF('13.建安成本表'!$B$76:$B$88,综合表!Q4,'13.建安成本表'!$E$76:$E$88)</f>
        <v>0</v>
      </c>
      <c r="S19" s="1375">
        <f t="shared" si="109"/>
        <v>0</v>
      </c>
      <c r="T19" s="1385">
        <f>SUMIF('13.建安成本表'!$B$76:$B$88,综合表!S4,'13.建安成本表'!$E$76:$E$88)</f>
        <v>0</v>
      </c>
      <c r="U19" s="1375">
        <f t="shared" si="110"/>
        <v>0</v>
      </c>
      <c r="V19" s="1385">
        <f>SUMIF('13.建安成本表'!$B$76:$B$88,综合表!U4,'13.建安成本表'!$E$76:$E$88)</f>
        <v>0</v>
      </c>
      <c r="W19" s="1375">
        <f t="shared" si="111"/>
        <v>0</v>
      </c>
      <c r="X19" s="1385">
        <f>SUMIF('13.建安成本表'!$B$76:$B$88,综合表!W4,'13.建安成本表'!$E$76:$E$88)</f>
        <v>0</v>
      </c>
      <c r="Y19" s="1375">
        <f t="shared" si="112"/>
        <v>0</v>
      </c>
      <c r="Z19" s="1385">
        <f>SUMIF('13.建安成本表'!$B$76:$B$88,综合表!Y4,'13.建安成本表'!$E$76:$E$88)</f>
        <v>0</v>
      </c>
      <c r="AA19" s="1375">
        <f t="shared" si="113"/>
        <v>0</v>
      </c>
      <c r="AB19" s="1385">
        <f>SUMIF('13.建安成本表'!$B$76:$B$88,综合表!AA4,'13.建安成本表'!$E$76:$E$88)</f>
        <v>0</v>
      </c>
      <c r="AC19" s="1375">
        <f t="shared" si="114"/>
        <v>0</v>
      </c>
      <c r="AD19" s="1385">
        <f>SUMIF('13.建安成本表'!$B$76:$B$88,综合表!AC4,'13.建安成本表'!$E$76:$E$88)</f>
        <v>0</v>
      </c>
      <c r="AE19" s="1375">
        <f t="shared" si="115"/>
        <v>0</v>
      </c>
      <c r="AF19" s="1385">
        <f>SUMIF('13.建安成本表'!$B$76:$B$88,综合表!AE4,'13.建安成本表'!$E$76:$E$88)</f>
        <v>0</v>
      </c>
      <c r="AG19" s="1375">
        <f t="shared" si="116"/>
        <v>0</v>
      </c>
      <c r="AH19" s="1385">
        <f t="shared" si="182"/>
        <v>0</v>
      </c>
      <c r="AI19" s="1375">
        <f t="shared" si="117"/>
        <v>0</v>
      </c>
      <c r="AJ19" s="1378">
        <f>SUMIF('13.建安成本表'!$B$76:$B$88,综合表!AI4,'13.建安成本表'!$H$62:$H$74)</f>
        <v>0</v>
      </c>
      <c r="AK19" s="1375">
        <f t="shared" si="118"/>
        <v>0</v>
      </c>
      <c r="AL19" s="1378">
        <f>SUMIF('13.建安成本表'!$B$76:$B$88,综合表!AK4,'13.建安成本表'!$H$76:$H$88)</f>
        <v>0</v>
      </c>
      <c r="AM19" s="1375">
        <f t="shared" si="119"/>
        <v>0</v>
      </c>
      <c r="AN19" s="1378">
        <f>SUMIF('13.建安成本表'!$B$76:$B$88,综合表!AM4,'13.建安成本表'!$H$76:$H$88)</f>
        <v>0</v>
      </c>
      <c r="AO19" s="1375">
        <f t="shared" si="120"/>
        <v>0</v>
      </c>
      <c r="AP19" s="1378">
        <f>SUMIF('13.建安成本表'!$B$76:$B$88,综合表!AO4,'13.建安成本表'!$H$76:$H$88)</f>
        <v>0</v>
      </c>
      <c r="AQ19" s="1375">
        <f t="shared" si="121"/>
        <v>0</v>
      </c>
      <c r="AR19" s="1378">
        <f>SUMIF('13.建安成本表'!$B$76:$B$88,综合表!AQ4,'13.建安成本表'!$H$76:$H$88)</f>
        <v>0</v>
      </c>
      <c r="AS19" s="1375">
        <f t="shared" si="122"/>
        <v>0</v>
      </c>
      <c r="AT19" s="1378">
        <f>SUMIF('13.建安成本表'!$B$76:$B$88,综合表!AS4,'13.建安成本表'!$H$76:$H$88)</f>
        <v>0</v>
      </c>
      <c r="AU19" s="1375">
        <f t="shared" si="123"/>
        <v>0</v>
      </c>
      <c r="AV19" s="1378">
        <f>SUMIF('13.建安成本表'!$B$76:$B$88,综合表!AU4,'13.建安成本表'!$H$76:$H$88)</f>
        <v>0</v>
      </c>
      <c r="AW19" s="1375">
        <f t="shared" si="124"/>
        <v>0</v>
      </c>
      <c r="AX19" s="1378">
        <f>SUMIF('13.建安成本表'!$B$76:$B$88,综合表!AW4,'13.建安成本表'!$H$76:$H$88)</f>
        <v>0</v>
      </c>
      <c r="AY19" s="1375">
        <f t="shared" si="125"/>
        <v>0</v>
      </c>
      <c r="AZ19" s="1378">
        <f>SUMIF('13.建安成本表'!$B$76:$B$88,综合表!AY4,'13.建安成本表'!$H$76:$H$88)</f>
        <v>0</v>
      </c>
      <c r="BA19" s="1375">
        <f t="shared" si="126"/>
        <v>0</v>
      </c>
      <c r="BB19" s="1378">
        <f>SUMIF('13.建安成本表'!$B$76:$B$88,综合表!BA4,'13.建安成本表'!$H$76:$H$88)</f>
        <v>0</v>
      </c>
      <c r="BC19" s="1375">
        <f t="shared" si="127"/>
        <v>0</v>
      </c>
      <c r="BD19" s="1378">
        <f>SUMIF('13.建安成本表'!$B$76:$B$88,综合表!BC4,'13.建安成本表'!$H$76:$H$88)</f>
        <v>0</v>
      </c>
      <c r="BE19" s="1375">
        <f t="shared" si="128"/>
        <v>0</v>
      </c>
      <c r="BF19" s="1378">
        <f>SUMIF('13.建安成本表'!$B$76:$B$88,综合表!BE4,'13.建安成本表'!$H$76:$H$88)</f>
        <v>0</v>
      </c>
      <c r="BG19" s="1385">
        <f t="shared" si="183"/>
        <v>0</v>
      </c>
      <c r="BH19" s="1385">
        <f t="shared" si="184"/>
        <v>0</v>
      </c>
      <c r="BI19" s="1375">
        <f t="shared" si="129"/>
        <v>0</v>
      </c>
      <c r="BJ19" s="1378">
        <f>SUMIF('13.建安成本表'!$B$76:$B$88,综合表!BI4,'13.建安成本表'!$K$76:$K$88)</f>
        <v>0</v>
      </c>
      <c r="BK19" s="1375">
        <f t="shared" si="130"/>
        <v>0</v>
      </c>
      <c r="BL19" s="1378">
        <f>SUMIF('13.建安成本表'!$B$76:$B$88,综合表!BK4,'13.建安成本表'!$K$76:$K$88)</f>
        <v>0</v>
      </c>
      <c r="BM19" s="1375">
        <f t="shared" si="131"/>
        <v>0</v>
      </c>
      <c r="BN19" s="1378">
        <f>SUMIF('13.建安成本表'!$B$76:$B$88,综合表!BM4,'13.建安成本表'!$K$76:$K$88)</f>
        <v>0</v>
      </c>
      <c r="BO19" s="1375">
        <f t="shared" si="132"/>
        <v>0</v>
      </c>
      <c r="BP19" s="1378">
        <f>SUMIF('13.建安成本表'!$B$76:$B$88,综合表!BO4,'13.建安成本表'!$K$76:$K$88)</f>
        <v>0</v>
      </c>
      <c r="BQ19" s="1375">
        <f t="shared" si="133"/>
        <v>0</v>
      </c>
      <c r="BR19" s="1378">
        <f>SUMIF('13.建安成本表'!$B$76:$B$88,综合表!BQ4,'13.建安成本表'!$K$76:$K$88)</f>
        <v>0</v>
      </c>
      <c r="BS19" s="1375">
        <f t="shared" si="134"/>
        <v>0</v>
      </c>
      <c r="BT19" s="1378">
        <f>SUMIF('13.建安成本表'!$B$76:$B$88,综合表!BS4,'13.建安成本表'!$K$76:$K$88)</f>
        <v>0</v>
      </c>
      <c r="BU19" s="1375">
        <f t="shared" si="135"/>
        <v>0</v>
      </c>
      <c r="BV19" s="1378">
        <f>SUMIF('13.建安成本表'!$B$76:$B$88,综合表!BU4,'13.建安成本表'!$K$76:$K$88)</f>
        <v>0</v>
      </c>
      <c r="BW19" s="1375">
        <f t="shared" si="136"/>
        <v>0</v>
      </c>
      <c r="BX19" s="1378">
        <f>SUMIF('13.建安成本表'!$B$76:$B$88,综合表!BW4,'13.建安成本表'!$K$76:$K$88)</f>
        <v>0</v>
      </c>
      <c r="BY19" s="1375">
        <f t="shared" si="137"/>
        <v>0</v>
      </c>
      <c r="BZ19" s="1378">
        <f>SUMIF('13.建安成本表'!$B$76:$B$88,综合表!BY4,'13.建安成本表'!$K$76:$K$88)</f>
        <v>0</v>
      </c>
      <c r="CA19" s="1375">
        <f t="shared" si="138"/>
        <v>0</v>
      </c>
      <c r="CB19" s="1378">
        <f>SUMIF('13.建安成本表'!$B$76:$B$88,综合表!CA4,'13.建安成本表'!$K$76:$K$88)</f>
        <v>0</v>
      </c>
      <c r="CC19" s="1375">
        <f t="shared" si="139"/>
        <v>0</v>
      </c>
      <c r="CD19" s="1378">
        <f>SUMIF('13.建安成本表'!$B$76:$B$88,综合表!CC4,'13.建安成本表'!$K$76:$K$88)</f>
        <v>0</v>
      </c>
      <c r="CE19" s="1375">
        <f t="shared" si="140"/>
        <v>0</v>
      </c>
      <c r="CF19" s="1378">
        <f>SUMIF('13.建安成本表'!$B$76:$B$88,综合表!CE4,'13.建安成本表'!$K$76:$K$88)</f>
        <v>0</v>
      </c>
      <c r="CG19" s="1385">
        <f t="shared" si="185"/>
        <v>0</v>
      </c>
      <c r="CH19" s="1385">
        <f t="shared" si="186"/>
        <v>0</v>
      </c>
      <c r="CI19" s="1375">
        <f t="shared" si="141"/>
        <v>0</v>
      </c>
      <c r="CJ19" s="1378">
        <f>SUMIF('13.建安成本表'!$B$76:$B$88,综合表!CI4,'13.建安成本表'!$N$76:$N$88)</f>
        <v>0</v>
      </c>
      <c r="CK19" s="1375">
        <f t="shared" si="142"/>
        <v>0</v>
      </c>
      <c r="CL19" s="1378">
        <f>SUMIF('13.建安成本表'!$B$76:$B$88,综合表!CK4,'13.建安成本表'!$N$76:$N$88)</f>
        <v>0</v>
      </c>
      <c r="CM19" s="1375">
        <f t="shared" si="143"/>
        <v>0</v>
      </c>
      <c r="CN19" s="1378">
        <f>SUMIF('13.建安成本表'!$B$76:$B$88,综合表!CM4,'13.建安成本表'!$N$76:$N$88)</f>
        <v>0</v>
      </c>
      <c r="CO19" s="1375">
        <f t="shared" si="144"/>
        <v>0</v>
      </c>
      <c r="CP19" s="1378">
        <f>SUMIF('13.建安成本表'!$B$76:$B$88,综合表!CO4,'13.建安成本表'!$N$76:$N$88)</f>
        <v>0</v>
      </c>
      <c r="CQ19" s="1375">
        <f t="shared" si="145"/>
        <v>0</v>
      </c>
      <c r="CR19" s="1378">
        <f>SUMIF('13.建安成本表'!$B$76:$B$88,综合表!CQ4,'13.建安成本表'!$N$76:$N$88)</f>
        <v>0</v>
      </c>
      <c r="CS19" s="1375">
        <f t="shared" si="146"/>
        <v>0</v>
      </c>
      <c r="CT19" s="1378">
        <f>SUMIF('13.建安成本表'!$B$76:$B$88,综合表!CS4,'13.建安成本表'!$N$76:$N$88)</f>
        <v>0</v>
      </c>
      <c r="CU19" s="1375">
        <f t="shared" si="147"/>
        <v>0</v>
      </c>
      <c r="CV19" s="1378">
        <f>SUMIF('13.建安成本表'!$B$76:$B$88,综合表!CU4,'13.建安成本表'!$N$76:$N$88)</f>
        <v>0</v>
      </c>
      <c r="CW19" s="1375">
        <f t="shared" si="148"/>
        <v>0</v>
      </c>
      <c r="CX19" s="1378">
        <f>SUMIF('13.建安成本表'!$B$76:$B$88,综合表!CW4,'13.建安成本表'!$N$76:$N$88)</f>
        <v>0</v>
      </c>
      <c r="CY19" s="1375">
        <f t="shared" si="149"/>
        <v>0</v>
      </c>
      <c r="CZ19" s="1378">
        <f>SUMIF('13.建安成本表'!$B$76:$B$88,综合表!CY4,'13.建安成本表'!$N$76:$N$88)</f>
        <v>0</v>
      </c>
      <c r="DA19" s="1375">
        <f t="shared" si="150"/>
        <v>0</v>
      </c>
      <c r="DB19" s="1378">
        <f>SUMIF('13.建安成本表'!$B$76:$B$88,综合表!DA4,'13.建安成本表'!$N$76:$N$88)</f>
        <v>0</v>
      </c>
      <c r="DC19" s="1375">
        <f t="shared" si="151"/>
        <v>0</v>
      </c>
      <c r="DD19" s="1378">
        <f>SUMIF('13.建安成本表'!$B$76:$B$88,综合表!DC4,'13.建安成本表'!$N$76:$N$88)</f>
        <v>0</v>
      </c>
      <c r="DE19" s="1375">
        <f t="shared" si="152"/>
        <v>0</v>
      </c>
      <c r="DF19" s="1378">
        <f>SUMIF('13.建安成本表'!$B$76:$B$88,综合表!DE4,'13.建安成本表'!$N$76:$N$88)</f>
        <v>0</v>
      </c>
      <c r="DG19" s="1385">
        <f t="shared" si="153"/>
        <v>0</v>
      </c>
      <c r="DH19" s="1385">
        <f t="shared" si="187"/>
        <v>0</v>
      </c>
      <c r="DI19" s="1375">
        <f t="shared" si="154"/>
        <v>0</v>
      </c>
      <c r="DJ19" s="1378">
        <f>SUMIF('13.建安成本表'!$B$76:$B$88,综合表!DI4,'13.建安成本表'!$Q$76:$Q$88)</f>
        <v>0</v>
      </c>
      <c r="DK19" s="1375">
        <f t="shared" si="155"/>
        <v>0</v>
      </c>
      <c r="DL19" s="1378">
        <f>SUMIF('13.建安成本表'!$B$76:$B$88,综合表!DK4,'13.建安成本表'!$Q$76:$Q$88)</f>
        <v>0</v>
      </c>
      <c r="DM19" s="1375">
        <f t="shared" si="156"/>
        <v>0</v>
      </c>
      <c r="DN19" s="1378">
        <f>SUMIF('13.建安成本表'!$B$76:$B$88,综合表!DM4,'13.建安成本表'!$Q$76:$Q$88)</f>
        <v>0</v>
      </c>
      <c r="DO19" s="1375">
        <f t="shared" si="157"/>
        <v>0</v>
      </c>
      <c r="DP19" s="1378">
        <f>SUMIF('13.建安成本表'!$B$76:$B$88,综合表!DO4,'13.建安成本表'!$Q$76:$Q$88)</f>
        <v>0</v>
      </c>
      <c r="DQ19" s="1375">
        <f t="shared" si="158"/>
        <v>0</v>
      </c>
      <c r="DR19" s="1378">
        <f>SUMIF('13.建安成本表'!$B$76:$B$88,综合表!DQ4,'13.建安成本表'!$Q$76:$Q$88)</f>
        <v>0</v>
      </c>
      <c r="DS19" s="1375">
        <f t="shared" si="159"/>
        <v>0</v>
      </c>
      <c r="DT19" s="1378">
        <f>SUMIF('13.建安成本表'!$B$76:$B$88,综合表!DS4,'13.建安成本表'!$Q$76:$Q$88)</f>
        <v>0</v>
      </c>
      <c r="DU19" s="1375">
        <f t="shared" si="160"/>
        <v>0</v>
      </c>
      <c r="DV19" s="1378">
        <f>SUMIF('13.建安成本表'!$B$76:$B$88,综合表!DU4,'13.建安成本表'!$Q$76:$Q$88)</f>
        <v>0</v>
      </c>
      <c r="DW19" s="1375">
        <f t="shared" si="161"/>
        <v>0</v>
      </c>
      <c r="DX19" s="1378">
        <f>SUMIF('13.建安成本表'!$B$76:$B$88,综合表!DW4,'13.建安成本表'!$Q$76:$Q$88)</f>
        <v>0</v>
      </c>
      <c r="DY19" s="1375">
        <f t="shared" si="162"/>
        <v>0</v>
      </c>
      <c r="DZ19" s="1378">
        <f>SUMIF('13.建安成本表'!$B$76:$B$88,综合表!DY4,'13.建安成本表'!$Q$76:$Q$88)</f>
        <v>0</v>
      </c>
      <c r="EA19" s="1375">
        <f t="shared" si="163"/>
        <v>0</v>
      </c>
      <c r="EB19" s="1378">
        <f>SUMIF('13.建安成本表'!$B$76:$B$88,综合表!EA4,'13.建安成本表'!$Q$76:$Q$88)</f>
        <v>0</v>
      </c>
      <c r="EC19" s="1375">
        <f t="shared" si="164"/>
        <v>0</v>
      </c>
      <c r="ED19" s="1378">
        <f>SUMIF('13.建安成本表'!$B$76:$B$88,综合表!EC4,'13.建安成本表'!$Q$76:$Q$88)</f>
        <v>0</v>
      </c>
      <c r="EE19" s="1375">
        <f t="shared" si="165"/>
        <v>0</v>
      </c>
      <c r="EF19" s="1378">
        <f>SUMIF('13.建安成本表'!$B$76:$B$88,综合表!EE4,'13.建安成本表'!$Q$76:$Q$88)</f>
        <v>0</v>
      </c>
      <c r="EG19" s="1385">
        <f t="shared" si="166"/>
        <v>0</v>
      </c>
      <c r="EH19" s="1385">
        <f t="shared" si="188"/>
        <v>0</v>
      </c>
      <c r="EI19" s="1375">
        <f t="shared" si="167"/>
        <v>0</v>
      </c>
      <c r="EJ19" s="1378">
        <f>SUMIF('13.建安成本表'!$B$76:$B$88,综合表!EI4,'13.建安成本表'!$T$76:$T$88)</f>
        <v>0</v>
      </c>
      <c r="EK19" s="1375">
        <f t="shared" si="168"/>
        <v>0</v>
      </c>
      <c r="EL19" s="1378">
        <f>SUMIF('13.建安成本表'!$B$76:$B$88,综合表!EK4,'13.建安成本表'!$T$76:$T$88)</f>
        <v>0</v>
      </c>
      <c r="EM19" s="1375">
        <f t="shared" si="169"/>
        <v>0</v>
      </c>
      <c r="EN19" s="1378">
        <f>SUMIF('13.建安成本表'!$B$76:$B$88,综合表!EM4,'13.建安成本表'!$T$76:$T$88)</f>
        <v>0</v>
      </c>
      <c r="EO19" s="1375">
        <f t="shared" si="170"/>
        <v>0</v>
      </c>
      <c r="EP19" s="1378">
        <f>SUMIF('13.建安成本表'!$B$76:$B$88,综合表!EO4,'13.建安成本表'!$T$76:$T$88)</f>
        <v>0</v>
      </c>
      <c r="EQ19" s="1375">
        <f t="shared" si="171"/>
        <v>0</v>
      </c>
      <c r="ER19" s="1378">
        <f>SUMIF('13.建安成本表'!$B$76:$B$88,综合表!EQ4,'13.建安成本表'!$T$76:$T$88)</f>
        <v>0</v>
      </c>
      <c r="ES19" s="1375">
        <f t="shared" si="172"/>
        <v>0</v>
      </c>
      <c r="ET19" s="1378">
        <f>SUMIF('13.建安成本表'!$B$76:$B$88,综合表!ES4,'13.建安成本表'!$T$76:$T$88)</f>
        <v>0</v>
      </c>
      <c r="EU19" s="1375">
        <f t="shared" si="173"/>
        <v>0</v>
      </c>
      <c r="EV19" s="1378">
        <f>SUMIF('13.建安成本表'!$B$76:$B$88,综合表!EU4,'13.建安成本表'!$T$76:$T$88)</f>
        <v>0</v>
      </c>
      <c r="EW19" s="1375">
        <f t="shared" si="174"/>
        <v>0</v>
      </c>
      <c r="EX19" s="1378">
        <f>SUMIF('13.建安成本表'!$B$76:$B$88,综合表!EW4,'13.建安成本表'!$T$76:$T$88)</f>
        <v>0</v>
      </c>
      <c r="EY19" s="1375">
        <f t="shared" si="175"/>
        <v>0</v>
      </c>
      <c r="EZ19" s="1378">
        <f>SUMIF('13.建安成本表'!$B$76:$B$88,综合表!EY4,'13.建安成本表'!$T$76:$T$88)</f>
        <v>0</v>
      </c>
      <c r="FA19" s="1375">
        <f t="shared" si="176"/>
        <v>0</v>
      </c>
      <c r="FB19" s="1378">
        <f>SUMIF('13.建安成本表'!$B$76:$B$88,综合表!FA4,'13.建安成本表'!$T$76:$T$88)</f>
        <v>0</v>
      </c>
      <c r="FC19" s="1375">
        <f t="shared" si="177"/>
        <v>0</v>
      </c>
      <c r="FD19" s="1378">
        <f>SUMIF('13.建安成本表'!$B$76:$B$88,综合表!FC4,'13.建安成本表'!$T$76:$T$88)</f>
        <v>0</v>
      </c>
      <c r="FE19" s="1375">
        <f t="shared" si="178"/>
        <v>0</v>
      </c>
      <c r="FF19" s="1378">
        <f>SUMIF('13.建安成本表'!$B$76:$B$88,综合表!FE4,'13.建安成本表'!$T$76:$T$88)</f>
        <v>0</v>
      </c>
    </row>
    <row r="20" spans="1:162" s="1361" customFormat="1" ht="16.5" customHeight="1">
      <c r="A20" s="1788"/>
      <c r="B20" s="1376" t="str">
        <f>CONCATENATE("4.6配套设施分摊","（",ROUND(IFERROR(D20/($D$14)%,0),2),"%）")</f>
        <v>4.6配套设施分摊（11.4%）</v>
      </c>
      <c r="C20" s="1383">
        <f t="shared" si="179"/>
        <v>595.16384332105793</v>
      </c>
      <c r="D20" s="1378">
        <f t="shared" si="103"/>
        <v>3555.5088000000001</v>
      </c>
      <c r="E20" s="1390"/>
      <c r="F20" s="1387"/>
      <c r="G20" s="1375">
        <f t="shared" si="180"/>
        <v>595.16384332105793</v>
      </c>
      <c r="H20" s="1385">
        <f t="shared" ref="H20:H28" si="192">J20+L20+N20+P20+R20+T20+V20+X20+Z20+AB20+AD20+AF20</f>
        <v>3555.5088000000001</v>
      </c>
      <c r="I20" s="1375">
        <f t="shared" si="104"/>
        <v>556</v>
      </c>
      <c r="J20" s="1385">
        <f>SUMIF('13.建安成本表'!$B$90:$B$102,综合表!I4,'13.建安成本表'!$E$90:$E$102)+J24</f>
        <v>3119.16</v>
      </c>
      <c r="K20" s="1375">
        <f t="shared" si="105"/>
        <v>556</v>
      </c>
      <c r="L20" s="1385">
        <f>SUMIF('13.建安成本表'!$B$90:$B$102,综合表!K4,'13.建安成本表'!$E$90:$E$102)+L24</f>
        <v>202.38399999999999</v>
      </c>
      <c r="M20" s="1375">
        <f t="shared" si="106"/>
        <v>0</v>
      </c>
      <c r="N20" s="1385">
        <f>SUMIF('13.建安成本表'!$B$90:$B$102,综合表!M4,'13.建安成本表'!$E$90:$E$102)+N24</f>
        <v>233.9648</v>
      </c>
      <c r="O20" s="1375">
        <f t="shared" si="107"/>
        <v>0</v>
      </c>
      <c r="P20" s="1385">
        <f>SUMIF('13.建安成本表'!$B$90:$B$102,综合表!O4,'13.建安成本表'!$E$90:$E$102)+P24</f>
        <v>0</v>
      </c>
      <c r="Q20" s="1375">
        <f t="shared" si="108"/>
        <v>0</v>
      </c>
      <c r="R20" s="1385">
        <f>SUMIF('13.建安成本表'!$B$90:$B$102,综合表!Q4,'13.建安成本表'!$E$90:$E$102)+R24</f>
        <v>0</v>
      </c>
      <c r="S20" s="1375">
        <f t="shared" si="109"/>
        <v>0</v>
      </c>
      <c r="T20" s="1385">
        <f>SUMIF('13.建安成本表'!$B$90:$B$102,综合表!S4,'13.建安成本表'!$E$90:$E$102)+T24</f>
        <v>0</v>
      </c>
      <c r="U20" s="1375">
        <f t="shared" si="110"/>
        <v>0</v>
      </c>
      <c r="V20" s="1385">
        <f>SUMIF('13.建安成本表'!$B$90:$B$102,综合表!U4,'13.建安成本表'!$E$90:$E$102)+V24</f>
        <v>0</v>
      </c>
      <c r="W20" s="1375">
        <f t="shared" si="111"/>
        <v>0</v>
      </c>
      <c r="X20" s="1385">
        <f>SUMIF('13.建安成本表'!$B$90:$B$102,综合表!W4,'13.建安成本表'!$E$90:$E$102)+X24</f>
        <v>0</v>
      </c>
      <c r="Y20" s="1375">
        <f t="shared" si="112"/>
        <v>0</v>
      </c>
      <c r="Z20" s="1385">
        <f>SUMIF('13.建安成本表'!$B$90:$B$102,综合表!Y4,'13.建安成本表'!$E$90:$E$102)+Z24</f>
        <v>0</v>
      </c>
      <c r="AA20" s="1375">
        <f t="shared" si="113"/>
        <v>0</v>
      </c>
      <c r="AB20" s="1385">
        <f>SUMIF('13.建安成本表'!$B$90:$B$102,综合表!AA4,'13.建安成本表'!$E$90:$E$102)+AB24</f>
        <v>0</v>
      </c>
      <c r="AC20" s="1375">
        <f t="shared" si="114"/>
        <v>0</v>
      </c>
      <c r="AD20" s="1385">
        <f>SUMIF('13.建安成本表'!$B$90:$B$102,综合表!AC4,'13.建安成本表'!$E$90:$E$102)+AD24</f>
        <v>0</v>
      </c>
      <c r="AE20" s="1375">
        <f t="shared" si="115"/>
        <v>0</v>
      </c>
      <c r="AF20" s="1385">
        <f>SUMIF('13.建安成本表'!$B$90:$B$102,综合表!AE4,'13.建安成本表'!$E$90:$E$102)+AF24</f>
        <v>0</v>
      </c>
      <c r="AG20" s="1375">
        <f t="shared" si="116"/>
        <v>0</v>
      </c>
      <c r="AH20" s="1385">
        <f t="shared" si="182"/>
        <v>0</v>
      </c>
      <c r="AI20" s="1375">
        <f t="shared" si="117"/>
        <v>0</v>
      </c>
      <c r="AJ20" s="1385">
        <f>SUMIF('13.建安成本表'!$B$90:$B$102,综合表!AI4,'13.建安成本表'!$H$90:$H$102)+AJ24</f>
        <v>0</v>
      </c>
      <c r="AK20" s="1375">
        <f t="shared" si="118"/>
        <v>0</v>
      </c>
      <c r="AL20" s="1385">
        <f>SUMIF('13.建安成本表'!$B$90:$B$102,综合表!AK4,'13.建安成本表'!$H$90:$H$102)+AL24</f>
        <v>0</v>
      </c>
      <c r="AM20" s="1375">
        <f t="shared" si="119"/>
        <v>0</v>
      </c>
      <c r="AN20" s="1385">
        <f>SUMIF('13.建安成本表'!$B$90:$B$102,综合表!AM4,'13.建安成本表'!$H$90:$H$102)+AN24</f>
        <v>0</v>
      </c>
      <c r="AO20" s="1375">
        <f t="shared" si="120"/>
        <v>0</v>
      </c>
      <c r="AP20" s="1385">
        <f>SUMIF('13.建安成本表'!$B$90:$B$102,综合表!AO4,'13.建安成本表'!$H$90:$H$102)+AP24</f>
        <v>0</v>
      </c>
      <c r="AQ20" s="1375">
        <f t="shared" si="121"/>
        <v>0</v>
      </c>
      <c r="AR20" s="1385">
        <f>SUMIF('13.建安成本表'!$B$90:$B$102,综合表!AQ4,'13.建安成本表'!$H$90:$H$102)+AR24</f>
        <v>0</v>
      </c>
      <c r="AS20" s="1375">
        <f t="shared" si="122"/>
        <v>0</v>
      </c>
      <c r="AT20" s="1385">
        <f>SUMIF('13.建安成本表'!$B$90:$B$102,综合表!AS4,'13.建安成本表'!$H$90:$H$102)+AT24</f>
        <v>0</v>
      </c>
      <c r="AU20" s="1375">
        <f t="shared" si="123"/>
        <v>0</v>
      </c>
      <c r="AV20" s="1385">
        <f>SUMIF('13.建安成本表'!$B$90:$B$102,综合表!AU4,'13.建安成本表'!$H$90:$H$102)+AV24</f>
        <v>0</v>
      </c>
      <c r="AW20" s="1375">
        <f t="shared" si="124"/>
        <v>0</v>
      </c>
      <c r="AX20" s="1385">
        <f>SUMIF('13.建安成本表'!$B$90:$B$102,综合表!AW4,'13.建安成本表'!$H$90:$H$102)+AX24</f>
        <v>0</v>
      </c>
      <c r="AY20" s="1375">
        <f t="shared" si="125"/>
        <v>0</v>
      </c>
      <c r="AZ20" s="1385">
        <f>SUMIF('13.建安成本表'!$B$90:$B$102,综合表!AY4,'13.建安成本表'!$H$90:$H$102)+AZ24</f>
        <v>0</v>
      </c>
      <c r="BA20" s="1375">
        <f t="shared" si="126"/>
        <v>0</v>
      </c>
      <c r="BB20" s="1385">
        <f>SUMIF('13.建安成本表'!$B$90:$B$102,综合表!BA4,'13.建安成本表'!$H$90:$H$102)+BB24</f>
        <v>0</v>
      </c>
      <c r="BC20" s="1375">
        <f t="shared" si="127"/>
        <v>0</v>
      </c>
      <c r="BD20" s="1385">
        <f>SUMIF('13.建安成本表'!$B$90:$B$102,综合表!BC4,'13.建安成本表'!$H$90:$H$102)+BD24</f>
        <v>0</v>
      </c>
      <c r="BE20" s="1375">
        <f t="shared" si="128"/>
        <v>0</v>
      </c>
      <c r="BF20" s="1385">
        <f>SUMIF('13.建安成本表'!$B$90:$B$102,综合表!BE4,'13.建安成本表'!$H$90:$H$102)+BF24</f>
        <v>0</v>
      </c>
      <c r="BG20" s="1385">
        <f t="shared" si="183"/>
        <v>0</v>
      </c>
      <c r="BH20" s="1385">
        <f t="shared" si="184"/>
        <v>0</v>
      </c>
      <c r="BI20" s="1375">
        <f t="shared" si="129"/>
        <v>0</v>
      </c>
      <c r="BJ20" s="1385">
        <f>SUMIF('13.建安成本表'!$B$90:$B$102,综合表!BI4,'13.建安成本表'!$K$90:$K$102)+BJ24</f>
        <v>0</v>
      </c>
      <c r="BK20" s="1375">
        <f t="shared" si="130"/>
        <v>0</v>
      </c>
      <c r="BL20" s="1385">
        <f>SUMIF('13.建安成本表'!$B$90:$B$102,综合表!BK4,'13.建安成本表'!$K$90:$K$102)+BL24</f>
        <v>0</v>
      </c>
      <c r="BM20" s="1375">
        <f t="shared" si="131"/>
        <v>0</v>
      </c>
      <c r="BN20" s="1385">
        <f>SUMIF('13.建安成本表'!$B$90:$B$102,综合表!BM4,'13.建安成本表'!$K$90:$K$102)+BN24</f>
        <v>0</v>
      </c>
      <c r="BO20" s="1375">
        <f t="shared" si="132"/>
        <v>0</v>
      </c>
      <c r="BP20" s="1385">
        <f>SUMIF('13.建安成本表'!$B$90:$B$102,综合表!BO4,'13.建安成本表'!$K$90:$K$102)+BP24</f>
        <v>0</v>
      </c>
      <c r="BQ20" s="1375">
        <f t="shared" si="133"/>
        <v>0</v>
      </c>
      <c r="BR20" s="1385">
        <f>SUMIF('13.建安成本表'!$B$90:$B$102,综合表!BQ4,'13.建安成本表'!$K$90:$K$102)+BR24</f>
        <v>0</v>
      </c>
      <c r="BS20" s="1375">
        <f t="shared" si="134"/>
        <v>0</v>
      </c>
      <c r="BT20" s="1385">
        <f>SUMIF('13.建安成本表'!$B$90:$B$102,综合表!BS4,'13.建安成本表'!$K$90:$K$102)+BT24</f>
        <v>0</v>
      </c>
      <c r="BU20" s="1375">
        <f t="shared" si="135"/>
        <v>0</v>
      </c>
      <c r="BV20" s="1385">
        <f>SUMIF('13.建安成本表'!$B$90:$B$102,综合表!BU4,'13.建安成本表'!$K$90:$K$102)+BV24</f>
        <v>0</v>
      </c>
      <c r="BW20" s="1375">
        <f t="shared" si="136"/>
        <v>0</v>
      </c>
      <c r="BX20" s="1385">
        <f>SUMIF('13.建安成本表'!$B$90:$B$102,综合表!BW4,'13.建安成本表'!$K$90:$K$102)+BX24</f>
        <v>0</v>
      </c>
      <c r="BY20" s="1375">
        <f t="shared" si="137"/>
        <v>0</v>
      </c>
      <c r="BZ20" s="1385">
        <f>SUMIF('13.建安成本表'!$B$90:$B$102,综合表!BY4,'13.建安成本表'!$K$90:$K$102)+BZ24</f>
        <v>0</v>
      </c>
      <c r="CA20" s="1375">
        <f t="shared" si="138"/>
        <v>0</v>
      </c>
      <c r="CB20" s="1385">
        <f>SUMIF('13.建安成本表'!$B$90:$B$102,综合表!CA4,'13.建安成本表'!$K$90:$K$102)+CB24</f>
        <v>0</v>
      </c>
      <c r="CC20" s="1375">
        <f t="shared" si="139"/>
        <v>0</v>
      </c>
      <c r="CD20" s="1385">
        <f>SUMIF('13.建安成本表'!$B$90:$B$102,综合表!CC4,'13.建安成本表'!$K$90:$K$102)+CD24</f>
        <v>0</v>
      </c>
      <c r="CE20" s="1375">
        <f t="shared" si="140"/>
        <v>0</v>
      </c>
      <c r="CF20" s="1385">
        <f>SUMIF('13.建安成本表'!$B$90:$B$102,综合表!CE4,'13.建安成本表'!$K$90:$K$102)+CF24</f>
        <v>0</v>
      </c>
      <c r="CG20" s="1385">
        <f t="shared" si="185"/>
        <v>0</v>
      </c>
      <c r="CH20" s="1385">
        <f t="shared" si="186"/>
        <v>0</v>
      </c>
      <c r="CI20" s="1375">
        <f t="shared" si="141"/>
        <v>0</v>
      </c>
      <c r="CJ20" s="1385">
        <f>SUMIF('13.建安成本表'!$B$90:$B$102,综合表!CI4,'13.建安成本表'!$N$90:$N$102)+CJ24</f>
        <v>0</v>
      </c>
      <c r="CK20" s="1375">
        <f t="shared" si="142"/>
        <v>0</v>
      </c>
      <c r="CL20" s="1385">
        <f>SUMIF('13.建安成本表'!$B$90:$B$102,综合表!CK4,'13.建安成本表'!$N$90:$N$102)+CL24</f>
        <v>0</v>
      </c>
      <c r="CM20" s="1375">
        <f t="shared" si="143"/>
        <v>0</v>
      </c>
      <c r="CN20" s="1385">
        <f>SUMIF('13.建安成本表'!$B$90:$B$102,综合表!CM4,'13.建安成本表'!$N$90:$N$102)+CN24</f>
        <v>0</v>
      </c>
      <c r="CO20" s="1375">
        <f t="shared" si="144"/>
        <v>0</v>
      </c>
      <c r="CP20" s="1385">
        <f>SUMIF('13.建安成本表'!$B$90:$B$102,综合表!CO4,'13.建安成本表'!$N$90:$N$102)+CP24</f>
        <v>0</v>
      </c>
      <c r="CQ20" s="1375">
        <f t="shared" si="145"/>
        <v>0</v>
      </c>
      <c r="CR20" s="1385">
        <f>SUMIF('13.建安成本表'!$B$90:$B$102,综合表!CQ4,'13.建安成本表'!$N$90:$N$102)+CR24</f>
        <v>0</v>
      </c>
      <c r="CS20" s="1375">
        <f t="shared" si="146"/>
        <v>0</v>
      </c>
      <c r="CT20" s="1385">
        <f>SUMIF('13.建安成本表'!$B$90:$B$102,综合表!CS4,'13.建安成本表'!$N$90:$N$102)+CT24</f>
        <v>0</v>
      </c>
      <c r="CU20" s="1375">
        <f t="shared" si="147"/>
        <v>0</v>
      </c>
      <c r="CV20" s="1385">
        <f>SUMIF('13.建安成本表'!$B$90:$B$102,综合表!CU4,'13.建安成本表'!$N$90:$N$102)+CV24</f>
        <v>0</v>
      </c>
      <c r="CW20" s="1375">
        <f t="shared" si="148"/>
        <v>0</v>
      </c>
      <c r="CX20" s="1385">
        <f>SUMIF('13.建安成本表'!$B$90:$B$102,综合表!CW4,'13.建安成本表'!$N$90:$N$102)+CX24</f>
        <v>0</v>
      </c>
      <c r="CY20" s="1375">
        <f t="shared" si="149"/>
        <v>0</v>
      </c>
      <c r="CZ20" s="1385">
        <f>SUMIF('13.建安成本表'!$B$90:$B$102,综合表!CY4,'13.建安成本表'!$N$90:$N$102)+CZ24</f>
        <v>0</v>
      </c>
      <c r="DA20" s="1375">
        <f t="shared" si="150"/>
        <v>0</v>
      </c>
      <c r="DB20" s="1385">
        <f>SUMIF('13.建安成本表'!$B$90:$B$102,综合表!DA4,'13.建安成本表'!$N$90:$N$102)+DB24</f>
        <v>0</v>
      </c>
      <c r="DC20" s="1375">
        <f t="shared" si="151"/>
        <v>0</v>
      </c>
      <c r="DD20" s="1385">
        <f>SUMIF('13.建安成本表'!$B$90:$B$102,综合表!DC4,'13.建安成本表'!$N$90:$N$102)+DD24</f>
        <v>0</v>
      </c>
      <c r="DE20" s="1375">
        <f t="shared" si="152"/>
        <v>0</v>
      </c>
      <c r="DF20" s="1385">
        <f>SUMIF('13.建安成本表'!$B$90:$B$102,综合表!DE4,'13.建安成本表'!$N$90:$N$102)+DF24</f>
        <v>0</v>
      </c>
      <c r="DG20" s="1385">
        <f t="shared" si="153"/>
        <v>0</v>
      </c>
      <c r="DH20" s="1385">
        <f t="shared" si="187"/>
        <v>0</v>
      </c>
      <c r="DI20" s="1375">
        <f t="shared" si="154"/>
        <v>0</v>
      </c>
      <c r="DJ20" s="1385">
        <f>SUMIF('13.建安成本表'!$B$90:$B$102,综合表!DI4,'13.建安成本表'!$Q$90:$Q$102)+DJ24</f>
        <v>0</v>
      </c>
      <c r="DK20" s="1375">
        <f t="shared" si="155"/>
        <v>0</v>
      </c>
      <c r="DL20" s="1385">
        <f>SUMIF('13.建安成本表'!$B$90:$B$102,综合表!DK4,'13.建安成本表'!$Q$90:$Q$102)+DL24</f>
        <v>0</v>
      </c>
      <c r="DM20" s="1375">
        <f t="shared" si="156"/>
        <v>0</v>
      </c>
      <c r="DN20" s="1385">
        <f>SUMIF('13.建安成本表'!$B$90:$B$102,综合表!DM4,'13.建安成本表'!$Q$90:$Q$102)+DN24</f>
        <v>0</v>
      </c>
      <c r="DO20" s="1375">
        <f t="shared" si="157"/>
        <v>0</v>
      </c>
      <c r="DP20" s="1385">
        <f>SUMIF('13.建安成本表'!$B$90:$B$102,综合表!DO4,'13.建安成本表'!$Q$90:$Q$102)+DP24</f>
        <v>0</v>
      </c>
      <c r="DQ20" s="1375">
        <f t="shared" si="158"/>
        <v>0</v>
      </c>
      <c r="DR20" s="1385">
        <f>SUMIF('13.建安成本表'!$B$90:$B$102,综合表!DQ4,'13.建安成本表'!$Q$90:$Q$102)+DR24</f>
        <v>0</v>
      </c>
      <c r="DS20" s="1375">
        <f t="shared" si="159"/>
        <v>0</v>
      </c>
      <c r="DT20" s="1385">
        <f>SUMIF('13.建安成本表'!$B$90:$B$102,综合表!DS4,'13.建安成本表'!$Q$90:$Q$102)+DT24</f>
        <v>0</v>
      </c>
      <c r="DU20" s="1375">
        <f t="shared" si="160"/>
        <v>0</v>
      </c>
      <c r="DV20" s="1385">
        <f>SUMIF('13.建安成本表'!$B$90:$B$102,综合表!DU4,'13.建安成本表'!$Q$90:$Q$102)+DV24</f>
        <v>0</v>
      </c>
      <c r="DW20" s="1375">
        <f t="shared" si="161"/>
        <v>0</v>
      </c>
      <c r="DX20" s="1385">
        <f>SUMIF('13.建安成本表'!$B$90:$B$102,综合表!DW4,'13.建安成本表'!$Q$90:$Q$102)+DX24</f>
        <v>0</v>
      </c>
      <c r="DY20" s="1375">
        <f t="shared" si="162"/>
        <v>0</v>
      </c>
      <c r="DZ20" s="1385">
        <f>SUMIF('13.建安成本表'!$B$90:$B$102,综合表!DY4,'13.建安成本表'!$Q$90:$Q$102)+DZ24</f>
        <v>0</v>
      </c>
      <c r="EA20" s="1375">
        <f t="shared" si="163"/>
        <v>0</v>
      </c>
      <c r="EB20" s="1385">
        <f>SUMIF('13.建安成本表'!$B$90:$B$102,综合表!EA4,'13.建安成本表'!$Q$90:$Q$102)+EB24</f>
        <v>0</v>
      </c>
      <c r="EC20" s="1375">
        <f t="shared" si="164"/>
        <v>0</v>
      </c>
      <c r="ED20" s="1385">
        <f>SUMIF('13.建安成本表'!$B$90:$B$102,综合表!EC4,'13.建安成本表'!$Q$90:$Q$102)+ED24</f>
        <v>0</v>
      </c>
      <c r="EE20" s="1375">
        <f t="shared" si="165"/>
        <v>0</v>
      </c>
      <c r="EF20" s="1385">
        <f>SUMIF('13.建安成本表'!$B$90:$B$102,综合表!EE4,'13.建安成本表'!$Q$90:$Q$102)+EF24</f>
        <v>0</v>
      </c>
      <c r="EG20" s="1385">
        <f t="shared" si="166"/>
        <v>0</v>
      </c>
      <c r="EH20" s="1385">
        <f t="shared" si="188"/>
        <v>0</v>
      </c>
      <c r="EI20" s="1375">
        <f t="shared" si="167"/>
        <v>0</v>
      </c>
      <c r="EJ20" s="1385">
        <f>SUMIF('13.建安成本表'!$B$90:$B$102,综合表!EI4,'13.建安成本表'!$T$90:$T$102)+EJ24</f>
        <v>0</v>
      </c>
      <c r="EK20" s="1375">
        <f t="shared" si="168"/>
        <v>0</v>
      </c>
      <c r="EL20" s="1385">
        <f>SUMIF('13.建安成本表'!$B$90:$B$102,综合表!EK4,'13.建安成本表'!$T$90:$T$102)+EL24</f>
        <v>0</v>
      </c>
      <c r="EM20" s="1375">
        <f t="shared" si="169"/>
        <v>0</v>
      </c>
      <c r="EN20" s="1385">
        <f>SUMIF('13.建安成本表'!$B$90:$B$102,综合表!EM4,'13.建安成本表'!$T$90:$T$102)+EN24</f>
        <v>0</v>
      </c>
      <c r="EO20" s="1375">
        <f t="shared" si="170"/>
        <v>0</v>
      </c>
      <c r="EP20" s="1385">
        <f>SUMIF('13.建安成本表'!$B$90:$B$102,综合表!EO4,'13.建安成本表'!$T$90:$T$102)+EP24</f>
        <v>0</v>
      </c>
      <c r="EQ20" s="1375">
        <f t="shared" si="171"/>
        <v>0</v>
      </c>
      <c r="ER20" s="1385">
        <f>SUMIF('13.建安成本表'!$B$90:$B$102,综合表!EQ4,'13.建安成本表'!$T$90:$T$102)+ER24</f>
        <v>0</v>
      </c>
      <c r="ES20" s="1375">
        <f t="shared" si="172"/>
        <v>0</v>
      </c>
      <c r="ET20" s="1385">
        <f>SUMIF('13.建安成本表'!$B$90:$B$102,综合表!ES4,'13.建安成本表'!$T$90:$T$102)+ET24</f>
        <v>0</v>
      </c>
      <c r="EU20" s="1375">
        <f t="shared" si="173"/>
        <v>0</v>
      </c>
      <c r="EV20" s="1385">
        <f>SUMIF('13.建安成本表'!$B$90:$B$102,综合表!EU4,'13.建安成本表'!$T$90:$T$102)+EV24</f>
        <v>0</v>
      </c>
      <c r="EW20" s="1375">
        <f t="shared" si="174"/>
        <v>0</v>
      </c>
      <c r="EX20" s="1385">
        <f>SUMIF('13.建安成本表'!$B$90:$B$102,综合表!EW4,'13.建安成本表'!$T$90:$T$102)+EX24</f>
        <v>0</v>
      </c>
      <c r="EY20" s="1375">
        <f t="shared" si="175"/>
        <v>0</v>
      </c>
      <c r="EZ20" s="1385">
        <f>SUMIF('13.建安成本表'!$B$90:$B$102,综合表!EY4,'13.建安成本表'!$T$90:$T$102)+EZ24</f>
        <v>0</v>
      </c>
      <c r="FA20" s="1375">
        <f t="shared" si="176"/>
        <v>0</v>
      </c>
      <c r="FB20" s="1385">
        <f>SUMIF('13.建安成本表'!$B$90:$B$102,综合表!FA4,'13.建安成本表'!$T$90:$T$102)+FB24</f>
        <v>0</v>
      </c>
      <c r="FC20" s="1375">
        <f t="shared" si="177"/>
        <v>0</v>
      </c>
      <c r="FD20" s="1385">
        <f>SUMIF('13.建安成本表'!$B$90:$B$102,综合表!FC4,'13.建安成本表'!$T$90:$T$102)+FD24</f>
        <v>0</v>
      </c>
      <c r="FE20" s="1375">
        <f t="shared" si="178"/>
        <v>0</v>
      </c>
      <c r="FF20" s="1385">
        <f>SUMIF('13.建安成本表'!$B$90:$B$102,综合表!FE4,'13.建安成本表'!$T$90:$T$102)+FF24</f>
        <v>0</v>
      </c>
    </row>
    <row r="21" spans="1:162" s="1361" customFormat="1" ht="16.5" customHeight="1" outlineLevel="1">
      <c r="A21" s="1788"/>
      <c r="B21" s="1391" t="s">
        <v>292</v>
      </c>
      <c r="C21" s="1383">
        <f t="shared" si="179"/>
        <v>0</v>
      </c>
      <c r="D21" s="1378">
        <f t="shared" ref="D21:D28" si="193">H21+AH21+BH21+CH21+DH21+EH21</f>
        <v>0</v>
      </c>
      <c r="E21" s="1389"/>
      <c r="F21" s="1387"/>
      <c r="G21" s="1375">
        <f t="shared" si="180"/>
        <v>0</v>
      </c>
      <c r="H21" s="1385">
        <f t="shared" si="192"/>
        <v>0</v>
      </c>
      <c r="I21" s="1375">
        <f t="shared" si="104"/>
        <v>0</v>
      </c>
      <c r="J21" s="1385"/>
      <c r="K21" s="1375">
        <f t="shared" si="105"/>
        <v>0</v>
      </c>
      <c r="L21" s="1385"/>
      <c r="M21" s="1375">
        <f t="shared" si="106"/>
        <v>0</v>
      </c>
      <c r="N21" s="1385"/>
      <c r="O21" s="1375">
        <f t="shared" si="107"/>
        <v>0</v>
      </c>
      <c r="P21" s="1385"/>
      <c r="Q21" s="1375">
        <f t="shared" si="108"/>
        <v>0</v>
      </c>
      <c r="R21" s="1385"/>
      <c r="S21" s="1375">
        <f t="shared" si="109"/>
        <v>0</v>
      </c>
      <c r="T21" s="1385"/>
      <c r="U21" s="1375">
        <f t="shared" si="110"/>
        <v>0</v>
      </c>
      <c r="V21" s="1385"/>
      <c r="W21" s="1375">
        <f t="shared" si="111"/>
        <v>0</v>
      </c>
      <c r="X21" s="1385"/>
      <c r="Y21" s="1375">
        <f t="shared" si="112"/>
        <v>0</v>
      </c>
      <c r="Z21" s="1385"/>
      <c r="AA21" s="1375">
        <f t="shared" si="113"/>
        <v>0</v>
      </c>
      <c r="AB21" s="1385"/>
      <c r="AC21" s="1375">
        <f t="shared" si="114"/>
        <v>0</v>
      </c>
      <c r="AD21" s="1385"/>
      <c r="AE21" s="1375">
        <f t="shared" si="115"/>
        <v>0</v>
      </c>
      <c r="AF21" s="1385"/>
      <c r="AG21" s="1375">
        <f t="shared" si="116"/>
        <v>0</v>
      </c>
      <c r="AH21" s="1385">
        <f t="shared" si="182"/>
        <v>0</v>
      </c>
      <c r="AI21" s="1375">
        <f t="shared" si="117"/>
        <v>0</v>
      </c>
      <c r="AJ21" s="1385"/>
      <c r="AK21" s="1375">
        <f t="shared" si="118"/>
        <v>0</v>
      </c>
      <c r="AL21" s="1385"/>
      <c r="AM21" s="1375">
        <f t="shared" si="119"/>
        <v>0</v>
      </c>
      <c r="AN21" s="1385"/>
      <c r="AO21" s="1375">
        <f t="shared" si="120"/>
        <v>0</v>
      </c>
      <c r="AP21" s="1385"/>
      <c r="AQ21" s="1375">
        <f t="shared" si="121"/>
        <v>0</v>
      </c>
      <c r="AR21" s="1385"/>
      <c r="AS21" s="1375">
        <f t="shared" si="122"/>
        <v>0</v>
      </c>
      <c r="AT21" s="1385"/>
      <c r="AU21" s="1375">
        <f t="shared" si="123"/>
        <v>0</v>
      </c>
      <c r="AV21" s="1385"/>
      <c r="AW21" s="1375">
        <f t="shared" si="124"/>
        <v>0</v>
      </c>
      <c r="AX21" s="1385"/>
      <c r="AY21" s="1375">
        <f t="shared" si="125"/>
        <v>0</v>
      </c>
      <c r="AZ21" s="1385"/>
      <c r="BA21" s="1375">
        <f t="shared" si="126"/>
        <v>0</v>
      </c>
      <c r="BB21" s="1385"/>
      <c r="BC21" s="1375">
        <f t="shared" si="127"/>
        <v>0</v>
      </c>
      <c r="BD21" s="1385"/>
      <c r="BE21" s="1375">
        <f t="shared" si="128"/>
        <v>0</v>
      </c>
      <c r="BF21" s="1385"/>
      <c r="BG21" s="1385">
        <f t="shared" si="183"/>
        <v>0</v>
      </c>
      <c r="BH21" s="1385">
        <f t="shared" si="184"/>
        <v>0</v>
      </c>
      <c r="BI21" s="1375">
        <f t="shared" si="129"/>
        <v>0</v>
      </c>
      <c r="BJ21" s="1385"/>
      <c r="BK21" s="1375">
        <f t="shared" si="130"/>
        <v>0</v>
      </c>
      <c r="BL21" s="1385"/>
      <c r="BM21" s="1375">
        <f t="shared" si="131"/>
        <v>0</v>
      </c>
      <c r="BN21" s="1385"/>
      <c r="BO21" s="1375">
        <f t="shared" si="132"/>
        <v>0</v>
      </c>
      <c r="BP21" s="1385"/>
      <c r="BQ21" s="1375">
        <f t="shared" si="133"/>
        <v>0</v>
      </c>
      <c r="BR21" s="1385"/>
      <c r="BS21" s="1375">
        <f t="shared" si="134"/>
        <v>0</v>
      </c>
      <c r="BT21" s="1385"/>
      <c r="BU21" s="1375">
        <f t="shared" si="135"/>
        <v>0</v>
      </c>
      <c r="BV21" s="1385"/>
      <c r="BW21" s="1375">
        <f t="shared" si="136"/>
        <v>0</v>
      </c>
      <c r="BX21" s="1385"/>
      <c r="BY21" s="1375">
        <f t="shared" si="137"/>
        <v>0</v>
      </c>
      <c r="BZ21" s="1385"/>
      <c r="CA21" s="1375">
        <f t="shared" si="138"/>
        <v>0</v>
      </c>
      <c r="CB21" s="1385"/>
      <c r="CC21" s="1375">
        <f t="shared" si="139"/>
        <v>0</v>
      </c>
      <c r="CD21" s="1385"/>
      <c r="CE21" s="1375">
        <f t="shared" si="140"/>
        <v>0</v>
      </c>
      <c r="CF21" s="1385"/>
      <c r="CG21" s="1385">
        <f t="shared" si="185"/>
        <v>0</v>
      </c>
      <c r="CH21" s="1385">
        <f t="shared" si="186"/>
        <v>0</v>
      </c>
      <c r="CI21" s="1375">
        <f t="shared" si="141"/>
        <v>0</v>
      </c>
      <c r="CJ21" s="1385"/>
      <c r="CK21" s="1375">
        <f t="shared" si="142"/>
        <v>0</v>
      </c>
      <c r="CL21" s="1385"/>
      <c r="CM21" s="1375">
        <f t="shared" si="143"/>
        <v>0</v>
      </c>
      <c r="CN21" s="1385"/>
      <c r="CO21" s="1375">
        <f t="shared" si="144"/>
        <v>0</v>
      </c>
      <c r="CP21" s="1385"/>
      <c r="CQ21" s="1375">
        <f t="shared" si="145"/>
        <v>0</v>
      </c>
      <c r="CR21" s="1385"/>
      <c r="CS21" s="1375">
        <f t="shared" si="146"/>
        <v>0</v>
      </c>
      <c r="CT21" s="1385"/>
      <c r="CU21" s="1375">
        <f t="shared" si="147"/>
        <v>0</v>
      </c>
      <c r="CV21" s="1385"/>
      <c r="CW21" s="1375">
        <f t="shared" si="148"/>
        <v>0</v>
      </c>
      <c r="CX21" s="1385"/>
      <c r="CY21" s="1375">
        <f t="shared" si="149"/>
        <v>0</v>
      </c>
      <c r="CZ21" s="1385"/>
      <c r="DA21" s="1375">
        <f t="shared" si="150"/>
        <v>0</v>
      </c>
      <c r="DB21" s="1385"/>
      <c r="DC21" s="1375">
        <f t="shared" si="151"/>
        <v>0</v>
      </c>
      <c r="DD21" s="1385"/>
      <c r="DE21" s="1375">
        <f t="shared" si="152"/>
        <v>0</v>
      </c>
      <c r="DF21" s="1385"/>
      <c r="DG21" s="1385">
        <f t="shared" si="153"/>
        <v>0</v>
      </c>
      <c r="DH21" s="1385">
        <f t="shared" si="187"/>
        <v>0</v>
      </c>
      <c r="DI21" s="1375">
        <f t="shared" si="154"/>
        <v>0</v>
      </c>
      <c r="DJ21" s="1385"/>
      <c r="DK21" s="1375">
        <f t="shared" si="155"/>
        <v>0</v>
      </c>
      <c r="DL21" s="1385"/>
      <c r="DM21" s="1375">
        <f t="shared" si="156"/>
        <v>0</v>
      </c>
      <c r="DN21" s="1385"/>
      <c r="DO21" s="1375">
        <f t="shared" si="157"/>
        <v>0</v>
      </c>
      <c r="DP21" s="1385"/>
      <c r="DQ21" s="1375">
        <f t="shared" si="158"/>
        <v>0</v>
      </c>
      <c r="DR21" s="1385"/>
      <c r="DS21" s="1375">
        <f t="shared" si="159"/>
        <v>0</v>
      </c>
      <c r="DT21" s="1385"/>
      <c r="DU21" s="1375">
        <f t="shared" si="160"/>
        <v>0</v>
      </c>
      <c r="DV21" s="1385"/>
      <c r="DW21" s="1375">
        <f t="shared" si="161"/>
        <v>0</v>
      </c>
      <c r="DX21" s="1385"/>
      <c r="DY21" s="1375">
        <f t="shared" si="162"/>
        <v>0</v>
      </c>
      <c r="DZ21" s="1385"/>
      <c r="EA21" s="1375">
        <f t="shared" si="163"/>
        <v>0</v>
      </c>
      <c r="EB21" s="1385"/>
      <c r="EC21" s="1375">
        <f t="shared" si="164"/>
        <v>0</v>
      </c>
      <c r="ED21" s="1385"/>
      <c r="EE21" s="1375">
        <f t="shared" si="165"/>
        <v>0</v>
      </c>
      <c r="EF21" s="1385"/>
      <c r="EG21" s="1385">
        <f t="shared" si="166"/>
        <v>0</v>
      </c>
      <c r="EH21" s="1385">
        <f t="shared" si="188"/>
        <v>0</v>
      </c>
      <c r="EI21" s="1375">
        <f t="shared" si="167"/>
        <v>0</v>
      </c>
      <c r="EJ21" s="1385"/>
      <c r="EK21" s="1375">
        <f t="shared" si="168"/>
        <v>0</v>
      </c>
      <c r="EL21" s="1385"/>
      <c r="EM21" s="1375">
        <f t="shared" si="169"/>
        <v>0</v>
      </c>
      <c r="EN21" s="1385"/>
      <c r="EO21" s="1375">
        <f t="shared" si="170"/>
        <v>0</v>
      </c>
      <c r="EP21" s="1385"/>
      <c r="EQ21" s="1375">
        <f t="shared" si="171"/>
        <v>0</v>
      </c>
      <c r="ER21" s="1385"/>
      <c r="ES21" s="1375">
        <f t="shared" si="172"/>
        <v>0</v>
      </c>
      <c r="ET21" s="1385"/>
      <c r="EU21" s="1375">
        <f t="shared" si="173"/>
        <v>0</v>
      </c>
      <c r="EV21" s="1385"/>
      <c r="EW21" s="1375">
        <f t="shared" si="174"/>
        <v>0</v>
      </c>
      <c r="EX21" s="1385"/>
      <c r="EY21" s="1375">
        <f t="shared" si="175"/>
        <v>0</v>
      </c>
      <c r="EZ21" s="1385"/>
      <c r="FA21" s="1375">
        <f t="shared" si="176"/>
        <v>0</v>
      </c>
      <c r="FB21" s="1385"/>
      <c r="FC21" s="1375">
        <f t="shared" si="177"/>
        <v>0</v>
      </c>
      <c r="FD21" s="1385"/>
      <c r="FE21" s="1375">
        <f t="shared" si="178"/>
        <v>0</v>
      </c>
      <c r="FF21" s="1385"/>
    </row>
    <row r="22" spans="1:162" s="1361" customFormat="1" ht="16.5" customHeight="1" outlineLevel="1">
      <c r="A22" s="1788"/>
      <c r="B22" s="1391" t="s">
        <v>293</v>
      </c>
      <c r="C22" s="1383">
        <f t="shared" si="179"/>
        <v>0</v>
      </c>
      <c r="D22" s="1378">
        <f t="shared" si="193"/>
        <v>0</v>
      </c>
      <c r="E22" s="1389"/>
      <c r="F22" s="1387"/>
      <c r="G22" s="1375">
        <f t="shared" si="180"/>
        <v>0</v>
      </c>
      <c r="H22" s="1385">
        <f t="shared" si="192"/>
        <v>0</v>
      </c>
      <c r="I22" s="1375">
        <f t="shared" si="104"/>
        <v>0</v>
      </c>
      <c r="J22" s="1385"/>
      <c r="K22" s="1375">
        <f t="shared" si="105"/>
        <v>0</v>
      </c>
      <c r="L22" s="1385"/>
      <c r="M22" s="1375">
        <f t="shared" si="106"/>
        <v>0</v>
      </c>
      <c r="N22" s="1385"/>
      <c r="O22" s="1375">
        <f t="shared" si="107"/>
        <v>0</v>
      </c>
      <c r="P22" s="1385"/>
      <c r="Q22" s="1375">
        <f t="shared" si="108"/>
        <v>0</v>
      </c>
      <c r="R22" s="1385"/>
      <c r="S22" s="1375">
        <f t="shared" si="109"/>
        <v>0</v>
      </c>
      <c r="T22" s="1385"/>
      <c r="U22" s="1375">
        <f t="shared" si="110"/>
        <v>0</v>
      </c>
      <c r="V22" s="1385"/>
      <c r="W22" s="1375">
        <f t="shared" si="111"/>
        <v>0</v>
      </c>
      <c r="X22" s="1385"/>
      <c r="Y22" s="1375">
        <f t="shared" si="112"/>
        <v>0</v>
      </c>
      <c r="Z22" s="1385"/>
      <c r="AA22" s="1375">
        <f t="shared" si="113"/>
        <v>0</v>
      </c>
      <c r="AB22" s="1385"/>
      <c r="AC22" s="1375">
        <f t="shared" si="114"/>
        <v>0</v>
      </c>
      <c r="AD22" s="1385"/>
      <c r="AE22" s="1375">
        <f t="shared" si="115"/>
        <v>0</v>
      </c>
      <c r="AF22" s="1385"/>
      <c r="AG22" s="1375">
        <f t="shared" si="116"/>
        <v>0</v>
      </c>
      <c r="AH22" s="1385">
        <f t="shared" si="182"/>
        <v>0</v>
      </c>
      <c r="AI22" s="1375">
        <f t="shared" si="117"/>
        <v>0</v>
      </c>
      <c r="AJ22" s="1385"/>
      <c r="AK22" s="1375">
        <f t="shared" si="118"/>
        <v>0</v>
      </c>
      <c r="AL22" s="1385"/>
      <c r="AM22" s="1375">
        <f t="shared" si="119"/>
        <v>0</v>
      </c>
      <c r="AN22" s="1385"/>
      <c r="AO22" s="1375">
        <f t="shared" si="120"/>
        <v>0</v>
      </c>
      <c r="AP22" s="1385"/>
      <c r="AQ22" s="1375">
        <f t="shared" si="121"/>
        <v>0</v>
      </c>
      <c r="AR22" s="1385"/>
      <c r="AS22" s="1375">
        <f t="shared" si="122"/>
        <v>0</v>
      </c>
      <c r="AT22" s="1385"/>
      <c r="AU22" s="1375">
        <f t="shared" si="123"/>
        <v>0</v>
      </c>
      <c r="AV22" s="1385"/>
      <c r="AW22" s="1375">
        <f t="shared" si="124"/>
        <v>0</v>
      </c>
      <c r="AX22" s="1385"/>
      <c r="AY22" s="1375">
        <f t="shared" si="125"/>
        <v>0</v>
      </c>
      <c r="AZ22" s="1385"/>
      <c r="BA22" s="1375">
        <f t="shared" si="126"/>
        <v>0</v>
      </c>
      <c r="BB22" s="1385"/>
      <c r="BC22" s="1375">
        <f t="shared" si="127"/>
        <v>0</v>
      </c>
      <c r="BD22" s="1385"/>
      <c r="BE22" s="1375">
        <f t="shared" si="128"/>
        <v>0</v>
      </c>
      <c r="BF22" s="1385"/>
      <c r="BG22" s="1385">
        <f t="shared" si="183"/>
        <v>0</v>
      </c>
      <c r="BH22" s="1385">
        <f t="shared" si="184"/>
        <v>0</v>
      </c>
      <c r="BI22" s="1375">
        <f t="shared" si="129"/>
        <v>0</v>
      </c>
      <c r="BJ22" s="1385"/>
      <c r="BK22" s="1375">
        <f t="shared" si="130"/>
        <v>0</v>
      </c>
      <c r="BL22" s="1385"/>
      <c r="BM22" s="1375">
        <f t="shared" si="131"/>
        <v>0</v>
      </c>
      <c r="BN22" s="1385"/>
      <c r="BO22" s="1375">
        <f t="shared" si="132"/>
        <v>0</v>
      </c>
      <c r="BP22" s="1385"/>
      <c r="BQ22" s="1375">
        <f t="shared" si="133"/>
        <v>0</v>
      </c>
      <c r="BR22" s="1385"/>
      <c r="BS22" s="1375">
        <f t="shared" si="134"/>
        <v>0</v>
      </c>
      <c r="BT22" s="1385"/>
      <c r="BU22" s="1375">
        <f t="shared" si="135"/>
        <v>0</v>
      </c>
      <c r="BV22" s="1385"/>
      <c r="BW22" s="1375">
        <f t="shared" si="136"/>
        <v>0</v>
      </c>
      <c r="BX22" s="1385"/>
      <c r="BY22" s="1375">
        <f t="shared" si="137"/>
        <v>0</v>
      </c>
      <c r="BZ22" s="1385"/>
      <c r="CA22" s="1375">
        <f t="shared" si="138"/>
        <v>0</v>
      </c>
      <c r="CB22" s="1385"/>
      <c r="CC22" s="1375">
        <f t="shared" si="139"/>
        <v>0</v>
      </c>
      <c r="CD22" s="1385"/>
      <c r="CE22" s="1375">
        <f t="shared" si="140"/>
        <v>0</v>
      </c>
      <c r="CF22" s="1385"/>
      <c r="CG22" s="1385">
        <f t="shared" si="185"/>
        <v>0</v>
      </c>
      <c r="CH22" s="1385">
        <f t="shared" si="186"/>
        <v>0</v>
      </c>
      <c r="CI22" s="1375">
        <f t="shared" si="141"/>
        <v>0</v>
      </c>
      <c r="CJ22" s="1385"/>
      <c r="CK22" s="1375">
        <f t="shared" si="142"/>
        <v>0</v>
      </c>
      <c r="CL22" s="1385"/>
      <c r="CM22" s="1375">
        <f t="shared" si="143"/>
        <v>0</v>
      </c>
      <c r="CN22" s="1385"/>
      <c r="CO22" s="1375">
        <f t="shared" si="144"/>
        <v>0</v>
      </c>
      <c r="CP22" s="1385"/>
      <c r="CQ22" s="1375">
        <f t="shared" si="145"/>
        <v>0</v>
      </c>
      <c r="CR22" s="1385"/>
      <c r="CS22" s="1375">
        <f t="shared" si="146"/>
        <v>0</v>
      </c>
      <c r="CT22" s="1385"/>
      <c r="CU22" s="1375">
        <f t="shared" si="147"/>
        <v>0</v>
      </c>
      <c r="CV22" s="1385"/>
      <c r="CW22" s="1375">
        <f t="shared" si="148"/>
        <v>0</v>
      </c>
      <c r="CX22" s="1385"/>
      <c r="CY22" s="1375">
        <f t="shared" si="149"/>
        <v>0</v>
      </c>
      <c r="CZ22" s="1385"/>
      <c r="DA22" s="1375">
        <f t="shared" si="150"/>
        <v>0</v>
      </c>
      <c r="DB22" s="1385"/>
      <c r="DC22" s="1375">
        <f t="shared" si="151"/>
        <v>0</v>
      </c>
      <c r="DD22" s="1385"/>
      <c r="DE22" s="1375">
        <f t="shared" si="152"/>
        <v>0</v>
      </c>
      <c r="DF22" s="1385"/>
      <c r="DG22" s="1385">
        <f t="shared" si="153"/>
        <v>0</v>
      </c>
      <c r="DH22" s="1385">
        <f t="shared" si="187"/>
        <v>0</v>
      </c>
      <c r="DI22" s="1375">
        <f t="shared" si="154"/>
        <v>0</v>
      </c>
      <c r="DJ22" s="1385"/>
      <c r="DK22" s="1375">
        <f t="shared" si="155"/>
        <v>0</v>
      </c>
      <c r="DL22" s="1385"/>
      <c r="DM22" s="1375">
        <f t="shared" si="156"/>
        <v>0</v>
      </c>
      <c r="DN22" s="1385"/>
      <c r="DO22" s="1375">
        <f t="shared" si="157"/>
        <v>0</v>
      </c>
      <c r="DP22" s="1385"/>
      <c r="DQ22" s="1375">
        <f t="shared" si="158"/>
        <v>0</v>
      </c>
      <c r="DR22" s="1385"/>
      <c r="DS22" s="1375">
        <f t="shared" si="159"/>
        <v>0</v>
      </c>
      <c r="DT22" s="1385"/>
      <c r="DU22" s="1375">
        <f t="shared" si="160"/>
        <v>0</v>
      </c>
      <c r="DV22" s="1385"/>
      <c r="DW22" s="1375">
        <f t="shared" si="161"/>
        <v>0</v>
      </c>
      <c r="DX22" s="1385"/>
      <c r="DY22" s="1375">
        <f t="shared" si="162"/>
        <v>0</v>
      </c>
      <c r="DZ22" s="1385"/>
      <c r="EA22" s="1375">
        <f t="shared" si="163"/>
        <v>0</v>
      </c>
      <c r="EB22" s="1385"/>
      <c r="EC22" s="1375">
        <f t="shared" si="164"/>
        <v>0</v>
      </c>
      <c r="ED22" s="1385"/>
      <c r="EE22" s="1375">
        <f t="shared" si="165"/>
        <v>0</v>
      </c>
      <c r="EF22" s="1385"/>
      <c r="EG22" s="1385">
        <f t="shared" si="166"/>
        <v>0</v>
      </c>
      <c r="EH22" s="1385">
        <f t="shared" si="188"/>
        <v>0</v>
      </c>
      <c r="EI22" s="1375">
        <f t="shared" si="167"/>
        <v>0</v>
      </c>
      <c r="EJ22" s="1385"/>
      <c r="EK22" s="1375">
        <f t="shared" si="168"/>
        <v>0</v>
      </c>
      <c r="EL22" s="1385"/>
      <c r="EM22" s="1375">
        <f t="shared" si="169"/>
        <v>0</v>
      </c>
      <c r="EN22" s="1385"/>
      <c r="EO22" s="1375">
        <f t="shared" si="170"/>
        <v>0</v>
      </c>
      <c r="EP22" s="1385"/>
      <c r="EQ22" s="1375">
        <f t="shared" si="171"/>
        <v>0</v>
      </c>
      <c r="ER22" s="1385"/>
      <c r="ES22" s="1375">
        <f t="shared" si="172"/>
        <v>0</v>
      </c>
      <c r="ET22" s="1385"/>
      <c r="EU22" s="1375">
        <f t="shared" si="173"/>
        <v>0</v>
      </c>
      <c r="EV22" s="1385"/>
      <c r="EW22" s="1375">
        <f t="shared" si="174"/>
        <v>0</v>
      </c>
      <c r="EX22" s="1385"/>
      <c r="EY22" s="1375">
        <f t="shared" si="175"/>
        <v>0</v>
      </c>
      <c r="EZ22" s="1385"/>
      <c r="FA22" s="1375">
        <f t="shared" si="176"/>
        <v>0</v>
      </c>
      <c r="FB22" s="1385"/>
      <c r="FC22" s="1375">
        <f t="shared" si="177"/>
        <v>0</v>
      </c>
      <c r="FD22" s="1385"/>
      <c r="FE22" s="1375">
        <f t="shared" si="178"/>
        <v>0</v>
      </c>
      <c r="FF22" s="1385"/>
    </row>
    <row r="23" spans="1:162" s="1361" customFormat="1" ht="16.5" customHeight="1" outlineLevel="1">
      <c r="A23" s="1788"/>
      <c r="B23" s="1391" t="s">
        <v>294</v>
      </c>
      <c r="C23" s="1383">
        <f t="shared" si="179"/>
        <v>0</v>
      </c>
      <c r="D23" s="1378">
        <f t="shared" si="193"/>
        <v>0</v>
      </c>
      <c r="E23" s="1390"/>
      <c r="F23" s="1387"/>
      <c r="G23" s="1375">
        <f t="shared" si="180"/>
        <v>0</v>
      </c>
      <c r="H23" s="1385">
        <f t="shared" si="192"/>
        <v>0</v>
      </c>
      <c r="I23" s="1375">
        <f t="shared" si="104"/>
        <v>0</v>
      </c>
      <c r="J23" s="1385"/>
      <c r="K23" s="1375">
        <f t="shared" si="105"/>
        <v>0</v>
      </c>
      <c r="L23" s="1385"/>
      <c r="M23" s="1375">
        <f t="shared" si="106"/>
        <v>0</v>
      </c>
      <c r="N23" s="1385"/>
      <c r="O23" s="1375">
        <f t="shared" si="107"/>
        <v>0</v>
      </c>
      <c r="P23" s="1385"/>
      <c r="Q23" s="1375">
        <f t="shared" si="108"/>
        <v>0</v>
      </c>
      <c r="R23" s="1385"/>
      <c r="S23" s="1375">
        <f t="shared" si="109"/>
        <v>0</v>
      </c>
      <c r="T23" s="1385"/>
      <c r="U23" s="1375">
        <f t="shared" si="110"/>
        <v>0</v>
      </c>
      <c r="V23" s="1385"/>
      <c r="W23" s="1375">
        <f t="shared" si="111"/>
        <v>0</v>
      </c>
      <c r="X23" s="1385"/>
      <c r="Y23" s="1375">
        <f t="shared" si="112"/>
        <v>0</v>
      </c>
      <c r="Z23" s="1385"/>
      <c r="AA23" s="1375">
        <f t="shared" si="113"/>
        <v>0</v>
      </c>
      <c r="AB23" s="1385"/>
      <c r="AC23" s="1375">
        <f t="shared" si="114"/>
        <v>0</v>
      </c>
      <c r="AD23" s="1385"/>
      <c r="AE23" s="1375">
        <f t="shared" si="115"/>
        <v>0</v>
      </c>
      <c r="AF23" s="1385"/>
      <c r="AG23" s="1375">
        <f t="shared" si="116"/>
        <v>0</v>
      </c>
      <c r="AH23" s="1385">
        <f t="shared" si="182"/>
        <v>0</v>
      </c>
      <c r="AI23" s="1375">
        <f t="shared" si="117"/>
        <v>0</v>
      </c>
      <c r="AJ23" s="1385"/>
      <c r="AK23" s="1375">
        <f t="shared" si="118"/>
        <v>0</v>
      </c>
      <c r="AL23" s="1385"/>
      <c r="AM23" s="1375">
        <f t="shared" si="119"/>
        <v>0</v>
      </c>
      <c r="AN23" s="1385"/>
      <c r="AO23" s="1375">
        <f t="shared" si="120"/>
        <v>0</v>
      </c>
      <c r="AP23" s="1385"/>
      <c r="AQ23" s="1375">
        <f t="shared" si="121"/>
        <v>0</v>
      </c>
      <c r="AR23" s="1385"/>
      <c r="AS23" s="1375">
        <f t="shared" si="122"/>
        <v>0</v>
      </c>
      <c r="AT23" s="1385"/>
      <c r="AU23" s="1375">
        <f t="shared" si="123"/>
        <v>0</v>
      </c>
      <c r="AV23" s="1385"/>
      <c r="AW23" s="1375">
        <f t="shared" si="124"/>
        <v>0</v>
      </c>
      <c r="AX23" s="1385"/>
      <c r="AY23" s="1375">
        <f t="shared" si="125"/>
        <v>0</v>
      </c>
      <c r="AZ23" s="1385"/>
      <c r="BA23" s="1375">
        <f t="shared" si="126"/>
        <v>0</v>
      </c>
      <c r="BB23" s="1385"/>
      <c r="BC23" s="1375">
        <f t="shared" si="127"/>
        <v>0</v>
      </c>
      <c r="BD23" s="1385"/>
      <c r="BE23" s="1375">
        <f t="shared" si="128"/>
        <v>0</v>
      </c>
      <c r="BF23" s="1385"/>
      <c r="BG23" s="1385">
        <f t="shared" si="183"/>
        <v>0</v>
      </c>
      <c r="BH23" s="1385">
        <f t="shared" si="184"/>
        <v>0</v>
      </c>
      <c r="BI23" s="1375">
        <f t="shared" si="129"/>
        <v>0</v>
      </c>
      <c r="BJ23" s="1385"/>
      <c r="BK23" s="1375">
        <f t="shared" si="130"/>
        <v>0</v>
      </c>
      <c r="BL23" s="1385"/>
      <c r="BM23" s="1375">
        <f t="shared" si="131"/>
        <v>0</v>
      </c>
      <c r="BN23" s="1385"/>
      <c r="BO23" s="1375">
        <f t="shared" si="132"/>
        <v>0</v>
      </c>
      <c r="BP23" s="1385"/>
      <c r="BQ23" s="1375">
        <f t="shared" si="133"/>
        <v>0</v>
      </c>
      <c r="BR23" s="1385"/>
      <c r="BS23" s="1375">
        <f t="shared" si="134"/>
        <v>0</v>
      </c>
      <c r="BT23" s="1385"/>
      <c r="BU23" s="1375">
        <f t="shared" si="135"/>
        <v>0</v>
      </c>
      <c r="BV23" s="1385"/>
      <c r="BW23" s="1375">
        <f t="shared" si="136"/>
        <v>0</v>
      </c>
      <c r="BX23" s="1385"/>
      <c r="BY23" s="1375">
        <f t="shared" si="137"/>
        <v>0</v>
      </c>
      <c r="BZ23" s="1385"/>
      <c r="CA23" s="1375">
        <f t="shared" si="138"/>
        <v>0</v>
      </c>
      <c r="CB23" s="1385"/>
      <c r="CC23" s="1375">
        <f t="shared" si="139"/>
        <v>0</v>
      </c>
      <c r="CD23" s="1385"/>
      <c r="CE23" s="1375">
        <f t="shared" si="140"/>
        <v>0</v>
      </c>
      <c r="CF23" s="1385"/>
      <c r="CG23" s="1385">
        <f t="shared" si="185"/>
        <v>0</v>
      </c>
      <c r="CH23" s="1385">
        <f t="shared" si="186"/>
        <v>0</v>
      </c>
      <c r="CI23" s="1375">
        <f t="shared" si="141"/>
        <v>0</v>
      </c>
      <c r="CJ23" s="1385"/>
      <c r="CK23" s="1375">
        <f t="shared" si="142"/>
        <v>0</v>
      </c>
      <c r="CL23" s="1385"/>
      <c r="CM23" s="1375">
        <f t="shared" si="143"/>
        <v>0</v>
      </c>
      <c r="CN23" s="1385"/>
      <c r="CO23" s="1375">
        <f t="shared" si="144"/>
        <v>0</v>
      </c>
      <c r="CP23" s="1385"/>
      <c r="CQ23" s="1375">
        <f t="shared" si="145"/>
        <v>0</v>
      </c>
      <c r="CR23" s="1385"/>
      <c r="CS23" s="1375">
        <f t="shared" si="146"/>
        <v>0</v>
      </c>
      <c r="CT23" s="1385"/>
      <c r="CU23" s="1375">
        <f t="shared" si="147"/>
        <v>0</v>
      </c>
      <c r="CV23" s="1385"/>
      <c r="CW23" s="1375">
        <f t="shared" si="148"/>
        <v>0</v>
      </c>
      <c r="CX23" s="1385"/>
      <c r="CY23" s="1375">
        <f t="shared" si="149"/>
        <v>0</v>
      </c>
      <c r="CZ23" s="1385"/>
      <c r="DA23" s="1375">
        <f t="shared" si="150"/>
        <v>0</v>
      </c>
      <c r="DB23" s="1385"/>
      <c r="DC23" s="1375">
        <f t="shared" si="151"/>
        <v>0</v>
      </c>
      <c r="DD23" s="1385"/>
      <c r="DE23" s="1375">
        <f t="shared" si="152"/>
        <v>0</v>
      </c>
      <c r="DF23" s="1385"/>
      <c r="DG23" s="1385">
        <f t="shared" si="153"/>
        <v>0</v>
      </c>
      <c r="DH23" s="1385">
        <f t="shared" si="187"/>
        <v>0</v>
      </c>
      <c r="DI23" s="1375">
        <f t="shared" si="154"/>
        <v>0</v>
      </c>
      <c r="DJ23" s="1385"/>
      <c r="DK23" s="1375">
        <f t="shared" si="155"/>
        <v>0</v>
      </c>
      <c r="DL23" s="1385"/>
      <c r="DM23" s="1375">
        <f t="shared" si="156"/>
        <v>0</v>
      </c>
      <c r="DN23" s="1385"/>
      <c r="DO23" s="1375">
        <f t="shared" si="157"/>
        <v>0</v>
      </c>
      <c r="DP23" s="1385"/>
      <c r="DQ23" s="1375">
        <f t="shared" si="158"/>
        <v>0</v>
      </c>
      <c r="DR23" s="1385"/>
      <c r="DS23" s="1375">
        <f t="shared" si="159"/>
        <v>0</v>
      </c>
      <c r="DT23" s="1385"/>
      <c r="DU23" s="1375">
        <f t="shared" si="160"/>
        <v>0</v>
      </c>
      <c r="DV23" s="1385"/>
      <c r="DW23" s="1375">
        <f t="shared" si="161"/>
        <v>0</v>
      </c>
      <c r="DX23" s="1385"/>
      <c r="DY23" s="1375">
        <f t="shared" si="162"/>
        <v>0</v>
      </c>
      <c r="DZ23" s="1385"/>
      <c r="EA23" s="1375">
        <f t="shared" si="163"/>
        <v>0</v>
      </c>
      <c r="EB23" s="1385"/>
      <c r="EC23" s="1375">
        <f t="shared" si="164"/>
        <v>0</v>
      </c>
      <c r="ED23" s="1385"/>
      <c r="EE23" s="1375">
        <f t="shared" si="165"/>
        <v>0</v>
      </c>
      <c r="EF23" s="1385"/>
      <c r="EG23" s="1385">
        <f t="shared" si="166"/>
        <v>0</v>
      </c>
      <c r="EH23" s="1385">
        <f t="shared" si="188"/>
        <v>0</v>
      </c>
      <c r="EI23" s="1375">
        <f t="shared" si="167"/>
        <v>0</v>
      </c>
      <c r="EJ23" s="1385"/>
      <c r="EK23" s="1375">
        <f t="shared" si="168"/>
        <v>0</v>
      </c>
      <c r="EL23" s="1385"/>
      <c r="EM23" s="1375">
        <f t="shared" si="169"/>
        <v>0</v>
      </c>
      <c r="EN23" s="1385"/>
      <c r="EO23" s="1375">
        <f t="shared" si="170"/>
        <v>0</v>
      </c>
      <c r="EP23" s="1385"/>
      <c r="EQ23" s="1375">
        <f t="shared" si="171"/>
        <v>0</v>
      </c>
      <c r="ER23" s="1385"/>
      <c r="ES23" s="1375">
        <f t="shared" si="172"/>
        <v>0</v>
      </c>
      <c r="ET23" s="1385"/>
      <c r="EU23" s="1375">
        <f t="shared" si="173"/>
        <v>0</v>
      </c>
      <c r="EV23" s="1385"/>
      <c r="EW23" s="1375">
        <f t="shared" si="174"/>
        <v>0</v>
      </c>
      <c r="EX23" s="1385"/>
      <c r="EY23" s="1375">
        <f t="shared" si="175"/>
        <v>0</v>
      </c>
      <c r="EZ23" s="1385"/>
      <c r="FA23" s="1375">
        <f t="shared" si="176"/>
        <v>0</v>
      </c>
      <c r="FB23" s="1385"/>
      <c r="FC23" s="1375">
        <f t="shared" si="177"/>
        <v>0</v>
      </c>
      <c r="FD23" s="1385"/>
      <c r="FE23" s="1375">
        <f t="shared" si="178"/>
        <v>0</v>
      </c>
      <c r="FF23" s="1385"/>
    </row>
    <row r="24" spans="1:162" s="1361" customFormat="1" ht="19.5" customHeight="1" outlineLevel="1">
      <c r="A24" s="1788"/>
      <c r="B24" s="1392" t="str">
        <f>CONCATENATE("4.6配套设施二次分摊","（",ROUND(IFERROR(D24/($D$14)%,0),2),"%）")</f>
        <v>4.6配套设施二次分摊（0%）</v>
      </c>
      <c r="C24" s="1383">
        <f t="shared" si="179"/>
        <v>0</v>
      </c>
      <c r="D24" s="1378">
        <f t="shared" si="193"/>
        <v>0</v>
      </c>
      <c r="E24" s="1390"/>
      <c r="F24" s="1387"/>
      <c r="G24" s="1375">
        <f t="shared" si="180"/>
        <v>0</v>
      </c>
      <c r="H24" s="1385">
        <f t="shared" si="192"/>
        <v>0</v>
      </c>
      <c r="I24" s="1375">
        <f t="shared" si="104"/>
        <v>0</v>
      </c>
      <c r="J24" s="1385">
        <f>SUMIF('13.建安成本表'!$B$165:$B$174,综合表!I4,'13.建安成本表'!$E$165:$E$174)</f>
        <v>0</v>
      </c>
      <c r="K24" s="1375">
        <f t="shared" si="105"/>
        <v>0</v>
      </c>
      <c r="L24" s="1385">
        <f>SUMIF('13.建安成本表'!$B$165:$B$174,综合表!K4,'13.建安成本表'!$E$165:$E$174)</f>
        <v>0</v>
      </c>
      <c r="M24" s="1375">
        <f t="shared" si="106"/>
        <v>0</v>
      </c>
      <c r="N24" s="1385">
        <f>SUMIF('13.建安成本表'!$B$165:$B$174,综合表!M4,'13.建安成本表'!$E$165:$E$174)</f>
        <v>0</v>
      </c>
      <c r="O24" s="1375">
        <f t="shared" si="107"/>
        <v>0</v>
      </c>
      <c r="P24" s="1385">
        <f>SUMIF('13.建安成本表'!$B$165:$B$174,综合表!O4,'13.建安成本表'!$E$165:$E$174)</f>
        <v>0</v>
      </c>
      <c r="Q24" s="1375">
        <f t="shared" si="108"/>
        <v>0</v>
      </c>
      <c r="R24" s="1385">
        <f>SUMIF('13.建安成本表'!$B$165:$B$174,综合表!Q4,'13.建安成本表'!$E$165:$E$174)</f>
        <v>0</v>
      </c>
      <c r="S24" s="1375">
        <f t="shared" si="109"/>
        <v>0</v>
      </c>
      <c r="T24" s="1385">
        <f>SUMIF('13.建安成本表'!$B$165:$B$174,综合表!S4,'13.建安成本表'!$E$165:$E$174)</f>
        <v>0</v>
      </c>
      <c r="U24" s="1375">
        <f t="shared" si="110"/>
        <v>0</v>
      </c>
      <c r="V24" s="1385">
        <f>SUMIF('13.建安成本表'!$B$165:$B$174,综合表!U4,'13.建安成本表'!$E$165:$E$174)</f>
        <v>0</v>
      </c>
      <c r="W24" s="1375">
        <f t="shared" si="111"/>
        <v>0</v>
      </c>
      <c r="X24" s="1385">
        <f>SUMIF('13.建安成本表'!$B$165:$B$174,综合表!W4,'13.建安成本表'!$E$165:$E$174)</f>
        <v>0</v>
      </c>
      <c r="Y24" s="1375">
        <f t="shared" si="112"/>
        <v>0</v>
      </c>
      <c r="Z24" s="1385">
        <f>SUMIF('13.建安成本表'!$B$165:$B$174,综合表!Y4,'13.建安成本表'!$E$165:$E$174)</f>
        <v>0</v>
      </c>
      <c r="AA24" s="1375">
        <f t="shared" si="113"/>
        <v>0</v>
      </c>
      <c r="AB24" s="1385">
        <f>SUMIF('13.建安成本表'!$B$165:$B$174,综合表!AA4,'13.建安成本表'!$E$165:$E$174)</f>
        <v>0</v>
      </c>
      <c r="AC24" s="1375">
        <f t="shared" si="114"/>
        <v>0</v>
      </c>
      <c r="AD24" s="1385">
        <f>SUMIF('13.建安成本表'!$B$165:$B$174,综合表!AC4,'13.建安成本表'!$E$165:$E$174)</f>
        <v>0</v>
      </c>
      <c r="AE24" s="1375">
        <f t="shared" si="115"/>
        <v>0</v>
      </c>
      <c r="AF24" s="1385">
        <f>SUMIF('13.建安成本表'!$B$165:$B$174,综合表!AE4,'13.建安成本表'!$E$165:$E$174)</f>
        <v>0</v>
      </c>
      <c r="AG24" s="1375">
        <f t="shared" si="116"/>
        <v>0</v>
      </c>
      <c r="AH24" s="1385">
        <f t="shared" si="182"/>
        <v>0</v>
      </c>
      <c r="AI24" s="1375">
        <f t="shared" si="117"/>
        <v>0</v>
      </c>
      <c r="AJ24" s="1385">
        <f>SUMIF('13.建安成本表'!$B$165:$B$174,综合表!AI4,'13.建安成本表'!$H$165:$H$174)</f>
        <v>0</v>
      </c>
      <c r="AK24" s="1375">
        <f t="shared" si="118"/>
        <v>0</v>
      </c>
      <c r="AL24" s="1385">
        <f>SUMIF('13.建安成本表'!$B$165:$B$174,综合表!AK4,'13.建安成本表'!$H$165:$H$174)</f>
        <v>0</v>
      </c>
      <c r="AM24" s="1375">
        <f t="shared" si="119"/>
        <v>0</v>
      </c>
      <c r="AN24" s="1385">
        <f>SUMIF('13.建安成本表'!$B$165:$B$174,综合表!AM4,'13.建安成本表'!$H$165:$H$174)</f>
        <v>0</v>
      </c>
      <c r="AO24" s="1375">
        <f t="shared" si="120"/>
        <v>0</v>
      </c>
      <c r="AP24" s="1385">
        <f>SUMIF('13.建安成本表'!$B$165:$B$174,综合表!AO4,'13.建安成本表'!$H$165:$H$174)</f>
        <v>0</v>
      </c>
      <c r="AQ24" s="1375">
        <f t="shared" si="121"/>
        <v>0</v>
      </c>
      <c r="AR24" s="1385">
        <f>SUMIF('13.建安成本表'!$B$165:$B$174,综合表!AQ4,'13.建安成本表'!$H$165:$H$174)</f>
        <v>0</v>
      </c>
      <c r="AS24" s="1375">
        <f t="shared" si="122"/>
        <v>0</v>
      </c>
      <c r="AT24" s="1385">
        <f>SUMIF('13.建安成本表'!$B$165:$B$174,综合表!AS4,'13.建安成本表'!$H$165:$H$174)</f>
        <v>0</v>
      </c>
      <c r="AU24" s="1375">
        <f t="shared" si="123"/>
        <v>0</v>
      </c>
      <c r="AV24" s="1385">
        <f>SUMIF('13.建安成本表'!$B$165:$B$174,综合表!AU4,'13.建安成本表'!$H$165:$H$174)</f>
        <v>0</v>
      </c>
      <c r="AW24" s="1375">
        <f t="shared" si="124"/>
        <v>0</v>
      </c>
      <c r="AX24" s="1385">
        <f>SUMIF('13.建安成本表'!$B$165:$B$174,综合表!AW4,'13.建安成本表'!$H$165:$H$174)</f>
        <v>0</v>
      </c>
      <c r="AY24" s="1375">
        <f t="shared" si="125"/>
        <v>0</v>
      </c>
      <c r="AZ24" s="1385">
        <f>SUMIF('13.建安成本表'!$B$165:$B$174,综合表!AY4,'13.建安成本表'!$H$165:$H$174)</f>
        <v>0</v>
      </c>
      <c r="BA24" s="1375">
        <f t="shared" si="126"/>
        <v>0</v>
      </c>
      <c r="BB24" s="1385">
        <f>SUMIF('13.建安成本表'!$B$165:$B$174,综合表!BA4,'13.建安成本表'!$H$165:$H$174)</f>
        <v>0</v>
      </c>
      <c r="BC24" s="1375">
        <f t="shared" si="127"/>
        <v>0</v>
      </c>
      <c r="BD24" s="1385">
        <f>SUMIF('13.建安成本表'!$B$165:$B$174,综合表!BC4,'13.建安成本表'!$H$165:$H$174)</f>
        <v>0</v>
      </c>
      <c r="BE24" s="1375">
        <f t="shared" si="128"/>
        <v>0</v>
      </c>
      <c r="BF24" s="1385">
        <f>SUMIF('13.建安成本表'!$B$165:$B$174,综合表!BE4,'13.建安成本表'!$H$165:$H$174)</f>
        <v>0</v>
      </c>
      <c r="BG24" s="1385">
        <f t="shared" si="183"/>
        <v>0</v>
      </c>
      <c r="BH24" s="1385">
        <f t="shared" si="184"/>
        <v>0</v>
      </c>
      <c r="BI24" s="1375">
        <f t="shared" si="129"/>
        <v>0</v>
      </c>
      <c r="BJ24" s="1385">
        <f>SUMIF('13.建安成本表'!$B$165:$B$174,综合表!BI4,'13.建安成本表'!$K$165:$K$174)</f>
        <v>0</v>
      </c>
      <c r="BK24" s="1375">
        <f t="shared" si="130"/>
        <v>0</v>
      </c>
      <c r="BL24" s="1385">
        <f>SUMIF('13.建安成本表'!$B$165:$B$174,综合表!BK4,'13.建安成本表'!$K$165:$K$174)</f>
        <v>0</v>
      </c>
      <c r="BM24" s="1375">
        <f t="shared" si="131"/>
        <v>0</v>
      </c>
      <c r="BN24" s="1385">
        <f>SUMIF('13.建安成本表'!$B$165:$B$174,综合表!BM4,'13.建安成本表'!$K$165:$K$174)</f>
        <v>0</v>
      </c>
      <c r="BO24" s="1375">
        <f t="shared" si="132"/>
        <v>0</v>
      </c>
      <c r="BP24" s="1385">
        <f>SUMIF('13.建安成本表'!$B$165:$B$174,综合表!BO4,'13.建安成本表'!$K$165:$K$174)</f>
        <v>0</v>
      </c>
      <c r="BQ24" s="1375">
        <f t="shared" si="133"/>
        <v>0</v>
      </c>
      <c r="BR24" s="1385">
        <f>SUMIF('13.建安成本表'!$B$165:$B$174,综合表!BQ4,'13.建安成本表'!$K$165:$K$174)</f>
        <v>0</v>
      </c>
      <c r="BS24" s="1375">
        <f t="shared" si="134"/>
        <v>0</v>
      </c>
      <c r="BT24" s="1385">
        <f>SUMIF('13.建安成本表'!$B$165:$B$174,综合表!BS4,'13.建安成本表'!$K$165:$K$174)</f>
        <v>0</v>
      </c>
      <c r="BU24" s="1375">
        <f t="shared" si="135"/>
        <v>0</v>
      </c>
      <c r="BV24" s="1385">
        <f>SUMIF('13.建安成本表'!$B$165:$B$174,综合表!BU4,'13.建安成本表'!$K$165:$K$174)</f>
        <v>0</v>
      </c>
      <c r="BW24" s="1375">
        <f t="shared" si="136"/>
        <v>0</v>
      </c>
      <c r="BX24" s="1385">
        <f>SUMIF('13.建安成本表'!$B$165:$B$174,综合表!BW4,'13.建安成本表'!$K$165:$K$174)</f>
        <v>0</v>
      </c>
      <c r="BY24" s="1375">
        <f t="shared" si="137"/>
        <v>0</v>
      </c>
      <c r="BZ24" s="1385">
        <f>SUMIF('13.建安成本表'!$B$165:$B$174,综合表!BY4,'13.建安成本表'!$K$165:$K$174)</f>
        <v>0</v>
      </c>
      <c r="CA24" s="1375">
        <f t="shared" si="138"/>
        <v>0</v>
      </c>
      <c r="CB24" s="1385">
        <f>SUMIF('13.建安成本表'!$B$165:$B$174,综合表!CA4,'13.建安成本表'!$K$165:$K$174)</f>
        <v>0</v>
      </c>
      <c r="CC24" s="1375">
        <f t="shared" si="139"/>
        <v>0</v>
      </c>
      <c r="CD24" s="1385">
        <f>SUMIF('13.建安成本表'!$B$165:$B$174,综合表!CC4,'13.建安成本表'!$K$165:$K$174)</f>
        <v>0</v>
      </c>
      <c r="CE24" s="1375">
        <f t="shared" si="140"/>
        <v>0</v>
      </c>
      <c r="CF24" s="1385">
        <f>SUMIF('13.建安成本表'!$B$165:$B$174,综合表!CE4,'13.建安成本表'!$K$165:$K$174)</f>
        <v>0</v>
      </c>
      <c r="CG24" s="1385">
        <f t="shared" si="185"/>
        <v>0</v>
      </c>
      <c r="CH24" s="1385">
        <f t="shared" si="186"/>
        <v>0</v>
      </c>
      <c r="CI24" s="1375">
        <f t="shared" si="141"/>
        <v>0</v>
      </c>
      <c r="CJ24" s="1385">
        <f>SUMIF('13.建安成本表'!$B$165:$B$174,综合表!CI4,'13.建安成本表'!$N$165:$N$174)</f>
        <v>0</v>
      </c>
      <c r="CK24" s="1375">
        <f t="shared" si="142"/>
        <v>0</v>
      </c>
      <c r="CL24" s="1385">
        <f>SUMIF('13.建安成本表'!$B$165:$B$174,综合表!CK4,'13.建安成本表'!$N$165:$N$174)</f>
        <v>0</v>
      </c>
      <c r="CM24" s="1375">
        <f t="shared" si="143"/>
        <v>0</v>
      </c>
      <c r="CN24" s="1385">
        <f>SUMIF('13.建安成本表'!$B$165:$B$174,综合表!CM4,'13.建安成本表'!$N$165:$N$174)</f>
        <v>0</v>
      </c>
      <c r="CO24" s="1375">
        <f t="shared" si="144"/>
        <v>0</v>
      </c>
      <c r="CP24" s="1385">
        <f>SUMIF('13.建安成本表'!$B$165:$B$174,综合表!CO4,'13.建安成本表'!$N$165:$N$174)</f>
        <v>0</v>
      </c>
      <c r="CQ24" s="1375">
        <f t="shared" si="145"/>
        <v>0</v>
      </c>
      <c r="CR24" s="1385">
        <f>SUMIF('13.建安成本表'!$B$165:$B$174,综合表!CQ4,'13.建安成本表'!$N$165:$N$174)</f>
        <v>0</v>
      </c>
      <c r="CS24" s="1375">
        <f t="shared" si="146"/>
        <v>0</v>
      </c>
      <c r="CT24" s="1385">
        <f>SUMIF('13.建安成本表'!$B$165:$B$174,综合表!CS4,'13.建安成本表'!$N$165:$N$174)</f>
        <v>0</v>
      </c>
      <c r="CU24" s="1375">
        <f t="shared" si="147"/>
        <v>0</v>
      </c>
      <c r="CV24" s="1385">
        <f>SUMIF('13.建安成本表'!$B$165:$B$174,综合表!CU4,'13.建安成本表'!$N$165:$N$174)</f>
        <v>0</v>
      </c>
      <c r="CW24" s="1375">
        <f t="shared" si="148"/>
        <v>0</v>
      </c>
      <c r="CX24" s="1385">
        <f>SUMIF('13.建安成本表'!$B$165:$B$174,综合表!CW4,'13.建安成本表'!$N$165:$N$174)</f>
        <v>0</v>
      </c>
      <c r="CY24" s="1375">
        <f t="shared" si="149"/>
        <v>0</v>
      </c>
      <c r="CZ24" s="1385">
        <f>SUMIF('13.建安成本表'!$B$165:$B$174,综合表!CY4,'13.建安成本表'!$N$165:$N$174)</f>
        <v>0</v>
      </c>
      <c r="DA24" s="1375">
        <f t="shared" si="150"/>
        <v>0</v>
      </c>
      <c r="DB24" s="1385">
        <f>SUMIF('13.建安成本表'!$B$165:$B$174,综合表!DA4,'13.建安成本表'!$N$165:$N$174)</f>
        <v>0</v>
      </c>
      <c r="DC24" s="1375">
        <f t="shared" si="151"/>
        <v>0</v>
      </c>
      <c r="DD24" s="1385">
        <f>SUMIF('13.建安成本表'!$B$165:$B$174,综合表!DC4,'13.建安成本表'!$N$165:$N$174)</f>
        <v>0</v>
      </c>
      <c r="DE24" s="1375">
        <f t="shared" si="152"/>
        <v>0</v>
      </c>
      <c r="DF24" s="1385">
        <f>SUMIF('13.建安成本表'!$B$165:$B$174,综合表!DE4,'13.建安成本表'!$N$165:$N$174)</f>
        <v>0</v>
      </c>
      <c r="DG24" s="1385">
        <f t="shared" si="153"/>
        <v>0</v>
      </c>
      <c r="DH24" s="1385">
        <f t="shared" si="187"/>
        <v>0</v>
      </c>
      <c r="DI24" s="1375">
        <f t="shared" si="154"/>
        <v>0</v>
      </c>
      <c r="DJ24" s="1385">
        <f>SUMIF('13.建安成本表'!$B$165:$B$174,综合表!DI4,'13.建安成本表'!$Q$165:$Q$174)</f>
        <v>0</v>
      </c>
      <c r="DK24" s="1375">
        <f t="shared" si="155"/>
        <v>0</v>
      </c>
      <c r="DL24" s="1385">
        <f>SUMIF('13.建安成本表'!$B$165:$B$174,综合表!DK4,'13.建安成本表'!$Q$165:$Q$174)</f>
        <v>0</v>
      </c>
      <c r="DM24" s="1375">
        <f t="shared" si="156"/>
        <v>0</v>
      </c>
      <c r="DN24" s="1385">
        <f>SUMIF('13.建安成本表'!$B$165:$B$174,综合表!DM4,'13.建安成本表'!$Q$165:$Q$174)</f>
        <v>0</v>
      </c>
      <c r="DO24" s="1375">
        <f t="shared" si="157"/>
        <v>0</v>
      </c>
      <c r="DP24" s="1385">
        <f>SUMIF('13.建安成本表'!$B$165:$B$174,综合表!DO4,'13.建安成本表'!$Q$165:$Q$174)</f>
        <v>0</v>
      </c>
      <c r="DQ24" s="1375">
        <f t="shared" si="158"/>
        <v>0</v>
      </c>
      <c r="DR24" s="1385">
        <f>SUMIF('13.建安成本表'!$B$165:$B$174,综合表!DQ4,'13.建安成本表'!$Q$165:$Q$174)</f>
        <v>0</v>
      </c>
      <c r="DS24" s="1375">
        <f t="shared" si="159"/>
        <v>0</v>
      </c>
      <c r="DT24" s="1385">
        <f>SUMIF('13.建安成本表'!$B$165:$B$174,综合表!DS4,'13.建安成本表'!$Q$165:$Q$174)</f>
        <v>0</v>
      </c>
      <c r="DU24" s="1375">
        <f t="shared" si="160"/>
        <v>0</v>
      </c>
      <c r="DV24" s="1385">
        <f>SUMIF('13.建安成本表'!$B$165:$B$174,综合表!DU4,'13.建安成本表'!$Q$165:$Q$174)</f>
        <v>0</v>
      </c>
      <c r="DW24" s="1375">
        <f t="shared" si="161"/>
        <v>0</v>
      </c>
      <c r="DX24" s="1385">
        <f>SUMIF('13.建安成本表'!$B$165:$B$174,综合表!DW4,'13.建安成本表'!$Q$165:$Q$174)</f>
        <v>0</v>
      </c>
      <c r="DY24" s="1375">
        <f t="shared" si="162"/>
        <v>0</v>
      </c>
      <c r="DZ24" s="1385">
        <f>SUMIF('13.建安成本表'!$B$165:$B$174,综合表!DY4,'13.建安成本表'!$Q$165:$Q$174)</f>
        <v>0</v>
      </c>
      <c r="EA24" s="1375">
        <f t="shared" si="163"/>
        <v>0</v>
      </c>
      <c r="EB24" s="1385">
        <f>SUMIF('13.建安成本表'!$B$165:$B$174,综合表!EA4,'13.建安成本表'!$Q$165:$Q$174)</f>
        <v>0</v>
      </c>
      <c r="EC24" s="1375">
        <f t="shared" si="164"/>
        <v>0</v>
      </c>
      <c r="ED24" s="1385">
        <f>SUMIF('13.建安成本表'!$B$165:$B$174,综合表!EC4,'13.建安成本表'!$Q$165:$Q$174)</f>
        <v>0</v>
      </c>
      <c r="EE24" s="1375">
        <f t="shared" si="165"/>
        <v>0</v>
      </c>
      <c r="EF24" s="1385">
        <f>SUMIF('13.建安成本表'!$B$165:$B$174,综合表!EE4,'13.建安成本表'!$Q$165:$Q$174)</f>
        <v>0</v>
      </c>
      <c r="EG24" s="1385">
        <f t="shared" si="166"/>
        <v>0</v>
      </c>
      <c r="EH24" s="1385">
        <f t="shared" si="188"/>
        <v>0</v>
      </c>
      <c r="EI24" s="1375">
        <f t="shared" si="167"/>
        <v>0</v>
      </c>
      <c r="EJ24" s="1385">
        <f>SUMIF('13.建安成本表'!$B$165:$B$174,综合表!EI4,'13.建安成本表'!$T$165:$T$174)</f>
        <v>0</v>
      </c>
      <c r="EK24" s="1375">
        <f t="shared" si="168"/>
        <v>0</v>
      </c>
      <c r="EL24" s="1385">
        <f>SUMIF('13.建安成本表'!$B$165:$B$174,综合表!EK4,'13.建安成本表'!$T$165:$T$174)</f>
        <v>0</v>
      </c>
      <c r="EM24" s="1375">
        <f t="shared" si="169"/>
        <v>0</v>
      </c>
      <c r="EN24" s="1385">
        <f>SUMIF('13.建安成本表'!$B$165:$B$174,综合表!EM4,'13.建安成本表'!$T$165:$T$174)</f>
        <v>0</v>
      </c>
      <c r="EO24" s="1375">
        <f t="shared" si="170"/>
        <v>0</v>
      </c>
      <c r="EP24" s="1385">
        <f>SUMIF('13.建安成本表'!$B$165:$B$174,综合表!EO4,'13.建安成本表'!$T$165:$T$174)</f>
        <v>0</v>
      </c>
      <c r="EQ24" s="1375">
        <f t="shared" si="171"/>
        <v>0</v>
      </c>
      <c r="ER24" s="1385">
        <f>SUMIF('13.建安成本表'!$B$165:$B$174,综合表!EQ4,'13.建安成本表'!$T$165:$T$174)</f>
        <v>0</v>
      </c>
      <c r="ES24" s="1375">
        <f t="shared" si="172"/>
        <v>0</v>
      </c>
      <c r="ET24" s="1385">
        <f>SUMIF('13.建安成本表'!$B$165:$B$174,综合表!ES4,'13.建安成本表'!$T$165:$T$174)</f>
        <v>0</v>
      </c>
      <c r="EU24" s="1375">
        <f t="shared" si="173"/>
        <v>0</v>
      </c>
      <c r="EV24" s="1385">
        <f>SUMIF('13.建安成本表'!$B$165:$B$174,综合表!EU4,'13.建安成本表'!$T$165:$T$174)</f>
        <v>0</v>
      </c>
      <c r="EW24" s="1375">
        <f t="shared" si="174"/>
        <v>0</v>
      </c>
      <c r="EX24" s="1385">
        <f>SUMIF('13.建安成本表'!$B$165:$B$174,综合表!EW4,'13.建安成本表'!$T$165:$T$174)</f>
        <v>0</v>
      </c>
      <c r="EY24" s="1375">
        <f t="shared" si="175"/>
        <v>0</v>
      </c>
      <c r="EZ24" s="1385">
        <f>SUMIF('13.建安成本表'!$B$165:$B$174,综合表!EY4,'13.建安成本表'!$T$165:$T$174)</f>
        <v>0</v>
      </c>
      <c r="FA24" s="1375">
        <f t="shared" si="176"/>
        <v>0</v>
      </c>
      <c r="FB24" s="1385">
        <f>SUMIF('13.建安成本表'!$B$165:$B$174,综合表!FA4,'13.建安成本表'!$T$165:$T$174)</f>
        <v>0</v>
      </c>
      <c r="FC24" s="1375">
        <f t="shared" si="177"/>
        <v>0</v>
      </c>
      <c r="FD24" s="1385">
        <f>SUMIF('13.建安成本表'!$B$165:$B$174,综合表!FC4,'13.建安成本表'!$T$165:$T$174)</f>
        <v>0</v>
      </c>
      <c r="FE24" s="1375">
        <f t="shared" si="178"/>
        <v>0</v>
      </c>
      <c r="FF24" s="1385">
        <f>SUMIF('13.建安成本表'!$B$165:$B$174,综合表!FE4,'13.建安成本表'!$T$165:$T$174)</f>
        <v>0</v>
      </c>
    </row>
    <row r="25" spans="1:162" s="1361" customFormat="1" ht="17.25" customHeight="1">
      <c r="A25" s="1788"/>
      <c r="B25" s="1393" t="str">
        <f>CONCATENATE("4.7开发间接费","（",ROUND(IFERROR(D25/($D$14)%,0),2),"%）")</f>
        <v>4.7开发间接费（3.77%）</v>
      </c>
      <c r="C25" s="1383">
        <f t="shared" si="179"/>
        <v>196.96069635085371</v>
      </c>
      <c r="D25" s="1378">
        <f t="shared" si="193"/>
        <v>1176.6432</v>
      </c>
      <c r="E25" s="1389"/>
      <c r="F25" s="1387"/>
      <c r="G25" s="1375">
        <f t="shared" si="180"/>
        <v>196.96069635085371</v>
      </c>
      <c r="H25" s="1385">
        <f t="shared" si="192"/>
        <v>1176.6432</v>
      </c>
      <c r="I25" s="1375">
        <f t="shared" si="104"/>
        <v>184</v>
      </c>
      <c r="J25" s="1385">
        <f>SUMIF('13.建安成本表'!$B$104:$B$116,综合表!I4,'13.建安成本表'!$E$104:$E$116)</f>
        <v>1032.24</v>
      </c>
      <c r="K25" s="1375">
        <f t="shared" si="105"/>
        <v>184</v>
      </c>
      <c r="L25" s="1385">
        <f>SUMIF('13.建安成本表'!$B$104:$B$116,综合表!K4,'13.建安成本表'!$E$104:$E$116)</f>
        <v>66.975999999999999</v>
      </c>
      <c r="M25" s="1375">
        <f t="shared" si="106"/>
        <v>0</v>
      </c>
      <c r="N25" s="1385">
        <f>SUMIF('13.建安成本表'!$B$104:$B$116,综合表!M4,'13.建安成本表'!$E$104:$E$116)</f>
        <v>77.427199999999999</v>
      </c>
      <c r="O25" s="1375">
        <f t="shared" si="107"/>
        <v>0</v>
      </c>
      <c r="P25" s="1385">
        <f>SUMIF('13.建安成本表'!$B$104:$B$116,综合表!O4,'13.建安成本表'!$E$104:$E$116)</f>
        <v>0</v>
      </c>
      <c r="Q25" s="1375">
        <f t="shared" si="108"/>
        <v>0</v>
      </c>
      <c r="R25" s="1385">
        <f>SUMIF('13.建安成本表'!$B$104:$B$116,综合表!Q4,'13.建安成本表'!$E$104:$E$116)</f>
        <v>0</v>
      </c>
      <c r="S25" s="1375">
        <f t="shared" si="109"/>
        <v>0</v>
      </c>
      <c r="T25" s="1385">
        <f>SUMIF('13.建安成本表'!$B$104:$B$116,综合表!S4,'13.建安成本表'!$E$104:$E$116)</f>
        <v>0</v>
      </c>
      <c r="U25" s="1375">
        <f t="shared" si="110"/>
        <v>0</v>
      </c>
      <c r="V25" s="1385">
        <f>SUMIF('13.建安成本表'!$B$104:$B$116,综合表!U4,'13.建安成本表'!$E$104:$E$116)</f>
        <v>0</v>
      </c>
      <c r="W25" s="1375">
        <f t="shared" si="111"/>
        <v>0</v>
      </c>
      <c r="X25" s="1385">
        <f>SUMIF('13.建安成本表'!$B$104:$B$116,综合表!W4,'13.建安成本表'!$E$104:$E$116)</f>
        <v>0</v>
      </c>
      <c r="Y25" s="1375">
        <f t="shared" si="112"/>
        <v>0</v>
      </c>
      <c r="Z25" s="1385">
        <f>SUMIF('13.建安成本表'!$B$104:$B$116,综合表!Y4,'13.建安成本表'!$E$104:$E$116)</f>
        <v>0</v>
      </c>
      <c r="AA25" s="1375">
        <f t="shared" si="113"/>
        <v>0</v>
      </c>
      <c r="AB25" s="1385">
        <f>SUMIF('13.建安成本表'!$B$104:$B$116,综合表!AA4,'13.建安成本表'!$E$104:$E$116)</f>
        <v>0</v>
      </c>
      <c r="AC25" s="1375">
        <f t="shared" si="114"/>
        <v>0</v>
      </c>
      <c r="AD25" s="1385">
        <f>SUMIF('13.建安成本表'!$B$104:$B$116,综合表!AC4,'13.建安成本表'!$E$104:$E$116)</f>
        <v>0</v>
      </c>
      <c r="AE25" s="1375">
        <f t="shared" si="115"/>
        <v>0</v>
      </c>
      <c r="AF25" s="1385">
        <f>SUMIF('13.建安成本表'!$B$104:$B$116,综合表!AE4,'13.建安成本表'!$E$104:$E$116)</f>
        <v>0</v>
      </c>
      <c r="AG25" s="1375">
        <f t="shared" si="116"/>
        <v>0</v>
      </c>
      <c r="AH25" s="1385">
        <f t="shared" si="182"/>
        <v>0</v>
      </c>
      <c r="AI25" s="1375">
        <f t="shared" si="117"/>
        <v>0</v>
      </c>
      <c r="AJ25" s="1385">
        <f>SUMIF('13.建安成本表'!$B$104:$B$116,综合表!AI4,'13.建安成本表'!$H$104:$H$116)</f>
        <v>0</v>
      </c>
      <c r="AK25" s="1375">
        <f t="shared" si="118"/>
        <v>0</v>
      </c>
      <c r="AL25" s="1385">
        <f>SUMIF('13.建安成本表'!$B$104:$B$116,综合表!AK4,'13.建安成本表'!$H$104:$H$116)</f>
        <v>0</v>
      </c>
      <c r="AM25" s="1375">
        <f t="shared" si="119"/>
        <v>0</v>
      </c>
      <c r="AN25" s="1385">
        <f>SUMIF('13.建安成本表'!$B$104:$B$116,综合表!AM4,'13.建安成本表'!$H$104:$H$116)</f>
        <v>0</v>
      </c>
      <c r="AO25" s="1375">
        <f t="shared" si="120"/>
        <v>0</v>
      </c>
      <c r="AP25" s="1385">
        <f>SUMIF('13.建安成本表'!$B$104:$B$116,综合表!AO4,'13.建安成本表'!$H$104:$H$116)</f>
        <v>0</v>
      </c>
      <c r="AQ25" s="1375">
        <f t="shared" si="121"/>
        <v>0</v>
      </c>
      <c r="AR25" s="1385">
        <f>SUMIF('13.建安成本表'!$B$104:$B$116,综合表!AQ4,'13.建安成本表'!$H$104:$H$116)</f>
        <v>0</v>
      </c>
      <c r="AS25" s="1375">
        <f t="shared" si="122"/>
        <v>0</v>
      </c>
      <c r="AT25" s="1385">
        <f>SUMIF('13.建安成本表'!$B$104:$B$116,综合表!AS4,'13.建安成本表'!$H$104:$H$116)</f>
        <v>0</v>
      </c>
      <c r="AU25" s="1375">
        <f t="shared" si="123"/>
        <v>0</v>
      </c>
      <c r="AV25" s="1385">
        <f>SUMIF('13.建安成本表'!$B$104:$B$116,综合表!AU4,'13.建安成本表'!$H$104:$H$116)</f>
        <v>0</v>
      </c>
      <c r="AW25" s="1375">
        <f t="shared" si="124"/>
        <v>0</v>
      </c>
      <c r="AX25" s="1385">
        <f>SUMIF('13.建安成本表'!$B$104:$B$116,综合表!AW4,'13.建安成本表'!$H$104:$H$116)</f>
        <v>0</v>
      </c>
      <c r="AY25" s="1375">
        <f t="shared" si="125"/>
        <v>0</v>
      </c>
      <c r="AZ25" s="1385">
        <f>SUMIF('13.建安成本表'!$B$104:$B$116,综合表!AY4,'13.建安成本表'!$H$104:$H$116)</f>
        <v>0</v>
      </c>
      <c r="BA25" s="1375">
        <f t="shared" si="126"/>
        <v>0</v>
      </c>
      <c r="BB25" s="1385">
        <f>SUMIF('13.建安成本表'!$B$104:$B$116,综合表!BA4,'13.建安成本表'!$H$104:$H$116)</f>
        <v>0</v>
      </c>
      <c r="BC25" s="1375">
        <f t="shared" si="127"/>
        <v>0</v>
      </c>
      <c r="BD25" s="1385">
        <f>SUMIF('13.建安成本表'!$B$104:$B$116,综合表!BC4,'13.建安成本表'!$H$104:$H$116)</f>
        <v>0</v>
      </c>
      <c r="BE25" s="1375">
        <f t="shared" si="128"/>
        <v>0</v>
      </c>
      <c r="BF25" s="1385">
        <f>SUMIF('13.建安成本表'!$B$104:$B$116,综合表!BE4,'13.建安成本表'!$H$104:$H$116)</f>
        <v>0</v>
      </c>
      <c r="BG25" s="1385">
        <f t="shared" si="183"/>
        <v>0</v>
      </c>
      <c r="BH25" s="1385">
        <f t="shared" si="184"/>
        <v>0</v>
      </c>
      <c r="BI25" s="1375">
        <f t="shared" si="129"/>
        <v>0</v>
      </c>
      <c r="BJ25" s="1385">
        <f>SUMIF('13.建安成本表'!$B$104:$B$116,综合表!BI4,'13.建安成本表'!$K$104:$K$116)</f>
        <v>0</v>
      </c>
      <c r="BK25" s="1375">
        <f t="shared" si="130"/>
        <v>0</v>
      </c>
      <c r="BL25" s="1385">
        <f>SUMIF('13.建安成本表'!$B$104:$B$116,综合表!BK4,'13.建安成本表'!$K$104:$K$116)</f>
        <v>0</v>
      </c>
      <c r="BM25" s="1375">
        <f t="shared" si="131"/>
        <v>0</v>
      </c>
      <c r="BN25" s="1385">
        <f>SUMIF('13.建安成本表'!$B$104:$B$116,综合表!BM4,'13.建安成本表'!$K$104:$K$116)</f>
        <v>0</v>
      </c>
      <c r="BO25" s="1375">
        <f t="shared" si="132"/>
        <v>0</v>
      </c>
      <c r="BP25" s="1385">
        <f>SUMIF('13.建安成本表'!$B$104:$B$116,综合表!BO4,'13.建安成本表'!$K$104:$K$116)</f>
        <v>0</v>
      </c>
      <c r="BQ25" s="1375">
        <f t="shared" si="133"/>
        <v>0</v>
      </c>
      <c r="BR25" s="1385">
        <f>SUMIF('13.建安成本表'!$B$104:$B$116,综合表!BQ4,'13.建安成本表'!$K$104:$K$116)</f>
        <v>0</v>
      </c>
      <c r="BS25" s="1375">
        <f t="shared" si="134"/>
        <v>0</v>
      </c>
      <c r="BT25" s="1385">
        <f>SUMIF('13.建安成本表'!$B$104:$B$116,综合表!BS4,'13.建安成本表'!$K$104:$K$116)</f>
        <v>0</v>
      </c>
      <c r="BU25" s="1375">
        <f t="shared" si="135"/>
        <v>0</v>
      </c>
      <c r="BV25" s="1385">
        <f>SUMIF('13.建安成本表'!$B$104:$B$116,综合表!BU4,'13.建安成本表'!$K$104:$K$116)</f>
        <v>0</v>
      </c>
      <c r="BW25" s="1375">
        <f t="shared" si="136"/>
        <v>0</v>
      </c>
      <c r="BX25" s="1385">
        <f>SUMIF('13.建安成本表'!$B$104:$B$116,综合表!BW4,'13.建安成本表'!$K$104:$K$116)</f>
        <v>0</v>
      </c>
      <c r="BY25" s="1375">
        <f t="shared" si="137"/>
        <v>0</v>
      </c>
      <c r="BZ25" s="1385">
        <f>SUMIF('13.建安成本表'!$B$104:$B$116,综合表!BY4,'13.建安成本表'!$K$104:$K$116)</f>
        <v>0</v>
      </c>
      <c r="CA25" s="1375">
        <f t="shared" si="138"/>
        <v>0</v>
      </c>
      <c r="CB25" s="1385">
        <f>SUMIF('13.建安成本表'!$B$104:$B$116,综合表!CA4,'13.建安成本表'!$K$104:$K$116)</f>
        <v>0</v>
      </c>
      <c r="CC25" s="1375">
        <f t="shared" si="139"/>
        <v>0</v>
      </c>
      <c r="CD25" s="1385">
        <f>SUMIF('13.建安成本表'!$B$104:$B$116,综合表!CC4,'13.建安成本表'!$K$104:$K$116)</f>
        <v>0</v>
      </c>
      <c r="CE25" s="1375">
        <f t="shared" si="140"/>
        <v>0</v>
      </c>
      <c r="CF25" s="1385">
        <f>SUMIF('13.建安成本表'!$B$104:$B$116,综合表!CE4,'13.建安成本表'!$K$104:$K$116)</f>
        <v>0</v>
      </c>
      <c r="CG25" s="1385">
        <f t="shared" si="185"/>
        <v>0</v>
      </c>
      <c r="CH25" s="1385">
        <f t="shared" si="186"/>
        <v>0</v>
      </c>
      <c r="CI25" s="1375">
        <f t="shared" si="141"/>
        <v>0</v>
      </c>
      <c r="CJ25" s="1385">
        <f>SUMIF('13.建安成本表'!$B$104:$B$116,综合表!CI4,'13.建安成本表'!$N$104:$N$116)</f>
        <v>0</v>
      </c>
      <c r="CK25" s="1375">
        <f t="shared" si="142"/>
        <v>0</v>
      </c>
      <c r="CL25" s="1385">
        <f>SUMIF('13.建安成本表'!$B$104:$B$116,综合表!CK4,'13.建安成本表'!$N$104:$N$116)</f>
        <v>0</v>
      </c>
      <c r="CM25" s="1375">
        <f t="shared" si="143"/>
        <v>0</v>
      </c>
      <c r="CN25" s="1385">
        <f>SUMIF('13.建安成本表'!$B$104:$B$116,综合表!CM4,'13.建安成本表'!$N$104:$N$116)</f>
        <v>0</v>
      </c>
      <c r="CO25" s="1375">
        <f t="shared" si="144"/>
        <v>0</v>
      </c>
      <c r="CP25" s="1385">
        <f>SUMIF('13.建安成本表'!$B$104:$B$116,综合表!CO4,'13.建安成本表'!$N$104:$N$116)</f>
        <v>0</v>
      </c>
      <c r="CQ25" s="1375">
        <f t="shared" si="145"/>
        <v>0</v>
      </c>
      <c r="CR25" s="1385">
        <f>SUMIF('13.建安成本表'!$B$104:$B$116,综合表!CQ4,'13.建安成本表'!$N$104:$N$116)</f>
        <v>0</v>
      </c>
      <c r="CS25" s="1375">
        <f t="shared" si="146"/>
        <v>0</v>
      </c>
      <c r="CT25" s="1385">
        <f>SUMIF('13.建安成本表'!$B$104:$B$116,综合表!CS4,'13.建安成本表'!$N$104:$N$116)</f>
        <v>0</v>
      </c>
      <c r="CU25" s="1375">
        <f t="shared" si="147"/>
        <v>0</v>
      </c>
      <c r="CV25" s="1385">
        <f>SUMIF('13.建安成本表'!$B$104:$B$116,综合表!CU4,'13.建安成本表'!$N$104:$N$116)</f>
        <v>0</v>
      </c>
      <c r="CW25" s="1375">
        <f t="shared" si="148"/>
        <v>0</v>
      </c>
      <c r="CX25" s="1385">
        <f>SUMIF('13.建安成本表'!$B$104:$B$116,综合表!CW4,'13.建安成本表'!$N$104:$N$116)</f>
        <v>0</v>
      </c>
      <c r="CY25" s="1375">
        <f t="shared" si="149"/>
        <v>0</v>
      </c>
      <c r="CZ25" s="1385">
        <f>SUMIF('13.建安成本表'!$B$104:$B$116,综合表!CY4,'13.建安成本表'!$N$104:$N$116)</f>
        <v>0</v>
      </c>
      <c r="DA25" s="1375">
        <f t="shared" si="150"/>
        <v>0</v>
      </c>
      <c r="DB25" s="1385">
        <f>SUMIF('13.建安成本表'!$B$104:$B$116,综合表!DA4,'13.建安成本表'!$N$104:$N$116)</f>
        <v>0</v>
      </c>
      <c r="DC25" s="1375">
        <f t="shared" si="151"/>
        <v>0</v>
      </c>
      <c r="DD25" s="1385">
        <f>SUMIF('13.建安成本表'!$B$104:$B$116,综合表!DC4,'13.建安成本表'!$N$104:$N$116)</f>
        <v>0</v>
      </c>
      <c r="DE25" s="1375">
        <f t="shared" si="152"/>
        <v>0</v>
      </c>
      <c r="DF25" s="1385">
        <f>SUMIF('13.建安成本表'!$B$104:$B$116,综合表!DE4,'13.建安成本表'!$N$104:$N$116)</f>
        <v>0</v>
      </c>
      <c r="DG25" s="1385">
        <f t="shared" si="153"/>
        <v>0</v>
      </c>
      <c r="DH25" s="1385">
        <f t="shared" si="187"/>
        <v>0</v>
      </c>
      <c r="DI25" s="1375">
        <f t="shared" si="154"/>
        <v>0</v>
      </c>
      <c r="DJ25" s="1385">
        <f>SUMIF('13.建安成本表'!$B$104:$B$116,综合表!DI4,'13.建安成本表'!$Q$104:$Q$116)</f>
        <v>0</v>
      </c>
      <c r="DK25" s="1375">
        <f t="shared" si="155"/>
        <v>0</v>
      </c>
      <c r="DL25" s="1385">
        <f>SUMIF('13.建安成本表'!$B$104:$B$116,综合表!DK4,'13.建安成本表'!$Q$104:$Q$116)</f>
        <v>0</v>
      </c>
      <c r="DM25" s="1375">
        <f t="shared" si="156"/>
        <v>0</v>
      </c>
      <c r="DN25" s="1385">
        <f>SUMIF('13.建安成本表'!$B$104:$B$116,综合表!DM4,'13.建安成本表'!$Q$104:$Q$116)</f>
        <v>0</v>
      </c>
      <c r="DO25" s="1375">
        <f t="shared" si="157"/>
        <v>0</v>
      </c>
      <c r="DP25" s="1385">
        <f>SUMIF('13.建安成本表'!$B$104:$B$116,综合表!DO4,'13.建安成本表'!$Q$104:$Q$116)</f>
        <v>0</v>
      </c>
      <c r="DQ25" s="1375">
        <f t="shared" si="158"/>
        <v>0</v>
      </c>
      <c r="DR25" s="1385">
        <f>SUMIF('13.建安成本表'!$B$104:$B$116,综合表!DQ4,'13.建安成本表'!$Q$104:$Q$116)</f>
        <v>0</v>
      </c>
      <c r="DS25" s="1375">
        <f t="shared" si="159"/>
        <v>0</v>
      </c>
      <c r="DT25" s="1385">
        <f>SUMIF('13.建安成本表'!$B$104:$B$116,综合表!DS4,'13.建安成本表'!$Q$104:$Q$116)</f>
        <v>0</v>
      </c>
      <c r="DU25" s="1375">
        <f t="shared" si="160"/>
        <v>0</v>
      </c>
      <c r="DV25" s="1385">
        <f>SUMIF('13.建安成本表'!$B$104:$B$116,综合表!DU4,'13.建安成本表'!$Q$104:$Q$116)</f>
        <v>0</v>
      </c>
      <c r="DW25" s="1375">
        <f t="shared" si="161"/>
        <v>0</v>
      </c>
      <c r="DX25" s="1385">
        <f>SUMIF('13.建安成本表'!$B$104:$B$116,综合表!DW4,'13.建安成本表'!$Q$104:$Q$116)</f>
        <v>0</v>
      </c>
      <c r="DY25" s="1375">
        <f t="shared" si="162"/>
        <v>0</v>
      </c>
      <c r="DZ25" s="1385">
        <f>SUMIF('13.建安成本表'!$B$104:$B$116,综合表!DY4,'13.建安成本表'!$Q$104:$Q$116)</f>
        <v>0</v>
      </c>
      <c r="EA25" s="1375">
        <f t="shared" si="163"/>
        <v>0</v>
      </c>
      <c r="EB25" s="1385">
        <f>SUMIF('13.建安成本表'!$B$104:$B$116,综合表!EA4,'13.建安成本表'!$Q$104:$Q$116)</f>
        <v>0</v>
      </c>
      <c r="EC25" s="1375">
        <f t="shared" si="164"/>
        <v>0</v>
      </c>
      <c r="ED25" s="1385">
        <f>SUMIF('13.建安成本表'!$B$104:$B$116,综合表!EC4,'13.建安成本表'!$Q$104:$Q$116)</f>
        <v>0</v>
      </c>
      <c r="EE25" s="1375">
        <f t="shared" si="165"/>
        <v>0</v>
      </c>
      <c r="EF25" s="1385">
        <f>SUMIF('13.建安成本表'!$B$104:$B$116,综合表!EE4,'13.建安成本表'!$Q$104:$Q$116)</f>
        <v>0</v>
      </c>
      <c r="EG25" s="1385">
        <f t="shared" si="166"/>
        <v>0</v>
      </c>
      <c r="EH25" s="1385">
        <f t="shared" si="188"/>
        <v>0</v>
      </c>
      <c r="EI25" s="1375">
        <f t="shared" si="167"/>
        <v>0</v>
      </c>
      <c r="EJ25" s="1385">
        <f>SUMIF('13.建安成本表'!$B$104:$B$116,综合表!EI4,'13.建安成本表'!$T$104:$T$116)</f>
        <v>0</v>
      </c>
      <c r="EK25" s="1375">
        <f t="shared" si="168"/>
        <v>0</v>
      </c>
      <c r="EL25" s="1385">
        <f>SUMIF('13.建安成本表'!$B$104:$B$116,综合表!EK4,'13.建安成本表'!$T$104:$T$116)</f>
        <v>0</v>
      </c>
      <c r="EM25" s="1375">
        <f t="shared" si="169"/>
        <v>0</v>
      </c>
      <c r="EN25" s="1385">
        <f>SUMIF('13.建安成本表'!$B$104:$B$116,综合表!EM4,'13.建安成本表'!$T$104:$T$116)</f>
        <v>0</v>
      </c>
      <c r="EO25" s="1375">
        <f t="shared" si="170"/>
        <v>0</v>
      </c>
      <c r="EP25" s="1385">
        <f>SUMIF('13.建安成本表'!$B$104:$B$116,综合表!EO4,'13.建安成本表'!$T$104:$T$116)</f>
        <v>0</v>
      </c>
      <c r="EQ25" s="1375">
        <f t="shared" si="171"/>
        <v>0</v>
      </c>
      <c r="ER25" s="1385">
        <f>SUMIF('13.建安成本表'!$B$104:$B$116,综合表!EQ4,'13.建安成本表'!$T$104:$T$116)</f>
        <v>0</v>
      </c>
      <c r="ES25" s="1375">
        <f t="shared" si="172"/>
        <v>0</v>
      </c>
      <c r="ET25" s="1385">
        <f>SUMIF('13.建安成本表'!$B$104:$B$116,综合表!ES4,'13.建安成本表'!$T$104:$T$116)</f>
        <v>0</v>
      </c>
      <c r="EU25" s="1375">
        <f t="shared" si="173"/>
        <v>0</v>
      </c>
      <c r="EV25" s="1385">
        <f>SUMIF('13.建安成本表'!$B$104:$B$116,综合表!EU4,'13.建安成本表'!$T$104:$T$116)</f>
        <v>0</v>
      </c>
      <c r="EW25" s="1375">
        <f t="shared" si="174"/>
        <v>0</v>
      </c>
      <c r="EX25" s="1385">
        <f>SUMIF('13.建安成本表'!$B$104:$B$116,综合表!EW4,'13.建安成本表'!$T$104:$T$116)</f>
        <v>0</v>
      </c>
      <c r="EY25" s="1375">
        <f t="shared" si="175"/>
        <v>0</v>
      </c>
      <c r="EZ25" s="1385">
        <f>SUMIF('13.建安成本表'!$B$104:$B$116,综合表!EY4,'13.建安成本表'!$T$104:$T$116)</f>
        <v>0</v>
      </c>
      <c r="FA25" s="1375">
        <f t="shared" si="176"/>
        <v>0</v>
      </c>
      <c r="FB25" s="1385">
        <f>SUMIF('13.建安成本表'!$B$104:$B$116,综合表!FA4,'13.建安成本表'!$T$104:$T$116)</f>
        <v>0</v>
      </c>
      <c r="FC25" s="1375">
        <f t="shared" si="177"/>
        <v>0</v>
      </c>
      <c r="FD25" s="1385">
        <f>SUMIF('13.建安成本表'!$B$104:$B$116,综合表!FC4,'13.建安成本表'!$T$104:$T$116)</f>
        <v>0</v>
      </c>
      <c r="FE25" s="1375">
        <f t="shared" si="178"/>
        <v>0</v>
      </c>
      <c r="FF25" s="1385">
        <f>SUMIF('13.建安成本表'!$B$104:$B$116,综合表!FE4,'13.建安成本表'!$T$104:$T$116)</f>
        <v>0</v>
      </c>
    </row>
    <row r="26" spans="1:162" s="1361" customFormat="1" ht="17.25" customHeight="1">
      <c r="A26" s="1788"/>
      <c r="B26" s="1393" t="s">
        <v>295</v>
      </c>
      <c r="C26" s="1383">
        <f t="shared" ca="1" si="179"/>
        <v>150.90391697355207</v>
      </c>
      <c r="D26" s="1378">
        <f t="shared" ca="1" si="193"/>
        <v>901.5</v>
      </c>
      <c r="E26" s="1394"/>
      <c r="F26" s="1395"/>
      <c r="G26" s="1375">
        <f t="shared" ca="1" si="180"/>
        <v>141.86575577848507</v>
      </c>
      <c r="H26" s="1385">
        <f t="shared" ca="1" si="192"/>
        <v>901.5</v>
      </c>
      <c r="I26" s="1375">
        <f t="shared" ca="1" si="104"/>
        <v>140.1838149137489</v>
      </c>
      <c r="J26" s="1431">
        <f ca="1">SUMIF('17.财务费用测算表'!$D$29:$O$29,综合表!I4,'17.财务费用测算表'!$D$30:$O$30)</f>
        <v>786.4312016661313</v>
      </c>
      <c r="K26" s="1375">
        <f t="shared" ca="1" si="105"/>
        <v>167.78797624873221</v>
      </c>
      <c r="L26" s="1431">
        <f ca="1">SUMIF('17.财务费用测算表'!$D$29:$O$29,综合表!K4,'17.财务费用测算表'!$D$30:$O$30)</f>
        <v>61.074823354538523</v>
      </c>
      <c r="M26" s="1375">
        <f t="shared" si="106"/>
        <v>0</v>
      </c>
      <c r="N26" s="1431">
        <f>SUMIF('17.财务费用测算表'!$D$29:$O$29,综合表!M4,'17.财务费用测算表'!$D$30:$O$30)</f>
        <v>0</v>
      </c>
      <c r="O26" s="1375">
        <f t="shared" ca="1" si="107"/>
        <v>0</v>
      </c>
      <c r="P26" s="1431">
        <f ca="1">SUMIF('17.财务费用测算表'!$D$29:$O$29,综合表!O4,'17.财务费用测算表'!$D$30:$O$30)</f>
        <v>0</v>
      </c>
      <c r="Q26" s="1375">
        <f t="shared" ca="1" si="108"/>
        <v>0</v>
      </c>
      <c r="R26" s="1431">
        <f ca="1">SUMIF('17.财务费用测算表'!$D$29:$O$29,综合表!Q4,'17.财务费用测算表'!$D$30:$O$30)</f>
        <v>0</v>
      </c>
      <c r="S26" s="1375">
        <f t="shared" ca="1" si="109"/>
        <v>0</v>
      </c>
      <c r="T26" s="1431">
        <f ca="1">SUMIF('17.财务费用测算表'!$D$29:$O$29,综合表!S4,'17.财务费用测算表'!$D$30:$O$30)</f>
        <v>0</v>
      </c>
      <c r="U26" s="1375">
        <f t="shared" ca="1" si="110"/>
        <v>0</v>
      </c>
      <c r="V26" s="1431">
        <f ca="1">SUMIF('17.财务费用测算表'!$D$29:$O$29,综合表!U4,'17.财务费用测算表'!$D$30:$O$30)</f>
        <v>0</v>
      </c>
      <c r="W26" s="1375">
        <f t="shared" ca="1" si="111"/>
        <v>0</v>
      </c>
      <c r="X26" s="1431">
        <f ca="1">SUMIF('17.财务费用测算表'!$D$29:$O$29,综合表!W4,'17.财务费用测算表'!$D$30:$O$30)</f>
        <v>0</v>
      </c>
      <c r="Y26" s="1375">
        <f t="shared" ca="1" si="112"/>
        <v>0</v>
      </c>
      <c r="Z26" s="1431">
        <f ca="1">SUMIF('17.财务费用测算表'!$D$29:$O$29,综合表!Y4,'17.财务费用测算表'!$D$30:$O$30)</f>
        <v>0</v>
      </c>
      <c r="AA26" s="1375">
        <f t="shared" ca="1" si="113"/>
        <v>0</v>
      </c>
      <c r="AB26" s="1431">
        <f ca="1">SUMIF('17.财务费用测算表'!$D$29:$O$29,综合表!AA4,'17.财务费用测算表'!$D$30:$O$30)</f>
        <v>0</v>
      </c>
      <c r="AC26" s="1375">
        <f t="shared" ca="1" si="114"/>
        <v>1279.4780800789163</v>
      </c>
      <c r="AD26" s="1431">
        <f ca="1">SUMIF('17.财务费用测算表'!$D$29:$O$29,综合表!AC4,'17.财务费用测算表'!$D$30:$O$30)</f>
        <v>53.993974979330268</v>
      </c>
      <c r="AE26" s="1375">
        <f t="shared" ca="1" si="115"/>
        <v>0</v>
      </c>
      <c r="AF26" s="1431">
        <f ca="1">SUMIF('17.财务费用测算表'!$D$29:$O$29,综合表!AE4,'17.财务费用测算表'!$D$30:$O$30)</f>
        <v>0</v>
      </c>
      <c r="AG26" s="1375">
        <f t="shared" ca="1" si="116"/>
        <v>0</v>
      </c>
      <c r="AH26" s="1385">
        <f t="shared" ca="1" si="182"/>
        <v>0</v>
      </c>
      <c r="AI26" s="1375">
        <f t="shared" ca="1" si="117"/>
        <v>0</v>
      </c>
      <c r="AJ26" s="1431">
        <f ca="1">SUMIF('17.财务费用测算表'!$D$29:$O$29,综合表!AI4,'17.财务费用测算表'!$D$31:$O$31)</f>
        <v>0</v>
      </c>
      <c r="AK26" s="1375">
        <f t="shared" ca="1" si="118"/>
        <v>0</v>
      </c>
      <c r="AL26" s="1431">
        <f ca="1">SUMIF('17.财务费用测算表'!$D$29:$O$29,综合表!AK4,'17.财务费用测算表'!$D$31:$O$31)</f>
        <v>0</v>
      </c>
      <c r="AM26" s="1375">
        <f t="shared" si="119"/>
        <v>0</v>
      </c>
      <c r="AN26" s="1431">
        <f>SUMIF('17.财务费用测算表'!$D$29:$O$29,综合表!AM4,'17.财务费用测算表'!$D$31:$O$31)</f>
        <v>0</v>
      </c>
      <c r="AO26" s="1375">
        <f t="shared" ca="1" si="120"/>
        <v>0</v>
      </c>
      <c r="AP26" s="1431">
        <f ca="1">SUMIF('17.财务费用测算表'!$D$29:$O$29,综合表!AO4,'17.财务费用测算表'!$D$31:$O$31)</f>
        <v>0</v>
      </c>
      <c r="AQ26" s="1375">
        <f t="shared" ca="1" si="121"/>
        <v>0</v>
      </c>
      <c r="AR26" s="1431">
        <f ca="1">SUMIF('17.财务费用测算表'!$D$29:$O$29,综合表!AQ4,'17.财务费用测算表'!$D$31:$O$31)</f>
        <v>0</v>
      </c>
      <c r="AS26" s="1375">
        <f t="shared" ca="1" si="122"/>
        <v>0</v>
      </c>
      <c r="AT26" s="1431">
        <f ca="1">SUMIF('17.财务费用测算表'!$D$29:$O$29,综合表!AS4,'17.财务费用测算表'!$D$31:$O$31)</f>
        <v>0</v>
      </c>
      <c r="AU26" s="1375">
        <f t="shared" ca="1" si="123"/>
        <v>0</v>
      </c>
      <c r="AV26" s="1431">
        <f ca="1">SUMIF('17.财务费用测算表'!$D$29:$O$29,综合表!AU4,'17.财务费用测算表'!$D$31:$O$31)</f>
        <v>0</v>
      </c>
      <c r="AW26" s="1375">
        <f t="shared" ca="1" si="124"/>
        <v>0</v>
      </c>
      <c r="AX26" s="1431">
        <f ca="1">SUMIF('17.财务费用测算表'!$D$29:$O$29,综合表!AW4,'17.财务费用测算表'!$D$31:$O$31)</f>
        <v>0</v>
      </c>
      <c r="AY26" s="1375">
        <f t="shared" ca="1" si="125"/>
        <v>0</v>
      </c>
      <c r="AZ26" s="1431">
        <f ca="1">SUMIF('17.财务费用测算表'!$D$29:$O$29,综合表!AY4,'17.财务费用测算表'!$D$31:$O$31)</f>
        <v>0</v>
      </c>
      <c r="BA26" s="1375">
        <f t="shared" ca="1" si="126"/>
        <v>0</v>
      </c>
      <c r="BB26" s="1431">
        <f ca="1">SUMIF('17.财务费用测算表'!$D$29:$O$29,综合表!BA4,'17.财务费用测算表'!$D$31:$O$31)</f>
        <v>0</v>
      </c>
      <c r="BC26" s="1375">
        <f t="shared" ca="1" si="127"/>
        <v>0</v>
      </c>
      <c r="BD26" s="1431">
        <f ca="1">SUMIF('17.财务费用测算表'!$D$29:$O$29,综合表!BC4,'17.财务费用测算表'!$D$31:$O$31)</f>
        <v>0</v>
      </c>
      <c r="BE26" s="1375">
        <f t="shared" ca="1" si="128"/>
        <v>0</v>
      </c>
      <c r="BF26" s="1431">
        <f ca="1">SUMIF('17.财务费用测算表'!$D$29:$O$29,综合表!BE4,'17.财务费用测算表'!$D$31:$O$31)</f>
        <v>0</v>
      </c>
      <c r="BG26" s="1385">
        <f t="shared" ca="1" si="183"/>
        <v>0</v>
      </c>
      <c r="BH26" s="1385">
        <f t="shared" ca="1" si="184"/>
        <v>0</v>
      </c>
      <c r="BI26" s="1375">
        <f t="shared" ca="1" si="129"/>
        <v>0</v>
      </c>
      <c r="BJ26" s="1431">
        <f ca="1">SUMIF('17.财务费用测算表'!$D$29:$O$29,综合表!BI4,'17.财务费用测算表'!$D$32:$O$32)</f>
        <v>0</v>
      </c>
      <c r="BK26" s="1375">
        <f t="shared" ca="1" si="130"/>
        <v>0</v>
      </c>
      <c r="BL26" s="1431">
        <f ca="1">SUMIF('17.财务费用测算表'!$D$29:$O$29,综合表!BK4,'17.财务费用测算表'!$D$32:$O$32)</f>
        <v>0</v>
      </c>
      <c r="BM26" s="1375">
        <f t="shared" si="131"/>
        <v>0</v>
      </c>
      <c r="BN26" s="1431">
        <f>SUMIF('17.财务费用测算表'!$D$29:$O$29,综合表!BM4,'17.财务费用测算表'!$D$32:$O$32)</f>
        <v>0</v>
      </c>
      <c r="BO26" s="1375">
        <f t="shared" ca="1" si="132"/>
        <v>0</v>
      </c>
      <c r="BP26" s="1431">
        <f ca="1">SUMIF('17.财务费用测算表'!$D$29:$O$29,综合表!BO4,'17.财务费用测算表'!$D$32:$O$32)</f>
        <v>0</v>
      </c>
      <c r="BQ26" s="1375">
        <f t="shared" ca="1" si="133"/>
        <v>0</v>
      </c>
      <c r="BR26" s="1431">
        <f ca="1">SUMIF('17.财务费用测算表'!$D$29:$O$29,综合表!BQ4,'17.财务费用测算表'!$D$32:$O$32)</f>
        <v>0</v>
      </c>
      <c r="BS26" s="1375">
        <f t="shared" ca="1" si="134"/>
        <v>0</v>
      </c>
      <c r="BT26" s="1431">
        <f ca="1">SUMIF('17.财务费用测算表'!$D$29:$O$29,综合表!BS4,'17.财务费用测算表'!$D$32:$O$32)</f>
        <v>0</v>
      </c>
      <c r="BU26" s="1375">
        <f t="shared" ca="1" si="135"/>
        <v>0</v>
      </c>
      <c r="BV26" s="1431">
        <f ca="1">SUMIF('17.财务费用测算表'!$D$29:$O$29,综合表!BU4,'17.财务费用测算表'!$D$32:$O$32)</f>
        <v>0</v>
      </c>
      <c r="BW26" s="1375">
        <f t="shared" ca="1" si="136"/>
        <v>0</v>
      </c>
      <c r="BX26" s="1431">
        <f ca="1">SUMIF('17.财务费用测算表'!$D$29:$O$29,综合表!BW4,'17.财务费用测算表'!$D$32:$O$32)</f>
        <v>0</v>
      </c>
      <c r="BY26" s="1375">
        <f t="shared" ca="1" si="137"/>
        <v>0</v>
      </c>
      <c r="BZ26" s="1431">
        <f ca="1">SUMIF('17.财务费用测算表'!$D$29:$O$29,综合表!BY4,'17.财务费用测算表'!$D$32:$O$32)</f>
        <v>0</v>
      </c>
      <c r="CA26" s="1375">
        <f t="shared" ca="1" si="138"/>
        <v>0</v>
      </c>
      <c r="CB26" s="1431">
        <f ca="1">SUMIF('17.财务费用测算表'!$D$29:$O$29,综合表!CA4,'17.财务费用测算表'!$D$32:$O$32)</f>
        <v>0</v>
      </c>
      <c r="CC26" s="1375">
        <f t="shared" ca="1" si="139"/>
        <v>0</v>
      </c>
      <c r="CD26" s="1431">
        <f ca="1">SUMIF('17.财务费用测算表'!$D$29:$O$29,综合表!CC4,'17.财务费用测算表'!$D$32:$O$32)</f>
        <v>0</v>
      </c>
      <c r="CE26" s="1375">
        <f t="shared" ca="1" si="140"/>
        <v>0</v>
      </c>
      <c r="CF26" s="1431">
        <f ca="1">SUMIF('17.财务费用测算表'!$D$29:$O$29,综合表!CE4,'17.财务费用测算表'!$D$32:$O$32)</f>
        <v>0</v>
      </c>
      <c r="CG26" s="1385">
        <f t="shared" ca="1" si="185"/>
        <v>0</v>
      </c>
      <c r="CH26" s="1385">
        <f t="shared" ca="1" si="186"/>
        <v>0</v>
      </c>
      <c r="CI26" s="1375">
        <f t="shared" ca="1" si="141"/>
        <v>0</v>
      </c>
      <c r="CJ26" s="1431">
        <f ca="1">SUMIF('17.财务费用测算表'!$D$29:$O$29,综合表!CI4,'17.财务费用测算表'!$D$33:$O$33)</f>
        <v>0</v>
      </c>
      <c r="CK26" s="1375">
        <f t="shared" ca="1" si="142"/>
        <v>0</v>
      </c>
      <c r="CL26" s="1431">
        <f ca="1">SUMIF('17.财务费用测算表'!$D$29:$O$29,综合表!CK4,'17.财务费用测算表'!$D$33:$O$33)</f>
        <v>0</v>
      </c>
      <c r="CM26" s="1375">
        <f t="shared" si="143"/>
        <v>0</v>
      </c>
      <c r="CN26" s="1431">
        <f>SUMIF('17.财务费用测算表'!$D$29:$O$29,综合表!CM4,'17.财务费用测算表'!$D$33:$O$33)</f>
        <v>0</v>
      </c>
      <c r="CO26" s="1375">
        <f t="shared" ca="1" si="144"/>
        <v>0</v>
      </c>
      <c r="CP26" s="1431">
        <f ca="1">SUMIF('17.财务费用测算表'!$D$29:$O$29,综合表!CO4,'17.财务费用测算表'!$D$33:$O$33)</f>
        <v>0</v>
      </c>
      <c r="CQ26" s="1375">
        <f t="shared" ca="1" si="145"/>
        <v>0</v>
      </c>
      <c r="CR26" s="1431">
        <f ca="1">SUMIF('17.财务费用测算表'!$D$29:$O$29,综合表!CQ4,'17.财务费用测算表'!$D$33:$O$33)</f>
        <v>0</v>
      </c>
      <c r="CS26" s="1375">
        <f t="shared" ca="1" si="146"/>
        <v>0</v>
      </c>
      <c r="CT26" s="1431">
        <f ca="1">SUMIF('17.财务费用测算表'!$D$29:$O$29,综合表!CS4,'17.财务费用测算表'!$D$33:$O$33)</f>
        <v>0</v>
      </c>
      <c r="CU26" s="1375">
        <f t="shared" ca="1" si="147"/>
        <v>0</v>
      </c>
      <c r="CV26" s="1431">
        <f ca="1">SUMIF('17.财务费用测算表'!$D$29:$O$29,综合表!CU4,'17.财务费用测算表'!$D$33:$O$33)</f>
        <v>0</v>
      </c>
      <c r="CW26" s="1375">
        <f t="shared" ca="1" si="148"/>
        <v>0</v>
      </c>
      <c r="CX26" s="1431">
        <f ca="1">SUMIF('17.财务费用测算表'!$D$29:$O$29,综合表!CW4,'17.财务费用测算表'!$D$33:$O$33)</f>
        <v>0</v>
      </c>
      <c r="CY26" s="1375">
        <f t="shared" ca="1" si="149"/>
        <v>0</v>
      </c>
      <c r="CZ26" s="1431">
        <f ca="1">SUMIF('17.财务费用测算表'!$D$29:$O$29,综合表!CY4,'17.财务费用测算表'!$D$33:$O$33)</f>
        <v>0</v>
      </c>
      <c r="DA26" s="1375">
        <f t="shared" ca="1" si="150"/>
        <v>0</v>
      </c>
      <c r="DB26" s="1431">
        <f ca="1">SUMIF('17.财务费用测算表'!$D$29:$O$29,综合表!DA4,'17.财务费用测算表'!$D$33:$O$33)</f>
        <v>0</v>
      </c>
      <c r="DC26" s="1375">
        <f t="shared" ca="1" si="151"/>
        <v>0</v>
      </c>
      <c r="DD26" s="1431">
        <f ca="1">SUMIF('17.财务费用测算表'!$D$29:$O$29,综合表!DC4,'17.财务费用测算表'!$D$33:$O$33)</f>
        <v>0</v>
      </c>
      <c r="DE26" s="1375">
        <f t="shared" ca="1" si="152"/>
        <v>0</v>
      </c>
      <c r="DF26" s="1431">
        <f ca="1">SUMIF('17.财务费用测算表'!$D$29:$O$29,综合表!DE4,'17.财务费用测算表'!$D$33:$O$33)</f>
        <v>0</v>
      </c>
      <c r="DG26" s="1385">
        <f t="shared" ca="1" si="153"/>
        <v>0</v>
      </c>
      <c r="DH26" s="1385">
        <f t="shared" ca="1" si="187"/>
        <v>0</v>
      </c>
      <c r="DI26" s="1375">
        <f t="shared" ca="1" si="154"/>
        <v>0</v>
      </c>
      <c r="DJ26" s="1431">
        <f ca="1">SUMIF('17.财务费用测算表'!$D$29:$O$29,综合表!DI4,'17.财务费用测算表'!$D$34:$O$34)</f>
        <v>0</v>
      </c>
      <c r="DK26" s="1375">
        <f t="shared" ca="1" si="155"/>
        <v>0</v>
      </c>
      <c r="DL26" s="1431">
        <f ca="1">SUMIF('17.财务费用测算表'!$D$29:$O$29,综合表!DK4,'17.财务费用测算表'!$D$34:$O$34)</f>
        <v>0</v>
      </c>
      <c r="DM26" s="1375">
        <f t="shared" si="156"/>
        <v>0</v>
      </c>
      <c r="DN26" s="1431">
        <f>SUMIF('17.财务费用测算表'!$D$29:$O$29,综合表!DM4,'17.财务费用测算表'!$D$34:$O$34)</f>
        <v>0</v>
      </c>
      <c r="DO26" s="1375">
        <f t="shared" ca="1" si="157"/>
        <v>0</v>
      </c>
      <c r="DP26" s="1431">
        <f ca="1">SUMIF('17.财务费用测算表'!$D$29:$O$29,综合表!DO4,'17.财务费用测算表'!$D$34:$O$34)</f>
        <v>0</v>
      </c>
      <c r="DQ26" s="1375">
        <f t="shared" ca="1" si="158"/>
        <v>0</v>
      </c>
      <c r="DR26" s="1431">
        <f ca="1">SUMIF('17.财务费用测算表'!$D$29:$O$29,综合表!DQ4,'17.财务费用测算表'!$D$34:$O$34)</f>
        <v>0</v>
      </c>
      <c r="DS26" s="1375">
        <f t="shared" ca="1" si="159"/>
        <v>0</v>
      </c>
      <c r="DT26" s="1431">
        <f ca="1">SUMIF('17.财务费用测算表'!$D$29:$O$29,综合表!DS4,'17.财务费用测算表'!$D$34:$O$34)</f>
        <v>0</v>
      </c>
      <c r="DU26" s="1375">
        <f t="shared" ca="1" si="160"/>
        <v>0</v>
      </c>
      <c r="DV26" s="1431">
        <f ca="1">SUMIF('17.财务费用测算表'!$D$29:$O$29,综合表!DU4,'17.财务费用测算表'!$D$34:$O$34)</f>
        <v>0</v>
      </c>
      <c r="DW26" s="1375">
        <f t="shared" ca="1" si="161"/>
        <v>0</v>
      </c>
      <c r="DX26" s="1431">
        <f ca="1">SUMIF('17.财务费用测算表'!$D$29:$O$29,综合表!DW4,'17.财务费用测算表'!$D$34:$O$34)</f>
        <v>0</v>
      </c>
      <c r="DY26" s="1375">
        <f t="shared" ca="1" si="162"/>
        <v>0</v>
      </c>
      <c r="DZ26" s="1431">
        <f ca="1">SUMIF('17.财务费用测算表'!$D$29:$O$29,综合表!DY4,'17.财务费用测算表'!$D$34:$O$34)</f>
        <v>0</v>
      </c>
      <c r="EA26" s="1375">
        <f t="shared" ca="1" si="163"/>
        <v>0</v>
      </c>
      <c r="EB26" s="1431">
        <f ca="1">SUMIF('17.财务费用测算表'!$D$29:$O$29,综合表!EA4,'17.财务费用测算表'!$D$34:$O$34)</f>
        <v>0</v>
      </c>
      <c r="EC26" s="1375">
        <f t="shared" ca="1" si="164"/>
        <v>0</v>
      </c>
      <c r="ED26" s="1431">
        <f ca="1">SUMIF('17.财务费用测算表'!$D$29:$O$29,综合表!EC4,'17.财务费用测算表'!$D$34:$O$34)</f>
        <v>0</v>
      </c>
      <c r="EE26" s="1375">
        <f t="shared" ca="1" si="165"/>
        <v>0</v>
      </c>
      <c r="EF26" s="1431">
        <f ca="1">SUMIF('17.财务费用测算表'!$D$29:$O$29,综合表!EE4,'17.财务费用测算表'!$D$34:$O$34)</f>
        <v>0</v>
      </c>
      <c r="EG26" s="1385">
        <f t="shared" ca="1" si="166"/>
        <v>0</v>
      </c>
      <c r="EH26" s="1385">
        <f t="shared" ca="1" si="188"/>
        <v>0</v>
      </c>
      <c r="EI26" s="1375">
        <f t="shared" ca="1" si="167"/>
        <v>0</v>
      </c>
      <c r="EJ26" s="1431">
        <f ca="1">SUMIF('17.财务费用测算表'!$D$29:$O$29,综合表!EI4,'17.财务费用测算表'!$D$35:$O$35)</f>
        <v>0</v>
      </c>
      <c r="EK26" s="1375">
        <f t="shared" ca="1" si="168"/>
        <v>0</v>
      </c>
      <c r="EL26" s="1431">
        <f ca="1">SUMIF('17.财务费用测算表'!$D$29:$O$29,综合表!EK4,'17.财务费用测算表'!$D$35:$O$35)</f>
        <v>0</v>
      </c>
      <c r="EM26" s="1375">
        <f t="shared" si="169"/>
        <v>0</v>
      </c>
      <c r="EN26" s="1431">
        <f>SUMIF('17.财务费用测算表'!$D$29:$O$29,综合表!EM4,'17.财务费用测算表'!$D$35:$O$35)</f>
        <v>0</v>
      </c>
      <c r="EO26" s="1375">
        <f t="shared" ca="1" si="170"/>
        <v>0</v>
      </c>
      <c r="EP26" s="1431">
        <f ca="1">SUMIF('17.财务费用测算表'!$D$29:$O$29,综合表!EO4,'17.财务费用测算表'!$D$35:$O$35)</f>
        <v>0</v>
      </c>
      <c r="EQ26" s="1375">
        <f t="shared" ca="1" si="171"/>
        <v>0</v>
      </c>
      <c r="ER26" s="1431">
        <f ca="1">SUMIF('17.财务费用测算表'!$D$29:$O$29,综合表!EQ4,'17.财务费用测算表'!$D$35:$O$35)</f>
        <v>0</v>
      </c>
      <c r="ES26" s="1375">
        <f t="shared" ca="1" si="172"/>
        <v>0</v>
      </c>
      <c r="ET26" s="1431">
        <f ca="1">SUMIF('17.财务费用测算表'!$D$29:$O$29,综合表!ES4,'17.财务费用测算表'!$D$35:$O$35)</f>
        <v>0</v>
      </c>
      <c r="EU26" s="1375">
        <f t="shared" ca="1" si="173"/>
        <v>0</v>
      </c>
      <c r="EV26" s="1431">
        <f ca="1">SUMIF('17.财务费用测算表'!$D$29:$O$29,综合表!EU4,'17.财务费用测算表'!$D$35:$O$35)</f>
        <v>0</v>
      </c>
      <c r="EW26" s="1375">
        <f t="shared" ca="1" si="174"/>
        <v>0</v>
      </c>
      <c r="EX26" s="1431">
        <f ca="1">SUMIF('17.财务费用测算表'!$D$29:$O$29,综合表!EW4,'17.财务费用测算表'!$D$35:$O$35)</f>
        <v>0</v>
      </c>
      <c r="EY26" s="1375">
        <f t="shared" ca="1" si="175"/>
        <v>0</v>
      </c>
      <c r="EZ26" s="1431">
        <f ca="1">SUMIF('17.财务费用测算表'!$D$29:$O$29,综合表!EY4,'17.财务费用测算表'!$D$35:$O$35)</f>
        <v>0</v>
      </c>
      <c r="FA26" s="1375">
        <f t="shared" ca="1" si="176"/>
        <v>0</v>
      </c>
      <c r="FB26" s="1431">
        <f ca="1">SUMIF('17.财务费用测算表'!$D$29:$O$29,综合表!FA4,'17.财务费用测算表'!$D$35:$O$35)</f>
        <v>0</v>
      </c>
      <c r="FC26" s="1375">
        <f t="shared" ca="1" si="177"/>
        <v>0</v>
      </c>
      <c r="FD26" s="1431">
        <f ca="1">SUMIF('17.财务费用测算表'!$D$29:$O$29,综合表!FC4,'17.财务费用测算表'!$D$35:$O$35)</f>
        <v>0</v>
      </c>
      <c r="FE26" s="1375">
        <f t="shared" ca="1" si="178"/>
        <v>0</v>
      </c>
      <c r="FF26" s="1431">
        <f ca="1">SUMIF('17.财务费用测算表'!$D$29:$O$29,综合表!FE4,'17.财务费用测算表'!$D$35:$O$35)</f>
        <v>0</v>
      </c>
    </row>
    <row r="27" spans="1:162" s="1361" customFormat="1" ht="17.25" customHeight="1">
      <c r="A27" s="1788"/>
      <c r="B27" s="1376" t="str">
        <f>CONCATENATE("4.8前期物业配合费","（",ROUND(IFERROR(D27/($D$14)%,0),2),"%）")</f>
        <v>4.8前期物业配合费（1.48%）</v>
      </c>
      <c r="C27" s="1383">
        <f t="shared" si="179"/>
        <v>77.100368262470695</v>
      </c>
      <c r="D27" s="1378">
        <f t="shared" si="193"/>
        <v>460.59759999999989</v>
      </c>
      <c r="E27" s="1389"/>
      <c r="F27" s="1387"/>
      <c r="G27" s="1375">
        <f t="shared" si="180"/>
        <v>77.100368262470695</v>
      </c>
      <c r="H27" s="1385">
        <f t="shared" si="192"/>
        <v>460.59759999999989</v>
      </c>
      <c r="I27" s="1375">
        <f t="shared" si="104"/>
        <v>77.100368262470695</v>
      </c>
      <c r="J27" s="1385">
        <f>SUMIF('13.建安成本表'!$B$118:$B$128,综合表!I4,'13.建安成本表'!$E$118:$E$128)</f>
        <v>432.53306595246056</v>
      </c>
      <c r="K27" s="1375">
        <f t="shared" si="105"/>
        <v>77.100368262470695</v>
      </c>
      <c r="L27" s="1385">
        <f>SUMIF('13.建安成本表'!$B$118:$B$128,综合表!K4,'13.建安成本表'!$E$118:$E$128)</f>
        <v>28.064534047539333</v>
      </c>
      <c r="M27" s="1375">
        <f t="shared" si="106"/>
        <v>0</v>
      </c>
      <c r="N27" s="1385">
        <f>SUMIF('13.建安成本表'!$B$118:$B$128,综合表!M4,'13.建安成本表'!$E$118:$E$128)</f>
        <v>0</v>
      </c>
      <c r="O27" s="1375">
        <f t="shared" si="107"/>
        <v>0</v>
      </c>
      <c r="P27" s="1385">
        <f>SUMIF('13.建安成本表'!$B$118:$B$128,综合表!O4,'13.建安成本表'!$E$118:$E$128)</f>
        <v>0</v>
      </c>
      <c r="Q27" s="1375">
        <f t="shared" si="108"/>
        <v>0</v>
      </c>
      <c r="R27" s="1385">
        <f>SUMIF('13.建安成本表'!$B$118:$B$128,综合表!Q4,'13.建安成本表'!$E$118:$E$128)</f>
        <v>0</v>
      </c>
      <c r="S27" s="1375">
        <f t="shared" si="109"/>
        <v>0</v>
      </c>
      <c r="T27" s="1385">
        <f>SUMIF('13.建安成本表'!$B$118:$B$128,综合表!S4,'13.建安成本表'!$E$118:$E$128)</f>
        <v>0</v>
      </c>
      <c r="U27" s="1375">
        <f t="shared" si="110"/>
        <v>0</v>
      </c>
      <c r="V27" s="1385">
        <f>SUMIF('13.建安成本表'!$B$118:$B$128,综合表!U4,'13.建安成本表'!$E$118:$E$128)</f>
        <v>0</v>
      </c>
      <c r="W27" s="1375">
        <f t="shared" si="111"/>
        <v>0</v>
      </c>
      <c r="X27" s="1385">
        <f>SUMIF('13.建安成本表'!$B$118:$B$128,综合表!W4,'13.建安成本表'!$E$118:$E$128)</f>
        <v>0</v>
      </c>
      <c r="Y27" s="1375">
        <f t="shared" si="112"/>
        <v>0</v>
      </c>
      <c r="Z27" s="1385">
        <f>SUMIF('13.建安成本表'!$B$118:$B$128,综合表!Y4,'13.建安成本表'!$E$118:$E$128)</f>
        <v>0</v>
      </c>
      <c r="AA27" s="1375">
        <f t="shared" si="113"/>
        <v>0</v>
      </c>
      <c r="AB27" s="1385">
        <f>SUMIF('13.建安成本表'!$B$118:$B$128,综合表!AA4,'13.建安成本表'!$E$118:$E$128)</f>
        <v>0</v>
      </c>
      <c r="AC27" s="1375">
        <f t="shared" si="114"/>
        <v>0</v>
      </c>
      <c r="AD27" s="1385">
        <f>SUMIF('13.建安成本表'!$B$118:$B$128,综合表!AC4,'13.建安成本表'!$E$118:$E$128)</f>
        <v>0</v>
      </c>
      <c r="AE27" s="1375">
        <f t="shared" si="115"/>
        <v>0</v>
      </c>
      <c r="AF27" s="1385">
        <f>SUMIF('13.建安成本表'!$B$118:$B$128,综合表!AE4,'13.建安成本表'!$E$118:$E$128)</f>
        <v>0</v>
      </c>
      <c r="AG27" s="1375">
        <f t="shared" si="116"/>
        <v>0</v>
      </c>
      <c r="AH27" s="1385">
        <f t="shared" si="182"/>
        <v>0</v>
      </c>
      <c r="AI27" s="1375">
        <f t="shared" si="117"/>
        <v>0</v>
      </c>
      <c r="AJ27" s="1385">
        <f>SUMIF('13.建安成本表'!$B$118:$B$128,综合表!AI4,'13.建安成本表'!$H$118:$H$128)</f>
        <v>0</v>
      </c>
      <c r="AK27" s="1375">
        <f t="shared" si="118"/>
        <v>0</v>
      </c>
      <c r="AL27" s="1385">
        <f>SUMIF('13.建安成本表'!$B$118:$B$128,综合表!AK4,'13.建安成本表'!$H$118:$H$128)</f>
        <v>0</v>
      </c>
      <c r="AM27" s="1375">
        <f t="shared" si="119"/>
        <v>0</v>
      </c>
      <c r="AN27" s="1385">
        <f>SUMIF('13.建安成本表'!$B$118:$B$128,综合表!AM4,'13.建安成本表'!$H$118:$H$128)</f>
        <v>0</v>
      </c>
      <c r="AO27" s="1375">
        <f t="shared" si="120"/>
        <v>0</v>
      </c>
      <c r="AP27" s="1385">
        <f>SUMIF('13.建安成本表'!$B$118:$B$128,综合表!AO4,'13.建安成本表'!$H$118:$H$128)</f>
        <v>0</v>
      </c>
      <c r="AQ27" s="1375">
        <f t="shared" si="121"/>
        <v>0</v>
      </c>
      <c r="AR27" s="1385">
        <f>SUMIF('13.建安成本表'!$B$118:$B$128,综合表!AQ4,'13.建安成本表'!$H$118:$H$128)</f>
        <v>0</v>
      </c>
      <c r="AS27" s="1375">
        <f t="shared" si="122"/>
        <v>0</v>
      </c>
      <c r="AT27" s="1385">
        <f>SUMIF('13.建安成本表'!$B$118:$B$128,综合表!AS4,'13.建安成本表'!$H$118:$H$128)</f>
        <v>0</v>
      </c>
      <c r="AU27" s="1375">
        <f t="shared" si="123"/>
        <v>0</v>
      </c>
      <c r="AV27" s="1385">
        <f>SUMIF('13.建安成本表'!$B$118:$B$128,综合表!AU4,'13.建安成本表'!$H$118:$H$128)</f>
        <v>0</v>
      </c>
      <c r="AW27" s="1375">
        <f t="shared" si="124"/>
        <v>0</v>
      </c>
      <c r="AX27" s="1385">
        <f>SUMIF('13.建安成本表'!$B$118:$B$128,综合表!AW4,'13.建安成本表'!$H$118:$H$128)</f>
        <v>0</v>
      </c>
      <c r="AY27" s="1375">
        <f t="shared" si="125"/>
        <v>0</v>
      </c>
      <c r="AZ27" s="1385">
        <f>SUMIF('13.建安成本表'!$B$118:$B$128,综合表!AY4,'13.建安成本表'!$H$118:$H$128)</f>
        <v>0</v>
      </c>
      <c r="BA27" s="1375">
        <f t="shared" si="126"/>
        <v>0</v>
      </c>
      <c r="BB27" s="1385">
        <f>SUMIF('13.建安成本表'!$B$118:$B$128,综合表!BA4,'13.建安成本表'!$H$118:$H$128)</f>
        <v>0</v>
      </c>
      <c r="BC27" s="1375">
        <f t="shared" si="127"/>
        <v>0</v>
      </c>
      <c r="BD27" s="1385">
        <f>SUMIF('13.建安成本表'!$B$118:$B$128,综合表!BC4,'13.建安成本表'!$H$118:$H$128)</f>
        <v>0</v>
      </c>
      <c r="BE27" s="1375">
        <f t="shared" si="128"/>
        <v>0</v>
      </c>
      <c r="BF27" s="1385">
        <f>SUMIF('13.建安成本表'!$B$118:$B$128,综合表!BE4,'13.建安成本表'!$H$118:$H$128)</f>
        <v>0</v>
      </c>
      <c r="BG27" s="1385">
        <f t="shared" si="183"/>
        <v>0</v>
      </c>
      <c r="BH27" s="1385">
        <f t="shared" si="184"/>
        <v>0</v>
      </c>
      <c r="BI27" s="1375">
        <f t="shared" si="129"/>
        <v>0</v>
      </c>
      <c r="BJ27" s="1385">
        <f>SUMIF('13.建安成本表'!$B$118:$B$128,综合表!BI4,'13.建安成本表'!$K$118:$K$128)</f>
        <v>0</v>
      </c>
      <c r="BK27" s="1375">
        <f t="shared" si="130"/>
        <v>0</v>
      </c>
      <c r="BL27" s="1385">
        <f>SUMIF('13.建安成本表'!$B$118:$B$128,综合表!BK4,'13.建安成本表'!$K$118:$K$128)</f>
        <v>0</v>
      </c>
      <c r="BM27" s="1375">
        <f t="shared" si="131"/>
        <v>0</v>
      </c>
      <c r="BN27" s="1385">
        <f>SUMIF('13.建安成本表'!$B$118:$B$128,综合表!BM4,'13.建安成本表'!$K$118:$K$128)</f>
        <v>0</v>
      </c>
      <c r="BO27" s="1375">
        <f t="shared" si="132"/>
        <v>0</v>
      </c>
      <c r="BP27" s="1385">
        <f>SUMIF('13.建安成本表'!$B$118:$B$128,综合表!BO4,'13.建安成本表'!$K$118:$K$128)</f>
        <v>0</v>
      </c>
      <c r="BQ27" s="1375">
        <f t="shared" si="133"/>
        <v>0</v>
      </c>
      <c r="BR27" s="1385">
        <f>SUMIF('13.建安成本表'!$B$118:$B$128,综合表!BQ4,'13.建安成本表'!$K$118:$K$128)</f>
        <v>0</v>
      </c>
      <c r="BS27" s="1375">
        <f t="shared" si="134"/>
        <v>0</v>
      </c>
      <c r="BT27" s="1385">
        <f>SUMIF('13.建安成本表'!$B$118:$B$128,综合表!BS4,'13.建安成本表'!$K$118:$K$128)</f>
        <v>0</v>
      </c>
      <c r="BU27" s="1375">
        <f t="shared" si="135"/>
        <v>0</v>
      </c>
      <c r="BV27" s="1385">
        <f>SUMIF('13.建安成本表'!$B$118:$B$128,综合表!BU4,'13.建安成本表'!$K$118:$K$128)</f>
        <v>0</v>
      </c>
      <c r="BW27" s="1375">
        <f t="shared" si="136"/>
        <v>0</v>
      </c>
      <c r="BX27" s="1385">
        <f>SUMIF('13.建安成本表'!$B$118:$B$128,综合表!BW4,'13.建安成本表'!$K$118:$K$128)</f>
        <v>0</v>
      </c>
      <c r="BY27" s="1375">
        <f t="shared" si="137"/>
        <v>0</v>
      </c>
      <c r="BZ27" s="1385">
        <f>SUMIF('13.建安成本表'!$B$118:$B$128,综合表!BY4,'13.建安成本表'!$K$118:$K$128)</f>
        <v>0</v>
      </c>
      <c r="CA27" s="1375">
        <f t="shared" si="138"/>
        <v>0</v>
      </c>
      <c r="CB27" s="1385">
        <f>SUMIF('13.建安成本表'!$B$118:$B$128,综合表!CA4,'13.建安成本表'!$K$118:$K$128)</f>
        <v>0</v>
      </c>
      <c r="CC27" s="1375">
        <f t="shared" si="139"/>
        <v>0</v>
      </c>
      <c r="CD27" s="1385">
        <f>SUMIF('13.建安成本表'!$B$118:$B$128,综合表!CC4,'13.建安成本表'!$K$118:$K$128)</f>
        <v>0</v>
      </c>
      <c r="CE27" s="1375">
        <f t="shared" si="140"/>
        <v>0</v>
      </c>
      <c r="CF27" s="1385">
        <f>SUMIF('13.建安成本表'!$B$118:$B$128,综合表!CE4,'13.建安成本表'!$K$118:$K$128)</f>
        <v>0</v>
      </c>
      <c r="CG27" s="1385">
        <f t="shared" si="185"/>
        <v>0</v>
      </c>
      <c r="CH27" s="1385">
        <f t="shared" si="186"/>
        <v>0</v>
      </c>
      <c r="CI27" s="1375">
        <f t="shared" si="141"/>
        <v>0</v>
      </c>
      <c r="CJ27" s="1385">
        <f>SUMIF('13.建安成本表'!$B$118:$B$128,综合表!CI4,'13.建安成本表'!$N$118:$N$128)</f>
        <v>0</v>
      </c>
      <c r="CK27" s="1375">
        <f t="shared" si="142"/>
        <v>0</v>
      </c>
      <c r="CL27" s="1385">
        <f>SUMIF('13.建安成本表'!$B$118:$B$128,综合表!CK4,'13.建安成本表'!$N$118:$N$128)</f>
        <v>0</v>
      </c>
      <c r="CM27" s="1375">
        <f t="shared" si="143"/>
        <v>0</v>
      </c>
      <c r="CN27" s="1385">
        <f>SUMIF('13.建安成本表'!$B$118:$B$128,综合表!CM4,'13.建安成本表'!$N$118:$N$128)</f>
        <v>0</v>
      </c>
      <c r="CO27" s="1375">
        <f t="shared" si="144"/>
        <v>0</v>
      </c>
      <c r="CP27" s="1385">
        <f>SUMIF('13.建安成本表'!$B$118:$B$128,综合表!CO4,'13.建安成本表'!$N$118:$N$128)</f>
        <v>0</v>
      </c>
      <c r="CQ27" s="1375">
        <f t="shared" si="145"/>
        <v>0</v>
      </c>
      <c r="CR27" s="1385">
        <f>SUMIF('13.建安成本表'!$B$118:$B$128,综合表!CQ4,'13.建安成本表'!$N$118:$N$128)</f>
        <v>0</v>
      </c>
      <c r="CS27" s="1375">
        <f t="shared" si="146"/>
        <v>0</v>
      </c>
      <c r="CT27" s="1385">
        <f>SUMIF('13.建安成本表'!$B$118:$B$128,综合表!CS4,'13.建安成本表'!$N$118:$N$128)</f>
        <v>0</v>
      </c>
      <c r="CU27" s="1375">
        <f t="shared" si="147"/>
        <v>0</v>
      </c>
      <c r="CV27" s="1385">
        <f>SUMIF('13.建安成本表'!$B$118:$B$128,综合表!CU4,'13.建安成本表'!$N$118:$N$128)</f>
        <v>0</v>
      </c>
      <c r="CW27" s="1375">
        <f t="shared" si="148"/>
        <v>0</v>
      </c>
      <c r="CX27" s="1385">
        <f>SUMIF('13.建安成本表'!$B$118:$B$128,综合表!CW4,'13.建安成本表'!$N$118:$N$128)</f>
        <v>0</v>
      </c>
      <c r="CY27" s="1375">
        <f t="shared" si="149"/>
        <v>0</v>
      </c>
      <c r="CZ27" s="1385">
        <f>SUMIF('13.建安成本表'!$B$118:$B$128,综合表!CY4,'13.建安成本表'!$N$118:$N$128)</f>
        <v>0</v>
      </c>
      <c r="DA27" s="1375">
        <f t="shared" si="150"/>
        <v>0</v>
      </c>
      <c r="DB27" s="1385">
        <f>SUMIF('13.建安成本表'!$B$118:$B$128,综合表!DA4,'13.建安成本表'!$N$118:$N$128)</f>
        <v>0</v>
      </c>
      <c r="DC27" s="1375">
        <f t="shared" si="151"/>
        <v>0</v>
      </c>
      <c r="DD27" s="1385">
        <f>SUMIF('13.建安成本表'!$B$118:$B$128,综合表!DC4,'13.建安成本表'!$N$118:$N$128)</f>
        <v>0</v>
      </c>
      <c r="DE27" s="1375">
        <f t="shared" si="152"/>
        <v>0</v>
      </c>
      <c r="DF27" s="1385">
        <f>SUMIF('13.建安成本表'!$B$118:$B$128,综合表!DE4,'13.建安成本表'!$N$118:$N$128)</f>
        <v>0</v>
      </c>
      <c r="DG27" s="1385">
        <f t="shared" si="153"/>
        <v>0</v>
      </c>
      <c r="DH27" s="1385">
        <f t="shared" si="187"/>
        <v>0</v>
      </c>
      <c r="DI27" s="1375">
        <f t="shared" si="154"/>
        <v>0</v>
      </c>
      <c r="DJ27" s="1385">
        <f>SUMIF('13.建安成本表'!$B$118:$B$128,综合表!DI4,'13.建安成本表'!$Q$118:$Q$128)</f>
        <v>0</v>
      </c>
      <c r="DK27" s="1375">
        <f t="shared" si="155"/>
        <v>0</v>
      </c>
      <c r="DL27" s="1385">
        <f>SUMIF('13.建安成本表'!$B$118:$B$128,综合表!DK4,'13.建安成本表'!$Q$118:$Q$128)</f>
        <v>0</v>
      </c>
      <c r="DM27" s="1375">
        <f t="shared" si="156"/>
        <v>0</v>
      </c>
      <c r="DN27" s="1385">
        <f>SUMIF('13.建安成本表'!$B$118:$B$128,综合表!DM4,'13.建安成本表'!$Q$118:$Q$128)</f>
        <v>0</v>
      </c>
      <c r="DO27" s="1375">
        <f t="shared" si="157"/>
        <v>0</v>
      </c>
      <c r="DP27" s="1385">
        <f>SUMIF('13.建安成本表'!$B$118:$B$128,综合表!DO4,'13.建安成本表'!$Q$118:$Q$128)</f>
        <v>0</v>
      </c>
      <c r="DQ27" s="1375">
        <f t="shared" si="158"/>
        <v>0</v>
      </c>
      <c r="DR27" s="1385">
        <f>SUMIF('13.建安成本表'!$B$118:$B$128,综合表!DQ4,'13.建安成本表'!$Q$118:$Q$128)</f>
        <v>0</v>
      </c>
      <c r="DS27" s="1375">
        <f t="shared" si="159"/>
        <v>0</v>
      </c>
      <c r="DT27" s="1385">
        <f>SUMIF('13.建安成本表'!$B$118:$B$128,综合表!DS4,'13.建安成本表'!$Q$118:$Q$128)</f>
        <v>0</v>
      </c>
      <c r="DU27" s="1375">
        <f t="shared" si="160"/>
        <v>0</v>
      </c>
      <c r="DV27" s="1385">
        <f>SUMIF('13.建安成本表'!$B$118:$B$128,综合表!DU4,'13.建安成本表'!$Q$118:$Q$128)</f>
        <v>0</v>
      </c>
      <c r="DW27" s="1375">
        <f t="shared" si="161"/>
        <v>0</v>
      </c>
      <c r="DX27" s="1385">
        <f>SUMIF('13.建安成本表'!$B$118:$B$128,综合表!DW4,'13.建安成本表'!$Q$118:$Q$128)</f>
        <v>0</v>
      </c>
      <c r="DY27" s="1375">
        <f t="shared" si="162"/>
        <v>0</v>
      </c>
      <c r="DZ27" s="1385">
        <f>SUMIF('13.建安成本表'!$B$118:$B$128,综合表!DY4,'13.建安成本表'!$Q$118:$Q$128)</f>
        <v>0</v>
      </c>
      <c r="EA27" s="1375">
        <f t="shared" si="163"/>
        <v>0</v>
      </c>
      <c r="EB27" s="1385">
        <f>SUMIF('13.建安成本表'!$B$118:$B$128,综合表!EA4,'13.建安成本表'!$Q$118:$Q$128)</f>
        <v>0</v>
      </c>
      <c r="EC27" s="1375">
        <f t="shared" si="164"/>
        <v>0</v>
      </c>
      <c r="ED27" s="1385">
        <f>SUMIF('13.建安成本表'!$B$118:$B$128,综合表!EC4,'13.建安成本表'!$Q$118:$Q$128)</f>
        <v>0</v>
      </c>
      <c r="EE27" s="1375">
        <f t="shared" si="165"/>
        <v>0</v>
      </c>
      <c r="EF27" s="1385">
        <f>SUMIF('13.建安成本表'!$B$118:$B$128,综合表!EE4,'13.建安成本表'!$Q$118:$Q$128)</f>
        <v>0</v>
      </c>
      <c r="EG27" s="1385">
        <f t="shared" si="166"/>
        <v>0</v>
      </c>
      <c r="EH27" s="1385">
        <f t="shared" si="188"/>
        <v>0</v>
      </c>
      <c r="EI27" s="1375">
        <f t="shared" si="167"/>
        <v>0</v>
      </c>
      <c r="EJ27" s="1385">
        <f>SUMIF('13.建安成本表'!$B$118:$B$128,综合表!EI4,'13.建安成本表'!$T$118:$T$128)</f>
        <v>0</v>
      </c>
      <c r="EK27" s="1375">
        <f t="shared" si="168"/>
        <v>0</v>
      </c>
      <c r="EL27" s="1385">
        <f>SUMIF('13.建安成本表'!$B$118:$B$128,综合表!EK4,'13.建安成本表'!$T$118:$T$128)</f>
        <v>0</v>
      </c>
      <c r="EM27" s="1375">
        <f t="shared" si="169"/>
        <v>0</v>
      </c>
      <c r="EN27" s="1385">
        <f>SUMIF('13.建安成本表'!$B$118:$B$128,综合表!EM4,'13.建安成本表'!$T$118:$T$128)</f>
        <v>0</v>
      </c>
      <c r="EO27" s="1375">
        <f t="shared" si="170"/>
        <v>0</v>
      </c>
      <c r="EP27" s="1385">
        <f>SUMIF('13.建安成本表'!$B$118:$B$128,综合表!EO4,'13.建安成本表'!$T$118:$T$128)</f>
        <v>0</v>
      </c>
      <c r="EQ27" s="1375">
        <f t="shared" si="171"/>
        <v>0</v>
      </c>
      <c r="ER27" s="1385">
        <f>SUMIF('13.建安成本表'!$B$118:$B$128,综合表!EQ4,'13.建安成本表'!$T$118:$T$128)</f>
        <v>0</v>
      </c>
      <c r="ES27" s="1375">
        <f t="shared" si="172"/>
        <v>0</v>
      </c>
      <c r="ET27" s="1385">
        <f>SUMIF('13.建安成本表'!$B$118:$B$128,综合表!ES4,'13.建安成本表'!$T$118:$T$128)</f>
        <v>0</v>
      </c>
      <c r="EU27" s="1375">
        <f t="shared" si="173"/>
        <v>0</v>
      </c>
      <c r="EV27" s="1385">
        <f>SUMIF('13.建安成本表'!$B$118:$B$128,综合表!EU4,'13.建安成本表'!$T$118:$T$128)</f>
        <v>0</v>
      </c>
      <c r="EW27" s="1375">
        <f t="shared" si="174"/>
        <v>0</v>
      </c>
      <c r="EX27" s="1385">
        <f>SUMIF('13.建安成本表'!$B$118:$B$128,综合表!EW4,'13.建安成本表'!$T$118:$T$128)</f>
        <v>0</v>
      </c>
      <c r="EY27" s="1375">
        <f t="shared" si="175"/>
        <v>0</v>
      </c>
      <c r="EZ27" s="1385">
        <f>SUMIF('13.建安成本表'!$B$118:$B$128,综合表!EY4,'13.建安成本表'!$T$118:$T$128)</f>
        <v>0</v>
      </c>
      <c r="FA27" s="1375">
        <f t="shared" si="176"/>
        <v>0</v>
      </c>
      <c r="FB27" s="1385">
        <f>SUMIF('13.建安成本表'!$B$118:$B$128,综合表!FA4,'13.建安成本表'!$T$118:$T$128)</f>
        <v>0</v>
      </c>
      <c r="FC27" s="1375">
        <f t="shared" si="177"/>
        <v>0</v>
      </c>
      <c r="FD27" s="1385">
        <f>SUMIF('13.建安成本表'!$B$118:$B$128,综合表!FC4,'13.建安成本表'!$T$118:$T$128)</f>
        <v>0</v>
      </c>
      <c r="FE27" s="1375">
        <f t="shared" si="178"/>
        <v>0</v>
      </c>
      <c r="FF27" s="1385">
        <f>SUMIF('13.建安成本表'!$B$118:$B$128,综合表!FE4,'13.建安成本表'!$T$118:$T$128)</f>
        <v>0</v>
      </c>
    </row>
    <row r="28" spans="1:162" s="1361" customFormat="1" ht="17.25" customHeight="1">
      <c r="A28" s="1788"/>
      <c r="B28" s="1376" t="str">
        <f>CONCATENATE("4.9红线外成本","（",ROUND(IFERROR(D28/($D$14)%,0),2),"%）")</f>
        <v>4.9红线外成本（0%）</v>
      </c>
      <c r="C28" s="1383">
        <f t="shared" si="179"/>
        <v>0</v>
      </c>
      <c r="D28" s="1378">
        <f t="shared" si="193"/>
        <v>0</v>
      </c>
      <c r="E28" s="1389"/>
      <c r="F28" s="1389"/>
      <c r="G28" s="1375">
        <f t="shared" si="180"/>
        <v>0</v>
      </c>
      <c r="H28" s="1385">
        <f t="shared" si="192"/>
        <v>0</v>
      </c>
      <c r="I28" s="1375">
        <f t="shared" si="104"/>
        <v>0</v>
      </c>
      <c r="J28" s="1385">
        <f>SUMIF('15.土地增值税'!$D$149:$O$149,综合表!I4,'15.土地增值税'!$D$150:$O$150)</f>
        <v>0</v>
      </c>
      <c r="K28" s="1375">
        <f t="shared" si="105"/>
        <v>0</v>
      </c>
      <c r="L28" s="1385">
        <f>SUMIF('15.土地增值税'!$D$149:$O$149,综合表!K4,'15.土地增值税'!$D$150:$O$150)</f>
        <v>0</v>
      </c>
      <c r="M28" s="1375">
        <f t="shared" si="106"/>
        <v>0</v>
      </c>
      <c r="N28" s="1385">
        <f>SUMIF('15.土地增值税'!$D$149:$O$149,综合表!M4,'15.土地增值税'!$D$150:$O$150)</f>
        <v>0</v>
      </c>
      <c r="O28" s="1375">
        <f t="shared" si="107"/>
        <v>0</v>
      </c>
      <c r="P28" s="1385">
        <f>SUMIF('15.土地增值税'!$D$149:$O$149,综合表!O4,'15.土地增值税'!$D$150:$O$150)</f>
        <v>0</v>
      </c>
      <c r="Q28" s="1375">
        <f t="shared" si="108"/>
        <v>0</v>
      </c>
      <c r="R28" s="1385">
        <f>SUMIF('15.土地增值税'!$D$149:$O$149,综合表!Q4,'15.土地增值税'!$D$150:$O$150)</f>
        <v>0</v>
      </c>
      <c r="S28" s="1375">
        <f t="shared" si="109"/>
        <v>0</v>
      </c>
      <c r="T28" s="1385">
        <f>SUMIF('15.土地增值税'!$D$149:$O$149,综合表!S4,'15.土地增值税'!$D$150:$O$150)</f>
        <v>0</v>
      </c>
      <c r="U28" s="1375">
        <f t="shared" si="110"/>
        <v>0</v>
      </c>
      <c r="V28" s="1385">
        <f>SUMIF('15.土地增值税'!$D$149:$O$149,综合表!U4,'15.土地增值税'!$D$150:$O$150)</f>
        <v>0</v>
      </c>
      <c r="W28" s="1375">
        <f t="shared" si="111"/>
        <v>0</v>
      </c>
      <c r="X28" s="1385">
        <f>SUMIF('15.土地增值税'!$D$149:$O$149,综合表!W4,'15.土地增值税'!$D$150:$O$150)</f>
        <v>0</v>
      </c>
      <c r="Y28" s="1375">
        <f t="shared" si="112"/>
        <v>0</v>
      </c>
      <c r="Z28" s="1385">
        <f>SUMIF('15.土地增值税'!$D$149:$O$149,综合表!Y4,'15.土地增值税'!$D$150:$O$150)</f>
        <v>0</v>
      </c>
      <c r="AA28" s="1375">
        <f t="shared" si="113"/>
        <v>0</v>
      </c>
      <c r="AB28" s="1385">
        <f>SUMIF('15.土地增值税'!$D$149:$O$149,综合表!AA4,'15.土地增值税'!$D$150:$O$150)</f>
        <v>0</v>
      </c>
      <c r="AC28" s="1375">
        <f t="shared" si="114"/>
        <v>0</v>
      </c>
      <c r="AD28" s="1385">
        <f>SUMIF('15.土地增值税'!$D$149:$O$149,综合表!AC4,'15.土地增值税'!$D$150:$O$150)</f>
        <v>0</v>
      </c>
      <c r="AE28" s="1375">
        <f t="shared" si="115"/>
        <v>0</v>
      </c>
      <c r="AF28" s="1385">
        <f>SUMIF('15.土地增值税'!$D$149:$O$149,综合表!AE4,'15.土地增值税'!$D$150:$O$150)</f>
        <v>0</v>
      </c>
      <c r="AG28" s="1375">
        <f t="shared" si="116"/>
        <v>0</v>
      </c>
      <c r="AH28" s="1385">
        <f t="shared" si="182"/>
        <v>0</v>
      </c>
      <c r="AI28" s="1375">
        <f t="shared" si="117"/>
        <v>0</v>
      </c>
      <c r="AJ28" s="1385">
        <f>SUMIF('15.土地增值税'!$D$149:$O$149,综合表!AI4,'15.土地增值税'!$D$151:$O$151)</f>
        <v>0</v>
      </c>
      <c r="AK28" s="1375">
        <f t="shared" si="118"/>
        <v>0</v>
      </c>
      <c r="AL28" s="1385">
        <f>SUMIF('15.土地增值税'!$D$149:$O$149,综合表!AK4,'15.土地增值税'!$D$151:$O$151)</f>
        <v>0</v>
      </c>
      <c r="AM28" s="1375">
        <f t="shared" si="119"/>
        <v>0</v>
      </c>
      <c r="AN28" s="1385">
        <f>SUMIF('15.土地增值税'!$D$149:$O$149,综合表!AM4,'15.土地增值税'!$D$151:$O$151)</f>
        <v>0</v>
      </c>
      <c r="AO28" s="1375">
        <f t="shared" si="120"/>
        <v>0</v>
      </c>
      <c r="AP28" s="1385">
        <f>SUMIF('15.土地增值税'!$D$149:$O$149,综合表!AO4,'15.土地增值税'!$D$151:$O$151)</f>
        <v>0</v>
      </c>
      <c r="AQ28" s="1375">
        <f t="shared" si="121"/>
        <v>0</v>
      </c>
      <c r="AR28" s="1385">
        <f>SUMIF('15.土地增值税'!$D$149:$O$149,综合表!AQ4,'15.土地增值税'!$D$151:$O$151)</f>
        <v>0</v>
      </c>
      <c r="AS28" s="1375">
        <f t="shared" si="122"/>
        <v>0</v>
      </c>
      <c r="AT28" s="1385">
        <f>SUMIF('15.土地增值税'!$D$149:$O$149,综合表!AS4,'15.土地增值税'!$D$151:$O$151)</f>
        <v>0</v>
      </c>
      <c r="AU28" s="1375">
        <f t="shared" si="123"/>
        <v>0</v>
      </c>
      <c r="AV28" s="1385">
        <f>SUMIF('15.土地增值税'!$D$149:$O$149,综合表!AU4,'15.土地增值税'!$D$151:$O$151)</f>
        <v>0</v>
      </c>
      <c r="AW28" s="1378"/>
      <c r="AX28" s="1385">
        <f>SUMIF('15.土地增值税'!$D$149:$O$149,综合表!AW4,'15.土地增值税'!$D$151:$O$151)</f>
        <v>0</v>
      </c>
      <c r="AY28" s="1375">
        <f t="shared" si="125"/>
        <v>0</v>
      </c>
      <c r="AZ28" s="1385">
        <f>SUMIF('15.土地增值税'!$D$149:$O$149,综合表!AY4,'15.土地增值税'!$D$151:$O$151)</f>
        <v>0</v>
      </c>
      <c r="BA28" s="1375">
        <f t="shared" si="126"/>
        <v>0</v>
      </c>
      <c r="BB28" s="1385">
        <f>SUMIF('15.土地增值税'!$D$149:$O$149,综合表!BA4,'15.土地增值税'!$D$151:$O$151)</f>
        <v>0</v>
      </c>
      <c r="BC28" s="1375">
        <f t="shared" si="127"/>
        <v>0</v>
      </c>
      <c r="BD28" s="1385">
        <f>SUMIF('15.土地增值税'!$D$149:$O$149,综合表!BC4,'15.土地增值税'!$D$151:$O$151)</f>
        <v>0</v>
      </c>
      <c r="BE28" s="1375">
        <f t="shared" si="128"/>
        <v>0</v>
      </c>
      <c r="BF28" s="1385">
        <f>SUMIF('15.土地增值税'!$D$149:$O$149,综合表!BE4,'15.土地增值税'!$D$151:$O$151)</f>
        <v>0</v>
      </c>
      <c r="BG28" s="1385">
        <f t="shared" si="183"/>
        <v>0</v>
      </c>
      <c r="BH28" s="1385">
        <f t="shared" si="184"/>
        <v>0</v>
      </c>
      <c r="BI28" s="1375">
        <f t="shared" si="129"/>
        <v>0</v>
      </c>
      <c r="BJ28" s="1385">
        <f>SUMIF('15.土地增值税'!$D$149:$O$149,综合表!BI4,'15.土地增值税'!$D$152:$O$152)</f>
        <v>0</v>
      </c>
      <c r="BK28" s="1375">
        <f t="shared" si="130"/>
        <v>0</v>
      </c>
      <c r="BL28" s="1385">
        <f>SUMIF('15.土地增值税'!$D$149:$O$149,综合表!BK4,'15.土地增值税'!$D$152:$O$152)</f>
        <v>0</v>
      </c>
      <c r="BM28" s="1375">
        <f t="shared" si="131"/>
        <v>0</v>
      </c>
      <c r="BN28" s="1385">
        <f>SUMIF('15.土地增值税'!$D$149:$O$149,综合表!BM4,'15.土地增值税'!$D$152:$O$152)</f>
        <v>0</v>
      </c>
      <c r="BO28" s="1375">
        <f t="shared" si="132"/>
        <v>0</v>
      </c>
      <c r="BP28" s="1385">
        <f>SUMIF('15.土地增值税'!$D$149:$O$149,综合表!BO4,'15.土地增值税'!$D$152:$O$152)</f>
        <v>0</v>
      </c>
      <c r="BQ28" s="1375">
        <f t="shared" si="133"/>
        <v>0</v>
      </c>
      <c r="BR28" s="1385">
        <f>SUMIF('15.土地增值税'!$D$149:$O$149,综合表!BQ4,'15.土地增值税'!$D$152:$O$152)</f>
        <v>0</v>
      </c>
      <c r="BS28" s="1375">
        <f t="shared" si="134"/>
        <v>0</v>
      </c>
      <c r="BT28" s="1385">
        <f>SUMIF('15.土地增值税'!$D$149:$O$149,综合表!BS4,'15.土地增值税'!$D$152:$O$152)</f>
        <v>0</v>
      </c>
      <c r="BU28" s="1375">
        <f t="shared" si="135"/>
        <v>0</v>
      </c>
      <c r="BV28" s="1385">
        <f>SUMIF('15.土地增值税'!$D$149:$O$149,综合表!BU4,'15.土地增值税'!$D$152:$O$152)</f>
        <v>0</v>
      </c>
      <c r="BW28" s="1375">
        <f t="shared" si="136"/>
        <v>0</v>
      </c>
      <c r="BX28" s="1385">
        <f>SUMIF('15.土地增值税'!$D$149:$O$149,综合表!BW4,'15.土地增值税'!$D$152:$O$152)</f>
        <v>0</v>
      </c>
      <c r="BY28" s="1375">
        <f t="shared" si="137"/>
        <v>0</v>
      </c>
      <c r="BZ28" s="1385">
        <f>SUMIF('15.土地增值税'!$D$149:$O$149,综合表!BY4,'15.土地增值税'!$D$152:$O$152)</f>
        <v>0</v>
      </c>
      <c r="CA28" s="1375">
        <f t="shared" si="138"/>
        <v>0</v>
      </c>
      <c r="CB28" s="1385">
        <f>SUMIF('15.土地增值税'!$D$149:$O$149,综合表!CA4,'15.土地增值税'!$D$152:$O$152)</f>
        <v>0</v>
      </c>
      <c r="CC28" s="1375">
        <f t="shared" si="139"/>
        <v>0</v>
      </c>
      <c r="CD28" s="1385">
        <f>SUMIF('15.土地增值税'!$D$149:$O$149,综合表!CC4,'15.土地增值税'!$D$152:$O$152)</f>
        <v>0</v>
      </c>
      <c r="CE28" s="1375">
        <f t="shared" si="140"/>
        <v>0</v>
      </c>
      <c r="CF28" s="1385">
        <f>SUMIF('15.土地增值税'!$D$149:$O$149,综合表!CE4,'15.土地增值税'!$D$152:$O$152)</f>
        <v>0</v>
      </c>
      <c r="CG28" s="1385">
        <f t="shared" si="185"/>
        <v>0</v>
      </c>
      <c r="CH28" s="1385">
        <f t="shared" si="186"/>
        <v>0</v>
      </c>
      <c r="CI28" s="1375">
        <f t="shared" si="141"/>
        <v>0</v>
      </c>
      <c r="CJ28" s="1385">
        <f>SUMIF('15.土地增值税'!$D$149:$O$149,综合表!CI4,'15.土地增值税'!$D$153:$O$153)</f>
        <v>0</v>
      </c>
      <c r="CK28" s="1375">
        <f t="shared" si="142"/>
        <v>0</v>
      </c>
      <c r="CL28" s="1385">
        <f>SUMIF('15.土地增值税'!$D$149:$O$149,综合表!CK4,'15.土地增值税'!$D$153:$O$153)</f>
        <v>0</v>
      </c>
      <c r="CM28" s="1375">
        <f t="shared" si="143"/>
        <v>0</v>
      </c>
      <c r="CN28" s="1385">
        <f>SUMIF('15.土地增值税'!$D$149:$O$149,综合表!CM4,'15.土地增值税'!$D$153:$O$153)</f>
        <v>0</v>
      </c>
      <c r="CO28" s="1375">
        <f t="shared" si="144"/>
        <v>0</v>
      </c>
      <c r="CP28" s="1385">
        <f>SUMIF('15.土地增值税'!$D$149:$O$149,综合表!CO4,'15.土地增值税'!$D$153:$O$153)</f>
        <v>0</v>
      </c>
      <c r="CQ28" s="1375">
        <f t="shared" si="145"/>
        <v>0</v>
      </c>
      <c r="CR28" s="1385">
        <f>SUMIF('15.土地增值税'!$D$149:$O$149,综合表!CQ4,'15.土地增值税'!$D$153:$O$153)</f>
        <v>0</v>
      </c>
      <c r="CS28" s="1375">
        <f t="shared" si="146"/>
        <v>0</v>
      </c>
      <c r="CT28" s="1385">
        <f>SUMIF('15.土地增值税'!$D$149:$O$149,综合表!CS4,'15.土地增值税'!$D$153:$O$153)</f>
        <v>0</v>
      </c>
      <c r="CU28" s="1375">
        <f t="shared" si="147"/>
        <v>0</v>
      </c>
      <c r="CV28" s="1385">
        <f>SUMIF('15.土地增值税'!$D$149:$O$149,综合表!CU4,'15.土地增值税'!$D$153:$O$153)</f>
        <v>0</v>
      </c>
      <c r="CW28" s="1375">
        <f t="shared" si="148"/>
        <v>0</v>
      </c>
      <c r="CX28" s="1385">
        <f>SUMIF('15.土地增值税'!$D$149:$O$149,综合表!CW4,'15.土地增值税'!$D$153:$O$153)</f>
        <v>0</v>
      </c>
      <c r="CY28" s="1375">
        <f t="shared" si="149"/>
        <v>0</v>
      </c>
      <c r="CZ28" s="1385">
        <f>SUMIF('15.土地增值税'!$D$149:$O$149,综合表!CY4,'15.土地增值税'!$D$153:$O$153)</f>
        <v>0</v>
      </c>
      <c r="DA28" s="1375">
        <f t="shared" si="150"/>
        <v>0</v>
      </c>
      <c r="DB28" s="1385">
        <f>SUMIF('15.土地增值税'!$D$149:$O$149,综合表!DA4,'15.土地增值税'!$D$153:$O$153)</f>
        <v>0</v>
      </c>
      <c r="DC28" s="1375">
        <f t="shared" si="151"/>
        <v>0</v>
      </c>
      <c r="DD28" s="1385">
        <f>SUMIF('15.土地增值税'!$D$149:$O$149,综合表!DC4,'15.土地增值税'!$D$153:$O$153)</f>
        <v>0</v>
      </c>
      <c r="DE28" s="1375">
        <f t="shared" si="152"/>
        <v>0</v>
      </c>
      <c r="DF28" s="1385">
        <f>SUMIF('15.土地增值税'!$D$149:$O$149,综合表!DE4,'15.土地增值税'!$D$153:$O$153)</f>
        <v>0</v>
      </c>
      <c r="DG28" s="1385">
        <f t="shared" si="153"/>
        <v>0</v>
      </c>
      <c r="DH28" s="1385">
        <f t="shared" si="187"/>
        <v>0</v>
      </c>
      <c r="DI28" s="1375">
        <f t="shared" si="154"/>
        <v>0</v>
      </c>
      <c r="DJ28" s="1385">
        <f>SUMIF('15.土地增值税'!$D$149:$O$149,综合表!DI4,'15.土地增值税'!$D$154:$O$154)</f>
        <v>0</v>
      </c>
      <c r="DK28" s="1375">
        <f t="shared" si="155"/>
        <v>0</v>
      </c>
      <c r="DL28" s="1385">
        <f>SUMIF('15.土地增值税'!$D$149:$O$149,综合表!DK4,'15.土地增值税'!$D$154:$O$154)</f>
        <v>0</v>
      </c>
      <c r="DM28" s="1375">
        <f t="shared" si="156"/>
        <v>0</v>
      </c>
      <c r="DN28" s="1385">
        <f>SUMIF('15.土地增值税'!$D$149:$O$149,综合表!DM4,'15.土地增值税'!$D$154:$O$154)</f>
        <v>0</v>
      </c>
      <c r="DO28" s="1375">
        <f t="shared" si="157"/>
        <v>0</v>
      </c>
      <c r="DP28" s="1385">
        <f>SUMIF('15.土地增值税'!$D$149:$O$149,综合表!DO4,'15.土地增值税'!$D$154:$O$154)</f>
        <v>0</v>
      </c>
      <c r="DQ28" s="1375">
        <f t="shared" si="158"/>
        <v>0</v>
      </c>
      <c r="DR28" s="1385">
        <f>SUMIF('15.土地增值税'!$D$149:$O$149,综合表!DQ4,'15.土地增值税'!$D$154:$O$154)</f>
        <v>0</v>
      </c>
      <c r="DS28" s="1375">
        <f t="shared" si="159"/>
        <v>0</v>
      </c>
      <c r="DT28" s="1385">
        <f>SUMIF('15.土地增值税'!$D$149:$O$149,综合表!DS4,'15.土地增值税'!$D$154:$O$154)</f>
        <v>0</v>
      </c>
      <c r="DU28" s="1375">
        <f t="shared" si="160"/>
        <v>0</v>
      </c>
      <c r="DV28" s="1385">
        <f>SUMIF('15.土地增值税'!$D$149:$O$149,综合表!DU4,'15.土地增值税'!$D$154:$O$154)</f>
        <v>0</v>
      </c>
      <c r="DW28" s="1375">
        <f t="shared" si="161"/>
        <v>0</v>
      </c>
      <c r="DX28" s="1385">
        <f>SUMIF('15.土地增值税'!$D$149:$O$149,综合表!DW4,'15.土地增值税'!$D$154:$O$154)</f>
        <v>0</v>
      </c>
      <c r="DY28" s="1375">
        <f t="shared" si="162"/>
        <v>0</v>
      </c>
      <c r="DZ28" s="1385">
        <f>SUMIF('15.土地增值税'!$D$149:$O$149,综合表!DY4,'15.土地增值税'!$D$154:$O$154)</f>
        <v>0</v>
      </c>
      <c r="EA28" s="1375">
        <f t="shared" si="163"/>
        <v>0</v>
      </c>
      <c r="EB28" s="1385">
        <f>SUMIF('15.土地增值税'!$D$149:$O$149,综合表!EA4,'15.土地增值税'!$D$154:$O$154)</f>
        <v>0</v>
      </c>
      <c r="EC28" s="1375">
        <f t="shared" si="164"/>
        <v>0</v>
      </c>
      <c r="ED28" s="1385">
        <f>SUMIF('15.土地增值税'!$D$149:$O$149,综合表!EC4,'15.土地增值税'!$D$154:$O$154)</f>
        <v>0</v>
      </c>
      <c r="EE28" s="1375">
        <f t="shared" si="165"/>
        <v>0</v>
      </c>
      <c r="EF28" s="1385">
        <f>SUMIF('15.土地增值税'!$D$149:$O$149,综合表!EE4,'15.土地增值税'!$D$154:$O$154)</f>
        <v>0</v>
      </c>
      <c r="EG28" s="1385">
        <f t="shared" si="166"/>
        <v>0</v>
      </c>
      <c r="EH28" s="1385">
        <f t="shared" si="188"/>
        <v>0</v>
      </c>
      <c r="EI28" s="1375">
        <f t="shared" si="167"/>
        <v>0</v>
      </c>
      <c r="EJ28" s="1385">
        <f>SUMIF('15.土地增值税'!$D$149:$O$149,综合表!EI4,'15.土地增值税'!$D$155:$O$155)</f>
        <v>0</v>
      </c>
      <c r="EK28" s="1378"/>
      <c r="EL28" s="1385">
        <f>SUMIF('15.土地增值税'!$D$149:$O$149,综合表!EK4,'15.土地增值税'!$D$155:$O$155)</f>
        <v>0</v>
      </c>
      <c r="EM28" s="1375">
        <f t="shared" si="169"/>
        <v>0</v>
      </c>
      <c r="EN28" s="1385">
        <f>SUMIF('15.土地增值税'!$D$149:$O$149,综合表!EM4,'15.土地增值税'!$D$155:$O$155)</f>
        <v>0</v>
      </c>
      <c r="EO28" s="1375">
        <f t="shared" si="170"/>
        <v>0</v>
      </c>
      <c r="EP28" s="1385">
        <f>SUMIF('15.土地增值税'!$D$149:$O$149,综合表!EO4,'15.土地增值税'!$D$155:$O$155)</f>
        <v>0</v>
      </c>
      <c r="EQ28" s="1375">
        <f t="shared" si="171"/>
        <v>0</v>
      </c>
      <c r="ER28" s="1385">
        <f>SUMIF('15.土地增值税'!$D$149:$O$149,综合表!EQ4,'15.土地增值税'!$D$155:$O$155)</f>
        <v>0</v>
      </c>
      <c r="ES28" s="1375">
        <f t="shared" si="172"/>
        <v>0</v>
      </c>
      <c r="ET28" s="1385">
        <f>SUMIF('15.土地增值税'!$D$149:$O$149,综合表!ES4,'15.土地增值税'!$D$155:$O$155)</f>
        <v>0</v>
      </c>
      <c r="EU28" s="1375">
        <f t="shared" si="173"/>
        <v>0</v>
      </c>
      <c r="EV28" s="1385">
        <f>SUMIF('15.土地增值税'!$D$149:$O$149,综合表!EU4,'15.土地增值税'!$D$155:$O$155)</f>
        <v>0</v>
      </c>
      <c r="EW28" s="1375">
        <f t="shared" si="174"/>
        <v>0</v>
      </c>
      <c r="EX28" s="1385">
        <f>SUMIF('15.土地增值税'!$D$149:$O$149,综合表!EW4,'15.土地增值税'!$D$155:$O$155)</f>
        <v>0</v>
      </c>
      <c r="EY28" s="1375">
        <f t="shared" si="175"/>
        <v>0</v>
      </c>
      <c r="EZ28" s="1385">
        <f>SUMIF('15.土地增值税'!$D$149:$O$149,综合表!EY4,'15.土地增值税'!$D$155:$O$155)</f>
        <v>0</v>
      </c>
      <c r="FA28" s="1375">
        <f t="shared" si="176"/>
        <v>0</v>
      </c>
      <c r="FB28" s="1385">
        <f>SUMIF('15.土地增值税'!$D$149:$O$149,综合表!FA4,'15.土地增值税'!$D$155:$O$155)</f>
        <v>0</v>
      </c>
      <c r="FC28" s="1375">
        <f t="shared" si="177"/>
        <v>0</v>
      </c>
      <c r="FD28" s="1385">
        <f>SUMIF('15.土地增值税'!$D$149:$O$149,综合表!FC4,'15.土地增值税'!$D$155:$O$155)</f>
        <v>0</v>
      </c>
      <c r="FE28" s="1375">
        <f t="shared" si="178"/>
        <v>0</v>
      </c>
      <c r="FF28" s="1385">
        <f>SUMIF('15.土地增值税'!$D$149:$O$149,综合表!FE4,'15.土地增值税'!$D$155:$O$155)</f>
        <v>0</v>
      </c>
    </row>
    <row r="29" spans="1:162" s="1361" customFormat="1" ht="19.5" customHeight="1">
      <c r="A29" s="1788"/>
      <c r="B29" s="1396" t="s">
        <v>261</v>
      </c>
      <c r="C29" s="1397">
        <f>C12-C13-C14</f>
        <v>8192.5931779434559</v>
      </c>
      <c r="D29" s="1397">
        <f ca="1">D12-D13-D14-D26</f>
        <v>48041.051645034204</v>
      </c>
      <c r="E29" s="1389"/>
      <c r="F29" s="1389"/>
      <c r="G29" s="1397">
        <f t="shared" ref="G29:H29" ca="1" si="194">G12-G13-G14-G26</f>
        <v>7572.2723836648056</v>
      </c>
      <c r="H29" s="1397">
        <f t="shared" ca="1" si="194"/>
        <v>48041.051645034204</v>
      </c>
      <c r="I29" s="1397">
        <f t="shared" ref="I29:T29" ca="1" si="195">I12-I13-I14-I26</f>
        <v>8359.5045265347708</v>
      </c>
      <c r="J29" s="1397">
        <f t="shared" ca="1" si="195"/>
        <v>46896.820393860078</v>
      </c>
      <c r="K29" s="1397">
        <f t="shared" ca="1" si="195"/>
        <v>-253.19882924869614</v>
      </c>
      <c r="L29" s="1397">
        <f t="shared" ca="1" si="195"/>
        <v>-92.164373846524825</v>
      </c>
      <c r="M29" s="1397">
        <f t="shared" si="195"/>
        <v>0</v>
      </c>
      <c r="N29" s="1397">
        <f t="shared" si="195"/>
        <v>-1567.9008000000001</v>
      </c>
      <c r="O29" s="1397">
        <f t="shared" ca="1" si="195"/>
        <v>0</v>
      </c>
      <c r="P29" s="1397">
        <f t="shared" ca="1" si="195"/>
        <v>0</v>
      </c>
      <c r="Q29" s="1397">
        <f t="shared" ca="1" si="195"/>
        <v>0</v>
      </c>
      <c r="R29" s="1397">
        <f t="shared" ca="1" si="195"/>
        <v>0</v>
      </c>
      <c r="S29" s="1397">
        <f t="shared" ca="1" si="195"/>
        <v>0</v>
      </c>
      <c r="T29" s="1397">
        <f t="shared" ca="1" si="195"/>
        <v>0</v>
      </c>
      <c r="U29" s="1397">
        <f t="shared" ref="U29:AL29" si="196">U12-U13-U14</f>
        <v>0</v>
      </c>
      <c r="V29" s="1397">
        <f t="shared" si="196"/>
        <v>0</v>
      </c>
      <c r="W29" s="1397">
        <f t="shared" si="196"/>
        <v>0</v>
      </c>
      <c r="X29" s="1397">
        <f t="shared" si="196"/>
        <v>0</v>
      </c>
      <c r="Y29" s="1397">
        <f t="shared" si="196"/>
        <v>0</v>
      </c>
      <c r="Z29" s="1397">
        <f t="shared" si="196"/>
        <v>0</v>
      </c>
      <c r="AA29" s="1397">
        <f t="shared" ref="AA29:AB29" si="197">AA12-AA13-AA14</f>
        <v>0</v>
      </c>
      <c r="AB29" s="1397">
        <f t="shared" si="197"/>
        <v>0</v>
      </c>
      <c r="AC29" s="1397">
        <f t="shared" ref="AC29:AD29" si="198">AC12-AC13-AC14</f>
        <v>67732</v>
      </c>
      <c r="AD29" s="1397">
        <f t="shared" si="198"/>
        <v>2858.2903999999999</v>
      </c>
      <c r="AE29" s="1397">
        <f t="shared" si="196"/>
        <v>0</v>
      </c>
      <c r="AF29" s="1397">
        <f t="shared" si="196"/>
        <v>0</v>
      </c>
      <c r="AG29" s="1397">
        <f t="shared" ref="AG29:AH29" ca="1" si="199">AG12-AG13-AG14-AG26</f>
        <v>0</v>
      </c>
      <c r="AH29" s="1397">
        <f t="shared" ca="1" si="199"/>
        <v>0</v>
      </c>
      <c r="AI29" s="1397">
        <f t="shared" si="196"/>
        <v>0</v>
      </c>
      <c r="AJ29" s="1397">
        <f t="shared" si="196"/>
        <v>0</v>
      </c>
      <c r="AK29" s="1397">
        <f t="shared" si="196"/>
        <v>0</v>
      </c>
      <c r="AL29" s="1397">
        <f t="shared" si="196"/>
        <v>0</v>
      </c>
      <c r="AM29" s="1397">
        <f t="shared" ref="AM29:BL29" si="200">AM12-AM13-AM14</f>
        <v>0</v>
      </c>
      <c r="AN29" s="1397">
        <f t="shared" si="200"/>
        <v>0</v>
      </c>
      <c r="AO29" s="1397">
        <f t="shared" si="200"/>
        <v>0</v>
      </c>
      <c r="AP29" s="1397">
        <f t="shared" si="200"/>
        <v>0</v>
      </c>
      <c r="AQ29" s="1397">
        <f t="shared" si="200"/>
        <v>0</v>
      </c>
      <c r="AR29" s="1397">
        <f t="shared" si="200"/>
        <v>0</v>
      </c>
      <c r="AS29" s="1397">
        <f t="shared" si="200"/>
        <v>0</v>
      </c>
      <c r="AT29" s="1397">
        <f t="shared" si="200"/>
        <v>0</v>
      </c>
      <c r="AU29" s="1397">
        <f t="shared" si="200"/>
        <v>0</v>
      </c>
      <c r="AV29" s="1397">
        <f t="shared" si="200"/>
        <v>0</v>
      </c>
      <c r="AW29" s="1397">
        <f t="shared" si="200"/>
        <v>0</v>
      </c>
      <c r="AX29" s="1397">
        <f t="shared" si="200"/>
        <v>0</v>
      </c>
      <c r="AY29" s="1397">
        <f t="shared" si="200"/>
        <v>0</v>
      </c>
      <c r="AZ29" s="1397">
        <f t="shared" si="200"/>
        <v>0</v>
      </c>
      <c r="BA29" s="1397">
        <f t="shared" si="200"/>
        <v>0</v>
      </c>
      <c r="BB29" s="1397">
        <f t="shared" si="200"/>
        <v>0</v>
      </c>
      <c r="BC29" s="1397">
        <f t="shared" si="200"/>
        <v>0</v>
      </c>
      <c r="BD29" s="1397">
        <f t="shared" si="200"/>
        <v>0</v>
      </c>
      <c r="BE29" s="1397">
        <f t="shared" ref="BE29:BF29" si="201">BE12-BE13-BE14</f>
        <v>0</v>
      </c>
      <c r="BF29" s="1397">
        <f t="shared" si="201"/>
        <v>0</v>
      </c>
      <c r="BG29" s="1397">
        <f t="shared" ref="BG29:BH29" ca="1" si="202">BG12-BG13-BG14-BG26</f>
        <v>0</v>
      </c>
      <c r="BH29" s="1397">
        <f t="shared" ca="1" si="202"/>
        <v>0</v>
      </c>
      <c r="BI29" s="1397">
        <f t="shared" si="200"/>
        <v>0</v>
      </c>
      <c r="BJ29" s="1397">
        <f t="shared" si="200"/>
        <v>0</v>
      </c>
      <c r="BK29" s="1397">
        <f t="shared" si="200"/>
        <v>0</v>
      </c>
      <c r="BL29" s="1397">
        <f t="shared" si="200"/>
        <v>0</v>
      </c>
      <c r="BM29" s="1397">
        <f t="shared" ref="BM29:CL29" si="203">BM12-BM13-BM14</f>
        <v>0</v>
      </c>
      <c r="BN29" s="1397">
        <f t="shared" si="203"/>
        <v>0</v>
      </c>
      <c r="BO29" s="1397">
        <f t="shared" si="203"/>
        <v>0</v>
      </c>
      <c r="BP29" s="1397">
        <f t="shared" si="203"/>
        <v>0</v>
      </c>
      <c r="BQ29" s="1397">
        <f t="shared" si="203"/>
        <v>0</v>
      </c>
      <c r="BR29" s="1397">
        <f t="shared" si="203"/>
        <v>0</v>
      </c>
      <c r="BS29" s="1397">
        <f t="shared" si="203"/>
        <v>0</v>
      </c>
      <c r="BT29" s="1397">
        <f t="shared" si="203"/>
        <v>0</v>
      </c>
      <c r="BU29" s="1397">
        <f t="shared" si="203"/>
        <v>0</v>
      </c>
      <c r="BV29" s="1397">
        <f t="shared" si="203"/>
        <v>0</v>
      </c>
      <c r="BW29" s="1397">
        <f t="shared" si="203"/>
        <v>0</v>
      </c>
      <c r="BX29" s="1397">
        <f t="shared" si="203"/>
        <v>0</v>
      </c>
      <c r="BY29" s="1397">
        <f t="shared" si="203"/>
        <v>0</v>
      </c>
      <c r="BZ29" s="1397">
        <f t="shared" si="203"/>
        <v>0</v>
      </c>
      <c r="CA29" s="1397">
        <f t="shared" si="203"/>
        <v>0</v>
      </c>
      <c r="CB29" s="1397">
        <f t="shared" si="203"/>
        <v>0</v>
      </c>
      <c r="CC29" s="1397">
        <f t="shared" ref="CC29:CD29" si="204">CC12-CC13-CC14</f>
        <v>0</v>
      </c>
      <c r="CD29" s="1397">
        <f t="shared" si="204"/>
        <v>0</v>
      </c>
      <c r="CE29" s="1397">
        <f t="shared" ref="CE29:CF29" si="205">CE12-CE13-CE14</f>
        <v>0</v>
      </c>
      <c r="CF29" s="1397">
        <f t="shared" si="205"/>
        <v>0</v>
      </c>
      <c r="CG29" s="1397">
        <f t="shared" ref="CG29:CH29" ca="1" si="206">CG12-CG13-CG14-CG26</f>
        <v>0</v>
      </c>
      <c r="CH29" s="1397">
        <f t="shared" ca="1" si="206"/>
        <v>0</v>
      </c>
      <c r="CI29" s="1397">
        <f t="shared" si="203"/>
        <v>0</v>
      </c>
      <c r="CJ29" s="1397">
        <f t="shared" si="203"/>
        <v>0</v>
      </c>
      <c r="CK29" s="1397">
        <f t="shared" si="203"/>
        <v>0</v>
      </c>
      <c r="CL29" s="1397">
        <f t="shared" si="203"/>
        <v>0</v>
      </c>
      <c r="CM29" s="1397">
        <f t="shared" ref="CM29:DB29" si="207">CM12-CM13-CM14</f>
        <v>0</v>
      </c>
      <c r="CN29" s="1397">
        <f t="shared" si="207"/>
        <v>0</v>
      </c>
      <c r="CO29" s="1397">
        <f t="shared" si="207"/>
        <v>0</v>
      </c>
      <c r="CP29" s="1397">
        <f t="shared" si="207"/>
        <v>0</v>
      </c>
      <c r="CQ29" s="1397">
        <f t="shared" si="207"/>
        <v>0</v>
      </c>
      <c r="CR29" s="1397">
        <f t="shared" si="207"/>
        <v>0</v>
      </c>
      <c r="CS29" s="1397">
        <f t="shared" si="207"/>
        <v>0</v>
      </c>
      <c r="CT29" s="1397">
        <f t="shared" si="207"/>
        <v>0</v>
      </c>
      <c r="CU29" s="1397">
        <f t="shared" si="207"/>
        <v>0</v>
      </c>
      <c r="CV29" s="1397">
        <f t="shared" si="207"/>
        <v>0</v>
      </c>
      <c r="CW29" s="1397">
        <f t="shared" si="207"/>
        <v>0</v>
      </c>
      <c r="CX29" s="1397">
        <f t="shared" si="207"/>
        <v>0</v>
      </c>
      <c r="CY29" s="1397">
        <f t="shared" si="207"/>
        <v>0</v>
      </c>
      <c r="CZ29" s="1397">
        <f t="shared" si="207"/>
        <v>0</v>
      </c>
      <c r="DA29" s="1397">
        <f t="shared" si="207"/>
        <v>0</v>
      </c>
      <c r="DB29" s="1397">
        <f t="shared" si="207"/>
        <v>0</v>
      </c>
      <c r="DC29" s="1397">
        <f t="shared" ref="DC29:DF29" si="208">DC12-DC13-DC14</f>
        <v>0</v>
      </c>
      <c r="DD29" s="1397">
        <f t="shared" si="208"/>
        <v>0</v>
      </c>
      <c r="DE29" s="1397">
        <f t="shared" si="208"/>
        <v>0</v>
      </c>
      <c r="DF29" s="1397">
        <f t="shared" si="208"/>
        <v>0</v>
      </c>
      <c r="DG29" s="1397">
        <f t="shared" ref="DG29:DH29" ca="1" si="209">DG12-DG13-DG14-DG26</f>
        <v>0</v>
      </c>
      <c r="DH29" s="1397">
        <f t="shared" ca="1" si="209"/>
        <v>0</v>
      </c>
      <c r="DI29" s="1397">
        <f t="shared" ref="DI29:EF29" si="210">DI12-DI13-DI14</f>
        <v>0</v>
      </c>
      <c r="DJ29" s="1397">
        <f t="shared" si="210"/>
        <v>0</v>
      </c>
      <c r="DK29" s="1397">
        <f t="shared" si="210"/>
        <v>0</v>
      </c>
      <c r="DL29" s="1397">
        <f t="shared" si="210"/>
        <v>0</v>
      </c>
      <c r="DM29" s="1397">
        <f t="shared" si="210"/>
        <v>0</v>
      </c>
      <c r="DN29" s="1397">
        <f t="shared" si="210"/>
        <v>0</v>
      </c>
      <c r="DO29" s="1397">
        <f t="shared" si="210"/>
        <v>0</v>
      </c>
      <c r="DP29" s="1397">
        <f t="shared" si="210"/>
        <v>0</v>
      </c>
      <c r="DQ29" s="1397">
        <f t="shared" si="210"/>
        <v>0</v>
      </c>
      <c r="DR29" s="1397">
        <f t="shared" si="210"/>
        <v>0</v>
      </c>
      <c r="DS29" s="1397">
        <f t="shared" si="210"/>
        <v>0</v>
      </c>
      <c r="DT29" s="1397">
        <f t="shared" si="210"/>
        <v>0</v>
      </c>
      <c r="DU29" s="1397">
        <f t="shared" si="210"/>
        <v>0</v>
      </c>
      <c r="DV29" s="1397">
        <f t="shared" si="210"/>
        <v>0</v>
      </c>
      <c r="DW29" s="1397">
        <f t="shared" si="210"/>
        <v>0</v>
      </c>
      <c r="DX29" s="1397">
        <f t="shared" si="210"/>
        <v>0</v>
      </c>
      <c r="DY29" s="1397">
        <f t="shared" si="210"/>
        <v>0</v>
      </c>
      <c r="DZ29" s="1397">
        <f t="shared" si="210"/>
        <v>0</v>
      </c>
      <c r="EA29" s="1397">
        <f t="shared" si="210"/>
        <v>0</v>
      </c>
      <c r="EB29" s="1397">
        <f t="shared" si="210"/>
        <v>0</v>
      </c>
      <c r="EC29" s="1397">
        <f t="shared" si="210"/>
        <v>0</v>
      </c>
      <c r="ED29" s="1397">
        <f t="shared" si="210"/>
        <v>0</v>
      </c>
      <c r="EE29" s="1397">
        <f t="shared" si="210"/>
        <v>0</v>
      </c>
      <c r="EF29" s="1397">
        <f t="shared" si="210"/>
        <v>0</v>
      </c>
      <c r="EG29" s="1397">
        <f t="shared" ref="EG29:EH29" ca="1" si="211">EG12-EG13-EG14-EG26</f>
        <v>0</v>
      </c>
      <c r="EH29" s="1397">
        <f t="shared" ca="1" si="211"/>
        <v>0</v>
      </c>
      <c r="EI29" s="1397">
        <f t="shared" ref="EI29:FF29" si="212">EI12-EI13-EI14</f>
        <v>0</v>
      </c>
      <c r="EJ29" s="1397">
        <f t="shared" si="212"/>
        <v>0</v>
      </c>
      <c r="EK29" s="1397">
        <f t="shared" si="212"/>
        <v>0</v>
      </c>
      <c r="EL29" s="1397">
        <f t="shared" si="212"/>
        <v>0</v>
      </c>
      <c r="EM29" s="1397">
        <f t="shared" si="212"/>
        <v>0</v>
      </c>
      <c r="EN29" s="1397">
        <f t="shared" si="212"/>
        <v>0</v>
      </c>
      <c r="EO29" s="1397">
        <f t="shared" si="212"/>
        <v>0</v>
      </c>
      <c r="EP29" s="1397">
        <f t="shared" si="212"/>
        <v>0</v>
      </c>
      <c r="EQ29" s="1397">
        <f t="shared" si="212"/>
        <v>0</v>
      </c>
      <c r="ER29" s="1397">
        <f t="shared" si="212"/>
        <v>0</v>
      </c>
      <c r="ES29" s="1397">
        <f t="shared" si="212"/>
        <v>0</v>
      </c>
      <c r="ET29" s="1397">
        <f t="shared" si="212"/>
        <v>0</v>
      </c>
      <c r="EU29" s="1397">
        <f t="shared" si="212"/>
        <v>0</v>
      </c>
      <c r="EV29" s="1397">
        <f t="shared" si="212"/>
        <v>0</v>
      </c>
      <c r="EW29" s="1397">
        <f t="shared" si="212"/>
        <v>0</v>
      </c>
      <c r="EX29" s="1397">
        <f t="shared" si="212"/>
        <v>0</v>
      </c>
      <c r="EY29" s="1397">
        <f t="shared" si="212"/>
        <v>0</v>
      </c>
      <c r="EZ29" s="1397">
        <f t="shared" si="212"/>
        <v>0</v>
      </c>
      <c r="FA29" s="1397">
        <f t="shared" si="212"/>
        <v>0</v>
      </c>
      <c r="FB29" s="1397">
        <f t="shared" si="212"/>
        <v>0</v>
      </c>
      <c r="FC29" s="1397">
        <f t="shared" si="212"/>
        <v>0</v>
      </c>
      <c r="FD29" s="1397">
        <f t="shared" si="212"/>
        <v>0</v>
      </c>
      <c r="FE29" s="1397">
        <f t="shared" si="212"/>
        <v>0</v>
      </c>
      <c r="FF29" s="1397">
        <f t="shared" si="212"/>
        <v>0</v>
      </c>
    </row>
    <row r="30" spans="1:162" s="1361" customFormat="1" ht="15" customHeight="1">
      <c r="A30" s="1788"/>
      <c r="B30" s="1396" t="s">
        <v>262</v>
      </c>
      <c r="C30" s="1398">
        <f>IFERROR(C29/C12,0)</f>
        <v>0.48653938931451363</v>
      </c>
      <c r="D30" s="1398">
        <f ca="1">IFERROR(D29/D12,0)</f>
        <v>0.47757755049073952</v>
      </c>
      <c r="E30" s="1389"/>
      <c r="F30" s="1389"/>
      <c r="G30" s="1398">
        <f t="shared" ref="G30:H30" ca="1" si="213">IFERROR(G29/G12,0)</f>
        <v>0.4718709459191619</v>
      </c>
      <c r="H30" s="1398">
        <f t="shared" ca="1" si="213"/>
        <v>0.47757755049073952</v>
      </c>
      <c r="I30" s="1398">
        <f t="shared" ref="I30:AL30" ca="1" si="214">IFERROR(I29/I12,0)</f>
        <v>0.53823473566824975</v>
      </c>
      <c r="J30" s="1398">
        <f t="shared" ca="1" si="214"/>
        <v>0.53823473566824986</v>
      </c>
      <c r="K30" s="1398">
        <f t="shared" ca="1" si="214"/>
        <v>-1.0549951218695673E-2</v>
      </c>
      <c r="L30" s="1398">
        <f t="shared" ca="1" si="214"/>
        <v>-1.0549951218695607E-2</v>
      </c>
      <c r="M30" s="1398">
        <f t="shared" si="214"/>
        <v>0</v>
      </c>
      <c r="N30" s="1398">
        <f t="shared" si="214"/>
        <v>0</v>
      </c>
      <c r="O30" s="1398">
        <f t="shared" ca="1" si="214"/>
        <v>0</v>
      </c>
      <c r="P30" s="1398">
        <f t="shared" ca="1" si="214"/>
        <v>0</v>
      </c>
      <c r="Q30" s="1398">
        <f t="shared" ca="1" si="214"/>
        <v>0</v>
      </c>
      <c r="R30" s="1398">
        <f t="shared" ca="1" si="214"/>
        <v>0</v>
      </c>
      <c r="S30" s="1398">
        <f t="shared" ca="1" si="214"/>
        <v>0</v>
      </c>
      <c r="T30" s="1398">
        <f t="shared" ca="1" si="214"/>
        <v>0</v>
      </c>
      <c r="U30" s="1398">
        <f t="shared" si="214"/>
        <v>0</v>
      </c>
      <c r="V30" s="1398">
        <f t="shared" si="214"/>
        <v>0</v>
      </c>
      <c r="W30" s="1398">
        <f t="shared" si="214"/>
        <v>0</v>
      </c>
      <c r="X30" s="1398">
        <f t="shared" si="214"/>
        <v>0</v>
      </c>
      <c r="Y30" s="1398">
        <f t="shared" si="214"/>
        <v>0</v>
      </c>
      <c r="Z30" s="1398">
        <f t="shared" si="214"/>
        <v>0</v>
      </c>
      <c r="AA30" s="1398">
        <f t="shared" ref="AA30:AB30" si="215">IFERROR(AA29/AA12,0)</f>
        <v>0</v>
      </c>
      <c r="AB30" s="1398">
        <f t="shared" si="215"/>
        <v>0</v>
      </c>
      <c r="AC30" s="1398">
        <f t="shared" ref="AC30:AD30" si="216">IFERROR(AC29/AC12,0)</f>
        <v>0.60475000000000001</v>
      </c>
      <c r="AD30" s="1398">
        <f t="shared" si="216"/>
        <v>0.60475000000000001</v>
      </c>
      <c r="AE30" s="1398">
        <f t="shared" si="214"/>
        <v>0</v>
      </c>
      <c r="AF30" s="1398">
        <f t="shared" si="214"/>
        <v>0</v>
      </c>
      <c r="AG30" s="1398">
        <f t="shared" ca="1" si="214"/>
        <v>0</v>
      </c>
      <c r="AH30" s="1398">
        <f t="shared" ca="1" si="214"/>
        <v>0</v>
      </c>
      <c r="AI30" s="1398">
        <f t="shared" si="214"/>
        <v>0</v>
      </c>
      <c r="AJ30" s="1398">
        <f t="shared" si="214"/>
        <v>0</v>
      </c>
      <c r="AK30" s="1398">
        <f t="shared" si="214"/>
        <v>0</v>
      </c>
      <c r="AL30" s="1398">
        <f t="shared" si="214"/>
        <v>0</v>
      </c>
      <c r="AM30" s="1398">
        <f t="shared" ref="AM30:BL30" si="217">IFERROR(AM29/AM12,0)</f>
        <v>0</v>
      </c>
      <c r="AN30" s="1398">
        <f t="shared" si="217"/>
        <v>0</v>
      </c>
      <c r="AO30" s="1398">
        <f t="shared" si="217"/>
        <v>0</v>
      </c>
      <c r="AP30" s="1398">
        <f t="shared" si="217"/>
        <v>0</v>
      </c>
      <c r="AQ30" s="1398">
        <f t="shared" si="217"/>
        <v>0</v>
      </c>
      <c r="AR30" s="1398">
        <f t="shared" si="217"/>
        <v>0</v>
      </c>
      <c r="AS30" s="1398">
        <f t="shared" si="217"/>
        <v>0</v>
      </c>
      <c r="AT30" s="1398">
        <f t="shared" si="217"/>
        <v>0</v>
      </c>
      <c r="AU30" s="1398">
        <f t="shared" si="217"/>
        <v>0</v>
      </c>
      <c r="AV30" s="1398">
        <f t="shared" si="217"/>
        <v>0</v>
      </c>
      <c r="AW30" s="1398">
        <f t="shared" si="217"/>
        <v>0</v>
      </c>
      <c r="AX30" s="1398">
        <f t="shared" si="217"/>
        <v>0</v>
      </c>
      <c r="AY30" s="1398">
        <f t="shared" si="217"/>
        <v>0</v>
      </c>
      <c r="AZ30" s="1398">
        <f t="shared" si="217"/>
        <v>0</v>
      </c>
      <c r="BA30" s="1398">
        <f t="shared" si="217"/>
        <v>0</v>
      </c>
      <c r="BB30" s="1398">
        <f t="shared" si="217"/>
        <v>0</v>
      </c>
      <c r="BC30" s="1398">
        <f t="shared" si="217"/>
        <v>0</v>
      </c>
      <c r="BD30" s="1398">
        <f t="shared" si="217"/>
        <v>0</v>
      </c>
      <c r="BE30" s="1398">
        <f t="shared" ref="BE30:BH30" si="218">IFERROR(BE29/BE12,0)</f>
        <v>0</v>
      </c>
      <c r="BF30" s="1398">
        <f t="shared" si="218"/>
        <v>0</v>
      </c>
      <c r="BG30" s="1398">
        <f t="shared" ca="1" si="218"/>
        <v>0</v>
      </c>
      <c r="BH30" s="1398">
        <f t="shared" ca="1" si="218"/>
        <v>0</v>
      </c>
      <c r="BI30" s="1398">
        <f t="shared" si="217"/>
        <v>0</v>
      </c>
      <c r="BJ30" s="1398">
        <f t="shared" si="217"/>
        <v>0</v>
      </c>
      <c r="BK30" s="1398">
        <f t="shared" si="217"/>
        <v>0</v>
      </c>
      <c r="BL30" s="1398">
        <f t="shared" si="217"/>
        <v>0</v>
      </c>
      <c r="BM30" s="1398">
        <f t="shared" ref="BM30:CL30" si="219">IFERROR(BM29/BM12,0)</f>
        <v>0</v>
      </c>
      <c r="BN30" s="1398">
        <f t="shared" si="219"/>
        <v>0</v>
      </c>
      <c r="BO30" s="1398">
        <f t="shared" si="219"/>
        <v>0</v>
      </c>
      <c r="BP30" s="1398">
        <f t="shared" si="219"/>
        <v>0</v>
      </c>
      <c r="BQ30" s="1398">
        <f t="shared" si="219"/>
        <v>0</v>
      </c>
      <c r="BR30" s="1398">
        <f t="shared" si="219"/>
        <v>0</v>
      </c>
      <c r="BS30" s="1398">
        <f t="shared" si="219"/>
        <v>0</v>
      </c>
      <c r="BT30" s="1398">
        <f t="shared" si="219"/>
        <v>0</v>
      </c>
      <c r="BU30" s="1398">
        <f t="shared" si="219"/>
        <v>0</v>
      </c>
      <c r="BV30" s="1398">
        <f t="shared" si="219"/>
        <v>0</v>
      </c>
      <c r="BW30" s="1398">
        <f t="shared" si="219"/>
        <v>0</v>
      </c>
      <c r="BX30" s="1398">
        <f t="shared" si="219"/>
        <v>0</v>
      </c>
      <c r="BY30" s="1398">
        <f t="shared" si="219"/>
        <v>0</v>
      </c>
      <c r="BZ30" s="1398">
        <f t="shared" si="219"/>
        <v>0</v>
      </c>
      <c r="CA30" s="1398">
        <f t="shared" si="219"/>
        <v>0</v>
      </c>
      <c r="CB30" s="1398">
        <f t="shared" si="219"/>
        <v>0</v>
      </c>
      <c r="CC30" s="1398">
        <f t="shared" ref="CC30:CD30" si="220">IFERROR(CC29/CC12,0)</f>
        <v>0</v>
      </c>
      <c r="CD30" s="1398">
        <f t="shared" si="220"/>
        <v>0</v>
      </c>
      <c r="CE30" s="1398">
        <f t="shared" ref="CE30:CH30" si="221">IFERROR(CE29/CE12,0)</f>
        <v>0</v>
      </c>
      <c r="CF30" s="1398">
        <f t="shared" si="221"/>
        <v>0</v>
      </c>
      <c r="CG30" s="1398">
        <f t="shared" ca="1" si="221"/>
        <v>0</v>
      </c>
      <c r="CH30" s="1398">
        <f t="shared" ca="1" si="221"/>
        <v>0</v>
      </c>
      <c r="CI30" s="1398">
        <f t="shared" si="219"/>
        <v>0</v>
      </c>
      <c r="CJ30" s="1398">
        <f t="shared" si="219"/>
        <v>0</v>
      </c>
      <c r="CK30" s="1398">
        <f t="shared" si="219"/>
        <v>0</v>
      </c>
      <c r="CL30" s="1398">
        <f t="shared" si="219"/>
        <v>0</v>
      </c>
      <c r="CM30" s="1398">
        <f t="shared" ref="CM30:DB30" si="222">IFERROR(CM29/CM12,0)</f>
        <v>0</v>
      </c>
      <c r="CN30" s="1398">
        <f t="shared" si="222"/>
        <v>0</v>
      </c>
      <c r="CO30" s="1398">
        <f t="shared" si="222"/>
        <v>0</v>
      </c>
      <c r="CP30" s="1398">
        <f t="shared" si="222"/>
        <v>0</v>
      </c>
      <c r="CQ30" s="1398">
        <f t="shared" si="222"/>
        <v>0</v>
      </c>
      <c r="CR30" s="1398">
        <f t="shared" si="222"/>
        <v>0</v>
      </c>
      <c r="CS30" s="1398">
        <f t="shared" si="222"/>
        <v>0</v>
      </c>
      <c r="CT30" s="1398">
        <f t="shared" si="222"/>
        <v>0</v>
      </c>
      <c r="CU30" s="1398">
        <f t="shared" si="222"/>
        <v>0</v>
      </c>
      <c r="CV30" s="1398">
        <f t="shared" si="222"/>
        <v>0</v>
      </c>
      <c r="CW30" s="1398">
        <f t="shared" si="222"/>
        <v>0</v>
      </c>
      <c r="CX30" s="1398">
        <f t="shared" si="222"/>
        <v>0</v>
      </c>
      <c r="CY30" s="1398">
        <f t="shared" si="222"/>
        <v>0</v>
      </c>
      <c r="CZ30" s="1398">
        <f t="shared" si="222"/>
        <v>0</v>
      </c>
      <c r="DA30" s="1398">
        <f t="shared" si="222"/>
        <v>0</v>
      </c>
      <c r="DB30" s="1398">
        <f t="shared" si="222"/>
        <v>0</v>
      </c>
      <c r="DC30" s="1398">
        <f t="shared" ref="DC30:FB30" si="223">IFERROR(DC29/DC12,0)</f>
        <v>0</v>
      </c>
      <c r="DD30" s="1398">
        <f t="shared" si="223"/>
        <v>0</v>
      </c>
      <c r="DE30" s="1398">
        <f t="shared" si="223"/>
        <v>0</v>
      </c>
      <c r="DF30" s="1398">
        <f t="shared" si="223"/>
        <v>0</v>
      </c>
      <c r="DG30" s="1398">
        <f t="shared" ca="1" si="223"/>
        <v>0</v>
      </c>
      <c r="DH30" s="1398">
        <f t="shared" ca="1" si="223"/>
        <v>0</v>
      </c>
      <c r="DI30" s="1398">
        <f t="shared" si="223"/>
        <v>0</v>
      </c>
      <c r="DJ30" s="1398">
        <f t="shared" si="223"/>
        <v>0</v>
      </c>
      <c r="DK30" s="1398">
        <f t="shared" si="223"/>
        <v>0</v>
      </c>
      <c r="DL30" s="1398">
        <f t="shared" si="223"/>
        <v>0</v>
      </c>
      <c r="DM30" s="1398">
        <f t="shared" si="223"/>
        <v>0</v>
      </c>
      <c r="DN30" s="1398">
        <f t="shared" si="223"/>
        <v>0</v>
      </c>
      <c r="DO30" s="1398">
        <f t="shared" si="223"/>
        <v>0</v>
      </c>
      <c r="DP30" s="1398">
        <f t="shared" si="223"/>
        <v>0</v>
      </c>
      <c r="DQ30" s="1398">
        <f t="shared" si="223"/>
        <v>0</v>
      </c>
      <c r="DR30" s="1398">
        <f t="shared" si="223"/>
        <v>0</v>
      </c>
      <c r="DS30" s="1398">
        <f t="shared" si="223"/>
        <v>0</v>
      </c>
      <c r="DT30" s="1398">
        <f t="shared" si="223"/>
        <v>0</v>
      </c>
      <c r="DU30" s="1398">
        <f t="shared" si="223"/>
        <v>0</v>
      </c>
      <c r="DV30" s="1398">
        <f t="shared" si="223"/>
        <v>0</v>
      </c>
      <c r="DW30" s="1398">
        <f t="shared" si="223"/>
        <v>0</v>
      </c>
      <c r="DX30" s="1398">
        <f t="shared" si="223"/>
        <v>0</v>
      </c>
      <c r="DY30" s="1398">
        <f t="shared" si="223"/>
        <v>0</v>
      </c>
      <c r="DZ30" s="1398">
        <f t="shared" si="223"/>
        <v>0</v>
      </c>
      <c r="EA30" s="1398">
        <f t="shared" si="223"/>
        <v>0</v>
      </c>
      <c r="EB30" s="1398">
        <f t="shared" si="223"/>
        <v>0</v>
      </c>
      <c r="EC30" s="1398">
        <f t="shared" si="223"/>
        <v>0</v>
      </c>
      <c r="ED30" s="1398">
        <f t="shared" si="223"/>
        <v>0</v>
      </c>
      <c r="EE30" s="1398">
        <f t="shared" si="223"/>
        <v>0</v>
      </c>
      <c r="EF30" s="1398">
        <f t="shared" si="223"/>
        <v>0</v>
      </c>
      <c r="EG30" s="1398">
        <f t="shared" ca="1" si="223"/>
        <v>0</v>
      </c>
      <c r="EH30" s="1398">
        <f t="shared" ca="1" si="223"/>
        <v>0</v>
      </c>
      <c r="EI30" s="1398">
        <f t="shared" si="223"/>
        <v>0</v>
      </c>
      <c r="EJ30" s="1398">
        <f t="shared" si="223"/>
        <v>0</v>
      </c>
      <c r="EK30" s="1398">
        <f t="shared" si="223"/>
        <v>0</v>
      </c>
      <c r="EL30" s="1398">
        <f t="shared" si="223"/>
        <v>0</v>
      </c>
      <c r="EM30" s="1398">
        <f t="shared" si="223"/>
        <v>0</v>
      </c>
      <c r="EN30" s="1398">
        <f t="shared" si="223"/>
        <v>0</v>
      </c>
      <c r="EO30" s="1398">
        <f t="shared" si="223"/>
        <v>0</v>
      </c>
      <c r="EP30" s="1398">
        <f t="shared" si="223"/>
        <v>0</v>
      </c>
      <c r="EQ30" s="1398">
        <f t="shared" si="223"/>
        <v>0</v>
      </c>
      <c r="ER30" s="1398">
        <f t="shared" si="223"/>
        <v>0</v>
      </c>
      <c r="ES30" s="1398">
        <f t="shared" si="223"/>
        <v>0</v>
      </c>
      <c r="ET30" s="1398">
        <f t="shared" si="223"/>
        <v>0</v>
      </c>
      <c r="EU30" s="1398">
        <f t="shared" si="223"/>
        <v>0</v>
      </c>
      <c r="EV30" s="1398">
        <f t="shared" si="223"/>
        <v>0</v>
      </c>
      <c r="EW30" s="1398">
        <f t="shared" si="223"/>
        <v>0</v>
      </c>
      <c r="EX30" s="1398">
        <f t="shared" si="223"/>
        <v>0</v>
      </c>
      <c r="EY30" s="1398">
        <f t="shared" si="223"/>
        <v>0</v>
      </c>
      <c r="EZ30" s="1398">
        <f t="shared" si="223"/>
        <v>0</v>
      </c>
      <c r="FA30" s="1398">
        <f t="shared" si="223"/>
        <v>0</v>
      </c>
      <c r="FB30" s="1398">
        <f t="shared" si="223"/>
        <v>0</v>
      </c>
      <c r="FC30" s="1398">
        <f t="shared" ref="FC30:FF30" si="224">IFERROR(FC29/FC12,0)</f>
        <v>0</v>
      </c>
      <c r="FD30" s="1398">
        <f t="shared" si="224"/>
        <v>0</v>
      </c>
      <c r="FE30" s="1398">
        <f t="shared" si="224"/>
        <v>0</v>
      </c>
      <c r="FF30" s="1398">
        <f t="shared" si="224"/>
        <v>0</v>
      </c>
    </row>
    <row r="31" spans="1:162" s="1361" customFormat="1" ht="18.75" customHeight="1">
      <c r="A31" s="1788"/>
      <c r="B31" s="1376" t="str">
        <f>CONCATENATE("7.营销费用","（",ROUND(IFERROR(D31/($D$12)%,0),2),"%）")</f>
        <v>7.营销费用（2.5%）</v>
      </c>
      <c r="C31" s="1383">
        <f>D31/$C$7*10000</f>
        <v>420.96248309340473</v>
      </c>
      <c r="D31" s="1378">
        <f>H31+AH31+BH31+CH31+DH31+EH31</f>
        <v>2514.829874</v>
      </c>
      <c r="E31" s="1389"/>
      <c r="F31" s="1389"/>
      <c r="G31" s="1399">
        <f>G12*'1.参数设置'!$C$5</f>
        <v>401.18344057582863</v>
      </c>
      <c r="H31" s="1399">
        <f>H12*'1.参数设置'!$C$5</f>
        <v>2514.829874</v>
      </c>
      <c r="I31" s="1399">
        <f>I12*'1.参数设置'!$C$5</f>
        <v>388.28340000000003</v>
      </c>
      <c r="J31" s="1399">
        <f>J12*'1.参数设置'!$C$5</f>
        <v>2178.2698740000001</v>
      </c>
      <c r="K31" s="1399">
        <f>K12*'1.参数设置'!$C$5</f>
        <v>600</v>
      </c>
      <c r="L31" s="1399">
        <f>L12*'1.参数设置'!$C$5</f>
        <v>218.4</v>
      </c>
      <c r="M31" s="1399">
        <f>M12*'1.参数设置'!$C$5</f>
        <v>0</v>
      </c>
      <c r="N31" s="1399">
        <f>N12*'1.参数设置'!$C$5</f>
        <v>0</v>
      </c>
      <c r="O31" s="1399">
        <f>O12*'1.参数设置'!$C$5</f>
        <v>0</v>
      </c>
      <c r="P31" s="1399">
        <f>P12*'1.参数设置'!$C$5</f>
        <v>0</v>
      </c>
      <c r="Q31" s="1399">
        <f>Q12*'1.参数设置'!$C$5</f>
        <v>0</v>
      </c>
      <c r="R31" s="1399">
        <f>R12*'1.参数设置'!$C$5</f>
        <v>0</v>
      </c>
      <c r="S31" s="1399">
        <f>S12*'1.参数设置'!$C$5</f>
        <v>0</v>
      </c>
      <c r="T31" s="1399">
        <f>T12*'1.参数设置'!$C$5</f>
        <v>0</v>
      </c>
      <c r="U31" s="1399">
        <f>U12*'1.参数设置'!$C$5</f>
        <v>0</v>
      </c>
      <c r="V31" s="1399">
        <f>V12*'1.参数设置'!$C$5</f>
        <v>0</v>
      </c>
      <c r="W31" s="1399">
        <f>W12*'1.参数设置'!$C$5</f>
        <v>0</v>
      </c>
      <c r="X31" s="1399">
        <f>X12*'1.参数设置'!$C$5</f>
        <v>0</v>
      </c>
      <c r="Y31" s="1399">
        <f>Y12*'1.参数设置'!$C$5</f>
        <v>0</v>
      </c>
      <c r="Z31" s="1399">
        <f>Z12*'1.参数设置'!$C$5</f>
        <v>0</v>
      </c>
      <c r="AA31" s="1399">
        <f>AA12*'1.参数设置'!$C$5</f>
        <v>0</v>
      </c>
      <c r="AB31" s="1399">
        <f>AB12*'1.参数设置'!$C$5</f>
        <v>0</v>
      </c>
      <c r="AC31" s="1399">
        <f>AC12*'1.参数设置'!$C$5</f>
        <v>2800</v>
      </c>
      <c r="AD31" s="1399">
        <f>AD12*'1.参数设置'!$C$5</f>
        <v>118.16</v>
      </c>
      <c r="AE31" s="1399">
        <f>AE12*'1.参数设置'!$C$5</f>
        <v>0</v>
      </c>
      <c r="AF31" s="1399">
        <f>AF12*'1.参数设置'!$C$5</f>
        <v>0</v>
      </c>
      <c r="AG31" s="1399">
        <f>AG12*'1.参数设置'!$C$5</f>
        <v>0</v>
      </c>
      <c r="AH31" s="1399">
        <f>AH12*'1.参数设置'!$C$5</f>
        <v>0</v>
      </c>
      <c r="AI31" s="1399">
        <f>AI12*'1.参数设置'!$C$5</f>
        <v>0</v>
      </c>
      <c r="AJ31" s="1399">
        <f>AJ12*'1.参数设置'!$C$5</f>
        <v>0</v>
      </c>
      <c r="AK31" s="1399">
        <f>AK12*'1.参数设置'!$C$5</f>
        <v>0</v>
      </c>
      <c r="AL31" s="1399">
        <f>AL12*'1.参数设置'!$C$5</f>
        <v>0</v>
      </c>
      <c r="AM31" s="1399">
        <f>AM12*'1.参数设置'!$C$5</f>
        <v>0</v>
      </c>
      <c r="AN31" s="1399">
        <f>AN12*'1.参数设置'!$C$5</f>
        <v>0</v>
      </c>
      <c r="AO31" s="1399">
        <f>AO12*'1.参数设置'!$C$5</f>
        <v>0</v>
      </c>
      <c r="AP31" s="1399">
        <f>AP12*'1.参数设置'!$C$5</f>
        <v>0</v>
      </c>
      <c r="AQ31" s="1399">
        <f>AQ12*'1.参数设置'!$C$5</f>
        <v>0</v>
      </c>
      <c r="AR31" s="1399">
        <f>AR12*'1.参数设置'!$C$5</f>
        <v>0</v>
      </c>
      <c r="AS31" s="1399">
        <f>AS12*'1.参数设置'!$C$5</f>
        <v>0</v>
      </c>
      <c r="AT31" s="1399">
        <f>AT12*'1.参数设置'!$C$5</f>
        <v>0</v>
      </c>
      <c r="AU31" s="1399">
        <f>AU12*'1.参数设置'!$C$5</f>
        <v>0</v>
      </c>
      <c r="AV31" s="1399">
        <f>AV12*'1.参数设置'!$C$5</f>
        <v>0</v>
      </c>
      <c r="AW31" s="1399">
        <f>AW12*'1.参数设置'!$C$5</f>
        <v>0</v>
      </c>
      <c r="AX31" s="1399">
        <f>AX12*'1.参数设置'!$C$5</f>
        <v>0</v>
      </c>
      <c r="AY31" s="1399">
        <f>AY12*'1.参数设置'!$C$5</f>
        <v>0</v>
      </c>
      <c r="AZ31" s="1399">
        <f>AZ12*'1.参数设置'!$C$5</f>
        <v>0</v>
      </c>
      <c r="BA31" s="1399">
        <f>BA12*'1.参数设置'!$C$5</f>
        <v>0</v>
      </c>
      <c r="BB31" s="1399">
        <f>BB12*'1.参数设置'!$C$5</f>
        <v>0</v>
      </c>
      <c r="BC31" s="1399">
        <f>BC12*'1.参数设置'!$C$5</f>
        <v>0</v>
      </c>
      <c r="BD31" s="1399">
        <f>BD12*'1.参数设置'!$C$5</f>
        <v>0</v>
      </c>
      <c r="BE31" s="1399">
        <f>BE12*'1.参数设置'!$C$5</f>
        <v>0</v>
      </c>
      <c r="BF31" s="1399">
        <f>BF12*'1.参数设置'!$C$5</f>
        <v>0</v>
      </c>
      <c r="BG31" s="1399">
        <f>BG12*'1.参数设置'!$C$5</f>
        <v>0</v>
      </c>
      <c r="BH31" s="1399">
        <f>BH12*'1.参数设置'!$C$5</f>
        <v>0</v>
      </c>
      <c r="BI31" s="1399">
        <f>BI12*'1.参数设置'!$C$5</f>
        <v>0</v>
      </c>
      <c r="BJ31" s="1399">
        <f>BJ12*'1.参数设置'!$C$5</f>
        <v>0</v>
      </c>
      <c r="BK31" s="1399">
        <f>BK12*'1.参数设置'!$C$5</f>
        <v>0</v>
      </c>
      <c r="BL31" s="1399">
        <f>BL12*'1.参数设置'!$C$5</f>
        <v>0</v>
      </c>
      <c r="BM31" s="1399">
        <f>BM12*'1.参数设置'!$C$5</f>
        <v>0</v>
      </c>
      <c r="BN31" s="1399">
        <f>BN12*'1.参数设置'!$C$5</f>
        <v>0</v>
      </c>
      <c r="BO31" s="1399">
        <f>BO12*'1.参数设置'!$C$5</f>
        <v>0</v>
      </c>
      <c r="BP31" s="1399">
        <f>BP12*'1.参数设置'!$C$5</f>
        <v>0</v>
      </c>
      <c r="BQ31" s="1399">
        <f>BQ12*'1.参数设置'!$C$5</f>
        <v>0</v>
      </c>
      <c r="BR31" s="1399">
        <f>BR12*'1.参数设置'!$C$5</f>
        <v>0</v>
      </c>
      <c r="BS31" s="1399">
        <f>BS12*'1.参数设置'!$C$5</f>
        <v>0</v>
      </c>
      <c r="BT31" s="1399">
        <f>BT12*'1.参数设置'!$C$5</f>
        <v>0</v>
      </c>
      <c r="BU31" s="1399">
        <f>BU12*'1.参数设置'!$C$5</f>
        <v>0</v>
      </c>
      <c r="BV31" s="1399">
        <f>BV12*'1.参数设置'!$C$5</f>
        <v>0</v>
      </c>
      <c r="BW31" s="1399">
        <f>BW12*'1.参数设置'!$C$5</f>
        <v>0</v>
      </c>
      <c r="BX31" s="1399">
        <f>BX12*'1.参数设置'!$C$5</f>
        <v>0</v>
      </c>
      <c r="BY31" s="1399">
        <f>BY12*'1.参数设置'!$C$5</f>
        <v>0</v>
      </c>
      <c r="BZ31" s="1399">
        <f>BZ12*'1.参数设置'!$C$5</f>
        <v>0</v>
      </c>
      <c r="CA31" s="1399">
        <f>CA12*'1.参数设置'!$C$5</f>
        <v>0</v>
      </c>
      <c r="CB31" s="1399">
        <f>CB12*'1.参数设置'!$C$5</f>
        <v>0</v>
      </c>
      <c r="CC31" s="1399">
        <f>CC12*'1.参数设置'!$C$5</f>
        <v>0</v>
      </c>
      <c r="CD31" s="1399">
        <f>CD12*'1.参数设置'!$C$5</f>
        <v>0</v>
      </c>
      <c r="CE31" s="1399">
        <f>CE12*'1.参数设置'!$C$5</f>
        <v>0</v>
      </c>
      <c r="CF31" s="1399">
        <f>CF12*'1.参数设置'!$C$5</f>
        <v>0</v>
      </c>
      <c r="CG31" s="1399">
        <f>CG12*'1.参数设置'!$C$5</f>
        <v>0</v>
      </c>
      <c r="CH31" s="1399">
        <f>CH12*'1.参数设置'!$C$5</f>
        <v>0</v>
      </c>
      <c r="CI31" s="1399">
        <f>CI12*'1.参数设置'!$C$5</f>
        <v>0</v>
      </c>
      <c r="CJ31" s="1399">
        <f>CJ12*'1.参数设置'!$C$5</f>
        <v>0</v>
      </c>
      <c r="CK31" s="1399">
        <f>CK12*'1.参数设置'!$C$5</f>
        <v>0</v>
      </c>
      <c r="CL31" s="1399">
        <f>CL12*'1.参数设置'!$C$5</f>
        <v>0</v>
      </c>
      <c r="CM31" s="1399">
        <f>CM12*'1.参数设置'!$C$5</f>
        <v>0</v>
      </c>
      <c r="CN31" s="1399">
        <f>CN12*'1.参数设置'!$C$5</f>
        <v>0</v>
      </c>
      <c r="CO31" s="1399">
        <f>CO12*'1.参数设置'!$C$5</f>
        <v>0</v>
      </c>
      <c r="CP31" s="1399">
        <f>CP12*'1.参数设置'!$C$5</f>
        <v>0</v>
      </c>
      <c r="CQ31" s="1399">
        <f>CQ12*'1.参数设置'!$C$5</f>
        <v>0</v>
      </c>
      <c r="CR31" s="1399">
        <f>CR12*'1.参数设置'!$C$5</f>
        <v>0</v>
      </c>
      <c r="CS31" s="1399">
        <f>CS12*'1.参数设置'!$C$5</f>
        <v>0</v>
      </c>
      <c r="CT31" s="1399">
        <f>CT12*'1.参数设置'!$C$5</f>
        <v>0</v>
      </c>
      <c r="CU31" s="1399">
        <f>CU12*'1.参数设置'!$C$5</f>
        <v>0</v>
      </c>
      <c r="CV31" s="1399">
        <f>CV12*'1.参数设置'!$C$5</f>
        <v>0</v>
      </c>
      <c r="CW31" s="1399">
        <f>CW12*'1.参数设置'!$C$5</f>
        <v>0</v>
      </c>
      <c r="CX31" s="1399">
        <f>CX12*'1.参数设置'!$C$5</f>
        <v>0</v>
      </c>
      <c r="CY31" s="1399">
        <f>CY12*'1.参数设置'!$C$5</f>
        <v>0</v>
      </c>
      <c r="CZ31" s="1399">
        <f>CZ12*'1.参数设置'!$C$5</f>
        <v>0</v>
      </c>
      <c r="DA31" s="1399">
        <f>DA12*'1.参数设置'!$C$5</f>
        <v>0</v>
      </c>
      <c r="DB31" s="1399">
        <f>DB12*'1.参数设置'!$C$5</f>
        <v>0</v>
      </c>
      <c r="DC31" s="1399">
        <f>DC12*'1.参数设置'!$C$5</f>
        <v>0</v>
      </c>
      <c r="DD31" s="1399">
        <f>DD12*'1.参数设置'!$C$5</f>
        <v>0</v>
      </c>
      <c r="DE31" s="1399">
        <f>DE12*'1.参数设置'!$C$5</f>
        <v>0</v>
      </c>
      <c r="DF31" s="1399">
        <f>DF12*'1.参数设置'!$C$5</f>
        <v>0</v>
      </c>
      <c r="DG31" s="1399">
        <f>DG12*'1.参数设置'!$C$5</f>
        <v>0</v>
      </c>
      <c r="DH31" s="1399">
        <f>DH12*'1.参数设置'!$C$5</f>
        <v>0</v>
      </c>
      <c r="DI31" s="1399">
        <f>DI12*'1.参数设置'!$C$5</f>
        <v>0</v>
      </c>
      <c r="DJ31" s="1399">
        <f>DJ12*'1.参数设置'!$C$5</f>
        <v>0</v>
      </c>
      <c r="DK31" s="1399">
        <f>DK12*'1.参数设置'!$C$5</f>
        <v>0</v>
      </c>
      <c r="DL31" s="1399">
        <f>DL12*'1.参数设置'!$C$5</f>
        <v>0</v>
      </c>
      <c r="DM31" s="1399">
        <f>DM12*'1.参数设置'!$C$5</f>
        <v>0</v>
      </c>
      <c r="DN31" s="1399">
        <f>DN12*'1.参数设置'!$C$5</f>
        <v>0</v>
      </c>
      <c r="DO31" s="1399">
        <f>DO12*'1.参数设置'!$C$5</f>
        <v>0</v>
      </c>
      <c r="DP31" s="1399">
        <f>DP12*'1.参数设置'!$C$5</f>
        <v>0</v>
      </c>
      <c r="DQ31" s="1399">
        <f>DQ12*'1.参数设置'!$C$5</f>
        <v>0</v>
      </c>
      <c r="DR31" s="1399">
        <f>DR12*'1.参数设置'!$C$5</f>
        <v>0</v>
      </c>
      <c r="DS31" s="1399">
        <f>DS12*'1.参数设置'!$C$5</f>
        <v>0</v>
      </c>
      <c r="DT31" s="1399">
        <f>DT12*'1.参数设置'!$C$5</f>
        <v>0</v>
      </c>
      <c r="DU31" s="1399">
        <f>DU12*'1.参数设置'!$C$5</f>
        <v>0</v>
      </c>
      <c r="DV31" s="1399">
        <f>DV12*'1.参数设置'!$C$5</f>
        <v>0</v>
      </c>
      <c r="DW31" s="1399">
        <f>DW12*'1.参数设置'!$C$5</f>
        <v>0</v>
      </c>
      <c r="DX31" s="1399">
        <f>DX12*'1.参数设置'!$C$5</f>
        <v>0</v>
      </c>
      <c r="DY31" s="1399">
        <f>DY12*'1.参数设置'!$C$5</f>
        <v>0</v>
      </c>
      <c r="DZ31" s="1399">
        <f>DZ12*'1.参数设置'!$C$5</f>
        <v>0</v>
      </c>
      <c r="EA31" s="1399">
        <f>EA12*'1.参数设置'!$C$5</f>
        <v>0</v>
      </c>
      <c r="EB31" s="1399">
        <f>EB12*'1.参数设置'!$C$5</f>
        <v>0</v>
      </c>
      <c r="EC31" s="1399">
        <f>EC12*'1.参数设置'!$C$5</f>
        <v>0</v>
      </c>
      <c r="ED31" s="1399">
        <f>ED12*'1.参数设置'!$C$5</f>
        <v>0</v>
      </c>
      <c r="EE31" s="1399">
        <f>EE12*'1.参数设置'!$C$5</f>
        <v>0</v>
      </c>
      <c r="EF31" s="1399">
        <f>EF12*'1.参数设置'!$C$5</f>
        <v>0</v>
      </c>
      <c r="EG31" s="1399">
        <f>EG12*'1.参数设置'!$C$5</f>
        <v>0</v>
      </c>
      <c r="EH31" s="1399">
        <f>EH12*'1.参数设置'!$C$5</f>
        <v>0</v>
      </c>
      <c r="EI31" s="1399">
        <f>EI12*'1.参数设置'!$C$5</f>
        <v>0</v>
      </c>
      <c r="EJ31" s="1399">
        <f>EJ12*'1.参数设置'!$C$5</f>
        <v>0</v>
      </c>
      <c r="EK31" s="1399">
        <f>EK12*'1.参数设置'!$C$5</f>
        <v>0</v>
      </c>
      <c r="EL31" s="1399">
        <f>EL12*'1.参数设置'!$C$5</f>
        <v>0</v>
      </c>
      <c r="EM31" s="1399">
        <f>EM12*'1.参数设置'!$C$5</f>
        <v>0</v>
      </c>
      <c r="EN31" s="1399">
        <f>EN12*'1.参数设置'!$C$5</f>
        <v>0</v>
      </c>
      <c r="EO31" s="1399">
        <f>EO12*'1.参数设置'!$C$5</f>
        <v>0</v>
      </c>
      <c r="EP31" s="1399">
        <f>EP12*'1.参数设置'!$C$5</f>
        <v>0</v>
      </c>
      <c r="EQ31" s="1399">
        <f>EQ12*'1.参数设置'!$C$5</f>
        <v>0</v>
      </c>
      <c r="ER31" s="1399">
        <f>ER12*'1.参数设置'!$C$5</f>
        <v>0</v>
      </c>
      <c r="ES31" s="1399">
        <f>ES12*'1.参数设置'!$C$5</f>
        <v>0</v>
      </c>
      <c r="ET31" s="1399">
        <f>ET12*'1.参数设置'!$C$5</f>
        <v>0</v>
      </c>
      <c r="EU31" s="1399">
        <f>EU12*'1.参数设置'!$C$5</f>
        <v>0</v>
      </c>
      <c r="EV31" s="1399">
        <f>EV12*'1.参数设置'!$C$5</f>
        <v>0</v>
      </c>
      <c r="EW31" s="1399">
        <f>EW12*'1.参数设置'!$C$5</f>
        <v>0</v>
      </c>
      <c r="EX31" s="1399">
        <f>EX12*'1.参数设置'!$C$5</f>
        <v>0</v>
      </c>
      <c r="EY31" s="1399">
        <f>EY12*'1.参数设置'!$C$5</f>
        <v>0</v>
      </c>
      <c r="EZ31" s="1399">
        <f>EZ12*'1.参数设置'!$C$5</f>
        <v>0</v>
      </c>
      <c r="FA31" s="1399">
        <f>FA12*'1.参数设置'!$C$5</f>
        <v>0</v>
      </c>
      <c r="FB31" s="1399">
        <f>FB12*'1.参数设置'!$C$5</f>
        <v>0</v>
      </c>
      <c r="FC31" s="1399">
        <f>FC12*'1.参数设置'!$C$5</f>
        <v>0</v>
      </c>
      <c r="FD31" s="1399">
        <f>FD12*'1.参数设置'!$C$5</f>
        <v>0</v>
      </c>
      <c r="FE31" s="1399">
        <f>FE12*'1.参数设置'!$C$5</f>
        <v>0</v>
      </c>
      <c r="FF31" s="1399">
        <f>FF12*'1.参数设置'!$C$5</f>
        <v>0</v>
      </c>
    </row>
    <row r="32" spans="1:162" s="1361" customFormat="1" ht="18.75" customHeight="1">
      <c r="A32" s="1788"/>
      <c r="B32" s="1376" t="str">
        <f>CONCATENATE("8.管理费用","（",ROUND(IFERROR(D32/($D$12)%,0),2),"%）")</f>
        <v>8.管理费用（2%）</v>
      </c>
      <c r="C32" s="1383">
        <f t="shared" ref="C32:C39" si="225">D32/$C$7*10000</f>
        <v>336.76998647472379</v>
      </c>
      <c r="D32" s="1378">
        <f>H32+AH32+BH32+CH32+DH32+EH32</f>
        <v>2011.8638991999999</v>
      </c>
      <c r="E32" s="1389"/>
      <c r="F32" s="1389"/>
      <c r="G32" s="1399">
        <f>G12*'1.参数设置'!$E$5</f>
        <v>320.94675246066294</v>
      </c>
      <c r="H32" s="1399">
        <f>H12*'1.参数设置'!$E$5</f>
        <v>2011.8638991999999</v>
      </c>
      <c r="I32" s="1399">
        <f>I12*'1.参数设置'!$E$5</f>
        <v>310.62671999999998</v>
      </c>
      <c r="J32" s="1399">
        <f>J12*'1.参数设置'!$E$5</f>
        <v>1742.6158992000001</v>
      </c>
      <c r="K32" s="1399">
        <f>K12*'1.参数设置'!$E$5</f>
        <v>480</v>
      </c>
      <c r="L32" s="1399">
        <f>L12*'1.参数设置'!$E$5</f>
        <v>174.72</v>
      </c>
      <c r="M32" s="1399">
        <f>M12*'1.参数设置'!$E$5</f>
        <v>0</v>
      </c>
      <c r="N32" s="1399">
        <f>N12*'1.参数设置'!$E$5</f>
        <v>0</v>
      </c>
      <c r="O32" s="1399">
        <f>O12*'1.参数设置'!$E$5</f>
        <v>0</v>
      </c>
      <c r="P32" s="1399">
        <f>P12*'1.参数设置'!$E$5</f>
        <v>0</v>
      </c>
      <c r="Q32" s="1399">
        <f>Q12*'1.参数设置'!$E$5</f>
        <v>0</v>
      </c>
      <c r="R32" s="1399">
        <f>R12*'1.参数设置'!$E$5</f>
        <v>0</v>
      </c>
      <c r="S32" s="1399">
        <f>S12*'1.参数设置'!$E$5</f>
        <v>0</v>
      </c>
      <c r="T32" s="1399">
        <f>T12*'1.参数设置'!$E$5</f>
        <v>0</v>
      </c>
      <c r="U32" s="1399">
        <f>U12*'1.参数设置'!$E$5</f>
        <v>0</v>
      </c>
      <c r="V32" s="1399">
        <f>V12*'1.参数设置'!$E$5</f>
        <v>0</v>
      </c>
      <c r="W32" s="1399">
        <f>W12*'1.参数设置'!$E$5</f>
        <v>0</v>
      </c>
      <c r="X32" s="1399">
        <f>X12*'1.参数设置'!$E$5</f>
        <v>0</v>
      </c>
      <c r="Y32" s="1399">
        <f>Y12*'1.参数设置'!$E$5</f>
        <v>0</v>
      </c>
      <c r="Z32" s="1399">
        <f>Z12*'1.参数设置'!$E$5</f>
        <v>0</v>
      </c>
      <c r="AA32" s="1399">
        <f>AA12*'1.参数设置'!$E$5</f>
        <v>0</v>
      </c>
      <c r="AB32" s="1399">
        <f>AB12*'1.参数设置'!$E$5</f>
        <v>0</v>
      </c>
      <c r="AC32" s="1399">
        <f>AC12*'1.参数设置'!$E$5</f>
        <v>2240</v>
      </c>
      <c r="AD32" s="1399">
        <f>AD12*'1.参数设置'!$E$5</f>
        <v>94.527999999999992</v>
      </c>
      <c r="AE32" s="1399">
        <f>AE12*'1.参数设置'!$E$5</f>
        <v>0</v>
      </c>
      <c r="AF32" s="1399">
        <f>AF12*'1.参数设置'!$E$5</f>
        <v>0</v>
      </c>
      <c r="AG32" s="1399">
        <f>AG12*'1.参数设置'!$E$5</f>
        <v>0</v>
      </c>
      <c r="AH32" s="1399">
        <f>AH12*'1.参数设置'!$E$5</f>
        <v>0</v>
      </c>
      <c r="AI32" s="1399">
        <f>AI12*'1.参数设置'!$E$5</f>
        <v>0</v>
      </c>
      <c r="AJ32" s="1399">
        <f>AJ12*'1.参数设置'!$E$5</f>
        <v>0</v>
      </c>
      <c r="AK32" s="1399">
        <f>AK12*'1.参数设置'!$E$5</f>
        <v>0</v>
      </c>
      <c r="AL32" s="1399">
        <f>AL12*'1.参数设置'!$E$5</f>
        <v>0</v>
      </c>
      <c r="AM32" s="1399">
        <f>AM12*'1.参数设置'!$E$5</f>
        <v>0</v>
      </c>
      <c r="AN32" s="1399">
        <f>AN12*'1.参数设置'!$E$5</f>
        <v>0</v>
      </c>
      <c r="AO32" s="1399">
        <f>AO12*'1.参数设置'!$E$5</f>
        <v>0</v>
      </c>
      <c r="AP32" s="1399">
        <f>AP12*'1.参数设置'!$E$5</f>
        <v>0</v>
      </c>
      <c r="AQ32" s="1399">
        <f>AQ12*'1.参数设置'!$E$5</f>
        <v>0</v>
      </c>
      <c r="AR32" s="1399">
        <f>AR12*'1.参数设置'!$E$5</f>
        <v>0</v>
      </c>
      <c r="AS32" s="1399">
        <f>AS12*'1.参数设置'!$E$5</f>
        <v>0</v>
      </c>
      <c r="AT32" s="1399">
        <f>AT12*'1.参数设置'!$E$5</f>
        <v>0</v>
      </c>
      <c r="AU32" s="1399">
        <f>AU12*'1.参数设置'!$E$5</f>
        <v>0</v>
      </c>
      <c r="AV32" s="1399">
        <f>AV12*'1.参数设置'!$E$5</f>
        <v>0</v>
      </c>
      <c r="AW32" s="1399">
        <f>AW12*'1.参数设置'!$E$5</f>
        <v>0</v>
      </c>
      <c r="AX32" s="1399">
        <f>AX12*'1.参数设置'!$E$5</f>
        <v>0</v>
      </c>
      <c r="AY32" s="1399">
        <f>AY12*'1.参数设置'!$E$5</f>
        <v>0</v>
      </c>
      <c r="AZ32" s="1399">
        <f>AZ12*'1.参数设置'!$E$5</f>
        <v>0</v>
      </c>
      <c r="BA32" s="1399">
        <f>BA12*'1.参数设置'!$E$5</f>
        <v>0</v>
      </c>
      <c r="BB32" s="1399">
        <f>BB12*'1.参数设置'!$E$5</f>
        <v>0</v>
      </c>
      <c r="BC32" s="1399">
        <f>BC12*'1.参数设置'!$E$5</f>
        <v>0</v>
      </c>
      <c r="BD32" s="1399">
        <f>BD12*'1.参数设置'!$E$5</f>
        <v>0</v>
      </c>
      <c r="BE32" s="1399">
        <f>BE12*'1.参数设置'!$E$5</f>
        <v>0</v>
      </c>
      <c r="BF32" s="1399">
        <f>BF12*'1.参数设置'!$E$5</f>
        <v>0</v>
      </c>
      <c r="BG32" s="1399">
        <f>BG12*'1.参数设置'!$E$5</f>
        <v>0</v>
      </c>
      <c r="BH32" s="1399">
        <f>BH12*'1.参数设置'!$E$5</f>
        <v>0</v>
      </c>
      <c r="BI32" s="1399">
        <f>BI12*'1.参数设置'!$E$5</f>
        <v>0</v>
      </c>
      <c r="BJ32" s="1399">
        <f>BJ12*'1.参数设置'!$E$5</f>
        <v>0</v>
      </c>
      <c r="BK32" s="1399">
        <f>BK12*'1.参数设置'!$E$5</f>
        <v>0</v>
      </c>
      <c r="BL32" s="1399">
        <f>BL12*'1.参数设置'!$E$5</f>
        <v>0</v>
      </c>
      <c r="BM32" s="1399">
        <f>BM12*'1.参数设置'!$E$5</f>
        <v>0</v>
      </c>
      <c r="BN32" s="1399">
        <f>BN12*'1.参数设置'!$E$5</f>
        <v>0</v>
      </c>
      <c r="BO32" s="1399">
        <f>BO12*'1.参数设置'!$E$5</f>
        <v>0</v>
      </c>
      <c r="BP32" s="1399">
        <f>BP12*'1.参数设置'!$E$5</f>
        <v>0</v>
      </c>
      <c r="BQ32" s="1399">
        <f>BQ12*'1.参数设置'!$E$5</f>
        <v>0</v>
      </c>
      <c r="BR32" s="1399">
        <f>BR12*'1.参数设置'!$E$5</f>
        <v>0</v>
      </c>
      <c r="BS32" s="1399">
        <f>BS12*'1.参数设置'!$E$5</f>
        <v>0</v>
      </c>
      <c r="BT32" s="1399">
        <f>BT12*'1.参数设置'!$E$5</f>
        <v>0</v>
      </c>
      <c r="BU32" s="1399">
        <f>BU12*'1.参数设置'!$E$5</f>
        <v>0</v>
      </c>
      <c r="BV32" s="1399">
        <f>BV12*'1.参数设置'!$E$5</f>
        <v>0</v>
      </c>
      <c r="BW32" s="1399">
        <f>BW12*'1.参数设置'!$E$5</f>
        <v>0</v>
      </c>
      <c r="BX32" s="1399">
        <f>BX12*'1.参数设置'!$E$5</f>
        <v>0</v>
      </c>
      <c r="BY32" s="1399">
        <f>BY12*'1.参数设置'!$E$5</f>
        <v>0</v>
      </c>
      <c r="BZ32" s="1399">
        <f>BZ12*'1.参数设置'!$E$5</f>
        <v>0</v>
      </c>
      <c r="CA32" s="1399">
        <f>CA12*'1.参数设置'!$E$5</f>
        <v>0</v>
      </c>
      <c r="CB32" s="1399">
        <f>CB12*'1.参数设置'!$E$5</f>
        <v>0</v>
      </c>
      <c r="CC32" s="1399">
        <f>CC12*'1.参数设置'!$E$5</f>
        <v>0</v>
      </c>
      <c r="CD32" s="1399">
        <f>CD12*'1.参数设置'!$E$5</f>
        <v>0</v>
      </c>
      <c r="CE32" s="1399">
        <f>CE12*'1.参数设置'!$E$5</f>
        <v>0</v>
      </c>
      <c r="CF32" s="1399">
        <f>CF12*'1.参数设置'!$E$5</f>
        <v>0</v>
      </c>
      <c r="CG32" s="1399">
        <f>CG12*'1.参数设置'!$E$5</f>
        <v>0</v>
      </c>
      <c r="CH32" s="1399">
        <f>CH12*'1.参数设置'!$E$5</f>
        <v>0</v>
      </c>
      <c r="CI32" s="1399">
        <f>CI12*'1.参数设置'!$E$5</f>
        <v>0</v>
      </c>
      <c r="CJ32" s="1399">
        <f>CJ12*'1.参数设置'!$E$5</f>
        <v>0</v>
      </c>
      <c r="CK32" s="1399">
        <f>CK12*'1.参数设置'!$E$5</f>
        <v>0</v>
      </c>
      <c r="CL32" s="1399">
        <f>CL12*'1.参数设置'!$E$5</f>
        <v>0</v>
      </c>
      <c r="CM32" s="1399">
        <f>CM12*'1.参数设置'!$E$5</f>
        <v>0</v>
      </c>
      <c r="CN32" s="1399">
        <f>CN12*'1.参数设置'!$E$5</f>
        <v>0</v>
      </c>
      <c r="CO32" s="1399">
        <f>CO12*'1.参数设置'!$E$5</f>
        <v>0</v>
      </c>
      <c r="CP32" s="1399">
        <f>CP12*'1.参数设置'!$E$5</f>
        <v>0</v>
      </c>
      <c r="CQ32" s="1399">
        <f>CQ12*'1.参数设置'!$E$5</f>
        <v>0</v>
      </c>
      <c r="CR32" s="1399">
        <f>CR12*'1.参数设置'!$E$5</f>
        <v>0</v>
      </c>
      <c r="CS32" s="1399">
        <f>CS12*'1.参数设置'!$E$5</f>
        <v>0</v>
      </c>
      <c r="CT32" s="1399">
        <f>CT12*'1.参数设置'!$E$5</f>
        <v>0</v>
      </c>
      <c r="CU32" s="1399">
        <f>CU12*'1.参数设置'!$E$5</f>
        <v>0</v>
      </c>
      <c r="CV32" s="1399">
        <f>CV12*'1.参数设置'!$E$5</f>
        <v>0</v>
      </c>
      <c r="CW32" s="1399">
        <f>CW12*'1.参数设置'!$E$5</f>
        <v>0</v>
      </c>
      <c r="CX32" s="1399">
        <f>CX12*'1.参数设置'!$E$5</f>
        <v>0</v>
      </c>
      <c r="CY32" s="1399">
        <f>CY12*'1.参数设置'!$E$5</f>
        <v>0</v>
      </c>
      <c r="CZ32" s="1399">
        <f>CZ12*'1.参数设置'!$E$5</f>
        <v>0</v>
      </c>
      <c r="DA32" s="1399">
        <f>DA12*'1.参数设置'!$E$5</f>
        <v>0</v>
      </c>
      <c r="DB32" s="1399">
        <f>DB12*'1.参数设置'!$E$5</f>
        <v>0</v>
      </c>
      <c r="DC32" s="1399">
        <f>DC12*'1.参数设置'!$E$5</f>
        <v>0</v>
      </c>
      <c r="DD32" s="1399">
        <f>DD12*'1.参数设置'!$E$5</f>
        <v>0</v>
      </c>
      <c r="DE32" s="1399">
        <f>DE12*'1.参数设置'!$E$5</f>
        <v>0</v>
      </c>
      <c r="DF32" s="1399">
        <f>DF12*'1.参数设置'!$E$5</f>
        <v>0</v>
      </c>
      <c r="DG32" s="1399">
        <f>DG12*'1.参数设置'!$E$5</f>
        <v>0</v>
      </c>
      <c r="DH32" s="1399">
        <f>DH12*'1.参数设置'!$E$5</f>
        <v>0</v>
      </c>
      <c r="DI32" s="1399">
        <f>DI12*'1.参数设置'!$E$5</f>
        <v>0</v>
      </c>
      <c r="DJ32" s="1399">
        <f>DJ12*'1.参数设置'!$E$5</f>
        <v>0</v>
      </c>
      <c r="DK32" s="1399">
        <f>DK12*'1.参数设置'!$E$5</f>
        <v>0</v>
      </c>
      <c r="DL32" s="1399">
        <f>DL12*'1.参数设置'!$E$5</f>
        <v>0</v>
      </c>
      <c r="DM32" s="1399">
        <f>DM12*'1.参数设置'!$E$5</f>
        <v>0</v>
      </c>
      <c r="DN32" s="1399">
        <f>DN12*'1.参数设置'!$E$5</f>
        <v>0</v>
      </c>
      <c r="DO32" s="1399">
        <f>DO12*'1.参数设置'!$E$5</f>
        <v>0</v>
      </c>
      <c r="DP32" s="1399">
        <f>DP12*'1.参数设置'!$E$5</f>
        <v>0</v>
      </c>
      <c r="DQ32" s="1399">
        <f>DQ12*'1.参数设置'!$E$5</f>
        <v>0</v>
      </c>
      <c r="DR32" s="1399">
        <f>DR12*'1.参数设置'!$E$5</f>
        <v>0</v>
      </c>
      <c r="DS32" s="1399">
        <f>DS12*'1.参数设置'!$E$5</f>
        <v>0</v>
      </c>
      <c r="DT32" s="1399">
        <f>DT12*'1.参数设置'!$E$5</f>
        <v>0</v>
      </c>
      <c r="DU32" s="1399">
        <f>DU12*'1.参数设置'!$E$5</f>
        <v>0</v>
      </c>
      <c r="DV32" s="1399">
        <f>DV12*'1.参数设置'!$E$5</f>
        <v>0</v>
      </c>
      <c r="DW32" s="1399">
        <f>DW12*'1.参数设置'!$E$5</f>
        <v>0</v>
      </c>
      <c r="DX32" s="1399">
        <f>DX12*'1.参数设置'!$E$5</f>
        <v>0</v>
      </c>
      <c r="DY32" s="1399">
        <f>DY12*'1.参数设置'!$E$5</f>
        <v>0</v>
      </c>
      <c r="DZ32" s="1399">
        <f>DZ12*'1.参数设置'!$E$5</f>
        <v>0</v>
      </c>
      <c r="EA32" s="1399">
        <f>EA12*'1.参数设置'!$E$5</f>
        <v>0</v>
      </c>
      <c r="EB32" s="1399">
        <f>EB12*'1.参数设置'!$E$5</f>
        <v>0</v>
      </c>
      <c r="EC32" s="1399">
        <f>EC12*'1.参数设置'!$E$5</f>
        <v>0</v>
      </c>
      <c r="ED32" s="1399">
        <f>ED12*'1.参数设置'!$E$5</f>
        <v>0</v>
      </c>
      <c r="EE32" s="1399">
        <f>EE12*'1.参数设置'!$E$5</f>
        <v>0</v>
      </c>
      <c r="EF32" s="1399">
        <f>EF12*'1.参数设置'!$E$5</f>
        <v>0</v>
      </c>
      <c r="EG32" s="1399">
        <f>EG12*'1.参数设置'!$E$5</f>
        <v>0</v>
      </c>
      <c r="EH32" s="1399">
        <f>EH12*'1.参数设置'!$E$5</f>
        <v>0</v>
      </c>
      <c r="EI32" s="1399">
        <f>EI12*'1.参数设置'!$E$5</f>
        <v>0</v>
      </c>
      <c r="EJ32" s="1399">
        <f>EJ12*'1.参数设置'!$E$5</f>
        <v>0</v>
      </c>
      <c r="EK32" s="1399">
        <f>EK12*'1.参数设置'!$E$5</f>
        <v>0</v>
      </c>
      <c r="EL32" s="1399">
        <f>EL12*'1.参数设置'!$E$5</f>
        <v>0</v>
      </c>
      <c r="EM32" s="1399">
        <f>EM12*'1.参数设置'!$E$5</f>
        <v>0</v>
      </c>
      <c r="EN32" s="1399">
        <f>EN12*'1.参数设置'!$E$5</f>
        <v>0</v>
      </c>
      <c r="EO32" s="1399">
        <f>EO12*'1.参数设置'!$E$5</f>
        <v>0</v>
      </c>
      <c r="EP32" s="1399">
        <f>EP12*'1.参数设置'!$E$5</f>
        <v>0</v>
      </c>
      <c r="EQ32" s="1399">
        <f>EQ12*'1.参数设置'!$E$5</f>
        <v>0</v>
      </c>
      <c r="ER32" s="1399">
        <f>ER12*'1.参数设置'!$E$5</f>
        <v>0</v>
      </c>
      <c r="ES32" s="1399">
        <f>ES12*'1.参数设置'!$E$5</f>
        <v>0</v>
      </c>
      <c r="ET32" s="1399">
        <f>ET12*'1.参数设置'!$E$5</f>
        <v>0</v>
      </c>
      <c r="EU32" s="1399">
        <f>EU12*'1.参数设置'!$E$5</f>
        <v>0</v>
      </c>
      <c r="EV32" s="1399">
        <f>EV12*'1.参数设置'!$E$5</f>
        <v>0</v>
      </c>
      <c r="EW32" s="1399">
        <f>EW12*'1.参数设置'!$E$5</f>
        <v>0</v>
      </c>
      <c r="EX32" s="1399">
        <f>EX12*'1.参数设置'!$E$5</f>
        <v>0</v>
      </c>
      <c r="EY32" s="1399">
        <f>EY12*'1.参数设置'!$E$5</f>
        <v>0</v>
      </c>
      <c r="EZ32" s="1399">
        <f>EZ12*'1.参数设置'!$E$5</f>
        <v>0</v>
      </c>
      <c r="FA32" s="1399">
        <f>FA12*'1.参数设置'!$E$5</f>
        <v>0</v>
      </c>
      <c r="FB32" s="1399">
        <f>FB12*'1.参数设置'!$E$5</f>
        <v>0</v>
      </c>
      <c r="FC32" s="1399">
        <f>FC12*'1.参数设置'!$E$5</f>
        <v>0</v>
      </c>
      <c r="FD32" s="1399">
        <f>FD12*'1.参数设置'!$E$5</f>
        <v>0</v>
      </c>
      <c r="FE32" s="1399">
        <f>FE12*'1.参数设置'!$E$5</f>
        <v>0</v>
      </c>
      <c r="FF32" s="1399">
        <f>FF12*'1.参数设置'!$E$5</f>
        <v>0</v>
      </c>
    </row>
    <row r="33" spans="1:162" s="1361" customFormat="1" ht="24">
      <c r="A33" s="1788"/>
      <c r="B33" s="1376" t="str">
        <f>CONCATENATE("9.财务费用（不含资本化利息）","（",ROUND(IFERROR(D33/($D$12)%,0),2),"%）")</f>
        <v>9.财务费用（不含资本化利息）（0%）</v>
      </c>
      <c r="C33" s="1400">
        <f t="shared" si="225"/>
        <v>0</v>
      </c>
      <c r="D33" s="1401"/>
      <c r="E33" s="1389"/>
      <c r="F33" s="1389"/>
      <c r="G33" s="1385">
        <f>IFERROR(H33/$G$7*10000,0)</f>
        <v>0</v>
      </c>
      <c r="H33" s="1402"/>
      <c r="I33" s="1385">
        <f>IFERROR(J33/$I$7*10000,0)</f>
        <v>0</v>
      </c>
      <c r="J33" s="1402">
        <f>$D$33*J14/($D$14)</f>
        <v>0</v>
      </c>
      <c r="K33" s="1385">
        <f>IFERROR(L33/$K$7*10000,0)</f>
        <v>0</v>
      </c>
      <c r="L33" s="1402">
        <f>$D$33*L14/($D$14)</f>
        <v>0</v>
      </c>
      <c r="M33" s="1385">
        <f>IFERROR(N33/$M$7*10000,0)</f>
        <v>0</v>
      </c>
      <c r="N33" s="1402">
        <f>$D$33*N14/($D$14)</f>
        <v>0</v>
      </c>
      <c r="O33" s="1385">
        <f>IFERROR(P33/$O$7*10000,0)</f>
        <v>0</v>
      </c>
      <c r="P33" s="1402">
        <f>$D$33*P14/($D$14)</f>
        <v>0</v>
      </c>
      <c r="Q33" s="1385">
        <f>IFERROR(R33/$Q$7*10000,0)</f>
        <v>0</v>
      </c>
      <c r="R33" s="1402">
        <f>$D$33*R14/($D$14)</f>
        <v>0</v>
      </c>
      <c r="S33" s="1385">
        <f>IFERROR(T33/$S$7*10000,0)</f>
        <v>0</v>
      </c>
      <c r="T33" s="1435"/>
      <c r="U33" s="1385">
        <f>IFERROR(V33/$U$7*10000,0)</f>
        <v>0</v>
      </c>
      <c r="V33" s="1378"/>
      <c r="W33" s="1385">
        <f>IFERROR(X33/$W$7*10000,0)</f>
        <v>0</v>
      </c>
      <c r="X33" s="1378"/>
      <c r="Y33" s="1385">
        <f>IFERROR(Z33/$Y$7*10000,0)</f>
        <v>0</v>
      </c>
      <c r="Z33" s="1378"/>
      <c r="AA33" s="1385">
        <f>IFERROR(AB33/$AA$7*10000,0)</f>
        <v>0</v>
      </c>
      <c r="AB33" s="1378"/>
      <c r="AC33" s="1385">
        <f>IFERROR(AD33/$AC$8*10000,0)</f>
        <v>0</v>
      </c>
      <c r="AD33" s="1378"/>
      <c r="AE33" s="1385">
        <f>IFERROR(AF33/$AE$8*10000,0)</f>
        <v>0</v>
      </c>
      <c r="AF33" s="1378"/>
      <c r="AG33" s="1385">
        <f>IFERROR(AH33/$AG$7*10000,0)</f>
        <v>0</v>
      </c>
      <c r="AH33" s="1402"/>
      <c r="AI33" s="1385">
        <f>IFERROR(AJ33/$AI$7*10000,0)</f>
        <v>0</v>
      </c>
      <c r="AJ33" s="1378"/>
      <c r="AK33" s="1385">
        <f>IFERROR(AL33/$AK$7*10000,0)</f>
        <v>0</v>
      </c>
      <c r="AL33" s="1378"/>
      <c r="AM33" s="1385">
        <f>IFERROR(AN33/$AM$7*10000,0)</f>
        <v>0</v>
      </c>
      <c r="AN33" s="1378"/>
      <c r="AO33" s="1385">
        <f>IFERROR(AP33/$AO$7*10000,0)</f>
        <v>0</v>
      </c>
      <c r="AP33" s="1378"/>
      <c r="AQ33" s="1385">
        <f>IFERROR(AR33/$AQ$7*10000,0)</f>
        <v>0</v>
      </c>
      <c r="AR33" s="1378"/>
      <c r="AS33" s="1385">
        <f>IFERROR(AT33/$AS$7*10000,0)</f>
        <v>0</v>
      </c>
      <c r="AT33" s="1378"/>
      <c r="AU33" s="1385">
        <f>IFERROR(AV33/$AU$7*10000,0)</f>
        <v>0</v>
      </c>
      <c r="AV33" s="1378"/>
      <c r="AW33" s="1385">
        <f>IFERROR(AX33/$AW$7*10000,0)</f>
        <v>0</v>
      </c>
      <c r="AX33" s="1378"/>
      <c r="AY33" s="1385">
        <f>IFERROR(AZ33/$AY$7*10000,0)</f>
        <v>0</v>
      </c>
      <c r="AZ33" s="1378"/>
      <c r="BA33" s="1385">
        <f>IFERROR(BB33/$BA$7*10000,0)</f>
        <v>0</v>
      </c>
      <c r="BB33" s="1378"/>
      <c r="BC33" s="1385">
        <f>IFERROR(BD33/$BC$8*10000,0)</f>
        <v>0</v>
      </c>
      <c r="BD33" s="1378"/>
      <c r="BE33" s="1385">
        <f>IFERROR(BF33/$BE$8*10000,0)</f>
        <v>0</v>
      </c>
      <c r="BF33" s="1378"/>
      <c r="BG33" s="1385">
        <f>IFERROR(BH33/$BG$7*10000,0)</f>
        <v>0</v>
      </c>
      <c r="BH33" s="1402"/>
      <c r="BI33" s="1385">
        <f>IFERROR(BJ33/$BI$7*10000,0)</f>
        <v>0</v>
      </c>
      <c r="BJ33" s="1378"/>
      <c r="BK33" s="1385">
        <f>IFERROR(BL33/$BK$7*10000,0)</f>
        <v>0</v>
      </c>
      <c r="BL33" s="1378"/>
      <c r="BM33" s="1385">
        <f>IFERROR(BN33/$BM$7*10000,0)</f>
        <v>0</v>
      </c>
      <c r="BN33" s="1378"/>
      <c r="BO33" s="1385">
        <f>IFERROR(BP33/$BO$7*10000,0)</f>
        <v>0</v>
      </c>
      <c r="BP33" s="1378"/>
      <c r="BQ33" s="1385">
        <f>IFERROR(BR33/$BQ$7*10000,0)</f>
        <v>0</v>
      </c>
      <c r="BR33" s="1378"/>
      <c r="BS33" s="1385">
        <f>IFERROR(BT33/$BS$7*10000,0)</f>
        <v>0</v>
      </c>
      <c r="BT33" s="1378"/>
      <c r="BU33" s="1385">
        <f>IFERROR(BV33/$BU$7*10000,0)</f>
        <v>0</v>
      </c>
      <c r="BV33" s="1378"/>
      <c r="BW33" s="1385">
        <f>IFERROR(BX33/$BW$7*10000,0)</f>
        <v>0</v>
      </c>
      <c r="BX33" s="1378"/>
      <c r="BY33" s="1385">
        <f>IFERROR(BZ33/$BY$7*10000,0)</f>
        <v>0</v>
      </c>
      <c r="BZ33" s="1378"/>
      <c r="CA33" s="1385">
        <f>IFERROR(CB33/$CA$7*10000,0)</f>
        <v>0</v>
      </c>
      <c r="CB33" s="1378"/>
      <c r="CC33" s="1385">
        <f>IFERROR(CD33/$CC$8*10000,0)</f>
        <v>0</v>
      </c>
      <c r="CD33" s="1378"/>
      <c r="CE33" s="1385">
        <f>IFERROR(CF33/$CE$8*10000,0)</f>
        <v>0</v>
      </c>
      <c r="CF33" s="1378"/>
      <c r="CG33" s="1385">
        <f>IFERROR(CH33/$CG$7*10000,0)</f>
        <v>0</v>
      </c>
      <c r="CH33" s="1402"/>
      <c r="CI33" s="1385">
        <f>IFERROR(CJ33/$CI$7*10000,0)</f>
        <v>0</v>
      </c>
      <c r="CJ33" s="1378"/>
      <c r="CK33" s="1385">
        <f>IFERROR(CL33/$CK$7*10000,0)</f>
        <v>0</v>
      </c>
      <c r="CL33" s="1378"/>
      <c r="CM33" s="1385">
        <f>IFERROR(CN33/$CM$7*10000,0)</f>
        <v>0</v>
      </c>
      <c r="CN33" s="1378"/>
      <c r="CO33" s="1385">
        <f>IFERROR(CP33/$CO$7*10000,0)</f>
        <v>0</v>
      </c>
      <c r="CP33" s="1378"/>
      <c r="CQ33" s="1385">
        <f>IFERROR(CR33/$CQ$7*10000,0)</f>
        <v>0</v>
      </c>
      <c r="CR33" s="1378"/>
      <c r="CS33" s="1385">
        <f>IFERROR(CT33/$CS$7*10000,0)</f>
        <v>0</v>
      </c>
      <c r="CT33" s="1378"/>
      <c r="CU33" s="1385">
        <f>IFERROR(CV33/$CU$7*10000,0)</f>
        <v>0</v>
      </c>
      <c r="CV33" s="1378"/>
      <c r="CW33" s="1385">
        <f>IFERROR(CX33/$CW$7*10000,0)</f>
        <v>0</v>
      </c>
      <c r="CX33" s="1378"/>
      <c r="CY33" s="1385">
        <f>IFERROR(CZ33/$CY$7*10000,0)</f>
        <v>0</v>
      </c>
      <c r="CZ33" s="1378"/>
      <c r="DA33" s="1385">
        <f>IFERROR(DB33/$DA$7*10000,0)</f>
        <v>0</v>
      </c>
      <c r="DB33" s="1378"/>
      <c r="DC33" s="1385">
        <f>IFERROR(DD33/$DC$8*10000,0)</f>
        <v>0</v>
      </c>
      <c r="DD33" s="1378"/>
      <c r="DE33" s="1385">
        <f>IFERROR(DF33/$DE$8*10000,0)</f>
        <v>0</v>
      </c>
      <c r="DF33" s="1378"/>
      <c r="DG33" s="1385">
        <f>IFERROR(DH33/$DG$7*10000,0)</f>
        <v>0</v>
      </c>
      <c r="DH33" s="1402"/>
      <c r="DI33" s="1385">
        <f>IFERROR(DJ33/$DI$7*10000,0)</f>
        <v>0</v>
      </c>
      <c r="DJ33" s="1378"/>
      <c r="DK33" s="1385">
        <f>IFERROR(DL33/$DK$7*10000,0)</f>
        <v>0</v>
      </c>
      <c r="DL33" s="1378"/>
      <c r="DM33" s="1385">
        <f>IFERROR(DN33/$DM$7*10000,0)</f>
        <v>0</v>
      </c>
      <c r="DN33" s="1378"/>
      <c r="DO33" s="1385">
        <f>IFERROR(DP33/$DO$7*10000,0)</f>
        <v>0</v>
      </c>
      <c r="DP33" s="1378"/>
      <c r="DQ33" s="1385">
        <f>IFERROR(DR33/$DQ$7*10000,0)</f>
        <v>0</v>
      </c>
      <c r="DR33" s="1378"/>
      <c r="DS33" s="1385">
        <f>IFERROR(DT33/$DS$7*10000,0)</f>
        <v>0</v>
      </c>
      <c r="DT33" s="1378"/>
      <c r="DU33" s="1385">
        <f>IFERROR(DV33/$DU$7*10000,0)</f>
        <v>0</v>
      </c>
      <c r="DV33" s="1378"/>
      <c r="DW33" s="1385">
        <f>IFERROR(DX33/$DW$7*10000,0)</f>
        <v>0</v>
      </c>
      <c r="DX33" s="1378"/>
      <c r="DY33" s="1385">
        <f>IFERROR(DZ33/$DY$7*10000,0)</f>
        <v>0</v>
      </c>
      <c r="DZ33" s="1378"/>
      <c r="EA33" s="1385">
        <f>IFERROR(EB33/$EA$7*10000,0)</f>
        <v>0</v>
      </c>
      <c r="EB33" s="1378"/>
      <c r="EC33" s="1385">
        <f>IFERROR(ED33/$EC$8*10000,0)</f>
        <v>0</v>
      </c>
      <c r="ED33" s="1378"/>
      <c r="EE33" s="1385">
        <f>IFERROR(EF33/$EE$8*10000,0)</f>
        <v>0</v>
      </c>
      <c r="EF33" s="1378"/>
      <c r="EG33" s="1385">
        <f>IFERROR(EH33/$EG$7*10000,0)</f>
        <v>0</v>
      </c>
      <c r="EH33" s="1402"/>
      <c r="EI33" s="1385">
        <f>IFERROR(EJ33/$EI$7*10000,0)</f>
        <v>0</v>
      </c>
      <c r="EJ33" s="1378"/>
      <c r="EK33" s="1385">
        <f>IFERROR(EL33/$EK$7*10000,0)</f>
        <v>0</v>
      </c>
      <c r="EL33" s="1378"/>
      <c r="EM33" s="1385">
        <f>IFERROR(EN33/$EM$7*10000,0)</f>
        <v>0</v>
      </c>
      <c r="EN33" s="1378"/>
      <c r="EO33" s="1385">
        <f>IFERROR(EP33/$EO$7*10000,0)</f>
        <v>0</v>
      </c>
      <c r="EP33" s="1378"/>
      <c r="EQ33" s="1385">
        <f>IFERROR(ER33/$EQ$7*10000,0)</f>
        <v>0</v>
      </c>
      <c r="ER33" s="1378"/>
      <c r="ES33" s="1385">
        <f>IFERROR(ET33/$ES$7*10000,0)</f>
        <v>0</v>
      </c>
      <c r="ET33" s="1378"/>
      <c r="EU33" s="1385">
        <f>IFERROR(EV33/$EU$7*10000,0)</f>
        <v>0</v>
      </c>
      <c r="EV33" s="1378"/>
      <c r="EW33" s="1385">
        <f>IFERROR(EX33/$EW$7*10000,0)</f>
        <v>0</v>
      </c>
      <c r="EX33" s="1378"/>
      <c r="EY33" s="1385">
        <f>IFERROR(EZ33/$EY$7*10000,0)</f>
        <v>0</v>
      </c>
      <c r="EZ33" s="1378"/>
      <c r="FA33" s="1385">
        <f>IFERROR(FB33/$FA$7*10000,0)</f>
        <v>0</v>
      </c>
      <c r="FB33" s="1378"/>
      <c r="FC33" s="1385">
        <f>IFERROR(FD33/$FC$8*10000,0)</f>
        <v>0</v>
      </c>
      <c r="FD33" s="1378"/>
      <c r="FE33" s="1385">
        <f>IFERROR(FF33/$FE$8*10000,0)</f>
        <v>0</v>
      </c>
      <c r="FF33" s="1378"/>
    </row>
    <row r="34" spans="1:162" s="1361" customFormat="1" ht="16.5" customHeight="1">
      <c r="A34" s="1788"/>
      <c r="B34" s="1376" t="str">
        <f ca="1">CONCATENATE("10.税负","（",ROUND(IFERROR(D34/($D$12)%,0),2),"%）")</f>
        <v>10.税负（22.65%）</v>
      </c>
      <c r="C34" s="1378">
        <f t="shared" ca="1" si="225"/>
        <v>3813.6083843697315</v>
      </c>
      <c r="D34" s="1378">
        <f ca="1">H34+AH34+BH34+CH34+DH34+EH34</f>
        <v>22782.496488224777</v>
      </c>
      <c r="E34" s="1384"/>
      <c r="F34" s="1384"/>
      <c r="G34" s="1385">
        <f t="shared" ref="G34:G38" ca="1" si="226">IFERROR(H34/$G$7*10000,0)</f>
        <v>3813.6083843697315</v>
      </c>
      <c r="H34" s="1378">
        <f t="shared" ref="H34" ca="1" si="227">H35+H36+H37+H38</f>
        <v>22782.496488224777</v>
      </c>
      <c r="I34" s="1385">
        <f t="shared" ref="I34:I38" ca="1" si="228">IFERROR(J34/$I$7*10000,0)</f>
        <v>3894.8570980126474</v>
      </c>
      <c r="J34" s="1378">
        <f t="shared" ref="J34:AL34" ca="1" si="229">J35+J36+J37+J38</f>
        <v>21850.148319850952</v>
      </c>
      <c r="K34" s="1385">
        <f t="shared" ref="K34:K38" ca="1" si="230">IFERROR(L34/$K$7*10000,0)</f>
        <v>177.3281576088074</v>
      </c>
      <c r="L34" s="1378">
        <f t="shared" ca="1" si="229"/>
        <v>64.547449369605886</v>
      </c>
      <c r="M34" s="1385">
        <f t="shared" ref="M34:M38" ca="1" si="231">IFERROR(N34/$M$7*10000,0)</f>
        <v>0</v>
      </c>
      <c r="N34" s="1378">
        <f t="shared" ca="1" si="229"/>
        <v>0</v>
      </c>
      <c r="O34" s="1385">
        <f t="shared" ref="O34:O38" si="232">IFERROR(P34/$O$7*10000,0)</f>
        <v>0</v>
      </c>
      <c r="P34" s="1378">
        <f t="shared" si="229"/>
        <v>0</v>
      </c>
      <c r="Q34" s="1385">
        <f t="shared" ref="Q34:Q38" ca="1" si="233">IFERROR(R34/$Q$7*10000,0)</f>
        <v>0</v>
      </c>
      <c r="R34" s="1378">
        <f t="shared" ca="1" si="229"/>
        <v>0</v>
      </c>
      <c r="S34" s="1385">
        <f t="shared" ref="S34:S38" ca="1" si="234">IFERROR(T34/$S$7*10000,0)</f>
        <v>0</v>
      </c>
      <c r="T34" s="1378">
        <f t="shared" ca="1" si="229"/>
        <v>0</v>
      </c>
      <c r="U34" s="1385">
        <f t="shared" ref="U34:U38" ca="1" si="235">IFERROR(V34/$U$7*10000,0)</f>
        <v>0</v>
      </c>
      <c r="V34" s="1378">
        <f t="shared" ca="1" si="229"/>
        <v>0</v>
      </c>
      <c r="W34" s="1385">
        <f t="shared" ref="W34:W38" ca="1" si="236">IFERROR(X34/$W$7*10000,0)</f>
        <v>0</v>
      </c>
      <c r="X34" s="1378">
        <f t="shared" ca="1" si="229"/>
        <v>0</v>
      </c>
      <c r="Y34" s="1385">
        <f t="shared" ref="Y34:Y38" ca="1" si="237">IFERROR(Z34/$Y$7*10000,0)</f>
        <v>0</v>
      </c>
      <c r="Z34" s="1378">
        <f t="shared" ca="1" si="229"/>
        <v>0</v>
      </c>
      <c r="AA34" s="1385">
        <f t="shared" ref="AA34:AA38" si="238">IFERROR(AB34/$AA$7*10000,0)</f>
        <v>0</v>
      </c>
      <c r="AB34" s="1378">
        <f t="shared" ref="AB34" si="239">AB35+AB36+AB37+AB38</f>
        <v>0</v>
      </c>
      <c r="AC34" s="1385">
        <f t="shared" ref="AC34:AC38" ca="1" si="240">IFERROR(AD34/$AC$8*10000,0)</f>
        <v>20563.998080668658</v>
      </c>
      <c r="AD34" s="1378">
        <f t="shared" ref="AD34" ca="1" si="241">AD35+AD36+AD37+AD38</f>
        <v>867.8007190042174</v>
      </c>
      <c r="AE34" s="1385">
        <f t="shared" ref="AE34:AE38" ca="1" si="242">IFERROR(AF34/$AE$8*10000,0)</f>
        <v>0</v>
      </c>
      <c r="AF34" s="1378">
        <f t="shared" ca="1" si="229"/>
        <v>0</v>
      </c>
      <c r="AG34" s="1385">
        <f t="shared" ref="AG34:AG38" ca="1" si="243">IFERROR(AH34/$AG$7*10000,0)</f>
        <v>0</v>
      </c>
      <c r="AH34" s="1378">
        <f t="shared" ref="AH34" ca="1" si="244">AH35+AH36+AH37+AH38</f>
        <v>0</v>
      </c>
      <c r="AI34" s="1385">
        <f t="shared" ref="AI34:AI38" ca="1" si="245">IFERROR(AJ34/$AI$7*10000,0)</f>
        <v>0</v>
      </c>
      <c r="AJ34" s="1378">
        <f t="shared" ref="AJ34" ca="1" si="246">AJ35+AJ36+AJ37+AJ38</f>
        <v>0</v>
      </c>
      <c r="AK34" s="1385">
        <f t="shared" ref="AK34:AK38" ca="1" si="247">IFERROR(AL34/$AK$7*10000,0)</f>
        <v>0</v>
      </c>
      <c r="AL34" s="1378">
        <f t="shared" ca="1" si="229"/>
        <v>0</v>
      </c>
      <c r="AM34" s="1385">
        <f t="shared" ref="AM34:AM38" ca="1" si="248">IFERROR(AN34/$AM$7*10000,0)</f>
        <v>0</v>
      </c>
      <c r="AN34" s="1378">
        <f t="shared" ref="AN34:BL34" ca="1" si="249">AN35+AN36+AN37+AN38</f>
        <v>0</v>
      </c>
      <c r="AO34" s="1385">
        <f t="shared" ref="AO34:AO38" ca="1" si="250">IFERROR(AP34/$AO$7*10000,0)</f>
        <v>0</v>
      </c>
      <c r="AP34" s="1378">
        <f t="shared" ca="1" si="249"/>
        <v>0</v>
      </c>
      <c r="AQ34" s="1385">
        <f t="shared" ref="AQ34:AQ38" ca="1" si="251">IFERROR(AR34/$AQ$7*10000,0)</f>
        <v>0</v>
      </c>
      <c r="AR34" s="1378">
        <f t="shared" ca="1" si="249"/>
        <v>0</v>
      </c>
      <c r="AS34" s="1385">
        <f t="shared" ref="AS34:AS38" ca="1" si="252">IFERROR(AT34/$AS$7*10000,0)</f>
        <v>0</v>
      </c>
      <c r="AT34" s="1378">
        <f t="shared" ca="1" si="249"/>
        <v>0</v>
      </c>
      <c r="AU34" s="1385">
        <f t="shared" ref="AU34:AU38" ca="1" si="253">IFERROR(AV34/$AU$7*10000,0)</f>
        <v>0</v>
      </c>
      <c r="AV34" s="1378">
        <f t="shared" ca="1" si="249"/>
        <v>0</v>
      </c>
      <c r="AW34" s="1385">
        <f t="shared" ref="AW34:AW38" ca="1" si="254">IFERROR(AX34/$AW$7*10000,0)</f>
        <v>0</v>
      </c>
      <c r="AX34" s="1378">
        <f t="shared" ca="1" si="249"/>
        <v>0</v>
      </c>
      <c r="AY34" s="1385">
        <f t="shared" ref="AY34:AY38" ca="1" si="255">IFERROR(AZ34/$AY$7*10000,0)</f>
        <v>0</v>
      </c>
      <c r="AZ34" s="1378">
        <f t="shared" ca="1" si="249"/>
        <v>0</v>
      </c>
      <c r="BA34" s="1385">
        <f t="shared" ref="BA34:BA38" si="256">IFERROR(BB34/$BA$7*10000,0)</f>
        <v>0</v>
      </c>
      <c r="BB34" s="1378">
        <f t="shared" si="249"/>
        <v>0</v>
      </c>
      <c r="BC34" s="1385">
        <f t="shared" ref="BC34:BC38" ca="1" si="257">IFERROR(BD34/$BC$8*10000,0)</f>
        <v>0</v>
      </c>
      <c r="BD34" s="1378">
        <f t="shared" ca="1" si="249"/>
        <v>0</v>
      </c>
      <c r="BE34" s="1385">
        <f t="shared" ref="BE34:BE38" ca="1" si="258">IFERROR(BF34/$BE$8*10000,0)</f>
        <v>0</v>
      </c>
      <c r="BF34" s="1378">
        <f t="shared" ref="BF34" ca="1" si="259">BF35+BF36+BF37+BF38</f>
        <v>0</v>
      </c>
      <c r="BG34" s="1385">
        <f t="shared" ref="BG34:BG38" ca="1" si="260">IFERROR(BH34/$BG$7*10000,0)</f>
        <v>0</v>
      </c>
      <c r="BH34" s="1378">
        <f t="shared" ref="BH34" ca="1" si="261">BH35+BH36+BH37+BH38</f>
        <v>0</v>
      </c>
      <c r="BI34" s="1385">
        <f t="shared" ref="BI34:BI38" ca="1" si="262">IFERROR(BJ34/$BI$7*10000,0)</f>
        <v>0</v>
      </c>
      <c r="BJ34" s="1378">
        <f t="shared" ref="BJ34" ca="1" si="263">BJ35+BJ36+BJ37+BJ38</f>
        <v>0</v>
      </c>
      <c r="BK34" s="1385">
        <f t="shared" ref="BK34:BK38" ca="1" si="264">IFERROR(BL34/$BK$7*10000,0)</f>
        <v>0</v>
      </c>
      <c r="BL34" s="1378">
        <f t="shared" ca="1" si="249"/>
        <v>0</v>
      </c>
      <c r="BM34" s="1385">
        <f t="shared" ref="BM34:BM38" ca="1" si="265">IFERROR(BN34/$BM$7*10000,0)</f>
        <v>0</v>
      </c>
      <c r="BN34" s="1378">
        <f t="shared" ref="BN34:CL34" ca="1" si="266">BN35+BN36+BN37+BN38</f>
        <v>0</v>
      </c>
      <c r="BO34" s="1385">
        <f t="shared" ref="BO34:BO38" ca="1" si="267">IFERROR(BP34/$BO$7*10000,0)</f>
        <v>0</v>
      </c>
      <c r="BP34" s="1378">
        <f t="shared" ca="1" si="266"/>
        <v>0</v>
      </c>
      <c r="BQ34" s="1385">
        <f t="shared" ref="BQ34:BQ38" ca="1" si="268">IFERROR(BR34/$BQ$7*10000,0)</f>
        <v>0</v>
      </c>
      <c r="BR34" s="1378">
        <f t="shared" ca="1" si="266"/>
        <v>0</v>
      </c>
      <c r="BS34" s="1385">
        <f t="shared" ref="BS34:BS38" ca="1" si="269">IFERROR(BT34/$BS$7*10000,0)</f>
        <v>0</v>
      </c>
      <c r="BT34" s="1378">
        <f t="shared" ca="1" si="266"/>
        <v>0</v>
      </c>
      <c r="BU34" s="1385">
        <f t="shared" ref="BU34:BU38" ca="1" si="270">IFERROR(BV34/$BU$7*10000,0)</f>
        <v>0</v>
      </c>
      <c r="BV34" s="1378">
        <f t="shared" ca="1" si="266"/>
        <v>0</v>
      </c>
      <c r="BW34" s="1385">
        <f t="shared" ref="BW34:BW38" ca="1" si="271">IFERROR(BX34/$BW$7*10000,0)</f>
        <v>0</v>
      </c>
      <c r="BX34" s="1378">
        <f t="shared" ca="1" si="266"/>
        <v>0</v>
      </c>
      <c r="BY34" s="1385">
        <f t="shared" ref="BY34:BY38" ca="1" si="272">IFERROR(BZ34/$BY$7*10000,0)</f>
        <v>0</v>
      </c>
      <c r="BZ34" s="1378">
        <f t="shared" ca="1" si="266"/>
        <v>0</v>
      </c>
      <c r="CA34" s="1385">
        <f t="shared" ref="CA34:CA38" si="273">IFERROR(CB34/$CA$7*10000,0)</f>
        <v>0</v>
      </c>
      <c r="CB34" s="1378">
        <f t="shared" si="266"/>
        <v>0</v>
      </c>
      <c r="CC34" s="1385">
        <f t="shared" ref="CC34:CC38" ca="1" si="274">IFERROR(CD34/$CC$8*10000,0)</f>
        <v>0</v>
      </c>
      <c r="CD34" s="1378">
        <f t="shared" ref="CD34" ca="1" si="275">CD35+CD36+CD37+CD38</f>
        <v>0</v>
      </c>
      <c r="CE34" s="1385">
        <f t="shared" ref="CE34:CE38" ca="1" si="276">IFERROR(CF34/$CE$8*10000,0)</f>
        <v>0</v>
      </c>
      <c r="CF34" s="1378">
        <f t="shared" ref="CF34" ca="1" si="277">CF35+CF36+CF37+CF38</f>
        <v>0</v>
      </c>
      <c r="CG34" s="1385">
        <f t="shared" ref="CG34:CG38" ca="1" si="278">IFERROR(CH34/$CG$7*10000,0)</f>
        <v>0</v>
      </c>
      <c r="CH34" s="1378">
        <f t="shared" ref="CH34" ca="1" si="279">CH35+CH36+CH37+CH38</f>
        <v>0</v>
      </c>
      <c r="CI34" s="1385">
        <f t="shared" ref="CI34:CI38" ca="1" si="280">IFERROR(CJ34/$CI$7*10000,0)</f>
        <v>0</v>
      </c>
      <c r="CJ34" s="1378">
        <f t="shared" ref="CJ34" ca="1" si="281">CJ35+CJ36+CJ37+CJ38</f>
        <v>0</v>
      </c>
      <c r="CK34" s="1385">
        <f t="shared" ref="CK34:CK38" ca="1" si="282">IFERROR(CL34/$CK$7*10000,0)</f>
        <v>0</v>
      </c>
      <c r="CL34" s="1378">
        <f t="shared" ca="1" si="266"/>
        <v>0</v>
      </c>
      <c r="CM34" s="1385">
        <f t="shared" ref="CM34:CM38" ca="1" si="283">IFERROR(CN34/$CM$7*10000,0)</f>
        <v>0</v>
      </c>
      <c r="CN34" s="1378">
        <f t="shared" ref="CN34:DB34" ca="1" si="284">CN35+CN36+CN37+CN38</f>
        <v>0</v>
      </c>
      <c r="CO34" s="1385">
        <f t="shared" ref="CO34:CO38" ca="1" si="285">IFERROR(CP34/$CO$7*10000,0)</f>
        <v>0</v>
      </c>
      <c r="CP34" s="1378">
        <f t="shared" ca="1" si="284"/>
        <v>0</v>
      </c>
      <c r="CQ34" s="1385">
        <f t="shared" ref="CQ34:CQ38" ca="1" si="286">IFERROR(CR34/$CQ$7*10000,0)</f>
        <v>0</v>
      </c>
      <c r="CR34" s="1378">
        <f t="shared" ca="1" si="284"/>
        <v>0</v>
      </c>
      <c r="CS34" s="1385">
        <f t="shared" ref="CS34:CS38" ca="1" si="287">IFERROR(CT34/$CS$7*10000,0)</f>
        <v>0</v>
      </c>
      <c r="CT34" s="1378">
        <f t="shared" ca="1" si="284"/>
        <v>0</v>
      </c>
      <c r="CU34" s="1385">
        <f t="shared" ref="CU34:CU38" ca="1" si="288">IFERROR(CV34/$CU$7*10000,0)</f>
        <v>0</v>
      </c>
      <c r="CV34" s="1378">
        <f t="shared" ca="1" si="284"/>
        <v>0</v>
      </c>
      <c r="CW34" s="1385">
        <f t="shared" ref="CW34:CW38" ca="1" si="289">IFERROR(CX34/$CW$7*10000,0)</f>
        <v>0</v>
      </c>
      <c r="CX34" s="1378">
        <f t="shared" ca="1" si="284"/>
        <v>0</v>
      </c>
      <c r="CY34" s="1385">
        <f t="shared" ref="CY34:CY38" ca="1" si="290">IFERROR(CZ34/$CY$7*10000,0)</f>
        <v>0</v>
      </c>
      <c r="CZ34" s="1378">
        <f t="shared" ca="1" si="284"/>
        <v>0</v>
      </c>
      <c r="DA34" s="1385">
        <f t="shared" ref="DA34:DA38" si="291">IFERROR(DB34/$DA$7*10000,0)</f>
        <v>0</v>
      </c>
      <c r="DB34" s="1378">
        <f t="shared" si="284"/>
        <v>0</v>
      </c>
      <c r="DC34" s="1385">
        <f t="shared" ref="DC34:DC38" ca="1" si="292">IFERROR(DD34/$DC$8*10000,0)</f>
        <v>0</v>
      </c>
      <c r="DD34" s="1378">
        <f t="shared" ref="DD34:FB34" ca="1" si="293">DD35+DD36+DD37+DD38</f>
        <v>0</v>
      </c>
      <c r="DE34" s="1385">
        <f t="shared" ref="DE34:DE38" ca="1" si="294">IFERROR(DF34/$DE$8*10000,0)</f>
        <v>0</v>
      </c>
      <c r="DF34" s="1378">
        <f t="shared" ca="1" si="293"/>
        <v>0</v>
      </c>
      <c r="DG34" s="1385">
        <f t="shared" ref="DG34:DG38" ca="1" si="295">IFERROR(DH34/$DG$7*10000,0)</f>
        <v>0</v>
      </c>
      <c r="DH34" s="1378">
        <f t="shared" ref="DH34" ca="1" si="296">DH35+DH36+DH37+DH38</f>
        <v>0</v>
      </c>
      <c r="DI34" s="1385">
        <f t="shared" ref="DI34:DI38" ca="1" si="297">IFERROR(DJ34/$DI$7*10000,0)</f>
        <v>0</v>
      </c>
      <c r="DJ34" s="1378">
        <f t="shared" ref="DJ34" ca="1" si="298">DJ35+DJ36+DJ37+DJ38</f>
        <v>0</v>
      </c>
      <c r="DK34" s="1385">
        <f t="shared" ref="DK34:DK38" ca="1" si="299">IFERROR(DL34/$DK$7*10000,0)</f>
        <v>0</v>
      </c>
      <c r="DL34" s="1378">
        <f t="shared" ca="1" si="293"/>
        <v>0</v>
      </c>
      <c r="DM34" s="1385">
        <f t="shared" ref="DM34:DM38" ca="1" si="300">IFERROR(DN34/$DM$7*10000,0)</f>
        <v>0</v>
      </c>
      <c r="DN34" s="1378">
        <f t="shared" ca="1" si="293"/>
        <v>0</v>
      </c>
      <c r="DO34" s="1385">
        <f t="shared" ref="DO34:DO38" ca="1" si="301">IFERROR(DP34/$DO$7*10000,0)</f>
        <v>0</v>
      </c>
      <c r="DP34" s="1378">
        <f t="shared" ca="1" si="293"/>
        <v>0</v>
      </c>
      <c r="DQ34" s="1385">
        <f t="shared" ref="DQ34:DQ38" ca="1" si="302">IFERROR(DR34/$DQ$7*10000,0)</f>
        <v>0</v>
      </c>
      <c r="DR34" s="1378">
        <f t="shared" ca="1" si="293"/>
        <v>0</v>
      </c>
      <c r="DS34" s="1385">
        <f t="shared" ref="DS34:DS38" ca="1" si="303">IFERROR(DT34/$DS$7*10000,0)</f>
        <v>0</v>
      </c>
      <c r="DT34" s="1378">
        <f t="shared" ca="1" si="293"/>
        <v>0</v>
      </c>
      <c r="DU34" s="1385">
        <f t="shared" ref="DU34:DU38" ca="1" si="304">IFERROR(DV34/$DU$7*10000,0)</f>
        <v>0</v>
      </c>
      <c r="DV34" s="1378">
        <f t="shared" ca="1" si="293"/>
        <v>0</v>
      </c>
      <c r="DW34" s="1385">
        <f t="shared" ref="DW34:DW38" ca="1" si="305">IFERROR(DX34/$DW$7*10000,0)</f>
        <v>0</v>
      </c>
      <c r="DX34" s="1378">
        <f t="shared" ca="1" si="293"/>
        <v>0</v>
      </c>
      <c r="DY34" s="1385">
        <f t="shared" ref="DY34:DY38" ca="1" si="306">IFERROR(DZ34/$DY$7*10000,0)</f>
        <v>0</v>
      </c>
      <c r="DZ34" s="1378">
        <f t="shared" ca="1" si="293"/>
        <v>0</v>
      </c>
      <c r="EA34" s="1385">
        <f t="shared" ref="EA34:EA38" si="307">IFERROR(EB34/$EA$7*10000,0)</f>
        <v>0</v>
      </c>
      <c r="EB34" s="1378">
        <f t="shared" si="293"/>
        <v>0</v>
      </c>
      <c r="EC34" s="1385">
        <f t="shared" ref="EC34:EC38" ca="1" si="308">IFERROR(ED34/$EC$8*10000,0)</f>
        <v>0</v>
      </c>
      <c r="ED34" s="1378">
        <f t="shared" ca="1" si="293"/>
        <v>0</v>
      </c>
      <c r="EE34" s="1385">
        <f t="shared" ref="EE34:EE38" ca="1" si="309">IFERROR(EF34/$EE$8*10000,0)</f>
        <v>0</v>
      </c>
      <c r="EF34" s="1378">
        <f t="shared" ca="1" si="293"/>
        <v>0</v>
      </c>
      <c r="EG34" s="1385">
        <f t="shared" ref="EG34:EG38" ca="1" si="310">IFERROR(EH34/$EG$7*10000,0)</f>
        <v>0</v>
      </c>
      <c r="EH34" s="1378">
        <f t="shared" ref="EH34" ca="1" si="311">EH35+EH36+EH37+EH38</f>
        <v>0</v>
      </c>
      <c r="EI34" s="1385">
        <f t="shared" ref="EI34:EI38" ca="1" si="312">IFERROR(EJ34/$EI$7*10000,0)</f>
        <v>0</v>
      </c>
      <c r="EJ34" s="1378">
        <f t="shared" ref="EJ34" ca="1" si="313">EJ35+EJ36+EJ37+EJ38</f>
        <v>0</v>
      </c>
      <c r="EK34" s="1385">
        <f t="shared" ref="EK34:EK38" ca="1" si="314">IFERROR(EL34/$EK$7*10000,0)</f>
        <v>0</v>
      </c>
      <c r="EL34" s="1378">
        <f t="shared" ca="1" si="293"/>
        <v>0</v>
      </c>
      <c r="EM34" s="1385">
        <f t="shared" ref="EM34:EM38" ca="1" si="315">IFERROR(EN34/$EM$7*10000,0)</f>
        <v>0</v>
      </c>
      <c r="EN34" s="1378">
        <f t="shared" ca="1" si="293"/>
        <v>0</v>
      </c>
      <c r="EO34" s="1385">
        <f t="shared" ref="EO34:EO38" ca="1" si="316">IFERROR(EP34/$EO$7*10000,0)</f>
        <v>0</v>
      </c>
      <c r="EP34" s="1378">
        <f t="shared" ca="1" si="293"/>
        <v>0</v>
      </c>
      <c r="EQ34" s="1385">
        <f t="shared" ref="EQ34:EQ38" ca="1" si="317">IFERROR(ER34/$EQ$7*10000,0)</f>
        <v>0</v>
      </c>
      <c r="ER34" s="1378">
        <f t="shared" ca="1" si="293"/>
        <v>0</v>
      </c>
      <c r="ES34" s="1385">
        <f t="shared" ref="ES34:ES38" ca="1" si="318">IFERROR(ET34/$ES$7*10000,0)</f>
        <v>0</v>
      </c>
      <c r="ET34" s="1378">
        <f t="shared" ca="1" si="293"/>
        <v>0</v>
      </c>
      <c r="EU34" s="1385">
        <f t="shared" ref="EU34:EU38" ca="1" si="319">IFERROR(EV34/$EU$7*10000,0)</f>
        <v>0</v>
      </c>
      <c r="EV34" s="1378">
        <f t="shared" ca="1" si="293"/>
        <v>0</v>
      </c>
      <c r="EW34" s="1385">
        <f t="shared" ref="EW34:EW38" ca="1" si="320">IFERROR(EX34/$EW$7*10000,0)</f>
        <v>0</v>
      </c>
      <c r="EX34" s="1378">
        <f t="shared" ca="1" si="293"/>
        <v>0</v>
      </c>
      <c r="EY34" s="1385">
        <f t="shared" ref="EY34:EY38" ca="1" si="321">IFERROR(EZ34/$EY$7*10000,0)</f>
        <v>0</v>
      </c>
      <c r="EZ34" s="1378">
        <f t="shared" ca="1" si="293"/>
        <v>0</v>
      </c>
      <c r="FA34" s="1385">
        <f t="shared" ref="FA34:FA38" si="322">IFERROR(FB34/$FA$7*10000,0)</f>
        <v>0</v>
      </c>
      <c r="FB34" s="1378">
        <f t="shared" si="293"/>
        <v>0</v>
      </c>
      <c r="FC34" s="1385">
        <f t="shared" ref="FC34:FC38" ca="1" si="323">IFERROR(FD34/$FC$8*10000,0)</f>
        <v>0</v>
      </c>
      <c r="FD34" s="1378">
        <f t="shared" ref="FD34:FF34" ca="1" si="324">FD35+FD36+FD37+FD38</f>
        <v>0</v>
      </c>
      <c r="FE34" s="1385">
        <f t="shared" ref="FE34:FE38" ca="1" si="325">IFERROR(FF34/$FE$8*10000,0)</f>
        <v>0</v>
      </c>
      <c r="FF34" s="1378">
        <f t="shared" ca="1" si="324"/>
        <v>0</v>
      </c>
    </row>
    <row r="35" spans="1:162" s="1359" customFormat="1" ht="16.5" hidden="1" customHeight="1" outlineLevel="1">
      <c r="A35" s="1788"/>
      <c r="B35" s="1403" t="str">
        <f>CONCATENATE("10.1增值税及附加","（",ROUND(IFERROR(D35/($D$12)%,0),2),"%）")</f>
        <v>10.1增值税及附加（6.09%）</v>
      </c>
      <c r="C35" s="1383">
        <f t="shared" si="225"/>
        <v>1026.1858092893974</v>
      </c>
      <c r="D35" s="1378">
        <f t="shared" ref="D35:D38" si="326">H35+AH35+BH35+CH35+DH35+EH35</f>
        <v>6130.4340246948605</v>
      </c>
      <c r="E35" s="1387"/>
      <c r="F35" s="1387"/>
      <c r="G35" s="1385">
        <f t="shared" si="226"/>
        <v>1026.1858092893974</v>
      </c>
      <c r="H35" s="1385">
        <f t="shared" ref="H35:H38" si="327">J35+L35+N35+P35+R35+T35+V35+X35+Z35+AB35+AD35+AF35</f>
        <v>6130.4340246948605</v>
      </c>
      <c r="I35" s="1385">
        <f t="shared" si="228"/>
        <v>971.74252649111395</v>
      </c>
      <c r="J35" s="1385">
        <f>SUMIF('5.分产品利润表'!$P$5:$AA$5,综合表!I4,'5.分产品利润表'!$P$11:$AA$11)+SUMIF('5.分产品利润表'!$P$5:$AA$5,综合表!I4,'5.分产品利润表'!$P$13:$AA$13)</f>
        <v>5451.4755736151492</v>
      </c>
      <c r="K35" s="1385">
        <f t="shared" si="230"/>
        <v>1080.7530968598796</v>
      </c>
      <c r="L35" s="1385">
        <f>SUMIF('5.分产品利润表'!$P$5:$AA$5,综合表!K4,'5.分产品利润表'!$P$11:$AA$11)+SUMIF('5.分产品利润表'!$P$5:$AA$5,综合表!K4,'5.分产品利润表'!$P$13:$AA$13)</f>
        <v>393.39412725699617</v>
      </c>
      <c r="M35" s="1385">
        <f t="shared" si="231"/>
        <v>0</v>
      </c>
      <c r="N35" s="1385">
        <f>SUMIF('5.分产品利润表'!$P$5:$AA$5,综合表!M4,'5.分产品利润表'!$P$11:$AA$11)+SUMIF('5.分产品利润表'!$P$5:$AA$5,综合表!M4,'5.分产品利润表'!$P$13:$AA$13)</f>
        <v>0</v>
      </c>
      <c r="O35" s="1385">
        <f t="shared" si="232"/>
        <v>0</v>
      </c>
      <c r="P35" s="1385">
        <f>SUMIF('5.分产品利润表'!$P$5:$AA$5,综合表!O4,'5.分产品利润表'!$P$11:$AA$11)+SUMIF('5.分产品利润表'!$P$5:$AA$5,综合表!O4,'5.分产品利润表'!$P$13:$AA$13)</f>
        <v>0</v>
      </c>
      <c r="Q35" s="1385">
        <f t="shared" si="233"/>
        <v>0</v>
      </c>
      <c r="R35" s="1385">
        <f>SUMIF('5.分产品利润表'!$P$5:$AA$5,综合表!Q4,'5.分产品利润表'!$P$11:$AA$11)+SUMIF('5.分产品利润表'!$P$5:$AA$5,综合表!Q4,'5.分产品利润表'!$P$13:$AA$13)</f>
        <v>0</v>
      </c>
      <c r="S35" s="1385">
        <f t="shared" si="234"/>
        <v>0</v>
      </c>
      <c r="T35" s="1385">
        <f>SUMIF('5.分产品利润表'!$P$5:$AA$5,综合表!S4,'5.分产品利润表'!$P$11:$AA$11)+SUMIF('5.分产品利润表'!$P$5:$AA$5,综合表!S4,'5.分产品利润表'!$P$13:$AA$13)</f>
        <v>0</v>
      </c>
      <c r="U35" s="1385">
        <f t="shared" si="235"/>
        <v>0</v>
      </c>
      <c r="V35" s="1385">
        <f>SUMIF('5.分产品利润表'!$P$5:$AA$5,综合表!U4,'5.分产品利润表'!$P$11:$AA$11)+SUMIF('5.分产品利润表'!$P$5:$AA$5,综合表!U4,'5.分产品利润表'!$P$13:$AA$13)</f>
        <v>0</v>
      </c>
      <c r="W35" s="1385">
        <f t="shared" si="236"/>
        <v>0</v>
      </c>
      <c r="X35" s="1385">
        <f>SUMIF('5.分产品利润表'!$P$5:$AA$5,综合表!W4,'5.分产品利润表'!$P$11:$AA$11)+SUMIF('5.分产品利润表'!$P$5:$AA$5,综合表!W4,'5.分产品利润表'!$P$13:$AA$13)</f>
        <v>0</v>
      </c>
      <c r="Y35" s="1385">
        <f t="shared" si="237"/>
        <v>0</v>
      </c>
      <c r="Z35" s="1385">
        <f>SUMIF('5.分产品利润表'!$P$5:$AA$5,综合表!Y4,'5.分产品利润表'!$P$11:$AA$11)+SUMIF('5.分产品利润表'!$P$5:$AA$5,综合表!Y4,'5.分产品利润表'!$P$13:$AA$13)</f>
        <v>0</v>
      </c>
      <c r="AA35" s="1385">
        <f t="shared" si="238"/>
        <v>0</v>
      </c>
      <c r="AB35" s="1385">
        <f>SUMIF('5.分产品利润表'!$P$5:$AA$5,综合表!AA4,'5.分产品利润表'!$P$11:$AA$11)+SUMIF('5.分产品利润表'!$P$5:$AA$5,综合表!AA4,'5.分产品利润表'!$P$13:$AA$13)</f>
        <v>0</v>
      </c>
      <c r="AC35" s="1385">
        <f t="shared" si="240"/>
        <v>6766.9271048036626</v>
      </c>
      <c r="AD35" s="1385">
        <f>SUMIF('5.分产品利润表'!$P$5:$AA$5,综合表!AC4,'5.分产品利润表'!$P$11:$AA$11)+SUMIF('5.分产品利润表'!$P$5:$AA$5,综合表!AC4,'5.分产品利润表'!$P$13:$AA$13)</f>
        <v>285.56432382271458</v>
      </c>
      <c r="AE35" s="1385">
        <f t="shared" si="242"/>
        <v>0</v>
      </c>
      <c r="AF35" s="1385">
        <f>SUMIF('5.分产品利润表'!$P$5:$AA$5,综合表!AE4,'5.分产品利润表'!$P$11:$AA$11)+SUMIF('5.分产品利润表'!$P$5:$AA$5,综合表!AE4,'5.分产品利润表'!$P$13:$AA$13)</f>
        <v>0</v>
      </c>
      <c r="AG35" s="1385">
        <f t="shared" si="243"/>
        <v>0</v>
      </c>
      <c r="AH35" s="1385">
        <f t="shared" ref="AH35:AH38" si="328">AJ35+AL35+AN35+AP35+AR35+AT35+AV35+AX35+AZ35+BB35+BD35+BF35</f>
        <v>0</v>
      </c>
      <c r="AI35" s="1385">
        <f t="shared" si="245"/>
        <v>0</v>
      </c>
      <c r="AJ35" s="1385">
        <f>SUMIF('5.分产品利润表'!$AC$5:$AN$5,综合表!AI4,'5.分产品利润表'!$AC$11:$AN$13)</f>
        <v>0</v>
      </c>
      <c r="AK35" s="1385">
        <f t="shared" si="247"/>
        <v>0</v>
      </c>
      <c r="AL35" s="1385">
        <f>SUMIF('5.分产品利润表'!$AC$5:$AN$5,综合表!AK4,'5.分产品利润表'!$AC$11:$AN$11)+SUMIF('5.分产品利润表'!$AC$5:$AN$5,综合表!AK4,'5.分产品利润表'!$AC$13:$AN$13)</f>
        <v>0</v>
      </c>
      <c r="AM35" s="1385">
        <f t="shared" si="248"/>
        <v>0</v>
      </c>
      <c r="AN35" s="1385">
        <f>SUMIF('5.分产品利润表'!$AC$5:$AN$5,综合表!AM4,'5.分产品利润表'!$AC$11:$AN$11)+SUMIF('5.分产品利润表'!$AC$5:$AN$5,综合表!AM4,'5.分产品利润表'!$AC$13:$AN$13)</f>
        <v>0</v>
      </c>
      <c r="AO35" s="1385">
        <f t="shared" si="250"/>
        <v>0</v>
      </c>
      <c r="AP35" s="1385">
        <f>SUMIF('5.分产品利润表'!$AC$5:$AN$5,综合表!AO4,'5.分产品利润表'!$AC$11:$AN$11)+SUMIF('5.分产品利润表'!$AC$5:$AN$5,综合表!AO4,'5.分产品利润表'!$AC$13:$AN$13)</f>
        <v>0</v>
      </c>
      <c r="AQ35" s="1385">
        <f t="shared" si="251"/>
        <v>0</v>
      </c>
      <c r="AR35" s="1385">
        <f>SUMIF('5.分产品利润表'!$AC$5:$AN$5,综合表!AQ4,'5.分产品利润表'!$AC$11:$AN$11)+SUMIF('5.分产品利润表'!$AC$5:$AN$5,综合表!AQ4,'5.分产品利润表'!$AC$13:$AN$13)</f>
        <v>0</v>
      </c>
      <c r="AS35" s="1385">
        <f t="shared" si="252"/>
        <v>0</v>
      </c>
      <c r="AT35" s="1385">
        <f>SUMIF('5.分产品利润表'!$AC$5:$AN$5,综合表!AS4,'5.分产品利润表'!$AC$11:$AN$11)+SUMIF('5.分产品利润表'!$AC$5:$AN$5,综合表!AS4,'5.分产品利润表'!$AC$13:$AN$13)</f>
        <v>0</v>
      </c>
      <c r="AU35" s="1385">
        <f t="shared" si="253"/>
        <v>0</v>
      </c>
      <c r="AV35" s="1385">
        <f>SUMIF('5.分产品利润表'!$AC$5:$AN$5,综合表!AU4,'5.分产品利润表'!$AC$11:$AN$11)+SUMIF('5.分产品利润表'!$AC$5:$AN$5,综合表!AU4,'5.分产品利润表'!$AC$13:$AN$13)</f>
        <v>0</v>
      </c>
      <c r="AW35" s="1385">
        <f t="shared" si="254"/>
        <v>0</v>
      </c>
      <c r="AX35" s="1385">
        <f>SUMIF('5.分产品利润表'!$AC$5:$AN$5,综合表!AW4,'5.分产品利润表'!$AC$11:$AN$11)+SUMIF('5.分产品利润表'!$AC$5:$AN$5,综合表!AW4,'5.分产品利润表'!$AC$13:$AN$13)</f>
        <v>0</v>
      </c>
      <c r="AY35" s="1385">
        <f t="shared" si="255"/>
        <v>0</v>
      </c>
      <c r="AZ35" s="1385">
        <f>SUMIF('5.分产品利润表'!$AC$5:$AN$5,综合表!AY4,'5.分产品利润表'!$AC$11:$AN$11)+SUMIF('5.分产品利润表'!$AC$5:$AN$5,综合表!AY4,'5.分产品利润表'!$AC$13:$AN$13)</f>
        <v>0</v>
      </c>
      <c r="BA35" s="1385">
        <f t="shared" si="256"/>
        <v>0</v>
      </c>
      <c r="BB35" s="1385">
        <f>SUMIF('5.分产品利润表'!$AC$5:$AN$5,综合表!BA4,'5.分产品利润表'!$AC$11:$AN$11)+SUMIF('5.分产品利润表'!$AC$5:$AN$5,综合表!BA4,'5.分产品利润表'!$AC$13:$AN$13)</f>
        <v>0</v>
      </c>
      <c r="BC35" s="1385">
        <f t="shared" si="257"/>
        <v>0</v>
      </c>
      <c r="BD35" s="1385">
        <f>SUMIF('5.分产品利润表'!$AC$5:$AN$5,综合表!BC4,'5.分产品利润表'!$AC$11:$AN$11)+SUMIF('5.分产品利润表'!$AC$5:$AN$5,综合表!BC4,'5.分产品利润表'!$AC$13:$AN$13)</f>
        <v>0</v>
      </c>
      <c r="BE35" s="1385">
        <f t="shared" si="258"/>
        <v>0</v>
      </c>
      <c r="BF35" s="1385">
        <f>SUMIF('5.分产品利润表'!$AC$5:$AN$5,综合表!BE4,'5.分产品利润表'!$AC$11:$AN$11)+SUMIF('5.分产品利润表'!$AC$5:$AN$5,综合表!BE4,'5.分产品利润表'!$AC$13:$AN$13)</f>
        <v>0</v>
      </c>
      <c r="BG35" s="1385">
        <f t="shared" si="260"/>
        <v>0</v>
      </c>
      <c r="BH35" s="1385">
        <f t="shared" ref="BH35:BH38" si="329">BJ35+BL35+BN35+BP35+BR35+BT35+BV35+BX35+BZ35+CB35+CD35+CF35</f>
        <v>0</v>
      </c>
      <c r="BI35" s="1385">
        <f t="shared" si="262"/>
        <v>0</v>
      </c>
      <c r="BJ35" s="1385">
        <f>SUMIF('5.分产品利润表'!$AP$5:$BA$5,综合表!BI4,'5.分产品利润表'!$AP$11:$BA$11)+SUMIF('5.分产品利润表'!$AP$5:$BA$5,综合表!BI4,'5.分产品利润表'!$AP$13:$BA$13)</f>
        <v>0</v>
      </c>
      <c r="BK35" s="1385">
        <f t="shared" si="264"/>
        <v>0</v>
      </c>
      <c r="BL35" s="1385">
        <f>SUMIF('5.分产品利润表'!$AP$5:$BA$5,综合表!BK4,'5.分产品利润表'!$AP$11:$BA$11)+SUMIF('5.分产品利润表'!$AP$5:$BA$5,综合表!BK4,'5.分产品利润表'!$AP$13:$BA$13)</f>
        <v>0</v>
      </c>
      <c r="BM35" s="1385">
        <f t="shared" si="265"/>
        <v>0</v>
      </c>
      <c r="BN35" s="1385">
        <f>SUMIF('5.分产品利润表'!$AP$5:$BA$5,综合表!BM4,'5.分产品利润表'!$AP$11:$BA$11)+SUMIF('5.分产品利润表'!$AP$5:$BA$5,综合表!BM4,'5.分产品利润表'!$AP$13:$BA$13)</f>
        <v>0</v>
      </c>
      <c r="BO35" s="1385">
        <f t="shared" si="267"/>
        <v>0</v>
      </c>
      <c r="BP35" s="1385">
        <f>SUMIF('5.分产品利润表'!$AP$5:$BA$5,综合表!BO4,'5.分产品利润表'!$AP$11:$BA$11)+SUMIF('5.分产品利润表'!$AP$5:$BA$5,综合表!BO4,'5.分产品利润表'!$AP$13:$BA$13)</f>
        <v>0</v>
      </c>
      <c r="BQ35" s="1385">
        <f t="shared" si="268"/>
        <v>0</v>
      </c>
      <c r="BR35" s="1385">
        <f>SUMIF('5.分产品利润表'!$AP$5:$BA$5,综合表!BQ4,'5.分产品利润表'!$AP$11:$BA$11)+SUMIF('5.分产品利润表'!$AP$5:$BA$5,综合表!BQ4,'5.分产品利润表'!$AP$13:$BA$13)</f>
        <v>0</v>
      </c>
      <c r="BS35" s="1385">
        <f t="shared" si="269"/>
        <v>0</v>
      </c>
      <c r="BT35" s="1385">
        <f>SUMIF('5.分产品利润表'!$AP$5:$BA$5,综合表!BS4,'5.分产品利润表'!$AP$11:$BA$11)+SUMIF('5.分产品利润表'!$AP$5:$BA$5,综合表!BS4,'5.分产品利润表'!$AP$13:$BA$13)</f>
        <v>0</v>
      </c>
      <c r="BU35" s="1385">
        <f t="shared" si="270"/>
        <v>0</v>
      </c>
      <c r="BV35" s="1385">
        <f>SUMIF('5.分产品利润表'!$AP$5:$BA$5,综合表!BU4,'5.分产品利润表'!$AP$11:$BA$11)+SUMIF('5.分产品利润表'!$AP$5:$BA$5,综合表!BU4,'5.分产品利润表'!$AP$13:$BA$13)</f>
        <v>0</v>
      </c>
      <c r="BW35" s="1385">
        <f t="shared" si="271"/>
        <v>0</v>
      </c>
      <c r="BX35" s="1385">
        <f>SUMIF('5.分产品利润表'!$AP$5:$BA$5,综合表!BW4,'5.分产品利润表'!$AP$11:$BA$11)+SUMIF('5.分产品利润表'!$AP$5:$BA$5,综合表!BW4,'5.分产品利润表'!$AP$13:$BA$13)</f>
        <v>0</v>
      </c>
      <c r="BY35" s="1385">
        <f t="shared" si="272"/>
        <v>0</v>
      </c>
      <c r="BZ35" s="1385">
        <f>SUMIF('5.分产品利润表'!$AP$5:$BA$5,综合表!BY4,'5.分产品利润表'!$AP$11:$BA$11)+SUMIF('5.分产品利润表'!$AP$5:$BA$5,综合表!BY4,'5.分产品利润表'!$AP$13:$BA$13)</f>
        <v>0</v>
      </c>
      <c r="CA35" s="1385">
        <f t="shared" si="273"/>
        <v>0</v>
      </c>
      <c r="CB35" s="1385">
        <f>SUMIF('5.分产品利润表'!$AP$5:$BA$5,综合表!CA4,'5.分产品利润表'!$AP$11:$BA$11)+SUMIF('5.分产品利润表'!$AP$5:$BA$5,综合表!CA4,'5.分产品利润表'!$AP$13:$BA$13)</f>
        <v>0</v>
      </c>
      <c r="CC35" s="1385">
        <f t="shared" si="274"/>
        <v>0</v>
      </c>
      <c r="CD35" s="1385">
        <f>SUMIF('5.分产品利润表'!$AP$5:$BA$5,综合表!CC4,'5.分产品利润表'!$AP$11:$BA$11)+SUMIF('5.分产品利润表'!$AP$5:$BA$5,综合表!CC4,'5.分产品利润表'!$AP$13:$BA$13)</f>
        <v>0</v>
      </c>
      <c r="CE35" s="1385">
        <f t="shared" si="276"/>
        <v>0</v>
      </c>
      <c r="CF35" s="1385">
        <f>SUMIF('5.分产品利润表'!$AP$5:$BA$5,综合表!CE4,'5.分产品利润表'!$AP$11:$BA$11)+SUMIF('5.分产品利润表'!$AP$5:$BA$5,综合表!CE4,'5.分产品利润表'!$AP$13:$BA$13)</f>
        <v>0</v>
      </c>
      <c r="CG35" s="1385">
        <f t="shared" si="278"/>
        <v>0</v>
      </c>
      <c r="CH35" s="1385">
        <f t="shared" ref="CH35:CH38" si="330">CJ35+CL35+CN35+CP35+CR35+CT35+CV35+CX35+CZ35+DB35+DD35+DF35</f>
        <v>0</v>
      </c>
      <c r="CI35" s="1385">
        <f t="shared" si="280"/>
        <v>0</v>
      </c>
      <c r="CJ35" s="1385">
        <f>SUMIF('5.分产品利润表'!$BC$5:$BN$5,综合表!CI4,'5.分产品利润表'!$BC$11:$BN$11)+SUMIF('5.分产品利润表'!$BC$5:$BN$5,综合表!CI4,'5.分产品利润表'!$BC$13:$BN$13)</f>
        <v>0</v>
      </c>
      <c r="CK35" s="1385">
        <f t="shared" si="282"/>
        <v>0</v>
      </c>
      <c r="CL35" s="1385">
        <f>SUMIF('5.分产品利润表'!$BC$5:$BN$5,综合表!CK4,'5.分产品利润表'!$BC$11:$BN$11)+SUMIF('5.分产品利润表'!$BC$5:$BN$5,综合表!CK4,'5.分产品利润表'!$BC$13:$BN$13)</f>
        <v>0</v>
      </c>
      <c r="CM35" s="1385">
        <f t="shared" si="283"/>
        <v>0</v>
      </c>
      <c r="CN35" s="1385">
        <f>SUMIF('5.分产品利润表'!$BC$5:$BN$5,综合表!CM4,'5.分产品利润表'!$BC$11:$BN$11)+SUMIF('5.分产品利润表'!$BC$5:$BN$5,综合表!CM4,'5.分产品利润表'!$BC$13:$BN$13)</f>
        <v>0</v>
      </c>
      <c r="CO35" s="1385">
        <f t="shared" si="285"/>
        <v>0</v>
      </c>
      <c r="CP35" s="1385">
        <f>SUMIF('5.分产品利润表'!$BC$5:$BN$5,综合表!CO4,'5.分产品利润表'!$BC$11:$BN$11)+SUMIF('5.分产品利润表'!$BC$5:$BN$5,综合表!CO4,'5.分产品利润表'!$BC$13:$BN$13)</f>
        <v>0</v>
      </c>
      <c r="CQ35" s="1385">
        <f t="shared" si="286"/>
        <v>0</v>
      </c>
      <c r="CR35" s="1385">
        <f>SUMIF('5.分产品利润表'!$BC$5:$BN$5,综合表!CQ4,'5.分产品利润表'!$BC$11:$BN$11)+SUMIF('5.分产品利润表'!$BC$5:$BN$5,综合表!CQ4,'5.分产品利润表'!$BC$13:$BN$13)</f>
        <v>0</v>
      </c>
      <c r="CS35" s="1385">
        <f t="shared" si="287"/>
        <v>0</v>
      </c>
      <c r="CT35" s="1385">
        <f>SUMIF('5.分产品利润表'!$BC$5:$BN$5,综合表!CS4,'5.分产品利润表'!$BC$11:$BN$11)+SUMIF('5.分产品利润表'!$BC$5:$BN$5,综合表!CS4,'5.分产品利润表'!$BC$13:$BN$13)</f>
        <v>0</v>
      </c>
      <c r="CU35" s="1385">
        <f t="shared" si="288"/>
        <v>0</v>
      </c>
      <c r="CV35" s="1385">
        <f>SUMIF('5.分产品利润表'!$BC$5:$BN$5,综合表!CU4,'5.分产品利润表'!$BC$11:$BN$11)+SUMIF('5.分产品利润表'!$BC$5:$BN$5,综合表!CU4,'5.分产品利润表'!$BC$13:$BN$13)</f>
        <v>0</v>
      </c>
      <c r="CW35" s="1385">
        <f t="shared" si="289"/>
        <v>0</v>
      </c>
      <c r="CX35" s="1385">
        <f>SUMIF('5.分产品利润表'!$BC$5:$BN$5,综合表!CW4,'5.分产品利润表'!$BC$11:$BN$11)+SUMIF('5.分产品利润表'!$BC$5:$BN$5,综合表!CW4,'5.分产品利润表'!$BC$13:$BN$13)</f>
        <v>0</v>
      </c>
      <c r="CY35" s="1385">
        <f t="shared" si="290"/>
        <v>0</v>
      </c>
      <c r="CZ35" s="1385">
        <f>SUMIF('5.分产品利润表'!$BC$5:$BN$5,综合表!CY4,'5.分产品利润表'!$BC$11:$BN$11)+SUMIF('5.分产品利润表'!$BC$5:$BN$5,综合表!CY4,'5.分产品利润表'!$BC$13:$BN$13)</f>
        <v>0</v>
      </c>
      <c r="DA35" s="1385">
        <f t="shared" si="291"/>
        <v>0</v>
      </c>
      <c r="DB35" s="1385">
        <f>SUMIF('5.分产品利润表'!$BC$5:$BN$5,综合表!DA4,'5.分产品利润表'!$BC$11:$BN$11)+SUMIF('5.分产品利润表'!$BC$5:$BN$5,综合表!DA4,'5.分产品利润表'!$BC$13:$BN$13)</f>
        <v>0</v>
      </c>
      <c r="DC35" s="1385">
        <f t="shared" si="292"/>
        <v>0</v>
      </c>
      <c r="DD35" s="1385">
        <f>SUMIF('5.分产品利润表'!$BC$5:$BN$5,综合表!DC4,'5.分产品利润表'!$BC$11:$BN$11)+SUMIF('5.分产品利润表'!$BC$5:$BN$5,综合表!DC4,'5.分产品利润表'!$BC$13:$BN$13)</f>
        <v>0</v>
      </c>
      <c r="DE35" s="1385">
        <f t="shared" si="294"/>
        <v>0</v>
      </c>
      <c r="DF35" s="1385">
        <f>SUMIF('5.分产品利润表'!$BC$5:$BN$5,综合表!DE4,'5.分产品利润表'!$BC$11:$BN$11)+SUMIF('5.分产品利润表'!$BC$5:$BN$5,综合表!DE4,'5.分产品利润表'!$BC$13:$BN$13)</f>
        <v>0</v>
      </c>
      <c r="DG35" s="1385">
        <f t="shared" si="295"/>
        <v>0</v>
      </c>
      <c r="DH35" s="1385">
        <f t="shared" ref="DH35:DH38" si="331">DJ35+DL35+DN35+DP35+DR35+DT35+DV35+DX35+DZ35+EB35+ED35+EF35</f>
        <v>0</v>
      </c>
      <c r="DI35" s="1385">
        <f t="shared" si="297"/>
        <v>0</v>
      </c>
      <c r="DJ35" s="1385">
        <f>SUMIF('5.分产品利润表'!$BP$5:$CA$5,综合表!DI4,'5.分产品利润表'!$BP$11:$CA$11)+SUMIF('5.分产品利润表'!$BP$5:$CA$5,综合表!DI4,'5.分产品利润表'!$BP$13:$CA$13)</f>
        <v>0</v>
      </c>
      <c r="DK35" s="1385">
        <f t="shared" si="299"/>
        <v>0</v>
      </c>
      <c r="DL35" s="1385">
        <f>SUMIF('5.分产品利润表'!$BP$5:$CA$5,综合表!DK4,'5.分产品利润表'!$BP$11:$CA$11)+SUMIF('5.分产品利润表'!$BP$5:$CA$5,综合表!DK4,'5.分产品利润表'!$BP$13:$CA$13)</f>
        <v>0</v>
      </c>
      <c r="DM35" s="1385">
        <f t="shared" si="300"/>
        <v>0</v>
      </c>
      <c r="DN35" s="1385">
        <f>SUMIF('5.分产品利润表'!$BP$5:$CA$5,综合表!DM4,'5.分产品利润表'!$BP$11:$CA$11)+SUMIF('5.分产品利润表'!$BP$5:$CA$5,综合表!DM4,'5.分产品利润表'!$BP$13:$CA$13)</f>
        <v>0</v>
      </c>
      <c r="DO35" s="1385">
        <f t="shared" si="301"/>
        <v>0</v>
      </c>
      <c r="DP35" s="1385">
        <f>SUMIF('5.分产品利润表'!$BP$5:$CA$5,综合表!DO4,'5.分产品利润表'!$BP$11:$CA$11)+SUMIF('5.分产品利润表'!$BP$5:$CA$5,综合表!DO4,'5.分产品利润表'!$BP$13:$CA$13)</f>
        <v>0</v>
      </c>
      <c r="DQ35" s="1385">
        <f t="shared" si="302"/>
        <v>0</v>
      </c>
      <c r="DR35" s="1385">
        <f>SUMIF('5.分产品利润表'!$BP$5:$CA$5,综合表!DQ4,'5.分产品利润表'!$BP$11:$CA$11)+SUMIF('5.分产品利润表'!$BP$5:$CA$5,综合表!DQ4,'5.分产品利润表'!$BP$13:$CA$13)</f>
        <v>0</v>
      </c>
      <c r="DS35" s="1385">
        <f t="shared" si="303"/>
        <v>0</v>
      </c>
      <c r="DT35" s="1385">
        <f>SUMIF('5.分产品利润表'!$BP$5:$CA$5,综合表!DS4,'5.分产品利润表'!$BP$11:$CA$11)+SUMIF('5.分产品利润表'!$BP$5:$CA$5,综合表!DS4,'5.分产品利润表'!$BP$13:$CA$13)</f>
        <v>0</v>
      </c>
      <c r="DU35" s="1385">
        <f t="shared" si="304"/>
        <v>0</v>
      </c>
      <c r="DV35" s="1385">
        <f>SUMIF('5.分产品利润表'!$BP$5:$CA$5,综合表!DU4,'5.分产品利润表'!$BP$11:$CA$11)+SUMIF('5.分产品利润表'!$BP$5:$CA$5,综合表!DU4,'5.分产品利润表'!$BP$13:$CA$13)</f>
        <v>0</v>
      </c>
      <c r="DW35" s="1385">
        <f t="shared" si="305"/>
        <v>0</v>
      </c>
      <c r="DX35" s="1385">
        <f>SUMIF('5.分产品利润表'!$BP$5:$CA$5,综合表!DW4,'5.分产品利润表'!$BP$11:$CA$11)+SUMIF('5.分产品利润表'!$BP$5:$CA$5,综合表!DW4,'5.分产品利润表'!$BP$13:$CA$13)</f>
        <v>0</v>
      </c>
      <c r="DY35" s="1385">
        <f t="shared" si="306"/>
        <v>0</v>
      </c>
      <c r="DZ35" s="1385">
        <f>SUMIF('5.分产品利润表'!$BP$5:$CA$5,综合表!DY4,'5.分产品利润表'!$BP$11:$CA$11)+SUMIF('5.分产品利润表'!$BP$5:$CA$5,综合表!DY4,'5.分产品利润表'!$BP$13:$CA$13)</f>
        <v>0</v>
      </c>
      <c r="EA35" s="1385">
        <f t="shared" si="307"/>
        <v>0</v>
      </c>
      <c r="EB35" s="1385">
        <f>SUMIF('5.分产品利润表'!$BP$5:$CA$5,综合表!EA4,'5.分产品利润表'!$BP$11:$CA$11)+SUMIF('5.分产品利润表'!$BP$5:$CA$5,综合表!EA4,'5.分产品利润表'!$BP$13:$CA$13)</f>
        <v>0</v>
      </c>
      <c r="EC35" s="1385">
        <f t="shared" si="308"/>
        <v>0</v>
      </c>
      <c r="ED35" s="1385">
        <f>SUMIF('5.分产品利润表'!$BP$5:$CA$5,综合表!EC4,'5.分产品利润表'!$BP$11:$CA$11)+SUMIF('5.分产品利润表'!$BP$5:$CA$5,综合表!EC4,'5.分产品利润表'!$BP$13:$CA$13)</f>
        <v>0</v>
      </c>
      <c r="EE35" s="1385">
        <f t="shared" si="309"/>
        <v>0</v>
      </c>
      <c r="EF35" s="1385">
        <f>SUMIF('5.分产品利润表'!$BP$5:$CA$5,综合表!EE4,'5.分产品利润表'!$BP$11:$CA$11)+SUMIF('5.分产品利润表'!$BP$5:$CA$5,综合表!EE4,'5.分产品利润表'!$BP$13:$CA$13)</f>
        <v>0</v>
      </c>
      <c r="EG35" s="1385">
        <f t="shared" si="310"/>
        <v>0</v>
      </c>
      <c r="EH35" s="1385">
        <f t="shared" ref="EH35:EH38" si="332">EJ35+EL35+EN35+EP35+ER35+ET35+EV35+EX35+EZ35+FB35+FD35+FF35</f>
        <v>0</v>
      </c>
      <c r="EI35" s="1385">
        <f t="shared" si="312"/>
        <v>0</v>
      </c>
      <c r="EJ35" s="1385">
        <f>SUMIF('5.分产品利润表'!$CC$5:$CN$5,综合表!EI4,'5.分产品利润表'!$CC$11:$CN$11)+SUMIF('5.分产品利润表'!$CC$5:$CN$5,综合表!EI4,'5.分产品利润表'!$CC$13:$CN$13)</f>
        <v>0</v>
      </c>
      <c r="EK35" s="1385">
        <f t="shared" si="314"/>
        <v>0</v>
      </c>
      <c r="EL35" s="1385">
        <f>SUMIF('5.分产品利润表'!$CC$5:$CN$5,综合表!EK4,'5.分产品利润表'!$CC$11:$CN$11)+SUMIF('5.分产品利润表'!$CC$5:$CN$5,综合表!EK4,'5.分产品利润表'!$CC$13:$CN$13)</f>
        <v>0</v>
      </c>
      <c r="EM35" s="1385">
        <f t="shared" si="315"/>
        <v>0</v>
      </c>
      <c r="EN35" s="1385">
        <f>SUMIF('5.分产品利润表'!$CC$5:$CN$5,综合表!EM4,'5.分产品利润表'!$CC$11:$CN$11)+SUMIF('5.分产品利润表'!$CC$5:$CN$5,综合表!EM4,'5.分产品利润表'!$CC$13:$CN$13)</f>
        <v>0</v>
      </c>
      <c r="EO35" s="1385">
        <f t="shared" si="316"/>
        <v>0</v>
      </c>
      <c r="EP35" s="1385">
        <f>SUMIF('5.分产品利润表'!$CC$5:$CN$5,综合表!EO4,'5.分产品利润表'!$CC$11:$CN$11)+SUMIF('5.分产品利润表'!$CC$5:$CN$5,综合表!EO4,'5.分产品利润表'!$CC$13:$CN$13)</f>
        <v>0</v>
      </c>
      <c r="EQ35" s="1385">
        <f t="shared" si="317"/>
        <v>0</v>
      </c>
      <c r="ER35" s="1385">
        <f>SUMIF('5.分产品利润表'!$CC$5:$CN$5,综合表!EQ4,'5.分产品利润表'!$CC$11:$CN$11)+SUMIF('5.分产品利润表'!$CC$5:$CN$5,综合表!EQ4,'5.分产品利润表'!$CC$13:$CN$13)</f>
        <v>0</v>
      </c>
      <c r="ES35" s="1385">
        <f t="shared" si="318"/>
        <v>0</v>
      </c>
      <c r="ET35" s="1385">
        <f>SUMIF('5.分产品利润表'!$CC$5:$CN$5,综合表!ES4,'5.分产品利润表'!$CC$11:$CN$11)+SUMIF('5.分产品利润表'!$CC$5:$CN$5,综合表!ES4,'5.分产品利润表'!$CC$13:$CN$13)</f>
        <v>0</v>
      </c>
      <c r="EU35" s="1385">
        <f t="shared" si="319"/>
        <v>0</v>
      </c>
      <c r="EV35" s="1385">
        <f>SUMIF('5.分产品利润表'!$CC$5:$CN$5,综合表!EU4,'5.分产品利润表'!$CC$11:$CN$11)+SUMIF('5.分产品利润表'!$CC$5:$CN$5,综合表!EU4,'5.分产品利润表'!$CC$13:$CN$13)</f>
        <v>0</v>
      </c>
      <c r="EW35" s="1385">
        <f t="shared" si="320"/>
        <v>0</v>
      </c>
      <c r="EX35" s="1385">
        <f>SUMIF('5.分产品利润表'!$CC$5:$CN$5,综合表!EW4,'5.分产品利润表'!$CC$11:$CN$11)+SUMIF('5.分产品利润表'!$CC$5:$CN$5,综合表!EW4,'5.分产品利润表'!$CC$13:$CN$13)</f>
        <v>0</v>
      </c>
      <c r="EY35" s="1385">
        <f t="shared" si="321"/>
        <v>0</v>
      </c>
      <c r="EZ35" s="1385">
        <f>SUMIF('5.分产品利润表'!$CC$5:$CN$5,综合表!EY4,'5.分产品利润表'!$CC$11:$CN$11)+SUMIF('5.分产品利润表'!$CC$5:$CN$5,综合表!EY4,'5.分产品利润表'!$CC$13:$CN$13)</f>
        <v>0</v>
      </c>
      <c r="FA35" s="1385">
        <f t="shared" si="322"/>
        <v>0</v>
      </c>
      <c r="FB35" s="1385">
        <f>SUMIF('5.分产品利润表'!$CC$5:$CN$5,综合表!FA4,'5.分产品利润表'!$CC$11:$CN$11)+SUMIF('5.分产品利润表'!$CC$5:$CN$5,综合表!FA4,'5.分产品利润表'!$CC$13:$CN$13)</f>
        <v>0</v>
      </c>
      <c r="FC35" s="1385">
        <f t="shared" si="323"/>
        <v>0</v>
      </c>
      <c r="FD35" s="1385">
        <f>SUMIF('5.分产品利润表'!$CC$5:$CN$5,综合表!FC4,'5.分产品利润表'!$CC$11:$CN$11)+SUMIF('5.分产品利润表'!$CC$5:$CN$5,综合表!FC4,'5.分产品利润表'!$CC$13:$CN$13)</f>
        <v>0</v>
      </c>
      <c r="FE35" s="1385">
        <f t="shared" si="325"/>
        <v>0</v>
      </c>
      <c r="FF35" s="1385">
        <f>SUMIF('5.分产品利润表'!$CC$5:$CN$5,综合表!FE4,'5.分产品利润表'!$CC$11:$CN$11)+SUMIF('5.分产品利润表'!$CC$5:$CN$5,综合表!FE4,'5.分产品利润表'!$CC$13:$CN$13)</f>
        <v>0</v>
      </c>
    </row>
    <row r="36" spans="1:162" s="1359" customFormat="1" ht="16.5" hidden="1" customHeight="1" outlineLevel="1">
      <c r="A36" s="1788"/>
      <c r="B36" s="1403" t="str">
        <f ca="1">CONCATENATE("10.2土增税","（",ROUND(IFERROR(D36/($D$12)%,0),2),"%）")</f>
        <v>10.2土增税（9.47%）</v>
      </c>
      <c r="C36" s="1383">
        <f t="shared" ca="1" si="225"/>
        <v>1594.098661675054</v>
      </c>
      <c r="D36" s="1378">
        <f t="shared" ca="1" si="326"/>
        <v>9523.1454048467731</v>
      </c>
      <c r="E36" s="1387"/>
      <c r="F36" s="1387"/>
      <c r="G36" s="1385">
        <f t="shared" ca="1" si="226"/>
        <v>1594.098661675054</v>
      </c>
      <c r="H36" s="1385">
        <f t="shared" ca="1" si="327"/>
        <v>9523.1454048467731</v>
      </c>
      <c r="I36" s="1385">
        <f t="shared" ca="1" si="228"/>
        <v>1697.5303751955032</v>
      </c>
      <c r="J36" s="1385">
        <f ca="1">SUMIF('5.分产品利润表'!$P$5:$AA$5,综合表!I4,'5.分产品利润表'!$P$15:$AA$15)</f>
        <v>9523.1454048467731</v>
      </c>
      <c r="K36" s="1385">
        <f t="shared" ca="1" si="230"/>
        <v>0</v>
      </c>
      <c r="L36" s="1385">
        <f ca="1">SUMIF('5.分产品利润表'!$P$5:$AA$5,综合表!K4,'5.分产品利润表'!$P$15:$AA$15)</f>
        <v>0</v>
      </c>
      <c r="M36" s="1385">
        <f t="shared" si="231"/>
        <v>0</v>
      </c>
      <c r="N36" s="1385">
        <f>SUMIF('5.分产品利润表'!$P$5:$AA$5,综合表!M4,'5.分产品利润表'!$P$15:$AA$15)</f>
        <v>0</v>
      </c>
      <c r="O36" s="1385">
        <f t="shared" si="232"/>
        <v>0</v>
      </c>
      <c r="P36" s="1385">
        <v>0</v>
      </c>
      <c r="Q36" s="1385">
        <f t="shared" si="233"/>
        <v>0</v>
      </c>
      <c r="R36" s="1385">
        <f>SUMIF('5.分产品利润表'!$P$5:$AA$5,综合表!Q4,'5.分产品利润表'!$P$15:$AA$15)</f>
        <v>0</v>
      </c>
      <c r="S36" s="1385">
        <f t="shared" si="234"/>
        <v>0</v>
      </c>
      <c r="T36" s="1385">
        <f>SUMIF('5.分产品利润表'!$P$5:$AA$5,综合表!S4,'5.分产品利润表'!$P$15:$AA$15)</f>
        <v>0</v>
      </c>
      <c r="U36" s="1385">
        <f t="shared" si="235"/>
        <v>0</v>
      </c>
      <c r="V36" s="1385">
        <f>SUMIF('5.分产品利润表'!$P$5:$AA$5,综合表!U4,'5.分产品利润表'!$P$15:$AA$15)</f>
        <v>0</v>
      </c>
      <c r="W36" s="1385">
        <f t="shared" si="236"/>
        <v>0</v>
      </c>
      <c r="X36" s="1385">
        <f>SUMIF('5.分产品利润表'!$P$5:$AA$5,综合表!W4,'5.分产品利润表'!$P$15:$AA$15)</f>
        <v>0</v>
      </c>
      <c r="Y36" s="1385">
        <f t="shared" si="237"/>
        <v>0</v>
      </c>
      <c r="Z36" s="1385">
        <f>SUMIF('5.分产品利润表'!$P$5:$AA$5,综合表!Y4,'5.分产品利润表'!$P$15:$AA$15)</f>
        <v>0</v>
      </c>
      <c r="AA36" s="1385">
        <f t="shared" si="238"/>
        <v>0</v>
      </c>
      <c r="AB36" s="1385">
        <f>SUMIF('5.分产品利润表'!$P$5:$AA$5,综合表!AA4,'5.分产品利润表'!$P$15:$AA$15)</f>
        <v>0</v>
      </c>
      <c r="AC36" s="1385">
        <f t="shared" ca="1" si="240"/>
        <v>0</v>
      </c>
      <c r="AD36" s="1385">
        <f ca="1">SUMIF('5.分产品利润表'!$P$5:$AA$5,综合表!AC4,'5.分产品利润表'!$P$15:$AA$15)</f>
        <v>0</v>
      </c>
      <c r="AE36" s="1385">
        <f t="shared" si="242"/>
        <v>0</v>
      </c>
      <c r="AF36" s="1385">
        <f>SUMIF('5.分产品利润表'!$P$5:$AA$5,综合表!AE4,'5.分产品利润表'!$P$15:$AA$15)</f>
        <v>0</v>
      </c>
      <c r="AG36" s="1385">
        <f t="shared" ca="1" si="243"/>
        <v>0</v>
      </c>
      <c r="AH36" s="1385">
        <f t="shared" ca="1" si="328"/>
        <v>0</v>
      </c>
      <c r="AI36" s="1385">
        <f t="shared" ca="1" si="245"/>
        <v>0</v>
      </c>
      <c r="AJ36" s="1385">
        <f ca="1">SUMIF('5.分产品利润表'!$AC$5:$AN$5,综合表!AI4,'5.分产品利润表'!$AC$15:$AN$15)</f>
        <v>0</v>
      </c>
      <c r="AK36" s="1385">
        <f t="shared" ca="1" si="247"/>
        <v>0</v>
      </c>
      <c r="AL36" s="1385">
        <f ca="1">SUMIF('5.分产品利润表'!$AC$5:$AN$5,综合表!AK4,'5.分产品利润表'!$AC$15:$AN$15)</f>
        <v>0</v>
      </c>
      <c r="AM36" s="1385">
        <f t="shared" ca="1" si="248"/>
        <v>0</v>
      </c>
      <c r="AN36" s="1385">
        <f ca="1">SUMIF('5.分产品利润表'!$AC$5:$AN$5,综合表!AM4,'5.分产品利润表'!$AC$15:$AN$15)</f>
        <v>0</v>
      </c>
      <c r="AO36" s="1385">
        <f t="shared" ca="1" si="250"/>
        <v>0</v>
      </c>
      <c r="AP36" s="1385">
        <f ca="1">SUMIF('5.分产品利润表'!$AC$5:$AN$5,综合表!AO4,'5.分产品利润表'!$AC$15:$AN$15)</f>
        <v>0</v>
      </c>
      <c r="AQ36" s="1385">
        <f t="shared" ca="1" si="251"/>
        <v>0</v>
      </c>
      <c r="AR36" s="1385">
        <f ca="1">SUMIF('5.分产品利润表'!$AC$5:$AN$5,综合表!AQ4,'5.分产品利润表'!$AC$15:$AN$15)</f>
        <v>0</v>
      </c>
      <c r="AS36" s="1385">
        <f t="shared" ca="1" si="252"/>
        <v>0</v>
      </c>
      <c r="AT36" s="1385">
        <f ca="1">SUMIF('5.分产品利润表'!$AC$5:$AN$5,综合表!AS4,'5.分产品利润表'!$AC$15:$AN$15)</f>
        <v>0</v>
      </c>
      <c r="AU36" s="1385">
        <f t="shared" ca="1" si="253"/>
        <v>0</v>
      </c>
      <c r="AV36" s="1385">
        <f ca="1">SUMIF('5.分产品利润表'!$AC$5:$AN$5,综合表!AU4,'5.分产品利润表'!$AC$15:$AN$15)</f>
        <v>0</v>
      </c>
      <c r="AW36" s="1385">
        <f t="shared" ca="1" si="254"/>
        <v>0</v>
      </c>
      <c r="AX36" s="1385">
        <f ca="1">SUMIF('5.分产品利润表'!$AC$5:$AN$5,综合表!AW4,'5.分产品利润表'!$AC$15:$AN$15)</f>
        <v>0</v>
      </c>
      <c r="AY36" s="1385">
        <f t="shared" ca="1" si="255"/>
        <v>0</v>
      </c>
      <c r="AZ36" s="1385">
        <f ca="1">SUMIF('5.分产品利润表'!$AC$5:$AN$5,综合表!AY4,'5.分产品利润表'!$AC$15:$AN$15)</f>
        <v>0</v>
      </c>
      <c r="BA36" s="1385">
        <f t="shared" si="256"/>
        <v>0</v>
      </c>
      <c r="BB36" s="1385">
        <f>SUMIF('5.分产品利润表'!$AC$5:$AN$5,综合表!BA4,'5.分产品利润表'!$AC$15:$AN$15)</f>
        <v>0</v>
      </c>
      <c r="BC36" s="1385">
        <f t="shared" ca="1" si="257"/>
        <v>0</v>
      </c>
      <c r="BD36" s="1385">
        <f ca="1">SUMIF('5.分产品利润表'!$AC$5:$AN$5,综合表!BC4,'5.分产品利润表'!$AC$15:$AN$15)</f>
        <v>0</v>
      </c>
      <c r="BE36" s="1385">
        <f t="shared" ca="1" si="258"/>
        <v>0</v>
      </c>
      <c r="BF36" s="1385">
        <f ca="1">SUMIF('5.分产品利润表'!$AC$5:$AN$5,综合表!BE4,'5.分产品利润表'!$AC$15:$AN$15)</f>
        <v>0</v>
      </c>
      <c r="BG36" s="1385">
        <f t="shared" ca="1" si="260"/>
        <v>0</v>
      </c>
      <c r="BH36" s="1385">
        <f t="shared" ca="1" si="329"/>
        <v>0</v>
      </c>
      <c r="BI36" s="1385">
        <f t="shared" ca="1" si="262"/>
        <v>0</v>
      </c>
      <c r="BJ36" s="1385">
        <f ca="1">SUMIF('5.分产品利润表'!$AP$5:$BA$5,综合表!BI4,'5.分产品利润表'!$AP$15:$BA$15)</f>
        <v>0</v>
      </c>
      <c r="BK36" s="1385">
        <f t="shared" ca="1" si="264"/>
        <v>0</v>
      </c>
      <c r="BL36" s="1385">
        <f ca="1">SUMIF('5.分产品利润表'!$AP$5:$BA$5,综合表!BK4,'5.分产品利润表'!$AP$15:$BA$15)</f>
        <v>0</v>
      </c>
      <c r="BM36" s="1385">
        <f t="shared" ca="1" si="265"/>
        <v>0</v>
      </c>
      <c r="BN36" s="1385">
        <f ca="1">SUMIF('5.分产品利润表'!$AP$5:$BA$5,综合表!BM4,'5.分产品利润表'!$AP$15:$BA$15)</f>
        <v>0</v>
      </c>
      <c r="BO36" s="1385">
        <f t="shared" ca="1" si="267"/>
        <v>0</v>
      </c>
      <c r="BP36" s="1385">
        <f ca="1">SUMIF('5.分产品利润表'!$AP$5:$BA$5,综合表!BO4,'5.分产品利润表'!$AP$15:$BA$15)</f>
        <v>0</v>
      </c>
      <c r="BQ36" s="1385">
        <f t="shared" ca="1" si="268"/>
        <v>0</v>
      </c>
      <c r="BR36" s="1385">
        <f ca="1">SUMIF('5.分产品利润表'!$AP$5:$BA$5,综合表!BQ4,'5.分产品利润表'!$AP$15:$BA$15)</f>
        <v>0</v>
      </c>
      <c r="BS36" s="1385">
        <f t="shared" ca="1" si="269"/>
        <v>0</v>
      </c>
      <c r="BT36" s="1385">
        <f ca="1">SUMIF('5.分产品利润表'!$AP$5:$BA$5,综合表!BS4,'5.分产品利润表'!$AP$15:$BA$15)</f>
        <v>0</v>
      </c>
      <c r="BU36" s="1385">
        <f t="shared" ca="1" si="270"/>
        <v>0</v>
      </c>
      <c r="BV36" s="1385">
        <f ca="1">SUMIF('5.分产品利润表'!$AP$5:$BA$5,综合表!BU4,'5.分产品利润表'!$AP$15:$BA$15)</f>
        <v>0</v>
      </c>
      <c r="BW36" s="1385">
        <f t="shared" ca="1" si="271"/>
        <v>0</v>
      </c>
      <c r="BX36" s="1385">
        <f ca="1">SUMIF('5.分产品利润表'!$AP$5:$BA$5,综合表!BW4,'5.分产品利润表'!$AP$15:$BA$15)</f>
        <v>0</v>
      </c>
      <c r="BY36" s="1385">
        <f t="shared" ca="1" si="272"/>
        <v>0</v>
      </c>
      <c r="BZ36" s="1385">
        <f ca="1">SUMIF('5.分产品利润表'!$AP$5:$BA$5,综合表!BY4,'5.分产品利润表'!$AP$15:$BA$15)</f>
        <v>0</v>
      </c>
      <c r="CA36" s="1385">
        <f t="shared" si="273"/>
        <v>0</v>
      </c>
      <c r="CB36" s="1385">
        <f>SUMIF('5.分产品利润表'!$AP$5:$BA$5,综合表!CA4,'5.分产品利润表'!$AP$15:$BA$15)</f>
        <v>0</v>
      </c>
      <c r="CC36" s="1385">
        <f t="shared" ca="1" si="274"/>
        <v>0</v>
      </c>
      <c r="CD36" s="1385">
        <f ca="1">SUMIF('5.分产品利润表'!$AP$5:$BA$5,综合表!CC4,'5.分产品利润表'!$AP$15:$BA$15)</f>
        <v>0</v>
      </c>
      <c r="CE36" s="1385">
        <f t="shared" ca="1" si="276"/>
        <v>0</v>
      </c>
      <c r="CF36" s="1385">
        <f ca="1">SUMIF('5.分产品利润表'!$AP$5:$BA$5,综合表!CE4,'5.分产品利润表'!$AP$15:$BA$15)</f>
        <v>0</v>
      </c>
      <c r="CG36" s="1385">
        <f t="shared" ca="1" si="278"/>
        <v>0</v>
      </c>
      <c r="CH36" s="1385">
        <f t="shared" ca="1" si="330"/>
        <v>0</v>
      </c>
      <c r="CI36" s="1385">
        <f t="shared" ca="1" si="280"/>
        <v>0</v>
      </c>
      <c r="CJ36" s="1385">
        <f ca="1">SUMIF('5.分产品利润表'!$BC$5:$BN$5,综合表!CI4,'5.分产品利润表'!$BC$15:$BN$15)</f>
        <v>0</v>
      </c>
      <c r="CK36" s="1385">
        <f t="shared" ca="1" si="282"/>
        <v>0</v>
      </c>
      <c r="CL36" s="1385">
        <f ca="1">SUMIF('5.分产品利润表'!$BC$5:$BN$5,综合表!CK4,'5.分产品利润表'!$BC$15:$BN$15)</f>
        <v>0</v>
      </c>
      <c r="CM36" s="1385">
        <f t="shared" ca="1" si="283"/>
        <v>0</v>
      </c>
      <c r="CN36" s="1385">
        <f ca="1">SUMIF('5.分产品利润表'!$BC$5:$BN$5,综合表!CM4,'5.分产品利润表'!$BC$15:$BN$15)</f>
        <v>0</v>
      </c>
      <c r="CO36" s="1385">
        <f t="shared" ca="1" si="285"/>
        <v>0</v>
      </c>
      <c r="CP36" s="1385">
        <f ca="1">SUMIF('5.分产品利润表'!$BC$5:$BN$5,综合表!CO4,'5.分产品利润表'!$BC$15:$BN$15)</f>
        <v>0</v>
      </c>
      <c r="CQ36" s="1385">
        <f t="shared" ca="1" si="286"/>
        <v>0</v>
      </c>
      <c r="CR36" s="1385">
        <f ca="1">SUMIF('5.分产品利润表'!$BC$5:$BN$5,综合表!CQ4,'5.分产品利润表'!$BC$15:$BN$15)</f>
        <v>0</v>
      </c>
      <c r="CS36" s="1385">
        <f t="shared" ca="1" si="287"/>
        <v>0</v>
      </c>
      <c r="CT36" s="1385">
        <f ca="1">SUMIF('5.分产品利润表'!$BC$5:$BN$5,综合表!CS4,'5.分产品利润表'!$BC$15:$BN$15)</f>
        <v>0</v>
      </c>
      <c r="CU36" s="1385">
        <f t="shared" ca="1" si="288"/>
        <v>0</v>
      </c>
      <c r="CV36" s="1385">
        <f ca="1">SUMIF('5.分产品利润表'!$BC$5:$BN$5,综合表!CU4,'5.分产品利润表'!$BC$15:$BN$15)</f>
        <v>0</v>
      </c>
      <c r="CW36" s="1385">
        <f t="shared" ca="1" si="289"/>
        <v>0</v>
      </c>
      <c r="CX36" s="1385">
        <f ca="1">SUMIF('5.分产品利润表'!$BC$5:$BN$5,综合表!CW4,'5.分产品利润表'!$BC$15:$BN$15)</f>
        <v>0</v>
      </c>
      <c r="CY36" s="1385">
        <f t="shared" ca="1" si="290"/>
        <v>0</v>
      </c>
      <c r="CZ36" s="1385">
        <f ca="1">SUMIF('5.分产品利润表'!$BC$5:$BN$5,综合表!CY4,'5.分产品利润表'!$BC$15:$BN$15)</f>
        <v>0</v>
      </c>
      <c r="DA36" s="1385">
        <f t="shared" si="291"/>
        <v>0</v>
      </c>
      <c r="DB36" s="1385">
        <f>SUMIF('5.分产品利润表'!$BC$5:$BN$5,综合表!DA4,'5.分产品利润表'!$BC$15:$BN$15)</f>
        <v>0</v>
      </c>
      <c r="DC36" s="1385">
        <f t="shared" ca="1" si="292"/>
        <v>0</v>
      </c>
      <c r="DD36" s="1385">
        <f ca="1">SUMIF('5.分产品利润表'!$BC$5:$BN$5,综合表!DC4,'5.分产品利润表'!$BC$15:$BN$15)</f>
        <v>0</v>
      </c>
      <c r="DE36" s="1385">
        <f t="shared" ca="1" si="294"/>
        <v>0</v>
      </c>
      <c r="DF36" s="1385">
        <f ca="1">SUMIF('5.分产品利润表'!$BC$5:$BN$5,综合表!DE4,'5.分产品利润表'!$BC$15:$BN$15)</f>
        <v>0</v>
      </c>
      <c r="DG36" s="1385">
        <f t="shared" ca="1" si="295"/>
        <v>0</v>
      </c>
      <c r="DH36" s="1385">
        <f t="shared" ca="1" si="331"/>
        <v>0</v>
      </c>
      <c r="DI36" s="1385">
        <f t="shared" ca="1" si="297"/>
        <v>0</v>
      </c>
      <c r="DJ36" s="1385">
        <f ca="1">SUMIF('5.分产品利润表'!$BP$5:$CA$5,综合表!DI4,'5.分产品利润表'!$BP$15:$CA$15)</f>
        <v>0</v>
      </c>
      <c r="DK36" s="1385">
        <f t="shared" ca="1" si="299"/>
        <v>0</v>
      </c>
      <c r="DL36" s="1385">
        <f ca="1">SUMIF('5.分产品利润表'!$BP$5:$CA$5,综合表!DK4,'5.分产品利润表'!$BP$15:$CA$15)</f>
        <v>0</v>
      </c>
      <c r="DM36" s="1385">
        <f t="shared" ca="1" si="300"/>
        <v>0</v>
      </c>
      <c r="DN36" s="1385">
        <f ca="1">SUMIF('5.分产品利润表'!$BP$5:$CA$5,综合表!DM4,'5.分产品利润表'!$BP$15:$CA$15)</f>
        <v>0</v>
      </c>
      <c r="DO36" s="1385">
        <f t="shared" ca="1" si="301"/>
        <v>0</v>
      </c>
      <c r="DP36" s="1385">
        <f ca="1">SUMIF('5.分产品利润表'!$BP$5:$CA$5,综合表!DO4,'5.分产品利润表'!$BP$15:$CA$15)</f>
        <v>0</v>
      </c>
      <c r="DQ36" s="1385">
        <f t="shared" ca="1" si="302"/>
        <v>0</v>
      </c>
      <c r="DR36" s="1385">
        <f ca="1">SUMIF('5.分产品利润表'!$BP$5:$CA$5,综合表!DQ4,'5.分产品利润表'!$BP$15:$CA$15)</f>
        <v>0</v>
      </c>
      <c r="DS36" s="1385">
        <f t="shared" ca="1" si="303"/>
        <v>0</v>
      </c>
      <c r="DT36" s="1385">
        <f ca="1">SUMIF('5.分产品利润表'!$BP$5:$CA$5,综合表!DS4,'5.分产品利润表'!$BP$15:$CA$15)</f>
        <v>0</v>
      </c>
      <c r="DU36" s="1385">
        <f t="shared" ca="1" si="304"/>
        <v>0</v>
      </c>
      <c r="DV36" s="1385">
        <f ca="1">SUMIF('5.分产品利润表'!$BP$5:$CA$5,综合表!DU4,'5.分产品利润表'!$BP$15:$CA$15)</f>
        <v>0</v>
      </c>
      <c r="DW36" s="1385">
        <f t="shared" ca="1" si="305"/>
        <v>0</v>
      </c>
      <c r="DX36" s="1385">
        <f ca="1">SUMIF('5.分产品利润表'!$BP$5:$CA$5,综合表!DW4,'5.分产品利润表'!$BP$15:$CA$15)</f>
        <v>0</v>
      </c>
      <c r="DY36" s="1385">
        <f t="shared" ca="1" si="306"/>
        <v>0</v>
      </c>
      <c r="DZ36" s="1385">
        <f ca="1">SUMIF('5.分产品利润表'!$BP$5:$CA$5,综合表!DY4,'5.分产品利润表'!$BP$15:$CA$15)</f>
        <v>0</v>
      </c>
      <c r="EA36" s="1385">
        <f t="shared" si="307"/>
        <v>0</v>
      </c>
      <c r="EB36" s="1385">
        <f>SUMIF('5.分产品利润表'!$BP$5:$CA$5,综合表!EA4,'5.分产品利润表'!$BP$15:$CA$15)</f>
        <v>0</v>
      </c>
      <c r="EC36" s="1385">
        <f t="shared" ca="1" si="308"/>
        <v>0</v>
      </c>
      <c r="ED36" s="1385">
        <f ca="1">SUMIF('5.分产品利润表'!$BP$5:$CA$5,综合表!EC4,'5.分产品利润表'!$BP$15:$CA$15)</f>
        <v>0</v>
      </c>
      <c r="EE36" s="1385">
        <f t="shared" ca="1" si="309"/>
        <v>0</v>
      </c>
      <c r="EF36" s="1385">
        <f ca="1">SUMIF('5.分产品利润表'!$BP$5:$CA$5,综合表!EE4,'5.分产品利润表'!$BP$15:$CA$15)</f>
        <v>0</v>
      </c>
      <c r="EG36" s="1385">
        <f t="shared" ca="1" si="310"/>
        <v>0</v>
      </c>
      <c r="EH36" s="1385">
        <f t="shared" ca="1" si="332"/>
        <v>0</v>
      </c>
      <c r="EI36" s="1385">
        <f t="shared" ca="1" si="312"/>
        <v>0</v>
      </c>
      <c r="EJ36" s="1385">
        <f ca="1">SUMIF('5.分产品利润表'!$CC$5:$CN$5,综合表!EI4,'5.分产品利润表'!$CC$15:$CN$15)</f>
        <v>0</v>
      </c>
      <c r="EK36" s="1385">
        <f t="shared" ca="1" si="314"/>
        <v>0</v>
      </c>
      <c r="EL36" s="1385">
        <f ca="1">SUMIF('5.分产品利润表'!$CC$5:$CN$5,综合表!EK4,'5.分产品利润表'!$CC$15:$CN$15)</f>
        <v>0</v>
      </c>
      <c r="EM36" s="1385">
        <f t="shared" ca="1" si="315"/>
        <v>0</v>
      </c>
      <c r="EN36" s="1385">
        <f ca="1">SUMIF('5.分产品利润表'!$CC$5:$CN$5,综合表!EM4,'5.分产品利润表'!$CC$15:$CN$15)</f>
        <v>0</v>
      </c>
      <c r="EO36" s="1385">
        <f t="shared" ca="1" si="316"/>
        <v>0</v>
      </c>
      <c r="EP36" s="1385">
        <f ca="1">SUMIF('5.分产品利润表'!$CC$5:$CN$5,综合表!EO4,'5.分产品利润表'!$CC$15:$CN$15)</f>
        <v>0</v>
      </c>
      <c r="EQ36" s="1385">
        <f t="shared" ca="1" si="317"/>
        <v>0</v>
      </c>
      <c r="ER36" s="1385">
        <f ca="1">SUMIF('5.分产品利润表'!$CC$5:$CN$5,综合表!EQ4,'5.分产品利润表'!$CC$15:$CN$15)</f>
        <v>0</v>
      </c>
      <c r="ES36" s="1385">
        <f t="shared" ca="1" si="318"/>
        <v>0</v>
      </c>
      <c r="ET36" s="1385">
        <f ca="1">SUMIF('5.分产品利润表'!$CC$5:$CN$5,综合表!ES4,'5.分产品利润表'!$CC$15:$CN$15)</f>
        <v>0</v>
      </c>
      <c r="EU36" s="1385">
        <f t="shared" ca="1" si="319"/>
        <v>0</v>
      </c>
      <c r="EV36" s="1385">
        <f ca="1">SUMIF('5.分产品利润表'!$CC$5:$CN$5,综合表!EU4,'5.分产品利润表'!$CC$15:$CN$15)</f>
        <v>0</v>
      </c>
      <c r="EW36" s="1385">
        <f t="shared" ca="1" si="320"/>
        <v>0</v>
      </c>
      <c r="EX36" s="1385">
        <f ca="1">SUMIF('5.分产品利润表'!$CC$5:$CN$5,综合表!EW4,'5.分产品利润表'!$CC$15:$CN$15)</f>
        <v>0</v>
      </c>
      <c r="EY36" s="1385">
        <f t="shared" ca="1" si="321"/>
        <v>0</v>
      </c>
      <c r="EZ36" s="1385">
        <f ca="1">SUMIF('5.分产品利润表'!$CC$5:$CN$5,综合表!EY4,'5.分产品利润表'!$CC$15:$CN$15)</f>
        <v>0</v>
      </c>
      <c r="FA36" s="1385">
        <f t="shared" si="322"/>
        <v>0</v>
      </c>
      <c r="FB36" s="1385">
        <f>SUMIF('5.分产品利润表'!$CC$5:$CN$5,综合表!FA4,'5.分产品利润表'!$CC$15:$CN$15)</f>
        <v>0</v>
      </c>
      <c r="FC36" s="1385">
        <f t="shared" ca="1" si="323"/>
        <v>0</v>
      </c>
      <c r="FD36" s="1385">
        <f ca="1">SUMIF('5.分产品利润表'!$CC$5:$CN$5,综合表!FC4,'5.分产品利润表'!$CC$15:$CN$15)</f>
        <v>0</v>
      </c>
      <c r="FE36" s="1385">
        <f t="shared" ca="1" si="325"/>
        <v>0</v>
      </c>
      <c r="FF36" s="1385">
        <f ca="1">SUMIF('5.分产品利润表'!$CC$5:$CN$5,综合表!FE4,'5.分产品利润表'!$CC$15:$CN$15)</f>
        <v>0</v>
      </c>
    </row>
    <row r="37" spans="1:162" s="1359" customFormat="1" ht="16.5" hidden="1" customHeight="1" outlineLevel="1">
      <c r="A37" s="1788"/>
      <c r="B37" s="1403" t="str">
        <f ca="1">CONCATENATE("10.3所得税","（",ROUND(IFERROR(D37/($D$12)%,0),2),"%）")</f>
        <v>10.3所得税（7.04%）</v>
      </c>
      <c r="C37" s="1383">
        <f t="shared" ca="1" si="225"/>
        <v>1184.9046637434119</v>
      </c>
      <c r="D37" s="1378">
        <f t="shared" ca="1" si="326"/>
        <v>7078.6204612031433</v>
      </c>
      <c r="E37" s="1387"/>
      <c r="F37" s="1387"/>
      <c r="G37" s="1385">
        <f t="shared" ca="1" si="226"/>
        <v>1184.9046637434119</v>
      </c>
      <c r="H37" s="1385">
        <f t="shared" ca="1" si="327"/>
        <v>7078.6204612031433</v>
      </c>
      <c r="I37" s="1385">
        <f t="shared" ca="1" si="228"/>
        <v>1217.8185283260304</v>
      </c>
      <c r="J37" s="1385">
        <f ca="1">SUMIF('5.分产品利润表'!$P$5:$AA$5,综合表!I4,'5.分产品利润表'!$P$19:$AA$19)</f>
        <v>6831.9619439090311</v>
      </c>
      <c r="K37" s="1385">
        <f t="shared" ca="1" si="230"/>
        <v>-915.42493925107215</v>
      </c>
      <c r="L37" s="1385">
        <f ca="1">SUMIF('5.分产品利润表'!$P$5:$AA$5,综合表!K4,'5.分产品利润表'!$P$19:$AA$19)</f>
        <v>-333.21467788739028</v>
      </c>
      <c r="M37" s="1385">
        <f t="shared" ca="1" si="231"/>
        <v>0</v>
      </c>
      <c r="N37" s="1385">
        <f ca="1">SUMIF('5.分产品利润表'!$P$5:$AA$5,综合表!M4,'5.分产品利润表'!$P$19:$AA$19)</f>
        <v>0</v>
      </c>
      <c r="O37" s="1385">
        <f t="shared" si="232"/>
        <v>0</v>
      </c>
      <c r="P37" s="1385">
        <v>0</v>
      </c>
      <c r="Q37" s="1385">
        <f t="shared" ca="1" si="233"/>
        <v>0</v>
      </c>
      <c r="R37" s="1385">
        <f ca="1">SUMIF('5.分产品利润表'!$P$5:$AA$5,综合表!Q4,'5.分产品利润表'!$P$19:$AA$19)</f>
        <v>0</v>
      </c>
      <c r="S37" s="1385">
        <f t="shared" ca="1" si="234"/>
        <v>0</v>
      </c>
      <c r="T37" s="1385">
        <f ca="1">SUMIF('5.分产品利润表'!$P$5:$AA$5,综合表!S4,'5.分产品利润表'!$P$19:$AA$19)</f>
        <v>0</v>
      </c>
      <c r="U37" s="1385">
        <f t="shared" ca="1" si="235"/>
        <v>0</v>
      </c>
      <c r="V37" s="1385">
        <f ca="1">SUMIF('5.分产品利润表'!$P$5:$AA$5,综合表!U4,'5.分产品利润表'!$P$19:$AA$19)</f>
        <v>0</v>
      </c>
      <c r="W37" s="1385">
        <f t="shared" ca="1" si="236"/>
        <v>0</v>
      </c>
      <c r="X37" s="1385">
        <f ca="1">SUMIF('5.分产品利润表'!$P$5:$AA$5,综合表!W4,'5.分产品利润表'!$P$19:$AA$19)</f>
        <v>0</v>
      </c>
      <c r="Y37" s="1385">
        <f t="shared" ca="1" si="237"/>
        <v>0</v>
      </c>
      <c r="Z37" s="1385">
        <f ca="1">SUMIF('5.分产品利润表'!$P$5:$AA$5,综合表!Y4,'5.分产品利润表'!$P$19:$AA$19)</f>
        <v>0</v>
      </c>
      <c r="AA37" s="1385">
        <f t="shared" si="238"/>
        <v>0</v>
      </c>
      <c r="AB37" s="1385">
        <f>SUMIF('5.分产品利润表'!$P$5:$AA$5,综合表!AA4,'5.分产品利润表'!$P$19:$AA$19)</f>
        <v>0</v>
      </c>
      <c r="AC37" s="1385">
        <f t="shared" ca="1" si="240"/>
        <v>13741.070975864997</v>
      </c>
      <c r="AD37" s="1385">
        <f ca="1">SUMIF('5.分产品利润表'!$P$5:$AA$5,综合表!AC4,'5.分产品利润表'!$P$19:$AA$19)</f>
        <v>579.87319518150287</v>
      </c>
      <c r="AE37" s="1385">
        <f t="shared" ca="1" si="242"/>
        <v>0</v>
      </c>
      <c r="AF37" s="1385">
        <f ca="1">SUMIF('5.分产品利润表'!$P$5:$AA$5,综合表!AE4,'5.分产品利润表'!$P$19:$AA$19)</f>
        <v>0</v>
      </c>
      <c r="AG37" s="1385">
        <f t="shared" ca="1" si="243"/>
        <v>0</v>
      </c>
      <c r="AH37" s="1385">
        <f t="shared" ca="1" si="328"/>
        <v>0</v>
      </c>
      <c r="AI37" s="1385">
        <f t="shared" ca="1" si="245"/>
        <v>0</v>
      </c>
      <c r="AJ37" s="1385">
        <f ca="1">SUMIF('5.分产品利润表'!$AC$5:$AN$5,综合表!AI4,'5.分产品利润表'!$AC$19:$AN$19)</f>
        <v>0</v>
      </c>
      <c r="AK37" s="1385">
        <f t="shared" ca="1" si="247"/>
        <v>0</v>
      </c>
      <c r="AL37" s="1385">
        <f ca="1">SUMIF('5.分产品利润表'!$AC$5:$AN$5,综合表!AK4,'5.分产品利润表'!$AC$19:$AN$19)</f>
        <v>0</v>
      </c>
      <c r="AM37" s="1385">
        <f t="shared" ca="1" si="248"/>
        <v>0</v>
      </c>
      <c r="AN37" s="1385">
        <f ca="1">SUMIF('5.分产品利润表'!$AC$5:$AN$5,综合表!AM4,'5.分产品利润表'!$AC$19:$AN$19)</f>
        <v>0</v>
      </c>
      <c r="AO37" s="1385">
        <f t="shared" ca="1" si="250"/>
        <v>0</v>
      </c>
      <c r="AP37" s="1385">
        <f ca="1">SUMIF('5.分产品利润表'!$AC$5:$AN$5,综合表!AO4,'5.分产品利润表'!$AC$19:$AN$19)</f>
        <v>0</v>
      </c>
      <c r="AQ37" s="1385">
        <f t="shared" ca="1" si="251"/>
        <v>0</v>
      </c>
      <c r="AR37" s="1385">
        <f ca="1">SUMIF('5.分产品利润表'!$AC$5:$AN$5,综合表!AQ4,'5.分产品利润表'!$AC$19:$AN$19)</f>
        <v>0</v>
      </c>
      <c r="AS37" s="1385">
        <f t="shared" ca="1" si="252"/>
        <v>0</v>
      </c>
      <c r="AT37" s="1385">
        <f ca="1">SUMIF('5.分产品利润表'!$AC$5:$AN$5,综合表!AS4,'5.分产品利润表'!$AC$19:$AN$19)</f>
        <v>0</v>
      </c>
      <c r="AU37" s="1385">
        <f t="shared" ca="1" si="253"/>
        <v>0</v>
      </c>
      <c r="AV37" s="1385">
        <f ca="1">SUMIF('5.分产品利润表'!$AC$5:$AN$5,综合表!AU4,'5.分产品利润表'!$AC$19:$AN$19)</f>
        <v>0</v>
      </c>
      <c r="AW37" s="1385">
        <f t="shared" ca="1" si="254"/>
        <v>0</v>
      </c>
      <c r="AX37" s="1385">
        <f ca="1">SUMIF('5.分产品利润表'!$AC$5:$AN$5,综合表!AW4,'5.分产品利润表'!$AC$19:$AN$19)</f>
        <v>0</v>
      </c>
      <c r="AY37" s="1385">
        <f t="shared" ca="1" si="255"/>
        <v>0</v>
      </c>
      <c r="AZ37" s="1385">
        <f ca="1">SUMIF('5.分产品利润表'!$AC$5:$AN$5,综合表!AY4,'5.分产品利润表'!$AC$19:$AN$19)</f>
        <v>0</v>
      </c>
      <c r="BA37" s="1385">
        <f t="shared" si="256"/>
        <v>0</v>
      </c>
      <c r="BB37" s="1385">
        <f>SUMIF('5.分产品利润表'!$AC$5:$AN$5,综合表!BA4,'5.分产品利润表'!$AC$19:$AN$19)</f>
        <v>0</v>
      </c>
      <c r="BC37" s="1385">
        <f t="shared" ca="1" si="257"/>
        <v>0</v>
      </c>
      <c r="BD37" s="1385">
        <f ca="1">SUMIF('5.分产品利润表'!$AC$5:$AN$5,综合表!BC4,'5.分产品利润表'!$AC$19:$AN$19)</f>
        <v>0</v>
      </c>
      <c r="BE37" s="1385">
        <f t="shared" ca="1" si="258"/>
        <v>0</v>
      </c>
      <c r="BF37" s="1385">
        <f ca="1">SUMIF('5.分产品利润表'!$AC$5:$AN$5,综合表!BE4,'5.分产品利润表'!$AC$19:$AN$19)</f>
        <v>0</v>
      </c>
      <c r="BG37" s="1385">
        <f t="shared" ca="1" si="260"/>
        <v>0</v>
      </c>
      <c r="BH37" s="1385">
        <f t="shared" ca="1" si="329"/>
        <v>0</v>
      </c>
      <c r="BI37" s="1385">
        <f t="shared" ca="1" si="262"/>
        <v>0</v>
      </c>
      <c r="BJ37" s="1385">
        <f ca="1">SUMIF('5.分产品利润表'!$AP$5:$BA$5,综合表!BI4,'5.分产品利润表'!$AP$19:$BA$19)</f>
        <v>0</v>
      </c>
      <c r="BK37" s="1385">
        <f t="shared" ca="1" si="264"/>
        <v>0</v>
      </c>
      <c r="BL37" s="1385">
        <f ca="1">SUMIF('5.分产品利润表'!$AP$5:$BA$5,综合表!BK4,'5.分产品利润表'!$AP$19:$BA$19)</f>
        <v>0</v>
      </c>
      <c r="BM37" s="1385">
        <f t="shared" ca="1" si="265"/>
        <v>0</v>
      </c>
      <c r="BN37" s="1385">
        <f ca="1">SUMIF('5.分产品利润表'!$AP$5:$BA$5,综合表!BM4,'5.分产品利润表'!$AP$19:$BA$19)</f>
        <v>0</v>
      </c>
      <c r="BO37" s="1385">
        <f t="shared" ca="1" si="267"/>
        <v>0</v>
      </c>
      <c r="BP37" s="1385">
        <f ca="1">SUMIF('5.分产品利润表'!$AP$5:$BA$5,综合表!BO4,'5.分产品利润表'!$AP$19:$BA$19)</f>
        <v>0</v>
      </c>
      <c r="BQ37" s="1385">
        <f t="shared" ca="1" si="268"/>
        <v>0</v>
      </c>
      <c r="BR37" s="1385">
        <f ca="1">SUMIF('5.分产品利润表'!$AP$5:$BA$5,综合表!BQ4,'5.分产品利润表'!$AP$19:$BA$19)</f>
        <v>0</v>
      </c>
      <c r="BS37" s="1385">
        <f t="shared" ca="1" si="269"/>
        <v>0</v>
      </c>
      <c r="BT37" s="1385">
        <f ca="1">SUMIF('5.分产品利润表'!$AP$5:$BA$5,综合表!BS4,'5.分产品利润表'!$AP$19:$BA$19)</f>
        <v>0</v>
      </c>
      <c r="BU37" s="1385">
        <f t="shared" ca="1" si="270"/>
        <v>0</v>
      </c>
      <c r="BV37" s="1385">
        <f ca="1">SUMIF('5.分产品利润表'!$AP$5:$BA$5,综合表!BU4,'5.分产品利润表'!$AP$19:$BA$19)</f>
        <v>0</v>
      </c>
      <c r="BW37" s="1385">
        <f t="shared" ca="1" si="271"/>
        <v>0</v>
      </c>
      <c r="BX37" s="1385">
        <f ca="1">SUMIF('5.分产品利润表'!$AP$5:$BA$5,综合表!BW4,'5.分产品利润表'!$AP$19:$BA$19)</f>
        <v>0</v>
      </c>
      <c r="BY37" s="1385">
        <f t="shared" ca="1" si="272"/>
        <v>0</v>
      </c>
      <c r="BZ37" s="1385">
        <f ca="1">SUMIF('5.分产品利润表'!$AP$5:$BA$5,综合表!BY4,'5.分产品利润表'!$AP$19:$BA$19)</f>
        <v>0</v>
      </c>
      <c r="CA37" s="1385">
        <f t="shared" si="273"/>
        <v>0</v>
      </c>
      <c r="CB37" s="1385">
        <f>SUMIF('5.分产品利润表'!$AP$5:$BA$5,综合表!CA4,'5.分产品利润表'!$AP$19:$BA$19)</f>
        <v>0</v>
      </c>
      <c r="CC37" s="1385">
        <f t="shared" ca="1" si="274"/>
        <v>0</v>
      </c>
      <c r="CD37" s="1385">
        <f ca="1">SUMIF('5.分产品利润表'!$AP$5:$BA$5,综合表!CC4,'5.分产品利润表'!$AP$19:$BA$19)</f>
        <v>0</v>
      </c>
      <c r="CE37" s="1385">
        <f t="shared" ca="1" si="276"/>
        <v>0</v>
      </c>
      <c r="CF37" s="1385">
        <f ca="1">SUMIF('5.分产品利润表'!$AP$5:$BA$5,综合表!CE4,'5.分产品利润表'!$AP$19:$BA$19)</f>
        <v>0</v>
      </c>
      <c r="CG37" s="1385">
        <f t="shared" ca="1" si="278"/>
        <v>0</v>
      </c>
      <c r="CH37" s="1385">
        <f t="shared" ca="1" si="330"/>
        <v>0</v>
      </c>
      <c r="CI37" s="1385">
        <f t="shared" ca="1" si="280"/>
        <v>0</v>
      </c>
      <c r="CJ37" s="1385">
        <f ca="1">SUMIF('5.分产品利润表'!$BC$5:$BN$5,综合表!CI4,'5.分产品利润表'!$BC$19:$BN$19)</f>
        <v>0</v>
      </c>
      <c r="CK37" s="1385">
        <f t="shared" ca="1" si="282"/>
        <v>0</v>
      </c>
      <c r="CL37" s="1385">
        <f ca="1">SUMIF('5.分产品利润表'!$BC$5:$BN$5,综合表!CK4,'5.分产品利润表'!$BC$19:$BN$19)</f>
        <v>0</v>
      </c>
      <c r="CM37" s="1385">
        <f t="shared" ca="1" si="283"/>
        <v>0</v>
      </c>
      <c r="CN37" s="1385">
        <f ca="1">SUMIF('5.分产品利润表'!$BC$5:$BN$5,综合表!CM4,'5.分产品利润表'!$BC$19:$BN$19)</f>
        <v>0</v>
      </c>
      <c r="CO37" s="1385">
        <f t="shared" ca="1" si="285"/>
        <v>0</v>
      </c>
      <c r="CP37" s="1385">
        <f ca="1">SUMIF('5.分产品利润表'!$BC$5:$BN$5,综合表!CO4,'5.分产品利润表'!$BC$19:$BN$19)</f>
        <v>0</v>
      </c>
      <c r="CQ37" s="1385">
        <f t="shared" ca="1" si="286"/>
        <v>0</v>
      </c>
      <c r="CR37" s="1385">
        <f ca="1">SUMIF('5.分产品利润表'!$BC$5:$BN$5,综合表!CQ4,'5.分产品利润表'!$BC$19:$BN$19)</f>
        <v>0</v>
      </c>
      <c r="CS37" s="1385">
        <f t="shared" ca="1" si="287"/>
        <v>0</v>
      </c>
      <c r="CT37" s="1385">
        <f ca="1">SUMIF('5.分产品利润表'!$BC$5:$BN$5,综合表!CS4,'5.分产品利润表'!$BC$19:$BN$19)</f>
        <v>0</v>
      </c>
      <c r="CU37" s="1385">
        <f t="shared" ca="1" si="288"/>
        <v>0</v>
      </c>
      <c r="CV37" s="1385">
        <f ca="1">SUMIF('5.分产品利润表'!$BC$5:$BN$5,综合表!CU4,'5.分产品利润表'!$BC$19:$BN$19)</f>
        <v>0</v>
      </c>
      <c r="CW37" s="1385">
        <f t="shared" ca="1" si="289"/>
        <v>0</v>
      </c>
      <c r="CX37" s="1385">
        <f ca="1">SUMIF('5.分产品利润表'!$BC$5:$BN$5,综合表!CW4,'5.分产品利润表'!$BC$19:$BN$19)</f>
        <v>0</v>
      </c>
      <c r="CY37" s="1385">
        <f t="shared" ca="1" si="290"/>
        <v>0</v>
      </c>
      <c r="CZ37" s="1385">
        <f ca="1">SUMIF('5.分产品利润表'!$BC$5:$BN$5,综合表!CY4,'5.分产品利润表'!$BC$19:$BN$19)</f>
        <v>0</v>
      </c>
      <c r="DA37" s="1385">
        <f t="shared" si="291"/>
        <v>0</v>
      </c>
      <c r="DB37" s="1385">
        <f>SUMIF('5.分产品利润表'!$BC$5:$BN$5,综合表!DA4,'5.分产品利润表'!$BC$19:$BN$19)</f>
        <v>0</v>
      </c>
      <c r="DC37" s="1385">
        <f t="shared" ca="1" si="292"/>
        <v>0</v>
      </c>
      <c r="DD37" s="1385">
        <f ca="1">SUMIF('5.分产品利润表'!$BC$5:$BN$5,综合表!DC4,'5.分产品利润表'!$BC$19:$BN$19)</f>
        <v>0</v>
      </c>
      <c r="DE37" s="1385">
        <f t="shared" ca="1" si="294"/>
        <v>0</v>
      </c>
      <c r="DF37" s="1385">
        <f ca="1">SUMIF('5.分产品利润表'!$BC$5:$BN$5,综合表!DE4,'5.分产品利润表'!$BC$19:$BN$19)</f>
        <v>0</v>
      </c>
      <c r="DG37" s="1385">
        <f t="shared" ca="1" si="295"/>
        <v>0</v>
      </c>
      <c r="DH37" s="1385">
        <f t="shared" ca="1" si="331"/>
        <v>0</v>
      </c>
      <c r="DI37" s="1385">
        <f t="shared" ca="1" si="297"/>
        <v>0</v>
      </c>
      <c r="DJ37" s="1385">
        <f ca="1">SUMIF('5.分产品利润表'!$BP$5:$CA$5,综合表!DI4,'5.分产品利润表'!$BP$19:$CA$19)</f>
        <v>0</v>
      </c>
      <c r="DK37" s="1385">
        <f t="shared" ca="1" si="299"/>
        <v>0</v>
      </c>
      <c r="DL37" s="1385">
        <f ca="1">SUMIF('5.分产品利润表'!$BP$5:$CA$5,综合表!DK4,'5.分产品利润表'!$BP$19:$CA$19)</f>
        <v>0</v>
      </c>
      <c r="DM37" s="1385">
        <f t="shared" ca="1" si="300"/>
        <v>0</v>
      </c>
      <c r="DN37" s="1385">
        <f ca="1">SUMIF('5.分产品利润表'!$BP$5:$CA$5,综合表!DM4,'5.分产品利润表'!$BP$19:$CA$19)</f>
        <v>0</v>
      </c>
      <c r="DO37" s="1385">
        <f t="shared" ca="1" si="301"/>
        <v>0</v>
      </c>
      <c r="DP37" s="1385">
        <f ca="1">SUMIF('5.分产品利润表'!$BP$5:$CA$5,综合表!DO4,'5.分产品利润表'!$BP$19:$CA$19)</f>
        <v>0</v>
      </c>
      <c r="DQ37" s="1385">
        <f t="shared" ca="1" si="302"/>
        <v>0</v>
      </c>
      <c r="DR37" s="1385">
        <f ca="1">SUMIF('5.分产品利润表'!$BP$5:$CA$5,综合表!DQ4,'5.分产品利润表'!$BP$19:$CA$19)</f>
        <v>0</v>
      </c>
      <c r="DS37" s="1385">
        <f t="shared" ca="1" si="303"/>
        <v>0</v>
      </c>
      <c r="DT37" s="1385">
        <f ca="1">SUMIF('5.分产品利润表'!$BP$5:$CA$5,综合表!DS4,'5.分产品利润表'!$BP$19:$CA$19)</f>
        <v>0</v>
      </c>
      <c r="DU37" s="1385">
        <f t="shared" ca="1" si="304"/>
        <v>0</v>
      </c>
      <c r="DV37" s="1385">
        <f ca="1">SUMIF('5.分产品利润表'!$BP$5:$CA$5,综合表!DU4,'5.分产品利润表'!$BP$19:$CA$19)</f>
        <v>0</v>
      </c>
      <c r="DW37" s="1385">
        <f t="shared" ca="1" si="305"/>
        <v>0</v>
      </c>
      <c r="DX37" s="1385">
        <f ca="1">SUMIF('5.分产品利润表'!$BP$5:$CA$5,综合表!DW4,'5.分产品利润表'!$BP$19:$CA$19)</f>
        <v>0</v>
      </c>
      <c r="DY37" s="1385">
        <f t="shared" ca="1" si="306"/>
        <v>0</v>
      </c>
      <c r="DZ37" s="1385">
        <f ca="1">SUMIF('5.分产品利润表'!$BP$5:$CA$5,综合表!DY4,'5.分产品利润表'!$BP$19:$CA$19)</f>
        <v>0</v>
      </c>
      <c r="EA37" s="1385">
        <f t="shared" si="307"/>
        <v>0</v>
      </c>
      <c r="EB37" s="1385">
        <f>SUMIF('5.分产品利润表'!$BP$5:$CA$5,综合表!EA4,'5.分产品利润表'!$BP$19:$CA$19)</f>
        <v>0</v>
      </c>
      <c r="EC37" s="1385">
        <f t="shared" ca="1" si="308"/>
        <v>0</v>
      </c>
      <c r="ED37" s="1385">
        <f ca="1">SUMIF('5.分产品利润表'!$BP$5:$CA$5,综合表!EC4,'5.分产品利润表'!$BP$19:$CA$19)</f>
        <v>0</v>
      </c>
      <c r="EE37" s="1385">
        <f t="shared" ca="1" si="309"/>
        <v>0</v>
      </c>
      <c r="EF37" s="1385">
        <f ca="1">SUMIF('5.分产品利润表'!$BP$5:$CA$5,综合表!EE4,'5.分产品利润表'!$BP$19:$CA$19)</f>
        <v>0</v>
      </c>
      <c r="EG37" s="1385">
        <f t="shared" ca="1" si="310"/>
        <v>0</v>
      </c>
      <c r="EH37" s="1385">
        <f t="shared" ca="1" si="332"/>
        <v>0</v>
      </c>
      <c r="EI37" s="1385">
        <f t="shared" ca="1" si="312"/>
        <v>0</v>
      </c>
      <c r="EJ37" s="1385">
        <f ca="1">SUMIF('5.分产品利润表'!$CC$5:$CN$5,综合表!EI4,'5.分产品利润表'!$CC$19:$CN$19)</f>
        <v>0</v>
      </c>
      <c r="EK37" s="1385">
        <f t="shared" ca="1" si="314"/>
        <v>0</v>
      </c>
      <c r="EL37" s="1385">
        <f ca="1">SUMIF('5.分产品利润表'!$CC$5:$CN$5,综合表!EK4,'5.分产品利润表'!$CC$19:$CN$19)</f>
        <v>0</v>
      </c>
      <c r="EM37" s="1385">
        <f t="shared" ca="1" si="315"/>
        <v>0</v>
      </c>
      <c r="EN37" s="1385">
        <f ca="1">SUMIF('5.分产品利润表'!$CC$5:$CN$5,综合表!EM4,'5.分产品利润表'!$CC$19:$CN$19)</f>
        <v>0</v>
      </c>
      <c r="EO37" s="1385">
        <f t="shared" ca="1" si="316"/>
        <v>0</v>
      </c>
      <c r="EP37" s="1385">
        <f ca="1">SUMIF('5.分产品利润表'!$CC$5:$CN$5,综合表!EO4,'5.分产品利润表'!$CC$19:$CN$19)</f>
        <v>0</v>
      </c>
      <c r="EQ37" s="1385">
        <f t="shared" ca="1" si="317"/>
        <v>0</v>
      </c>
      <c r="ER37" s="1385">
        <f ca="1">SUMIF('5.分产品利润表'!$CC$5:$CN$5,综合表!EQ4,'5.分产品利润表'!$CC$19:$CN$19)</f>
        <v>0</v>
      </c>
      <c r="ES37" s="1385">
        <f t="shared" ca="1" si="318"/>
        <v>0</v>
      </c>
      <c r="ET37" s="1385">
        <f ca="1">SUMIF('5.分产品利润表'!$CC$5:$CN$5,综合表!ES4,'5.分产品利润表'!$CC$19:$CN$19)</f>
        <v>0</v>
      </c>
      <c r="EU37" s="1385">
        <f t="shared" ca="1" si="319"/>
        <v>0</v>
      </c>
      <c r="EV37" s="1385">
        <f ca="1">SUMIF('5.分产品利润表'!$CC$5:$CN$5,综合表!EU4,'5.分产品利润表'!$CC$19:$CN$19)</f>
        <v>0</v>
      </c>
      <c r="EW37" s="1385">
        <f t="shared" ca="1" si="320"/>
        <v>0</v>
      </c>
      <c r="EX37" s="1385">
        <f ca="1">SUMIF('5.分产品利润表'!$CC$5:$CN$5,综合表!EW4,'5.分产品利润表'!$CC$19:$CN$19)</f>
        <v>0</v>
      </c>
      <c r="EY37" s="1385">
        <f t="shared" ca="1" si="321"/>
        <v>0</v>
      </c>
      <c r="EZ37" s="1385">
        <f ca="1">SUMIF('5.分产品利润表'!$CC$5:$CN$5,综合表!EY4,'5.分产品利润表'!$CC$19:$CN$19)</f>
        <v>0</v>
      </c>
      <c r="FA37" s="1385">
        <f t="shared" si="322"/>
        <v>0</v>
      </c>
      <c r="FB37" s="1385">
        <f>SUMIF('5.分产品利润表'!$CC$5:$CN$5,综合表!FA4,'5.分产品利润表'!$CC$19:$CN$19)</f>
        <v>0</v>
      </c>
      <c r="FC37" s="1385">
        <f t="shared" ca="1" si="323"/>
        <v>0</v>
      </c>
      <c r="FD37" s="1385">
        <f ca="1">SUMIF('5.分产品利润表'!$CC$5:$CN$5,综合表!FC4,'5.分产品利润表'!$CC$19:$CN$19)</f>
        <v>0</v>
      </c>
      <c r="FE37" s="1385">
        <f t="shared" ca="1" si="325"/>
        <v>0</v>
      </c>
      <c r="FF37" s="1385">
        <f ca="1">SUMIF('5.分产品利润表'!$CC$5:$CN$5,综合表!FE4,'5.分产品利润表'!$CC$19:$CN$19)</f>
        <v>0</v>
      </c>
    </row>
    <row r="38" spans="1:162" s="1359" customFormat="1" ht="16.5" hidden="1" customHeight="1" outlineLevel="1">
      <c r="A38" s="1788"/>
      <c r="B38" s="1403" t="str">
        <f>CONCATENATE("10.4其他税金","（",ROUND(IFERROR(D38/($D$12)%,0),2),"%）")</f>
        <v>10.4其他税金（0.05%）</v>
      </c>
      <c r="C38" s="1383">
        <f t="shared" si="225"/>
        <v>8.4192496618680952</v>
      </c>
      <c r="D38" s="1378">
        <f t="shared" si="326"/>
        <v>50.296597480000003</v>
      </c>
      <c r="E38" s="1387"/>
      <c r="F38" s="1387"/>
      <c r="G38" s="1385">
        <f t="shared" si="226"/>
        <v>8.4192496618680952</v>
      </c>
      <c r="H38" s="1385">
        <f t="shared" si="327"/>
        <v>50.296597480000003</v>
      </c>
      <c r="I38" s="1385">
        <f t="shared" si="228"/>
        <v>7.7656680000000007</v>
      </c>
      <c r="J38" s="1385">
        <f>SUMIF('5.分产品利润表'!$P$5:$AA$5,综合表!I4,'5.分产品利润表'!$P$14:$AA$14)</f>
        <v>43.565397480000001</v>
      </c>
      <c r="K38" s="1385">
        <f t="shared" si="230"/>
        <v>12.000000000000002</v>
      </c>
      <c r="L38" s="1385">
        <f>SUMIF('5.分产品利润表'!$P$5:$AA$5,综合表!K4,'5.分产品利润表'!$P$14:$AA$14)</f>
        <v>4.3680000000000003</v>
      </c>
      <c r="M38" s="1385">
        <f t="shared" si="231"/>
        <v>0</v>
      </c>
      <c r="N38" s="1385">
        <f>SUMIF('5.分产品利润表'!$P$5:$AA$5,综合表!M4,'5.分产品利润表'!$P$14:$AA$14)</f>
        <v>0</v>
      </c>
      <c r="O38" s="1385">
        <f t="shared" si="232"/>
        <v>0</v>
      </c>
      <c r="P38" s="1385">
        <v>0</v>
      </c>
      <c r="Q38" s="1385">
        <f t="shared" si="233"/>
        <v>0</v>
      </c>
      <c r="R38" s="1385">
        <f>SUMIF('5.分产品利润表'!$P$5:$AA$5,综合表!Q4,'5.分产品利润表'!$P$14:$AA$14)</f>
        <v>0</v>
      </c>
      <c r="S38" s="1385">
        <f t="shared" si="234"/>
        <v>0</v>
      </c>
      <c r="T38" s="1385">
        <f>SUMIF('5.分产品利润表'!$P$5:$AA$5,综合表!S4,'5.分产品利润表'!$P$14:$AA$14)</f>
        <v>0</v>
      </c>
      <c r="U38" s="1385">
        <f t="shared" si="235"/>
        <v>0</v>
      </c>
      <c r="V38" s="1385">
        <f>SUMIF('5.分产品利润表'!$P$5:$AA$5,综合表!U4,'5.分产品利润表'!$P$14:$AA$14)</f>
        <v>0</v>
      </c>
      <c r="W38" s="1385">
        <f t="shared" si="236"/>
        <v>0</v>
      </c>
      <c r="X38" s="1385">
        <f>SUMIF('5.分产品利润表'!$P$5:$AA$5,综合表!W4,'5.分产品利润表'!$P$14:$AA$14)</f>
        <v>0</v>
      </c>
      <c r="Y38" s="1385">
        <f t="shared" si="237"/>
        <v>0</v>
      </c>
      <c r="Z38" s="1385">
        <f>SUMIF('5.分产品利润表'!$P$5:$AA$5,综合表!Y4,'5.分产品利润表'!$P$14:$AA$14)</f>
        <v>0</v>
      </c>
      <c r="AA38" s="1385">
        <f t="shared" si="238"/>
        <v>0</v>
      </c>
      <c r="AB38" s="1385">
        <f>SUMIF('5.分产品利润表'!$P$5:$AA$5,综合表!AA4,'5.分产品利润表'!$P$14:$AA$14)</f>
        <v>0</v>
      </c>
      <c r="AC38" s="1385">
        <f t="shared" si="240"/>
        <v>56</v>
      </c>
      <c r="AD38" s="1385">
        <f>SUMIF('5.分产品利润表'!$P$5:$AA$5,综合表!AC4,'5.分产品利润表'!$P$14:$AA$14)</f>
        <v>2.3632</v>
      </c>
      <c r="AE38" s="1385">
        <f t="shared" si="242"/>
        <v>0</v>
      </c>
      <c r="AF38" s="1385">
        <f>SUMIF('5.分产品利润表'!$P$5:$AA$5,综合表!AE4,'5.分产品利润表'!$P$14:$AA$14)</f>
        <v>0</v>
      </c>
      <c r="AG38" s="1385">
        <f t="shared" si="243"/>
        <v>0</v>
      </c>
      <c r="AH38" s="1385">
        <f t="shared" si="328"/>
        <v>0</v>
      </c>
      <c r="AI38" s="1385">
        <f t="shared" si="245"/>
        <v>0</v>
      </c>
      <c r="AJ38" s="1385">
        <f>SUMIF('5.分产品利润表'!$AC$5:$AN$5,综合表!AI4,'5.分产品利润表'!$AC$14:$AN$14)</f>
        <v>0</v>
      </c>
      <c r="AK38" s="1385">
        <f t="shared" si="247"/>
        <v>0</v>
      </c>
      <c r="AL38" s="1385">
        <f>SUMIF('5.分产品利润表'!$AC$5:$AN$5,综合表!AK4,'5.分产品利润表'!$AC$14:$AN$14)</f>
        <v>0</v>
      </c>
      <c r="AM38" s="1385">
        <f t="shared" si="248"/>
        <v>0</v>
      </c>
      <c r="AN38" s="1385">
        <f>SUMIF('5.分产品利润表'!$AC$5:$AN$5,综合表!AM4,'5.分产品利润表'!$AC$14:$AN$14)</f>
        <v>0</v>
      </c>
      <c r="AO38" s="1385">
        <f t="shared" si="250"/>
        <v>0</v>
      </c>
      <c r="AP38" s="1385">
        <f>SUMIF('5.分产品利润表'!$AC$5:$AN$5,综合表!AO4,'5.分产品利润表'!$AC$14:$AN$14)</f>
        <v>0</v>
      </c>
      <c r="AQ38" s="1385">
        <f t="shared" si="251"/>
        <v>0</v>
      </c>
      <c r="AR38" s="1385">
        <f>SUMIF('5.分产品利润表'!$AC$5:$AN$5,综合表!AQ4,'5.分产品利润表'!$AC$14:$AN$14)</f>
        <v>0</v>
      </c>
      <c r="AS38" s="1385">
        <f t="shared" si="252"/>
        <v>0</v>
      </c>
      <c r="AT38" s="1385">
        <f>SUMIF('5.分产品利润表'!$AC$5:$AN$5,综合表!AS4,'5.分产品利润表'!$AC$14:$AN$14)</f>
        <v>0</v>
      </c>
      <c r="AU38" s="1385">
        <f t="shared" si="253"/>
        <v>0</v>
      </c>
      <c r="AV38" s="1385">
        <f>SUMIF('5.分产品利润表'!$AC$5:$AN$5,综合表!AU4,'5.分产品利润表'!$AC$14:$AN$14)</f>
        <v>0</v>
      </c>
      <c r="AW38" s="1385">
        <f t="shared" si="254"/>
        <v>0</v>
      </c>
      <c r="AX38" s="1385">
        <f>SUMIF('5.分产品利润表'!$AC$5:$AN$5,综合表!AW4,'5.分产品利润表'!$AC$14:$AN$14)</f>
        <v>0</v>
      </c>
      <c r="AY38" s="1385">
        <f t="shared" si="255"/>
        <v>0</v>
      </c>
      <c r="AZ38" s="1385">
        <f>SUMIF('5.分产品利润表'!$AC$5:$AN$5,综合表!AY4,'5.分产品利润表'!$AC$14:$AN$14)</f>
        <v>0</v>
      </c>
      <c r="BA38" s="1385">
        <f t="shared" si="256"/>
        <v>0</v>
      </c>
      <c r="BB38" s="1385">
        <f>SUMIF('5.分产品利润表'!$AC$5:$AN$5,综合表!BA4,'5.分产品利润表'!$AC$14:$AN$14)</f>
        <v>0</v>
      </c>
      <c r="BC38" s="1385">
        <f t="shared" si="257"/>
        <v>0</v>
      </c>
      <c r="BD38" s="1385">
        <f>SUMIF('5.分产品利润表'!$AC$5:$AN$5,综合表!BC4,'5.分产品利润表'!$AC$14:$AN$14)</f>
        <v>0</v>
      </c>
      <c r="BE38" s="1385">
        <f t="shared" si="258"/>
        <v>0</v>
      </c>
      <c r="BF38" s="1385">
        <f>SUMIF('5.分产品利润表'!$AC$5:$AN$5,综合表!BE4,'5.分产品利润表'!$AC$14:$AN$14)</f>
        <v>0</v>
      </c>
      <c r="BG38" s="1385">
        <f t="shared" si="260"/>
        <v>0</v>
      </c>
      <c r="BH38" s="1385">
        <f t="shared" si="329"/>
        <v>0</v>
      </c>
      <c r="BI38" s="1385">
        <f t="shared" si="262"/>
        <v>0</v>
      </c>
      <c r="BJ38" s="1385">
        <f>SUMIF('5.分产品利润表'!$AP$5:$BA$5,综合表!BI4,'5.分产品利润表'!$AP$14:$BA$14)</f>
        <v>0</v>
      </c>
      <c r="BK38" s="1385">
        <f t="shared" si="264"/>
        <v>0</v>
      </c>
      <c r="BL38" s="1385">
        <f>SUMIF('5.分产品利润表'!$AP$5:$BA$5,综合表!BK4,'5.分产品利润表'!$AP$14:$BA$14)</f>
        <v>0</v>
      </c>
      <c r="BM38" s="1385">
        <f t="shared" si="265"/>
        <v>0</v>
      </c>
      <c r="BN38" s="1385">
        <f>SUMIF('5.分产品利润表'!$AP$5:$BA$5,综合表!BM4,'5.分产品利润表'!$AP$14:$BA$14)</f>
        <v>0</v>
      </c>
      <c r="BO38" s="1385">
        <f t="shared" si="267"/>
        <v>0</v>
      </c>
      <c r="BP38" s="1385">
        <f>SUMIF('5.分产品利润表'!$AP$5:$BA$5,综合表!BO4,'5.分产品利润表'!$AP$14:$BA$14)</f>
        <v>0</v>
      </c>
      <c r="BQ38" s="1385">
        <f t="shared" si="268"/>
        <v>0</v>
      </c>
      <c r="BR38" s="1385">
        <f>SUMIF('5.分产品利润表'!$AP$5:$BA$5,综合表!BQ4,'5.分产品利润表'!$AP$14:$BA$14)</f>
        <v>0</v>
      </c>
      <c r="BS38" s="1385">
        <f t="shared" si="269"/>
        <v>0</v>
      </c>
      <c r="BT38" s="1385">
        <f>SUMIF('5.分产品利润表'!$AP$5:$BA$5,综合表!BS4,'5.分产品利润表'!$AP$14:$BA$14)</f>
        <v>0</v>
      </c>
      <c r="BU38" s="1385">
        <f t="shared" si="270"/>
        <v>0</v>
      </c>
      <c r="BV38" s="1385">
        <f>SUMIF('5.分产品利润表'!$AP$5:$BA$5,综合表!BU4,'5.分产品利润表'!$AP$14:$BA$14)</f>
        <v>0</v>
      </c>
      <c r="BW38" s="1385">
        <f t="shared" si="271"/>
        <v>0</v>
      </c>
      <c r="BX38" s="1385">
        <f>SUMIF('5.分产品利润表'!$AP$5:$BA$5,综合表!BW4,'5.分产品利润表'!$AP$14:$BA$14)</f>
        <v>0</v>
      </c>
      <c r="BY38" s="1385">
        <f t="shared" si="272"/>
        <v>0</v>
      </c>
      <c r="BZ38" s="1385">
        <f>SUMIF('5.分产品利润表'!$AP$5:$BA$5,综合表!BY4,'5.分产品利润表'!$AP$14:$BA$14)</f>
        <v>0</v>
      </c>
      <c r="CA38" s="1385">
        <f t="shared" si="273"/>
        <v>0</v>
      </c>
      <c r="CB38" s="1385">
        <f>SUMIF('5.分产品利润表'!$AP$5:$BA$5,综合表!CA4,'5.分产品利润表'!$AP$14:$BA$14)</f>
        <v>0</v>
      </c>
      <c r="CC38" s="1385">
        <f t="shared" si="274"/>
        <v>0</v>
      </c>
      <c r="CD38" s="1385">
        <f>SUMIF('5.分产品利润表'!$AP$5:$BA$5,综合表!CC4,'5.分产品利润表'!$AP$14:$BA$14)</f>
        <v>0</v>
      </c>
      <c r="CE38" s="1385">
        <f t="shared" si="276"/>
        <v>0</v>
      </c>
      <c r="CF38" s="1385">
        <f>SUMIF('5.分产品利润表'!$AP$5:$BA$5,综合表!CE4,'5.分产品利润表'!$AP$14:$BA$14)</f>
        <v>0</v>
      </c>
      <c r="CG38" s="1385">
        <f t="shared" si="278"/>
        <v>0</v>
      </c>
      <c r="CH38" s="1385">
        <f t="shared" si="330"/>
        <v>0</v>
      </c>
      <c r="CI38" s="1385">
        <f t="shared" si="280"/>
        <v>0</v>
      </c>
      <c r="CJ38" s="1385">
        <f>SUMIF('5.分产品利润表'!$BC$5:$BN$5,综合表!CI4,'5.分产品利润表'!$BC$14:$BN$14)</f>
        <v>0</v>
      </c>
      <c r="CK38" s="1385">
        <f t="shared" si="282"/>
        <v>0</v>
      </c>
      <c r="CL38" s="1385">
        <f>SUMIF('5.分产品利润表'!$BC$5:$BN$5,综合表!CK4,'5.分产品利润表'!$BC$14:$BN$14)</f>
        <v>0</v>
      </c>
      <c r="CM38" s="1385">
        <f t="shared" si="283"/>
        <v>0</v>
      </c>
      <c r="CN38" s="1385">
        <f>SUMIF('5.分产品利润表'!$BC$5:$BN$5,综合表!CM4,'5.分产品利润表'!$BC$14:$BN$14)</f>
        <v>0</v>
      </c>
      <c r="CO38" s="1385">
        <f t="shared" si="285"/>
        <v>0</v>
      </c>
      <c r="CP38" s="1385">
        <f>SUMIF('5.分产品利润表'!$BC$5:$BN$5,综合表!CO4,'5.分产品利润表'!$BC$14:$BN$14)</f>
        <v>0</v>
      </c>
      <c r="CQ38" s="1385">
        <f t="shared" si="286"/>
        <v>0</v>
      </c>
      <c r="CR38" s="1385">
        <f>SUMIF('5.分产品利润表'!$BC$5:$BN$5,综合表!CQ4,'5.分产品利润表'!$BC$14:$BN$14)</f>
        <v>0</v>
      </c>
      <c r="CS38" s="1385">
        <f t="shared" si="287"/>
        <v>0</v>
      </c>
      <c r="CT38" s="1385">
        <f>SUMIF('5.分产品利润表'!$BC$5:$BN$5,综合表!CS4,'5.分产品利润表'!$BC$14:$BN$14)</f>
        <v>0</v>
      </c>
      <c r="CU38" s="1385">
        <f t="shared" si="288"/>
        <v>0</v>
      </c>
      <c r="CV38" s="1385">
        <f>SUMIF('5.分产品利润表'!$BC$5:$BN$5,综合表!CU4,'5.分产品利润表'!$BC$14:$BN$14)</f>
        <v>0</v>
      </c>
      <c r="CW38" s="1385">
        <f t="shared" si="289"/>
        <v>0</v>
      </c>
      <c r="CX38" s="1385">
        <f>SUMIF('5.分产品利润表'!$BC$5:$BN$5,综合表!CW4,'5.分产品利润表'!$BC$14:$BN$14)</f>
        <v>0</v>
      </c>
      <c r="CY38" s="1385">
        <f t="shared" si="290"/>
        <v>0</v>
      </c>
      <c r="CZ38" s="1385">
        <f>SUMIF('5.分产品利润表'!$BC$5:$BN$5,综合表!CY4,'5.分产品利润表'!$BC$14:$BN$14)</f>
        <v>0</v>
      </c>
      <c r="DA38" s="1385">
        <f t="shared" si="291"/>
        <v>0</v>
      </c>
      <c r="DB38" s="1385">
        <f>SUMIF('5.分产品利润表'!$BC$5:$BN$5,综合表!DA4,'5.分产品利润表'!$BC$14:$BN$14)</f>
        <v>0</v>
      </c>
      <c r="DC38" s="1385">
        <f t="shared" si="292"/>
        <v>0</v>
      </c>
      <c r="DD38" s="1385">
        <f>SUMIF('5.分产品利润表'!$BC$5:$BN$5,综合表!DC4,'5.分产品利润表'!$BC$14:$BN$14)</f>
        <v>0</v>
      </c>
      <c r="DE38" s="1385">
        <f t="shared" si="294"/>
        <v>0</v>
      </c>
      <c r="DF38" s="1385">
        <f>SUMIF('5.分产品利润表'!$BC$5:$BN$5,综合表!DE4,'5.分产品利润表'!$BC$14:$BN$14)</f>
        <v>0</v>
      </c>
      <c r="DG38" s="1385">
        <f t="shared" si="295"/>
        <v>0</v>
      </c>
      <c r="DH38" s="1385">
        <f t="shared" si="331"/>
        <v>0</v>
      </c>
      <c r="DI38" s="1385">
        <f t="shared" si="297"/>
        <v>0</v>
      </c>
      <c r="DJ38" s="1385">
        <f>SUMIF('5.分产品利润表'!$BP$5:$CA$5,综合表!DI4,'5.分产品利润表'!$BP$14:$CA$14)</f>
        <v>0</v>
      </c>
      <c r="DK38" s="1385">
        <f t="shared" si="299"/>
        <v>0</v>
      </c>
      <c r="DL38" s="1385">
        <f>SUMIF('5.分产品利润表'!$BP$5:$CA$5,综合表!DK4,'5.分产品利润表'!$BP$14:$CA$14)</f>
        <v>0</v>
      </c>
      <c r="DM38" s="1385">
        <f t="shared" si="300"/>
        <v>0</v>
      </c>
      <c r="DN38" s="1385">
        <f>SUMIF('5.分产品利润表'!$BP$5:$CA$5,综合表!DM4,'5.分产品利润表'!$BP$14:$CA$14)</f>
        <v>0</v>
      </c>
      <c r="DO38" s="1385">
        <f t="shared" si="301"/>
        <v>0</v>
      </c>
      <c r="DP38" s="1385">
        <f>SUMIF('5.分产品利润表'!$BP$5:$CA$5,综合表!DO4,'5.分产品利润表'!$BP$14:$CA$14)</f>
        <v>0</v>
      </c>
      <c r="DQ38" s="1385">
        <f t="shared" si="302"/>
        <v>0</v>
      </c>
      <c r="DR38" s="1385">
        <f>SUMIF('5.分产品利润表'!$BP$5:$CA$5,综合表!DQ4,'5.分产品利润表'!$BP$14:$CA$14)</f>
        <v>0</v>
      </c>
      <c r="DS38" s="1385">
        <f t="shared" si="303"/>
        <v>0</v>
      </c>
      <c r="DT38" s="1385">
        <f>SUMIF('5.分产品利润表'!$BP$5:$CA$5,综合表!DS4,'5.分产品利润表'!$BP$14:$CA$14)</f>
        <v>0</v>
      </c>
      <c r="DU38" s="1385">
        <f t="shared" si="304"/>
        <v>0</v>
      </c>
      <c r="DV38" s="1385">
        <f>SUMIF('5.分产品利润表'!$BP$5:$CA$5,综合表!DU4,'5.分产品利润表'!$BP$14:$CA$14)</f>
        <v>0</v>
      </c>
      <c r="DW38" s="1385">
        <f t="shared" si="305"/>
        <v>0</v>
      </c>
      <c r="DX38" s="1385">
        <f>SUMIF('5.分产品利润表'!$BP$5:$CA$5,综合表!DW4,'5.分产品利润表'!$BP$14:$CA$14)</f>
        <v>0</v>
      </c>
      <c r="DY38" s="1385">
        <f t="shared" si="306"/>
        <v>0</v>
      </c>
      <c r="DZ38" s="1385">
        <f>SUMIF('5.分产品利润表'!$BP$5:$CA$5,综合表!DY4,'5.分产品利润表'!$BP$14:$CA$14)</f>
        <v>0</v>
      </c>
      <c r="EA38" s="1385">
        <f t="shared" si="307"/>
        <v>0</v>
      </c>
      <c r="EB38" s="1385">
        <f>SUMIF('5.分产品利润表'!$BP$5:$CA$5,综合表!EA4,'5.分产品利润表'!$BP$14:$CA$14)</f>
        <v>0</v>
      </c>
      <c r="EC38" s="1385">
        <f t="shared" si="308"/>
        <v>0</v>
      </c>
      <c r="ED38" s="1385">
        <f>SUMIF('5.分产品利润表'!$BP$5:$CA$5,综合表!EC4,'5.分产品利润表'!$BP$14:$CA$14)</f>
        <v>0</v>
      </c>
      <c r="EE38" s="1385">
        <f t="shared" si="309"/>
        <v>0</v>
      </c>
      <c r="EF38" s="1385">
        <f>SUMIF('5.分产品利润表'!$BP$5:$CA$5,综合表!EE4,'5.分产品利润表'!$BP$14:$CA$14)</f>
        <v>0</v>
      </c>
      <c r="EG38" s="1385">
        <f t="shared" si="310"/>
        <v>0</v>
      </c>
      <c r="EH38" s="1385">
        <f t="shared" si="332"/>
        <v>0</v>
      </c>
      <c r="EI38" s="1385">
        <f t="shared" si="312"/>
        <v>0</v>
      </c>
      <c r="EJ38" s="1385">
        <f>SUMIF('5.分产品利润表'!$CC$5:$CN$5,综合表!EI4,'5.分产品利润表'!$CC$14:$CN$14)</f>
        <v>0</v>
      </c>
      <c r="EK38" s="1385">
        <f t="shared" si="314"/>
        <v>0</v>
      </c>
      <c r="EL38" s="1385">
        <f>SUMIF('5.分产品利润表'!$CC$5:$CN$5,综合表!EK4,'5.分产品利润表'!$CC$14:$CN$14)</f>
        <v>0</v>
      </c>
      <c r="EM38" s="1385">
        <f t="shared" si="315"/>
        <v>0</v>
      </c>
      <c r="EN38" s="1385">
        <f>SUMIF('5.分产品利润表'!$CC$5:$CN$5,综合表!EM4,'5.分产品利润表'!$CC$14:$CN$14)</f>
        <v>0</v>
      </c>
      <c r="EO38" s="1385">
        <f t="shared" si="316"/>
        <v>0</v>
      </c>
      <c r="EP38" s="1385">
        <f>SUMIF('5.分产品利润表'!$CC$5:$CN$5,综合表!EO4,'5.分产品利润表'!$CC$14:$CN$14)</f>
        <v>0</v>
      </c>
      <c r="EQ38" s="1385">
        <f t="shared" si="317"/>
        <v>0</v>
      </c>
      <c r="ER38" s="1385">
        <f>SUMIF('5.分产品利润表'!$CC$5:$CN$5,综合表!EQ4,'5.分产品利润表'!$CC$14:$CN$14)</f>
        <v>0</v>
      </c>
      <c r="ES38" s="1385">
        <f t="shared" si="318"/>
        <v>0</v>
      </c>
      <c r="ET38" s="1385">
        <f>SUMIF('5.分产品利润表'!$CC$5:$CN$5,综合表!ES4,'5.分产品利润表'!$CC$14:$CN$14)</f>
        <v>0</v>
      </c>
      <c r="EU38" s="1385">
        <f t="shared" si="319"/>
        <v>0</v>
      </c>
      <c r="EV38" s="1385">
        <f>SUMIF('5.分产品利润表'!$CC$5:$CN$5,综合表!EU4,'5.分产品利润表'!$CC$14:$CN$14)</f>
        <v>0</v>
      </c>
      <c r="EW38" s="1385">
        <f t="shared" si="320"/>
        <v>0</v>
      </c>
      <c r="EX38" s="1385">
        <f>SUMIF('5.分产品利润表'!$CC$5:$CN$5,综合表!EW4,'5.分产品利润表'!$CC$14:$CN$14)</f>
        <v>0</v>
      </c>
      <c r="EY38" s="1385">
        <f t="shared" si="321"/>
        <v>0</v>
      </c>
      <c r="EZ38" s="1385">
        <f>SUMIF('5.分产品利润表'!$CC$5:$CN$5,综合表!EY4,'5.分产品利润表'!$CC$14:$CN$14)</f>
        <v>0</v>
      </c>
      <c r="FA38" s="1385">
        <f t="shared" si="322"/>
        <v>0</v>
      </c>
      <c r="FB38" s="1385">
        <f>SUMIF('5.分产品利润表'!$CC$5:$CN$5,综合表!FA4,'5.分产品利润表'!$CC$14:$CN$14)</f>
        <v>0</v>
      </c>
      <c r="FC38" s="1385">
        <f t="shared" si="323"/>
        <v>0</v>
      </c>
      <c r="FD38" s="1385">
        <f>SUMIF('5.分产品利润表'!$CC$5:$CN$5,综合表!FC4,'5.分产品利润表'!$CC$14:$CN$14)</f>
        <v>0</v>
      </c>
      <c r="FE38" s="1385">
        <f t="shared" si="325"/>
        <v>0</v>
      </c>
      <c r="FF38" s="1385">
        <f>SUMIF('5.分产品利润表'!$CC$5:$CN$5,综合表!FE4,'5.分产品利润表'!$CC$14:$CN$14)</f>
        <v>0</v>
      </c>
    </row>
    <row r="39" spans="1:162" s="1359" customFormat="1" ht="16.5" customHeight="1" collapsed="1">
      <c r="A39" s="1788"/>
      <c r="B39" s="1376" t="s">
        <v>296</v>
      </c>
      <c r="C39" s="1383">
        <f t="shared" ca="1" si="225"/>
        <v>3470.3484070320451</v>
      </c>
      <c r="D39" s="1378">
        <f ca="1">'5.分产品利润表'!B25</f>
        <v>20731.861383609437</v>
      </c>
      <c r="E39" s="1384"/>
      <c r="F39" s="1384"/>
      <c r="G39" s="1378">
        <f ca="1">G29-G31-G32-G33-G34</f>
        <v>3036.5338062585824</v>
      </c>
      <c r="H39" s="1378">
        <f t="shared" ref="H39" ca="1" si="333">H29-H31-H32-H33-H34</f>
        <v>20731.861383609426</v>
      </c>
      <c r="I39" s="1378">
        <f t="shared" ref="I39:AL39" ca="1" si="334">I29-I31-I32-I33-I34</f>
        <v>3765.7373085221229</v>
      </c>
      <c r="J39" s="1378">
        <f t="shared" ca="1" si="334"/>
        <v>21125.78630080913</v>
      </c>
      <c r="K39" s="1378">
        <f t="shared" ca="1" si="334"/>
        <v>-1510.5269868575037</v>
      </c>
      <c r="L39" s="1378">
        <f t="shared" ca="1" si="334"/>
        <v>-549.83182321613072</v>
      </c>
      <c r="M39" s="1378">
        <f t="shared" ca="1" si="334"/>
        <v>0</v>
      </c>
      <c r="N39" s="1378">
        <f t="shared" ca="1" si="334"/>
        <v>-1567.9008000000001</v>
      </c>
      <c r="O39" s="1378">
        <f t="shared" ca="1" si="334"/>
        <v>0</v>
      </c>
      <c r="P39" s="1378">
        <f t="shared" ca="1" si="334"/>
        <v>0</v>
      </c>
      <c r="Q39" s="1378">
        <f t="shared" ca="1" si="334"/>
        <v>0</v>
      </c>
      <c r="R39" s="1378">
        <f t="shared" ca="1" si="334"/>
        <v>0</v>
      </c>
      <c r="S39" s="1378">
        <f t="shared" ca="1" si="334"/>
        <v>0</v>
      </c>
      <c r="T39" s="1378">
        <f t="shared" ca="1" si="334"/>
        <v>0</v>
      </c>
      <c r="U39" s="1378">
        <f t="shared" ca="1" si="334"/>
        <v>0</v>
      </c>
      <c r="V39" s="1378">
        <f t="shared" ca="1" si="334"/>
        <v>0</v>
      </c>
      <c r="W39" s="1378">
        <f t="shared" ca="1" si="334"/>
        <v>0</v>
      </c>
      <c r="X39" s="1378">
        <f t="shared" ca="1" si="334"/>
        <v>0</v>
      </c>
      <c r="Y39" s="1378">
        <f t="shared" ca="1" si="334"/>
        <v>0</v>
      </c>
      <c r="Z39" s="1378">
        <f t="shared" ca="1" si="334"/>
        <v>0</v>
      </c>
      <c r="AA39" s="1378">
        <f t="shared" ref="AA39:AB39" si="335">AA29-AA31-AA32-AA33-AA34</f>
        <v>0</v>
      </c>
      <c r="AB39" s="1378">
        <f t="shared" si="335"/>
        <v>0</v>
      </c>
      <c r="AC39" s="1378">
        <f t="shared" ref="AC39:AD39" ca="1" si="336">AC29-AC31-AC32-AC33-AC34</f>
        <v>42128.001919331342</v>
      </c>
      <c r="AD39" s="1378">
        <f t="shared" ca="1" si="336"/>
        <v>1777.8016809957828</v>
      </c>
      <c r="AE39" s="1378">
        <f t="shared" ca="1" si="334"/>
        <v>0</v>
      </c>
      <c r="AF39" s="1378">
        <f t="shared" ca="1" si="334"/>
        <v>0</v>
      </c>
      <c r="AG39" s="1378">
        <f t="shared" ca="1" si="334"/>
        <v>0</v>
      </c>
      <c r="AH39" s="1378">
        <f t="shared" ca="1" si="334"/>
        <v>0</v>
      </c>
      <c r="AI39" s="1378">
        <f t="shared" ca="1" si="334"/>
        <v>0</v>
      </c>
      <c r="AJ39" s="1378">
        <f t="shared" ca="1" si="334"/>
        <v>0</v>
      </c>
      <c r="AK39" s="1378">
        <f t="shared" ca="1" si="334"/>
        <v>0</v>
      </c>
      <c r="AL39" s="1378">
        <f t="shared" ca="1" si="334"/>
        <v>0</v>
      </c>
      <c r="AM39" s="1378">
        <f t="shared" ref="AM39:BL39" ca="1" si="337">AM29-AM31-AM32-AM33-AM34</f>
        <v>0</v>
      </c>
      <c r="AN39" s="1378">
        <f t="shared" ca="1" si="337"/>
        <v>0</v>
      </c>
      <c r="AO39" s="1378">
        <f t="shared" ca="1" si="337"/>
        <v>0</v>
      </c>
      <c r="AP39" s="1378">
        <f t="shared" ca="1" si="337"/>
        <v>0</v>
      </c>
      <c r="AQ39" s="1378">
        <f t="shared" ca="1" si="337"/>
        <v>0</v>
      </c>
      <c r="AR39" s="1378">
        <f t="shared" ca="1" si="337"/>
        <v>0</v>
      </c>
      <c r="AS39" s="1378">
        <f t="shared" ca="1" si="337"/>
        <v>0</v>
      </c>
      <c r="AT39" s="1378">
        <f t="shared" ca="1" si="337"/>
        <v>0</v>
      </c>
      <c r="AU39" s="1378">
        <f t="shared" ca="1" si="337"/>
        <v>0</v>
      </c>
      <c r="AV39" s="1378">
        <f t="shared" ca="1" si="337"/>
        <v>0</v>
      </c>
      <c r="AW39" s="1378">
        <f t="shared" ca="1" si="337"/>
        <v>0</v>
      </c>
      <c r="AX39" s="1378">
        <f t="shared" ca="1" si="337"/>
        <v>0</v>
      </c>
      <c r="AY39" s="1378">
        <f t="shared" ca="1" si="337"/>
        <v>0</v>
      </c>
      <c r="AZ39" s="1378">
        <f t="shared" ca="1" si="337"/>
        <v>0</v>
      </c>
      <c r="BA39" s="1378">
        <f t="shared" si="337"/>
        <v>0</v>
      </c>
      <c r="BB39" s="1378">
        <f t="shared" si="337"/>
        <v>0</v>
      </c>
      <c r="BC39" s="1378">
        <f t="shared" ca="1" si="337"/>
        <v>0</v>
      </c>
      <c r="BD39" s="1378">
        <f t="shared" ca="1" si="337"/>
        <v>0</v>
      </c>
      <c r="BE39" s="1378">
        <f t="shared" ref="BE39:BH39" ca="1" si="338">BE29-BE31-BE32-BE33-BE34</f>
        <v>0</v>
      </c>
      <c r="BF39" s="1378">
        <f t="shared" ca="1" si="338"/>
        <v>0</v>
      </c>
      <c r="BG39" s="1378">
        <f t="shared" ca="1" si="338"/>
        <v>0</v>
      </c>
      <c r="BH39" s="1378">
        <f t="shared" ca="1" si="338"/>
        <v>0</v>
      </c>
      <c r="BI39" s="1378">
        <f t="shared" ca="1" si="337"/>
        <v>0</v>
      </c>
      <c r="BJ39" s="1378">
        <f t="shared" ca="1" si="337"/>
        <v>0</v>
      </c>
      <c r="BK39" s="1378">
        <f t="shared" ca="1" si="337"/>
        <v>0</v>
      </c>
      <c r="BL39" s="1378">
        <f t="shared" ca="1" si="337"/>
        <v>0</v>
      </c>
      <c r="BM39" s="1378">
        <f t="shared" ref="BM39:CL39" ca="1" si="339">BM29-BM31-BM32-BM33-BM34</f>
        <v>0</v>
      </c>
      <c r="BN39" s="1378">
        <f t="shared" ca="1" si="339"/>
        <v>0</v>
      </c>
      <c r="BO39" s="1378">
        <f t="shared" ca="1" si="339"/>
        <v>0</v>
      </c>
      <c r="BP39" s="1378">
        <f t="shared" ca="1" si="339"/>
        <v>0</v>
      </c>
      <c r="BQ39" s="1378">
        <f t="shared" ca="1" si="339"/>
        <v>0</v>
      </c>
      <c r="BR39" s="1378">
        <f t="shared" ca="1" si="339"/>
        <v>0</v>
      </c>
      <c r="BS39" s="1378">
        <f t="shared" ca="1" si="339"/>
        <v>0</v>
      </c>
      <c r="BT39" s="1378">
        <f t="shared" ca="1" si="339"/>
        <v>0</v>
      </c>
      <c r="BU39" s="1378">
        <f t="shared" ca="1" si="339"/>
        <v>0</v>
      </c>
      <c r="BV39" s="1378">
        <f t="shared" ca="1" si="339"/>
        <v>0</v>
      </c>
      <c r="BW39" s="1378">
        <f t="shared" ca="1" si="339"/>
        <v>0</v>
      </c>
      <c r="BX39" s="1378">
        <f t="shared" ca="1" si="339"/>
        <v>0</v>
      </c>
      <c r="BY39" s="1378">
        <f t="shared" ca="1" si="339"/>
        <v>0</v>
      </c>
      <c r="BZ39" s="1378">
        <f t="shared" ca="1" si="339"/>
        <v>0</v>
      </c>
      <c r="CA39" s="1378">
        <f t="shared" si="339"/>
        <v>0</v>
      </c>
      <c r="CB39" s="1378">
        <f t="shared" si="339"/>
        <v>0</v>
      </c>
      <c r="CC39" s="1378">
        <f t="shared" ref="CC39:CD39" ca="1" si="340">CC29-CC31-CC32-CC33-CC34</f>
        <v>0</v>
      </c>
      <c r="CD39" s="1378">
        <f t="shared" ca="1" si="340"/>
        <v>0</v>
      </c>
      <c r="CE39" s="1378">
        <f t="shared" ref="CE39:CH39" ca="1" si="341">CE29-CE31-CE32-CE33-CE34</f>
        <v>0</v>
      </c>
      <c r="CF39" s="1378">
        <f t="shared" ca="1" si="341"/>
        <v>0</v>
      </c>
      <c r="CG39" s="1378">
        <f t="shared" ca="1" si="341"/>
        <v>0</v>
      </c>
      <c r="CH39" s="1378">
        <f t="shared" ca="1" si="341"/>
        <v>0</v>
      </c>
      <c r="CI39" s="1378">
        <f t="shared" ca="1" si="339"/>
        <v>0</v>
      </c>
      <c r="CJ39" s="1378">
        <f t="shared" ca="1" si="339"/>
        <v>0</v>
      </c>
      <c r="CK39" s="1378">
        <f t="shared" ca="1" si="339"/>
        <v>0</v>
      </c>
      <c r="CL39" s="1378">
        <f t="shared" ca="1" si="339"/>
        <v>0</v>
      </c>
      <c r="CM39" s="1378">
        <f t="shared" ref="CM39:DB39" ca="1" si="342">CM29-CM31-CM32-CM33-CM34</f>
        <v>0</v>
      </c>
      <c r="CN39" s="1378">
        <f t="shared" ca="1" si="342"/>
        <v>0</v>
      </c>
      <c r="CO39" s="1378">
        <f t="shared" ca="1" si="342"/>
        <v>0</v>
      </c>
      <c r="CP39" s="1378">
        <f t="shared" ca="1" si="342"/>
        <v>0</v>
      </c>
      <c r="CQ39" s="1378">
        <f t="shared" ca="1" si="342"/>
        <v>0</v>
      </c>
      <c r="CR39" s="1378">
        <f t="shared" ca="1" si="342"/>
        <v>0</v>
      </c>
      <c r="CS39" s="1378">
        <f t="shared" ca="1" si="342"/>
        <v>0</v>
      </c>
      <c r="CT39" s="1378">
        <f t="shared" ca="1" si="342"/>
        <v>0</v>
      </c>
      <c r="CU39" s="1378">
        <f t="shared" ca="1" si="342"/>
        <v>0</v>
      </c>
      <c r="CV39" s="1378">
        <f t="shared" ca="1" si="342"/>
        <v>0</v>
      </c>
      <c r="CW39" s="1378">
        <f t="shared" ca="1" si="342"/>
        <v>0</v>
      </c>
      <c r="CX39" s="1378">
        <f t="shared" ca="1" si="342"/>
        <v>0</v>
      </c>
      <c r="CY39" s="1378">
        <f t="shared" ca="1" si="342"/>
        <v>0</v>
      </c>
      <c r="CZ39" s="1378">
        <f t="shared" ca="1" si="342"/>
        <v>0</v>
      </c>
      <c r="DA39" s="1378">
        <f t="shared" si="342"/>
        <v>0</v>
      </c>
      <c r="DB39" s="1378">
        <f t="shared" si="342"/>
        <v>0</v>
      </c>
      <c r="DC39" s="1378">
        <f t="shared" ref="DC39:FB39" ca="1" si="343">DC29-DC31-DC32-DC33-DC34</f>
        <v>0</v>
      </c>
      <c r="DD39" s="1378">
        <f t="shared" ca="1" si="343"/>
        <v>0</v>
      </c>
      <c r="DE39" s="1378">
        <f t="shared" ca="1" si="343"/>
        <v>0</v>
      </c>
      <c r="DF39" s="1378">
        <f t="shared" ca="1" si="343"/>
        <v>0</v>
      </c>
      <c r="DG39" s="1378">
        <f t="shared" ca="1" si="343"/>
        <v>0</v>
      </c>
      <c r="DH39" s="1378">
        <f t="shared" ca="1" si="343"/>
        <v>0</v>
      </c>
      <c r="DI39" s="1378">
        <f t="shared" ca="1" si="343"/>
        <v>0</v>
      </c>
      <c r="DJ39" s="1378">
        <f t="shared" ca="1" si="343"/>
        <v>0</v>
      </c>
      <c r="DK39" s="1378">
        <f t="shared" ca="1" si="343"/>
        <v>0</v>
      </c>
      <c r="DL39" s="1378">
        <f t="shared" ca="1" si="343"/>
        <v>0</v>
      </c>
      <c r="DM39" s="1378">
        <f t="shared" ca="1" si="343"/>
        <v>0</v>
      </c>
      <c r="DN39" s="1378">
        <f t="shared" ca="1" si="343"/>
        <v>0</v>
      </c>
      <c r="DO39" s="1378">
        <f t="shared" ca="1" si="343"/>
        <v>0</v>
      </c>
      <c r="DP39" s="1378">
        <f t="shared" ca="1" si="343"/>
        <v>0</v>
      </c>
      <c r="DQ39" s="1378">
        <f t="shared" ca="1" si="343"/>
        <v>0</v>
      </c>
      <c r="DR39" s="1378">
        <f t="shared" ca="1" si="343"/>
        <v>0</v>
      </c>
      <c r="DS39" s="1378">
        <f t="shared" ca="1" si="343"/>
        <v>0</v>
      </c>
      <c r="DT39" s="1378">
        <f t="shared" ca="1" si="343"/>
        <v>0</v>
      </c>
      <c r="DU39" s="1378">
        <f t="shared" ca="1" si="343"/>
        <v>0</v>
      </c>
      <c r="DV39" s="1378">
        <f t="shared" ca="1" si="343"/>
        <v>0</v>
      </c>
      <c r="DW39" s="1378">
        <f t="shared" ca="1" si="343"/>
        <v>0</v>
      </c>
      <c r="DX39" s="1378">
        <f t="shared" ca="1" si="343"/>
        <v>0</v>
      </c>
      <c r="DY39" s="1378">
        <f t="shared" ca="1" si="343"/>
        <v>0</v>
      </c>
      <c r="DZ39" s="1378">
        <f t="shared" ca="1" si="343"/>
        <v>0</v>
      </c>
      <c r="EA39" s="1378">
        <f t="shared" si="343"/>
        <v>0</v>
      </c>
      <c r="EB39" s="1378">
        <f t="shared" si="343"/>
        <v>0</v>
      </c>
      <c r="EC39" s="1378">
        <f t="shared" ca="1" si="343"/>
        <v>0</v>
      </c>
      <c r="ED39" s="1378">
        <f t="shared" ca="1" si="343"/>
        <v>0</v>
      </c>
      <c r="EE39" s="1378">
        <f t="shared" ca="1" si="343"/>
        <v>0</v>
      </c>
      <c r="EF39" s="1378">
        <f t="shared" ca="1" si="343"/>
        <v>0</v>
      </c>
      <c r="EG39" s="1378">
        <f t="shared" ca="1" si="343"/>
        <v>0</v>
      </c>
      <c r="EH39" s="1378">
        <f t="shared" ca="1" si="343"/>
        <v>0</v>
      </c>
      <c r="EI39" s="1378">
        <f t="shared" ref="EI39:EJ39" ca="1" si="344">EI29-EI31-EI32-EI33-EI34</f>
        <v>0</v>
      </c>
      <c r="EJ39" s="1378">
        <f t="shared" ca="1" si="344"/>
        <v>0</v>
      </c>
      <c r="EK39" s="1378">
        <f t="shared" ca="1" si="343"/>
        <v>0</v>
      </c>
      <c r="EL39" s="1378">
        <f t="shared" ca="1" si="343"/>
        <v>0</v>
      </c>
      <c r="EM39" s="1378">
        <f t="shared" ca="1" si="343"/>
        <v>0</v>
      </c>
      <c r="EN39" s="1378">
        <f t="shared" ca="1" si="343"/>
        <v>0</v>
      </c>
      <c r="EO39" s="1378">
        <f t="shared" ca="1" si="343"/>
        <v>0</v>
      </c>
      <c r="EP39" s="1378">
        <f t="shared" ca="1" si="343"/>
        <v>0</v>
      </c>
      <c r="EQ39" s="1378">
        <f t="shared" ca="1" si="343"/>
        <v>0</v>
      </c>
      <c r="ER39" s="1378">
        <f t="shared" ca="1" si="343"/>
        <v>0</v>
      </c>
      <c r="ES39" s="1378">
        <f t="shared" ca="1" si="343"/>
        <v>0</v>
      </c>
      <c r="ET39" s="1378">
        <f t="shared" ca="1" si="343"/>
        <v>0</v>
      </c>
      <c r="EU39" s="1378">
        <f t="shared" ca="1" si="343"/>
        <v>0</v>
      </c>
      <c r="EV39" s="1378">
        <f t="shared" ca="1" si="343"/>
        <v>0</v>
      </c>
      <c r="EW39" s="1378">
        <f t="shared" ca="1" si="343"/>
        <v>0</v>
      </c>
      <c r="EX39" s="1378">
        <f t="shared" ca="1" si="343"/>
        <v>0</v>
      </c>
      <c r="EY39" s="1378">
        <f t="shared" ca="1" si="343"/>
        <v>0</v>
      </c>
      <c r="EZ39" s="1378">
        <f t="shared" ca="1" si="343"/>
        <v>0</v>
      </c>
      <c r="FA39" s="1378">
        <f t="shared" si="343"/>
        <v>0</v>
      </c>
      <c r="FB39" s="1378">
        <f t="shared" si="343"/>
        <v>0</v>
      </c>
      <c r="FC39" s="1378">
        <f t="shared" ref="FC39:FF39" ca="1" si="345">FC29-FC31-FC32-FC33-FC34</f>
        <v>0</v>
      </c>
      <c r="FD39" s="1378">
        <f t="shared" ca="1" si="345"/>
        <v>0</v>
      </c>
      <c r="FE39" s="1378">
        <f t="shared" ca="1" si="345"/>
        <v>0</v>
      </c>
      <c r="FF39" s="1378">
        <f t="shared" ca="1" si="345"/>
        <v>0</v>
      </c>
    </row>
    <row r="40" spans="1:162" s="1359" customFormat="1" ht="16.5" customHeight="1">
      <c r="A40" s="1788"/>
      <c r="B40" s="1376" t="s">
        <v>264</v>
      </c>
      <c r="C40" s="1404">
        <f ca="1">IFERROR(C39/C12,0)</f>
        <v>0.20609606238129013</v>
      </c>
      <c r="D40" s="1404">
        <f ca="1">IFERROR(D39/D12,0)</f>
        <v>0.20609606238129011</v>
      </c>
      <c r="E40" s="1405"/>
      <c r="F40" s="1405"/>
      <c r="G40" s="1404">
        <f t="shared" ref="G40:H40" ca="1" si="346">IFERROR(G39/G12,0)</f>
        <v>0.18922352589504751</v>
      </c>
      <c r="H40" s="1404">
        <f t="shared" ca="1" si="346"/>
        <v>0.20609606238129</v>
      </c>
      <c r="I40" s="1404">
        <f t="shared" ref="I40:AL40" ca="1" si="347">IFERROR(I39/I12,0)</f>
        <v>0.24246061694384327</v>
      </c>
      <c r="J40" s="1404">
        <f t="shared" ca="1" si="347"/>
        <v>0.24246061694384349</v>
      </c>
      <c r="K40" s="1404">
        <f t="shared" ca="1" si="347"/>
        <v>-6.2938624452395994E-2</v>
      </c>
      <c r="L40" s="1404">
        <f t="shared" ca="1" si="347"/>
        <v>-6.2938624452395911E-2</v>
      </c>
      <c r="M40" s="1404">
        <f t="shared" ca="1" si="347"/>
        <v>0</v>
      </c>
      <c r="N40" s="1404">
        <f t="shared" ca="1" si="347"/>
        <v>0</v>
      </c>
      <c r="O40" s="1404">
        <f t="shared" ca="1" si="347"/>
        <v>0</v>
      </c>
      <c r="P40" s="1404">
        <f t="shared" ca="1" si="347"/>
        <v>0</v>
      </c>
      <c r="Q40" s="1404">
        <f t="shared" ca="1" si="347"/>
        <v>0</v>
      </c>
      <c r="R40" s="1404">
        <f t="shared" ca="1" si="347"/>
        <v>0</v>
      </c>
      <c r="S40" s="1404">
        <f t="shared" ca="1" si="347"/>
        <v>0</v>
      </c>
      <c r="T40" s="1404">
        <f t="shared" ca="1" si="347"/>
        <v>0</v>
      </c>
      <c r="U40" s="1433">
        <f t="shared" ca="1" si="347"/>
        <v>0</v>
      </c>
      <c r="V40" s="1433">
        <f t="shared" ca="1" si="347"/>
        <v>0</v>
      </c>
      <c r="W40" s="1433">
        <f t="shared" ca="1" si="347"/>
        <v>0</v>
      </c>
      <c r="X40" s="1433">
        <f t="shared" ca="1" si="347"/>
        <v>0</v>
      </c>
      <c r="Y40" s="1433">
        <f t="shared" ca="1" si="347"/>
        <v>0</v>
      </c>
      <c r="Z40" s="1433">
        <f t="shared" ca="1" si="347"/>
        <v>0</v>
      </c>
      <c r="AA40" s="1433">
        <f t="shared" ref="AA40:AB40" si="348">IFERROR(AA39/AA12,0)</f>
        <v>0</v>
      </c>
      <c r="AB40" s="1433">
        <f t="shared" si="348"/>
        <v>0</v>
      </c>
      <c r="AC40" s="1433">
        <f t="shared" ref="AC40:AD40" ca="1" si="349">IFERROR(AC39/AC12,0)</f>
        <v>0.37614287427974413</v>
      </c>
      <c r="AD40" s="1433">
        <f t="shared" ca="1" si="349"/>
        <v>0.37614287427974419</v>
      </c>
      <c r="AE40" s="1433">
        <f t="shared" ca="1" si="347"/>
        <v>0</v>
      </c>
      <c r="AF40" s="1433">
        <f t="shared" ca="1" si="347"/>
        <v>0</v>
      </c>
      <c r="AG40" s="1404">
        <f t="shared" ca="1" si="347"/>
        <v>0</v>
      </c>
      <c r="AH40" s="1404">
        <f t="shared" ca="1" si="347"/>
        <v>0</v>
      </c>
      <c r="AI40" s="1433">
        <f t="shared" ca="1" si="347"/>
        <v>0</v>
      </c>
      <c r="AJ40" s="1433">
        <f t="shared" ca="1" si="347"/>
        <v>0</v>
      </c>
      <c r="AK40" s="1433">
        <f t="shared" ca="1" si="347"/>
        <v>0</v>
      </c>
      <c r="AL40" s="1433">
        <f t="shared" ca="1" si="347"/>
        <v>0</v>
      </c>
      <c r="AM40" s="1433">
        <f t="shared" ref="AM40:BL40" ca="1" si="350">IFERROR(AM39/AM12,0)</f>
        <v>0</v>
      </c>
      <c r="AN40" s="1433">
        <f t="shared" ca="1" si="350"/>
        <v>0</v>
      </c>
      <c r="AO40" s="1433">
        <f t="shared" ca="1" si="350"/>
        <v>0</v>
      </c>
      <c r="AP40" s="1433">
        <f t="shared" ca="1" si="350"/>
        <v>0</v>
      </c>
      <c r="AQ40" s="1433">
        <f t="shared" ca="1" si="350"/>
        <v>0</v>
      </c>
      <c r="AR40" s="1433">
        <f t="shared" ca="1" si="350"/>
        <v>0</v>
      </c>
      <c r="AS40" s="1433">
        <f t="shared" ca="1" si="350"/>
        <v>0</v>
      </c>
      <c r="AT40" s="1433">
        <f t="shared" ca="1" si="350"/>
        <v>0</v>
      </c>
      <c r="AU40" s="1433">
        <f t="shared" ca="1" si="350"/>
        <v>0</v>
      </c>
      <c r="AV40" s="1433">
        <f t="shared" ca="1" si="350"/>
        <v>0</v>
      </c>
      <c r="AW40" s="1433">
        <f t="shared" ca="1" si="350"/>
        <v>0</v>
      </c>
      <c r="AX40" s="1433">
        <f t="shared" ca="1" si="350"/>
        <v>0</v>
      </c>
      <c r="AY40" s="1433">
        <f t="shared" ca="1" si="350"/>
        <v>0</v>
      </c>
      <c r="AZ40" s="1433">
        <f t="shared" ca="1" si="350"/>
        <v>0</v>
      </c>
      <c r="BA40" s="1433">
        <f t="shared" si="350"/>
        <v>0</v>
      </c>
      <c r="BB40" s="1433">
        <f t="shared" si="350"/>
        <v>0</v>
      </c>
      <c r="BC40" s="1433">
        <f t="shared" ca="1" si="350"/>
        <v>0</v>
      </c>
      <c r="BD40" s="1433">
        <f t="shared" ca="1" si="350"/>
        <v>0</v>
      </c>
      <c r="BE40" s="1433">
        <f t="shared" ref="BE40:BH40" ca="1" si="351">IFERROR(BE39/BE12,0)</f>
        <v>0</v>
      </c>
      <c r="BF40" s="1433">
        <f t="shared" ca="1" si="351"/>
        <v>0</v>
      </c>
      <c r="BG40" s="1404">
        <f t="shared" ca="1" si="351"/>
        <v>0</v>
      </c>
      <c r="BH40" s="1404">
        <f t="shared" ca="1" si="351"/>
        <v>0</v>
      </c>
      <c r="BI40" s="1433">
        <f t="shared" ca="1" si="350"/>
        <v>0</v>
      </c>
      <c r="BJ40" s="1433">
        <f t="shared" ca="1" si="350"/>
        <v>0</v>
      </c>
      <c r="BK40" s="1433">
        <f t="shared" ca="1" si="350"/>
        <v>0</v>
      </c>
      <c r="BL40" s="1433">
        <f t="shared" ca="1" si="350"/>
        <v>0</v>
      </c>
      <c r="BM40" s="1433">
        <f t="shared" ref="BM40:CL40" ca="1" si="352">IFERROR(BM39/BM12,0)</f>
        <v>0</v>
      </c>
      <c r="BN40" s="1433">
        <f t="shared" ca="1" si="352"/>
        <v>0</v>
      </c>
      <c r="BO40" s="1433">
        <f t="shared" ca="1" si="352"/>
        <v>0</v>
      </c>
      <c r="BP40" s="1433">
        <f t="shared" ca="1" si="352"/>
        <v>0</v>
      </c>
      <c r="BQ40" s="1433">
        <f t="shared" ca="1" si="352"/>
        <v>0</v>
      </c>
      <c r="BR40" s="1433">
        <f t="shared" ca="1" si="352"/>
        <v>0</v>
      </c>
      <c r="BS40" s="1433">
        <f t="shared" ca="1" si="352"/>
        <v>0</v>
      </c>
      <c r="BT40" s="1433">
        <f t="shared" ca="1" si="352"/>
        <v>0</v>
      </c>
      <c r="BU40" s="1433">
        <f t="shared" ca="1" si="352"/>
        <v>0</v>
      </c>
      <c r="BV40" s="1433">
        <f t="shared" ca="1" si="352"/>
        <v>0</v>
      </c>
      <c r="BW40" s="1433">
        <f t="shared" ca="1" si="352"/>
        <v>0</v>
      </c>
      <c r="BX40" s="1433">
        <f t="shared" ca="1" si="352"/>
        <v>0</v>
      </c>
      <c r="BY40" s="1433">
        <f t="shared" ca="1" si="352"/>
        <v>0</v>
      </c>
      <c r="BZ40" s="1433">
        <f t="shared" ca="1" si="352"/>
        <v>0</v>
      </c>
      <c r="CA40" s="1433">
        <f t="shared" si="352"/>
        <v>0</v>
      </c>
      <c r="CB40" s="1433">
        <f t="shared" si="352"/>
        <v>0</v>
      </c>
      <c r="CC40" s="1433">
        <f t="shared" ref="CC40:CD40" ca="1" si="353">IFERROR(CC39/CC12,0)</f>
        <v>0</v>
      </c>
      <c r="CD40" s="1433">
        <f t="shared" ca="1" si="353"/>
        <v>0</v>
      </c>
      <c r="CE40" s="1433">
        <f t="shared" ref="CE40:CH40" ca="1" si="354">IFERROR(CE39/CE12,0)</f>
        <v>0</v>
      </c>
      <c r="CF40" s="1433">
        <f t="shared" ca="1" si="354"/>
        <v>0</v>
      </c>
      <c r="CG40" s="1404">
        <f t="shared" ca="1" si="354"/>
        <v>0</v>
      </c>
      <c r="CH40" s="1404">
        <f t="shared" ca="1" si="354"/>
        <v>0</v>
      </c>
      <c r="CI40" s="1433">
        <f t="shared" ca="1" si="352"/>
        <v>0</v>
      </c>
      <c r="CJ40" s="1433">
        <f t="shared" ca="1" si="352"/>
        <v>0</v>
      </c>
      <c r="CK40" s="1433">
        <f t="shared" ca="1" si="352"/>
        <v>0</v>
      </c>
      <c r="CL40" s="1433">
        <f t="shared" ca="1" si="352"/>
        <v>0</v>
      </c>
      <c r="CM40" s="1433">
        <f t="shared" ref="CM40:DB40" ca="1" si="355">IFERROR(CM39/CM12,0)</f>
        <v>0</v>
      </c>
      <c r="CN40" s="1433">
        <f t="shared" ca="1" si="355"/>
        <v>0</v>
      </c>
      <c r="CO40" s="1433">
        <f t="shared" ca="1" si="355"/>
        <v>0</v>
      </c>
      <c r="CP40" s="1433">
        <f t="shared" ca="1" si="355"/>
        <v>0</v>
      </c>
      <c r="CQ40" s="1433">
        <f t="shared" ca="1" si="355"/>
        <v>0</v>
      </c>
      <c r="CR40" s="1433">
        <f t="shared" ca="1" si="355"/>
        <v>0</v>
      </c>
      <c r="CS40" s="1433">
        <f t="shared" ca="1" si="355"/>
        <v>0</v>
      </c>
      <c r="CT40" s="1433">
        <f t="shared" ca="1" si="355"/>
        <v>0</v>
      </c>
      <c r="CU40" s="1433">
        <f t="shared" ca="1" si="355"/>
        <v>0</v>
      </c>
      <c r="CV40" s="1433">
        <f t="shared" ca="1" si="355"/>
        <v>0</v>
      </c>
      <c r="CW40" s="1433">
        <f t="shared" ca="1" si="355"/>
        <v>0</v>
      </c>
      <c r="CX40" s="1433">
        <f t="shared" ca="1" si="355"/>
        <v>0</v>
      </c>
      <c r="CY40" s="1433">
        <f t="shared" ca="1" si="355"/>
        <v>0</v>
      </c>
      <c r="CZ40" s="1433">
        <f t="shared" ca="1" si="355"/>
        <v>0</v>
      </c>
      <c r="DA40" s="1433">
        <f t="shared" si="355"/>
        <v>0</v>
      </c>
      <c r="DB40" s="1433">
        <f t="shared" si="355"/>
        <v>0</v>
      </c>
      <c r="DC40" s="1433">
        <f t="shared" ref="DC40:FB40" ca="1" si="356">IFERROR(DC39/DC12,0)</f>
        <v>0</v>
      </c>
      <c r="DD40" s="1433">
        <f t="shared" ca="1" si="356"/>
        <v>0</v>
      </c>
      <c r="DE40" s="1433">
        <f t="shared" ca="1" si="356"/>
        <v>0</v>
      </c>
      <c r="DF40" s="1433">
        <f t="shared" ca="1" si="356"/>
        <v>0</v>
      </c>
      <c r="DG40" s="1404">
        <f t="shared" ca="1" si="356"/>
        <v>0</v>
      </c>
      <c r="DH40" s="1404">
        <f t="shared" ca="1" si="356"/>
        <v>0</v>
      </c>
      <c r="DI40" s="1433">
        <f t="shared" ca="1" si="356"/>
        <v>0</v>
      </c>
      <c r="DJ40" s="1433">
        <f t="shared" ca="1" si="356"/>
        <v>0</v>
      </c>
      <c r="DK40" s="1433">
        <f t="shared" ca="1" si="356"/>
        <v>0</v>
      </c>
      <c r="DL40" s="1433">
        <f t="shared" ca="1" si="356"/>
        <v>0</v>
      </c>
      <c r="DM40" s="1433">
        <f t="shared" ca="1" si="356"/>
        <v>0</v>
      </c>
      <c r="DN40" s="1433">
        <f t="shared" ca="1" si="356"/>
        <v>0</v>
      </c>
      <c r="DO40" s="1433">
        <f t="shared" ca="1" si="356"/>
        <v>0</v>
      </c>
      <c r="DP40" s="1433">
        <f t="shared" ca="1" si="356"/>
        <v>0</v>
      </c>
      <c r="DQ40" s="1433">
        <f t="shared" ca="1" si="356"/>
        <v>0</v>
      </c>
      <c r="DR40" s="1433">
        <f t="shared" ca="1" si="356"/>
        <v>0</v>
      </c>
      <c r="DS40" s="1433">
        <f t="shared" ca="1" si="356"/>
        <v>0</v>
      </c>
      <c r="DT40" s="1433">
        <f t="shared" ca="1" si="356"/>
        <v>0</v>
      </c>
      <c r="DU40" s="1433">
        <f t="shared" ca="1" si="356"/>
        <v>0</v>
      </c>
      <c r="DV40" s="1433">
        <f t="shared" ca="1" si="356"/>
        <v>0</v>
      </c>
      <c r="DW40" s="1433">
        <f t="shared" ca="1" si="356"/>
        <v>0</v>
      </c>
      <c r="DX40" s="1433">
        <f t="shared" ca="1" si="356"/>
        <v>0</v>
      </c>
      <c r="DY40" s="1433">
        <f t="shared" ca="1" si="356"/>
        <v>0</v>
      </c>
      <c r="DZ40" s="1433">
        <f t="shared" ca="1" si="356"/>
        <v>0</v>
      </c>
      <c r="EA40" s="1433">
        <f t="shared" si="356"/>
        <v>0</v>
      </c>
      <c r="EB40" s="1433">
        <f t="shared" si="356"/>
        <v>0</v>
      </c>
      <c r="EC40" s="1433">
        <f t="shared" ca="1" si="356"/>
        <v>0</v>
      </c>
      <c r="ED40" s="1433">
        <f t="shared" ca="1" si="356"/>
        <v>0</v>
      </c>
      <c r="EE40" s="1433">
        <f t="shared" ca="1" si="356"/>
        <v>0</v>
      </c>
      <c r="EF40" s="1433">
        <f t="shared" ca="1" si="356"/>
        <v>0</v>
      </c>
      <c r="EG40" s="1404">
        <f t="shared" ca="1" si="356"/>
        <v>0</v>
      </c>
      <c r="EH40" s="1404">
        <f t="shared" ca="1" si="356"/>
        <v>0</v>
      </c>
      <c r="EI40" s="1433">
        <f t="shared" ca="1" si="356"/>
        <v>0</v>
      </c>
      <c r="EJ40" s="1433">
        <f t="shared" ca="1" si="356"/>
        <v>0</v>
      </c>
      <c r="EK40" s="1433">
        <f t="shared" ca="1" si="356"/>
        <v>0</v>
      </c>
      <c r="EL40" s="1433">
        <f t="shared" ca="1" si="356"/>
        <v>0</v>
      </c>
      <c r="EM40" s="1433">
        <f t="shared" ca="1" si="356"/>
        <v>0</v>
      </c>
      <c r="EN40" s="1433">
        <f t="shared" ca="1" si="356"/>
        <v>0</v>
      </c>
      <c r="EO40" s="1433">
        <f t="shared" ca="1" si="356"/>
        <v>0</v>
      </c>
      <c r="EP40" s="1433">
        <f t="shared" ca="1" si="356"/>
        <v>0</v>
      </c>
      <c r="EQ40" s="1433">
        <f t="shared" ca="1" si="356"/>
        <v>0</v>
      </c>
      <c r="ER40" s="1433">
        <f t="shared" ca="1" si="356"/>
        <v>0</v>
      </c>
      <c r="ES40" s="1433">
        <f t="shared" ca="1" si="356"/>
        <v>0</v>
      </c>
      <c r="ET40" s="1433">
        <f t="shared" ca="1" si="356"/>
        <v>0</v>
      </c>
      <c r="EU40" s="1433">
        <f t="shared" ca="1" si="356"/>
        <v>0</v>
      </c>
      <c r="EV40" s="1433">
        <f t="shared" ca="1" si="356"/>
        <v>0</v>
      </c>
      <c r="EW40" s="1433">
        <f t="shared" ca="1" si="356"/>
        <v>0</v>
      </c>
      <c r="EX40" s="1433">
        <f t="shared" ca="1" si="356"/>
        <v>0</v>
      </c>
      <c r="EY40" s="1433">
        <f t="shared" ca="1" si="356"/>
        <v>0</v>
      </c>
      <c r="EZ40" s="1433">
        <f t="shared" ca="1" si="356"/>
        <v>0</v>
      </c>
      <c r="FA40" s="1433">
        <f t="shared" si="356"/>
        <v>0</v>
      </c>
      <c r="FB40" s="1433">
        <f t="shared" si="356"/>
        <v>0</v>
      </c>
      <c r="FC40" s="1433">
        <f t="shared" ref="FC40:FF40" ca="1" si="357">IFERROR(FC39/FC12,0)</f>
        <v>0</v>
      </c>
      <c r="FD40" s="1433">
        <f t="shared" ca="1" si="357"/>
        <v>0</v>
      </c>
      <c r="FE40" s="1433">
        <f t="shared" ca="1" si="357"/>
        <v>0</v>
      </c>
      <c r="FF40" s="1433">
        <f t="shared" ca="1" si="357"/>
        <v>0</v>
      </c>
    </row>
    <row r="41" spans="1:162" s="1359" customFormat="1" ht="16.5" customHeight="1">
      <c r="A41" s="1788"/>
      <c r="B41" s="1406" t="s">
        <v>297</v>
      </c>
      <c r="C41" s="1378">
        <f t="shared" ref="C41:C44" si="358">D41/$C$7*10000</f>
        <v>0</v>
      </c>
      <c r="D41" s="1378">
        <f>'5.分产品利润表'!B23</f>
        <v>0</v>
      </c>
      <c r="E41" s="1387"/>
      <c r="F41" s="1387"/>
      <c r="G41" s="1784">
        <f>'5.分产品利润表'!O23</f>
        <v>0</v>
      </c>
      <c r="H41" s="1811"/>
      <c r="I41" s="1432"/>
      <c r="J41" s="1432"/>
      <c r="K41" s="1432"/>
      <c r="L41" s="1432"/>
      <c r="M41" s="1432"/>
      <c r="N41" s="1432"/>
      <c r="O41" s="1432"/>
      <c r="P41" s="1432"/>
      <c r="Q41" s="1432"/>
      <c r="R41" s="1432"/>
      <c r="S41" s="1432"/>
      <c r="T41" s="1432"/>
      <c r="U41" s="1432"/>
      <c r="V41" s="1432"/>
      <c r="W41" s="1432"/>
      <c r="X41" s="1432"/>
      <c r="Y41" s="1432"/>
      <c r="Z41" s="1432"/>
      <c r="AA41" s="1432"/>
      <c r="AB41" s="1432"/>
      <c r="AC41" s="1432"/>
      <c r="AD41" s="1432"/>
      <c r="AE41" s="1432"/>
      <c r="AF41" s="1432"/>
      <c r="AG41" s="1784">
        <f>'5.分产品利润表'!AB23</f>
        <v>0</v>
      </c>
      <c r="AH41" s="1811"/>
      <c r="AI41" s="1432"/>
      <c r="AJ41" s="1432"/>
      <c r="AK41" s="1432"/>
      <c r="AL41" s="1432"/>
      <c r="AM41" s="1432"/>
      <c r="AN41" s="1432"/>
      <c r="AO41" s="1432"/>
      <c r="AP41" s="1432"/>
      <c r="AQ41" s="1432"/>
      <c r="AR41" s="1432"/>
      <c r="AS41" s="1432"/>
      <c r="AT41" s="1432"/>
      <c r="AU41" s="1432"/>
      <c r="AV41" s="1432"/>
      <c r="AW41" s="1432"/>
      <c r="AX41" s="1432"/>
      <c r="AY41" s="1432"/>
      <c r="AZ41" s="1432"/>
      <c r="BA41" s="1432"/>
      <c r="BB41" s="1432"/>
      <c r="BC41" s="1432"/>
      <c r="BD41" s="1432"/>
      <c r="BE41" s="1432"/>
      <c r="BF41" s="1432"/>
      <c r="BG41" s="1784">
        <f>'5.分产品利润表'!AO23</f>
        <v>0</v>
      </c>
      <c r="BH41" s="1811"/>
      <c r="BI41" s="1432"/>
      <c r="BJ41" s="1432"/>
      <c r="BK41" s="1432"/>
      <c r="BL41" s="1432"/>
      <c r="BM41" s="1432"/>
      <c r="BN41" s="1432"/>
      <c r="BO41" s="1432"/>
      <c r="BP41" s="1432"/>
      <c r="BQ41" s="1432"/>
      <c r="BR41" s="1432"/>
      <c r="BS41" s="1432"/>
      <c r="BT41" s="1432"/>
      <c r="BU41" s="1432"/>
      <c r="BV41" s="1432"/>
      <c r="BW41" s="1432"/>
      <c r="BX41" s="1432"/>
      <c r="BY41" s="1432"/>
      <c r="BZ41" s="1432"/>
      <c r="CA41" s="1432"/>
      <c r="CB41" s="1432"/>
      <c r="CC41" s="1432"/>
      <c r="CD41" s="1432"/>
      <c r="CE41" s="1432"/>
      <c r="CF41" s="1432"/>
      <c r="CG41" s="1784">
        <f>'5.分产品利润表'!BB23</f>
        <v>0</v>
      </c>
      <c r="CH41" s="1811"/>
      <c r="CI41" s="1432"/>
      <c r="CJ41" s="1432"/>
      <c r="CK41" s="1432"/>
      <c r="CL41" s="1432"/>
      <c r="CM41" s="1432"/>
      <c r="CN41" s="1432"/>
      <c r="CO41" s="1432"/>
      <c r="CP41" s="1432"/>
      <c r="CQ41" s="1432"/>
      <c r="CR41" s="1432"/>
      <c r="CS41" s="1432"/>
      <c r="CT41" s="1432"/>
      <c r="CU41" s="1432"/>
      <c r="CV41" s="1432"/>
      <c r="CW41" s="1432"/>
      <c r="CX41" s="1432"/>
      <c r="CY41" s="1432"/>
      <c r="CZ41" s="1432"/>
      <c r="DA41" s="1432"/>
      <c r="DB41" s="1432"/>
      <c r="DC41" s="1432"/>
      <c r="DD41" s="1432"/>
      <c r="DE41" s="1432"/>
      <c r="DF41" s="1432"/>
      <c r="DG41" s="1784">
        <f>'5.分产品利润表'!BO23</f>
        <v>0</v>
      </c>
      <c r="DH41" s="1811"/>
      <c r="DI41" s="1432"/>
      <c r="DJ41" s="1432"/>
      <c r="DK41" s="1432"/>
      <c r="DL41" s="1432"/>
      <c r="DM41" s="1432"/>
      <c r="DN41" s="1432"/>
      <c r="DO41" s="1432"/>
      <c r="DP41" s="1432"/>
      <c r="DQ41" s="1432"/>
      <c r="DR41" s="1432"/>
      <c r="DS41" s="1432"/>
      <c r="DT41" s="1432"/>
      <c r="DU41" s="1432"/>
      <c r="DV41" s="1432"/>
      <c r="DW41" s="1432"/>
      <c r="DX41" s="1432"/>
      <c r="DY41" s="1432"/>
      <c r="DZ41" s="1432"/>
      <c r="EA41" s="1432"/>
      <c r="EB41" s="1432"/>
      <c r="EC41" s="1432"/>
      <c r="ED41" s="1432"/>
      <c r="EE41" s="1432"/>
      <c r="EF41" s="1432"/>
      <c r="EG41" s="1784">
        <f>'5.分产品利润表'!CB23</f>
        <v>0</v>
      </c>
      <c r="EH41" s="1785"/>
      <c r="EI41" s="1433"/>
      <c r="EJ41" s="1433"/>
      <c r="EK41" s="1433"/>
      <c r="EL41" s="1433"/>
      <c r="EM41" s="1433"/>
      <c r="EN41" s="1433"/>
      <c r="EO41" s="1433"/>
      <c r="EP41" s="1433"/>
      <c r="EQ41" s="1433"/>
      <c r="ER41" s="1433"/>
      <c r="ES41" s="1433"/>
      <c r="ET41" s="1433"/>
      <c r="EU41" s="1433"/>
      <c r="EV41" s="1433"/>
      <c r="EW41" s="1433"/>
      <c r="EX41" s="1433"/>
      <c r="EY41" s="1433"/>
      <c r="EZ41" s="1433"/>
      <c r="FA41" s="1433"/>
      <c r="FB41" s="1433"/>
      <c r="FC41" s="1433"/>
      <c r="FD41" s="1433"/>
      <c r="FE41" s="1433"/>
      <c r="FF41" s="1433"/>
    </row>
    <row r="42" spans="1:162" s="1359" customFormat="1" ht="16.5" customHeight="1">
      <c r="A42" s="1788"/>
      <c r="B42" s="1406" t="s">
        <v>298</v>
      </c>
      <c r="C42" s="1378">
        <f t="shared" ca="1" si="358"/>
        <v>0</v>
      </c>
      <c r="D42" s="1378">
        <f ca="1">'5.分产品利润表'!B22</f>
        <v>0</v>
      </c>
      <c r="E42" s="1384"/>
      <c r="F42" s="1384"/>
      <c r="G42" s="1784">
        <f ca="1">'5.分产品利润表'!O22</f>
        <v>0</v>
      </c>
      <c r="H42" s="1811"/>
      <c r="I42" s="1432"/>
      <c r="J42" s="1432"/>
      <c r="K42" s="1432"/>
      <c r="L42" s="1432"/>
      <c r="M42" s="1432"/>
      <c r="N42" s="1432"/>
      <c r="O42" s="1432"/>
      <c r="P42" s="1432"/>
      <c r="Q42" s="1432"/>
      <c r="R42" s="1432"/>
      <c r="S42" s="1432"/>
      <c r="T42" s="1432"/>
      <c r="U42" s="1432"/>
      <c r="V42" s="1432"/>
      <c r="W42" s="1432"/>
      <c r="X42" s="1432"/>
      <c r="Y42" s="1432"/>
      <c r="Z42" s="1432"/>
      <c r="AA42" s="1432"/>
      <c r="AB42" s="1432"/>
      <c r="AC42" s="1432"/>
      <c r="AD42" s="1432"/>
      <c r="AE42" s="1432"/>
      <c r="AF42" s="1432"/>
      <c r="AG42" s="1784">
        <f ca="1">'5.分产品利润表'!AB22</f>
        <v>0</v>
      </c>
      <c r="AH42" s="1811"/>
      <c r="AI42" s="1432"/>
      <c r="AJ42" s="1432"/>
      <c r="AK42" s="1432"/>
      <c r="AL42" s="1432"/>
      <c r="AM42" s="1432"/>
      <c r="AN42" s="1432"/>
      <c r="AO42" s="1432"/>
      <c r="AP42" s="1432"/>
      <c r="AQ42" s="1432"/>
      <c r="AR42" s="1432"/>
      <c r="AS42" s="1432"/>
      <c r="AT42" s="1432"/>
      <c r="AU42" s="1432"/>
      <c r="AV42" s="1432"/>
      <c r="AW42" s="1432"/>
      <c r="AX42" s="1432"/>
      <c r="AY42" s="1432"/>
      <c r="AZ42" s="1432"/>
      <c r="BA42" s="1432"/>
      <c r="BB42" s="1432"/>
      <c r="BC42" s="1432"/>
      <c r="BD42" s="1432"/>
      <c r="BE42" s="1432"/>
      <c r="BF42" s="1432"/>
      <c r="BG42" s="1784">
        <f ca="1">'5.分产品利润表'!AO22</f>
        <v>0</v>
      </c>
      <c r="BH42" s="1811"/>
      <c r="BI42" s="1432"/>
      <c r="BJ42" s="1432"/>
      <c r="BK42" s="1432"/>
      <c r="BL42" s="1432"/>
      <c r="BM42" s="1432"/>
      <c r="BN42" s="1432"/>
      <c r="BO42" s="1432"/>
      <c r="BP42" s="1432"/>
      <c r="BQ42" s="1432"/>
      <c r="BR42" s="1432"/>
      <c r="BS42" s="1432"/>
      <c r="BT42" s="1432"/>
      <c r="BU42" s="1432"/>
      <c r="BV42" s="1432"/>
      <c r="BW42" s="1432"/>
      <c r="BX42" s="1432"/>
      <c r="BY42" s="1432"/>
      <c r="BZ42" s="1432"/>
      <c r="CA42" s="1432"/>
      <c r="CB42" s="1432"/>
      <c r="CC42" s="1432"/>
      <c r="CD42" s="1432"/>
      <c r="CE42" s="1432"/>
      <c r="CF42" s="1432"/>
      <c r="CG42" s="1784">
        <f ca="1">'5.分产品利润表'!BB22</f>
        <v>0</v>
      </c>
      <c r="CH42" s="1811"/>
      <c r="CI42" s="1432"/>
      <c r="CJ42" s="1432"/>
      <c r="CK42" s="1432"/>
      <c r="CL42" s="1432"/>
      <c r="CM42" s="1432"/>
      <c r="CN42" s="1432"/>
      <c r="CO42" s="1432"/>
      <c r="CP42" s="1432"/>
      <c r="CQ42" s="1432"/>
      <c r="CR42" s="1432"/>
      <c r="CS42" s="1432"/>
      <c r="CT42" s="1432"/>
      <c r="CU42" s="1432"/>
      <c r="CV42" s="1432"/>
      <c r="CW42" s="1432"/>
      <c r="CX42" s="1432"/>
      <c r="CY42" s="1432"/>
      <c r="CZ42" s="1432"/>
      <c r="DA42" s="1432"/>
      <c r="DB42" s="1432"/>
      <c r="DC42" s="1432"/>
      <c r="DD42" s="1432"/>
      <c r="DE42" s="1432"/>
      <c r="DF42" s="1432"/>
      <c r="DG42" s="1784">
        <f ca="1">'5.分产品利润表'!BO22</f>
        <v>0</v>
      </c>
      <c r="DH42" s="1811"/>
      <c r="DI42" s="1432"/>
      <c r="DJ42" s="1432"/>
      <c r="DK42" s="1432"/>
      <c r="DL42" s="1432"/>
      <c r="DM42" s="1432"/>
      <c r="DN42" s="1432"/>
      <c r="DO42" s="1432"/>
      <c r="DP42" s="1432"/>
      <c r="DQ42" s="1432"/>
      <c r="DR42" s="1432"/>
      <c r="DS42" s="1432"/>
      <c r="DT42" s="1432"/>
      <c r="DU42" s="1432"/>
      <c r="DV42" s="1432"/>
      <c r="DW42" s="1432"/>
      <c r="DX42" s="1432"/>
      <c r="DY42" s="1432"/>
      <c r="DZ42" s="1432"/>
      <c r="EA42" s="1432"/>
      <c r="EB42" s="1432"/>
      <c r="EC42" s="1432"/>
      <c r="ED42" s="1432"/>
      <c r="EE42" s="1432"/>
      <c r="EF42" s="1432"/>
      <c r="EG42" s="1784">
        <f ca="1">'5.分产品利润表'!CB22</f>
        <v>0</v>
      </c>
      <c r="EH42" s="1785"/>
      <c r="EI42" s="1433"/>
      <c r="EJ42" s="1433"/>
      <c r="EK42" s="1433"/>
      <c r="EL42" s="1433"/>
      <c r="EM42" s="1433"/>
      <c r="EN42" s="1433"/>
      <c r="EO42" s="1433"/>
      <c r="EP42" s="1433"/>
      <c r="EQ42" s="1433"/>
      <c r="ER42" s="1433"/>
      <c r="ES42" s="1433"/>
      <c r="ET42" s="1433"/>
      <c r="EU42" s="1433"/>
      <c r="EV42" s="1433"/>
      <c r="EW42" s="1433"/>
      <c r="EX42" s="1433"/>
      <c r="EY42" s="1433"/>
      <c r="EZ42" s="1433"/>
      <c r="FA42" s="1433"/>
      <c r="FB42" s="1433"/>
      <c r="FC42" s="1433"/>
      <c r="FD42" s="1433"/>
      <c r="FE42" s="1433"/>
      <c r="FF42" s="1433"/>
    </row>
    <row r="43" spans="1:162" s="1359" customFormat="1" ht="16.5" customHeight="1">
      <c r="A43" s="1788"/>
      <c r="B43" s="1406" t="s">
        <v>299</v>
      </c>
      <c r="C43" s="1378">
        <f t="shared" ca="1" si="358"/>
        <v>0</v>
      </c>
      <c r="D43" s="1378">
        <f ca="1">'5.分产品利润表'!B24</f>
        <v>0</v>
      </c>
      <c r="E43" s="1405"/>
      <c r="F43" s="1405"/>
      <c r="G43" s="1784">
        <f ca="1">'5.分产品利润表'!O24</f>
        <v>0</v>
      </c>
      <c r="H43" s="1811"/>
      <c r="I43" s="1432"/>
      <c r="J43" s="1432"/>
      <c r="K43" s="1432"/>
      <c r="L43" s="1432"/>
      <c r="M43" s="1432"/>
      <c r="N43" s="1432"/>
      <c r="O43" s="1432"/>
      <c r="P43" s="1432"/>
      <c r="Q43" s="1432"/>
      <c r="R43" s="1432"/>
      <c r="S43" s="1432"/>
      <c r="T43" s="1432"/>
      <c r="U43" s="1432"/>
      <c r="V43" s="1432"/>
      <c r="W43" s="1432"/>
      <c r="X43" s="1432"/>
      <c r="Y43" s="1432"/>
      <c r="Z43" s="1432"/>
      <c r="AA43" s="1432"/>
      <c r="AB43" s="1432"/>
      <c r="AC43" s="1432"/>
      <c r="AD43" s="1432"/>
      <c r="AE43" s="1432"/>
      <c r="AF43" s="1432"/>
      <c r="AG43" s="1784">
        <f ca="1">'5.分产品利润表'!AB24</f>
        <v>0</v>
      </c>
      <c r="AH43" s="1811"/>
      <c r="AI43" s="1432"/>
      <c r="AJ43" s="1432"/>
      <c r="AK43" s="1432"/>
      <c r="AL43" s="1432"/>
      <c r="AM43" s="1432"/>
      <c r="AN43" s="1432"/>
      <c r="AO43" s="1432"/>
      <c r="AP43" s="1432"/>
      <c r="AQ43" s="1432"/>
      <c r="AR43" s="1432"/>
      <c r="AS43" s="1432"/>
      <c r="AT43" s="1432"/>
      <c r="AU43" s="1432"/>
      <c r="AV43" s="1432"/>
      <c r="AW43" s="1432"/>
      <c r="AX43" s="1432"/>
      <c r="AY43" s="1432"/>
      <c r="AZ43" s="1432"/>
      <c r="BA43" s="1432"/>
      <c r="BB43" s="1432"/>
      <c r="BC43" s="1432"/>
      <c r="BD43" s="1432"/>
      <c r="BE43" s="1432"/>
      <c r="BF43" s="1432"/>
      <c r="BG43" s="1784">
        <f ca="1">'5.分产品利润表'!AO24</f>
        <v>0</v>
      </c>
      <c r="BH43" s="1811"/>
      <c r="BI43" s="1432"/>
      <c r="BJ43" s="1432"/>
      <c r="BK43" s="1432"/>
      <c r="BL43" s="1432"/>
      <c r="BM43" s="1432"/>
      <c r="BN43" s="1432"/>
      <c r="BO43" s="1432"/>
      <c r="BP43" s="1432"/>
      <c r="BQ43" s="1432"/>
      <c r="BR43" s="1432"/>
      <c r="BS43" s="1432"/>
      <c r="BT43" s="1432"/>
      <c r="BU43" s="1432"/>
      <c r="BV43" s="1432"/>
      <c r="BW43" s="1432"/>
      <c r="BX43" s="1432"/>
      <c r="BY43" s="1432"/>
      <c r="BZ43" s="1432"/>
      <c r="CA43" s="1432"/>
      <c r="CB43" s="1432"/>
      <c r="CC43" s="1432"/>
      <c r="CD43" s="1432"/>
      <c r="CE43" s="1432"/>
      <c r="CF43" s="1432"/>
      <c r="CG43" s="1784">
        <f ca="1">'5.分产品利润表'!BB24</f>
        <v>0</v>
      </c>
      <c r="CH43" s="1811"/>
      <c r="CI43" s="1432"/>
      <c r="CJ43" s="1432"/>
      <c r="CK43" s="1432"/>
      <c r="CL43" s="1432"/>
      <c r="CM43" s="1432"/>
      <c r="CN43" s="1432"/>
      <c r="CO43" s="1432"/>
      <c r="CP43" s="1432"/>
      <c r="CQ43" s="1432"/>
      <c r="CR43" s="1432"/>
      <c r="CS43" s="1432"/>
      <c r="CT43" s="1432"/>
      <c r="CU43" s="1432"/>
      <c r="CV43" s="1432"/>
      <c r="CW43" s="1432"/>
      <c r="CX43" s="1432"/>
      <c r="CY43" s="1432"/>
      <c r="CZ43" s="1432"/>
      <c r="DA43" s="1432"/>
      <c r="DB43" s="1432"/>
      <c r="DC43" s="1432"/>
      <c r="DD43" s="1432"/>
      <c r="DE43" s="1432"/>
      <c r="DF43" s="1432"/>
      <c r="DG43" s="1784">
        <f ca="1">'5.分产品利润表'!BO24</f>
        <v>0</v>
      </c>
      <c r="DH43" s="1811"/>
      <c r="DI43" s="1432"/>
      <c r="DJ43" s="1432"/>
      <c r="DK43" s="1432"/>
      <c r="DL43" s="1432"/>
      <c r="DM43" s="1432"/>
      <c r="DN43" s="1432"/>
      <c r="DO43" s="1432"/>
      <c r="DP43" s="1432"/>
      <c r="DQ43" s="1432"/>
      <c r="DR43" s="1432"/>
      <c r="DS43" s="1432"/>
      <c r="DT43" s="1432"/>
      <c r="DU43" s="1432"/>
      <c r="DV43" s="1432"/>
      <c r="DW43" s="1432"/>
      <c r="DX43" s="1432"/>
      <c r="DY43" s="1432"/>
      <c r="DZ43" s="1432"/>
      <c r="EA43" s="1432"/>
      <c r="EB43" s="1432"/>
      <c r="EC43" s="1432"/>
      <c r="ED43" s="1432"/>
      <c r="EE43" s="1432"/>
      <c r="EF43" s="1432"/>
      <c r="EG43" s="1784">
        <f ca="1">'5.分产品利润表'!CB24</f>
        <v>0</v>
      </c>
      <c r="EH43" s="1785"/>
      <c r="EI43" s="1433"/>
      <c r="EJ43" s="1433"/>
      <c r="EK43" s="1433"/>
      <c r="EL43" s="1433"/>
      <c r="EM43" s="1433"/>
      <c r="EN43" s="1433"/>
      <c r="EO43" s="1433"/>
      <c r="EP43" s="1433"/>
      <c r="EQ43" s="1433"/>
      <c r="ER43" s="1433"/>
      <c r="ES43" s="1433"/>
      <c r="ET43" s="1433"/>
      <c r="EU43" s="1433"/>
      <c r="EV43" s="1433"/>
      <c r="EW43" s="1433"/>
      <c r="EX43" s="1433"/>
      <c r="EY43" s="1433"/>
      <c r="EZ43" s="1433"/>
      <c r="FA43" s="1433"/>
      <c r="FB43" s="1433"/>
      <c r="FC43" s="1433"/>
      <c r="FD43" s="1433"/>
      <c r="FE43" s="1433"/>
      <c r="FF43" s="1433"/>
    </row>
    <row r="44" spans="1:162" s="1359" customFormat="1" ht="16.5" customHeight="1">
      <c r="A44" s="1788"/>
      <c r="B44" s="1407" t="s">
        <v>268</v>
      </c>
      <c r="C44" s="1378">
        <f t="shared" ca="1" si="358"/>
        <v>3470.3484070320451</v>
      </c>
      <c r="D44" s="1378">
        <f ca="1">'5.分产品利润表'!B20</f>
        <v>20731.861383609437</v>
      </c>
      <c r="E44" s="1387"/>
      <c r="F44" s="1387"/>
      <c r="G44" s="1812">
        <f ca="1">H39+(G41+G42)*0.75+G43</f>
        <v>20731.861383609426</v>
      </c>
      <c r="H44" s="1813"/>
      <c r="I44" s="1433"/>
      <c r="J44" s="1433"/>
      <c r="K44" s="1433"/>
      <c r="L44" s="1433"/>
      <c r="M44" s="1433"/>
      <c r="N44" s="1433"/>
      <c r="O44" s="1433"/>
      <c r="P44" s="1433"/>
      <c r="Q44" s="1433"/>
      <c r="R44" s="1433"/>
      <c r="S44" s="1433"/>
      <c r="T44" s="1433"/>
      <c r="U44" s="1433"/>
      <c r="V44" s="1433"/>
      <c r="W44" s="1433"/>
      <c r="X44" s="1433"/>
      <c r="Y44" s="1433"/>
      <c r="Z44" s="1433"/>
      <c r="AA44" s="1433"/>
      <c r="AB44" s="1433"/>
      <c r="AC44" s="1433"/>
      <c r="AD44" s="1433"/>
      <c r="AE44" s="1433"/>
      <c r="AF44" s="1433"/>
      <c r="AG44" s="1812">
        <f ca="1">AH39+(AG41+AG42)*0.75+AG43</f>
        <v>0</v>
      </c>
      <c r="AH44" s="1813"/>
      <c r="AI44" s="1433"/>
      <c r="AJ44" s="1433"/>
      <c r="AK44" s="1433"/>
      <c r="AL44" s="1433"/>
      <c r="AM44" s="1433"/>
      <c r="AN44" s="1433"/>
      <c r="AO44" s="1433"/>
      <c r="AP44" s="1433"/>
      <c r="AQ44" s="1433"/>
      <c r="AR44" s="1433"/>
      <c r="AS44" s="1433"/>
      <c r="AT44" s="1433"/>
      <c r="AU44" s="1433"/>
      <c r="AV44" s="1433"/>
      <c r="AW44" s="1433"/>
      <c r="AX44" s="1433"/>
      <c r="AY44" s="1433"/>
      <c r="AZ44" s="1433"/>
      <c r="BA44" s="1433"/>
      <c r="BB44" s="1433"/>
      <c r="BC44" s="1433"/>
      <c r="BD44" s="1433"/>
      <c r="BE44" s="1433"/>
      <c r="BF44" s="1433"/>
      <c r="BG44" s="1812">
        <f ca="1">BH39+(BG41+BG42)*0.75+BG43</f>
        <v>0</v>
      </c>
      <c r="BH44" s="1813"/>
      <c r="BI44" s="1433"/>
      <c r="BJ44" s="1433"/>
      <c r="BK44" s="1433"/>
      <c r="BL44" s="1433"/>
      <c r="BM44" s="1433"/>
      <c r="BN44" s="1433"/>
      <c r="BO44" s="1433"/>
      <c r="BP44" s="1433"/>
      <c r="BQ44" s="1433"/>
      <c r="BR44" s="1433"/>
      <c r="BS44" s="1433"/>
      <c r="BT44" s="1433"/>
      <c r="BU44" s="1433"/>
      <c r="BV44" s="1433"/>
      <c r="BW44" s="1433"/>
      <c r="BX44" s="1433"/>
      <c r="BY44" s="1433"/>
      <c r="BZ44" s="1433"/>
      <c r="CA44" s="1433"/>
      <c r="CB44" s="1433"/>
      <c r="CC44" s="1433"/>
      <c r="CD44" s="1433"/>
      <c r="CE44" s="1433"/>
      <c r="CF44" s="1433"/>
      <c r="CG44" s="1812">
        <f ca="1">CH39+(CG41+CG42)*0.75+CG43</f>
        <v>0</v>
      </c>
      <c r="CH44" s="1813"/>
      <c r="CI44" s="1433"/>
      <c r="CJ44" s="1433"/>
      <c r="CK44" s="1433"/>
      <c r="CL44" s="1433"/>
      <c r="CM44" s="1433"/>
      <c r="CN44" s="1433"/>
      <c r="CO44" s="1433"/>
      <c r="CP44" s="1433"/>
      <c r="CQ44" s="1433"/>
      <c r="CR44" s="1433"/>
      <c r="CS44" s="1433"/>
      <c r="CT44" s="1433"/>
      <c r="CU44" s="1433"/>
      <c r="CV44" s="1433"/>
      <c r="CW44" s="1433"/>
      <c r="CX44" s="1433"/>
      <c r="CY44" s="1433"/>
      <c r="CZ44" s="1433"/>
      <c r="DA44" s="1433"/>
      <c r="DB44" s="1433"/>
      <c r="DC44" s="1433"/>
      <c r="DD44" s="1433"/>
      <c r="DE44" s="1433"/>
      <c r="DF44" s="1433"/>
      <c r="DG44" s="1812">
        <f ca="1">DH39+(DG41+DG42)*0.75+DG43</f>
        <v>0</v>
      </c>
      <c r="DH44" s="1813"/>
      <c r="DI44" s="1433"/>
      <c r="DJ44" s="1433"/>
      <c r="DK44" s="1433"/>
      <c r="DL44" s="1433"/>
      <c r="DM44" s="1433"/>
      <c r="DN44" s="1433"/>
      <c r="DO44" s="1433"/>
      <c r="DP44" s="1433"/>
      <c r="DQ44" s="1433"/>
      <c r="DR44" s="1433"/>
      <c r="DS44" s="1433"/>
      <c r="DT44" s="1433"/>
      <c r="DU44" s="1433"/>
      <c r="DV44" s="1433"/>
      <c r="DW44" s="1433"/>
      <c r="DX44" s="1433"/>
      <c r="DY44" s="1433"/>
      <c r="DZ44" s="1433"/>
      <c r="EA44" s="1433"/>
      <c r="EB44" s="1433"/>
      <c r="EC44" s="1433"/>
      <c r="ED44" s="1433"/>
      <c r="EE44" s="1433"/>
      <c r="EF44" s="1433"/>
      <c r="EG44" s="1812">
        <f ca="1">EH39+(EG41+EG42)*0.75+EG43</f>
        <v>0</v>
      </c>
      <c r="EH44" s="1814"/>
      <c r="EI44" s="1433"/>
      <c r="EJ44" s="1433"/>
      <c r="EK44" s="1433"/>
      <c r="EL44" s="1433"/>
      <c r="EM44" s="1433"/>
      <c r="EN44" s="1433"/>
      <c r="EO44" s="1433"/>
      <c r="EP44" s="1433"/>
      <c r="EQ44" s="1433"/>
      <c r="ER44" s="1433"/>
      <c r="ES44" s="1433"/>
      <c r="ET44" s="1433"/>
      <c r="EU44" s="1433"/>
      <c r="EV44" s="1433"/>
      <c r="EW44" s="1433"/>
      <c r="EX44" s="1433"/>
      <c r="EY44" s="1433"/>
      <c r="EZ44" s="1433"/>
      <c r="FA44" s="1433"/>
      <c r="FB44" s="1433"/>
      <c r="FC44" s="1433"/>
      <c r="FD44" s="1433"/>
      <c r="FE44" s="1433"/>
      <c r="FF44" s="1433"/>
    </row>
    <row r="45" spans="1:162" s="1359" customFormat="1" ht="18.75" customHeight="1">
      <c r="A45" s="1788"/>
      <c r="B45" s="1376" t="s">
        <v>300</v>
      </c>
      <c r="C45" s="1815">
        <f ca="1">IF(ISERROR((1+IRR((C57,D57,E57,F57,G57,H57,AG57,AH57),0.01))-1),0,(1+IRR((C57,D57,E57,F57,G57,H57,AG57,AH57),0.01))-1)</f>
        <v>1.3622592446498598</v>
      </c>
      <c r="D45" s="1816"/>
      <c r="E45" s="1816"/>
      <c r="F45" s="1816"/>
      <c r="G45" s="1816"/>
      <c r="H45" s="1816"/>
      <c r="I45" s="1816"/>
      <c r="J45" s="1816"/>
      <c r="K45" s="1816"/>
      <c r="L45" s="1816"/>
      <c r="M45" s="1816"/>
      <c r="N45" s="1816"/>
      <c r="O45" s="1816"/>
      <c r="P45" s="1816"/>
      <c r="Q45" s="1816"/>
      <c r="R45" s="1817"/>
      <c r="S45" s="1378"/>
      <c r="T45" s="1378"/>
      <c r="U45" s="1378"/>
      <c r="V45" s="1378"/>
      <c r="W45" s="1378"/>
      <c r="X45" s="1378"/>
      <c r="Y45" s="1378"/>
      <c r="Z45" s="1378"/>
      <c r="AA45" s="1378"/>
      <c r="AB45" s="1378"/>
      <c r="AC45" s="1378"/>
      <c r="AD45" s="1378"/>
      <c r="AE45" s="1378"/>
      <c r="AF45" s="1378"/>
      <c r="AG45" s="1378"/>
      <c r="AH45" s="1378"/>
      <c r="AI45" s="1378"/>
      <c r="AJ45" s="1378"/>
      <c r="AK45" s="1378"/>
      <c r="AL45" s="1378"/>
      <c r="AM45" s="1378"/>
      <c r="AN45" s="1378"/>
      <c r="AO45" s="1378"/>
      <c r="AP45" s="1378"/>
      <c r="AQ45" s="1378"/>
      <c r="AR45" s="1378"/>
      <c r="AS45" s="1378"/>
      <c r="AT45" s="1378"/>
      <c r="AU45" s="1378"/>
      <c r="AV45" s="1378"/>
      <c r="AW45" s="1378"/>
      <c r="AX45" s="1378"/>
      <c r="AY45" s="1378"/>
      <c r="AZ45" s="1378"/>
      <c r="BA45" s="1378"/>
      <c r="BB45" s="1378"/>
      <c r="BC45" s="1378"/>
      <c r="BD45" s="1378"/>
      <c r="BE45" s="1378"/>
      <c r="BF45" s="1378"/>
      <c r="BG45" s="1378"/>
      <c r="BH45" s="1378"/>
      <c r="BI45" s="1378"/>
      <c r="BJ45" s="1378"/>
      <c r="BK45" s="1378"/>
      <c r="BL45" s="1378"/>
      <c r="BM45" s="1378"/>
      <c r="BN45" s="1378"/>
      <c r="BO45" s="1378"/>
      <c r="BP45" s="1378"/>
      <c r="BQ45" s="1378"/>
      <c r="BR45" s="1378"/>
      <c r="BS45" s="1378"/>
      <c r="BT45" s="1378"/>
      <c r="BU45" s="1378"/>
      <c r="BV45" s="1378"/>
      <c r="BW45" s="1378"/>
      <c r="BX45" s="1378"/>
      <c r="BY45" s="1378"/>
      <c r="BZ45" s="1378"/>
      <c r="CA45" s="1378"/>
      <c r="CB45" s="1378"/>
      <c r="CC45" s="1378"/>
      <c r="CD45" s="1378"/>
      <c r="CE45" s="1378"/>
      <c r="CF45" s="1378"/>
      <c r="CG45" s="1378"/>
      <c r="CH45" s="1378"/>
      <c r="CI45" s="1378"/>
      <c r="CJ45" s="1378"/>
      <c r="CK45" s="1378"/>
      <c r="CL45" s="1378"/>
      <c r="CM45" s="1378"/>
      <c r="CN45" s="1378"/>
      <c r="CO45" s="1378"/>
      <c r="CP45" s="1378"/>
      <c r="CQ45" s="1378"/>
      <c r="CR45" s="1378"/>
      <c r="CS45" s="1378"/>
      <c r="CT45" s="1378"/>
      <c r="CU45" s="1378"/>
      <c r="CV45" s="1378"/>
      <c r="CW45" s="1378"/>
      <c r="CX45" s="1378"/>
      <c r="CY45" s="1378"/>
      <c r="CZ45" s="1378"/>
      <c r="DA45" s="1378"/>
      <c r="DB45" s="1378"/>
      <c r="DC45" s="1378"/>
      <c r="DD45" s="1378"/>
      <c r="DE45" s="1378"/>
      <c r="DF45" s="1378"/>
      <c r="DG45" s="1378"/>
      <c r="DH45" s="1378"/>
      <c r="DI45" s="1378"/>
      <c r="DJ45" s="1378"/>
      <c r="DK45" s="1378"/>
      <c r="DL45" s="1378"/>
      <c r="DM45" s="1378"/>
      <c r="DN45" s="1378"/>
      <c r="DO45" s="1378"/>
      <c r="DP45" s="1378"/>
      <c r="DQ45" s="1378"/>
      <c r="DR45" s="1378"/>
      <c r="DS45" s="1378"/>
      <c r="DT45" s="1378"/>
      <c r="DU45" s="1378"/>
      <c r="DV45" s="1378"/>
      <c r="DW45" s="1378"/>
      <c r="DX45" s="1378"/>
      <c r="DY45" s="1378"/>
      <c r="DZ45" s="1378"/>
      <c r="EA45" s="1378"/>
      <c r="EB45" s="1378"/>
      <c r="EC45" s="1378"/>
      <c r="ED45" s="1378"/>
      <c r="EE45" s="1378"/>
      <c r="EF45" s="1378"/>
      <c r="EG45" s="1378"/>
      <c r="EH45" s="1378"/>
      <c r="EI45" s="1378"/>
      <c r="EJ45" s="1378"/>
      <c r="EK45" s="1378"/>
      <c r="EL45" s="1378"/>
      <c r="EM45" s="1378"/>
      <c r="EN45" s="1378"/>
      <c r="EO45" s="1378"/>
      <c r="EP45" s="1378"/>
      <c r="EQ45" s="1378"/>
      <c r="ER45" s="1378"/>
      <c r="ES45" s="1378"/>
      <c r="ET45" s="1378"/>
      <c r="EU45" s="1378"/>
      <c r="EV45" s="1378"/>
      <c r="EW45" s="1378"/>
      <c r="EX45" s="1378"/>
      <c r="EY45" s="1378"/>
      <c r="EZ45" s="1378"/>
      <c r="FA45" s="1378"/>
      <c r="FB45" s="1378"/>
      <c r="FC45" s="1378"/>
      <c r="FD45" s="1378"/>
      <c r="FE45" s="1378"/>
      <c r="FF45" s="1378"/>
    </row>
    <row r="46" spans="1:162" s="1362" customFormat="1" ht="19.5" customHeight="1">
      <c r="A46" s="1787" t="s">
        <v>301</v>
      </c>
      <c r="B46" s="1408" t="s">
        <v>302</v>
      </c>
      <c r="C46" s="1409" t="s">
        <v>303</v>
      </c>
      <c r="D46" s="1409" t="s">
        <v>304</v>
      </c>
      <c r="E46" s="1409" t="s">
        <v>305</v>
      </c>
      <c r="F46" s="1409" t="s">
        <v>306</v>
      </c>
      <c r="G46" s="1409" t="s">
        <v>307</v>
      </c>
      <c r="H46" s="1409" t="s">
        <v>308</v>
      </c>
      <c r="I46" s="1409" t="s">
        <v>309</v>
      </c>
      <c r="J46" s="1409" t="s">
        <v>310</v>
      </c>
      <c r="K46" s="1409" t="s">
        <v>311</v>
      </c>
      <c r="L46" s="1409" t="s">
        <v>312</v>
      </c>
      <c r="M46" s="1409" t="s">
        <v>313</v>
      </c>
      <c r="N46" s="1409" t="s">
        <v>314</v>
      </c>
      <c r="O46" s="1409" t="s">
        <v>315</v>
      </c>
      <c r="P46" s="1409" t="s">
        <v>316</v>
      </c>
      <c r="Q46" s="1409" t="s">
        <v>317</v>
      </c>
      <c r="R46" s="1409" t="s">
        <v>318</v>
      </c>
      <c r="S46" s="1409" t="s">
        <v>319</v>
      </c>
      <c r="T46" s="1409" t="s">
        <v>320</v>
      </c>
      <c r="U46" s="1409" t="s">
        <v>321</v>
      </c>
      <c r="V46" s="1409" t="s">
        <v>322</v>
      </c>
      <c r="W46" s="1409" t="s">
        <v>323</v>
      </c>
      <c r="X46" s="1409" t="s">
        <v>324</v>
      </c>
      <c r="Y46" s="1409" t="s">
        <v>325</v>
      </c>
      <c r="Z46" s="1409" t="s">
        <v>326</v>
      </c>
      <c r="AA46" s="1409" t="s">
        <v>327</v>
      </c>
      <c r="AB46" s="1409" t="s">
        <v>328</v>
      </c>
      <c r="AC46" s="1409" t="s">
        <v>329</v>
      </c>
      <c r="AD46" s="1409" t="s">
        <v>330</v>
      </c>
      <c r="AE46" s="1409" t="s">
        <v>331</v>
      </c>
      <c r="AF46" s="1409" t="s">
        <v>332</v>
      </c>
      <c r="AG46" s="1409" t="s">
        <v>333</v>
      </c>
      <c r="AH46" s="1409" t="s">
        <v>334</v>
      </c>
      <c r="AI46" s="1409" t="s">
        <v>335</v>
      </c>
      <c r="AJ46" s="1409" t="s">
        <v>336</v>
      </c>
      <c r="AK46" s="1409" t="s">
        <v>337</v>
      </c>
      <c r="AL46" s="1409" t="s">
        <v>338</v>
      </c>
      <c r="AM46" s="1409" t="s">
        <v>335</v>
      </c>
      <c r="AN46" s="1409" t="s">
        <v>336</v>
      </c>
      <c r="AO46" s="1409" t="s">
        <v>337</v>
      </c>
      <c r="AP46" s="1409" t="s">
        <v>338</v>
      </c>
      <c r="AQ46" s="1409" t="s">
        <v>335</v>
      </c>
      <c r="AR46" s="1409" t="s">
        <v>336</v>
      </c>
      <c r="AS46" s="1409" t="s">
        <v>337</v>
      </c>
      <c r="AT46" s="1409" t="s">
        <v>338</v>
      </c>
      <c r="AU46" s="1409" t="s">
        <v>335</v>
      </c>
      <c r="AV46" s="1409" t="s">
        <v>336</v>
      </c>
      <c r="AW46" s="1409" t="s">
        <v>337</v>
      </c>
      <c r="AX46" s="1409" t="s">
        <v>338</v>
      </c>
      <c r="AY46" s="1409" t="s">
        <v>335</v>
      </c>
      <c r="AZ46" s="1409" t="s">
        <v>336</v>
      </c>
      <c r="BA46" s="1409" t="s">
        <v>337</v>
      </c>
      <c r="BB46" s="1409" t="s">
        <v>338</v>
      </c>
      <c r="BC46" s="1409" t="s">
        <v>337</v>
      </c>
      <c r="BD46" s="1409" t="s">
        <v>338</v>
      </c>
      <c r="BE46" s="1409" t="s">
        <v>337</v>
      </c>
      <c r="BF46" s="1409" t="s">
        <v>338</v>
      </c>
      <c r="BG46" s="1409"/>
      <c r="BH46" s="1409"/>
      <c r="BI46" s="1409"/>
      <c r="BJ46" s="1409"/>
      <c r="BK46" s="1409"/>
      <c r="BL46" s="1409"/>
      <c r="BM46" s="1409"/>
      <c r="BN46" s="1409"/>
      <c r="BO46" s="1409"/>
      <c r="BP46" s="1409"/>
      <c r="BQ46" s="1409"/>
      <c r="BR46" s="1409"/>
      <c r="BS46" s="1409"/>
      <c r="BT46" s="1409"/>
      <c r="BU46" s="1409"/>
      <c r="BV46" s="1409"/>
      <c r="BW46" s="1409"/>
      <c r="BX46" s="1409"/>
      <c r="BY46" s="1409"/>
      <c r="BZ46" s="1409"/>
      <c r="CA46" s="1409"/>
      <c r="CB46" s="1409"/>
      <c r="CC46" s="1409"/>
      <c r="CD46" s="1409"/>
      <c r="CE46" s="1409"/>
      <c r="CF46" s="1409"/>
      <c r="CG46" s="1409"/>
      <c r="CH46" s="1409"/>
      <c r="CI46" s="1409"/>
      <c r="CJ46" s="1409"/>
      <c r="CK46" s="1409"/>
      <c r="CL46" s="1409"/>
      <c r="CM46" s="1409"/>
      <c r="CN46" s="1409"/>
      <c r="CO46" s="1409"/>
      <c r="CP46" s="1409"/>
      <c r="CQ46" s="1409"/>
      <c r="CR46" s="1409"/>
      <c r="CS46" s="1409"/>
      <c r="CT46" s="1409"/>
      <c r="CU46" s="1409"/>
      <c r="CV46" s="1409"/>
      <c r="CW46" s="1409"/>
      <c r="CX46" s="1409"/>
      <c r="CY46" s="1409"/>
      <c r="CZ46" s="1409"/>
      <c r="DA46" s="1409"/>
      <c r="DB46" s="1409"/>
      <c r="DC46" s="1409"/>
      <c r="DD46" s="1409"/>
      <c r="DE46" s="1409"/>
      <c r="DF46" s="1409"/>
      <c r="DG46" s="1409"/>
      <c r="DH46" s="1409"/>
      <c r="DI46" s="1409"/>
      <c r="DJ46" s="1409"/>
      <c r="DK46" s="1409"/>
      <c r="DL46" s="1409"/>
      <c r="DM46" s="1409"/>
      <c r="DN46" s="1409"/>
      <c r="DO46" s="1409"/>
      <c r="DP46" s="1409"/>
      <c r="DQ46" s="1409"/>
      <c r="DR46" s="1409"/>
      <c r="DS46" s="1409"/>
      <c r="DT46" s="1409"/>
      <c r="DU46" s="1409"/>
      <c r="DV46" s="1409"/>
      <c r="DW46" s="1409"/>
      <c r="DX46" s="1409"/>
      <c r="DY46" s="1409"/>
      <c r="DZ46" s="1409"/>
      <c r="EA46" s="1409"/>
      <c r="EB46" s="1409"/>
      <c r="EC46" s="1409"/>
      <c r="ED46" s="1409"/>
      <c r="EE46" s="1409"/>
      <c r="EF46" s="1409"/>
      <c r="EG46" s="1409"/>
      <c r="EH46" s="1409"/>
      <c r="EI46" s="1409" t="s">
        <v>335</v>
      </c>
      <c r="EJ46" s="1409" t="s">
        <v>336</v>
      </c>
      <c r="EK46" s="1409" t="s">
        <v>337</v>
      </c>
      <c r="EL46" s="1409" t="s">
        <v>338</v>
      </c>
      <c r="EM46" s="1409" t="s">
        <v>335</v>
      </c>
      <c r="EN46" s="1409" t="s">
        <v>336</v>
      </c>
      <c r="EO46" s="1409" t="s">
        <v>337</v>
      </c>
      <c r="EP46" s="1409" t="s">
        <v>338</v>
      </c>
      <c r="EQ46" s="1409" t="s">
        <v>335</v>
      </c>
      <c r="ER46" s="1409" t="s">
        <v>336</v>
      </c>
      <c r="ES46" s="1409" t="s">
        <v>337</v>
      </c>
      <c r="ET46" s="1409" t="s">
        <v>338</v>
      </c>
      <c r="EU46" s="1409" t="s">
        <v>335</v>
      </c>
      <c r="EV46" s="1409" t="s">
        <v>336</v>
      </c>
      <c r="EW46" s="1409" t="s">
        <v>337</v>
      </c>
      <c r="EX46" s="1409" t="s">
        <v>338</v>
      </c>
      <c r="EY46" s="1409" t="s">
        <v>335</v>
      </c>
      <c r="EZ46" s="1409" t="s">
        <v>336</v>
      </c>
      <c r="FA46" s="1409" t="s">
        <v>337</v>
      </c>
      <c r="FB46" s="1409" t="s">
        <v>338</v>
      </c>
      <c r="FC46" s="1409" t="s">
        <v>337</v>
      </c>
      <c r="FD46" s="1409" t="s">
        <v>338</v>
      </c>
      <c r="FE46" s="1409" t="s">
        <v>337</v>
      </c>
      <c r="FF46" s="1409" t="s">
        <v>338</v>
      </c>
    </row>
    <row r="47" spans="1:162" s="1363" customFormat="1" ht="16.5" customHeight="1">
      <c r="A47" s="1788"/>
      <c r="B47" s="1410" t="s">
        <v>339</v>
      </c>
      <c r="C47" s="1411">
        <f ca="1">'7.现金流量表'!D28</f>
        <v>-20514.472114965785</v>
      </c>
      <c r="D47" s="1411">
        <f ca="1">'7.现金流量表'!I28</f>
        <v>52092.875904102017</v>
      </c>
      <c r="E47" s="1411">
        <f ca="1">'7.现金流量表'!N28</f>
        <v>-4306.704724915744</v>
      </c>
      <c r="F47" s="1411">
        <f ca="1">'7.现金流量表'!S28</f>
        <v>-4156.1967606110484</v>
      </c>
      <c r="G47" s="1411">
        <f ca="1">'7.现金流量表'!X28</f>
        <v>-1482.1409200000001</v>
      </c>
      <c r="H47" s="1411">
        <f ca="1">'7.现金流量表'!AC28</f>
        <v>0</v>
      </c>
      <c r="I47" s="1411"/>
      <c r="J47" s="1411"/>
      <c r="K47" s="1411"/>
      <c r="L47" s="1411"/>
      <c r="M47" s="1411"/>
      <c r="N47" s="1411"/>
      <c r="O47" s="1411"/>
      <c r="P47" s="1411"/>
      <c r="Q47" s="1411"/>
      <c r="R47" s="1411"/>
      <c r="S47" s="1411"/>
      <c r="T47" s="1411"/>
      <c r="U47" s="1411"/>
      <c r="V47" s="1411"/>
      <c r="W47" s="1411"/>
      <c r="X47" s="1411"/>
      <c r="Y47" s="1411"/>
      <c r="Z47" s="1411"/>
      <c r="AA47" s="1411"/>
      <c r="AB47" s="1411"/>
      <c r="AC47" s="1411"/>
      <c r="AD47" s="1411"/>
      <c r="AE47" s="1411"/>
      <c r="AF47" s="1411"/>
      <c r="AG47" s="1411">
        <f ca="1">'7.现金流量表'!AH28</f>
        <v>0</v>
      </c>
      <c r="AH47" s="1411">
        <f ca="1">'7.现金流量表'!AM28+'7.现金流量表'!AR28+'7.现金流量表'!AW28+'7.现金流量表'!BB28</f>
        <v>0</v>
      </c>
      <c r="AI47" s="1411"/>
      <c r="AJ47" s="1411"/>
      <c r="AK47" s="1411"/>
      <c r="AL47" s="1411"/>
      <c r="AM47" s="1411"/>
      <c r="AN47" s="1411"/>
      <c r="AO47" s="1411"/>
      <c r="AP47" s="1411"/>
      <c r="AQ47" s="1411"/>
      <c r="AR47" s="1411"/>
      <c r="AS47" s="1411"/>
      <c r="AT47" s="1411"/>
      <c r="AU47" s="1411"/>
      <c r="AV47" s="1411"/>
      <c r="AW47" s="1411"/>
      <c r="AX47" s="1411"/>
      <c r="AY47" s="1411"/>
      <c r="AZ47" s="1411"/>
      <c r="BA47" s="1411"/>
      <c r="BB47" s="1411"/>
      <c r="BC47" s="1411"/>
      <c r="BD47" s="1411"/>
      <c r="BE47" s="1411"/>
      <c r="BF47" s="1411"/>
      <c r="BG47" s="1411"/>
      <c r="BH47" s="1411"/>
      <c r="BI47" s="1411"/>
      <c r="BJ47" s="1411"/>
      <c r="BK47" s="1411"/>
      <c r="BL47" s="1411"/>
      <c r="BM47" s="1411"/>
      <c r="BN47" s="1411"/>
      <c r="BO47" s="1411"/>
      <c r="BP47" s="1411"/>
      <c r="BQ47" s="1411"/>
      <c r="BR47" s="1411"/>
      <c r="BS47" s="1411"/>
      <c r="BT47" s="1411"/>
      <c r="BU47" s="1411"/>
      <c r="BV47" s="1411"/>
      <c r="BW47" s="1411"/>
      <c r="BX47" s="1411"/>
      <c r="BY47" s="1411"/>
      <c r="BZ47" s="1411"/>
      <c r="CA47" s="1411"/>
      <c r="CB47" s="1411"/>
      <c r="CC47" s="1411"/>
      <c r="CD47" s="1411"/>
      <c r="CE47" s="1411"/>
      <c r="CF47" s="1411"/>
      <c r="CG47" s="1411"/>
      <c r="CH47" s="1411"/>
      <c r="CI47" s="1411"/>
      <c r="CJ47" s="1411"/>
      <c r="CK47" s="1411"/>
      <c r="CL47" s="1411"/>
      <c r="CM47" s="1411"/>
      <c r="CN47" s="1411"/>
      <c r="CO47" s="1411"/>
      <c r="CP47" s="1411"/>
      <c r="CQ47" s="1411"/>
      <c r="CR47" s="1411"/>
      <c r="CS47" s="1411"/>
      <c r="CT47" s="1411"/>
      <c r="CU47" s="1411"/>
      <c r="CV47" s="1411"/>
      <c r="CW47" s="1411"/>
      <c r="CX47" s="1411"/>
      <c r="CY47" s="1411"/>
      <c r="CZ47" s="1411"/>
      <c r="DA47" s="1411"/>
      <c r="DB47" s="1411"/>
      <c r="DC47" s="1411"/>
      <c r="DD47" s="1411"/>
      <c r="DE47" s="1411"/>
      <c r="DF47" s="1411"/>
      <c r="DG47" s="1411"/>
      <c r="DH47" s="1411"/>
      <c r="DI47" s="1411"/>
      <c r="DJ47" s="1411"/>
      <c r="DK47" s="1411"/>
      <c r="DL47" s="1411"/>
      <c r="DM47" s="1411"/>
      <c r="DN47" s="1411"/>
      <c r="DO47" s="1411"/>
      <c r="DP47" s="1411"/>
      <c r="DQ47" s="1411"/>
      <c r="DR47" s="1411"/>
      <c r="DS47" s="1411"/>
      <c r="DT47" s="1411"/>
      <c r="DU47" s="1411"/>
      <c r="DV47" s="1411"/>
      <c r="DW47" s="1411"/>
      <c r="DX47" s="1411"/>
      <c r="DY47" s="1411"/>
      <c r="DZ47" s="1411"/>
      <c r="EA47" s="1411"/>
      <c r="EB47" s="1411"/>
      <c r="EC47" s="1411"/>
      <c r="ED47" s="1411"/>
      <c r="EE47" s="1411"/>
      <c r="EF47" s="1411"/>
      <c r="EG47" s="1411"/>
      <c r="EH47" s="1411"/>
      <c r="EI47" s="1411"/>
      <c r="EJ47" s="1411"/>
      <c r="EK47" s="1411"/>
      <c r="EL47" s="1411"/>
      <c r="EM47" s="1411"/>
      <c r="EN47" s="1411"/>
      <c r="EO47" s="1411"/>
      <c r="EP47" s="1411"/>
      <c r="EQ47" s="1411"/>
      <c r="ER47" s="1411"/>
      <c r="ES47" s="1411"/>
      <c r="ET47" s="1411"/>
      <c r="EU47" s="1411"/>
      <c r="EV47" s="1411"/>
      <c r="EW47" s="1411"/>
      <c r="EX47" s="1411"/>
      <c r="EY47" s="1411"/>
      <c r="EZ47" s="1411"/>
      <c r="FA47" s="1411"/>
      <c r="FB47" s="1411"/>
      <c r="FC47" s="1411"/>
      <c r="FD47" s="1411"/>
      <c r="FE47" s="1411"/>
      <c r="FF47" s="1411"/>
    </row>
    <row r="48" spans="1:162" s="1363" customFormat="1" ht="16.5" customHeight="1" outlineLevel="1">
      <c r="A48" s="1788"/>
      <c r="B48" s="1410" t="s">
        <v>340</v>
      </c>
      <c r="C48" s="1395">
        <f>'7.现金流量表'!D7</f>
        <v>0</v>
      </c>
      <c r="D48" s="1395">
        <f>'7.现金流量表'!I7</f>
        <v>69456.063599999994</v>
      </c>
      <c r="E48" s="1395">
        <f>'7.现金流量表'!N7</f>
        <v>29955.531360000004</v>
      </c>
      <c r="F48" s="1395">
        <f>'7.现金流量表'!S7</f>
        <v>1181.5999999999999</v>
      </c>
      <c r="G48" s="1395">
        <f>'7.现金流量表'!X7</f>
        <v>0</v>
      </c>
      <c r="H48" s="1395">
        <f>'7.现金流量表'!AC7</f>
        <v>0</v>
      </c>
      <c r="I48" s="1395"/>
      <c r="J48" s="1395"/>
      <c r="K48" s="1395"/>
      <c r="L48" s="1395"/>
      <c r="M48" s="1395"/>
      <c r="N48" s="1395"/>
      <c r="O48" s="1395"/>
      <c r="P48" s="1395"/>
      <c r="Q48" s="1395"/>
      <c r="R48" s="1395"/>
      <c r="S48" s="1395"/>
      <c r="T48" s="1395"/>
      <c r="U48" s="1395"/>
      <c r="V48" s="1395"/>
      <c r="W48" s="1395"/>
      <c r="X48" s="1395"/>
      <c r="Y48" s="1395"/>
      <c r="Z48" s="1395"/>
      <c r="AA48" s="1395"/>
      <c r="AB48" s="1395"/>
      <c r="AC48" s="1395"/>
      <c r="AD48" s="1395"/>
      <c r="AE48" s="1395"/>
      <c r="AF48" s="1395"/>
      <c r="AG48" s="1395">
        <f>'7.现金流量表'!AH7</f>
        <v>0</v>
      </c>
      <c r="AH48" s="1395">
        <f>'7.现金流量表'!AM7+'7.现金流量表'!AR7+'7.现金流量表'!AW7+'7.现金流量表'!BB7</f>
        <v>0</v>
      </c>
      <c r="AI48" s="1395"/>
      <c r="AJ48" s="1395"/>
      <c r="AK48" s="1395"/>
      <c r="AL48" s="1395"/>
      <c r="AM48" s="1395"/>
      <c r="AN48" s="1395"/>
      <c r="AO48" s="1395"/>
      <c r="AP48" s="1395"/>
      <c r="AQ48" s="1395"/>
      <c r="AR48" s="1395"/>
      <c r="AS48" s="1395"/>
      <c r="AT48" s="1395"/>
      <c r="AU48" s="1395"/>
      <c r="AV48" s="1395"/>
      <c r="AW48" s="1395"/>
      <c r="AX48" s="1395"/>
      <c r="AY48" s="1395"/>
      <c r="AZ48" s="1395"/>
      <c r="BA48" s="1395"/>
      <c r="BB48" s="1395"/>
      <c r="BC48" s="1395"/>
      <c r="BD48" s="1395"/>
      <c r="BE48" s="1395"/>
      <c r="BF48" s="1395"/>
      <c r="BG48" s="1395"/>
      <c r="BH48" s="1395"/>
      <c r="BI48" s="1395"/>
      <c r="BJ48" s="1395"/>
      <c r="BK48" s="1395"/>
      <c r="BL48" s="1395"/>
      <c r="BM48" s="1395"/>
      <c r="BN48" s="1395"/>
      <c r="BO48" s="1395"/>
      <c r="BP48" s="1395"/>
      <c r="BQ48" s="1395"/>
      <c r="BR48" s="1395"/>
      <c r="BS48" s="1395"/>
      <c r="BT48" s="1395"/>
      <c r="BU48" s="1395"/>
      <c r="BV48" s="1395"/>
      <c r="BW48" s="1395"/>
      <c r="BX48" s="1395"/>
      <c r="BY48" s="1395"/>
      <c r="BZ48" s="1395"/>
      <c r="CA48" s="1395"/>
      <c r="CB48" s="1395"/>
      <c r="CC48" s="1395"/>
      <c r="CD48" s="1395"/>
      <c r="CE48" s="1395"/>
      <c r="CF48" s="1395"/>
      <c r="CG48" s="1395"/>
      <c r="CH48" s="1395"/>
      <c r="CI48" s="1395"/>
      <c r="CJ48" s="1395"/>
      <c r="CK48" s="1395"/>
      <c r="CL48" s="1395"/>
      <c r="CM48" s="1395"/>
      <c r="CN48" s="1395"/>
      <c r="CO48" s="1395"/>
      <c r="CP48" s="1395"/>
      <c r="CQ48" s="1395"/>
      <c r="CR48" s="1395"/>
      <c r="CS48" s="1395"/>
      <c r="CT48" s="1395"/>
      <c r="CU48" s="1395"/>
      <c r="CV48" s="1395"/>
      <c r="CW48" s="1395"/>
      <c r="CX48" s="1395"/>
      <c r="CY48" s="1395"/>
      <c r="CZ48" s="1395"/>
      <c r="DA48" s="1395"/>
      <c r="DB48" s="1395"/>
      <c r="DC48" s="1395"/>
      <c r="DD48" s="1395"/>
      <c r="DE48" s="1395"/>
      <c r="DF48" s="1395"/>
      <c r="DG48" s="1395"/>
      <c r="DH48" s="1395"/>
      <c r="DI48" s="1395"/>
      <c r="DJ48" s="1395"/>
      <c r="DK48" s="1395"/>
      <c r="DL48" s="1395"/>
      <c r="DM48" s="1395"/>
      <c r="DN48" s="1395"/>
      <c r="DO48" s="1395"/>
      <c r="DP48" s="1395"/>
      <c r="DQ48" s="1395"/>
      <c r="DR48" s="1395"/>
      <c r="DS48" s="1395"/>
      <c r="DT48" s="1395"/>
      <c r="DU48" s="1395"/>
      <c r="DV48" s="1395"/>
      <c r="DW48" s="1395"/>
      <c r="DX48" s="1395"/>
      <c r="DY48" s="1395"/>
      <c r="DZ48" s="1395"/>
      <c r="EA48" s="1395"/>
      <c r="EB48" s="1395"/>
      <c r="EC48" s="1395"/>
      <c r="ED48" s="1395"/>
      <c r="EE48" s="1395"/>
      <c r="EF48" s="1395"/>
      <c r="EG48" s="1395"/>
      <c r="EH48" s="1395"/>
      <c r="EI48" s="1395"/>
      <c r="EJ48" s="1395"/>
      <c r="EK48" s="1395"/>
      <c r="EL48" s="1395"/>
      <c r="EM48" s="1395"/>
      <c r="EN48" s="1395"/>
      <c r="EO48" s="1395"/>
      <c r="EP48" s="1395"/>
      <c r="EQ48" s="1395"/>
      <c r="ER48" s="1395"/>
      <c r="ES48" s="1395"/>
      <c r="ET48" s="1395"/>
      <c r="EU48" s="1395"/>
      <c r="EV48" s="1395"/>
      <c r="EW48" s="1395"/>
      <c r="EX48" s="1395"/>
      <c r="EY48" s="1395"/>
      <c r="EZ48" s="1395"/>
      <c r="FA48" s="1395"/>
      <c r="FB48" s="1395"/>
      <c r="FC48" s="1395"/>
      <c r="FD48" s="1395"/>
      <c r="FE48" s="1395"/>
      <c r="FF48" s="1395"/>
    </row>
    <row r="49" spans="1:162" s="1359" customFormat="1" ht="16.5" customHeight="1" outlineLevel="1">
      <c r="A49" s="1788"/>
      <c r="B49" s="1403" t="s">
        <v>341</v>
      </c>
      <c r="C49" s="1412">
        <f t="shared" ref="C49:AH49" ca="1" si="359">C48-C47</f>
        <v>20514.472114965785</v>
      </c>
      <c r="D49" s="1412">
        <f t="shared" ca="1" si="359"/>
        <v>17363.187695897977</v>
      </c>
      <c r="E49" s="1412">
        <f t="shared" ca="1" si="359"/>
        <v>34262.236084915749</v>
      </c>
      <c r="F49" s="1412">
        <f t="shared" ca="1" si="359"/>
        <v>5337.7967606110487</v>
      </c>
      <c r="G49" s="1412">
        <f t="shared" ref="G49:H49" ca="1" si="360">G48-G47</f>
        <v>1482.1409200000001</v>
      </c>
      <c r="H49" s="1412">
        <f t="shared" ca="1" si="360"/>
        <v>0</v>
      </c>
      <c r="I49" s="1412"/>
      <c r="J49" s="1412"/>
      <c r="K49" s="1412"/>
      <c r="L49" s="1412"/>
      <c r="M49" s="1412"/>
      <c r="N49" s="1412"/>
      <c r="O49" s="1412"/>
      <c r="P49" s="1412"/>
      <c r="Q49" s="1412"/>
      <c r="R49" s="1412"/>
      <c r="S49" s="1412"/>
      <c r="T49" s="1412"/>
      <c r="U49" s="1412"/>
      <c r="V49" s="1412"/>
      <c r="W49" s="1412"/>
      <c r="X49" s="1412"/>
      <c r="Y49" s="1412"/>
      <c r="Z49" s="1412"/>
      <c r="AA49" s="1412"/>
      <c r="AB49" s="1412"/>
      <c r="AC49" s="1412"/>
      <c r="AD49" s="1412"/>
      <c r="AE49" s="1412"/>
      <c r="AF49" s="1412"/>
      <c r="AG49" s="1412">
        <f t="shared" ca="1" si="359"/>
        <v>0</v>
      </c>
      <c r="AH49" s="1412">
        <f t="shared" ca="1" si="359"/>
        <v>0</v>
      </c>
      <c r="AI49" s="1412"/>
      <c r="AJ49" s="1412"/>
      <c r="AK49" s="1412"/>
      <c r="AL49" s="1412"/>
      <c r="AM49" s="1412"/>
      <c r="AN49" s="1412"/>
      <c r="AO49" s="1412"/>
      <c r="AP49" s="1412"/>
      <c r="AQ49" s="1412"/>
      <c r="AR49" s="1412"/>
      <c r="AS49" s="1412"/>
      <c r="AT49" s="1412"/>
      <c r="AU49" s="1412"/>
      <c r="AV49" s="1412"/>
      <c r="AW49" s="1412"/>
      <c r="AX49" s="1412"/>
      <c r="AY49" s="1412"/>
      <c r="AZ49" s="1412"/>
      <c r="BA49" s="1412"/>
      <c r="BB49" s="1412"/>
      <c r="BC49" s="1412"/>
      <c r="BD49" s="1412"/>
      <c r="BE49" s="1412"/>
      <c r="BF49" s="1412"/>
      <c r="BG49" s="1412"/>
      <c r="BH49" s="1412"/>
      <c r="BI49" s="1412"/>
      <c r="BJ49" s="1412"/>
      <c r="BK49" s="1412"/>
      <c r="BL49" s="1412"/>
      <c r="BM49" s="1412"/>
      <c r="BN49" s="1412"/>
      <c r="BO49" s="1412"/>
      <c r="BP49" s="1412"/>
      <c r="BQ49" s="1412"/>
      <c r="BR49" s="1412"/>
      <c r="BS49" s="1412"/>
      <c r="BT49" s="1412"/>
      <c r="BU49" s="1412"/>
      <c r="BV49" s="1412"/>
      <c r="BW49" s="1412"/>
      <c r="BX49" s="1412"/>
      <c r="BY49" s="1412"/>
      <c r="BZ49" s="1412"/>
      <c r="CA49" s="1412"/>
      <c r="CB49" s="1412"/>
      <c r="CC49" s="1412"/>
      <c r="CD49" s="1412"/>
      <c r="CE49" s="1412"/>
      <c r="CF49" s="1412"/>
      <c r="CG49" s="1412"/>
      <c r="CH49" s="1412"/>
      <c r="CI49" s="1412"/>
      <c r="CJ49" s="1412"/>
      <c r="CK49" s="1412"/>
      <c r="CL49" s="1412"/>
      <c r="CM49" s="1412"/>
      <c r="CN49" s="1412"/>
      <c r="CO49" s="1412"/>
      <c r="CP49" s="1412"/>
      <c r="CQ49" s="1412"/>
      <c r="CR49" s="1412"/>
      <c r="CS49" s="1412"/>
      <c r="CT49" s="1412"/>
      <c r="CU49" s="1412"/>
      <c r="CV49" s="1412"/>
      <c r="CW49" s="1412"/>
      <c r="CX49" s="1412"/>
      <c r="CY49" s="1412"/>
      <c r="CZ49" s="1412"/>
      <c r="DA49" s="1412"/>
      <c r="DB49" s="1412"/>
      <c r="DC49" s="1412"/>
      <c r="DD49" s="1412"/>
      <c r="DE49" s="1412"/>
      <c r="DF49" s="1412"/>
      <c r="DG49" s="1412"/>
      <c r="DH49" s="1412"/>
      <c r="DI49" s="1412"/>
      <c r="DJ49" s="1412"/>
      <c r="DK49" s="1412"/>
      <c r="DL49" s="1412"/>
      <c r="DM49" s="1412"/>
      <c r="DN49" s="1412"/>
      <c r="DO49" s="1412"/>
      <c r="DP49" s="1412"/>
      <c r="DQ49" s="1412"/>
      <c r="DR49" s="1412"/>
      <c r="DS49" s="1412"/>
      <c r="DT49" s="1412"/>
      <c r="DU49" s="1412"/>
      <c r="DV49" s="1412"/>
      <c r="DW49" s="1412"/>
      <c r="DX49" s="1412"/>
      <c r="DY49" s="1412"/>
      <c r="DZ49" s="1412"/>
      <c r="EA49" s="1412"/>
      <c r="EB49" s="1412"/>
      <c r="EC49" s="1412"/>
      <c r="ED49" s="1412"/>
      <c r="EE49" s="1412"/>
      <c r="EF49" s="1412"/>
      <c r="EG49" s="1412"/>
      <c r="EH49" s="1412"/>
      <c r="EI49" s="1412"/>
      <c r="EJ49" s="1412"/>
      <c r="EK49" s="1412"/>
      <c r="EL49" s="1412"/>
      <c r="EM49" s="1412"/>
      <c r="EN49" s="1412"/>
      <c r="EO49" s="1412"/>
      <c r="EP49" s="1412"/>
      <c r="EQ49" s="1412"/>
      <c r="ER49" s="1412"/>
      <c r="ES49" s="1412"/>
      <c r="ET49" s="1412"/>
      <c r="EU49" s="1412"/>
      <c r="EV49" s="1412"/>
      <c r="EW49" s="1412"/>
      <c r="EX49" s="1412"/>
      <c r="EY49" s="1412"/>
      <c r="EZ49" s="1412"/>
      <c r="FA49" s="1412"/>
      <c r="FB49" s="1412"/>
      <c r="FC49" s="1412"/>
      <c r="FD49" s="1412"/>
      <c r="FE49" s="1412"/>
      <c r="FF49" s="1412"/>
    </row>
    <row r="50" spans="1:162" s="1359" customFormat="1" ht="21" customHeight="1">
      <c r="A50" s="1788"/>
      <c r="B50" s="1413" t="s">
        <v>342</v>
      </c>
      <c r="C50" s="1414">
        <f ca="1">C47</f>
        <v>-20514.472114965785</v>
      </c>
      <c r="D50" s="1378">
        <f t="shared" ref="D50:H50" ca="1" si="361">C50+D47</f>
        <v>31578.403789136231</v>
      </c>
      <c r="E50" s="1378">
        <f t="shared" ca="1" si="361"/>
        <v>27271.699064220487</v>
      </c>
      <c r="F50" s="1378">
        <f t="shared" ca="1" si="361"/>
        <v>23115.502303609439</v>
      </c>
      <c r="G50" s="1378">
        <f t="shared" ca="1" si="361"/>
        <v>21633.361383609437</v>
      </c>
      <c r="H50" s="1378">
        <f t="shared" ca="1" si="361"/>
        <v>21633.361383609437</v>
      </c>
      <c r="I50" s="1378"/>
      <c r="J50" s="1378"/>
      <c r="K50" s="1378"/>
      <c r="L50" s="1378"/>
      <c r="M50" s="1378"/>
      <c r="N50" s="1378"/>
      <c r="O50" s="1378"/>
      <c r="P50" s="1378"/>
      <c r="Q50" s="1378"/>
      <c r="R50" s="1378"/>
      <c r="S50" s="1378"/>
      <c r="T50" s="1378"/>
      <c r="U50" s="1378"/>
      <c r="V50" s="1378"/>
      <c r="W50" s="1378"/>
      <c r="X50" s="1378"/>
      <c r="Y50" s="1378"/>
      <c r="Z50" s="1378"/>
      <c r="AA50" s="1378"/>
      <c r="AB50" s="1378"/>
      <c r="AC50" s="1378"/>
      <c r="AD50" s="1378"/>
      <c r="AE50" s="1378"/>
      <c r="AF50" s="1378"/>
      <c r="AG50" s="1378">
        <f ca="1">H50+AG47</f>
        <v>21633.361383609437</v>
      </c>
      <c r="AH50" s="1378">
        <f ca="1">AG50+AH47</f>
        <v>21633.361383609437</v>
      </c>
      <c r="AI50" s="1412"/>
      <c r="AJ50" s="1412"/>
      <c r="AK50" s="1412"/>
      <c r="AL50" s="1412"/>
      <c r="AM50" s="1412"/>
      <c r="AN50" s="1412"/>
      <c r="AO50" s="1412"/>
      <c r="AP50" s="1412"/>
      <c r="AQ50" s="1412"/>
      <c r="AR50" s="1412"/>
      <c r="AS50" s="1412"/>
      <c r="AT50" s="1412"/>
      <c r="AU50" s="1412"/>
      <c r="AV50" s="1412"/>
      <c r="AW50" s="1412"/>
      <c r="AX50" s="1412"/>
      <c r="AY50" s="1412"/>
      <c r="AZ50" s="1412"/>
      <c r="BA50" s="1412"/>
      <c r="BB50" s="1412"/>
      <c r="BC50" s="1412"/>
      <c r="BD50" s="1412"/>
      <c r="BE50" s="1412"/>
      <c r="BF50" s="1412"/>
      <c r="BG50" s="1412"/>
      <c r="BH50" s="1412"/>
      <c r="BI50" s="1412"/>
      <c r="BJ50" s="1412"/>
      <c r="BK50" s="1412"/>
      <c r="BL50" s="1412"/>
      <c r="BM50" s="1412"/>
      <c r="BN50" s="1412"/>
      <c r="BO50" s="1412"/>
      <c r="BP50" s="1412"/>
      <c r="BQ50" s="1412"/>
      <c r="BR50" s="1412"/>
      <c r="BS50" s="1412"/>
      <c r="BT50" s="1412"/>
      <c r="BU50" s="1412"/>
      <c r="BV50" s="1412"/>
      <c r="BW50" s="1412"/>
      <c r="BX50" s="1412"/>
      <c r="BY50" s="1412"/>
      <c r="BZ50" s="1412"/>
      <c r="CA50" s="1412"/>
      <c r="CB50" s="1412"/>
      <c r="CC50" s="1412"/>
      <c r="CD50" s="1412"/>
      <c r="CE50" s="1412"/>
      <c r="CF50" s="1412"/>
      <c r="CG50" s="1412"/>
      <c r="CH50" s="1412"/>
      <c r="CI50" s="1412"/>
      <c r="CJ50" s="1412"/>
      <c r="CK50" s="1412"/>
      <c r="CL50" s="1412"/>
      <c r="CM50" s="1412"/>
      <c r="CN50" s="1412"/>
      <c r="CO50" s="1412"/>
      <c r="CP50" s="1412"/>
      <c r="CQ50" s="1412"/>
      <c r="CR50" s="1412"/>
      <c r="CS50" s="1412"/>
      <c r="CT50" s="1412"/>
      <c r="CU50" s="1412"/>
      <c r="CV50" s="1412"/>
      <c r="CW50" s="1412"/>
      <c r="CX50" s="1412"/>
      <c r="CY50" s="1412"/>
      <c r="CZ50" s="1412"/>
      <c r="DA50" s="1412"/>
      <c r="DB50" s="1412"/>
      <c r="DC50" s="1412"/>
      <c r="DD50" s="1412"/>
      <c r="DE50" s="1412"/>
      <c r="DF50" s="1412"/>
      <c r="DG50" s="1412"/>
      <c r="DH50" s="1412"/>
      <c r="DI50" s="1412"/>
      <c r="DJ50" s="1412"/>
      <c r="DK50" s="1412"/>
      <c r="DL50" s="1412"/>
      <c r="DM50" s="1412"/>
      <c r="DN50" s="1412"/>
      <c r="DO50" s="1412"/>
      <c r="DP50" s="1412"/>
      <c r="DQ50" s="1412"/>
      <c r="DR50" s="1412"/>
      <c r="DS50" s="1412"/>
      <c r="DT50" s="1412"/>
      <c r="DU50" s="1412"/>
      <c r="DV50" s="1412"/>
      <c r="DW50" s="1412"/>
      <c r="DX50" s="1412"/>
      <c r="DY50" s="1412"/>
      <c r="DZ50" s="1412"/>
      <c r="EA50" s="1412"/>
      <c r="EB50" s="1412"/>
      <c r="EC50" s="1412"/>
      <c r="ED50" s="1412"/>
      <c r="EE50" s="1412"/>
      <c r="EF50" s="1412"/>
      <c r="EG50" s="1412"/>
      <c r="EH50" s="1412"/>
      <c r="EI50" s="1412"/>
      <c r="EJ50" s="1412"/>
      <c r="EK50" s="1412"/>
      <c r="EL50" s="1412"/>
      <c r="EM50" s="1412"/>
      <c r="EN50" s="1412"/>
      <c r="EO50" s="1412"/>
      <c r="EP50" s="1412"/>
      <c r="EQ50" s="1412"/>
      <c r="ER50" s="1412"/>
      <c r="ES50" s="1412"/>
      <c r="ET50" s="1412"/>
      <c r="EU50" s="1412"/>
      <c r="EV50" s="1412"/>
      <c r="EW50" s="1412"/>
      <c r="EX50" s="1412"/>
      <c r="EY50" s="1412"/>
      <c r="EZ50" s="1412"/>
      <c r="FA50" s="1412"/>
      <c r="FB50" s="1412"/>
      <c r="FC50" s="1412"/>
      <c r="FD50" s="1412"/>
      <c r="FE50" s="1412"/>
      <c r="FF50" s="1412"/>
    </row>
    <row r="51" spans="1:162" s="1359" customFormat="1" ht="15" customHeight="1">
      <c r="A51" s="1788"/>
      <c r="B51" s="1403" t="s">
        <v>343</v>
      </c>
      <c r="C51" s="1415">
        <f ca="1">C52+C53-C55-C54</f>
        <v>0</v>
      </c>
      <c r="D51" s="1415">
        <f t="shared" ref="D51:H51" ca="1" si="362">D52+D53-D55-D54</f>
        <v>-901.5</v>
      </c>
      <c r="E51" s="1415">
        <f t="shared" ca="1" si="362"/>
        <v>0</v>
      </c>
      <c r="F51" s="1415">
        <f t="shared" ca="1" si="362"/>
        <v>0</v>
      </c>
      <c r="G51" s="1415">
        <f t="shared" ca="1" si="362"/>
        <v>0</v>
      </c>
      <c r="H51" s="1415">
        <f t="shared" ca="1" si="362"/>
        <v>0</v>
      </c>
      <c r="I51" s="1415">
        <f t="shared" ref="I51:AH51" si="363">I52+I53-I55-I54</f>
        <v>0</v>
      </c>
      <c r="J51" s="1415">
        <f t="shared" si="363"/>
        <v>0</v>
      </c>
      <c r="K51" s="1415">
        <f t="shared" si="363"/>
        <v>0</v>
      </c>
      <c r="L51" s="1415">
        <f t="shared" si="363"/>
        <v>0</v>
      </c>
      <c r="M51" s="1415">
        <f t="shared" si="363"/>
        <v>0</v>
      </c>
      <c r="N51" s="1415">
        <f t="shared" si="363"/>
        <v>0</v>
      </c>
      <c r="O51" s="1415">
        <f t="shared" si="363"/>
        <v>0</v>
      </c>
      <c r="P51" s="1415">
        <f t="shared" si="363"/>
        <v>0</v>
      </c>
      <c r="Q51" s="1415">
        <f t="shared" si="363"/>
        <v>0</v>
      </c>
      <c r="R51" s="1415">
        <f t="shared" si="363"/>
        <v>0</v>
      </c>
      <c r="S51" s="1415">
        <f t="shared" si="363"/>
        <v>0</v>
      </c>
      <c r="T51" s="1415">
        <f t="shared" si="363"/>
        <v>0</v>
      </c>
      <c r="U51" s="1415">
        <f t="shared" si="363"/>
        <v>0</v>
      </c>
      <c r="V51" s="1415">
        <f t="shared" si="363"/>
        <v>0</v>
      </c>
      <c r="W51" s="1415">
        <f t="shared" si="363"/>
        <v>0</v>
      </c>
      <c r="X51" s="1415">
        <f t="shared" si="363"/>
        <v>0</v>
      </c>
      <c r="Y51" s="1415">
        <f t="shared" si="363"/>
        <v>0</v>
      </c>
      <c r="Z51" s="1415">
        <f t="shared" si="363"/>
        <v>0</v>
      </c>
      <c r="AA51" s="1415">
        <f t="shared" si="363"/>
        <v>0</v>
      </c>
      <c r="AB51" s="1415">
        <f t="shared" si="363"/>
        <v>0</v>
      </c>
      <c r="AC51" s="1415">
        <f t="shared" si="363"/>
        <v>0</v>
      </c>
      <c r="AD51" s="1415">
        <f t="shared" si="363"/>
        <v>0</v>
      </c>
      <c r="AE51" s="1415">
        <f t="shared" si="363"/>
        <v>0</v>
      </c>
      <c r="AF51" s="1415">
        <f t="shared" si="363"/>
        <v>0</v>
      </c>
      <c r="AG51" s="1415">
        <f t="shared" ca="1" si="363"/>
        <v>0</v>
      </c>
      <c r="AH51" s="1415">
        <f t="shared" ca="1" si="363"/>
        <v>0</v>
      </c>
      <c r="AI51" s="1415"/>
      <c r="AJ51" s="1415"/>
      <c r="AK51" s="1415"/>
      <c r="AL51" s="1415"/>
      <c r="AM51" s="1415"/>
      <c r="AN51" s="1415"/>
      <c r="AO51" s="1415"/>
      <c r="AP51" s="1415"/>
      <c r="AQ51" s="1415"/>
      <c r="AR51" s="1415"/>
      <c r="AS51" s="1415"/>
      <c r="AT51" s="1415"/>
      <c r="AU51" s="1415"/>
      <c r="AV51" s="1415"/>
      <c r="AW51" s="1415"/>
      <c r="AX51" s="1415"/>
      <c r="AY51" s="1415"/>
      <c r="AZ51" s="1415"/>
      <c r="BA51" s="1415"/>
      <c r="BB51" s="1415"/>
      <c r="BC51" s="1415"/>
      <c r="BD51" s="1415"/>
      <c r="BE51" s="1415"/>
      <c r="BF51" s="1415"/>
      <c r="BG51" s="1415"/>
      <c r="BH51" s="1415"/>
      <c r="BI51" s="1415"/>
      <c r="BJ51" s="1415"/>
      <c r="BK51" s="1415"/>
      <c r="BL51" s="1415"/>
      <c r="BM51" s="1415"/>
      <c r="BN51" s="1415"/>
      <c r="BO51" s="1415"/>
      <c r="BP51" s="1415"/>
      <c r="BQ51" s="1415"/>
      <c r="BR51" s="1415"/>
      <c r="BS51" s="1415"/>
      <c r="BT51" s="1415"/>
      <c r="BU51" s="1415"/>
      <c r="BV51" s="1415"/>
      <c r="BW51" s="1415"/>
      <c r="BX51" s="1415"/>
      <c r="BY51" s="1415"/>
      <c r="BZ51" s="1415"/>
      <c r="CA51" s="1415"/>
      <c r="CB51" s="1415"/>
      <c r="CC51" s="1415"/>
      <c r="CD51" s="1415"/>
      <c r="CE51" s="1415"/>
      <c r="CF51" s="1415"/>
      <c r="CG51" s="1415"/>
      <c r="CH51" s="1415"/>
      <c r="CI51" s="1415"/>
      <c r="CJ51" s="1415"/>
      <c r="CK51" s="1415"/>
      <c r="CL51" s="1415"/>
      <c r="CM51" s="1415"/>
      <c r="CN51" s="1415"/>
      <c r="CO51" s="1415"/>
      <c r="CP51" s="1415"/>
      <c r="CQ51" s="1415"/>
      <c r="CR51" s="1415"/>
      <c r="CS51" s="1415"/>
      <c r="CT51" s="1415"/>
      <c r="CU51" s="1415"/>
      <c r="CV51" s="1415"/>
      <c r="CW51" s="1415"/>
      <c r="CX51" s="1415"/>
      <c r="CY51" s="1415"/>
      <c r="CZ51" s="1415"/>
      <c r="DA51" s="1415"/>
      <c r="DB51" s="1415"/>
      <c r="DC51" s="1415"/>
      <c r="DD51" s="1415"/>
      <c r="DE51" s="1415"/>
      <c r="DF51" s="1415"/>
      <c r="DG51" s="1415"/>
      <c r="DH51" s="1415"/>
      <c r="DI51" s="1415"/>
      <c r="DJ51" s="1415"/>
      <c r="DK51" s="1415"/>
      <c r="DL51" s="1415"/>
      <c r="DM51" s="1415"/>
      <c r="DN51" s="1415"/>
      <c r="DO51" s="1415"/>
      <c r="DP51" s="1415"/>
      <c r="DQ51" s="1415"/>
      <c r="DR51" s="1415"/>
      <c r="DS51" s="1415"/>
      <c r="DT51" s="1415"/>
      <c r="DU51" s="1415"/>
      <c r="DV51" s="1415"/>
      <c r="DW51" s="1415"/>
      <c r="DX51" s="1415"/>
      <c r="DY51" s="1415"/>
      <c r="DZ51" s="1415"/>
      <c r="EA51" s="1415"/>
      <c r="EB51" s="1415"/>
      <c r="EC51" s="1415"/>
      <c r="ED51" s="1415"/>
      <c r="EE51" s="1415"/>
      <c r="EF51" s="1415"/>
      <c r="EG51" s="1415"/>
      <c r="EH51" s="1415"/>
      <c r="EI51" s="1415"/>
      <c r="EJ51" s="1415"/>
      <c r="EK51" s="1415"/>
      <c r="EL51" s="1415"/>
      <c r="EM51" s="1415"/>
      <c r="EN51" s="1415"/>
      <c r="EO51" s="1415"/>
      <c r="EP51" s="1415"/>
      <c r="EQ51" s="1415"/>
      <c r="ER51" s="1415"/>
      <c r="ES51" s="1415"/>
      <c r="ET51" s="1415"/>
      <c r="EU51" s="1415"/>
      <c r="EV51" s="1415"/>
      <c r="EW51" s="1415"/>
      <c r="EX51" s="1415"/>
      <c r="EY51" s="1415"/>
      <c r="EZ51" s="1415"/>
      <c r="FA51" s="1415"/>
      <c r="FB51" s="1415"/>
      <c r="FC51" s="1415"/>
      <c r="FD51" s="1415"/>
      <c r="FE51" s="1415"/>
      <c r="FF51" s="1415"/>
    </row>
    <row r="52" spans="1:162" s="1364" customFormat="1" ht="18" hidden="1" customHeight="1" outlineLevel="1">
      <c r="A52" s="1788"/>
      <c r="B52" s="1416" t="s">
        <v>344</v>
      </c>
      <c r="C52" s="1395">
        <f ca="1">SUM('17.财务费用测算表'!F16:I16)-SUM('17.财务费用测算表'!F17:I17)</f>
        <v>0</v>
      </c>
      <c r="D52" s="1395">
        <f ca="1">SUM('17.财务费用测算表'!J16:M16)-SUM('17.财务费用测算表'!J17:M17)</f>
        <v>0</v>
      </c>
      <c r="E52" s="1395">
        <f ca="1">SUM('17.财务费用测算表'!N16:Q16)-SUM('17.财务费用测算表'!N17:Q17)</f>
        <v>0</v>
      </c>
      <c r="F52" s="1395">
        <f ca="1">SUM('17.财务费用测算表'!R16:U16)-SUM('17.财务费用测算表'!R17:U17)</f>
        <v>0</v>
      </c>
      <c r="G52" s="1395">
        <f ca="1">SUM('17.财务费用测算表'!V16:Y16)-SUM('17.财务费用测算表'!V17:Y17)</f>
        <v>0</v>
      </c>
      <c r="H52" s="1395">
        <f ca="1">SUM('17.财务费用测算表'!Z16:AC16)-SUM('17.财务费用测算表'!Z17:AC17)</f>
        <v>0</v>
      </c>
      <c r="I52" s="1395"/>
      <c r="J52" s="1395"/>
      <c r="K52" s="1395"/>
      <c r="L52" s="1395"/>
      <c r="M52" s="1395"/>
      <c r="N52" s="1395"/>
      <c r="O52" s="1395"/>
      <c r="P52" s="1395"/>
      <c r="Q52" s="1395"/>
      <c r="R52" s="1395"/>
      <c r="S52" s="1395"/>
      <c r="T52" s="1395"/>
      <c r="U52" s="1395"/>
      <c r="V52" s="1395"/>
      <c r="W52" s="1395"/>
      <c r="X52" s="1395"/>
      <c r="Y52" s="1395"/>
      <c r="Z52" s="1395"/>
      <c r="AA52" s="1395"/>
      <c r="AB52" s="1395"/>
      <c r="AC52" s="1395"/>
      <c r="AD52" s="1395"/>
      <c r="AE52" s="1395"/>
      <c r="AF52" s="1395"/>
      <c r="AG52" s="1395">
        <f ca="1">SUM('17.财务费用测算表'!AD16:AG16)-SUM('17.财务费用测算表'!AD17:AG17)</f>
        <v>0</v>
      </c>
      <c r="AH52" s="1395">
        <f ca="1">SUM('17.财务费用测算表'!AH16:AW16)-SUM('17.财务费用测算表'!AH17:AW17)</f>
        <v>0</v>
      </c>
      <c r="AI52" s="1395"/>
      <c r="AJ52" s="1395"/>
      <c r="AK52" s="1395"/>
      <c r="AL52" s="1395"/>
      <c r="AM52" s="1395"/>
      <c r="AN52" s="1395"/>
      <c r="AO52" s="1395"/>
      <c r="AP52" s="1395"/>
      <c r="AQ52" s="1395"/>
      <c r="AR52" s="1395"/>
      <c r="AS52" s="1395"/>
      <c r="AT52" s="1395"/>
      <c r="AU52" s="1395"/>
      <c r="AV52" s="1395"/>
      <c r="AW52" s="1395"/>
      <c r="AX52" s="1395"/>
      <c r="AY52" s="1395"/>
      <c r="AZ52" s="1395"/>
      <c r="BA52" s="1395"/>
      <c r="BB52" s="1395"/>
      <c r="BC52" s="1395"/>
      <c r="BD52" s="1395"/>
      <c r="BE52" s="1395"/>
      <c r="BF52" s="1395"/>
      <c r="BG52" s="1395"/>
      <c r="BH52" s="1395"/>
      <c r="BI52" s="1395"/>
      <c r="BJ52" s="1395"/>
      <c r="BK52" s="1395"/>
      <c r="BL52" s="1395"/>
      <c r="BM52" s="1395"/>
      <c r="BN52" s="1395"/>
      <c r="BO52" s="1395"/>
      <c r="BP52" s="1395"/>
      <c r="BQ52" s="1395"/>
      <c r="BR52" s="1395"/>
      <c r="BS52" s="1395"/>
      <c r="BT52" s="1395"/>
      <c r="BU52" s="1395"/>
      <c r="BV52" s="1395"/>
      <c r="BW52" s="1395"/>
      <c r="BX52" s="1395"/>
      <c r="BY52" s="1395"/>
      <c r="BZ52" s="1395"/>
      <c r="CA52" s="1395"/>
      <c r="CB52" s="1395"/>
      <c r="CC52" s="1395"/>
      <c r="CD52" s="1395"/>
      <c r="CE52" s="1395"/>
      <c r="CF52" s="1395"/>
      <c r="CG52" s="1395"/>
      <c r="CH52" s="1395"/>
      <c r="CI52" s="1395"/>
      <c r="CJ52" s="1395"/>
      <c r="CK52" s="1395"/>
      <c r="CL52" s="1395"/>
      <c r="CM52" s="1395"/>
      <c r="CN52" s="1395"/>
      <c r="CO52" s="1395"/>
      <c r="CP52" s="1395"/>
      <c r="CQ52" s="1395"/>
      <c r="CR52" s="1395"/>
      <c r="CS52" s="1395"/>
      <c r="CT52" s="1395"/>
      <c r="CU52" s="1395"/>
      <c r="CV52" s="1395"/>
      <c r="CW52" s="1395"/>
      <c r="CX52" s="1395"/>
      <c r="CY52" s="1395"/>
      <c r="CZ52" s="1395"/>
      <c r="DA52" s="1395"/>
      <c r="DB52" s="1395"/>
      <c r="DC52" s="1395"/>
      <c r="DD52" s="1395"/>
      <c r="DE52" s="1395"/>
      <c r="DF52" s="1395"/>
      <c r="DG52" s="1395"/>
      <c r="DH52" s="1395"/>
      <c r="DI52" s="1395"/>
      <c r="DJ52" s="1395"/>
      <c r="DK52" s="1395"/>
      <c r="DL52" s="1395"/>
      <c r="DM52" s="1395"/>
      <c r="DN52" s="1395"/>
      <c r="DO52" s="1395"/>
      <c r="DP52" s="1395"/>
      <c r="DQ52" s="1395"/>
      <c r="DR52" s="1395"/>
      <c r="DS52" s="1395"/>
      <c r="DT52" s="1395"/>
      <c r="DU52" s="1395"/>
      <c r="DV52" s="1395"/>
      <c r="DW52" s="1395"/>
      <c r="DX52" s="1395"/>
      <c r="DY52" s="1395"/>
      <c r="DZ52" s="1395"/>
      <c r="EA52" s="1395"/>
      <c r="EB52" s="1395"/>
      <c r="EC52" s="1395"/>
      <c r="ED52" s="1395"/>
      <c r="EE52" s="1395"/>
      <c r="EF52" s="1395"/>
      <c r="EG52" s="1395"/>
      <c r="EH52" s="1395"/>
      <c r="EI52" s="1395"/>
      <c r="EJ52" s="1395"/>
      <c r="EK52" s="1395"/>
      <c r="EL52" s="1395"/>
      <c r="EM52" s="1395"/>
      <c r="EN52" s="1395"/>
      <c r="EO52" s="1395"/>
      <c r="EP52" s="1395"/>
      <c r="EQ52" s="1395"/>
      <c r="ER52" s="1395"/>
      <c r="ES52" s="1395"/>
      <c r="ET52" s="1395"/>
      <c r="EU52" s="1395"/>
      <c r="EV52" s="1395"/>
      <c r="EW52" s="1395"/>
      <c r="EX52" s="1395"/>
      <c r="EY52" s="1395"/>
      <c r="EZ52" s="1395"/>
      <c r="FA52" s="1395"/>
      <c r="FB52" s="1395"/>
      <c r="FC52" s="1395"/>
      <c r="FD52" s="1395"/>
      <c r="FE52" s="1395"/>
      <c r="FF52" s="1395"/>
    </row>
    <row r="53" spans="1:162" s="1364" customFormat="1" ht="15" hidden="1" customHeight="1" outlineLevel="1">
      <c r="A53" s="1788"/>
      <c r="B53" s="1416" t="s">
        <v>345</v>
      </c>
      <c r="C53" s="1411">
        <f>SUM('17.财务费用测算表'!F19:I19)</f>
        <v>0</v>
      </c>
      <c r="D53" s="1411">
        <f>SUM('17.财务费用测算表'!J19:M19)</f>
        <v>27000</v>
      </c>
      <c r="E53" s="1411">
        <f>SUM('17.财务费用测算表'!N19:Q19)</f>
        <v>0</v>
      </c>
      <c r="F53" s="1411">
        <f>SUM('17.财务费用测算表'!R19:U19)</f>
        <v>0</v>
      </c>
      <c r="G53" s="1411">
        <f>SUM('17.财务费用测算表'!V19:Y19)</f>
        <v>0</v>
      </c>
      <c r="H53" s="1411">
        <f>SUM('17.财务费用测算表'!Z19:AC19)</f>
        <v>0</v>
      </c>
      <c r="I53" s="1411"/>
      <c r="J53" s="1411"/>
      <c r="K53" s="1411"/>
      <c r="L53" s="1411"/>
      <c r="M53" s="1411"/>
      <c r="N53" s="1411"/>
      <c r="O53" s="1411"/>
      <c r="P53" s="1411"/>
      <c r="Q53" s="1411"/>
      <c r="R53" s="1411"/>
      <c r="S53" s="1411"/>
      <c r="T53" s="1411"/>
      <c r="U53" s="1411"/>
      <c r="V53" s="1411"/>
      <c r="W53" s="1411"/>
      <c r="X53" s="1411"/>
      <c r="Y53" s="1411"/>
      <c r="Z53" s="1411"/>
      <c r="AA53" s="1411"/>
      <c r="AB53" s="1411"/>
      <c r="AC53" s="1411"/>
      <c r="AD53" s="1411"/>
      <c r="AE53" s="1411"/>
      <c r="AF53" s="1411"/>
      <c r="AG53" s="1411">
        <f>SUM('17.财务费用测算表'!AD19:AG19)</f>
        <v>0</v>
      </c>
      <c r="AH53" s="1411">
        <f>SUM('17.财务费用测算表'!AH19:AW19)</f>
        <v>0</v>
      </c>
      <c r="AI53" s="1415"/>
      <c r="AJ53" s="1415"/>
      <c r="AK53" s="1415"/>
      <c r="AL53" s="1415"/>
      <c r="AM53" s="1415"/>
      <c r="AN53" s="1415"/>
      <c r="AO53" s="1415"/>
      <c r="AP53" s="1415"/>
      <c r="AQ53" s="1415"/>
      <c r="AR53" s="1415"/>
      <c r="AS53" s="1415"/>
      <c r="AT53" s="1415"/>
      <c r="AU53" s="1415"/>
      <c r="AV53" s="1415"/>
      <c r="AW53" s="1415"/>
      <c r="AX53" s="1415"/>
      <c r="AY53" s="1415"/>
      <c r="AZ53" s="1415"/>
      <c r="BA53" s="1415"/>
      <c r="BB53" s="1415"/>
      <c r="BC53" s="1415"/>
      <c r="BD53" s="1415"/>
      <c r="BE53" s="1415"/>
      <c r="BF53" s="1415"/>
      <c r="BG53" s="1415"/>
      <c r="BH53" s="1415"/>
      <c r="BI53" s="1415"/>
      <c r="BJ53" s="1415"/>
      <c r="BK53" s="1415"/>
      <c r="BL53" s="1415"/>
      <c r="BM53" s="1415"/>
      <c r="BN53" s="1415"/>
      <c r="BO53" s="1415"/>
      <c r="BP53" s="1415"/>
      <c r="BQ53" s="1415"/>
      <c r="BR53" s="1415"/>
      <c r="BS53" s="1415"/>
      <c r="BT53" s="1415"/>
      <c r="BU53" s="1415"/>
      <c r="BV53" s="1415"/>
      <c r="BW53" s="1415"/>
      <c r="BX53" s="1415"/>
      <c r="BY53" s="1415"/>
      <c r="BZ53" s="1415"/>
      <c r="CA53" s="1415"/>
      <c r="CB53" s="1415"/>
      <c r="CC53" s="1415"/>
      <c r="CD53" s="1415"/>
      <c r="CE53" s="1415"/>
      <c r="CF53" s="1415"/>
      <c r="CG53" s="1415"/>
      <c r="CH53" s="1415"/>
      <c r="CI53" s="1415"/>
      <c r="CJ53" s="1415"/>
      <c r="CK53" s="1415"/>
      <c r="CL53" s="1415"/>
      <c r="CM53" s="1415"/>
      <c r="CN53" s="1415"/>
      <c r="CO53" s="1415"/>
      <c r="CP53" s="1415"/>
      <c r="CQ53" s="1415"/>
      <c r="CR53" s="1415"/>
      <c r="CS53" s="1415"/>
      <c r="CT53" s="1415"/>
      <c r="CU53" s="1415"/>
      <c r="CV53" s="1415"/>
      <c r="CW53" s="1415"/>
      <c r="CX53" s="1415"/>
      <c r="CY53" s="1415"/>
      <c r="CZ53" s="1415"/>
      <c r="DA53" s="1415"/>
      <c r="DB53" s="1415"/>
      <c r="DC53" s="1415"/>
      <c r="DD53" s="1415"/>
      <c r="DE53" s="1415"/>
      <c r="DF53" s="1415"/>
      <c r="DG53" s="1415"/>
      <c r="DH53" s="1415"/>
      <c r="DI53" s="1415"/>
      <c r="DJ53" s="1415"/>
      <c r="DK53" s="1415"/>
      <c r="DL53" s="1415"/>
      <c r="DM53" s="1415"/>
      <c r="DN53" s="1415"/>
      <c r="DO53" s="1415"/>
      <c r="DP53" s="1415"/>
      <c r="DQ53" s="1415"/>
      <c r="DR53" s="1415"/>
      <c r="DS53" s="1415"/>
      <c r="DT53" s="1415"/>
      <c r="DU53" s="1415"/>
      <c r="DV53" s="1415"/>
      <c r="DW53" s="1415"/>
      <c r="DX53" s="1415"/>
      <c r="DY53" s="1415"/>
      <c r="DZ53" s="1415"/>
      <c r="EA53" s="1415"/>
      <c r="EB53" s="1415"/>
      <c r="EC53" s="1415"/>
      <c r="ED53" s="1415"/>
      <c r="EE53" s="1415"/>
      <c r="EF53" s="1415"/>
      <c r="EG53" s="1415"/>
      <c r="EH53" s="1415"/>
      <c r="EI53" s="1415"/>
      <c r="EJ53" s="1415"/>
      <c r="EK53" s="1415"/>
      <c r="EL53" s="1415"/>
      <c r="EM53" s="1415"/>
      <c r="EN53" s="1415"/>
      <c r="EO53" s="1415"/>
      <c r="EP53" s="1415"/>
      <c r="EQ53" s="1415"/>
      <c r="ER53" s="1415"/>
      <c r="ES53" s="1415"/>
      <c r="ET53" s="1415"/>
      <c r="EU53" s="1415"/>
      <c r="EV53" s="1415"/>
      <c r="EW53" s="1415"/>
      <c r="EX53" s="1415"/>
      <c r="EY53" s="1415"/>
      <c r="EZ53" s="1415"/>
      <c r="FA53" s="1415"/>
      <c r="FB53" s="1415"/>
      <c r="FC53" s="1415"/>
      <c r="FD53" s="1415"/>
      <c r="FE53" s="1415"/>
      <c r="FF53" s="1415"/>
    </row>
    <row r="54" spans="1:162" s="1364" customFormat="1" ht="15" hidden="1" customHeight="1" outlineLevel="1">
      <c r="A54" s="1788"/>
      <c r="B54" s="1416" t="s">
        <v>346</v>
      </c>
      <c r="C54" s="1411">
        <f ca="1">SUM('17.财务费用测算表'!F20:I20)</f>
        <v>0</v>
      </c>
      <c r="D54" s="1411">
        <f ca="1">SUM('17.财务费用测算表'!J20:M20)</f>
        <v>27000</v>
      </c>
      <c r="E54" s="1411">
        <f ca="1">SUM('17.财务费用测算表'!N20:Q20)</f>
        <v>0</v>
      </c>
      <c r="F54" s="1411">
        <f ca="1">SUM('17.财务费用测算表'!R20:U20)</f>
        <v>0</v>
      </c>
      <c r="G54" s="1411">
        <f ca="1">SUM('17.财务费用测算表'!V20:Y20)</f>
        <v>0</v>
      </c>
      <c r="H54" s="1411">
        <f ca="1">SUM('17.财务费用测算表'!Z20:AC20)</f>
        <v>0</v>
      </c>
      <c r="I54" s="1411"/>
      <c r="J54" s="1411"/>
      <c r="K54" s="1411"/>
      <c r="L54" s="1411"/>
      <c r="M54" s="1411"/>
      <c r="N54" s="1411"/>
      <c r="O54" s="1411"/>
      <c r="P54" s="1411"/>
      <c r="Q54" s="1411"/>
      <c r="R54" s="1411"/>
      <c r="S54" s="1411"/>
      <c r="T54" s="1411"/>
      <c r="U54" s="1411"/>
      <c r="V54" s="1411"/>
      <c r="W54" s="1411"/>
      <c r="X54" s="1411"/>
      <c r="Y54" s="1411"/>
      <c r="Z54" s="1411"/>
      <c r="AA54" s="1411"/>
      <c r="AB54" s="1411"/>
      <c r="AC54" s="1411"/>
      <c r="AD54" s="1411"/>
      <c r="AE54" s="1411"/>
      <c r="AF54" s="1411"/>
      <c r="AG54" s="1411">
        <f ca="1">SUM('17.财务费用测算表'!AD20:AG20)</f>
        <v>0</v>
      </c>
      <c r="AH54" s="1411">
        <f ca="1">SUM('17.财务费用测算表'!AH20:AW20)</f>
        <v>0</v>
      </c>
      <c r="AI54" s="1415"/>
      <c r="AJ54" s="1415"/>
      <c r="AK54" s="1415"/>
      <c r="AL54" s="1415"/>
      <c r="AM54" s="1415"/>
      <c r="AN54" s="1415"/>
      <c r="AO54" s="1415"/>
      <c r="AP54" s="1415"/>
      <c r="AQ54" s="1415"/>
      <c r="AR54" s="1415"/>
      <c r="AS54" s="1415"/>
      <c r="AT54" s="1415"/>
      <c r="AU54" s="1415"/>
      <c r="AV54" s="1415"/>
      <c r="AW54" s="1415"/>
      <c r="AX54" s="1415"/>
      <c r="AY54" s="1415"/>
      <c r="AZ54" s="1415"/>
      <c r="BA54" s="1415"/>
      <c r="BB54" s="1415"/>
      <c r="BC54" s="1415"/>
      <c r="BD54" s="1415"/>
      <c r="BE54" s="1415"/>
      <c r="BF54" s="1415"/>
      <c r="BG54" s="1415"/>
      <c r="BH54" s="1415"/>
      <c r="BI54" s="1415"/>
      <c r="BJ54" s="1415"/>
      <c r="BK54" s="1415"/>
      <c r="BL54" s="1415"/>
      <c r="BM54" s="1415"/>
      <c r="BN54" s="1415"/>
      <c r="BO54" s="1415"/>
      <c r="BP54" s="1415"/>
      <c r="BQ54" s="1415"/>
      <c r="BR54" s="1415"/>
      <c r="BS54" s="1415"/>
      <c r="BT54" s="1415"/>
      <c r="BU54" s="1415"/>
      <c r="BV54" s="1415"/>
      <c r="BW54" s="1415"/>
      <c r="BX54" s="1415"/>
      <c r="BY54" s="1415"/>
      <c r="BZ54" s="1415"/>
      <c r="CA54" s="1415"/>
      <c r="CB54" s="1415"/>
      <c r="CC54" s="1415"/>
      <c r="CD54" s="1415"/>
      <c r="CE54" s="1415"/>
      <c r="CF54" s="1415"/>
      <c r="CG54" s="1415"/>
      <c r="CH54" s="1415"/>
      <c r="CI54" s="1415"/>
      <c r="CJ54" s="1415"/>
      <c r="CK54" s="1415"/>
      <c r="CL54" s="1415"/>
      <c r="CM54" s="1415"/>
      <c r="CN54" s="1415"/>
      <c r="CO54" s="1415"/>
      <c r="CP54" s="1415"/>
      <c r="CQ54" s="1415"/>
      <c r="CR54" s="1415"/>
      <c r="CS54" s="1415"/>
      <c r="CT54" s="1415"/>
      <c r="CU54" s="1415"/>
      <c r="CV54" s="1415"/>
      <c r="CW54" s="1415"/>
      <c r="CX54" s="1415"/>
      <c r="CY54" s="1415"/>
      <c r="CZ54" s="1415"/>
      <c r="DA54" s="1415"/>
      <c r="DB54" s="1415"/>
      <c r="DC54" s="1415"/>
      <c r="DD54" s="1415"/>
      <c r="DE54" s="1415"/>
      <c r="DF54" s="1415"/>
      <c r="DG54" s="1415"/>
      <c r="DH54" s="1415"/>
      <c r="DI54" s="1415"/>
      <c r="DJ54" s="1415"/>
      <c r="DK54" s="1415"/>
      <c r="DL54" s="1415"/>
      <c r="DM54" s="1415"/>
      <c r="DN54" s="1415"/>
      <c r="DO54" s="1415"/>
      <c r="DP54" s="1415"/>
      <c r="DQ54" s="1415"/>
      <c r="DR54" s="1415"/>
      <c r="DS54" s="1415"/>
      <c r="DT54" s="1415"/>
      <c r="DU54" s="1415"/>
      <c r="DV54" s="1415"/>
      <c r="DW54" s="1415"/>
      <c r="DX54" s="1415"/>
      <c r="DY54" s="1415"/>
      <c r="DZ54" s="1415"/>
      <c r="EA54" s="1415"/>
      <c r="EB54" s="1415"/>
      <c r="EC54" s="1415"/>
      <c r="ED54" s="1415"/>
      <c r="EE54" s="1415"/>
      <c r="EF54" s="1415"/>
      <c r="EG54" s="1415"/>
      <c r="EH54" s="1415"/>
      <c r="EI54" s="1415"/>
      <c r="EJ54" s="1415"/>
      <c r="EK54" s="1415"/>
      <c r="EL54" s="1415"/>
      <c r="EM54" s="1415"/>
      <c r="EN54" s="1415"/>
      <c r="EO54" s="1415"/>
      <c r="EP54" s="1415"/>
      <c r="EQ54" s="1415"/>
      <c r="ER54" s="1415"/>
      <c r="ES54" s="1415"/>
      <c r="ET54" s="1415"/>
      <c r="EU54" s="1415"/>
      <c r="EV54" s="1415"/>
      <c r="EW54" s="1415"/>
      <c r="EX54" s="1415"/>
      <c r="EY54" s="1415"/>
      <c r="EZ54" s="1415"/>
      <c r="FA54" s="1415"/>
      <c r="FB54" s="1415"/>
      <c r="FC54" s="1415"/>
      <c r="FD54" s="1415"/>
      <c r="FE54" s="1415"/>
      <c r="FF54" s="1415"/>
    </row>
    <row r="55" spans="1:162" s="1364" customFormat="1" ht="15" hidden="1" customHeight="1" outlineLevel="1">
      <c r="A55" s="1788"/>
      <c r="B55" s="1416" t="s">
        <v>347</v>
      </c>
      <c r="C55" s="1394">
        <f ca="1">SUM('17.财务费用测算表'!F21:I21)</f>
        <v>0</v>
      </c>
      <c r="D55" s="1394">
        <f ca="1">SUM('17.财务费用测算表'!J21:M21)</f>
        <v>901.5</v>
      </c>
      <c r="E55" s="1394">
        <f ca="1">SUM('17.财务费用测算表'!N21:Q21)</f>
        <v>0</v>
      </c>
      <c r="F55" s="1394">
        <f ca="1">SUM('17.财务费用测算表'!R21:U21)</f>
        <v>0</v>
      </c>
      <c r="G55" s="1394">
        <f ca="1">SUM('17.财务费用测算表'!V21:Y21)</f>
        <v>0</v>
      </c>
      <c r="H55" s="1394">
        <f ca="1">SUM('17.财务费用测算表'!Z21:AC21)</f>
        <v>0</v>
      </c>
      <c r="I55" s="1394"/>
      <c r="J55" s="1394"/>
      <c r="K55" s="1394"/>
      <c r="L55" s="1394"/>
      <c r="M55" s="1394"/>
      <c r="N55" s="1394"/>
      <c r="O55" s="1394"/>
      <c r="P55" s="1394"/>
      <c r="Q55" s="1394"/>
      <c r="R55" s="1394"/>
      <c r="S55" s="1394"/>
      <c r="T55" s="1394"/>
      <c r="U55" s="1394"/>
      <c r="V55" s="1394"/>
      <c r="W55" s="1394"/>
      <c r="X55" s="1394"/>
      <c r="Y55" s="1394"/>
      <c r="Z55" s="1394"/>
      <c r="AA55" s="1394"/>
      <c r="AB55" s="1394"/>
      <c r="AC55" s="1394"/>
      <c r="AD55" s="1394"/>
      <c r="AE55" s="1394"/>
      <c r="AF55" s="1394"/>
      <c r="AG55" s="1394">
        <f ca="1">SUM('17.财务费用测算表'!AD21:AG21)</f>
        <v>0</v>
      </c>
      <c r="AH55" s="1394">
        <f ca="1">SUM('17.财务费用测算表'!AH21:AW21)</f>
        <v>0</v>
      </c>
      <c r="AI55" s="1394"/>
      <c r="AJ55" s="1394"/>
      <c r="AK55" s="1394"/>
      <c r="AL55" s="1394"/>
      <c r="AM55" s="1394"/>
      <c r="AN55" s="1394"/>
      <c r="AO55" s="1394"/>
      <c r="AP55" s="1394"/>
      <c r="AQ55" s="1394"/>
      <c r="AR55" s="1394"/>
      <c r="AS55" s="1394"/>
      <c r="AT55" s="1394"/>
      <c r="AU55" s="1394"/>
      <c r="AV55" s="1394"/>
      <c r="AW55" s="1394"/>
      <c r="AX55" s="1394"/>
      <c r="AY55" s="1394"/>
      <c r="AZ55" s="1394"/>
      <c r="BA55" s="1394"/>
      <c r="BB55" s="1394"/>
      <c r="BC55" s="1394"/>
      <c r="BD55" s="1394"/>
      <c r="BE55" s="1394"/>
      <c r="BF55" s="1394"/>
      <c r="BG55" s="1394"/>
      <c r="BH55" s="1394"/>
      <c r="BI55" s="1394"/>
      <c r="BJ55" s="1394"/>
      <c r="BK55" s="1394"/>
      <c r="BL55" s="1394"/>
      <c r="BM55" s="1394"/>
      <c r="BN55" s="1394"/>
      <c r="BO55" s="1394"/>
      <c r="BP55" s="1394"/>
      <c r="BQ55" s="1394"/>
      <c r="BR55" s="1394"/>
      <c r="BS55" s="1394"/>
      <c r="BT55" s="1394"/>
      <c r="BU55" s="1394"/>
      <c r="BV55" s="1394"/>
      <c r="BW55" s="1394"/>
      <c r="BX55" s="1394"/>
      <c r="BY55" s="1394"/>
      <c r="BZ55" s="1394"/>
      <c r="CA55" s="1394"/>
      <c r="CB55" s="1394"/>
      <c r="CC55" s="1394"/>
      <c r="CD55" s="1394"/>
      <c r="CE55" s="1394"/>
      <c r="CF55" s="1394"/>
      <c r="CG55" s="1394"/>
      <c r="CH55" s="1394"/>
      <c r="CI55" s="1394"/>
      <c r="CJ55" s="1394"/>
      <c r="CK55" s="1394"/>
      <c r="CL55" s="1394"/>
      <c r="CM55" s="1394"/>
      <c r="CN55" s="1394"/>
      <c r="CO55" s="1394"/>
      <c r="CP55" s="1394"/>
      <c r="CQ55" s="1394"/>
      <c r="CR55" s="1394"/>
      <c r="CS55" s="1394"/>
      <c r="CT55" s="1394"/>
      <c r="CU55" s="1394"/>
      <c r="CV55" s="1394"/>
      <c r="CW55" s="1394"/>
      <c r="CX55" s="1394"/>
      <c r="CY55" s="1394"/>
      <c r="CZ55" s="1394"/>
      <c r="DA55" s="1394"/>
      <c r="DB55" s="1394"/>
      <c r="DC55" s="1394"/>
      <c r="DD55" s="1394"/>
      <c r="DE55" s="1394"/>
      <c r="DF55" s="1394"/>
      <c r="DG55" s="1394"/>
      <c r="DH55" s="1394"/>
      <c r="DI55" s="1394"/>
      <c r="DJ55" s="1394"/>
      <c r="DK55" s="1394"/>
      <c r="DL55" s="1394"/>
      <c r="DM55" s="1394"/>
      <c r="DN55" s="1394"/>
      <c r="DO55" s="1394"/>
      <c r="DP55" s="1394"/>
      <c r="DQ55" s="1394"/>
      <c r="DR55" s="1394"/>
      <c r="DS55" s="1394"/>
      <c r="DT55" s="1394"/>
      <c r="DU55" s="1394"/>
      <c r="DV55" s="1394"/>
      <c r="DW55" s="1394"/>
      <c r="DX55" s="1394"/>
      <c r="DY55" s="1394"/>
      <c r="DZ55" s="1394"/>
      <c r="EA55" s="1394"/>
      <c r="EB55" s="1394"/>
      <c r="EC55" s="1394"/>
      <c r="ED55" s="1394"/>
      <c r="EE55" s="1394"/>
      <c r="EF55" s="1394"/>
      <c r="EG55" s="1394"/>
      <c r="EH55" s="1394"/>
      <c r="EI55" s="1394"/>
      <c r="EJ55" s="1394"/>
      <c r="EK55" s="1394"/>
      <c r="EL55" s="1394"/>
      <c r="EM55" s="1394"/>
      <c r="EN55" s="1394"/>
      <c r="EO55" s="1394"/>
      <c r="EP55" s="1394"/>
      <c r="EQ55" s="1394"/>
      <c r="ER55" s="1394"/>
      <c r="ES55" s="1394"/>
      <c r="ET55" s="1394"/>
      <c r="EU55" s="1394"/>
      <c r="EV55" s="1394"/>
      <c r="EW55" s="1394"/>
      <c r="EX55" s="1394"/>
      <c r="EY55" s="1394"/>
      <c r="EZ55" s="1394"/>
      <c r="FA55" s="1394"/>
      <c r="FB55" s="1394"/>
      <c r="FC55" s="1394"/>
      <c r="FD55" s="1394"/>
      <c r="FE55" s="1394"/>
      <c r="FF55" s="1394"/>
    </row>
    <row r="56" spans="1:162" s="1365" customFormat="1" ht="21" customHeight="1" collapsed="1">
      <c r="A56" s="1788"/>
      <c r="B56" s="1413" t="s">
        <v>348</v>
      </c>
      <c r="C56" s="1394">
        <f ca="1">C51</f>
        <v>0</v>
      </c>
      <c r="D56" s="1394">
        <f ca="1">C56+D51</f>
        <v>-901.5</v>
      </c>
      <c r="E56" s="1394">
        <f ca="1">D56+E51</f>
        <v>-901.5</v>
      </c>
      <c r="F56" s="1394">
        <f t="shared" ref="F56:H56" ca="1" si="364">E56+F51</f>
        <v>-901.5</v>
      </c>
      <c r="G56" s="1394">
        <f t="shared" ca="1" si="364"/>
        <v>-901.5</v>
      </c>
      <c r="H56" s="1394">
        <f t="shared" ca="1" si="364"/>
        <v>-901.5</v>
      </c>
      <c r="I56" s="1394"/>
      <c r="J56" s="1394"/>
      <c r="K56" s="1394"/>
      <c r="L56" s="1394"/>
      <c r="M56" s="1394"/>
      <c r="N56" s="1394"/>
      <c r="O56" s="1394"/>
      <c r="P56" s="1394"/>
      <c r="Q56" s="1394"/>
      <c r="R56" s="1394"/>
      <c r="S56" s="1394"/>
      <c r="T56" s="1394"/>
      <c r="U56" s="1394"/>
      <c r="V56" s="1394"/>
      <c r="W56" s="1394"/>
      <c r="X56" s="1394"/>
      <c r="Y56" s="1394"/>
      <c r="Z56" s="1394"/>
      <c r="AA56" s="1394"/>
      <c r="AB56" s="1394"/>
      <c r="AC56" s="1394"/>
      <c r="AD56" s="1394"/>
      <c r="AE56" s="1394"/>
      <c r="AF56" s="1394"/>
      <c r="AG56" s="1394">
        <f ca="1">H56+AG51</f>
        <v>-901.5</v>
      </c>
      <c r="AH56" s="1394">
        <f ca="1">AG56+AH51</f>
        <v>-901.5</v>
      </c>
      <c r="AI56" s="1394"/>
      <c r="AJ56" s="1394"/>
      <c r="AK56" s="1394"/>
      <c r="AL56" s="1394"/>
      <c r="AM56" s="1394"/>
      <c r="AN56" s="1394"/>
      <c r="AO56" s="1394"/>
      <c r="AP56" s="1394"/>
      <c r="AQ56" s="1394"/>
      <c r="AR56" s="1394"/>
      <c r="AS56" s="1394"/>
      <c r="AT56" s="1394"/>
      <c r="AU56" s="1394"/>
      <c r="AV56" s="1394"/>
      <c r="AW56" s="1394"/>
      <c r="AX56" s="1394"/>
      <c r="AY56" s="1394"/>
      <c r="AZ56" s="1394"/>
      <c r="BA56" s="1394"/>
      <c r="BB56" s="1394"/>
      <c r="BC56" s="1394"/>
      <c r="BD56" s="1394"/>
      <c r="BE56" s="1394"/>
      <c r="BF56" s="1394"/>
      <c r="BG56" s="1394"/>
      <c r="BH56" s="1394"/>
      <c r="BI56" s="1394"/>
      <c r="BJ56" s="1394"/>
      <c r="BK56" s="1394"/>
      <c r="BL56" s="1394"/>
      <c r="BM56" s="1394"/>
      <c r="BN56" s="1394"/>
      <c r="BO56" s="1394"/>
      <c r="BP56" s="1394"/>
      <c r="BQ56" s="1394"/>
      <c r="BR56" s="1394"/>
      <c r="BS56" s="1394"/>
      <c r="BT56" s="1394"/>
      <c r="BU56" s="1394"/>
      <c r="BV56" s="1394"/>
      <c r="BW56" s="1394"/>
      <c r="BX56" s="1394"/>
      <c r="BY56" s="1394"/>
      <c r="BZ56" s="1394"/>
      <c r="CA56" s="1394"/>
      <c r="CB56" s="1394"/>
      <c r="CC56" s="1394"/>
      <c r="CD56" s="1394"/>
      <c r="CE56" s="1394"/>
      <c r="CF56" s="1394"/>
      <c r="CG56" s="1394"/>
      <c r="CH56" s="1394"/>
      <c r="CI56" s="1394"/>
      <c r="CJ56" s="1394"/>
      <c r="CK56" s="1394"/>
      <c r="CL56" s="1394"/>
      <c r="CM56" s="1394"/>
      <c r="CN56" s="1394"/>
      <c r="CO56" s="1394"/>
      <c r="CP56" s="1394"/>
      <c r="CQ56" s="1394"/>
      <c r="CR56" s="1394"/>
      <c r="CS56" s="1394"/>
      <c r="CT56" s="1394"/>
      <c r="CU56" s="1394"/>
      <c r="CV56" s="1394"/>
      <c r="CW56" s="1394"/>
      <c r="CX56" s="1394"/>
      <c r="CY56" s="1394"/>
      <c r="CZ56" s="1394"/>
      <c r="DA56" s="1394"/>
      <c r="DB56" s="1394"/>
      <c r="DC56" s="1394"/>
      <c r="DD56" s="1394"/>
      <c r="DE56" s="1394"/>
      <c r="DF56" s="1394"/>
      <c r="DG56" s="1394"/>
      <c r="DH56" s="1394"/>
      <c r="DI56" s="1394"/>
      <c r="DJ56" s="1394"/>
      <c r="DK56" s="1394"/>
      <c r="DL56" s="1394"/>
      <c r="DM56" s="1394"/>
      <c r="DN56" s="1394"/>
      <c r="DO56" s="1394"/>
      <c r="DP56" s="1394"/>
      <c r="DQ56" s="1394"/>
      <c r="DR56" s="1394"/>
      <c r="DS56" s="1394"/>
      <c r="DT56" s="1394"/>
      <c r="DU56" s="1394"/>
      <c r="DV56" s="1394"/>
      <c r="DW56" s="1394"/>
      <c r="DX56" s="1394"/>
      <c r="DY56" s="1394"/>
      <c r="DZ56" s="1394"/>
      <c r="EA56" s="1394"/>
      <c r="EB56" s="1394"/>
      <c r="EC56" s="1394"/>
      <c r="ED56" s="1394"/>
      <c r="EE56" s="1394"/>
      <c r="EF56" s="1394"/>
      <c r="EG56" s="1394"/>
      <c r="EH56" s="1394"/>
      <c r="EI56" s="1441"/>
      <c r="EJ56" s="1441"/>
      <c r="EK56" s="1441"/>
      <c r="EL56" s="1441"/>
      <c r="EM56" s="1441"/>
      <c r="EN56" s="1441"/>
      <c r="EO56" s="1441"/>
      <c r="EP56" s="1441"/>
      <c r="EQ56" s="1441"/>
      <c r="ER56" s="1441"/>
      <c r="ES56" s="1441"/>
      <c r="ET56" s="1441"/>
      <c r="EU56" s="1441"/>
      <c r="EV56" s="1441"/>
      <c r="EW56" s="1441"/>
      <c r="EX56" s="1441"/>
      <c r="EY56" s="1441"/>
      <c r="EZ56" s="1441"/>
      <c r="FA56" s="1441"/>
      <c r="FB56" s="1441"/>
      <c r="FC56" s="1441"/>
      <c r="FD56" s="1441"/>
      <c r="FE56" s="1441"/>
      <c r="FF56" s="1441"/>
    </row>
    <row r="57" spans="1:162" s="1365" customFormat="1" ht="20.25" customHeight="1">
      <c r="A57" s="1788"/>
      <c r="B57" s="1417" t="s">
        <v>247</v>
      </c>
      <c r="C57" s="1394">
        <f ca="1">C56+C50</f>
        <v>-20514.472114965785</v>
      </c>
      <c r="D57" s="1394">
        <f t="shared" ref="D57:H57" ca="1" si="365">D56+D50</f>
        <v>30676.903789136231</v>
      </c>
      <c r="E57" s="1394">
        <f t="shared" ca="1" si="365"/>
        <v>26370.199064220487</v>
      </c>
      <c r="F57" s="1394">
        <f t="shared" ca="1" si="365"/>
        <v>22214.002303609439</v>
      </c>
      <c r="G57" s="1394">
        <f t="shared" ca="1" si="365"/>
        <v>20731.861383609437</v>
      </c>
      <c r="H57" s="1394">
        <f t="shared" ca="1" si="365"/>
        <v>20731.861383609437</v>
      </c>
      <c r="I57" s="1394">
        <f t="shared" ref="I57:AF57" si="366">I51+I50</f>
        <v>0</v>
      </c>
      <c r="J57" s="1394">
        <f t="shared" si="366"/>
        <v>0</v>
      </c>
      <c r="K57" s="1394">
        <f t="shared" si="366"/>
        <v>0</v>
      </c>
      <c r="L57" s="1394">
        <f t="shared" si="366"/>
        <v>0</v>
      </c>
      <c r="M57" s="1394">
        <f t="shared" si="366"/>
        <v>0</v>
      </c>
      <c r="N57" s="1394">
        <f t="shared" si="366"/>
        <v>0</v>
      </c>
      <c r="O57" s="1394">
        <f t="shared" si="366"/>
        <v>0</v>
      </c>
      <c r="P57" s="1394">
        <f t="shared" si="366"/>
        <v>0</v>
      </c>
      <c r="Q57" s="1394">
        <f t="shared" si="366"/>
        <v>0</v>
      </c>
      <c r="R57" s="1394">
        <f t="shared" si="366"/>
        <v>0</v>
      </c>
      <c r="S57" s="1394">
        <f t="shared" si="366"/>
        <v>0</v>
      </c>
      <c r="T57" s="1394">
        <f t="shared" si="366"/>
        <v>0</v>
      </c>
      <c r="U57" s="1394">
        <f t="shared" si="366"/>
        <v>0</v>
      </c>
      <c r="V57" s="1394">
        <f t="shared" si="366"/>
        <v>0</v>
      </c>
      <c r="W57" s="1394">
        <f t="shared" si="366"/>
        <v>0</v>
      </c>
      <c r="X57" s="1394">
        <f t="shared" si="366"/>
        <v>0</v>
      </c>
      <c r="Y57" s="1394">
        <f t="shared" si="366"/>
        <v>0</v>
      </c>
      <c r="Z57" s="1394">
        <f t="shared" si="366"/>
        <v>0</v>
      </c>
      <c r="AA57" s="1394">
        <f t="shared" si="366"/>
        <v>0</v>
      </c>
      <c r="AB57" s="1394">
        <f t="shared" si="366"/>
        <v>0</v>
      </c>
      <c r="AC57" s="1394">
        <f t="shared" si="366"/>
        <v>0</v>
      </c>
      <c r="AD57" s="1394">
        <f t="shared" si="366"/>
        <v>0</v>
      </c>
      <c r="AE57" s="1394">
        <f t="shared" si="366"/>
        <v>0</v>
      </c>
      <c r="AF57" s="1394">
        <f t="shared" si="366"/>
        <v>0</v>
      </c>
      <c r="AG57" s="1394">
        <f t="shared" ref="AG57" ca="1" si="367">AG56+AG50</f>
        <v>20731.861383609437</v>
      </c>
      <c r="AH57" s="1394">
        <f t="shared" ref="AH57" ca="1" si="368">AH56+AH50</f>
        <v>20731.861383609437</v>
      </c>
      <c r="AI57" s="1394"/>
      <c r="AJ57" s="1394"/>
      <c r="AK57" s="1394"/>
      <c r="AL57" s="1394"/>
      <c r="AM57" s="1394"/>
      <c r="AN57" s="1394"/>
      <c r="AO57" s="1394"/>
      <c r="AP57" s="1394"/>
      <c r="AQ57" s="1394"/>
      <c r="AR57" s="1394"/>
      <c r="AS57" s="1394"/>
      <c r="AT57" s="1394"/>
      <c r="AU57" s="1394"/>
      <c r="AV57" s="1394"/>
      <c r="AW57" s="1394"/>
      <c r="AX57" s="1394"/>
      <c r="AY57" s="1394"/>
      <c r="AZ57" s="1394"/>
      <c r="BA57" s="1394"/>
      <c r="BB57" s="1394"/>
      <c r="BC57" s="1394"/>
      <c r="BD57" s="1394"/>
      <c r="BE57" s="1394"/>
      <c r="BF57" s="1394"/>
      <c r="BG57" s="1394"/>
      <c r="BH57" s="1394"/>
      <c r="BI57" s="1394"/>
      <c r="BJ57" s="1394"/>
      <c r="BK57" s="1394"/>
      <c r="BL57" s="1394"/>
      <c r="BM57" s="1394"/>
      <c r="BN57" s="1394"/>
      <c r="BO57" s="1394"/>
      <c r="BP57" s="1394"/>
      <c r="BQ57" s="1394"/>
      <c r="BR57" s="1394"/>
      <c r="BS57" s="1394"/>
      <c r="BT57" s="1394"/>
      <c r="BU57" s="1394"/>
      <c r="BV57" s="1394"/>
      <c r="BW57" s="1394"/>
      <c r="BX57" s="1394"/>
      <c r="BY57" s="1394"/>
      <c r="BZ57" s="1394"/>
      <c r="CA57" s="1394"/>
      <c r="CB57" s="1394"/>
      <c r="CC57" s="1394"/>
      <c r="CD57" s="1394"/>
      <c r="CE57" s="1394"/>
      <c r="CF57" s="1394"/>
      <c r="CG57" s="1394"/>
      <c r="CH57" s="1394"/>
      <c r="CI57" s="1394"/>
      <c r="CJ57" s="1394"/>
      <c r="CK57" s="1394"/>
      <c r="CL57" s="1394"/>
      <c r="CM57" s="1394"/>
      <c r="CN57" s="1394"/>
      <c r="CO57" s="1394"/>
      <c r="CP57" s="1394"/>
      <c r="CQ57" s="1394"/>
      <c r="CR57" s="1394"/>
      <c r="CS57" s="1394"/>
      <c r="CT57" s="1394"/>
      <c r="CU57" s="1394"/>
      <c r="CV57" s="1394"/>
      <c r="CW57" s="1394"/>
      <c r="CX57" s="1394"/>
      <c r="CY57" s="1394"/>
      <c r="CZ57" s="1394"/>
      <c r="DA57" s="1394"/>
      <c r="DB57" s="1394"/>
      <c r="DC57" s="1394"/>
      <c r="DD57" s="1394"/>
      <c r="DE57" s="1394"/>
      <c r="DF57" s="1394"/>
      <c r="DG57" s="1394"/>
      <c r="DH57" s="1394"/>
      <c r="DI57" s="1394"/>
      <c r="DJ57" s="1394"/>
      <c r="DK57" s="1394"/>
      <c r="DL57" s="1394"/>
      <c r="DM57" s="1394"/>
      <c r="DN57" s="1394"/>
      <c r="DO57" s="1394"/>
      <c r="DP57" s="1394"/>
      <c r="DQ57" s="1394"/>
      <c r="DR57" s="1394"/>
      <c r="DS57" s="1394"/>
      <c r="DT57" s="1394"/>
      <c r="DU57" s="1394"/>
      <c r="DV57" s="1394"/>
      <c r="DW57" s="1394"/>
      <c r="DX57" s="1394"/>
      <c r="DY57" s="1394"/>
      <c r="DZ57" s="1394"/>
      <c r="EA57" s="1394"/>
      <c r="EB57" s="1394"/>
      <c r="EC57" s="1394"/>
      <c r="ED57" s="1394"/>
      <c r="EE57" s="1394"/>
      <c r="EF57" s="1394"/>
      <c r="EG57" s="1394"/>
      <c r="EH57" s="1394"/>
      <c r="EI57" s="1441"/>
      <c r="EJ57" s="1441"/>
      <c r="EK57" s="1441"/>
      <c r="EL57" s="1441"/>
      <c r="EM57" s="1441"/>
      <c r="EN57" s="1441"/>
      <c r="EO57" s="1441"/>
      <c r="EP57" s="1441"/>
      <c r="EQ57" s="1441"/>
      <c r="ER57" s="1441"/>
      <c r="ES57" s="1441"/>
      <c r="ET57" s="1441"/>
      <c r="EU57" s="1441"/>
      <c r="EV57" s="1441"/>
      <c r="EW57" s="1441"/>
      <c r="EX57" s="1441"/>
      <c r="EY57" s="1441"/>
      <c r="EZ57" s="1441"/>
      <c r="FA57" s="1441"/>
      <c r="FB57" s="1441"/>
      <c r="FC57" s="1441"/>
      <c r="FD57" s="1441"/>
      <c r="FE57" s="1441"/>
      <c r="FF57" s="1441"/>
    </row>
    <row r="58" spans="1:162" s="1361" customFormat="1" ht="21" customHeight="1">
      <c r="A58" s="1788"/>
      <c r="B58" s="1376" t="s">
        <v>349</v>
      </c>
      <c r="C58" s="1818">
        <f ca="1">-MIN(C57,D57,E57,F57,G57,H57,AG57,AH57)</f>
        <v>20514.472114965785</v>
      </c>
      <c r="D58" s="1819"/>
      <c r="E58" s="1819"/>
      <c r="F58" s="1819"/>
      <c r="G58" s="1819"/>
      <c r="H58" s="1819"/>
      <c r="I58" s="1819"/>
      <c r="J58" s="1819"/>
      <c r="K58" s="1819"/>
      <c r="L58" s="1819"/>
      <c r="M58" s="1819"/>
      <c r="N58" s="1819"/>
      <c r="O58" s="1819"/>
      <c r="P58" s="1819"/>
      <c r="Q58" s="1819"/>
      <c r="R58" s="1820"/>
      <c r="S58" s="1436"/>
      <c r="T58" s="1414"/>
      <c r="U58" s="1436"/>
      <c r="V58" s="1436"/>
      <c r="W58" s="1414"/>
      <c r="X58" s="1436"/>
      <c r="Y58" s="1436"/>
      <c r="Z58" s="1414"/>
      <c r="AA58" s="1436"/>
      <c r="AB58" s="1436"/>
      <c r="AC58" s="1436"/>
      <c r="AD58" s="1436"/>
      <c r="AE58" s="1436"/>
      <c r="AF58" s="1436"/>
      <c r="AG58" s="1436"/>
      <c r="AH58" s="1436"/>
      <c r="AI58" s="1414"/>
      <c r="AJ58" s="1414"/>
      <c r="AK58" s="1414"/>
      <c r="AL58" s="1414"/>
      <c r="AM58" s="1414"/>
      <c r="AN58" s="1414"/>
      <c r="AO58" s="1414"/>
      <c r="AP58" s="1414"/>
      <c r="AQ58" s="1414"/>
      <c r="AR58" s="1414"/>
      <c r="AS58" s="1414"/>
      <c r="AT58" s="1414"/>
      <c r="AU58" s="1414"/>
      <c r="AV58" s="1414"/>
      <c r="AW58" s="1414"/>
      <c r="AX58" s="1414"/>
      <c r="AY58" s="1414"/>
      <c r="AZ58" s="1414"/>
      <c r="BA58" s="1414"/>
      <c r="BB58" s="1414"/>
      <c r="BC58" s="1414"/>
      <c r="BD58" s="1414"/>
      <c r="BE58" s="1414"/>
      <c r="BF58" s="1414"/>
      <c r="BG58" s="1436"/>
      <c r="BH58" s="1436"/>
      <c r="BI58" s="1414"/>
      <c r="BJ58" s="1414"/>
      <c r="BK58" s="1414"/>
      <c r="BL58" s="1414"/>
      <c r="BM58" s="1414"/>
      <c r="BN58" s="1414"/>
      <c r="BO58" s="1414"/>
      <c r="BP58" s="1414"/>
      <c r="BQ58" s="1414"/>
      <c r="BR58" s="1414"/>
      <c r="BS58" s="1414"/>
      <c r="BT58" s="1414"/>
      <c r="BU58" s="1414"/>
      <c r="BV58" s="1414"/>
      <c r="BW58" s="1414"/>
      <c r="BX58" s="1414"/>
      <c r="BY58" s="1414"/>
      <c r="BZ58" s="1414"/>
      <c r="CA58" s="1414"/>
      <c r="CB58" s="1414"/>
      <c r="CC58" s="1414"/>
      <c r="CD58" s="1414"/>
      <c r="CE58" s="1414"/>
      <c r="CF58" s="1414"/>
      <c r="CG58" s="1436"/>
      <c r="CH58" s="1436"/>
      <c r="CI58" s="1414"/>
      <c r="CJ58" s="1414"/>
      <c r="CK58" s="1414"/>
      <c r="CL58" s="1414"/>
      <c r="CM58" s="1414"/>
      <c r="CN58" s="1414"/>
      <c r="CO58" s="1414"/>
      <c r="CP58" s="1414"/>
      <c r="CQ58" s="1414"/>
      <c r="CR58" s="1414"/>
      <c r="CS58" s="1414"/>
      <c r="CT58" s="1414"/>
      <c r="CU58" s="1414"/>
      <c r="CV58" s="1414"/>
      <c r="CW58" s="1414"/>
      <c r="CX58" s="1414"/>
      <c r="CY58" s="1414"/>
      <c r="CZ58" s="1414"/>
      <c r="DA58" s="1414"/>
      <c r="DB58" s="1414"/>
      <c r="DC58" s="1414"/>
      <c r="DD58" s="1414"/>
      <c r="DE58" s="1414"/>
      <c r="DF58" s="1414"/>
      <c r="DG58" s="1436"/>
      <c r="DH58" s="1436"/>
      <c r="DI58" s="1414"/>
      <c r="DJ58" s="1414"/>
      <c r="DK58" s="1414"/>
      <c r="DL58" s="1414"/>
      <c r="DM58" s="1414"/>
      <c r="DN58" s="1414"/>
      <c r="DO58" s="1414"/>
      <c r="DP58" s="1414"/>
      <c r="DQ58" s="1414"/>
      <c r="DR58" s="1414"/>
      <c r="DS58" s="1414"/>
      <c r="DT58" s="1414"/>
      <c r="DU58" s="1414"/>
      <c r="DV58" s="1414"/>
      <c r="DW58" s="1414"/>
      <c r="DX58" s="1414"/>
      <c r="DY58" s="1414"/>
      <c r="DZ58" s="1414"/>
      <c r="EA58" s="1414"/>
      <c r="EB58" s="1414"/>
      <c r="EC58" s="1414"/>
      <c r="ED58" s="1414"/>
      <c r="EE58" s="1414"/>
      <c r="EF58" s="1414"/>
      <c r="EG58" s="1436"/>
      <c r="EH58" s="1436"/>
      <c r="EI58" s="1442"/>
      <c r="EJ58" s="1442"/>
      <c r="EK58" s="1442"/>
      <c r="EL58" s="1442"/>
      <c r="EM58" s="1442"/>
      <c r="EN58" s="1442"/>
      <c r="EO58" s="1442"/>
      <c r="EP58" s="1442"/>
      <c r="EQ58" s="1442"/>
      <c r="ER58" s="1442"/>
      <c r="ES58" s="1442"/>
      <c r="ET58" s="1442"/>
      <c r="EU58" s="1442"/>
      <c r="EV58" s="1442"/>
      <c r="EW58" s="1442"/>
      <c r="EX58" s="1442"/>
      <c r="EY58" s="1442"/>
      <c r="EZ58" s="1442"/>
      <c r="FA58" s="1442"/>
      <c r="FB58" s="1442"/>
      <c r="FC58" s="1442"/>
      <c r="FD58" s="1442"/>
      <c r="FE58" s="1442"/>
      <c r="FF58" s="1442"/>
    </row>
    <row r="59" spans="1:162" s="1366" customFormat="1" ht="20.25" customHeight="1">
      <c r="A59" s="1418" t="s">
        <v>350</v>
      </c>
      <c r="B59" s="1419"/>
      <c r="C59" s="1420"/>
      <c r="D59" s="1421"/>
      <c r="E59" s="1421"/>
      <c r="F59" s="1421"/>
      <c r="G59" s="1421"/>
      <c r="H59" s="1421"/>
      <c r="I59" s="1421"/>
      <c r="J59" s="1421"/>
      <c r="K59" s="1434"/>
      <c r="AG59" s="1421"/>
      <c r="AH59" s="1421"/>
      <c r="BG59" s="1421"/>
      <c r="BH59" s="1421"/>
      <c r="CG59" s="1421"/>
      <c r="CH59" s="1421"/>
      <c r="DG59" s="1421"/>
      <c r="DH59" s="1421"/>
      <c r="EG59" s="1421"/>
      <c r="EH59" s="1421"/>
    </row>
    <row r="60" spans="1:162" s="1366" customFormat="1" ht="21" customHeight="1">
      <c r="A60" s="1422" t="s">
        <v>351</v>
      </c>
      <c r="B60" s="1422" t="s">
        <v>352</v>
      </c>
      <c r="C60" s="1821" t="s">
        <v>353</v>
      </c>
      <c r="D60" s="1821"/>
      <c r="E60" s="1821"/>
      <c r="F60" s="1821"/>
      <c r="G60" s="1423" t="s">
        <v>354</v>
      </c>
      <c r="H60" s="1821" t="s">
        <v>355</v>
      </c>
      <c r="I60" s="1821"/>
      <c r="J60" s="1821"/>
      <c r="K60" s="1821"/>
      <c r="L60" s="1821"/>
      <c r="M60" s="1821"/>
      <c r="N60" s="1821"/>
      <c r="O60" s="1821"/>
      <c r="P60" s="1821"/>
      <c r="Q60" s="1821"/>
      <c r="R60" s="1821"/>
      <c r="S60" s="1821"/>
      <c r="T60" s="1821"/>
      <c r="U60" s="1821"/>
      <c r="V60" s="1821"/>
      <c r="W60" s="1821"/>
      <c r="X60" s="1821"/>
      <c r="Y60" s="1821"/>
      <c r="Z60" s="1821"/>
      <c r="AA60" s="1821"/>
      <c r="AB60" s="1821"/>
      <c r="AC60" s="1821"/>
      <c r="AD60" s="1821"/>
      <c r="AE60" s="1821"/>
      <c r="AF60" s="1821"/>
      <c r="AG60" s="1821"/>
      <c r="AH60" s="1821"/>
    </row>
    <row r="61" spans="1:162" s="1367" customFormat="1" ht="15" hidden="1" customHeight="1">
      <c r="A61" s="1424">
        <v>1</v>
      </c>
      <c r="B61" s="1425" t="s">
        <v>356</v>
      </c>
      <c r="C61" s="1822" t="s">
        <v>357</v>
      </c>
      <c r="D61" s="1822"/>
      <c r="E61" s="1822"/>
      <c r="F61" s="1822"/>
      <c r="G61" s="1822"/>
      <c r="H61" s="1822"/>
      <c r="I61" s="1822"/>
      <c r="J61" s="1428"/>
      <c r="K61" s="1822"/>
      <c r="L61" s="1822"/>
      <c r="M61" s="1822"/>
      <c r="N61" s="1822"/>
      <c r="O61" s="1822"/>
      <c r="P61" s="1426"/>
      <c r="Q61" s="1426"/>
      <c r="R61" s="1426"/>
      <c r="S61" s="1430"/>
      <c r="T61" s="1430"/>
      <c r="U61" s="1428"/>
      <c r="V61" s="1428"/>
      <c r="W61" s="1428"/>
      <c r="X61" s="1428"/>
      <c r="Y61" s="1428"/>
      <c r="Z61" s="1428"/>
      <c r="AA61" s="1428"/>
      <c r="AB61" s="1428"/>
      <c r="AC61" s="1428"/>
      <c r="AD61" s="1428"/>
      <c r="AE61" s="1428"/>
      <c r="AF61" s="1428"/>
      <c r="AG61" s="1428" t="s">
        <v>358</v>
      </c>
      <c r="AH61" s="1428" t="s">
        <v>358</v>
      </c>
      <c r="AI61" s="1438"/>
      <c r="AJ61" s="1438"/>
      <c r="AK61" s="1438"/>
      <c r="AL61" s="1438"/>
      <c r="AM61" s="1421"/>
      <c r="AN61" s="1421"/>
      <c r="AO61" s="1421"/>
      <c r="AP61" s="1421"/>
      <c r="AQ61" s="1421"/>
      <c r="AR61" s="1421"/>
      <c r="AS61" s="1421"/>
      <c r="AT61" s="1421"/>
      <c r="AU61" s="1421"/>
      <c r="AV61" s="1421"/>
      <c r="AW61" s="1421"/>
      <c r="AX61" s="1421"/>
      <c r="AY61" s="1421"/>
      <c r="AZ61" s="1421"/>
      <c r="BA61" s="1421"/>
      <c r="BB61" s="1421"/>
      <c r="BC61" s="1421"/>
      <c r="BD61" s="1421"/>
      <c r="BE61" s="1421"/>
      <c r="BF61" s="1421"/>
      <c r="BG61" s="1421"/>
      <c r="BH61" s="1421"/>
      <c r="BI61" s="1421"/>
      <c r="BJ61" s="1421"/>
      <c r="BK61" s="1421"/>
      <c r="BL61" s="1421"/>
      <c r="BM61" s="1421"/>
      <c r="BN61" s="1421"/>
      <c r="BO61" s="1421"/>
      <c r="BP61" s="1421"/>
      <c r="BQ61" s="1421"/>
      <c r="BR61" s="1421"/>
      <c r="BS61" s="1421"/>
      <c r="BT61" s="1421"/>
      <c r="BU61" s="1421"/>
      <c r="BV61" s="1421"/>
      <c r="BW61" s="1421"/>
      <c r="BX61" s="1421"/>
      <c r="BY61" s="1421"/>
      <c r="BZ61" s="1421"/>
      <c r="CA61" s="1421"/>
      <c r="CB61" s="1421"/>
      <c r="CC61" s="1421"/>
      <c r="CD61" s="1421"/>
      <c r="CE61" s="1421"/>
      <c r="CF61" s="1421"/>
      <c r="CG61" s="1421"/>
      <c r="CH61" s="1421"/>
      <c r="CI61" s="1421"/>
      <c r="CJ61" s="1421"/>
      <c r="CK61" s="1421"/>
      <c r="CL61" s="1421"/>
      <c r="CM61" s="1421"/>
      <c r="CN61" s="1421"/>
      <c r="CO61" s="1421"/>
      <c r="CP61" s="1421"/>
      <c r="CQ61" s="1421"/>
      <c r="CR61" s="1421"/>
      <c r="CS61" s="1421"/>
      <c r="CT61" s="1421"/>
      <c r="CU61" s="1421"/>
      <c r="CV61" s="1421"/>
      <c r="CW61" s="1421"/>
      <c r="CX61" s="1421"/>
      <c r="CY61" s="1421"/>
      <c r="CZ61" s="1421"/>
      <c r="DA61" s="1421"/>
      <c r="DB61" s="1421"/>
      <c r="DC61" s="1421"/>
      <c r="DD61" s="1421"/>
      <c r="DE61" s="1421"/>
      <c r="DF61" s="1421"/>
      <c r="DG61" s="1421"/>
      <c r="DH61" s="1421"/>
      <c r="DI61" s="1421"/>
      <c r="DJ61" s="1421"/>
      <c r="DK61" s="1421"/>
      <c r="DL61" s="1421"/>
      <c r="DM61" s="1421"/>
      <c r="DN61" s="1421"/>
      <c r="DO61" s="1421"/>
      <c r="DP61" s="1421"/>
      <c r="DQ61" s="1421"/>
      <c r="DR61" s="1421"/>
      <c r="DS61" s="1421"/>
      <c r="DT61" s="1421"/>
      <c r="DU61" s="1421"/>
      <c r="DV61" s="1421"/>
      <c r="DW61" s="1421"/>
      <c r="DX61" s="1421"/>
      <c r="DY61" s="1421"/>
      <c r="DZ61" s="1421"/>
      <c r="EA61" s="1421"/>
      <c r="EB61" s="1421"/>
      <c r="EC61" s="1421"/>
      <c r="ED61" s="1421"/>
      <c r="EE61" s="1421"/>
      <c r="EF61" s="1421"/>
      <c r="EG61" s="1421"/>
      <c r="EH61" s="1421"/>
      <c r="EI61" s="1421"/>
      <c r="EJ61" s="1421"/>
      <c r="EK61" s="1421"/>
      <c r="EL61" s="1421"/>
      <c r="EM61" s="1421"/>
      <c r="EN61" s="1421"/>
      <c r="EO61" s="1421"/>
      <c r="EP61" s="1421"/>
      <c r="EQ61" s="1421"/>
      <c r="ER61" s="1421"/>
      <c r="ES61" s="1421"/>
      <c r="ET61" s="1421"/>
      <c r="EU61" s="1421"/>
      <c r="EV61" s="1421"/>
      <c r="EW61" s="1421"/>
      <c r="EX61" s="1421"/>
      <c r="EY61" s="1421"/>
      <c r="EZ61" s="1421"/>
      <c r="FA61" s="1421"/>
      <c r="FB61" s="1421"/>
      <c r="FC61" s="1421"/>
      <c r="FD61" s="1421"/>
      <c r="FE61" s="1421"/>
      <c r="FF61" s="1421"/>
    </row>
    <row r="62" spans="1:162" s="1368" customFormat="1" ht="78" customHeight="1">
      <c r="A62" s="1424">
        <v>2</v>
      </c>
      <c r="B62" s="1427" t="s">
        <v>359</v>
      </c>
      <c r="C62" s="1823" t="s">
        <v>360</v>
      </c>
      <c r="D62" s="1823"/>
      <c r="E62" s="1823"/>
      <c r="F62" s="1823"/>
      <c r="G62" s="1428" t="s">
        <v>358</v>
      </c>
      <c r="H62" s="1824"/>
      <c r="I62" s="1824"/>
      <c r="J62" s="1824"/>
      <c r="K62" s="1824"/>
      <c r="L62" s="1824"/>
      <c r="M62" s="1824"/>
      <c r="N62" s="1824"/>
      <c r="O62" s="1824"/>
      <c r="P62" s="1824"/>
      <c r="Q62" s="1824"/>
      <c r="R62" s="1824"/>
      <c r="S62" s="1824"/>
      <c r="T62" s="1824"/>
      <c r="U62" s="1824"/>
      <c r="V62" s="1824"/>
      <c r="W62" s="1824"/>
      <c r="X62" s="1824"/>
      <c r="Y62" s="1824"/>
      <c r="Z62" s="1824"/>
      <c r="AA62" s="1824"/>
      <c r="AB62" s="1824"/>
      <c r="AC62" s="1824"/>
      <c r="AD62" s="1824"/>
      <c r="AE62" s="1824"/>
      <c r="AF62" s="1824"/>
      <c r="AG62" s="1824"/>
      <c r="AH62" s="1824"/>
      <c r="AI62" s="1439"/>
      <c r="AJ62" s="1439"/>
      <c r="AK62" s="1439"/>
      <c r="AL62" s="1438"/>
      <c r="AM62" s="1440"/>
      <c r="AN62" s="1440"/>
      <c r="AO62" s="1440"/>
      <c r="AP62" s="1440"/>
      <c r="AQ62" s="1440"/>
      <c r="AR62" s="1440"/>
      <c r="AS62" s="1440"/>
      <c r="AT62" s="1440"/>
      <c r="AU62" s="1440"/>
      <c r="AV62" s="1440"/>
      <c r="AW62" s="1440"/>
      <c r="AX62" s="1440"/>
      <c r="AY62" s="1440"/>
      <c r="AZ62" s="1440"/>
      <c r="BA62" s="1440"/>
      <c r="BB62" s="1440"/>
      <c r="BC62" s="1440"/>
      <c r="BD62" s="1440"/>
      <c r="BE62" s="1440"/>
      <c r="BF62" s="1440"/>
      <c r="BG62" s="1440"/>
      <c r="BH62" s="1440"/>
      <c r="BI62" s="1440"/>
      <c r="BJ62" s="1440"/>
      <c r="BK62" s="1440"/>
      <c r="BL62" s="1440"/>
      <c r="BM62" s="1440"/>
      <c r="BN62" s="1440"/>
      <c r="BO62" s="1440"/>
      <c r="BP62" s="1440"/>
      <c r="BQ62" s="1440"/>
      <c r="BR62" s="1440"/>
      <c r="BS62" s="1440"/>
      <c r="BT62" s="1440"/>
      <c r="BU62" s="1440"/>
      <c r="BV62" s="1440"/>
      <c r="BW62" s="1440"/>
      <c r="BX62" s="1440"/>
      <c r="BY62" s="1440"/>
      <c r="BZ62" s="1440"/>
      <c r="CA62" s="1440"/>
      <c r="CB62" s="1440"/>
      <c r="CC62" s="1440"/>
      <c r="CD62" s="1440"/>
      <c r="CE62" s="1440"/>
      <c r="CF62" s="1440"/>
      <c r="CG62" s="1440"/>
      <c r="CH62" s="1440"/>
      <c r="CI62" s="1440"/>
      <c r="CJ62" s="1440"/>
      <c r="CK62" s="1440"/>
      <c r="CL62" s="1440"/>
      <c r="CM62" s="1440"/>
      <c r="CN62" s="1440"/>
      <c r="CO62" s="1440"/>
      <c r="CP62" s="1440"/>
      <c r="CQ62" s="1440"/>
      <c r="CR62" s="1440"/>
      <c r="CS62" s="1440"/>
      <c r="CT62" s="1440"/>
      <c r="CU62" s="1440"/>
      <c r="CV62" s="1440"/>
      <c r="CW62" s="1440"/>
      <c r="CX62" s="1440"/>
      <c r="CY62" s="1440"/>
      <c r="CZ62" s="1440"/>
      <c r="DA62" s="1440"/>
      <c r="DB62" s="1440"/>
      <c r="DC62" s="1440"/>
      <c r="DD62" s="1440"/>
      <c r="DE62" s="1440"/>
      <c r="DF62" s="1440"/>
      <c r="DG62" s="1440"/>
      <c r="DH62" s="1440"/>
      <c r="DI62" s="1440"/>
      <c r="DJ62" s="1440"/>
      <c r="DK62" s="1440"/>
      <c r="DL62" s="1440"/>
      <c r="DM62" s="1440"/>
      <c r="DN62" s="1440"/>
      <c r="DO62" s="1440"/>
      <c r="DP62" s="1440"/>
      <c r="DQ62" s="1440"/>
      <c r="DR62" s="1440"/>
      <c r="DS62" s="1440"/>
      <c r="DT62" s="1440"/>
      <c r="DU62" s="1440"/>
      <c r="DV62" s="1440"/>
      <c r="DW62" s="1440"/>
      <c r="DX62" s="1440"/>
      <c r="DY62" s="1440"/>
      <c r="DZ62" s="1440"/>
      <c r="EA62" s="1440"/>
      <c r="EB62" s="1440"/>
      <c r="EC62" s="1440"/>
      <c r="ED62" s="1440"/>
      <c r="EE62" s="1440"/>
      <c r="EF62" s="1440"/>
      <c r="EG62" s="1440"/>
      <c r="EH62" s="1440"/>
      <c r="EI62" s="1440"/>
      <c r="EJ62" s="1440"/>
      <c r="EK62" s="1440"/>
      <c r="EL62" s="1440"/>
      <c r="EM62" s="1440"/>
      <c r="EN62" s="1440"/>
      <c r="EO62" s="1440"/>
      <c r="EP62" s="1440"/>
      <c r="EQ62" s="1440"/>
      <c r="ER62" s="1440"/>
      <c r="ES62" s="1440"/>
      <c r="ET62" s="1440"/>
      <c r="EU62" s="1440"/>
      <c r="EV62" s="1440"/>
      <c r="EW62" s="1440"/>
      <c r="EX62" s="1440"/>
      <c r="EY62" s="1440"/>
      <c r="EZ62" s="1440"/>
      <c r="FA62" s="1440"/>
      <c r="FB62" s="1440"/>
      <c r="FC62" s="1440"/>
      <c r="FD62" s="1440"/>
      <c r="FE62" s="1440"/>
      <c r="FF62" s="1440"/>
    </row>
    <row r="63" spans="1:162" s="1368" customFormat="1" ht="15" hidden="1" customHeight="1" outlineLevel="1">
      <c r="A63" s="1424">
        <v>3</v>
      </c>
      <c r="B63" s="1425" t="s">
        <v>361</v>
      </c>
      <c r="C63" s="1825" t="s">
        <v>362</v>
      </c>
      <c r="D63" s="1825"/>
      <c r="E63" s="1825"/>
      <c r="F63" s="1825"/>
      <c r="G63" s="1825"/>
      <c r="H63" s="1825"/>
      <c r="I63" s="1825"/>
      <c r="J63" s="1428" t="s">
        <v>358</v>
      </c>
      <c r="K63" s="1822"/>
      <c r="L63" s="1822"/>
      <c r="M63" s="1822"/>
      <c r="N63" s="1822"/>
      <c r="O63" s="1822"/>
      <c r="P63" s="1426"/>
      <c r="Q63" s="1426"/>
      <c r="R63" s="1426"/>
      <c r="S63" s="1426"/>
      <c r="T63" s="1426"/>
      <c r="U63" s="1437"/>
      <c r="V63" s="1437"/>
      <c r="W63" s="1437"/>
      <c r="X63" s="1437"/>
      <c r="Y63" s="1437"/>
      <c r="Z63" s="1437"/>
      <c r="AA63" s="1437"/>
      <c r="AB63" s="1437"/>
      <c r="AC63" s="1437"/>
      <c r="AD63" s="1437"/>
      <c r="AE63" s="1437"/>
      <c r="AF63" s="1437"/>
      <c r="AG63" s="1437"/>
      <c r="AH63" s="1437"/>
      <c r="AI63" s="1439"/>
      <c r="AJ63" s="1439"/>
      <c r="AK63" s="1439"/>
      <c r="AL63" s="1439"/>
      <c r="AM63" s="1440"/>
      <c r="AN63" s="1440"/>
      <c r="AO63" s="1440"/>
      <c r="AP63" s="1440"/>
      <c r="AQ63" s="1440"/>
      <c r="AR63" s="1440"/>
      <c r="AS63" s="1440"/>
      <c r="AT63" s="1440"/>
      <c r="AU63" s="1440"/>
      <c r="AV63" s="1440"/>
      <c r="AW63" s="1440"/>
      <c r="AX63" s="1440"/>
      <c r="AY63" s="1440"/>
      <c r="AZ63" s="1440"/>
      <c r="BA63" s="1440"/>
      <c r="BB63" s="1440"/>
      <c r="BC63" s="1440"/>
      <c r="BD63" s="1440"/>
      <c r="BE63" s="1440"/>
      <c r="BF63" s="1440"/>
      <c r="BG63" s="1439"/>
      <c r="BH63" s="1439"/>
      <c r="BI63" s="1440"/>
      <c r="BJ63" s="1440"/>
      <c r="BK63" s="1440"/>
      <c r="BL63" s="1440"/>
      <c r="BM63" s="1440"/>
      <c r="BN63" s="1440"/>
      <c r="BO63" s="1440"/>
      <c r="BP63" s="1440"/>
      <c r="BQ63" s="1440"/>
      <c r="BR63" s="1440"/>
      <c r="BS63" s="1440"/>
      <c r="BT63" s="1440"/>
      <c r="BU63" s="1440"/>
      <c r="BV63" s="1440"/>
      <c r="BW63" s="1440"/>
      <c r="BX63" s="1440"/>
      <c r="BY63" s="1440"/>
      <c r="BZ63" s="1440"/>
      <c r="CA63" s="1440"/>
      <c r="CB63" s="1440"/>
      <c r="CC63" s="1440"/>
      <c r="CD63" s="1440"/>
      <c r="CE63" s="1440"/>
      <c r="CF63" s="1440"/>
      <c r="CG63" s="1439"/>
      <c r="CH63" s="1439"/>
      <c r="CI63" s="1440"/>
      <c r="CJ63" s="1440"/>
      <c r="CK63" s="1440"/>
      <c r="CL63" s="1440"/>
      <c r="CM63" s="1440"/>
      <c r="CN63" s="1440"/>
      <c r="CO63" s="1440"/>
      <c r="CP63" s="1440"/>
      <c r="CQ63" s="1440"/>
      <c r="CR63" s="1440"/>
      <c r="CS63" s="1440"/>
      <c r="CT63" s="1440"/>
      <c r="CU63" s="1440"/>
      <c r="CV63" s="1440"/>
      <c r="CW63" s="1440"/>
      <c r="CX63" s="1440"/>
      <c r="CY63" s="1440"/>
      <c r="CZ63" s="1440"/>
      <c r="DA63" s="1440"/>
      <c r="DB63" s="1440"/>
      <c r="DC63" s="1440"/>
      <c r="DD63" s="1440"/>
      <c r="DE63" s="1440"/>
      <c r="DF63" s="1440"/>
      <c r="DG63" s="1439"/>
      <c r="DH63" s="1439"/>
      <c r="DI63" s="1440"/>
      <c r="DJ63" s="1440"/>
      <c r="DK63" s="1440"/>
      <c r="DL63" s="1440"/>
      <c r="DM63" s="1440"/>
      <c r="DN63" s="1440"/>
      <c r="DO63" s="1440"/>
      <c r="DP63" s="1440"/>
      <c r="DQ63" s="1440"/>
      <c r="DR63" s="1440"/>
      <c r="DS63" s="1440"/>
      <c r="DT63" s="1440"/>
      <c r="DU63" s="1440"/>
      <c r="DV63" s="1440"/>
      <c r="DW63" s="1440"/>
      <c r="DX63" s="1440"/>
      <c r="DY63" s="1440"/>
      <c r="DZ63" s="1440"/>
      <c r="EA63" s="1440"/>
      <c r="EB63" s="1440"/>
      <c r="EC63" s="1440"/>
      <c r="ED63" s="1440"/>
      <c r="EE63" s="1440"/>
      <c r="EF63" s="1440"/>
      <c r="EG63" s="1439"/>
      <c r="EH63" s="1439"/>
      <c r="EI63" s="1440"/>
      <c r="EJ63" s="1440"/>
      <c r="EK63" s="1440"/>
      <c r="EL63" s="1440"/>
      <c r="EM63" s="1440"/>
      <c r="EN63" s="1440"/>
      <c r="EO63" s="1440"/>
      <c r="EP63" s="1440"/>
      <c r="EQ63" s="1440"/>
      <c r="ER63" s="1440"/>
      <c r="ES63" s="1440"/>
      <c r="ET63" s="1440"/>
      <c r="EU63" s="1440"/>
      <c r="EV63" s="1440"/>
      <c r="EW63" s="1440"/>
      <c r="EX63" s="1440"/>
      <c r="EY63" s="1440"/>
      <c r="EZ63" s="1440"/>
      <c r="FA63" s="1440"/>
      <c r="FB63" s="1440"/>
      <c r="FC63" s="1440"/>
      <c r="FD63" s="1440"/>
      <c r="FE63" s="1440"/>
      <c r="FF63" s="1440"/>
    </row>
    <row r="64" spans="1:162" s="1368" customFormat="1" ht="15" hidden="1" customHeight="1" outlineLevel="1">
      <c r="A64" s="1424">
        <v>4</v>
      </c>
      <c r="B64" s="1425" t="s">
        <v>363</v>
      </c>
      <c r="C64" s="1825" t="s">
        <v>364</v>
      </c>
      <c r="D64" s="1825"/>
      <c r="E64" s="1825"/>
      <c r="F64" s="1825"/>
      <c r="G64" s="1825"/>
      <c r="H64" s="1825"/>
      <c r="I64" s="1825"/>
      <c r="J64" s="1428" t="s">
        <v>358</v>
      </c>
      <c r="K64" s="1822"/>
      <c r="L64" s="1822"/>
      <c r="M64" s="1822"/>
      <c r="N64" s="1822"/>
      <c r="O64" s="1822"/>
      <c r="P64" s="1426"/>
      <c r="Q64" s="1426"/>
      <c r="R64" s="1426"/>
      <c r="S64" s="1426"/>
      <c r="T64" s="1426"/>
      <c r="U64" s="1437"/>
      <c r="V64" s="1437"/>
      <c r="W64" s="1437"/>
      <c r="X64" s="1437"/>
      <c r="Y64" s="1437"/>
      <c r="Z64" s="1437"/>
      <c r="AA64" s="1437"/>
      <c r="AB64" s="1437"/>
      <c r="AC64" s="1437"/>
      <c r="AD64" s="1437"/>
      <c r="AE64" s="1437"/>
      <c r="AF64" s="1437"/>
      <c r="AG64" s="1437"/>
      <c r="AH64" s="1437"/>
      <c r="AI64" s="1439"/>
      <c r="AJ64" s="1439"/>
      <c r="AK64" s="1439"/>
      <c r="AL64" s="1439"/>
      <c r="AM64" s="1440"/>
      <c r="AN64" s="1440"/>
      <c r="AO64" s="1440"/>
      <c r="AP64" s="1440"/>
      <c r="AQ64" s="1440"/>
      <c r="AR64" s="1440"/>
      <c r="AS64" s="1440"/>
      <c r="AT64" s="1440"/>
      <c r="AU64" s="1440"/>
      <c r="AV64" s="1440"/>
      <c r="AW64" s="1440"/>
      <c r="AX64" s="1440"/>
      <c r="AY64" s="1440"/>
      <c r="AZ64" s="1440"/>
      <c r="BA64" s="1440"/>
      <c r="BB64" s="1440"/>
      <c r="BC64" s="1440"/>
      <c r="BD64" s="1440"/>
      <c r="BE64" s="1440"/>
      <c r="BF64" s="1440"/>
      <c r="BG64" s="1439"/>
      <c r="BH64" s="1439"/>
      <c r="BI64" s="1440"/>
      <c r="BJ64" s="1440"/>
      <c r="BK64" s="1440"/>
      <c r="BL64" s="1440"/>
      <c r="BM64" s="1440"/>
      <c r="BN64" s="1440"/>
      <c r="BO64" s="1440"/>
      <c r="BP64" s="1440"/>
      <c r="BQ64" s="1440"/>
      <c r="BR64" s="1440"/>
      <c r="BS64" s="1440"/>
      <c r="BT64" s="1440"/>
      <c r="BU64" s="1440"/>
      <c r="BV64" s="1440"/>
      <c r="BW64" s="1440"/>
      <c r="BX64" s="1440"/>
      <c r="BY64" s="1440"/>
      <c r="BZ64" s="1440"/>
      <c r="CA64" s="1440"/>
      <c r="CB64" s="1440"/>
      <c r="CC64" s="1440"/>
      <c r="CD64" s="1440"/>
      <c r="CE64" s="1440"/>
      <c r="CF64" s="1440"/>
      <c r="CG64" s="1439"/>
      <c r="CH64" s="1439"/>
      <c r="CI64" s="1440"/>
      <c r="CJ64" s="1440"/>
      <c r="CK64" s="1440"/>
      <c r="CL64" s="1440"/>
      <c r="CM64" s="1440"/>
      <c r="CN64" s="1440"/>
      <c r="CO64" s="1440"/>
      <c r="CP64" s="1440"/>
      <c r="CQ64" s="1440"/>
      <c r="CR64" s="1440"/>
      <c r="CS64" s="1440"/>
      <c r="CT64" s="1440"/>
      <c r="CU64" s="1440"/>
      <c r="CV64" s="1440"/>
      <c r="CW64" s="1440"/>
      <c r="CX64" s="1440"/>
      <c r="CY64" s="1440"/>
      <c r="CZ64" s="1440"/>
      <c r="DA64" s="1440"/>
      <c r="DB64" s="1440"/>
      <c r="DC64" s="1440"/>
      <c r="DD64" s="1440"/>
      <c r="DE64" s="1440"/>
      <c r="DF64" s="1440"/>
      <c r="DG64" s="1439"/>
      <c r="DH64" s="1439"/>
      <c r="DI64" s="1440"/>
      <c r="DJ64" s="1440"/>
      <c r="DK64" s="1440"/>
      <c r="DL64" s="1440"/>
      <c r="DM64" s="1440"/>
      <c r="DN64" s="1440"/>
      <c r="DO64" s="1440"/>
      <c r="DP64" s="1440"/>
      <c r="DQ64" s="1440"/>
      <c r="DR64" s="1440"/>
      <c r="DS64" s="1440"/>
      <c r="DT64" s="1440"/>
      <c r="DU64" s="1440"/>
      <c r="DV64" s="1440"/>
      <c r="DW64" s="1440"/>
      <c r="DX64" s="1440"/>
      <c r="DY64" s="1440"/>
      <c r="DZ64" s="1440"/>
      <c r="EA64" s="1440"/>
      <c r="EB64" s="1440"/>
      <c r="EC64" s="1440"/>
      <c r="ED64" s="1440"/>
      <c r="EE64" s="1440"/>
      <c r="EF64" s="1440"/>
      <c r="EG64" s="1439"/>
      <c r="EH64" s="1439"/>
      <c r="EI64" s="1440"/>
      <c r="EJ64" s="1440"/>
      <c r="EK64" s="1440"/>
      <c r="EL64" s="1440"/>
      <c r="EM64" s="1440"/>
      <c r="EN64" s="1440"/>
      <c r="EO64" s="1440"/>
      <c r="EP64" s="1440"/>
      <c r="EQ64" s="1440"/>
      <c r="ER64" s="1440"/>
      <c r="ES64" s="1440"/>
      <c r="ET64" s="1440"/>
      <c r="EU64" s="1440"/>
      <c r="EV64" s="1440"/>
      <c r="EW64" s="1440"/>
      <c r="EX64" s="1440"/>
      <c r="EY64" s="1440"/>
      <c r="EZ64" s="1440"/>
      <c r="FA64" s="1440"/>
      <c r="FB64" s="1440"/>
      <c r="FC64" s="1440"/>
      <c r="FD64" s="1440"/>
      <c r="FE64" s="1440"/>
      <c r="FF64" s="1440"/>
    </row>
    <row r="65" spans="1:162" s="1368" customFormat="1" ht="15" hidden="1" customHeight="1" outlineLevel="1">
      <c r="A65" s="1424">
        <v>5</v>
      </c>
      <c r="B65" s="1425" t="s">
        <v>365</v>
      </c>
      <c r="C65" s="1825" t="s">
        <v>366</v>
      </c>
      <c r="D65" s="1825"/>
      <c r="E65" s="1825"/>
      <c r="F65" s="1825"/>
      <c r="G65" s="1825"/>
      <c r="H65" s="1825"/>
      <c r="I65" s="1825"/>
      <c r="J65" s="1428" t="s">
        <v>358</v>
      </c>
      <c r="K65" s="1822" t="s">
        <v>367</v>
      </c>
      <c r="L65" s="1822"/>
      <c r="M65" s="1822"/>
      <c r="N65" s="1822"/>
      <c r="O65" s="1822"/>
      <c r="P65" s="1426"/>
      <c r="Q65" s="1426"/>
      <c r="R65" s="1426"/>
      <c r="S65" s="1426"/>
      <c r="T65" s="1426"/>
      <c r="U65" s="1437"/>
      <c r="V65" s="1437"/>
      <c r="W65" s="1437"/>
      <c r="X65" s="1437"/>
      <c r="Y65" s="1437"/>
      <c r="Z65" s="1437"/>
      <c r="AA65" s="1437"/>
      <c r="AB65" s="1437"/>
      <c r="AC65" s="1437"/>
      <c r="AD65" s="1437"/>
      <c r="AE65" s="1437"/>
      <c r="AF65" s="1437"/>
      <c r="AG65" s="1437"/>
      <c r="AH65" s="1437"/>
      <c r="AI65" s="1439"/>
      <c r="AJ65" s="1439"/>
      <c r="AK65" s="1439"/>
      <c r="AL65" s="1439"/>
      <c r="AM65" s="1440"/>
      <c r="AN65" s="1440"/>
      <c r="AO65" s="1440"/>
      <c r="AP65" s="1440"/>
      <c r="AQ65" s="1440"/>
      <c r="AR65" s="1440"/>
      <c r="AS65" s="1440"/>
      <c r="AT65" s="1440"/>
      <c r="AU65" s="1440"/>
      <c r="AV65" s="1440"/>
      <c r="AW65" s="1440"/>
      <c r="AX65" s="1440"/>
      <c r="AY65" s="1440"/>
      <c r="AZ65" s="1440"/>
      <c r="BA65" s="1440"/>
      <c r="BB65" s="1440"/>
      <c r="BC65" s="1440"/>
      <c r="BD65" s="1440"/>
      <c r="BE65" s="1440"/>
      <c r="BF65" s="1440"/>
      <c r="BG65" s="1439"/>
      <c r="BH65" s="1439"/>
      <c r="BI65" s="1440"/>
      <c r="BJ65" s="1440"/>
      <c r="BK65" s="1440"/>
      <c r="BL65" s="1440"/>
      <c r="BM65" s="1440"/>
      <c r="BN65" s="1440"/>
      <c r="BO65" s="1440"/>
      <c r="BP65" s="1440"/>
      <c r="BQ65" s="1440"/>
      <c r="BR65" s="1440"/>
      <c r="BS65" s="1440"/>
      <c r="BT65" s="1440"/>
      <c r="BU65" s="1440"/>
      <c r="BV65" s="1440"/>
      <c r="BW65" s="1440"/>
      <c r="BX65" s="1440"/>
      <c r="BY65" s="1440"/>
      <c r="BZ65" s="1440"/>
      <c r="CA65" s="1440"/>
      <c r="CB65" s="1440"/>
      <c r="CC65" s="1440"/>
      <c r="CD65" s="1440"/>
      <c r="CE65" s="1440"/>
      <c r="CF65" s="1440"/>
      <c r="CG65" s="1439"/>
      <c r="CH65" s="1439"/>
      <c r="CI65" s="1440"/>
      <c r="CJ65" s="1440"/>
      <c r="CK65" s="1440"/>
      <c r="CL65" s="1440"/>
      <c r="CM65" s="1440"/>
      <c r="CN65" s="1440"/>
      <c r="CO65" s="1440"/>
      <c r="CP65" s="1440"/>
      <c r="CQ65" s="1440"/>
      <c r="CR65" s="1440"/>
      <c r="CS65" s="1440"/>
      <c r="CT65" s="1440"/>
      <c r="CU65" s="1440"/>
      <c r="CV65" s="1440"/>
      <c r="CW65" s="1440"/>
      <c r="CX65" s="1440"/>
      <c r="CY65" s="1440"/>
      <c r="CZ65" s="1440"/>
      <c r="DA65" s="1440"/>
      <c r="DB65" s="1440"/>
      <c r="DC65" s="1440"/>
      <c r="DD65" s="1440"/>
      <c r="DE65" s="1440"/>
      <c r="DF65" s="1440"/>
      <c r="DG65" s="1439"/>
      <c r="DH65" s="1439"/>
      <c r="DI65" s="1440"/>
      <c r="DJ65" s="1440"/>
      <c r="DK65" s="1440"/>
      <c r="DL65" s="1440"/>
      <c r="DM65" s="1440"/>
      <c r="DN65" s="1440"/>
      <c r="DO65" s="1440"/>
      <c r="DP65" s="1440"/>
      <c r="DQ65" s="1440"/>
      <c r="DR65" s="1440"/>
      <c r="DS65" s="1440"/>
      <c r="DT65" s="1440"/>
      <c r="DU65" s="1440"/>
      <c r="DV65" s="1440"/>
      <c r="DW65" s="1440"/>
      <c r="DX65" s="1440"/>
      <c r="DY65" s="1440"/>
      <c r="DZ65" s="1440"/>
      <c r="EA65" s="1440"/>
      <c r="EB65" s="1440"/>
      <c r="EC65" s="1440"/>
      <c r="ED65" s="1440"/>
      <c r="EE65" s="1440"/>
      <c r="EF65" s="1440"/>
      <c r="EG65" s="1439"/>
      <c r="EH65" s="1439"/>
      <c r="EI65" s="1440"/>
      <c r="EJ65" s="1440"/>
      <c r="EK65" s="1440"/>
      <c r="EL65" s="1440"/>
      <c r="EM65" s="1440"/>
      <c r="EN65" s="1440"/>
      <c r="EO65" s="1440"/>
      <c r="EP65" s="1440"/>
      <c r="EQ65" s="1440"/>
      <c r="ER65" s="1440"/>
      <c r="ES65" s="1440"/>
      <c r="ET65" s="1440"/>
      <c r="EU65" s="1440"/>
      <c r="EV65" s="1440"/>
      <c r="EW65" s="1440"/>
      <c r="EX65" s="1440"/>
      <c r="EY65" s="1440"/>
      <c r="EZ65" s="1440"/>
      <c r="FA65" s="1440"/>
      <c r="FB65" s="1440"/>
      <c r="FC65" s="1440"/>
      <c r="FD65" s="1440"/>
      <c r="FE65" s="1440"/>
      <c r="FF65" s="1440"/>
    </row>
    <row r="66" spans="1:162" s="1368" customFormat="1" ht="15" hidden="1" customHeight="1" outlineLevel="1">
      <c r="A66" s="1424">
        <v>6</v>
      </c>
      <c r="B66" s="1425" t="s">
        <v>368</v>
      </c>
      <c r="C66" s="1825" t="s">
        <v>369</v>
      </c>
      <c r="D66" s="1825"/>
      <c r="E66" s="1825"/>
      <c r="F66" s="1825"/>
      <c r="G66" s="1825"/>
      <c r="H66" s="1825"/>
      <c r="I66" s="1825"/>
      <c r="J66" s="1428" t="s">
        <v>358</v>
      </c>
      <c r="K66" s="1822"/>
      <c r="L66" s="1822"/>
      <c r="M66" s="1822"/>
      <c r="N66" s="1822"/>
      <c r="O66" s="1822"/>
      <c r="P66" s="1426"/>
      <c r="Q66" s="1426"/>
      <c r="R66" s="1426"/>
      <c r="S66" s="1426"/>
      <c r="T66" s="1426"/>
      <c r="U66" s="1437"/>
      <c r="V66" s="1437"/>
      <c r="W66" s="1437"/>
      <c r="X66" s="1437"/>
      <c r="Y66" s="1437"/>
      <c r="Z66" s="1437"/>
      <c r="AA66" s="1437"/>
      <c r="AB66" s="1437"/>
      <c r="AC66" s="1437"/>
      <c r="AD66" s="1437"/>
      <c r="AE66" s="1437"/>
      <c r="AF66" s="1437"/>
      <c r="AG66" s="1437"/>
      <c r="AH66" s="1437"/>
      <c r="AI66" s="1439"/>
      <c r="AJ66" s="1439"/>
      <c r="AK66" s="1439"/>
      <c r="AL66" s="1439"/>
      <c r="AM66" s="1440"/>
      <c r="AN66" s="1440"/>
      <c r="AO66" s="1440"/>
      <c r="AP66" s="1440"/>
      <c r="AQ66" s="1440"/>
      <c r="AR66" s="1440"/>
      <c r="AS66" s="1440"/>
      <c r="AT66" s="1440"/>
      <c r="AU66" s="1440"/>
      <c r="AV66" s="1440"/>
      <c r="AW66" s="1440"/>
      <c r="AX66" s="1440"/>
      <c r="AY66" s="1440"/>
      <c r="AZ66" s="1440"/>
      <c r="BA66" s="1440"/>
      <c r="BB66" s="1440"/>
      <c r="BC66" s="1440"/>
      <c r="BD66" s="1440"/>
      <c r="BE66" s="1440"/>
      <c r="BF66" s="1440"/>
      <c r="BG66" s="1439"/>
      <c r="BH66" s="1439"/>
      <c r="BI66" s="1440"/>
      <c r="BJ66" s="1440"/>
      <c r="BK66" s="1440"/>
      <c r="BL66" s="1440"/>
      <c r="BM66" s="1440"/>
      <c r="BN66" s="1440"/>
      <c r="BO66" s="1440"/>
      <c r="BP66" s="1440"/>
      <c r="BQ66" s="1440"/>
      <c r="BR66" s="1440"/>
      <c r="BS66" s="1440"/>
      <c r="BT66" s="1440"/>
      <c r="BU66" s="1440"/>
      <c r="BV66" s="1440"/>
      <c r="BW66" s="1440"/>
      <c r="BX66" s="1440"/>
      <c r="BY66" s="1440"/>
      <c r="BZ66" s="1440"/>
      <c r="CA66" s="1440"/>
      <c r="CB66" s="1440"/>
      <c r="CC66" s="1440"/>
      <c r="CD66" s="1440"/>
      <c r="CE66" s="1440"/>
      <c r="CF66" s="1440"/>
      <c r="CG66" s="1439"/>
      <c r="CH66" s="1439"/>
      <c r="CI66" s="1440"/>
      <c r="CJ66" s="1440"/>
      <c r="CK66" s="1440"/>
      <c r="CL66" s="1440"/>
      <c r="CM66" s="1440"/>
      <c r="CN66" s="1440"/>
      <c r="CO66" s="1440"/>
      <c r="CP66" s="1440"/>
      <c r="CQ66" s="1440"/>
      <c r="CR66" s="1440"/>
      <c r="CS66" s="1440"/>
      <c r="CT66" s="1440"/>
      <c r="CU66" s="1440"/>
      <c r="CV66" s="1440"/>
      <c r="CW66" s="1440"/>
      <c r="CX66" s="1440"/>
      <c r="CY66" s="1440"/>
      <c r="CZ66" s="1440"/>
      <c r="DA66" s="1440"/>
      <c r="DB66" s="1440"/>
      <c r="DC66" s="1440"/>
      <c r="DD66" s="1440"/>
      <c r="DE66" s="1440"/>
      <c r="DF66" s="1440"/>
      <c r="DG66" s="1439"/>
      <c r="DH66" s="1439"/>
      <c r="DI66" s="1440"/>
      <c r="DJ66" s="1440"/>
      <c r="DK66" s="1440"/>
      <c r="DL66" s="1440"/>
      <c r="DM66" s="1440"/>
      <c r="DN66" s="1440"/>
      <c r="DO66" s="1440"/>
      <c r="DP66" s="1440"/>
      <c r="DQ66" s="1440"/>
      <c r="DR66" s="1440"/>
      <c r="DS66" s="1440"/>
      <c r="DT66" s="1440"/>
      <c r="DU66" s="1440"/>
      <c r="DV66" s="1440"/>
      <c r="DW66" s="1440"/>
      <c r="DX66" s="1440"/>
      <c r="DY66" s="1440"/>
      <c r="DZ66" s="1440"/>
      <c r="EA66" s="1440"/>
      <c r="EB66" s="1440"/>
      <c r="EC66" s="1440"/>
      <c r="ED66" s="1440"/>
      <c r="EE66" s="1440"/>
      <c r="EF66" s="1440"/>
      <c r="EG66" s="1439"/>
      <c r="EH66" s="1439"/>
      <c r="EI66" s="1440"/>
      <c r="EJ66" s="1440"/>
      <c r="EK66" s="1440"/>
      <c r="EL66" s="1440"/>
      <c r="EM66" s="1440"/>
      <c r="EN66" s="1440"/>
      <c r="EO66" s="1440"/>
      <c r="EP66" s="1440"/>
      <c r="EQ66" s="1440"/>
      <c r="ER66" s="1440"/>
      <c r="ES66" s="1440"/>
      <c r="ET66" s="1440"/>
      <c r="EU66" s="1440"/>
      <c r="EV66" s="1440"/>
      <c r="EW66" s="1440"/>
      <c r="EX66" s="1440"/>
      <c r="EY66" s="1440"/>
      <c r="EZ66" s="1440"/>
      <c r="FA66" s="1440"/>
      <c r="FB66" s="1440"/>
      <c r="FC66" s="1440"/>
      <c r="FD66" s="1440"/>
      <c r="FE66" s="1440"/>
      <c r="FF66" s="1440"/>
    </row>
    <row r="67" spans="1:162" s="1368" customFormat="1" ht="15" hidden="1" customHeight="1" outlineLevel="1">
      <c r="A67" s="1424">
        <v>7</v>
      </c>
      <c r="B67" s="1425" t="s">
        <v>370</v>
      </c>
      <c r="C67" s="1825" t="s">
        <v>371</v>
      </c>
      <c r="D67" s="1825"/>
      <c r="E67" s="1825"/>
      <c r="F67" s="1825"/>
      <c r="G67" s="1825"/>
      <c r="H67" s="1825"/>
      <c r="I67" s="1825"/>
      <c r="J67" s="1459" t="s">
        <v>372</v>
      </c>
      <c r="K67" s="1822"/>
      <c r="L67" s="1822"/>
      <c r="M67" s="1822"/>
      <c r="N67" s="1822"/>
      <c r="O67" s="1822"/>
      <c r="P67" s="1426"/>
      <c r="Q67" s="1426"/>
      <c r="R67" s="1426"/>
      <c r="S67" s="1426"/>
      <c r="T67" s="1426"/>
      <c r="U67" s="1437"/>
      <c r="V67" s="1437"/>
      <c r="W67" s="1437"/>
      <c r="X67" s="1437"/>
      <c r="Y67" s="1437"/>
      <c r="Z67" s="1437"/>
      <c r="AA67" s="1437"/>
      <c r="AB67" s="1437"/>
      <c r="AC67" s="1437"/>
      <c r="AD67" s="1437"/>
      <c r="AE67" s="1437"/>
      <c r="AF67" s="1437"/>
      <c r="AG67" s="1437"/>
      <c r="AH67" s="1437"/>
      <c r="AI67" s="1439"/>
      <c r="AJ67" s="1439"/>
      <c r="AK67" s="1439"/>
      <c r="AL67" s="1439"/>
      <c r="AM67" s="1440"/>
      <c r="AN67" s="1440"/>
      <c r="AO67" s="1440"/>
      <c r="AP67" s="1440"/>
      <c r="AQ67" s="1440"/>
      <c r="AR67" s="1440"/>
      <c r="AS67" s="1440"/>
      <c r="AT67" s="1440"/>
      <c r="AU67" s="1440"/>
      <c r="AV67" s="1440"/>
      <c r="AW67" s="1440"/>
      <c r="AX67" s="1440"/>
      <c r="AY67" s="1440"/>
      <c r="AZ67" s="1440"/>
      <c r="BA67" s="1440"/>
      <c r="BB67" s="1440"/>
      <c r="BC67" s="1440"/>
      <c r="BD67" s="1440"/>
      <c r="BE67" s="1440"/>
      <c r="BF67" s="1440"/>
      <c r="BG67" s="1439"/>
      <c r="BH67" s="1439"/>
      <c r="BI67" s="1440"/>
      <c r="BJ67" s="1440"/>
      <c r="BK67" s="1440"/>
      <c r="BL67" s="1440"/>
      <c r="BM67" s="1440"/>
      <c r="BN67" s="1440"/>
      <c r="BO67" s="1440"/>
      <c r="BP67" s="1440"/>
      <c r="BQ67" s="1440"/>
      <c r="BR67" s="1440"/>
      <c r="BS67" s="1440"/>
      <c r="BT67" s="1440"/>
      <c r="BU67" s="1440"/>
      <c r="BV67" s="1440"/>
      <c r="BW67" s="1440"/>
      <c r="BX67" s="1440"/>
      <c r="BY67" s="1440"/>
      <c r="BZ67" s="1440"/>
      <c r="CA67" s="1440"/>
      <c r="CB67" s="1440"/>
      <c r="CC67" s="1440"/>
      <c r="CD67" s="1440"/>
      <c r="CE67" s="1440"/>
      <c r="CF67" s="1440"/>
      <c r="CG67" s="1439"/>
      <c r="CH67" s="1439"/>
      <c r="CI67" s="1440"/>
      <c r="CJ67" s="1440"/>
      <c r="CK67" s="1440"/>
      <c r="CL67" s="1440"/>
      <c r="CM67" s="1440"/>
      <c r="CN67" s="1440"/>
      <c r="CO67" s="1440"/>
      <c r="CP67" s="1440"/>
      <c r="CQ67" s="1440"/>
      <c r="CR67" s="1440"/>
      <c r="CS67" s="1440"/>
      <c r="CT67" s="1440"/>
      <c r="CU67" s="1440"/>
      <c r="CV67" s="1440"/>
      <c r="CW67" s="1440"/>
      <c r="CX67" s="1440"/>
      <c r="CY67" s="1440"/>
      <c r="CZ67" s="1440"/>
      <c r="DA67" s="1440"/>
      <c r="DB67" s="1440"/>
      <c r="DC67" s="1440"/>
      <c r="DD67" s="1440"/>
      <c r="DE67" s="1440"/>
      <c r="DF67" s="1440"/>
      <c r="DG67" s="1439"/>
      <c r="DH67" s="1439"/>
      <c r="DI67" s="1440"/>
      <c r="DJ67" s="1440"/>
      <c r="DK67" s="1440"/>
      <c r="DL67" s="1440"/>
      <c r="DM67" s="1440"/>
      <c r="DN67" s="1440"/>
      <c r="DO67" s="1440"/>
      <c r="DP67" s="1440"/>
      <c r="DQ67" s="1440"/>
      <c r="DR67" s="1440"/>
      <c r="DS67" s="1440"/>
      <c r="DT67" s="1440"/>
      <c r="DU67" s="1440"/>
      <c r="DV67" s="1440"/>
      <c r="DW67" s="1440"/>
      <c r="DX67" s="1440"/>
      <c r="DY67" s="1440"/>
      <c r="DZ67" s="1440"/>
      <c r="EA67" s="1440"/>
      <c r="EB67" s="1440"/>
      <c r="EC67" s="1440"/>
      <c r="ED67" s="1440"/>
      <c r="EE67" s="1440"/>
      <c r="EF67" s="1440"/>
      <c r="EG67" s="1439"/>
      <c r="EH67" s="1439"/>
      <c r="EI67" s="1440"/>
      <c r="EJ67" s="1440"/>
      <c r="EK67" s="1440"/>
      <c r="EL67" s="1440"/>
      <c r="EM67" s="1440"/>
      <c r="EN67" s="1440"/>
      <c r="EO67" s="1440"/>
      <c r="EP67" s="1440"/>
      <c r="EQ67" s="1440"/>
      <c r="ER67" s="1440"/>
      <c r="ES67" s="1440"/>
      <c r="ET67" s="1440"/>
      <c r="EU67" s="1440"/>
      <c r="EV67" s="1440"/>
      <c r="EW67" s="1440"/>
      <c r="EX67" s="1440"/>
      <c r="EY67" s="1440"/>
      <c r="EZ67" s="1440"/>
      <c r="FA67" s="1440"/>
      <c r="FB67" s="1440"/>
      <c r="FC67" s="1440"/>
      <c r="FD67" s="1440"/>
      <c r="FE67" s="1440"/>
      <c r="FF67" s="1440"/>
    </row>
    <row r="68" spans="1:162" s="1368" customFormat="1" ht="15" hidden="1" customHeight="1" outlineLevel="1">
      <c r="A68" s="1424">
        <v>8</v>
      </c>
      <c r="B68" s="1425" t="s">
        <v>373</v>
      </c>
      <c r="C68" s="1825" t="s">
        <v>374</v>
      </c>
      <c r="D68" s="1825"/>
      <c r="E68" s="1825"/>
      <c r="F68" s="1825"/>
      <c r="G68" s="1825"/>
      <c r="H68" s="1825"/>
      <c r="I68" s="1825"/>
      <c r="J68" s="1428" t="s">
        <v>358</v>
      </c>
      <c r="K68" s="1822"/>
      <c r="L68" s="1822"/>
      <c r="M68" s="1822"/>
      <c r="N68" s="1822"/>
      <c r="O68" s="1822"/>
      <c r="P68" s="1426"/>
      <c r="Q68" s="1426"/>
      <c r="R68" s="1426"/>
      <c r="S68" s="1426"/>
      <c r="T68" s="1426"/>
      <c r="U68" s="1437"/>
      <c r="V68" s="1437"/>
      <c r="W68" s="1437"/>
      <c r="X68" s="1437"/>
      <c r="Y68" s="1437"/>
      <c r="Z68" s="1437"/>
      <c r="AA68" s="1437"/>
      <c r="AB68" s="1437"/>
      <c r="AC68" s="1437"/>
      <c r="AD68" s="1437"/>
      <c r="AE68" s="1437"/>
      <c r="AF68" s="1437"/>
      <c r="AG68" s="1437"/>
      <c r="AH68" s="1437"/>
      <c r="AI68" s="1439"/>
      <c r="AJ68" s="1439"/>
      <c r="AK68" s="1439"/>
      <c r="AL68" s="1439"/>
      <c r="AM68" s="1440"/>
      <c r="AN68" s="1440"/>
      <c r="AO68" s="1440"/>
      <c r="AP68" s="1440"/>
      <c r="AQ68" s="1440"/>
      <c r="AR68" s="1440"/>
      <c r="AS68" s="1440"/>
      <c r="AT68" s="1440"/>
      <c r="AU68" s="1440"/>
      <c r="AV68" s="1440"/>
      <c r="AW68" s="1440"/>
      <c r="AX68" s="1440"/>
      <c r="AY68" s="1440"/>
      <c r="AZ68" s="1440"/>
      <c r="BA68" s="1440"/>
      <c r="BB68" s="1440"/>
      <c r="BC68" s="1440"/>
      <c r="BD68" s="1440"/>
      <c r="BE68" s="1440"/>
      <c r="BF68" s="1440"/>
      <c r="BG68" s="1439"/>
      <c r="BH68" s="1439"/>
      <c r="BI68" s="1440"/>
      <c r="BJ68" s="1440"/>
      <c r="BK68" s="1440"/>
      <c r="BL68" s="1440"/>
      <c r="BM68" s="1440"/>
      <c r="BN68" s="1440"/>
      <c r="BO68" s="1440"/>
      <c r="BP68" s="1440"/>
      <c r="BQ68" s="1440"/>
      <c r="BR68" s="1440"/>
      <c r="BS68" s="1440"/>
      <c r="BT68" s="1440"/>
      <c r="BU68" s="1440"/>
      <c r="BV68" s="1440"/>
      <c r="BW68" s="1440"/>
      <c r="BX68" s="1440"/>
      <c r="BY68" s="1440"/>
      <c r="BZ68" s="1440"/>
      <c r="CA68" s="1440"/>
      <c r="CB68" s="1440"/>
      <c r="CC68" s="1440"/>
      <c r="CD68" s="1440"/>
      <c r="CE68" s="1440"/>
      <c r="CF68" s="1440"/>
      <c r="CG68" s="1439"/>
      <c r="CH68" s="1439"/>
      <c r="CI68" s="1440"/>
      <c r="CJ68" s="1440"/>
      <c r="CK68" s="1440"/>
      <c r="CL68" s="1440"/>
      <c r="CM68" s="1440"/>
      <c r="CN68" s="1440"/>
      <c r="CO68" s="1440"/>
      <c r="CP68" s="1440"/>
      <c r="CQ68" s="1440"/>
      <c r="CR68" s="1440"/>
      <c r="CS68" s="1440"/>
      <c r="CT68" s="1440"/>
      <c r="CU68" s="1440"/>
      <c r="CV68" s="1440"/>
      <c r="CW68" s="1440"/>
      <c r="CX68" s="1440"/>
      <c r="CY68" s="1440"/>
      <c r="CZ68" s="1440"/>
      <c r="DA68" s="1440"/>
      <c r="DB68" s="1440"/>
      <c r="DC68" s="1440"/>
      <c r="DD68" s="1440"/>
      <c r="DE68" s="1440"/>
      <c r="DF68" s="1440"/>
      <c r="DG68" s="1439"/>
      <c r="DH68" s="1439"/>
      <c r="DI68" s="1440"/>
      <c r="DJ68" s="1440"/>
      <c r="DK68" s="1440"/>
      <c r="DL68" s="1440"/>
      <c r="DM68" s="1440"/>
      <c r="DN68" s="1440"/>
      <c r="DO68" s="1440"/>
      <c r="DP68" s="1440"/>
      <c r="DQ68" s="1440"/>
      <c r="DR68" s="1440"/>
      <c r="DS68" s="1440"/>
      <c r="DT68" s="1440"/>
      <c r="DU68" s="1440"/>
      <c r="DV68" s="1440"/>
      <c r="DW68" s="1440"/>
      <c r="DX68" s="1440"/>
      <c r="DY68" s="1440"/>
      <c r="DZ68" s="1440"/>
      <c r="EA68" s="1440"/>
      <c r="EB68" s="1440"/>
      <c r="EC68" s="1440"/>
      <c r="ED68" s="1440"/>
      <c r="EE68" s="1440"/>
      <c r="EF68" s="1440"/>
      <c r="EG68" s="1439"/>
      <c r="EH68" s="1439"/>
      <c r="EI68" s="1440"/>
      <c r="EJ68" s="1440"/>
      <c r="EK68" s="1440"/>
      <c r="EL68" s="1440"/>
      <c r="EM68" s="1440"/>
      <c r="EN68" s="1440"/>
      <c r="EO68" s="1440"/>
      <c r="EP68" s="1440"/>
      <c r="EQ68" s="1440"/>
      <c r="ER68" s="1440"/>
      <c r="ES68" s="1440"/>
      <c r="ET68" s="1440"/>
      <c r="EU68" s="1440"/>
      <c r="EV68" s="1440"/>
      <c r="EW68" s="1440"/>
      <c r="EX68" s="1440"/>
      <c r="EY68" s="1440"/>
      <c r="EZ68" s="1440"/>
      <c r="FA68" s="1440"/>
      <c r="FB68" s="1440"/>
      <c r="FC68" s="1440"/>
      <c r="FD68" s="1440"/>
      <c r="FE68" s="1440"/>
      <c r="FF68" s="1440"/>
    </row>
    <row r="69" spans="1:162" s="1368" customFormat="1" ht="15" hidden="1" customHeight="1" outlineLevel="1">
      <c r="A69" s="1424">
        <v>9</v>
      </c>
      <c r="B69" s="1425" t="s">
        <v>375</v>
      </c>
      <c r="C69" s="1825" t="s">
        <v>376</v>
      </c>
      <c r="D69" s="1825"/>
      <c r="E69" s="1825"/>
      <c r="F69" s="1825"/>
      <c r="G69" s="1825"/>
      <c r="H69" s="1825"/>
      <c r="I69" s="1825"/>
      <c r="J69" s="1428" t="s">
        <v>358</v>
      </c>
      <c r="K69" s="1822"/>
      <c r="L69" s="1822"/>
      <c r="M69" s="1822"/>
      <c r="N69" s="1822"/>
      <c r="O69" s="1822"/>
      <c r="P69" s="1426"/>
      <c r="Q69" s="1426"/>
      <c r="R69" s="1426"/>
      <c r="S69" s="1426"/>
      <c r="T69" s="1426"/>
      <c r="U69" s="1437"/>
      <c r="V69" s="1437"/>
      <c r="W69" s="1437"/>
      <c r="X69" s="1437"/>
      <c r="Y69" s="1437"/>
      <c r="Z69" s="1437"/>
      <c r="AA69" s="1437"/>
      <c r="AB69" s="1437"/>
      <c r="AC69" s="1437"/>
      <c r="AD69" s="1437"/>
      <c r="AE69" s="1437"/>
      <c r="AF69" s="1437"/>
      <c r="AG69" s="1437"/>
      <c r="AH69" s="1437"/>
      <c r="AI69" s="1439"/>
      <c r="AJ69" s="1439"/>
      <c r="AK69" s="1439"/>
      <c r="AL69" s="1439"/>
      <c r="AM69" s="1440"/>
      <c r="AN69" s="1440"/>
      <c r="AO69" s="1440"/>
      <c r="AP69" s="1440"/>
      <c r="AQ69" s="1440"/>
      <c r="AR69" s="1440"/>
      <c r="AS69" s="1440"/>
      <c r="AT69" s="1440"/>
      <c r="AU69" s="1440"/>
      <c r="AV69" s="1440"/>
      <c r="AW69" s="1440"/>
      <c r="AX69" s="1440"/>
      <c r="AY69" s="1440"/>
      <c r="AZ69" s="1440"/>
      <c r="BA69" s="1440"/>
      <c r="BB69" s="1440"/>
      <c r="BC69" s="1440"/>
      <c r="BD69" s="1440"/>
      <c r="BE69" s="1440"/>
      <c r="BF69" s="1440"/>
      <c r="BG69" s="1439"/>
      <c r="BH69" s="1439"/>
      <c r="BI69" s="1440"/>
      <c r="BJ69" s="1440"/>
      <c r="BK69" s="1440"/>
      <c r="BL69" s="1440"/>
      <c r="BM69" s="1440"/>
      <c r="BN69" s="1440"/>
      <c r="BO69" s="1440"/>
      <c r="BP69" s="1440"/>
      <c r="BQ69" s="1440"/>
      <c r="BR69" s="1440"/>
      <c r="BS69" s="1440"/>
      <c r="BT69" s="1440"/>
      <c r="BU69" s="1440"/>
      <c r="BV69" s="1440"/>
      <c r="BW69" s="1440"/>
      <c r="BX69" s="1440"/>
      <c r="BY69" s="1440"/>
      <c r="BZ69" s="1440"/>
      <c r="CA69" s="1440"/>
      <c r="CB69" s="1440"/>
      <c r="CC69" s="1440"/>
      <c r="CD69" s="1440"/>
      <c r="CE69" s="1440"/>
      <c r="CF69" s="1440"/>
      <c r="CG69" s="1439"/>
      <c r="CH69" s="1439"/>
      <c r="CI69" s="1440"/>
      <c r="CJ69" s="1440"/>
      <c r="CK69" s="1440"/>
      <c r="CL69" s="1440"/>
      <c r="CM69" s="1440"/>
      <c r="CN69" s="1440"/>
      <c r="CO69" s="1440"/>
      <c r="CP69" s="1440"/>
      <c r="CQ69" s="1440"/>
      <c r="CR69" s="1440"/>
      <c r="CS69" s="1440"/>
      <c r="CT69" s="1440"/>
      <c r="CU69" s="1440"/>
      <c r="CV69" s="1440"/>
      <c r="CW69" s="1440"/>
      <c r="CX69" s="1440"/>
      <c r="CY69" s="1440"/>
      <c r="CZ69" s="1440"/>
      <c r="DA69" s="1440"/>
      <c r="DB69" s="1440"/>
      <c r="DC69" s="1440"/>
      <c r="DD69" s="1440"/>
      <c r="DE69" s="1440"/>
      <c r="DF69" s="1440"/>
      <c r="DG69" s="1439"/>
      <c r="DH69" s="1439"/>
      <c r="DI69" s="1440"/>
      <c r="DJ69" s="1440"/>
      <c r="DK69" s="1440"/>
      <c r="DL69" s="1440"/>
      <c r="DM69" s="1440"/>
      <c r="DN69" s="1440"/>
      <c r="DO69" s="1440"/>
      <c r="DP69" s="1440"/>
      <c r="DQ69" s="1440"/>
      <c r="DR69" s="1440"/>
      <c r="DS69" s="1440"/>
      <c r="DT69" s="1440"/>
      <c r="DU69" s="1440"/>
      <c r="DV69" s="1440"/>
      <c r="DW69" s="1440"/>
      <c r="DX69" s="1440"/>
      <c r="DY69" s="1440"/>
      <c r="DZ69" s="1440"/>
      <c r="EA69" s="1440"/>
      <c r="EB69" s="1440"/>
      <c r="EC69" s="1440"/>
      <c r="ED69" s="1440"/>
      <c r="EE69" s="1440"/>
      <c r="EF69" s="1440"/>
      <c r="EG69" s="1439"/>
      <c r="EH69" s="1439"/>
      <c r="EI69" s="1440"/>
      <c r="EJ69" s="1440"/>
      <c r="EK69" s="1440"/>
      <c r="EL69" s="1440"/>
      <c r="EM69" s="1440"/>
      <c r="EN69" s="1440"/>
      <c r="EO69" s="1440"/>
      <c r="EP69" s="1440"/>
      <c r="EQ69" s="1440"/>
      <c r="ER69" s="1440"/>
      <c r="ES69" s="1440"/>
      <c r="ET69" s="1440"/>
      <c r="EU69" s="1440"/>
      <c r="EV69" s="1440"/>
      <c r="EW69" s="1440"/>
      <c r="EX69" s="1440"/>
      <c r="EY69" s="1440"/>
      <c r="EZ69" s="1440"/>
      <c r="FA69" s="1440"/>
      <c r="FB69" s="1440"/>
      <c r="FC69" s="1440"/>
      <c r="FD69" s="1440"/>
      <c r="FE69" s="1440"/>
      <c r="FF69" s="1440"/>
    </row>
    <row r="70" spans="1:162" s="1368" customFormat="1" ht="15" hidden="1" customHeight="1" outlineLevel="1">
      <c r="A70" s="1424">
        <v>10</v>
      </c>
      <c r="B70" s="1425" t="s">
        <v>377</v>
      </c>
      <c r="C70" s="1825" t="s">
        <v>378</v>
      </c>
      <c r="D70" s="1825"/>
      <c r="E70" s="1825"/>
      <c r="F70" s="1825"/>
      <c r="G70" s="1825"/>
      <c r="H70" s="1825"/>
      <c r="I70" s="1825"/>
      <c r="J70" s="1428" t="s">
        <v>358</v>
      </c>
      <c r="K70" s="1822"/>
      <c r="L70" s="1822"/>
      <c r="M70" s="1822"/>
      <c r="N70" s="1822"/>
      <c r="O70" s="1822"/>
      <c r="P70" s="1426"/>
      <c r="Q70" s="1426"/>
      <c r="R70" s="1426"/>
      <c r="S70" s="1426"/>
      <c r="T70" s="1426"/>
      <c r="U70" s="1437"/>
      <c r="V70" s="1437"/>
      <c r="W70" s="1437"/>
      <c r="X70" s="1437"/>
      <c r="Y70" s="1437"/>
      <c r="Z70" s="1437"/>
      <c r="AA70" s="1437"/>
      <c r="AB70" s="1437"/>
      <c r="AC70" s="1437"/>
      <c r="AD70" s="1437"/>
      <c r="AE70" s="1437"/>
      <c r="AF70" s="1437"/>
      <c r="AG70" s="1437"/>
      <c r="AH70" s="1437"/>
      <c r="AI70" s="1439"/>
      <c r="AJ70" s="1439"/>
      <c r="AK70" s="1439"/>
      <c r="AL70" s="1439"/>
      <c r="AM70" s="1440"/>
      <c r="AN70" s="1440"/>
      <c r="AO70" s="1440"/>
      <c r="AP70" s="1440"/>
      <c r="AQ70" s="1440"/>
      <c r="AR70" s="1440"/>
      <c r="AS70" s="1440"/>
      <c r="AT70" s="1440"/>
      <c r="AU70" s="1440"/>
      <c r="AV70" s="1440"/>
      <c r="AW70" s="1440"/>
      <c r="AX70" s="1440"/>
      <c r="AY70" s="1440"/>
      <c r="AZ70" s="1440"/>
      <c r="BA70" s="1440"/>
      <c r="BB70" s="1440"/>
      <c r="BC70" s="1440"/>
      <c r="BD70" s="1440"/>
      <c r="BE70" s="1440"/>
      <c r="BF70" s="1440"/>
      <c r="BG70" s="1439"/>
      <c r="BH70" s="1439"/>
      <c r="BI70" s="1440"/>
      <c r="BJ70" s="1440"/>
      <c r="BK70" s="1440"/>
      <c r="BL70" s="1440"/>
      <c r="BM70" s="1440"/>
      <c r="BN70" s="1440"/>
      <c r="BO70" s="1440"/>
      <c r="BP70" s="1440"/>
      <c r="BQ70" s="1440"/>
      <c r="BR70" s="1440"/>
      <c r="BS70" s="1440"/>
      <c r="BT70" s="1440"/>
      <c r="BU70" s="1440"/>
      <c r="BV70" s="1440"/>
      <c r="BW70" s="1440"/>
      <c r="BX70" s="1440"/>
      <c r="BY70" s="1440"/>
      <c r="BZ70" s="1440"/>
      <c r="CA70" s="1440"/>
      <c r="CB70" s="1440"/>
      <c r="CC70" s="1440"/>
      <c r="CD70" s="1440"/>
      <c r="CE70" s="1440"/>
      <c r="CF70" s="1440"/>
      <c r="CG70" s="1439"/>
      <c r="CH70" s="1439"/>
      <c r="CI70" s="1440"/>
      <c r="CJ70" s="1440"/>
      <c r="CK70" s="1440"/>
      <c r="CL70" s="1440"/>
      <c r="CM70" s="1440"/>
      <c r="CN70" s="1440"/>
      <c r="CO70" s="1440"/>
      <c r="CP70" s="1440"/>
      <c r="CQ70" s="1440"/>
      <c r="CR70" s="1440"/>
      <c r="CS70" s="1440"/>
      <c r="CT70" s="1440"/>
      <c r="CU70" s="1440"/>
      <c r="CV70" s="1440"/>
      <c r="CW70" s="1440"/>
      <c r="CX70" s="1440"/>
      <c r="CY70" s="1440"/>
      <c r="CZ70" s="1440"/>
      <c r="DA70" s="1440"/>
      <c r="DB70" s="1440"/>
      <c r="DC70" s="1440"/>
      <c r="DD70" s="1440"/>
      <c r="DE70" s="1440"/>
      <c r="DF70" s="1440"/>
      <c r="DG70" s="1439"/>
      <c r="DH70" s="1439"/>
      <c r="DI70" s="1440"/>
      <c r="DJ70" s="1440"/>
      <c r="DK70" s="1440"/>
      <c r="DL70" s="1440"/>
      <c r="DM70" s="1440"/>
      <c r="DN70" s="1440"/>
      <c r="DO70" s="1440"/>
      <c r="DP70" s="1440"/>
      <c r="DQ70" s="1440"/>
      <c r="DR70" s="1440"/>
      <c r="DS70" s="1440"/>
      <c r="DT70" s="1440"/>
      <c r="DU70" s="1440"/>
      <c r="DV70" s="1440"/>
      <c r="DW70" s="1440"/>
      <c r="DX70" s="1440"/>
      <c r="DY70" s="1440"/>
      <c r="DZ70" s="1440"/>
      <c r="EA70" s="1440"/>
      <c r="EB70" s="1440"/>
      <c r="EC70" s="1440"/>
      <c r="ED70" s="1440"/>
      <c r="EE70" s="1440"/>
      <c r="EF70" s="1440"/>
      <c r="EG70" s="1439"/>
      <c r="EH70" s="1439"/>
      <c r="EI70" s="1440"/>
      <c r="EJ70" s="1440"/>
      <c r="EK70" s="1440"/>
      <c r="EL70" s="1440"/>
      <c r="EM70" s="1440"/>
      <c r="EN70" s="1440"/>
      <c r="EO70" s="1440"/>
      <c r="EP70" s="1440"/>
      <c r="EQ70" s="1440"/>
      <c r="ER70" s="1440"/>
      <c r="ES70" s="1440"/>
      <c r="ET70" s="1440"/>
      <c r="EU70" s="1440"/>
      <c r="EV70" s="1440"/>
      <c r="EW70" s="1440"/>
      <c r="EX70" s="1440"/>
      <c r="EY70" s="1440"/>
      <c r="EZ70" s="1440"/>
      <c r="FA70" s="1440"/>
      <c r="FB70" s="1440"/>
      <c r="FC70" s="1440"/>
      <c r="FD70" s="1440"/>
      <c r="FE70" s="1440"/>
      <c r="FF70" s="1440"/>
    </row>
    <row r="71" spans="1:162" s="1368" customFormat="1" ht="15" hidden="1" customHeight="1" outlineLevel="1">
      <c r="A71" s="1424">
        <v>11</v>
      </c>
      <c r="B71" s="1425" t="s">
        <v>379</v>
      </c>
      <c r="C71" s="1825" t="s">
        <v>380</v>
      </c>
      <c r="D71" s="1825"/>
      <c r="E71" s="1825"/>
      <c r="F71" s="1825"/>
      <c r="G71" s="1825"/>
      <c r="H71" s="1825"/>
      <c r="I71" s="1825"/>
      <c r="J71" s="1428" t="s">
        <v>358</v>
      </c>
      <c r="K71" s="1822"/>
      <c r="L71" s="1822"/>
      <c r="M71" s="1822"/>
      <c r="N71" s="1822"/>
      <c r="O71" s="1822"/>
      <c r="P71" s="1426"/>
      <c r="Q71" s="1426"/>
      <c r="R71" s="1426"/>
      <c r="S71" s="1426"/>
      <c r="T71" s="1426"/>
      <c r="U71" s="1437"/>
      <c r="V71" s="1437"/>
      <c r="W71" s="1437"/>
      <c r="X71" s="1437"/>
      <c r="Y71" s="1437"/>
      <c r="Z71" s="1437"/>
      <c r="AA71" s="1437"/>
      <c r="AB71" s="1437"/>
      <c r="AC71" s="1437"/>
      <c r="AD71" s="1437"/>
      <c r="AE71" s="1437"/>
      <c r="AF71" s="1437"/>
      <c r="AG71" s="1437"/>
      <c r="AH71" s="1437"/>
      <c r="AI71" s="1439"/>
      <c r="AJ71" s="1439"/>
      <c r="AK71" s="1439"/>
      <c r="AL71" s="1439"/>
      <c r="AM71" s="1440"/>
      <c r="AN71" s="1440"/>
      <c r="AO71" s="1440"/>
      <c r="AP71" s="1440"/>
      <c r="AQ71" s="1440"/>
      <c r="AR71" s="1440"/>
      <c r="AS71" s="1440"/>
      <c r="AT71" s="1440"/>
      <c r="AU71" s="1440"/>
      <c r="AV71" s="1440"/>
      <c r="AW71" s="1440"/>
      <c r="AX71" s="1440"/>
      <c r="AY71" s="1440"/>
      <c r="AZ71" s="1440"/>
      <c r="BA71" s="1440"/>
      <c r="BB71" s="1440"/>
      <c r="BC71" s="1440"/>
      <c r="BD71" s="1440"/>
      <c r="BE71" s="1440"/>
      <c r="BF71" s="1440"/>
      <c r="BG71" s="1439"/>
      <c r="BH71" s="1439"/>
      <c r="BI71" s="1440"/>
      <c r="BJ71" s="1440"/>
      <c r="BK71" s="1440"/>
      <c r="BL71" s="1440"/>
      <c r="BM71" s="1440"/>
      <c r="BN71" s="1440"/>
      <c r="BO71" s="1440"/>
      <c r="BP71" s="1440"/>
      <c r="BQ71" s="1440"/>
      <c r="BR71" s="1440"/>
      <c r="BS71" s="1440"/>
      <c r="BT71" s="1440"/>
      <c r="BU71" s="1440"/>
      <c r="BV71" s="1440"/>
      <c r="BW71" s="1440"/>
      <c r="BX71" s="1440"/>
      <c r="BY71" s="1440"/>
      <c r="BZ71" s="1440"/>
      <c r="CA71" s="1440"/>
      <c r="CB71" s="1440"/>
      <c r="CC71" s="1440"/>
      <c r="CD71" s="1440"/>
      <c r="CE71" s="1440"/>
      <c r="CF71" s="1440"/>
      <c r="CG71" s="1439"/>
      <c r="CH71" s="1439"/>
      <c r="CI71" s="1440"/>
      <c r="CJ71" s="1440"/>
      <c r="CK71" s="1440"/>
      <c r="CL71" s="1440"/>
      <c r="CM71" s="1440"/>
      <c r="CN71" s="1440"/>
      <c r="CO71" s="1440"/>
      <c r="CP71" s="1440"/>
      <c r="CQ71" s="1440"/>
      <c r="CR71" s="1440"/>
      <c r="CS71" s="1440"/>
      <c r="CT71" s="1440"/>
      <c r="CU71" s="1440"/>
      <c r="CV71" s="1440"/>
      <c r="CW71" s="1440"/>
      <c r="CX71" s="1440"/>
      <c r="CY71" s="1440"/>
      <c r="CZ71" s="1440"/>
      <c r="DA71" s="1440"/>
      <c r="DB71" s="1440"/>
      <c r="DC71" s="1440"/>
      <c r="DD71" s="1440"/>
      <c r="DE71" s="1440"/>
      <c r="DF71" s="1440"/>
      <c r="DG71" s="1439"/>
      <c r="DH71" s="1439"/>
      <c r="DI71" s="1440"/>
      <c r="DJ71" s="1440"/>
      <c r="DK71" s="1440"/>
      <c r="DL71" s="1440"/>
      <c r="DM71" s="1440"/>
      <c r="DN71" s="1440"/>
      <c r="DO71" s="1440"/>
      <c r="DP71" s="1440"/>
      <c r="DQ71" s="1440"/>
      <c r="DR71" s="1440"/>
      <c r="DS71" s="1440"/>
      <c r="DT71" s="1440"/>
      <c r="DU71" s="1440"/>
      <c r="DV71" s="1440"/>
      <c r="DW71" s="1440"/>
      <c r="DX71" s="1440"/>
      <c r="DY71" s="1440"/>
      <c r="DZ71" s="1440"/>
      <c r="EA71" s="1440"/>
      <c r="EB71" s="1440"/>
      <c r="EC71" s="1440"/>
      <c r="ED71" s="1440"/>
      <c r="EE71" s="1440"/>
      <c r="EF71" s="1440"/>
      <c r="EG71" s="1439"/>
      <c r="EH71" s="1439"/>
      <c r="EI71" s="1440"/>
      <c r="EJ71" s="1440"/>
      <c r="EK71" s="1440"/>
      <c r="EL71" s="1440"/>
      <c r="EM71" s="1440"/>
      <c r="EN71" s="1440"/>
      <c r="EO71" s="1440"/>
      <c r="EP71" s="1440"/>
      <c r="EQ71" s="1440"/>
      <c r="ER71" s="1440"/>
      <c r="ES71" s="1440"/>
      <c r="ET71" s="1440"/>
      <c r="EU71" s="1440"/>
      <c r="EV71" s="1440"/>
      <c r="EW71" s="1440"/>
      <c r="EX71" s="1440"/>
      <c r="EY71" s="1440"/>
      <c r="EZ71" s="1440"/>
      <c r="FA71" s="1440"/>
      <c r="FB71" s="1440"/>
      <c r="FC71" s="1440"/>
      <c r="FD71" s="1440"/>
      <c r="FE71" s="1440"/>
      <c r="FF71" s="1440"/>
    </row>
    <row r="72" spans="1:162" s="1368" customFormat="1" ht="15" hidden="1" customHeight="1" outlineLevel="1">
      <c r="A72" s="1424">
        <v>12</v>
      </c>
      <c r="B72" s="1425" t="s">
        <v>52</v>
      </c>
      <c r="C72" s="1825" t="s">
        <v>381</v>
      </c>
      <c r="D72" s="1825"/>
      <c r="E72" s="1825"/>
      <c r="F72" s="1825"/>
      <c r="G72" s="1825"/>
      <c r="H72" s="1825"/>
      <c r="I72" s="1825"/>
      <c r="J72" s="1428" t="s">
        <v>358</v>
      </c>
      <c r="K72" s="1822"/>
      <c r="L72" s="1822"/>
      <c r="M72" s="1822"/>
      <c r="N72" s="1822"/>
      <c r="O72" s="1822"/>
      <c r="P72" s="1426"/>
      <c r="Q72" s="1426"/>
      <c r="R72" s="1426"/>
      <c r="S72" s="1426"/>
      <c r="T72" s="1426"/>
      <c r="U72" s="1437"/>
      <c r="V72" s="1437"/>
      <c r="W72" s="1437"/>
      <c r="X72" s="1437"/>
      <c r="Y72" s="1437"/>
      <c r="Z72" s="1437"/>
      <c r="AA72" s="1437"/>
      <c r="AB72" s="1437"/>
      <c r="AC72" s="1437"/>
      <c r="AD72" s="1437"/>
      <c r="AE72" s="1437"/>
      <c r="AF72" s="1437"/>
      <c r="AG72" s="1437"/>
      <c r="AH72" s="1437"/>
      <c r="AI72" s="1439"/>
      <c r="AJ72" s="1439"/>
      <c r="AK72" s="1439"/>
      <c r="AL72" s="1439"/>
      <c r="AM72" s="1440"/>
      <c r="AN72" s="1440"/>
      <c r="AO72" s="1440"/>
      <c r="AP72" s="1440"/>
      <c r="AQ72" s="1440"/>
      <c r="AR72" s="1440"/>
      <c r="AS72" s="1440"/>
      <c r="AT72" s="1440"/>
      <c r="AU72" s="1440"/>
      <c r="AV72" s="1440"/>
      <c r="AW72" s="1440"/>
      <c r="AX72" s="1440"/>
      <c r="AY72" s="1440"/>
      <c r="AZ72" s="1440"/>
      <c r="BA72" s="1440"/>
      <c r="BB72" s="1440"/>
      <c r="BC72" s="1440"/>
      <c r="BD72" s="1440"/>
      <c r="BE72" s="1440"/>
      <c r="BF72" s="1440"/>
      <c r="BG72" s="1439"/>
      <c r="BH72" s="1439"/>
      <c r="BI72" s="1440"/>
      <c r="BJ72" s="1440"/>
      <c r="BK72" s="1440"/>
      <c r="BL72" s="1440"/>
      <c r="BM72" s="1440"/>
      <c r="BN72" s="1440"/>
      <c r="BO72" s="1440"/>
      <c r="BP72" s="1440"/>
      <c r="BQ72" s="1440"/>
      <c r="BR72" s="1440"/>
      <c r="BS72" s="1440"/>
      <c r="BT72" s="1440"/>
      <c r="BU72" s="1440"/>
      <c r="BV72" s="1440"/>
      <c r="BW72" s="1440"/>
      <c r="BX72" s="1440"/>
      <c r="BY72" s="1440"/>
      <c r="BZ72" s="1440"/>
      <c r="CA72" s="1440"/>
      <c r="CB72" s="1440"/>
      <c r="CC72" s="1440"/>
      <c r="CD72" s="1440"/>
      <c r="CE72" s="1440"/>
      <c r="CF72" s="1440"/>
      <c r="CG72" s="1439"/>
      <c r="CH72" s="1439"/>
      <c r="CI72" s="1440"/>
      <c r="CJ72" s="1440"/>
      <c r="CK72" s="1440"/>
      <c r="CL72" s="1440"/>
      <c r="CM72" s="1440"/>
      <c r="CN72" s="1440"/>
      <c r="CO72" s="1440"/>
      <c r="CP72" s="1440"/>
      <c r="CQ72" s="1440"/>
      <c r="CR72" s="1440"/>
      <c r="CS72" s="1440"/>
      <c r="CT72" s="1440"/>
      <c r="CU72" s="1440"/>
      <c r="CV72" s="1440"/>
      <c r="CW72" s="1440"/>
      <c r="CX72" s="1440"/>
      <c r="CY72" s="1440"/>
      <c r="CZ72" s="1440"/>
      <c r="DA72" s="1440"/>
      <c r="DB72" s="1440"/>
      <c r="DC72" s="1440"/>
      <c r="DD72" s="1440"/>
      <c r="DE72" s="1440"/>
      <c r="DF72" s="1440"/>
      <c r="DG72" s="1439"/>
      <c r="DH72" s="1439"/>
      <c r="DI72" s="1440"/>
      <c r="DJ72" s="1440"/>
      <c r="DK72" s="1440"/>
      <c r="DL72" s="1440"/>
      <c r="DM72" s="1440"/>
      <c r="DN72" s="1440"/>
      <c r="DO72" s="1440"/>
      <c r="DP72" s="1440"/>
      <c r="DQ72" s="1440"/>
      <c r="DR72" s="1440"/>
      <c r="DS72" s="1440"/>
      <c r="DT72" s="1440"/>
      <c r="DU72" s="1440"/>
      <c r="DV72" s="1440"/>
      <c r="DW72" s="1440"/>
      <c r="DX72" s="1440"/>
      <c r="DY72" s="1440"/>
      <c r="DZ72" s="1440"/>
      <c r="EA72" s="1440"/>
      <c r="EB72" s="1440"/>
      <c r="EC72" s="1440"/>
      <c r="ED72" s="1440"/>
      <c r="EE72" s="1440"/>
      <c r="EF72" s="1440"/>
      <c r="EG72" s="1439"/>
      <c r="EH72" s="1439"/>
      <c r="EI72" s="1440"/>
      <c r="EJ72" s="1440"/>
      <c r="EK72" s="1440"/>
      <c r="EL72" s="1440"/>
      <c r="EM72" s="1440"/>
      <c r="EN72" s="1440"/>
      <c r="EO72" s="1440"/>
      <c r="EP72" s="1440"/>
      <c r="EQ72" s="1440"/>
      <c r="ER72" s="1440"/>
      <c r="ES72" s="1440"/>
      <c r="ET72" s="1440"/>
      <c r="EU72" s="1440"/>
      <c r="EV72" s="1440"/>
      <c r="EW72" s="1440"/>
      <c r="EX72" s="1440"/>
      <c r="EY72" s="1440"/>
      <c r="EZ72" s="1440"/>
      <c r="FA72" s="1440"/>
      <c r="FB72" s="1440"/>
      <c r="FC72" s="1440"/>
      <c r="FD72" s="1440"/>
      <c r="FE72" s="1440"/>
      <c r="FF72" s="1440"/>
    </row>
    <row r="73" spans="1:162" s="1368" customFormat="1" ht="15" hidden="1" customHeight="1" outlineLevel="1">
      <c r="A73" s="1424">
        <v>13</v>
      </c>
      <c r="B73" s="1425" t="s">
        <v>382</v>
      </c>
      <c r="C73" s="1825" t="s">
        <v>383</v>
      </c>
      <c r="D73" s="1825"/>
      <c r="E73" s="1825"/>
      <c r="F73" s="1825"/>
      <c r="G73" s="1825"/>
      <c r="H73" s="1825"/>
      <c r="I73" s="1825"/>
      <c r="J73" s="1428" t="s">
        <v>358</v>
      </c>
      <c r="K73" s="1822"/>
      <c r="L73" s="1822"/>
      <c r="M73" s="1822"/>
      <c r="N73" s="1822"/>
      <c r="O73" s="1822"/>
      <c r="P73" s="1426"/>
      <c r="Q73" s="1426"/>
      <c r="R73" s="1426"/>
      <c r="S73" s="1426"/>
      <c r="T73" s="1426"/>
      <c r="U73" s="1437"/>
      <c r="V73" s="1437"/>
      <c r="W73" s="1437"/>
      <c r="X73" s="1437"/>
      <c r="Y73" s="1437"/>
      <c r="Z73" s="1437"/>
      <c r="AA73" s="1437"/>
      <c r="AB73" s="1437"/>
      <c r="AC73" s="1437"/>
      <c r="AD73" s="1437"/>
      <c r="AE73" s="1437"/>
      <c r="AF73" s="1437"/>
      <c r="AG73" s="1437"/>
      <c r="AH73" s="1437"/>
      <c r="AI73" s="1439"/>
      <c r="AJ73" s="1439"/>
      <c r="AK73" s="1439"/>
      <c r="AL73" s="1439"/>
      <c r="AM73" s="1440"/>
      <c r="AN73" s="1440"/>
      <c r="AO73" s="1440"/>
      <c r="AP73" s="1440"/>
      <c r="AQ73" s="1440"/>
      <c r="AR73" s="1440"/>
      <c r="AS73" s="1440"/>
      <c r="AT73" s="1440"/>
      <c r="AU73" s="1440"/>
      <c r="AV73" s="1440"/>
      <c r="AW73" s="1440"/>
      <c r="AX73" s="1440"/>
      <c r="AY73" s="1440"/>
      <c r="AZ73" s="1440"/>
      <c r="BA73" s="1440"/>
      <c r="BB73" s="1440"/>
      <c r="BC73" s="1440"/>
      <c r="BD73" s="1440"/>
      <c r="BE73" s="1440"/>
      <c r="BF73" s="1440"/>
      <c r="BG73" s="1439"/>
      <c r="BH73" s="1439"/>
      <c r="BI73" s="1440"/>
      <c r="BJ73" s="1440"/>
      <c r="BK73" s="1440"/>
      <c r="BL73" s="1440"/>
      <c r="BM73" s="1440"/>
      <c r="BN73" s="1440"/>
      <c r="BO73" s="1440"/>
      <c r="BP73" s="1440"/>
      <c r="BQ73" s="1440"/>
      <c r="BR73" s="1440"/>
      <c r="BS73" s="1440"/>
      <c r="BT73" s="1440"/>
      <c r="BU73" s="1440"/>
      <c r="BV73" s="1440"/>
      <c r="BW73" s="1440"/>
      <c r="BX73" s="1440"/>
      <c r="BY73" s="1440"/>
      <c r="BZ73" s="1440"/>
      <c r="CA73" s="1440"/>
      <c r="CB73" s="1440"/>
      <c r="CC73" s="1440"/>
      <c r="CD73" s="1440"/>
      <c r="CE73" s="1440"/>
      <c r="CF73" s="1440"/>
      <c r="CG73" s="1439"/>
      <c r="CH73" s="1439"/>
      <c r="CI73" s="1440"/>
      <c r="CJ73" s="1440"/>
      <c r="CK73" s="1440"/>
      <c r="CL73" s="1440"/>
      <c r="CM73" s="1440"/>
      <c r="CN73" s="1440"/>
      <c r="CO73" s="1440"/>
      <c r="CP73" s="1440"/>
      <c r="CQ73" s="1440"/>
      <c r="CR73" s="1440"/>
      <c r="CS73" s="1440"/>
      <c r="CT73" s="1440"/>
      <c r="CU73" s="1440"/>
      <c r="CV73" s="1440"/>
      <c r="CW73" s="1440"/>
      <c r="CX73" s="1440"/>
      <c r="CY73" s="1440"/>
      <c r="CZ73" s="1440"/>
      <c r="DA73" s="1440"/>
      <c r="DB73" s="1440"/>
      <c r="DC73" s="1440"/>
      <c r="DD73" s="1440"/>
      <c r="DE73" s="1440"/>
      <c r="DF73" s="1440"/>
      <c r="DG73" s="1439"/>
      <c r="DH73" s="1439"/>
      <c r="DI73" s="1440"/>
      <c r="DJ73" s="1440"/>
      <c r="DK73" s="1440"/>
      <c r="DL73" s="1440"/>
      <c r="DM73" s="1440"/>
      <c r="DN73" s="1440"/>
      <c r="DO73" s="1440"/>
      <c r="DP73" s="1440"/>
      <c r="DQ73" s="1440"/>
      <c r="DR73" s="1440"/>
      <c r="DS73" s="1440"/>
      <c r="DT73" s="1440"/>
      <c r="DU73" s="1440"/>
      <c r="DV73" s="1440"/>
      <c r="DW73" s="1440"/>
      <c r="DX73" s="1440"/>
      <c r="DY73" s="1440"/>
      <c r="DZ73" s="1440"/>
      <c r="EA73" s="1440"/>
      <c r="EB73" s="1440"/>
      <c r="EC73" s="1440"/>
      <c r="ED73" s="1440"/>
      <c r="EE73" s="1440"/>
      <c r="EF73" s="1440"/>
      <c r="EG73" s="1439"/>
      <c r="EH73" s="1439"/>
      <c r="EI73" s="1440"/>
      <c r="EJ73" s="1440"/>
      <c r="EK73" s="1440"/>
      <c r="EL73" s="1440"/>
      <c r="EM73" s="1440"/>
      <c r="EN73" s="1440"/>
      <c r="EO73" s="1440"/>
      <c r="EP73" s="1440"/>
      <c r="EQ73" s="1440"/>
      <c r="ER73" s="1440"/>
      <c r="ES73" s="1440"/>
      <c r="ET73" s="1440"/>
      <c r="EU73" s="1440"/>
      <c r="EV73" s="1440"/>
      <c r="EW73" s="1440"/>
      <c r="EX73" s="1440"/>
      <c r="EY73" s="1440"/>
      <c r="EZ73" s="1440"/>
      <c r="FA73" s="1440"/>
      <c r="FB73" s="1440"/>
      <c r="FC73" s="1440"/>
      <c r="FD73" s="1440"/>
      <c r="FE73" s="1440"/>
      <c r="FF73" s="1440"/>
    </row>
    <row r="74" spans="1:162" s="1368" customFormat="1" ht="15" hidden="1" customHeight="1" outlineLevel="1">
      <c r="A74" s="1424">
        <v>14</v>
      </c>
      <c r="B74" s="1425" t="s">
        <v>384</v>
      </c>
      <c r="C74" s="1825" t="s">
        <v>385</v>
      </c>
      <c r="D74" s="1825"/>
      <c r="E74" s="1825"/>
      <c r="F74" s="1825"/>
      <c r="G74" s="1825"/>
      <c r="H74" s="1825"/>
      <c r="I74" s="1825"/>
      <c r="J74" s="1428" t="s">
        <v>358</v>
      </c>
      <c r="K74" s="1822"/>
      <c r="L74" s="1822"/>
      <c r="M74" s="1822"/>
      <c r="N74" s="1822"/>
      <c r="O74" s="1822"/>
      <c r="P74" s="1426"/>
      <c r="Q74" s="1426"/>
      <c r="R74" s="1426"/>
      <c r="S74" s="1426"/>
      <c r="T74" s="1426"/>
      <c r="U74" s="1437"/>
      <c r="V74" s="1437"/>
      <c r="W74" s="1437"/>
      <c r="X74" s="1437"/>
      <c r="Y74" s="1437"/>
      <c r="Z74" s="1437"/>
      <c r="AA74" s="1437"/>
      <c r="AB74" s="1437"/>
      <c r="AC74" s="1437"/>
      <c r="AD74" s="1437"/>
      <c r="AE74" s="1437"/>
      <c r="AF74" s="1437"/>
      <c r="AG74" s="1437"/>
      <c r="AH74" s="1437"/>
      <c r="AI74" s="1439"/>
      <c r="AJ74" s="1439"/>
      <c r="AK74" s="1439"/>
      <c r="AL74" s="1439"/>
      <c r="AM74" s="1440"/>
      <c r="AN74" s="1440"/>
      <c r="AO74" s="1440"/>
      <c r="AP74" s="1440"/>
      <c r="AQ74" s="1440"/>
      <c r="AR74" s="1440"/>
      <c r="AS74" s="1440"/>
      <c r="AT74" s="1440"/>
      <c r="AU74" s="1440"/>
      <c r="AV74" s="1440"/>
      <c r="AW74" s="1440"/>
      <c r="AX74" s="1440"/>
      <c r="AY74" s="1440"/>
      <c r="AZ74" s="1440"/>
      <c r="BA74" s="1440"/>
      <c r="BB74" s="1440"/>
      <c r="BC74" s="1440"/>
      <c r="BD74" s="1440"/>
      <c r="BE74" s="1440"/>
      <c r="BF74" s="1440"/>
      <c r="BG74" s="1439"/>
      <c r="BH74" s="1439"/>
      <c r="BI74" s="1440"/>
      <c r="BJ74" s="1440"/>
      <c r="BK74" s="1440"/>
      <c r="BL74" s="1440"/>
      <c r="BM74" s="1440"/>
      <c r="BN74" s="1440"/>
      <c r="BO74" s="1440"/>
      <c r="BP74" s="1440"/>
      <c r="BQ74" s="1440"/>
      <c r="BR74" s="1440"/>
      <c r="BS74" s="1440"/>
      <c r="BT74" s="1440"/>
      <c r="BU74" s="1440"/>
      <c r="BV74" s="1440"/>
      <c r="BW74" s="1440"/>
      <c r="BX74" s="1440"/>
      <c r="BY74" s="1440"/>
      <c r="BZ74" s="1440"/>
      <c r="CA74" s="1440"/>
      <c r="CB74" s="1440"/>
      <c r="CC74" s="1440"/>
      <c r="CD74" s="1440"/>
      <c r="CE74" s="1440"/>
      <c r="CF74" s="1440"/>
      <c r="CG74" s="1439"/>
      <c r="CH74" s="1439"/>
      <c r="CI74" s="1440"/>
      <c r="CJ74" s="1440"/>
      <c r="CK74" s="1440"/>
      <c r="CL74" s="1440"/>
      <c r="CM74" s="1440"/>
      <c r="CN74" s="1440"/>
      <c r="CO74" s="1440"/>
      <c r="CP74" s="1440"/>
      <c r="CQ74" s="1440"/>
      <c r="CR74" s="1440"/>
      <c r="CS74" s="1440"/>
      <c r="CT74" s="1440"/>
      <c r="CU74" s="1440"/>
      <c r="CV74" s="1440"/>
      <c r="CW74" s="1440"/>
      <c r="CX74" s="1440"/>
      <c r="CY74" s="1440"/>
      <c r="CZ74" s="1440"/>
      <c r="DA74" s="1440"/>
      <c r="DB74" s="1440"/>
      <c r="DC74" s="1440"/>
      <c r="DD74" s="1440"/>
      <c r="DE74" s="1440"/>
      <c r="DF74" s="1440"/>
      <c r="DG74" s="1439"/>
      <c r="DH74" s="1439"/>
      <c r="DI74" s="1440"/>
      <c r="DJ74" s="1440"/>
      <c r="DK74" s="1440"/>
      <c r="DL74" s="1440"/>
      <c r="DM74" s="1440"/>
      <c r="DN74" s="1440"/>
      <c r="DO74" s="1440"/>
      <c r="DP74" s="1440"/>
      <c r="DQ74" s="1440"/>
      <c r="DR74" s="1440"/>
      <c r="DS74" s="1440"/>
      <c r="DT74" s="1440"/>
      <c r="DU74" s="1440"/>
      <c r="DV74" s="1440"/>
      <c r="DW74" s="1440"/>
      <c r="DX74" s="1440"/>
      <c r="DY74" s="1440"/>
      <c r="DZ74" s="1440"/>
      <c r="EA74" s="1440"/>
      <c r="EB74" s="1440"/>
      <c r="EC74" s="1440"/>
      <c r="ED74" s="1440"/>
      <c r="EE74" s="1440"/>
      <c r="EF74" s="1440"/>
      <c r="EG74" s="1439"/>
      <c r="EH74" s="1439"/>
      <c r="EI74" s="1440"/>
      <c r="EJ74" s="1440"/>
      <c r="EK74" s="1440"/>
      <c r="EL74" s="1440"/>
      <c r="EM74" s="1440"/>
      <c r="EN74" s="1440"/>
      <c r="EO74" s="1440"/>
      <c r="EP74" s="1440"/>
      <c r="EQ74" s="1440"/>
      <c r="ER74" s="1440"/>
      <c r="ES74" s="1440"/>
      <c r="ET74" s="1440"/>
      <c r="EU74" s="1440"/>
      <c r="EV74" s="1440"/>
      <c r="EW74" s="1440"/>
      <c r="EX74" s="1440"/>
      <c r="EY74" s="1440"/>
      <c r="EZ74" s="1440"/>
      <c r="FA74" s="1440"/>
      <c r="FB74" s="1440"/>
      <c r="FC74" s="1440"/>
      <c r="FD74" s="1440"/>
      <c r="FE74" s="1440"/>
      <c r="FF74" s="1440"/>
    </row>
    <row r="75" spans="1:162" s="1368" customFormat="1" ht="15" hidden="1" customHeight="1" outlineLevel="1">
      <c r="A75" s="1424">
        <v>15</v>
      </c>
      <c r="B75" s="1425" t="s">
        <v>83</v>
      </c>
      <c r="C75" s="1825" t="s">
        <v>386</v>
      </c>
      <c r="D75" s="1825"/>
      <c r="E75" s="1825"/>
      <c r="F75" s="1825"/>
      <c r="G75" s="1825"/>
      <c r="H75" s="1825"/>
      <c r="I75" s="1825"/>
      <c r="J75" s="1428" t="s">
        <v>358</v>
      </c>
      <c r="K75" s="1822"/>
      <c r="L75" s="1822"/>
      <c r="M75" s="1822"/>
      <c r="N75" s="1822"/>
      <c r="O75" s="1822"/>
      <c r="P75" s="1426"/>
      <c r="Q75" s="1426"/>
      <c r="R75" s="1426"/>
      <c r="S75" s="1426"/>
      <c r="T75" s="1426"/>
      <c r="U75" s="1437"/>
      <c r="V75" s="1437"/>
      <c r="W75" s="1437"/>
      <c r="X75" s="1437"/>
      <c r="Y75" s="1437"/>
      <c r="Z75" s="1437"/>
      <c r="AA75" s="1437"/>
      <c r="AB75" s="1437"/>
      <c r="AC75" s="1437"/>
      <c r="AD75" s="1437"/>
      <c r="AE75" s="1437"/>
      <c r="AF75" s="1437"/>
      <c r="AG75" s="1437"/>
      <c r="AH75" s="1437"/>
      <c r="AI75" s="1439"/>
      <c r="AJ75" s="1439"/>
      <c r="AK75" s="1439"/>
      <c r="AL75" s="1439"/>
      <c r="AM75" s="1440"/>
      <c r="AN75" s="1440"/>
      <c r="AO75" s="1440"/>
      <c r="AP75" s="1440"/>
      <c r="AQ75" s="1440"/>
      <c r="AR75" s="1440"/>
      <c r="AS75" s="1440"/>
      <c r="AT75" s="1440"/>
      <c r="AU75" s="1440"/>
      <c r="AV75" s="1440"/>
      <c r="AW75" s="1440"/>
      <c r="AX75" s="1440"/>
      <c r="AY75" s="1440"/>
      <c r="AZ75" s="1440"/>
      <c r="BA75" s="1440"/>
      <c r="BB75" s="1440"/>
      <c r="BC75" s="1440"/>
      <c r="BD75" s="1440"/>
      <c r="BE75" s="1440"/>
      <c r="BF75" s="1440"/>
      <c r="BG75" s="1439"/>
      <c r="BH75" s="1439"/>
      <c r="BI75" s="1440"/>
      <c r="BJ75" s="1440"/>
      <c r="BK75" s="1440"/>
      <c r="BL75" s="1440"/>
      <c r="BM75" s="1440"/>
      <c r="BN75" s="1440"/>
      <c r="BO75" s="1440"/>
      <c r="BP75" s="1440"/>
      <c r="BQ75" s="1440"/>
      <c r="BR75" s="1440"/>
      <c r="BS75" s="1440"/>
      <c r="BT75" s="1440"/>
      <c r="BU75" s="1440"/>
      <c r="BV75" s="1440"/>
      <c r="BW75" s="1440"/>
      <c r="BX75" s="1440"/>
      <c r="BY75" s="1440"/>
      <c r="BZ75" s="1440"/>
      <c r="CA75" s="1440"/>
      <c r="CB75" s="1440"/>
      <c r="CC75" s="1440"/>
      <c r="CD75" s="1440"/>
      <c r="CE75" s="1440"/>
      <c r="CF75" s="1440"/>
      <c r="CG75" s="1439"/>
      <c r="CH75" s="1439"/>
      <c r="CI75" s="1440"/>
      <c r="CJ75" s="1440"/>
      <c r="CK75" s="1440"/>
      <c r="CL75" s="1440"/>
      <c r="CM75" s="1440"/>
      <c r="CN75" s="1440"/>
      <c r="CO75" s="1440"/>
      <c r="CP75" s="1440"/>
      <c r="CQ75" s="1440"/>
      <c r="CR75" s="1440"/>
      <c r="CS75" s="1440"/>
      <c r="CT75" s="1440"/>
      <c r="CU75" s="1440"/>
      <c r="CV75" s="1440"/>
      <c r="CW75" s="1440"/>
      <c r="CX75" s="1440"/>
      <c r="CY75" s="1440"/>
      <c r="CZ75" s="1440"/>
      <c r="DA75" s="1440"/>
      <c r="DB75" s="1440"/>
      <c r="DC75" s="1440"/>
      <c r="DD75" s="1440"/>
      <c r="DE75" s="1440"/>
      <c r="DF75" s="1440"/>
      <c r="DG75" s="1439"/>
      <c r="DH75" s="1439"/>
      <c r="DI75" s="1440"/>
      <c r="DJ75" s="1440"/>
      <c r="DK75" s="1440"/>
      <c r="DL75" s="1440"/>
      <c r="DM75" s="1440"/>
      <c r="DN75" s="1440"/>
      <c r="DO75" s="1440"/>
      <c r="DP75" s="1440"/>
      <c r="DQ75" s="1440"/>
      <c r="DR75" s="1440"/>
      <c r="DS75" s="1440"/>
      <c r="DT75" s="1440"/>
      <c r="DU75" s="1440"/>
      <c r="DV75" s="1440"/>
      <c r="DW75" s="1440"/>
      <c r="DX75" s="1440"/>
      <c r="DY75" s="1440"/>
      <c r="DZ75" s="1440"/>
      <c r="EA75" s="1440"/>
      <c r="EB75" s="1440"/>
      <c r="EC75" s="1440"/>
      <c r="ED75" s="1440"/>
      <c r="EE75" s="1440"/>
      <c r="EF75" s="1440"/>
      <c r="EG75" s="1439"/>
      <c r="EH75" s="1439"/>
      <c r="EI75" s="1440"/>
      <c r="EJ75" s="1440"/>
      <c r="EK75" s="1440"/>
      <c r="EL75" s="1440"/>
      <c r="EM75" s="1440"/>
      <c r="EN75" s="1440"/>
      <c r="EO75" s="1440"/>
      <c r="EP75" s="1440"/>
      <c r="EQ75" s="1440"/>
      <c r="ER75" s="1440"/>
      <c r="ES75" s="1440"/>
      <c r="ET75" s="1440"/>
      <c r="EU75" s="1440"/>
      <c r="EV75" s="1440"/>
      <c r="EW75" s="1440"/>
      <c r="EX75" s="1440"/>
      <c r="EY75" s="1440"/>
      <c r="EZ75" s="1440"/>
      <c r="FA75" s="1440"/>
      <c r="FB75" s="1440"/>
      <c r="FC75" s="1440"/>
      <c r="FD75" s="1440"/>
      <c r="FE75" s="1440"/>
      <c r="FF75" s="1440"/>
    </row>
    <row r="76" spans="1:162" s="1367" customFormat="1" ht="44.25" customHeight="1" collapsed="1">
      <c r="A76" s="1821" t="s">
        <v>387</v>
      </c>
      <c r="B76" s="1821"/>
      <c r="C76" s="1826"/>
      <c r="D76" s="1826"/>
      <c r="E76" s="1826"/>
      <c r="F76" s="1826"/>
      <c r="G76" s="1826"/>
      <c r="H76" s="1826"/>
      <c r="I76" s="1826"/>
      <c r="J76" s="1826"/>
      <c r="K76" s="1826"/>
      <c r="L76" s="1826"/>
      <c r="M76" s="1826"/>
      <c r="N76" s="1826"/>
      <c r="O76" s="1826"/>
      <c r="P76" s="1826"/>
      <c r="Q76" s="1826"/>
      <c r="R76" s="1826"/>
      <c r="S76" s="1826"/>
      <c r="T76" s="1826"/>
      <c r="U76" s="1826"/>
      <c r="V76" s="1826"/>
      <c r="W76" s="1826"/>
      <c r="X76" s="1826"/>
      <c r="Y76" s="1826"/>
      <c r="Z76" s="1826"/>
      <c r="AA76" s="1826"/>
      <c r="AB76" s="1826"/>
      <c r="AC76" s="1826"/>
      <c r="AD76" s="1826"/>
      <c r="AE76" s="1826"/>
      <c r="AF76" s="1826"/>
      <c r="AG76" s="1826"/>
      <c r="AH76" s="1826"/>
      <c r="AI76" s="1460"/>
      <c r="AJ76" s="1460"/>
      <c r="AK76" s="1460"/>
      <c r="AL76" s="1460"/>
      <c r="AM76" s="1421"/>
      <c r="AN76" s="1421"/>
      <c r="AO76" s="1421"/>
      <c r="AP76" s="1421"/>
      <c r="AQ76" s="1421"/>
      <c r="AR76" s="1421"/>
      <c r="AS76" s="1421"/>
      <c r="AT76" s="1421"/>
      <c r="AU76" s="1421"/>
      <c r="AV76" s="1421"/>
      <c r="AW76" s="1421"/>
      <c r="AX76" s="1421"/>
      <c r="AY76" s="1421"/>
      <c r="AZ76" s="1421"/>
      <c r="BA76" s="1421"/>
      <c r="BB76" s="1421"/>
      <c r="BC76" s="1421"/>
      <c r="BD76" s="1421"/>
      <c r="BE76" s="1421"/>
      <c r="BF76" s="1421"/>
      <c r="BG76" s="1460"/>
      <c r="BH76" s="1460"/>
      <c r="BI76" s="1421"/>
      <c r="BJ76" s="1421"/>
      <c r="BK76" s="1421"/>
      <c r="BL76" s="1421"/>
      <c r="BM76" s="1421"/>
      <c r="BN76" s="1421"/>
      <c r="BO76" s="1421"/>
      <c r="BP76" s="1421"/>
      <c r="BQ76" s="1421"/>
      <c r="BR76" s="1421"/>
      <c r="BS76" s="1421"/>
      <c r="BT76" s="1421"/>
      <c r="BU76" s="1421"/>
      <c r="BV76" s="1421"/>
      <c r="BW76" s="1421"/>
      <c r="BX76" s="1421"/>
      <c r="BY76" s="1421"/>
      <c r="BZ76" s="1421"/>
      <c r="CA76" s="1421"/>
      <c r="CB76" s="1421"/>
      <c r="CC76" s="1421"/>
      <c r="CD76" s="1421"/>
      <c r="CE76" s="1421"/>
      <c r="CF76" s="1421"/>
      <c r="CG76" s="1460"/>
      <c r="CH76" s="1460"/>
      <c r="CI76" s="1421"/>
      <c r="CJ76" s="1421"/>
      <c r="CK76" s="1421"/>
      <c r="CL76" s="1421"/>
      <c r="CM76" s="1421"/>
      <c r="CN76" s="1421"/>
      <c r="CO76" s="1421"/>
      <c r="CP76" s="1421"/>
      <c r="CQ76" s="1421"/>
      <c r="CR76" s="1421"/>
      <c r="CS76" s="1421"/>
      <c r="CT76" s="1421"/>
      <c r="CU76" s="1421"/>
      <c r="CV76" s="1421"/>
      <c r="CW76" s="1421"/>
      <c r="CX76" s="1421"/>
      <c r="CY76" s="1421"/>
      <c r="CZ76" s="1421"/>
      <c r="DA76" s="1421"/>
      <c r="DB76" s="1421"/>
      <c r="DC76" s="1421"/>
      <c r="DD76" s="1421"/>
      <c r="DE76" s="1421"/>
      <c r="DF76" s="1421"/>
      <c r="DG76" s="1460"/>
      <c r="DH76" s="1460"/>
      <c r="DI76" s="1421"/>
      <c r="DJ76" s="1421"/>
      <c r="DK76" s="1421"/>
      <c r="DL76" s="1421"/>
      <c r="DM76" s="1421"/>
      <c r="DN76" s="1421"/>
      <c r="DO76" s="1421"/>
      <c r="DP76" s="1421"/>
      <c r="DQ76" s="1421"/>
      <c r="DR76" s="1421"/>
      <c r="DS76" s="1421"/>
      <c r="DT76" s="1421"/>
      <c r="DU76" s="1421"/>
      <c r="DV76" s="1421"/>
      <c r="DW76" s="1421"/>
      <c r="DX76" s="1421"/>
      <c r="DY76" s="1421"/>
      <c r="DZ76" s="1421"/>
      <c r="EA76" s="1421"/>
      <c r="EB76" s="1421"/>
      <c r="EC76" s="1421"/>
      <c r="ED76" s="1421"/>
      <c r="EE76" s="1421"/>
      <c r="EF76" s="1421"/>
      <c r="EG76" s="1460"/>
      <c r="EH76" s="1460"/>
      <c r="EI76" s="1421"/>
      <c r="EJ76" s="1421"/>
      <c r="EK76" s="1421"/>
      <c r="EL76" s="1421"/>
      <c r="EM76" s="1421"/>
      <c r="EN76" s="1421"/>
      <c r="EO76" s="1421"/>
      <c r="EP76" s="1421"/>
      <c r="EQ76" s="1421"/>
      <c r="ER76" s="1421"/>
      <c r="ES76" s="1421"/>
      <c r="ET76" s="1421"/>
      <c r="EU76" s="1421"/>
      <c r="EV76" s="1421"/>
      <c r="EW76" s="1421"/>
      <c r="EX76" s="1421"/>
      <c r="EY76" s="1421"/>
      <c r="EZ76" s="1421"/>
      <c r="FA76" s="1421"/>
      <c r="FB76" s="1421"/>
      <c r="FC76" s="1421"/>
      <c r="FD76" s="1421"/>
      <c r="FE76" s="1421"/>
      <c r="FF76" s="1421"/>
    </row>
    <row r="77" spans="1:162" s="1369" customFormat="1">
      <c r="A77" s="1421"/>
      <c r="B77" s="1443"/>
      <c r="C77" s="1421"/>
      <c r="D77" s="1367"/>
      <c r="E77" s="1367"/>
      <c r="F77" s="1367"/>
      <c r="G77" s="1367"/>
      <c r="H77" s="1444"/>
      <c r="I77" s="1367"/>
      <c r="J77" s="1444"/>
      <c r="K77" s="1367"/>
      <c r="AG77" s="1367"/>
      <c r="AH77" s="1444"/>
      <c r="BG77" s="1367"/>
      <c r="BH77" s="1444"/>
      <c r="CG77" s="1367"/>
      <c r="CH77" s="1444"/>
      <c r="DG77" s="1367"/>
      <c r="DH77" s="1444"/>
      <c r="EG77" s="1367"/>
      <c r="EH77" s="1444"/>
    </row>
    <row r="78" spans="1:162" s="1369" customFormat="1" ht="16.5">
      <c r="A78" s="1421"/>
      <c r="B78" s="1445"/>
      <c r="C78" s="1421"/>
      <c r="D78" s="1367"/>
      <c r="E78" s="1446"/>
      <c r="F78" s="1446"/>
      <c r="G78" s="1367"/>
      <c r="H78" s="1447"/>
      <c r="I78" s="1367"/>
      <c r="J78" s="1447"/>
      <c r="K78" s="1367"/>
      <c r="AG78" s="1367"/>
      <c r="AH78" s="1447"/>
      <c r="BG78" s="1367"/>
      <c r="BH78" s="1447"/>
      <c r="CG78" s="1367"/>
      <c r="CH78" s="1447"/>
      <c r="DG78" s="1367"/>
      <c r="DH78" s="1447"/>
      <c r="EG78" s="1367"/>
      <c r="EH78" s="1447"/>
    </row>
    <row r="79" spans="1:162" s="1369" customFormat="1" ht="14.25">
      <c r="A79" s="1421"/>
      <c r="B79" s="1445"/>
      <c r="C79" s="1421"/>
      <c r="D79" s="1367"/>
      <c r="E79" s="1446"/>
      <c r="F79" s="1446"/>
      <c r="G79" s="1367"/>
      <c r="H79" s="1367"/>
      <c r="I79" s="1367"/>
      <c r="J79" s="1367"/>
      <c r="K79" s="1367"/>
      <c r="AG79" s="1367"/>
      <c r="AH79" s="1367"/>
      <c r="BG79" s="1367"/>
      <c r="BH79" s="1367"/>
      <c r="CG79" s="1367"/>
      <c r="CH79" s="1367"/>
      <c r="DG79" s="1367"/>
      <c r="DH79" s="1367"/>
      <c r="EG79" s="1367"/>
      <c r="EH79" s="1367"/>
    </row>
    <row r="80" spans="1:162" s="1369" customFormat="1" ht="14.25">
      <c r="A80" s="1421"/>
      <c r="B80" s="1448"/>
      <c r="C80" s="1421"/>
      <c r="D80" s="1367"/>
      <c r="E80" s="1446"/>
      <c r="F80" s="1446"/>
      <c r="G80" s="1444"/>
      <c r="H80" s="1367"/>
      <c r="I80" s="1444"/>
      <c r="J80" s="1367"/>
      <c r="K80" s="1367"/>
      <c r="AG80" s="1444"/>
      <c r="AH80" s="1367"/>
      <c r="BG80" s="1444"/>
      <c r="BH80" s="1367"/>
      <c r="CG80" s="1444"/>
      <c r="CH80" s="1367"/>
      <c r="DG80" s="1444"/>
      <c r="DH80" s="1367"/>
      <c r="EG80" s="1444"/>
      <c r="EH80" s="1367"/>
    </row>
    <row r="81" spans="2:138" s="1369" customFormat="1" ht="14.25">
      <c r="B81" s="1445"/>
      <c r="C81" s="1367"/>
      <c r="D81" s="1367"/>
      <c r="E81" s="1446"/>
      <c r="F81" s="1446"/>
      <c r="G81" s="1367"/>
      <c r="H81" s="1449"/>
      <c r="I81" s="1367"/>
      <c r="J81" s="1449"/>
      <c r="K81" s="1367"/>
      <c r="AG81" s="1367"/>
      <c r="AH81" s="1449"/>
      <c r="BG81" s="1367"/>
      <c r="BH81" s="1449"/>
      <c r="CG81" s="1367"/>
      <c r="CH81" s="1449"/>
      <c r="DG81" s="1367"/>
      <c r="DH81" s="1449"/>
      <c r="EG81" s="1367"/>
      <c r="EH81" s="1449"/>
    </row>
    <row r="82" spans="2:138" s="1369" customFormat="1">
      <c r="B82" s="1450"/>
      <c r="C82" s="1367"/>
      <c r="D82" s="1451"/>
      <c r="E82" s="1452"/>
      <c r="F82" s="1452"/>
      <c r="G82" s="1367"/>
      <c r="H82" s="1367"/>
      <c r="I82" s="1367"/>
      <c r="J82" s="1367"/>
      <c r="K82" s="1367"/>
      <c r="AG82" s="1367"/>
      <c r="AH82" s="1367"/>
      <c r="BG82" s="1367"/>
      <c r="BH82" s="1367"/>
      <c r="CG82" s="1367"/>
      <c r="CH82" s="1367"/>
      <c r="DG82" s="1367"/>
      <c r="DH82" s="1367"/>
      <c r="EG82" s="1367"/>
      <c r="EH82" s="1367"/>
    </row>
    <row r="83" spans="2:138" s="1369" customFormat="1">
      <c r="B83" s="1453"/>
      <c r="C83" s="1367"/>
      <c r="D83" s="1451"/>
      <c r="E83" s="1452"/>
      <c r="F83" s="1452"/>
      <c r="G83" s="1367"/>
      <c r="H83" s="1367"/>
      <c r="I83" s="1367"/>
      <c r="J83" s="1367"/>
      <c r="K83" s="1367"/>
      <c r="AG83" s="1367"/>
      <c r="AH83" s="1367"/>
      <c r="BG83" s="1367"/>
      <c r="BH83" s="1367"/>
      <c r="CG83" s="1367"/>
      <c r="CH83" s="1367"/>
      <c r="DG83" s="1367"/>
      <c r="DH83" s="1367"/>
      <c r="EG83" s="1367"/>
      <c r="EH83" s="1367"/>
    </row>
    <row r="84" spans="2:138" s="1369" customFormat="1" ht="12.75">
      <c r="B84" s="1454"/>
      <c r="C84" s="1367"/>
      <c r="D84" s="1367"/>
      <c r="E84" s="1367"/>
      <c r="F84" s="1367"/>
      <c r="G84" s="1367"/>
      <c r="H84" s="1367"/>
      <c r="I84" s="1367"/>
      <c r="J84" s="1367"/>
      <c r="K84" s="1367"/>
      <c r="AG84" s="1367"/>
      <c r="AH84" s="1367"/>
      <c r="BG84" s="1367"/>
      <c r="BH84" s="1367"/>
      <c r="CG84" s="1367"/>
      <c r="CH84" s="1367"/>
      <c r="DG84" s="1367"/>
      <c r="DH84" s="1367"/>
      <c r="EG84" s="1367"/>
      <c r="EH84" s="1367"/>
    </row>
    <row r="85" spans="2:138" s="1369" customFormat="1" ht="12.75">
      <c r="B85" s="1454"/>
      <c r="C85" s="1367"/>
      <c r="D85" s="1444"/>
      <c r="E85" s="1367"/>
      <c r="F85" s="1367"/>
      <c r="G85" s="1367"/>
      <c r="H85" s="1367"/>
      <c r="I85" s="1367"/>
      <c r="J85" s="1367"/>
      <c r="K85" s="1367"/>
      <c r="AG85" s="1367"/>
      <c r="AH85" s="1367"/>
      <c r="BG85" s="1367"/>
      <c r="BH85" s="1367"/>
      <c r="CG85" s="1367"/>
      <c r="CH85" s="1367"/>
      <c r="DG85" s="1367"/>
      <c r="DH85" s="1367"/>
      <c r="EG85" s="1367"/>
      <c r="EH85" s="1367"/>
    </row>
    <row r="86" spans="2:138" s="1369" customFormat="1" ht="12.75">
      <c r="B86" s="1454"/>
      <c r="C86" s="1367"/>
      <c r="D86" s="1367"/>
      <c r="E86" s="1367"/>
      <c r="F86" s="1367"/>
      <c r="G86" s="1367"/>
      <c r="H86" s="1367"/>
      <c r="I86" s="1367"/>
      <c r="J86" s="1367"/>
      <c r="K86" s="1367"/>
      <c r="AG86" s="1367"/>
      <c r="AH86" s="1367"/>
      <c r="BG86" s="1367"/>
      <c r="BH86" s="1367"/>
      <c r="CG86" s="1367"/>
      <c r="CH86" s="1367"/>
      <c r="DG86" s="1367"/>
      <c r="DH86" s="1367"/>
      <c r="EG86" s="1367"/>
      <c r="EH86" s="1367"/>
    </row>
    <row r="87" spans="2:138" s="1369" customFormat="1" ht="12.75">
      <c r="B87" s="1454"/>
      <c r="C87" s="1367"/>
      <c r="D87" s="1367"/>
      <c r="E87" s="1446"/>
      <c r="F87" s="1446"/>
      <c r="G87" s="1367"/>
      <c r="H87" s="1446"/>
      <c r="I87" s="1367"/>
      <c r="J87" s="1446"/>
      <c r="K87" s="1367"/>
      <c r="AG87" s="1367"/>
      <c r="AH87" s="1446"/>
      <c r="BG87" s="1367"/>
      <c r="BH87" s="1446"/>
      <c r="CG87" s="1367"/>
      <c r="CH87" s="1446"/>
      <c r="DG87" s="1367"/>
      <c r="DH87" s="1446"/>
      <c r="EG87" s="1367"/>
      <c r="EH87" s="1446"/>
    </row>
    <row r="88" spans="2:138" s="1369" customFormat="1">
      <c r="B88" s="1367"/>
      <c r="C88" s="1367"/>
      <c r="D88" s="1367"/>
      <c r="E88" s="1446"/>
      <c r="F88" s="1446"/>
      <c r="G88" s="1367"/>
      <c r="H88" s="1446"/>
      <c r="I88" s="1367"/>
      <c r="J88" s="1446"/>
      <c r="K88" s="1367"/>
      <c r="AG88" s="1367"/>
      <c r="AH88" s="1446"/>
      <c r="BG88" s="1367"/>
      <c r="BH88" s="1446"/>
      <c r="CG88" s="1367"/>
      <c r="CH88" s="1446"/>
      <c r="DG88" s="1367"/>
      <c r="DH88" s="1446"/>
      <c r="EG88" s="1367"/>
      <c r="EH88" s="1446"/>
    </row>
    <row r="89" spans="2:138" s="1369" customFormat="1" ht="24.75">
      <c r="B89" s="1455"/>
      <c r="C89" s="1367"/>
      <c r="D89" s="1367"/>
      <c r="E89" s="1367"/>
      <c r="F89" s="1367"/>
      <c r="G89" s="1367"/>
      <c r="H89" s="1446"/>
      <c r="I89" s="1367"/>
      <c r="J89" s="1446"/>
      <c r="K89" s="1446"/>
      <c r="AG89" s="1367"/>
      <c r="AH89" s="1446"/>
      <c r="BG89" s="1367"/>
      <c r="BH89" s="1446"/>
      <c r="CG89" s="1367"/>
      <c r="CH89" s="1446"/>
      <c r="DG89" s="1367"/>
      <c r="DH89" s="1446"/>
      <c r="EG89" s="1367"/>
      <c r="EH89" s="1446"/>
    </row>
    <row r="90" spans="2:138" s="1369" customFormat="1" ht="20.25">
      <c r="B90" s="1456"/>
      <c r="C90" s="1367"/>
      <c r="D90" s="1444"/>
      <c r="E90" s="1367"/>
      <c r="F90" s="1367"/>
      <c r="G90" s="1367"/>
      <c r="H90" s="1367"/>
      <c r="I90" s="1367"/>
      <c r="J90" s="1367"/>
      <c r="K90" s="1367"/>
      <c r="AG90" s="1367"/>
      <c r="AH90" s="1367"/>
      <c r="BG90" s="1367"/>
      <c r="BH90" s="1367"/>
      <c r="CG90" s="1367"/>
      <c r="CH90" s="1367"/>
      <c r="DG90" s="1367"/>
      <c r="DH90" s="1367"/>
      <c r="EG90" s="1367"/>
      <c r="EH90" s="1367"/>
    </row>
    <row r="91" spans="2:138" s="1369" customFormat="1" ht="20.25">
      <c r="B91" s="1456"/>
      <c r="C91" s="1367"/>
      <c r="D91" s="1367"/>
      <c r="E91" s="1367"/>
      <c r="F91" s="1367"/>
      <c r="G91" s="1367"/>
      <c r="H91" s="1367"/>
      <c r="I91" s="1367"/>
      <c r="J91" s="1367"/>
      <c r="K91" s="1367"/>
      <c r="AG91" s="1367"/>
      <c r="AH91" s="1367"/>
      <c r="BG91" s="1367"/>
      <c r="BH91" s="1367"/>
      <c r="CG91" s="1367"/>
      <c r="CH91" s="1367"/>
      <c r="DG91" s="1367"/>
      <c r="DH91" s="1367"/>
      <c r="EG91" s="1367"/>
      <c r="EH91" s="1367"/>
    </row>
    <row r="92" spans="2:138" s="1369" customFormat="1">
      <c r="C92" s="1367"/>
      <c r="D92" s="1367"/>
      <c r="E92" s="1367"/>
      <c r="F92" s="1367"/>
      <c r="G92" s="1367"/>
      <c r="H92" s="1367"/>
      <c r="I92" s="1367"/>
      <c r="J92" s="1367"/>
      <c r="K92" s="1367"/>
      <c r="AG92" s="1367"/>
      <c r="AH92" s="1367"/>
      <c r="BG92" s="1367"/>
      <c r="BH92" s="1367"/>
      <c r="CG92" s="1367"/>
      <c r="CH92" s="1367"/>
      <c r="DG92" s="1367"/>
      <c r="DH92" s="1367"/>
      <c r="EG92" s="1367"/>
      <c r="EH92" s="1367"/>
    </row>
    <row r="93" spans="2:138" s="1369" customFormat="1" ht="24.75">
      <c r="B93" s="1455"/>
      <c r="C93" s="1367"/>
      <c r="D93" s="1367"/>
      <c r="E93" s="1367"/>
      <c r="F93" s="1367"/>
      <c r="G93" s="1367"/>
      <c r="H93" s="1367"/>
      <c r="I93" s="1367"/>
      <c r="J93" s="1367"/>
      <c r="K93" s="1367"/>
      <c r="AG93" s="1367"/>
      <c r="AH93" s="1367"/>
      <c r="BG93" s="1367"/>
      <c r="BH93" s="1367"/>
      <c r="CG93" s="1367"/>
      <c r="CH93" s="1367"/>
      <c r="DG93" s="1367"/>
      <c r="DH93" s="1367"/>
      <c r="EG93" s="1367"/>
      <c r="EH93" s="1367"/>
    </row>
    <row r="94" spans="2:138" s="1369" customFormat="1" ht="20.25">
      <c r="B94" s="1457"/>
      <c r="C94" s="1367"/>
      <c r="D94" s="1367"/>
      <c r="E94" s="1367"/>
      <c r="F94" s="1367"/>
      <c r="G94" s="1367"/>
      <c r="H94" s="1367"/>
      <c r="I94" s="1367"/>
      <c r="J94" s="1367"/>
      <c r="K94" s="1367"/>
      <c r="AG94" s="1367"/>
      <c r="AH94" s="1367"/>
      <c r="BG94" s="1367"/>
      <c r="BH94" s="1367"/>
      <c r="CG94" s="1367"/>
      <c r="CH94" s="1367"/>
      <c r="DG94" s="1367"/>
      <c r="DH94" s="1367"/>
      <c r="EG94" s="1367"/>
      <c r="EH94" s="1367"/>
    </row>
    <row r="95" spans="2:138" s="1369" customFormat="1" ht="20.25">
      <c r="B95" s="1457"/>
      <c r="C95" s="1367"/>
      <c r="D95" s="1367"/>
      <c r="E95" s="1367"/>
      <c r="F95" s="1367"/>
      <c r="G95" s="1367"/>
      <c r="H95" s="1367"/>
      <c r="I95" s="1367"/>
      <c r="J95" s="1367"/>
      <c r="K95" s="1367"/>
      <c r="AG95" s="1367"/>
      <c r="AH95" s="1367"/>
      <c r="BG95" s="1367"/>
      <c r="BH95" s="1367"/>
      <c r="CG95" s="1367"/>
      <c r="CH95" s="1367"/>
      <c r="DG95" s="1367"/>
      <c r="DH95" s="1367"/>
      <c r="EG95" s="1367"/>
      <c r="EH95" s="1367"/>
    </row>
    <row r="96" spans="2:138" s="1369" customFormat="1" ht="20.25">
      <c r="B96" s="1457"/>
      <c r="C96" s="1367"/>
      <c r="D96" s="1367"/>
      <c r="E96" s="1367"/>
      <c r="F96" s="1367"/>
      <c r="G96" s="1367"/>
      <c r="H96" s="1367"/>
      <c r="I96" s="1367"/>
      <c r="J96" s="1367"/>
      <c r="K96" s="1367"/>
      <c r="AG96" s="1367"/>
      <c r="AH96" s="1367"/>
      <c r="BG96" s="1367"/>
      <c r="BH96" s="1367"/>
      <c r="CG96" s="1367"/>
      <c r="CH96" s="1367"/>
      <c r="DG96" s="1367"/>
      <c r="DH96" s="1367"/>
      <c r="EG96" s="1367"/>
      <c r="EH96" s="1367"/>
    </row>
    <row r="97" spans="2:138" s="1369" customFormat="1" ht="20.25">
      <c r="B97" s="1457"/>
      <c r="C97" s="1367"/>
      <c r="D97" s="1367"/>
      <c r="E97" s="1367"/>
      <c r="F97" s="1367"/>
      <c r="G97" s="1367"/>
      <c r="H97" s="1367"/>
      <c r="I97" s="1367"/>
      <c r="J97" s="1367"/>
      <c r="K97" s="1367"/>
      <c r="AG97" s="1367"/>
      <c r="AH97" s="1367"/>
      <c r="BG97" s="1367"/>
      <c r="BH97" s="1367"/>
      <c r="CG97" s="1367"/>
      <c r="CH97" s="1367"/>
      <c r="DG97" s="1367"/>
      <c r="DH97" s="1367"/>
      <c r="EG97" s="1367"/>
      <c r="EH97" s="1367"/>
    </row>
    <row r="98" spans="2:138" s="1369" customFormat="1" ht="20.25">
      <c r="B98" s="1457"/>
      <c r="C98" s="1367"/>
      <c r="D98" s="1367"/>
      <c r="E98" s="1367"/>
      <c r="F98" s="1367"/>
      <c r="G98" s="1367"/>
      <c r="H98" s="1367"/>
      <c r="I98" s="1367"/>
      <c r="J98" s="1367"/>
      <c r="K98" s="1367"/>
      <c r="AG98" s="1367"/>
      <c r="AH98" s="1367"/>
      <c r="BG98" s="1367"/>
      <c r="BH98" s="1367"/>
      <c r="CG98" s="1367"/>
      <c r="CH98" s="1367"/>
      <c r="DG98" s="1367"/>
      <c r="DH98" s="1367"/>
      <c r="EG98" s="1367"/>
      <c r="EH98" s="1367"/>
    </row>
    <row r="99" spans="2:138" s="1369" customFormat="1" ht="20.25">
      <c r="B99" s="1457"/>
      <c r="C99" s="1367"/>
      <c r="D99" s="1367"/>
      <c r="E99" s="1367"/>
      <c r="F99" s="1367"/>
      <c r="G99" s="1367"/>
      <c r="H99" s="1367"/>
      <c r="I99" s="1367"/>
      <c r="J99" s="1367"/>
      <c r="K99" s="1367"/>
      <c r="AG99" s="1367"/>
      <c r="AH99" s="1367"/>
      <c r="BG99" s="1367"/>
      <c r="BH99" s="1367"/>
      <c r="CG99" s="1367"/>
      <c r="CH99" s="1367"/>
      <c r="DG99" s="1367"/>
      <c r="DH99" s="1367"/>
      <c r="EG99" s="1367"/>
      <c r="EH99" s="1367"/>
    </row>
    <row r="100" spans="2:138" s="1369" customFormat="1" ht="20.25">
      <c r="B100" s="1457"/>
      <c r="C100" s="1367"/>
      <c r="D100" s="1367"/>
      <c r="E100" s="1367"/>
      <c r="F100" s="1367"/>
      <c r="G100" s="1367"/>
      <c r="H100" s="1367"/>
      <c r="I100" s="1367"/>
      <c r="J100" s="1367"/>
      <c r="K100" s="1367"/>
      <c r="AG100" s="1367"/>
      <c r="AH100" s="1367"/>
      <c r="BG100" s="1367"/>
      <c r="BH100" s="1367"/>
      <c r="CG100" s="1367"/>
      <c r="CH100" s="1367"/>
      <c r="DG100" s="1367"/>
      <c r="DH100" s="1367"/>
      <c r="EG100" s="1367"/>
      <c r="EH100" s="1367"/>
    </row>
    <row r="101" spans="2:138" s="1369" customFormat="1">
      <c r="B101" s="1367"/>
      <c r="C101" s="1367"/>
      <c r="D101" s="1367"/>
      <c r="E101" s="1367"/>
      <c r="F101" s="1367"/>
      <c r="G101" s="1367"/>
      <c r="H101" s="1367"/>
      <c r="I101" s="1367"/>
      <c r="J101" s="1367"/>
      <c r="K101" s="1367"/>
      <c r="AG101" s="1367"/>
      <c r="AH101" s="1367"/>
      <c r="BG101" s="1367"/>
      <c r="BH101" s="1367"/>
      <c r="CG101" s="1367"/>
      <c r="CH101" s="1367"/>
      <c r="DG101" s="1367"/>
      <c r="DH101" s="1367"/>
      <c r="EG101" s="1367"/>
      <c r="EH101" s="1367"/>
    </row>
    <row r="102" spans="2:138" s="1369" customFormat="1">
      <c r="B102" s="1367"/>
      <c r="C102" s="1367"/>
      <c r="D102" s="1367"/>
      <c r="E102" s="1367"/>
      <c r="F102" s="1367"/>
      <c r="G102" s="1367"/>
      <c r="H102" s="1367"/>
      <c r="I102" s="1367"/>
      <c r="J102" s="1367"/>
      <c r="K102" s="1367"/>
      <c r="AG102" s="1367"/>
      <c r="AH102" s="1367"/>
      <c r="BG102" s="1367"/>
      <c r="BH102" s="1367"/>
      <c r="CG102" s="1367"/>
      <c r="CH102" s="1367"/>
      <c r="DG102" s="1367"/>
      <c r="DH102" s="1367"/>
      <c r="EG102" s="1367"/>
      <c r="EH102" s="1367"/>
    </row>
    <row r="103" spans="2:138" s="1369" customFormat="1">
      <c r="B103" s="1367"/>
      <c r="C103" s="1367"/>
      <c r="D103" s="1367"/>
      <c r="E103" s="1367"/>
      <c r="F103" s="1367"/>
      <c r="G103" s="1367"/>
      <c r="H103" s="1367"/>
      <c r="I103" s="1367"/>
      <c r="J103" s="1367"/>
      <c r="K103" s="1367"/>
      <c r="AG103" s="1367"/>
      <c r="AH103" s="1367"/>
      <c r="BG103" s="1367"/>
      <c r="BH103" s="1367"/>
      <c r="CG103" s="1367"/>
      <c r="CH103" s="1367"/>
      <c r="DG103" s="1367"/>
      <c r="DH103" s="1367"/>
      <c r="EG103" s="1367"/>
      <c r="EH103" s="1367"/>
    </row>
    <row r="104" spans="2:138" s="1369" customFormat="1">
      <c r="B104" s="1367"/>
      <c r="C104" s="1367"/>
      <c r="D104" s="1367"/>
      <c r="E104" s="1367"/>
      <c r="F104" s="1367"/>
      <c r="G104" s="1367"/>
      <c r="H104" s="1367"/>
      <c r="I104" s="1367"/>
      <c r="J104" s="1367"/>
      <c r="K104" s="1367"/>
      <c r="AG104" s="1367"/>
      <c r="AH104" s="1367"/>
      <c r="BG104" s="1367"/>
      <c r="BH104" s="1367"/>
      <c r="CG104" s="1367"/>
      <c r="CH104" s="1367"/>
      <c r="DG104" s="1367"/>
      <c r="DH104" s="1367"/>
      <c r="EG104" s="1367"/>
      <c r="EH104" s="1367"/>
    </row>
    <row r="105" spans="2:138" s="1369" customFormat="1">
      <c r="B105" s="1367"/>
      <c r="C105" s="1367"/>
      <c r="D105" s="1367"/>
      <c r="E105" s="1367"/>
      <c r="F105" s="1367"/>
      <c r="G105" s="1367"/>
      <c r="H105" s="1367"/>
      <c r="I105" s="1367"/>
      <c r="J105" s="1367"/>
      <c r="K105" s="1367"/>
      <c r="AG105" s="1367"/>
      <c r="AH105" s="1367"/>
      <c r="BG105" s="1367"/>
      <c r="BH105" s="1367"/>
      <c r="CG105" s="1367"/>
      <c r="CH105" s="1367"/>
      <c r="DG105" s="1367"/>
      <c r="DH105" s="1367"/>
      <c r="EG105" s="1367"/>
      <c r="EH105" s="1367"/>
    </row>
    <row r="106" spans="2:138" s="1369" customFormat="1" ht="16.5">
      <c r="B106" s="1367"/>
      <c r="C106" s="1367"/>
      <c r="D106" s="1367"/>
      <c r="E106" s="1449"/>
      <c r="F106" s="1458"/>
      <c r="G106" s="1367"/>
      <c r="H106" s="1367"/>
      <c r="I106" s="1367"/>
      <c r="J106" s="1367"/>
      <c r="K106" s="1367"/>
      <c r="AG106" s="1367"/>
      <c r="AH106" s="1367"/>
      <c r="BG106" s="1367"/>
      <c r="BH106" s="1367"/>
      <c r="CG106" s="1367"/>
      <c r="CH106" s="1367"/>
      <c r="DG106" s="1367"/>
      <c r="DH106" s="1367"/>
      <c r="EG106" s="1367"/>
      <c r="EH106" s="1367"/>
    </row>
    <row r="107" spans="2:138" s="1369" customFormat="1">
      <c r="B107" s="1367"/>
      <c r="C107" s="1367"/>
      <c r="D107" s="1367"/>
      <c r="E107" s="1367"/>
      <c r="F107" s="1367"/>
      <c r="G107" s="1367"/>
      <c r="H107" s="1367"/>
      <c r="I107" s="1367"/>
      <c r="J107" s="1367"/>
      <c r="K107" s="1367"/>
      <c r="AG107" s="1367"/>
      <c r="AH107" s="1367"/>
      <c r="BG107" s="1367"/>
      <c r="BH107" s="1367"/>
      <c r="CG107" s="1367"/>
      <c r="CH107" s="1367"/>
      <c r="DG107" s="1367"/>
      <c r="DH107" s="1367"/>
      <c r="EG107" s="1367"/>
      <c r="EH107" s="1367"/>
    </row>
    <row r="108" spans="2:138" s="1369" customFormat="1">
      <c r="B108" s="1367"/>
      <c r="C108" s="1367"/>
      <c r="D108" s="1367"/>
      <c r="E108" s="1367"/>
      <c r="F108" s="1367"/>
      <c r="G108" s="1367"/>
      <c r="H108" s="1367"/>
      <c r="I108" s="1367"/>
      <c r="J108" s="1367"/>
      <c r="K108" s="1367"/>
      <c r="AG108" s="1367"/>
      <c r="AH108" s="1367"/>
      <c r="BG108" s="1367"/>
      <c r="BH108" s="1367"/>
      <c r="CG108" s="1367"/>
      <c r="CH108" s="1367"/>
      <c r="DG108" s="1367"/>
      <c r="DH108" s="1367"/>
      <c r="EG108" s="1367"/>
      <c r="EH108" s="1367"/>
    </row>
    <row r="109" spans="2:138" s="1369" customFormat="1">
      <c r="B109" s="1367"/>
      <c r="C109" s="1367"/>
      <c r="D109" s="1367"/>
      <c r="E109" s="1367"/>
      <c r="F109" s="1367"/>
      <c r="G109" s="1367"/>
      <c r="H109" s="1367"/>
      <c r="I109" s="1367"/>
      <c r="J109" s="1367"/>
      <c r="K109" s="1367"/>
      <c r="AG109" s="1367"/>
      <c r="AH109" s="1367"/>
      <c r="BG109" s="1367"/>
      <c r="BH109" s="1367"/>
      <c r="CG109" s="1367"/>
      <c r="CH109" s="1367"/>
      <c r="DG109" s="1367"/>
      <c r="DH109" s="1367"/>
      <c r="EG109" s="1367"/>
      <c r="EH109" s="1367"/>
    </row>
    <row r="110" spans="2:138" s="1369" customFormat="1">
      <c r="B110" s="1367"/>
      <c r="C110" s="1367"/>
      <c r="D110" s="1367"/>
      <c r="E110" s="1367"/>
      <c r="F110" s="1367"/>
      <c r="G110" s="1367"/>
      <c r="H110" s="1367"/>
      <c r="I110" s="1367"/>
      <c r="J110" s="1367"/>
      <c r="K110" s="1367"/>
      <c r="AG110" s="1367"/>
      <c r="AH110" s="1367"/>
      <c r="BG110" s="1367"/>
      <c r="BH110" s="1367"/>
      <c r="CG110" s="1367"/>
      <c r="CH110" s="1367"/>
      <c r="DG110" s="1367"/>
      <c r="DH110" s="1367"/>
      <c r="EG110" s="1367"/>
      <c r="EH110" s="1367"/>
    </row>
    <row r="111" spans="2:138" s="1369" customFormat="1">
      <c r="B111" s="1367"/>
      <c r="C111" s="1367"/>
      <c r="D111" s="1367"/>
      <c r="E111" s="1367"/>
      <c r="F111" s="1367"/>
      <c r="G111" s="1367"/>
      <c r="H111" s="1367"/>
      <c r="I111" s="1367"/>
      <c r="J111" s="1367"/>
      <c r="K111" s="1367"/>
      <c r="AG111" s="1367"/>
      <c r="AH111" s="1367"/>
      <c r="BG111" s="1367"/>
      <c r="BH111" s="1367"/>
      <c r="CG111" s="1367"/>
      <c r="CH111" s="1367"/>
      <c r="DG111" s="1367"/>
      <c r="DH111" s="1367"/>
      <c r="EG111" s="1367"/>
      <c r="EH111" s="1367"/>
    </row>
    <row r="112" spans="2:138" s="1369" customFormat="1">
      <c r="B112" s="1367"/>
      <c r="C112" s="1367"/>
      <c r="D112" s="1367"/>
      <c r="E112" s="1367"/>
      <c r="F112" s="1367"/>
      <c r="G112" s="1367"/>
      <c r="H112" s="1367"/>
      <c r="I112" s="1367"/>
      <c r="J112" s="1367"/>
      <c r="K112" s="1367"/>
      <c r="AG112" s="1367"/>
      <c r="AH112" s="1367"/>
      <c r="BG112" s="1367"/>
      <c r="BH112" s="1367"/>
      <c r="CG112" s="1367"/>
      <c r="CH112" s="1367"/>
      <c r="DG112" s="1367"/>
      <c r="DH112" s="1367"/>
      <c r="EG112" s="1367"/>
      <c r="EH112" s="1367"/>
    </row>
    <row r="113" spans="2:138" s="1369" customFormat="1">
      <c r="B113" s="1367"/>
      <c r="C113" s="1367"/>
      <c r="D113" s="1367"/>
      <c r="E113" s="1367"/>
      <c r="F113" s="1367"/>
      <c r="G113" s="1367"/>
      <c r="H113" s="1367"/>
      <c r="I113" s="1367"/>
      <c r="J113" s="1367"/>
      <c r="K113" s="1367"/>
      <c r="AG113" s="1367"/>
      <c r="AH113" s="1367"/>
      <c r="BG113" s="1367"/>
      <c r="BH113" s="1367"/>
      <c r="CG113" s="1367"/>
      <c r="CH113" s="1367"/>
      <c r="DG113" s="1367"/>
      <c r="DH113" s="1367"/>
      <c r="EG113" s="1367"/>
      <c r="EH113" s="1367"/>
    </row>
    <row r="114" spans="2:138" s="1369" customFormat="1">
      <c r="B114" s="1367"/>
      <c r="C114" s="1367"/>
      <c r="D114" s="1367"/>
      <c r="E114" s="1367"/>
      <c r="F114" s="1449"/>
      <c r="G114" s="1367"/>
      <c r="H114" s="1367"/>
      <c r="I114" s="1367"/>
      <c r="J114" s="1367"/>
      <c r="K114" s="1367"/>
      <c r="AG114" s="1367"/>
      <c r="AH114" s="1367"/>
      <c r="BG114" s="1367"/>
      <c r="BH114" s="1367"/>
      <c r="CG114" s="1367"/>
      <c r="CH114" s="1367"/>
      <c r="DG114" s="1367"/>
      <c r="DH114" s="1367"/>
      <c r="EG114" s="1367"/>
      <c r="EH114" s="1367"/>
    </row>
    <row r="115" spans="2:138" s="1369" customFormat="1">
      <c r="B115" s="1367"/>
      <c r="C115" s="1367"/>
      <c r="D115" s="1367"/>
      <c r="E115" s="1367"/>
      <c r="F115" s="1449"/>
      <c r="G115" s="1367"/>
      <c r="H115" s="1367"/>
      <c r="I115" s="1367"/>
      <c r="J115" s="1367"/>
      <c r="K115" s="1367"/>
      <c r="AG115" s="1367"/>
      <c r="AH115" s="1367"/>
      <c r="BG115" s="1367"/>
      <c r="BH115" s="1367"/>
      <c r="CG115" s="1367"/>
      <c r="CH115" s="1367"/>
      <c r="DG115" s="1367"/>
      <c r="DH115" s="1367"/>
      <c r="EG115" s="1367"/>
      <c r="EH115" s="1367"/>
    </row>
    <row r="116" spans="2:138" s="1369" customFormat="1">
      <c r="B116" s="1367"/>
      <c r="C116" s="1367"/>
      <c r="D116" s="1367"/>
      <c r="E116" s="1367"/>
      <c r="F116" s="1367"/>
      <c r="G116" s="1367"/>
      <c r="H116" s="1367"/>
      <c r="I116" s="1367"/>
      <c r="J116" s="1367"/>
      <c r="K116" s="1367"/>
      <c r="AG116" s="1367"/>
      <c r="AH116" s="1367"/>
      <c r="BG116" s="1367"/>
      <c r="BH116" s="1367"/>
      <c r="CG116" s="1367"/>
      <c r="CH116" s="1367"/>
      <c r="DG116" s="1367"/>
      <c r="DH116" s="1367"/>
      <c r="EG116" s="1367"/>
      <c r="EH116" s="1367"/>
    </row>
    <row r="117" spans="2:138">
      <c r="B117" s="1367"/>
      <c r="C117" s="1367"/>
      <c r="D117" s="1367"/>
      <c r="E117" s="1367"/>
      <c r="F117" s="1367"/>
      <c r="G117" s="1367"/>
      <c r="H117" s="1367"/>
      <c r="I117" s="1367"/>
      <c r="J117" s="1367"/>
      <c r="K117" s="1367"/>
      <c r="AG117" s="1367"/>
      <c r="AH117" s="1367"/>
      <c r="BG117" s="1367"/>
      <c r="BH117" s="1367"/>
      <c r="CG117" s="1367"/>
      <c r="CH117" s="1367"/>
      <c r="DG117" s="1367"/>
      <c r="DH117" s="1367"/>
      <c r="EG117" s="1367"/>
      <c r="EH117" s="1367"/>
    </row>
    <row r="118" spans="2:138">
      <c r="B118" s="1367"/>
      <c r="C118" s="1367"/>
      <c r="D118" s="1367"/>
      <c r="E118" s="1367"/>
      <c r="F118" s="1367"/>
      <c r="G118" s="1367"/>
      <c r="H118" s="1367"/>
      <c r="I118" s="1367"/>
      <c r="J118" s="1367"/>
      <c r="K118" s="1367"/>
      <c r="AG118" s="1367"/>
      <c r="AH118" s="1367"/>
      <c r="BG118" s="1367"/>
      <c r="BH118" s="1367"/>
      <c r="CG118" s="1367"/>
      <c r="CH118" s="1367"/>
      <c r="DG118" s="1367"/>
      <c r="DH118" s="1367"/>
      <c r="EG118" s="1367"/>
      <c r="EH118" s="1367"/>
    </row>
  </sheetData>
  <sheetProtection formatCells="0" formatColumns="0" formatRows="0" autoFilter="0"/>
  <mergeCells count="551">
    <mergeCell ref="A76:B76"/>
    <mergeCell ref="C76:AH76"/>
    <mergeCell ref="A5:A9"/>
    <mergeCell ref="A10:A45"/>
    <mergeCell ref="A46:A58"/>
    <mergeCell ref="C71:I71"/>
    <mergeCell ref="K71:O71"/>
    <mergeCell ref="C72:I72"/>
    <mergeCell ref="K72:O72"/>
    <mergeCell ref="C73:I73"/>
    <mergeCell ref="K73:O73"/>
    <mergeCell ref="C74:I74"/>
    <mergeCell ref="K74:O74"/>
    <mergeCell ref="C75:I75"/>
    <mergeCell ref="K75:O75"/>
    <mergeCell ref="C66:I66"/>
    <mergeCell ref="K66:O66"/>
    <mergeCell ref="C67:I67"/>
    <mergeCell ref="K67:O67"/>
    <mergeCell ref="C68:I68"/>
    <mergeCell ref="K68:O68"/>
    <mergeCell ref="C69:I69"/>
    <mergeCell ref="K69:O69"/>
    <mergeCell ref="C70:I70"/>
    <mergeCell ref="K70:O70"/>
    <mergeCell ref="C61:I61"/>
    <mergeCell ref="K61:O61"/>
    <mergeCell ref="C62:F62"/>
    <mergeCell ref="H62:AH62"/>
    <mergeCell ref="C63:I63"/>
    <mergeCell ref="K63:O63"/>
    <mergeCell ref="C64:I64"/>
    <mergeCell ref="K64:O64"/>
    <mergeCell ref="C65:I65"/>
    <mergeCell ref="K65:O65"/>
    <mergeCell ref="G44:H44"/>
    <mergeCell ref="AG44:AH44"/>
    <mergeCell ref="BG44:BH44"/>
    <mergeCell ref="CG44:CH44"/>
    <mergeCell ref="DG44:DH44"/>
    <mergeCell ref="EG44:EH44"/>
    <mergeCell ref="C45:R45"/>
    <mergeCell ref="C58:R58"/>
    <mergeCell ref="C60:F60"/>
    <mergeCell ref="H60:AH60"/>
    <mergeCell ref="G42:H42"/>
    <mergeCell ref="AG42:AH42"/>
    <mergeCell ref="BG42:BH42"/>
    <mergeCell ref="CG42:CH42"/>
    <mergeCell ref="DG42:DH42"/>
    <mergeCell ref="EG42:EH42"/>
    <mergeCell ref="G43:H43"/>
    <mergeCell ref="AG43:AH43"/>
    <mergeCell ref="BG43:BH43"/>
    <mergeCell ref="CG43:CH43"/>
    <mergeCell ref="DG43:DH43"/>
    <mergeCell ref="EG43:EH43"/>
    <mergeCell ref="EQ9:ER9"/>
    <mergeCell ref="ES9:ET9"/>
    <mergeCell ref="EU9:EV9"/>
    <mergeCell ref="EW9:EX9"/>
    <mergeCell ref="EY9:EZ9"/>
    <mergeCell ref="FA9:FB9"/>
    <mergeCell ref="FC9:FD9"/>
    <mergeCell ref="FE9:FF9"/>
    <mergeCell ref="G41:H41"/>
    <mergeCell ref="AG41:AH41"/>
    <mergeCell ref="BG41:BH41"/>
    <mergeCell ref="CG41:CH41"/>
    <mergeCell ref="DG41:DH41"/>
    <mergeCell ref="EG41:EH41"/>
    <mergeCell ref="DY9:DZ9"/>
    <mergeCell ref="EA9:EB9"/>
    <mergeCell ref="EC9:ED9"/>
    <mergeCell ref="EE9:EF9"/>
    <mergeCell ref="EG9:EH9"/>
    <mergeCell ref="EI9:EJ9"/>
    <mergeCell ref="EK9:EL9"/>
    <mergeCell ref="EM9:EN9"/>
    <mergeCell ref="EO9:EP9"/>
    <mergeCell ref="DG9:DH9"/>
    <mergeCell ref="DI9:DJ9"/>
    <mergeCell ref="DK9:DL9"/>
    <mergeCell ref="DM9:DN9"/>
    <mergeCell ref="DO9:DP9"/>
    <mergeCell ref="DQ9:DR9"/>
    <mergeCell ref="DS9:DT9"/>
    <mergeCell ref="DU9:DV9"/>
    <mergeCell ref="DW9:DX9"/>
    <mergeCell ref="CO9:CP9"/>
    <mergeCell ref="CQ9:CR9"/>
    <mergeCell ref="CS9:CT9"/>
    <mergeCell ref="CU9:CV9"/>
    <mergeCell ref="CW9:CX9"/>
    <mergeCell ref="CY9:CZ9"/>
    <mergeCell ref="DA9:DB9"/>
    <mergeCell ref="DC9:DD9"/>
    <mergeCell ref="DE9:DF9"/>
    <mergeCell ref="BW9:BX9"/>
    <mergeCell ref="BY9:BZ9"/>
    <mergeCell ref="CA9:CB9"/>
    <mergeCell ref="CC9:CD9"/>
    <mergeCell ref="CE9:CF9"/>
    <mergeCell ref="CG9:CH9"/>
    <mergeCell ref="CI9:CJ9"/>
    <mergeCell ref="CK9:CL9"/>
    <mergeCell ref="CM9:CN9"/>
    <mergeCell ref="BE9:BF9"/>
    <mergeCell ref="BG9:BH9"/>
    <mergeCell ref="BI9:BJ9"/>
    <mergeCell ref="BK9:BL9"/>
    <mergeCell ref="BM9:BN9"/>
    <mergeCell ref="BO9:BP9"/>
    <mergeCell ref="BQ9:BR9"/>
    <mergeCell ref="BS9:BT9"/>
    <mergeCell ref="BU9:BV9"/>
    <mergeCell ref="AM9:AN9"/>
    <mergeCell ref="AO9:AP9"/>
    <mergeCell ref="AQ9:AR9"/>
    <mergeCell ref="AS9:AT9"/>
    <mergeCell ref="AU9:AV9"/>
    <mergeCell ref="AW9:AX9"/>
    <mergeCell ref="AY9:AZ9"/>
    <mergeCell ref="BA9:BB9"/>
    <mergeCell ref="BC9:BD9"/>
    <mergeCell ref="U9:V9"/>
    <mergeCell ref="W9:X9"/>
    <mergeCell ref="Y9:Z9"/>
    <mergeCell ref="AA9:AB9"/>
    <mergeCell ref="AC9:AD9"/>
    <mergeCell ref="AE9:AF9"/>
    <mergeCell ref="AG9:AH9"/>
    <mergeCell ref="AI9:AJ9"/>
    <mergeCell ref="AK9:AL9"/>
    <mergeCell ref="C9:D9"/>
    <mergeCell ref="E9:F9"/>
    <mergeCell ref="G9:H9"/>
    <mergeCell ref="I9:J9"/>
    <mergeCell ref="K9:L9"/>
    <mergeCell ref="M9:N9"/>
    <mergeCell ref="O9:P9"/>
    <mergeCell ref="Q9:R9"/>
    <mergeCell ref="S9:T9"/>
    <mergeCell ref="EO8:EP8"/>
    <mergeCell ref="EQ8:ER8"/>
    <mergeCell ref="ES8:ET8"/>
    <mergeCell ref="EU8:EV8"/>
    <mergeCell ref="EW8:EX8"/>
    <mergeCell ref="EY8:EZ8"/>
    <mergeCell ref="FA8:FB8"/>
    <mergeCell ref="FC8:FD8"/>
    <mergeCell ref="FE8:FF8"/>
    <mergeCell ref="DW8:DX8"/>
    <mergeCell ref="DY8:DZ8"/>
    <mergeCell ref="EA8:EB8"/>
    <mergeCell ref="EC8:ED8"/>
    <mergeCell ref="EE8:EF8"/>
    <mergeCell ref="EG8:EH8"/>
    <mergeCell ref="EI8:EJ8"/>
    <mergeCell ref="EK8:EL8"/>
    <mergeCell ref="EM8:EN8"/>
    <mergeCell ref="DE8:DF8"/>
    <mergeCell ref="DG8:DH8"/>
    <mergeCell ref="DI8:DJ8"/>
    <mergeCell ref="DK8:DL8"/>
    <mergeCell ref="DM8:DN8"/>
    <mergeCell ref="DO8:DP8"/>
    <mergeCell ref="DQ8:DR8"/>
    <mergeCell ref="DS8:DT8"/>
    <mergeCell ref="DU8:DV8"/>
    <mergeCell ref="CM8:CN8"/>
    <mergeCell ref="CO8:CP8"/>
    <mergeCell ref="CQ8:CR8"/>
    <mergeCell ref="CS8:CT8"/>
    <mergeCell ref="CU8:CV8"/>
    <mergeCell ref="CW8:CX8"/>
    <mergeCell ref="CY8:CZ8"/>
    <mergeCell ref="DA8:DB8"/>
    <mergeCell ref="DC8:DD8"/>
    <mergeCell ref="BU8:BV8"/>
    <mergeCell ref="BW8:BX8"/>
    <mergeCell ref="BY8:BZ8"/>
    <mergeCell ref="CA8:CB8"/>
    <mergeCell ref="CC8:CD8"/>
    <mergeCell ref="CE8:CF8"/>
    <mergeCell ref="CG8:CH8"/>
    <mergeCell ref="CI8:CJ8"/>
    <mergeCell ref="CK8:CL8"/>
    <mergeCell ref="BC8:BD8"/>
    <mergeCell ref="BE8:BF8"/>
    <mergeCell ref="BG8:BH8"/>
    <mergeCell ref="BI8:BJ8"/>
    <mergeCell ref="BK8:BL8"/>
    <mergeCell ref="BM8:BN8"/>
    <mergeCell ref="BO8:BP8"/>
    <mergeCell ref="BQ8:BR8"/>
    <mergeCell ref="BS8:BT8"/>
    <mergeCell ref="AK8:AL8"/>
    <mergeCell ref="AM8:AN8"/>
    <mergeCell ref="AO8:AP8"/>
    <mergeCell ref="AQ8:AR8"/>
    <mergeCell ref="AS8:AT8"/>
    <mergeCell ref="AU8:AV8"/>
    <mergeCell ref="AW8:AX8"/>
    <mergeCell ref="AY8:AZ8"/>
    <mergeCell ref="BA8:BB8"/>
    <mergeCell ref="ES7:ET7"/>
    <mergeCell ref="EU7:EV7"/>
    <mergeCell ref="EW7:EX7"/>
    <mergeCell ref="EY7:EZ7"/>
    <mergeCell ref="FA7:FB7"/>
    <mergeCell ref="FC7:FD7"/>
    <mergeCell ref="FE7:FF7"/>
    <mergeCell ref="C8:D8"/>
    <mergeCell ref="E8:F8"/>
    <mergeCell ref="G8:H8"/>
    <mergeCell ref="I8:J8"/>
    <mergeCell ref="K8:L8"/>
    <mergeCell ref="M8:N8"/>
    <mergeCell ref="O8:P8"/>
    <mergeCell ref="Q8:R8"/>
    <mergeCell ref="S8:T8"/>
    <mergeCell ref="U8:V8"/>
    <mergeCell ref="W8:X8"/>
    <mergeCell ref="Y8:Z8"/>
    <mergeCell ref="AA8:AB8"/>
    <mergeCell ref="AC8:AD8"/>
    <mergeCell ref="AE8:AF8"/>
    <mergeCell ref="AG8:AH8"/>
    <mergeCell ref="AI8:AJ8"/>
    <mergeCell ref="EA7:EB7"/>
    <mergeCell ref="EC7:ED7"/>
    <mergeCell ref="EE7:EF7"/>
    <mergeCell ref="EG7:EH7"/>
    <mergeCell ref="EI7:EJ7"/>
    <mergeCell ref="EK7:EL7"/>
    <mergeCell ref="EM7:EN7"/>
    <mergeCell ref="EO7:EP7"/>
    <mergeCell ref="EQ7:ER7"/>
    <mergeCell ref="DI7:DJ7"/>
    <mergeCell ref="DK7:DL7"/>
    <mergeCell ref="DM7:DN7"/>
    <mergeCell ref="DO7:DP7"/>
    <mergeCell ref="DQ7:DR7"/>
    <mergeCell ref="DS7:DT7"/>
    <mergeCell ref="DU7:DV7"/>
    <mergeCell ref="DW7:DX7"/>
    <mergeCell ref="DY7:DZ7"/>
    <mergeCell ref="CQ7:CR7"/>
    <mergeCell ref="CS7:CT7"/>
    <mergeCell ref="CU7:CV7"/>
    <mergeCell ref="CW7:CX7"/>
    <mergeCell ref="CY7:CZ7"/>
    <mergeCell ref="DA7:DB7"/>
    <mergeCell ref="DC7:DD7"/>
    <mergeCell ref="DE7:DF7"/>
    <mergeCell ref="DG7:DH7"/>
    <mergeCell ref="BY7:BZ7"/>
    <mergeCell ref="CA7:CB7"/>
    <mergeCell ref="CC7:CD7"/>
    <mergeCell ref="CE7:CF7"/>
    <mergeCell ref="CG7:CH7"/>
    <mergeCell ref="CI7:CJ7"/>
    <mergeCell ref="CK7:CL7"/>
    <mergeCell ref="CM7:CN7"/>
    <mergeCell ref="CO7:CP7"/>
    <mergeCell ref="BG7:BH7"/>
    <mergeCell ref="BI7:BJ7"/>
    <mergeCell ref="BK7:BL7"/>
    <mergeCell ref="BM7:BN7"/>
    <mergeCell ref="BO7:BP7"/>
    <mergeCell ref="BQ7:BR7"/>
    <mergeCell ref="BS7:BT7"/>
    <mergeCell ref="BU7:BV7"/>
    <mergeCell ref="BW7:BX7"/>
    <mergeCell ref="AO7:AP7"/>
    <mergeCell ref="AQ7:AR7"/>
    <mergeCell ref="AS7:AT7"/>
    <mergeCell ref="AU7:AV7"/>
    <mergeCell ref="AW7:AX7"/>
    <mergeCell ref="AY7:AZ7"/>
    <mergeCell ref="BA7:BB7"/>
    <mergeCell ref="BC7:BD7"/>
    <mergeCell ref="BE7:BF7"/>
    <mergeCell ref="EW6:EX6"/>
    <mergeCell ref="EY6:EZ6"/>
    <mergeCell ref="FA6:FB6"/>
    <mergeCell ref="FC6:FD6"/>
    <mergeCell ref="FE6:FF6"/>
    <mergeCell ref="C7:D7"/>
    <mergeCell ref="E7:F7"/>
    <mergeCell ref="G7:H7"/>
    <mergeCell ref="I7:J7"/>
    <mergeCell ref="K7:L7"/>
    <mergeCell ref="M7:N7"/>
    <mergeCell ref="O7:P7"/>
    <mergeCell ref="Q7:R7"/>
    <mergeCell ref="S7:T7"/>
    <mergeCell ref="U7:V7"/>
    <mergeCell ref="W7:X7"/>
    <mergeCell ref="Y7:Z7"/>
    <mergeCell ref="AA7:AB7"/>
    <mergeCell ref="AC7:AD7"/>
    <mergeCell ref="AE7:AF7"/>
    <mergeCell ref="AG7:AH7"/>
    <mergeCell ref="AI7:AJ7"/>
    <mergeCell ref="AK7:AL7"/>
    <mergeCell ref="AM7:AN7"/>
    <mergeCell ref="EE6:EF6"/>
    <mergeCell ref="EG6:EH6"/>
    <mergeCell ref="EI6:EJ6"/>
    <mergeCell ref="EK6:EL6"/>
    <mergeCell ref="EM6:EN6"/>
    <mergeCell ref="EO6:EP6"/>
    <mergeCell ref="EQ6:ER6"/>
    <mergeCell ref="ES6:ET6"/>
    <mergeCell ref="EU6:EV6"/>
    <mergeCell ref="DM6:DN6"/>
    <mergeCell ref="DO6:DP6"/>
    <mergeCell ref="DQ6:DR6"/>
    <mergeCell ref="DS6:DT6"/>
    <mergeCell ref="DU6:DV6"/>
    <mergeCell ref="DW6:DX6"/>
    <mergeCell ref="DY6:DZ6"/>
    <mergeCell ref="EA6:EB6"/>
    <mergeCell ref="EC6:ED6"/>
    <mergeCell ref="CU6:CV6"/>
    <mergeCell ref="CW6:CX6"/>
    <mergeCell ref="CY6:CZ6"/>
    <mergeCell ref="DA6:DB6"/>
    <mergeCell ref="DC6:DD6"/>
    <mergeCell ref="DE6:DF6"/>
    <mergeCell ref="DG6:DH6"/>
    <mergeCell ref="DI6:DJ6"/>
    <mergeCell ref="DK6:DL6"/>
    <mergeCell ref="CC6:CD6"/>
    <mergeCell ref="CE6:CF6"/>
    <mergeCell ref="CG6:CH6"/>
    <mergeCell ref="CI6:CJ6"/>
    <mergeCell ref="CK6:CL6"/>
    <mergeCell ref="CM6:CN6"/>
    <mergeCell ref="CO6:CP6"/>
    <mergeCell ref="CQ6:CR6"/>
    <mergeCell ref="CS6:CT6"/>
    <mergeCell ref="BK6:BL6"/>
    <mergeCell ref="BM6:BN6"/>
    <mergeCell ref="BO6:BP6"/>
    <mergeCell ref="BQ6:BR6"/>
    <mergeCell ref="BS6:BT6"/>
    <mergeCell ref="BU6:BV6"/>
    <mergeCell ref="BW6:BX6"/>
    <mergeCell ref="BY6:BZ6"/>
    <mergeCell ref="CA6:CB6"/>
    <mergeCell ref="AS6:AT6"/>
    <mergeCell ref="AU6:AV6"/>
    <mergeCell ref="AW6:AX6"/>
    <mergeCell ref="AY6:AZ6"/>
    <mergeCell ref="BA6:BB6"/>
    <mergeCell ref="BC6:BD6"/>
    <mergeCell ref="BE6:BF6"/>
    <mergeCell ref="BG6:BH6"/>
    <mergeCell ref="BI6:BJ6"/>
    <mergeCell ref="FA5:FB5"/>
    <mergeCell ref="FC5:FD5"/>
    <mergeCell ref="FE5:FF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AQ6:AR6"/>
    <mergeCell ref="EI5:EJ5"/>
    <mergeCell ref="EK5:EL5"/>
    <mergeCell ref="EM5:EN5"/>
    <mergeCell ref="EO5:EP5"/>
    <mergeCell ref="EQ5:ER5"/>
    <mergeCell ref="ES5:ET5"/>
    <mergeCell ref="EU5:EV5"/>
    <mergeCell ref="EW5:EX5"/>
    <mergeCell ref="EY5:EZ5"/>
    <mergeCell ref="DQ5:DR5"/>
    <mergeCell ref="DS5:DT5"/>
    <mergeCell ref="DU5:DV5"/>
    <mergeCell ref="DW5:DX5"/>
    <mergeCell ref="DY5:DZ5"/>
    <mergeCell ref="EA5:EB5"/>
    <mergeCell ref="EC5:ED5"/>
    <mergeCell ref="EE5:EF5"/>
    <mergeCell ref="EG5:EH5"/>
    <mergeCell ref="CY5:CZ5"/>
    <mergeCell ref="DA5:DB5"/>
    <mergeCell ref="DC5:DD5"/>
    <mergeCell ref="DE5:DF5"/>
    <mergeCell ref="DG5:DH5"/>
    <mergeCell ref="DI5:DJ5"/>
    <mergeCell ref="DK5:DL5"/>
    <mergeCell ref="DM5:DN5"/>
    <mergeCell ref="DO5:DP5"/>
    <mergeCell ref="CG5:CH5"/>
    <mergeCell ref="CI5:CJ5"/>
    <mergeCell ref="CK5:CL5"/>
    <mergeCell ref="CM5:CN5"/>
    <mergeCell ref="CO5:CP5"/>
    <mergeCell ref="CQ5:CR5"/>
    <mergeCell ref="CS5:CT5"/>
    <mergeCell ref="CU5:CV5"/>
    <mergeCell ref="CW5:CX5"/>
    <mergeCell ref="BO5:BP5"/>
    <mergeCell ref="BQ5:BR5"/>
    <mergeCell ref="BS5:BT5"/>
    <mergeCell ref="BU5:BV5"/>
    <mergeCell ref="BW5:BX5"/>
    <mergeCell ref="BY5:BZ5"/>
    <mergeCell ref="CA5:CB5"/>
    <mergeCell ref="CC5:CD5"/>
    <mergeCell ref="CE5:CF5"/>
    <mergeCell ref="AW5:AX5"/>
    <mergeCell ref="AY5:AZ5"/>
    <mergeCell ref="BA5:BB5"/>
    <mergeCell ref="BC5:BD5"/>
    <mergeCell ref="BE5:BF5"/>
    <mergeCell ref="BG5:BH5"/>
    <mergeCell ref="BI5:BJ5"/>
    <mergeCell ref="BK5:BL5"/>
    <mergeCell ref="BM5:BN5"/>
    <mergeCell ref="FE4:FF4"/>
    <mergeCell ref="C5:D5"/>
    <mergeCell ref="E5:F5"/>
    <mergeCell ref="G5:H5"/>
    <mergeCell ref="I5:J5"/>
    <mergeCell ref="K5:L5"/>
    <mergeCell ref="M5:N5"/>
    <mergeCell ref="O5:P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EM4:EN4"/>
    <mergeCell ref="EO4:EP4"/>
    <mergeCell ref="EQ4:ER4"/>
    <mergeCell ref="ES4:ET4"/>
    <mergeCell ref="EU4:EV4"/>
    <mergeCell ref="EW4:EX4"/>
    <mergeCell ref="EY4:EZ4"/>
    <mergeCell ref="FA4:FB4"/>
    <mergeCell ref="FC4:FD4"/>
    <mergeCell ref="DU4:DV4"/>
    <mergeCell ref="DW4:DX4"/>
    <mergeCell ref="DY4:DZ4"/>
    <mergeCell ref="EA4:EB4"/>
    <mergeCell ref="EC4:ED4"/>
    <mergeCell ref="EE4:EF4"/>
    <mergeCell ref="EG4:EH4"/>
    <mergeCell ref="EI4:EJ4"/>
    <mergeCell ref="EK4:EL4"/>
    <mergeCell ref="DC4:DD4"/>
    <mergeCell ref="DE4:DF4"/>
    <mergeCell ref="DG4:DH4"/>
    <mergeCell ref="DI4:DJ4"/>
    <mergeCell ref="DK4:DL4"/>
    <mergeCell ref="DM4:DN4"/>
    <mergeCell ref="DO4:DP4"/>
    <mergeCell ref="DQ4:DR4"/>
    <mergeCell ref="DS4:DT4"/>
    <mergeCell ref="CK4:CL4"/>
    <mergeCell ref="CM4:CN4"/>
    <mergeCell ref="CO4:CP4"/>
    <mergeCell ref="CQ4:CR4"/>
    <mergeCell ref="CS4:CT4"/>
    <mergeCell ref="CU4:CV4"/>
    <mergeCell ref="CW4:CX4"/>
    <mergeCell ref="CY4:CZ4"/>
    <mergeCell ref="DA4:DB4"/>
    <mergeCell ref="BS4:BT4"/>
    <mergeCell ref="BU4:BV4"/>
    <mergeCell ref="BW4:BX4"/>
    <mergeCell ref="BY4:BZ4"/>
    <mergeCell ref="CA4:CB4"/>
    <mergeCell ref="CC4:CD4"/>
    <mergeCell ref="CE4:CF4"/>
    <mergeCell ref="CG4:CH4"/>
    <mergeCell ref="CI4:CJ4"/>
    <mergeCell ref="BA4:BB4"/>
    <mergeCell ref="BC4:BD4"/>
    <mergeCell ref="BE4:BF4"/>
    <mergeCell ref="BG4:BH4"/>
    <mergeCell ref="BI4:BJ4"/>
    <mergeCell ref="BK4:BL4"/>
    <mergeCell ref="BM4:BN4"/>
    <mergeCell ref="BO4:BP4"/>
    <mergeCell ref="BQ4:BR4"/>
    <mergeCell ref="AI4:AJ4"/>
    <mergeCell ref="AK4:AL4"/>
    <mergeCell ref="AM4:AN4"/>
    <mergeCell ref="AO4:AP4"/>
    <mergeCell ref="AQ4:AR4"/>
    <mergeCell ref="AS4:AT4"/>
    <mergeCell ref="AU4:AV4"/>
    <mergeCell ref="AW4:AX4"/>
    <mergeCell ref="AY4:AZ4"/>
    <mergeCell ref="A3:F3"/>
    <mergeCell ref="G3:AF3"/>
    <mergeCell ref="AG3:BF3"/>
    <mergeCell ref="BG3:CF3"/>
    <mergeCell ref="CG3:DF3"/>
    <mergeCell ref="DG3:EF3"/>
    <mergeCell ref="EG3:FF3"/>
    <mergeCell ref="A4:B4"/>
    <mergeCell ref="C4:D4"/>
    <mergeCell ref="E4:F4"/>
    <mergeCell ref="G4:H4"/>
    <mergeCell ref="I4:J4"/>
    <mergeCell ref="K4:L4"/>
    <mergeCell ref="M4:N4"/>
    <mergeCell ref="O4:P4"/>
    <mergeCell ref="Q4:R4"/>
    <mergeCell ref="S4:T4"/>
    <mergeCell ref="U4:V4"/>
    <mergeCell ref="W4:X4"/>
    <mergeCell ref="Y4:Z4"/>
    <mergeCell ref="AA4:AB4"/>
    <mergeCell ref="AC4:AD4"/>
    <mergeCell ref="AE4:AF4"/>
    <mergeCell ref="AG4:AH4"/>
  </mergeCells>
  <phoneticPr fontId="102" type="noConversion"/>
  <dataValidations count="4">
    <dataValidation type="list" allowBlank="1" showInputMessage="1" showErrorMessage="1" sqref="B21">
      <formula1>"4.6.1学校,4.6.1医院,4.6.1无产权车位,4.6.1会所,4.6.1幼儿园,4.6.1游泳池"</formula1>
    </dataValidation>
    <dataValidation type="list" allowBlank="1" showInputMessage="1" showErrorMessage="1" sqref="B22">
      <formula1>"4.6.2学校,4.6.2医院,4.6.2无产权车位,4.6.2会所,4.6.2幼儿园,4.6.2游泳池"</formula1>
    </dataValidation>
    <dataValidation type="list" allowBlank="1" showInputMessage="1" showErrorMessage="1" sqref="B23">
      <formula1>"4.6.3学校,4.6.3医院,4.6.3无产权车位,4.6.3会所,4.6.3幼儿园,4.6.3游泳池,4.6.3分摊"</formula1>
    </dataValidation>
    <dataValidation type="list" allowBlank="1" showInputMessage="1" showErrorMessage="1" sqref="D64:F75">
      <formula1>"√,×"</formula1>
    </dataValidation>
  </dataValidations>
  <pageMargins left="0.69930555555555596" right="0.69930555555555596" top="0.75" bottom="0.75" header="0.3" footer="0.3"/>
  <pageSetup paperSize="8" scale="64" orientation="landscape" r:id="rId1"/>
  <ignoredErrors>
    <ignoredError sqref="C55:AH55 C52:AH54" formulaRange="1" unlockedFormula="1"/>
    <ignoredError sqref="C5:FF9 EI33:FF33 EI40:FF44 EI58:FF58 EI47:FF54 EI55:FF55 EI31:FF31 EI20 EK20 EM20 EO20 EQ20 ES20 EU20 EW20 EY20 FA20 FC20 FE20 EI46:FF46 E12 EI13:FF13 EI14:FF14 EI15:FF15 EI16:FF16 EI17:FF17 EI19:FF19 EI18:FF18 EI21:FF28 EI32:FF32 EI34:FF34 EI35:FF38 EI39:FF39 EI45:FF45 D45:EH45 E39:F39 E35:EH38 E34:EH34 C34 C35:C38 E32:EH32 C32 E31:F31 E21:EH28 E20:I20 E18:EH18 E19:EH19 C19 E17:EH17 C17 E16:F16 C16 E15:EH15 C15 E14:EH14 C14 E13:EH13 C13 C18 AG47:AH50 C47:H50 AG46:EH46 C46:I46 EG20:EH20 EE20 EC20 EA20 DY20 DW20 DU20 DS20 DQ20 DO20 DM20 DK20 DG20:DI20 DE20 DC20 DA20 CY20 CW20 CU20 CS20 CQ20 CO20 CM20 CK20 CG20:CI20 CE20 CC20 CA20 BY20 BW20 BU20 BS20 BQ20 BO20 BM20 BK20 BG20:BI20 BE20 BC20 BA20 AY20 AW20 AU20 AS20 AQ20 AO20 AM20 AK20 AG20:AI20 AE20 AC20 AA20 Y20 W20 U20 S20 Q20 O20 M20 K20 C20 C21:C22 H31:EH31 C31 AI55:EH55 AI47:EH54 AI58:EH58 C40:EH40 C33:EH33 B17 B34 B33 B55 B52:B54 B45 B40:B43 B47:B51 B32 B31 D31 B29:EH30 B21:B28 D21:D28 B20 D20 L20 N20 P20 R20 T20 V20 X20 Z20 AB20 AD20 AF20 AJ20 AL20 AN20 AP20 AR20 AT20 AV20 AX20 AZ20 BB20 BD20 BF20 BJ20 BL20 BN20 BP20 BR20 BT20 BV20 BX20 BZ20 CB20 CD20 CF20 CJ20 CL20 CN20 CP20 CR20 CT20 CV20 CX20 CZ20 DB20 DD20 DF20 DJ20 DL20 DN20 DP20 DR20 DT20 DV20 DX20 DZ20 EB20 ED20 EF20 B46 J46:AF46 I47:AF50 B19 B18 D18 B13 D13 B14 D14 B15 D15 B16 D16 D17 D19 J20 G31 D32 B35:B38 D35:D38 D34 C51 D51:AH51 D58:AH58 C57:AH57 C58 H16:EH16 H39:EH39 E44:F44 H44:AF44 AH44:EH44 E43:EH43 E41:EH41 C24:C28 E42:EH42 D11:FF11 D10:FF10 C56 F56:AH56 G12:FF12" unlocked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2:L38"/>
  <sheetViews>
    <sheetView topLeftCell="F1" workbookViewId="0">
      <selection activeCell="H21" sqref="H21"/>
    </sheetView>
  </sheetViews>
  <sheetFormatPr defaultColWidth="9" defaultRowHeight="13.5"/>
  <cols>
    <col min="1" max="1" width="17.5" style="1317" customWidth="1"/>
    <col min="2" max="2" width="36" style="1317" customWidth="1"/>
    <col min="3" max="3" width="14" style="1318" customWidth="1"/>
    <col min="4" max="4" width="14.875" style="1318" customWidth="1"/>
    <col min="5" max="5" width="17.125" style="1318" customWidth="1"/>
    <col min="6" max="6" width="17.5" style="1318" customWidth="1"/>
    <col min="7" max="7" width="15.875" style="1318" customWidth="1"/>
    <col min="8" max="8" width="15" style="1317" customWidth="1"/>
    <col min="9" max="9" width="16.125" style="1317" customWidth="1"/>
    <col min="10" max="10" width="15.125" style="1317" customWidth="1"/>
    <col min="11" max="12" width="15" style="1317" customWidth="1"/>
    <col min="13" max="16384" width="9" style="1317"/>
  </cols>
  <sheetData>
    <row r="2" spans="1:10">
      <c r="E2" s="1318">
        <f>B8*0.7-I3+D13</f>
        <v>3024.1657791711023</v>
      </c>
    </row>
    <row r="3" spans="1:10">
      <c r="A3" s="1319" t="s">
        <v>388</v>
      </c>
      <c r="B3" s="1320">
        <f>25847.7/666.67</f>
        <v>38.771356143219286</v>
      </c>
      <c r="H3" s="1317" t="s">
        <v>389</v>
      </c>
      <c r="I3" s="1347">
        <f>B5</f>
        <v>11631.406842965785</v>
      </c>
    </row>
    <row r="4" spans="1:10">
      <c r="A4" s="1319" t="s">
        <v>390</v>
      </c>
      <c r="B4" s="1321">
        <v>300</v>
      </c>
      <c r="F4" s="1318" t="s">
        <v>391</v>
      </c>
      <c r="G4" s="1322">
        <f>D13+G15+B8-B5</f>
        <v>10235.638021809889</v>
      </c>
      <c r="H4" s="1317" t="s">
        <v>392</v>
      </c>
      <c r="I4" s="1347">
        <f>11640*0.0305</f>
        <v>355.02</v>
      </c>
    </row>
    <row r="5" spans="1:10">
      <c r="A5" s="1319" t="s">
        <v>393</v>
      </c>
      <c r="B5" s="1320">
        <f>B3*B4</f>
        <v>11631.406842965785</v>
      </c>
      <c r="F5" s="1318" t="s">
        <v>394</v>
      </c>
      <c r="G5" s="1323">
        <f>'[2]12.土地成本表'!D1</f>
        <v>19458.626472</v>
      </c>
      <c r="H5" s="1317" t="s">
        <v>395</v>
      </c>
      <c r="I5" s="1347">
        <f>(25847.7*(2.5-1.5)*F14/10000)</f>
        <v>8012.7870000000003</v>
      </c>
    </row>
    <row r="6" spans="1:10">
      <c r="A6" s="1319" t="s">
        <v>396</v>
      </c>
      <c r="B6" s="1321">
        <f>D28</f>
        <v>1260</v>
      </c>
      <c r="F6" s="1324" t="s">
        <v>397</v>
      </c>
      <c r="G6" s="1325">
        <f>SUM(G4:G5)</f>
        <v>29694.264493809889</v>
      </c>
      <c r="H6" s="1317" t="s">
        <v>398</v>
      </c>
      <c r="I6" s="1347">
        <f>(25866.8*(2.5-1.5)*2800/10000)*0.0305</f>
        <v>220.90247199999999</v>
      </c>
    </row>
    <row r="7" spans="1:10">
      <c r="A7" s="1319" t="s">
        <v>399</v>
      </c>
      <c r="B7" s="1326">
        <v>540</v>
      </c>
      <c r="H7" s="1317" t="s">
        <v>400</v>
      </c>
      <c r="I7" s="1348">
        <f>B8-I3</f>
        <v>9305.1254743726277</v>
      </c>
    </row>
    <row r="8" spans="1:10">
      <c r="A8" s="1319" t="s">
        <v>401</v>
      </c>
      <c r="B8" s="1320">
        <f>B3*B7</f>
        <v>20936.532317338413</v>
      </c>
      <c r="D8" s="1318">
        <f>B8*0.7-B5+D13</f>
        <v>3024.1657791711023</v>
      </c>
      <c r="H8" s="1317" t="s">
        <v>402</v>
      </c>
      <c r="I8" s="1349">
        <f>E13</f>
        <v>6879.6557457212721</v>
      </c>
    </row>
    <row r="9" spans="1:10">
      <c r="H9" s="1317" t="s">
        <v>403</v>
      </c>
      <c r="I9" s="1350">
        <f>G21+G15</f>
        <v>1861.0250948745256</v>
      </c>
    </row>
    <row r="10" spans="1:10">
      <c r="A10" s="1828" t="s">
        <v>404</v>
      </c>
      <c r="B10" s="1327"/>
      <c r="C10" s="1328">
        <v>43313</v>
      </c>
      <c r="D10" s="1328">
        <v>43345</v>
      </c>
      <c r="E10" s="1328">
        <v>43390</v>
      </c>
      <c r="F10" s="1328">
        <v>43405</v>
      </c>
      <c r="G10" s="1328">
        <v>43435</v>
      </c>
      <c r="H10" s="1324" t="s">
        <v>397</v>
      </c>
      <c r="I10" s="1351">
        <f>SUM(I3:I9)</f>
        <v>38265.922629934212</v>
      </c>
    </row>
    <row r="11" spans="1:10" ht="27" customHeight="1">
      <c r="A11" s="1829"/>
      <c r="B11" s="1319" t="s">
        <v>405</v>
      </c>
      <c r="C11" s="1329" t="s">
        <v>406</v>
      </c>
      <c r="D11" s="1667" t="s">
        <v>990</v>
      </c>
      <c r="E11" s="1668" t="s">
        <v>991</v>
      </c>
      <c r="F11" s="1668" t="s">
        <v>992</v>
      </c>
      <c r="G11" s="1669" t="s">
        <v>993</v>
      </c>
    </row>
    <row r="12" spans="1:10">
      <c r="A12" s="1829"/>
      <c r="B12" s="1319" t="s">
        <v>407</v>
      </c>
      <c r="C12" s="1666">
        <v>1000</v>
      </c>
      <c r="D12" s="1335">
        <v>6150</v>
      </c>
      <c r="E12" s="1335">
        <v>5412</v>
      </c>
      <c r="F12" s="1330"/>
      <c r="G12" s="1666">
        <v>4187</v>
      </c>
    </row>
    <row r="13" spans="1:10">
      <c r="A13" s="1829"/>
      <c r="B13" s="1331" t="s">
        <v>408</v>
      </c>
      <c r="C13" s="1332"/>
      <c r="D13" s="1333"/>
      <c r="E13" s="1670">
        <f>E29</f>
        <v>6879.6557457212721</v>
      </c>
      <c r="F13" s="1332"/>
      <c r="G13" s="1332"/>
    </row>
    <row r="14" spans="1:10">
      <c r="A14" s="1829"/>
      <c r="B14" s="1319" t="s">
        <v>409</v>
      </c>
      <c r="C14" s="1666"/>
      <c r="D14" s="1666"/>
      <c r="E14" s="1666">
        <v>0</v>
      </c>
      <c r="F14" s="1666">
        <v>3100</v>
      </c>
      <c r="G14" s="1666"/>
      <c r="H14" s="1334" t="s">
        <v>410</v>
      </c>
      <c r="I14" s="1352">
        <f>'7.现金流量表'!C45+'12.土地成本表'!D1</f>
        <v>37711.513796264102</v>
      </c>
    </row>
    <row r="15" spans="1:10">
      <c r="A15" s="1829"/>
      <c r="B15" s="1319" t="s">
        <v>411</v>
      </c>
      <c r="C15" s="1666"/>
      <c r="D15" s="1666"/>
      <c r="E15" s="1335"/>
      <c r="F15" s="1320"/>
      <c r="G15" s="1335">
        <f>(B8-B5)*20%/2</f>
        <v>930.51254743726281</v>
      </c>
      <c r="J15" s="1353">
        <f>I14-I10</f>
        <v>-554.40883367010974</v>
      </c>
    </row>
    <row r="16" spans="1:10">
      <c r="A16" s="1829"/>
      <c r="B16" s="1319"/>
      <c r="C16" s="1321"/>
      <c r="D16" s="1321"/>
      <c r="E16" s="1321"/>
      <c r="F16" s="1321"/>
      <c r="G16" s="1321"/>
      <c r="H16" s="1334" t="s">
        <v>412</v>
      </c>
      <c r="I16" s="1354">
        <f>I14/'8.项目规划指标表'!D16*10000</f>
        <v>5836.3404466863885</v>
      </c>
    </row>
    <row r="17" spans="1:12">
      <c r="A17" s="1830"/>
      <c r="B17" s="1319"/>
      <c r="C17" s="1321"/>
      <c r="D17" s="1321"/>
      <c r="E17" s="1321"/>
      <c r="F17" s="1321"/>
      <c r="G17" s="1321"/>
    </row>
    <row r="18" spans="1:12">
      <c r="G18" s="1671">
        <v>43497</v>
      </c>
      <c r="I18" s="1353"/>
    </row>
    <row r="19" spans="1:12">
      <c r="E19" s="1336">
        <f>D13+F15+B8-B5</f>
        <v>9305.1254743726277</v>
      </c>
      <c r="F19" s="1319" t="s">
        <v>405</v>
      </c>
      <c r="G19" s="1672" t="s">
        <v>993</v>
      </c>
    </row>
    <row r="20" spans="1:12">
      <c r="F20" s="1319" t="s">
        <v>407</v>
      </c>
      <c r="G20" s="1666">
        <v>4187</v>
      </c>
    </row>
    <row r="21" spans="1:12">
      <c r="C21" s="1337"/>
      <c r="F21" s="1319" t="s">
        <v>411</v>
      </c>
      <c r="G21" s="1335">
        <f>(B8-B5)*20%/2</f>
        <v>930.51254743726281</v>
      </c>
    </row>
    <row r="24" spans="1:12">
      <c r="D24" s="1318">
        <v>25896</v>
      </c>
      <c r="E24" s="1318">
        <f>D24*E14/10000</f>
        <v>0</v>
      </c>
    </row>
    <row r="27" spans="1:12">
      <c r="B27" s="1831" t="s">
        <v>413</v>
      </c>
      <c r="C27" s="1338"/>
      <c r="D27" s="1339" t="s">
        <v>414</v>
      </c>
      <c r="E27" s="1339" t="s">
        <v>415</v>
      </c>
      <c r="F27" s="1339" t="s">
        <v>416</v>
      </c>
      <c r="G27" s="1339" t="s">
        <v>417</v>
      </c>
      <c r="H27" s="1340" t="s">
        <v>418</v>
      </c>
      <c r="I27" s="1340" t="s">
        <v>419</v>
      </c>
      <c r="J27" s="1340" t="s">
        <v>420</v>
      </c>
      <c r="K27" s="1340" t="s">
        <v>377</v>
      </c>
      <c r="L27" s="1340" t="s">
        <v>421</v>
      </c>
    </row>
    <row r="28" spans="1:12">
      <c r="B28" s="1832"/>
      <c r="C28" s="1338" t="s">
        <v>422</v>
      </c>
      <c r="D28" s="1339">
        <v>1260</v>
      </c>
      <c r="E28" s="1341">
        <f>B5</f>
        <v>11631.406842965785</v>
      </c>
      <c r="F28" s="1341">
        <f>(E28)/(1+5%)*5%</f>
        <v>553.87651633170412</v>
      </c>
      <c r="G28" s="1341">
        <f>F28*12%</f>
        <v>66.465181959804497</v>
      </c>
      <c r="H28" s="1342">
        <f>(D28+G28)</f>
        <v>1326.4651819598046</v>
      </c>
      <c r="I28" s="1341">
        <f>E28/(1+5%)-H28</f>
        <v>9751.0651446742777</v>
      </c>
      <c r="J28" s="1355">
        <f>I28/H28</f>
        <v>7.3511655468162607</v>
      </c>
      <c r="K28" s="1341">
        <f>IF(J28&lt;=50%,I28*30%,IF(J28&lt;=100%,I28*40%-H28*5%,IF(J28&lt;=200%,I28*50%-H28*15%,I28*60%-H28*35%)))</f>
        <v>5386.3762731186353</v>
      </c>
      <c r="L28" s="1341">
        <f>(E28/(1+5%)-K28-D28-G28)*20%</f>
        <v>872.93777431112835</v>
      </c>
    </row>
    <row r="29" spans="1:12">
      <c r="B29" s="1833"/>
      <c r="C29" s="1338"/>
      <c r="D29" s="1339" t="s">
        <v>423</v>
      </c>
      <c r="E29" s="1343">
        <f>F28+G28+K28+L28</f>
        <v>6879.6557457212721</v>
      </c>
      <c r="F29" s="1339"/>
      <c r="G29" s="1339"/>
      <c r="H29" s="1340"/>
      <c r="I29" s="1340"/>
      <c r="J29" s="1340"/>
      <c r="K29" s="1340"/>
      <c r="L29" s="1340"/>
    </row>
    <row r="32" spans="1:12">
      <c r="B32" s="1831" t="s">
        <v>424</v>
      </c>
      <c r="C32" s="1827" t="s">
        <v>425</v>
      </c>
      <c r="D32" s="1827"/>
    </row>
    <row r="33" spans="2:4">
      <c r="B33" s="1832"/>
      <c r="C33" s="1321" t="s">
        <v>426</v>
      </c>
      <c r="D33" s="1321">
        <v>1223</v>
      </c>
    </row>
    <row r="34" spans="2:4">
      <c r="B34" s="1832"/>
      <c r="C34" s="1321" t="s">
        <v>427</v>
      </c>
      <c r="D34" s="1321">
        <v>36.700000000000003</v>
      </c>
    </row>
    <row r="35" spans="2:4" ht="18" customHeight="1">
      <c r="B35" s="1833"/>
      <c r="C35" s="1344" t="s">
        <v>251</v>
      </c>
      <c r="D35" s="1345">
        <f>D33+D34</f>
        <v>1259.7</v>
      </c>
    </row>
    <row r="38" spans="2:4">
      <c r="B38" s="1346" t="s">
        <v>428</v>
      </c>
      <c r="C38" s="1319" t="s">
        <v>429</v>
      </c>
      <c r="D38" s="1321">
        <v>14735.3</v>
      </c>
    </row>
  </sheetData>
  <mergeCells count="4">
    <mergeCell ref="C32:D32"/>
    <mergeCell ref="A10:A17"/>
    <mergeCell ref="B27:B29"/>
    <mergeCell ref="B32:B35"/>
  </mergeCells>
  <phoneticPr fontId="102" type="noConversion"/>
  <pageMargins left="0.69930555555555596" right="0.69930555555555596" top="0.75" bottom="0.75" header="0.3" footer="0.3"/>
  <pageSetup paperSize="9"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heetPr>
  <dimension ref="A1:G45"/>
  <sheetViews>
    <sheetView showGridLines="0" workbookViewId="0">
      <selection activeCell="F18" sqref="F18"/>
    </sheetView>
  </sheetViews>
  <sheetFormatPr defaultColWidth="9" defaultRowHeight="12.75" outlineLevelRow="1"/>
  <cols>
    <col min="1" max="1" width="9" style="2"/>
    <col min="2" max="2" width="28.125" style="2" customWidth="1"/>
    <col min="3" max="3" width="13.125" style="2" customWidth="1"/>
    <col min="4" max="4" width="9" style="2"/>
    <col min="5" max="5" width="23.5" style="2" customWidth="1"/>
    <col min="6" max="16384" width="9" style="2"/>
  </cols>
  <sheetData>
    <row r="1" spans="1:7" ht="29.25" customHeight="1">
      <c r="A1" s="1834" t="s">
        <v>430</v>
      </c>
      <c r="B1" s="1834"/>
      <c r="C1" s="1834"/>
      <c r="D1" s="1834"/>
      <c r="E1" s="1274" t="s">
        <v>117</v>
      </c>
    </row>
    <row r="2" spans="1:7" ht="15.75">
      <c r="A2" s="1275" t="s">
        <v>118</v>
      </c>
      <c r="B2" s="1276"/>
      <c r="C2" s="1277"/>
      <c r="D2" s="1277"/>
      <c r="E2" s="1278"/>
    </row>
    <row r="3" spans="1:7">
      <c r="A3" s="1279" t="s">
        <v>351</v>
      </c>
      <c r="B3" s="1280" t="s">
        <v>431</v>
      </c>
      <c r="C3" s="1280" t="s">
        <v>432</v>
      </c>
      <c r="D3" s="1280" t="s">
        <v>433</v>
      </c>
      <c r="E3" s="1281" t="s">
        <v>434</v>
      </c>
    </row>
    <row r="4" spans="1:7" ht="15.75">
      <c r="A4" s="1282">
        <v>1</v>
      </c>
      <c r="B4" s="1283" t="s">
        <v>435</v>
      </c>
      <c r="C4" s="1283" t="s">
        <v>230</v>
      </c>
      <c r="D4" s="1284">
        <v>0.25</v>
      </c>
      <c r="E4" s="1285" t="s">
        <v>436</v>
      </c>
    </row>
    <row r="5" spans="1:7" ht="15.75">
      <c r="A5" s="1282">
        <f>A4+1</f>
        <v>2</v>
      </c>
      <c r="B5" s="1283" t="s">
        <v>437</v>
      </c>
      <c r="C5" s="1286"/>
      <c r="D5" s="1287">
        <f>D6*(1+D13+D14+D17)+D15+D16+D18</f>
        <v>6.9734223615559685E-2</v>
      </c>
      <c r="E5" s="1288"/>
    </row>
    <row r="6" spans="1:7" ht="15.75">
      <c r="A6" s="1289"/>
      <c r="B6" s="1290" t="s">
        <v>438</v>
      </c>
      <c r="C6" s="1291" t="s">
        <v>439</v>
      </c>
      <c r="D6" s="1292">
        <f>IFERROR((('11.销售及回款表'!D8+'11.销售及回款表'!D13-'12.土地成本表'!C$18)/1.11*0.11-SUM('13.建安成本表'!E196,'13.建安成本表'!H196,'13.建安成本表'!K196,'13.建安成本表'!N196,'13.建安成本表'!Q196,'13.建安成本表'!T196))/('11.销售及回款表'!D8+'11.销售及回款表'!D13),0)</f>
        <v>6.2940203286872429E-2</v>
      </c>
      <c r="E6" s="1293" t="s">
        <v>436</v>
      </c>
      <c r="F6" s="1294">
        <f>('11.销售及回款表'!D8+'11.销售及回款表'!D13-'12.土地成本表'!C18)/1.11*0.11-'13.建安成本表'!E196</f>
        <v>6331.3561400583912</v>
      </c>
    </row>
    <row r="7" spans="1:7" ht="15.75" outlineLevel="1">
      <c r="A7" s="1289"/>
      <c r="B7" s="1295" t="s">
        <v>19</v>
      </c>
      <c r="C7" s="1296"/>
      <c r="D7" s="1297">
        <f>IFERROR((('11.销售及回款表'!D78+'11.销售及回款表'!D83-'12.土地成本表'!D$67+'12.土地成本表'!D66)/1.1*0.1-'13.建安成本表'!E$196)/('11.销售及回款表'!D78+'11.销售及回款表'!D83),0)</f>
        <v>5.5402573134771142E-2</v>
      </c>
      <c r="E7" s="1298"/>
      <c r="F7" s="1294"/>
      <c r="G7" s="1294"/>
    </row>
    <row r="8" spans="1:7" ht="15.75" outlineLevel="1">
      <c r="A8" s="1289"/>
      <c r="B8" s="1295" t="s">
        <v>20</v>
      </c>
      <c r="C8" s="1296"/>
      <c r="D8" s="1297">
        <f>IFERROR((('11.销售及回款表'!D148+'11.销售及回款表'!D153-'12.土地成本表'!E$67+'12.土地成本表'!E66)/1.1*0.1-'13.建安成本表'!H$196)/('11.销售及回款表'!D148+'11.销售及回款表'!D153),0)</f>
        <v>0</v>
      </c>
      <c r="E8" s="1298"/>
    </row>
    <row r="9" spans="1:7" ht="15.75" outlineLevel="1">
      <c r="A9" s="1289"/>
      <c r="B9" s="1295" t="s">
        <v>21</v>
      </c>
      <c r="C9" s="1296"/>
      <c r="D9" s="1297">
        <f>IFERROR((('11.销售及回款表'!D218+'11.销售及回款表'!D223-'12.土地成本表'!F$67+'12.土地成本表'!F66)/1.1*0.1-'13.建安成本表'!K$196)/('11.销售及回款表'!D218+'11.销售及回款表'!D223),0)</f>
        <v>0</v>
      </c>
      <c r="E9" s="1298"/>
    </row>
    <row r="10" spans="1:7" ht="15.75" outlineLevel="1">
      <c r="A10" s="1289"/>
      <c r="B10" s="1295" t="s">
        <v>22</v>
      </c>
      <c r="C10" s="1296"/>
      <c r="D10" s="1297">
        <f>IFERROR((('11.销售及回款表'!D288+'11.销售及回款表'!D293-'12.土地成本表'!G$67+'12.土地成本表'!G66)/1.1*0.1-'13.建安成本表'!N$196)/('11.销售及回款表'!D288+'11.销售及回款表'!D293),0)</f>
        <v>0</v>
      </c>
      <c r="E10" s="1298"/>
    </row>
    <row r="11" spans="1:7" ht="15.75" outlineLevel="1">
      <c r="A11" s="1289"/>
      <c r="B11" s="1295" t="s">
        <v>23</v>
      </c>
      <c r="C11" s="1296"/>
      <c r="D11" s="1297">
        <f>IFERROR((('11.销售及回款表'!D358+'11.销售及回款表'!D363-'12.土地成本表'!H$67+'12.土地成本表'!H66)/1.1*0.1-'13.建安成本表'!Q$196)/('11.销售及回款表'!D358+'11.销售及回款表'!D363),0)</f>
        <v>0</v>
      </c>
      <c r="E11" s="1298"/>
    </row>
    <row r="12" spans="1:7" ht="15.75" outlineLevel="1">
      <c r="A12" s="1289"/>
      <c r="B12" s="1295" t="s">
        <v>24</v>
      </c>
      <c r="C12" s="1296"/>
      <c r="D12" s="1297">
        <f>IFERROR((('11.销售及回款表'!D428+'11.销售及回款表'!D433-'12.土地成本表'!I$67+'12.土地成本表'!I66)/1.1*0.1-'13.建安成本表'!T$196)/('11.销售及回款表'!D428+'11.销售及回款表'!D433),0)</f>
        <v>0</v>
      </c>
      <c r="E12" s="1298"/>
    </row>
    <row r="13" spans="1:7" ht="15.75">
      <c r="A13" s="1289"/>
      <c r="B13" s="1299" t="s">
        <v>440</v>
      </c>
      <c r="C13" s="1291" t="s">
        <v>441</v>
      </c>
      <c r="D13" s="1300">
        <v>0.05</v>
      </c>
      <c r="E13" s="1293" t="s">
        <v>436</v>
      </c>
    </row>
    <row r="14" spans="1:7" ht="15.75">
      <c r="A14" s="1289"/>
      <c r="B14" s="1299" t="s">
        <v>442</v>
      </c>
      <c r="C14" s="1291" t="s">
        <v>441</v>
      </c>
      <c r="D14" s="1284">
        <v>0.03</v>
      </c>
      <c r="E14" s="1293" t="s">
        <v>436</v>
      </c>
    </row>
    <row r="15" spans="1:7" ht="15.75">
      <c r="A15" s="1289"/>
      <c r="B15" s="1299" t="s">
        <v>443</v>
      </c>
      <c r="C15" s="1291" t="s">
        <v>444</v>
      </c>
      <c r="D15" s="1284">
        <v>5.0000000000000001E-4</v>
      </c>
      <c r="E15" s="1293" t="s">
        <v>436</v>
      </c>
    </row>
    <row r="16" spans="1:7" ht="15.75">
      <c r="A16" s="1289"/>
      <c r="B16" s="1299" t="s">
        <v>445</v>
      </c>
      <c r="C16" s="1291" t="s">
        <v>444</v>
      </c>
      <c r="D16" s="1284">
        <v>0</v>
      </c>
      <c r="E16" s="1293" t="s">
        <v>436</v>
      </c>
    </row>
    <row r="17" spans="1:5" ht="15.75">
      <c r="A17" s="1289"/>
      <c r="B17" s="1299" t="s">
        <v>446</v>
      </c>
      <c r="C17" s="1291" t="s">
        <v>441</v>
      </c>
      <c r="D17" s="1284">
        <v>0.02</v>
      </c>
      <c r="E17" s="1293" t="s">
        <v>436</v>
      </c>
    </row>
    <row r="18" spans="1:5" ht="15.75">
      <c r="A18" s="1289"/>
      <c r="B18" s="1301" t="s">
        <v>447</v>
      </c>
      <c r="C18" s="1291" t="s">
        <v>444</v>
      </c>
      <c r="D18" s="1284">
        <v>0</v>
      </c>
      <c r="E18" s="1293" t="s">
        <v>436</v>
      </c>
    </row>
    <row r="19" spans="1:5" ht="15.75">
      <c r="A19" s="1282">
        <v>3</v>
      </c>
      <c r="B19" s="1283" t="s">
        <v>448</v>
      </c>
      <c r="C19" s="1286"/>
      <c r="D19" s="1284">
        <v>0.02</v>
      </c>
      <c r="E19" s="1288"/>
    </row>
    <row r="20" spans="1:5" ht="15.75">
      <c r="A20" s="1289"/>
      <c r="B20" s="1290" t="s">
        <v>449</v>
      </c>
      <c r="C20" s="1291" t="s">
        <v>450</v>
      </c>
      <c r="D20" s="1300">
        <v>0.02</v>
      </c>
      <c r="E20" s="1293" t="s">
        <v>436</v>
      </c>
    </row>
    <row r="21" spans="1:5" ht="15.75">
      <c r="A21" s="1289"/>
      <c r="B21" s="1290" t="s">
        <v>451</v>
      </c>
      <c r="C21" s="1291" t="s">
        <v>450</v>
      </c>
      <c r="D21" s="1300">
        <v>2.5000000000000001E-2</v>
      </c>
      <c r="E21" s="1293" t="s">
        <v>436</v>
      </c>
    </row>
    <row r="22" spans="1:5" ht="15.75">
      <c r="A22" s="1289"/>
      <c r="B22" s="1290" t="s">
        <v>452</v>
      </c>
      <c r="C22" s="1291" t="s">
        <v>450</v>
      </c>
      <c r="D22" s="1284">
        <v>0.06</v>
      </c>
      <c r="E22" s="1293" t="s">
        <v>436</v>
      </c>
    </row>
    <row r="23" spans="1:5" ht="15.75">
      <c r="A23" s="1282">
        <v>4</v>
      </c>
      <c r="B23" s="1283" t="s">
        <v>453</v>
      </c>
      <c r="C23" s="1283" t="s">
        <v>454</v>
      </c>
      <c r="D23" s="1284">
        <v>0.15</v>
      </c>
      <c r="E23" s="1285" t="s">
        <v>436</v>
      </c>
    </row>
    <row r="24" spans="1:5" ht="15.75">
      <c r="A24" s="1302"/>
      <c r="B24" s="1283" t="s">
        <v>455</v>
      </c>
      <c r="C24" s="1283" t="s">
        <v>454</v>
      </c>
      <c r="D24" s="1284">
        <v>0.15</v>
      </c>
      <c r="E24" s="1285" t="s">
        <v>436</v>
      </c>
    </row>
    <row r="25" spans="1:5" ht="15.75">
      <c r="A25" s="1282">
        <v>5</v>
      </c>
      <c r="B25" s="1283" t="s">
        <v>456</v>
      </c>
      <c r="C25" s="1283" t="s">
        <v>457</v>
      </c>
      <c r="D25" s="1292">
        <f>D26*(1+D27+D28)+D29+D31</f>
        <v>0</v>
      </c>
      <c r="E25" s="1288"/>
    </row>
    <row r="26" spans="1:5" ht="15.75">
      <c r="A26" s="1289"/>
      <c r="B26" s="1290" t="s">
        <v>458</v>
      </c>
      <c r="C26" s="1291" t="s">
        <v>457</v>
      </c>
      <c r="D26" s="1284"/>
      <c r="E26" s="1293" t="s">
        <v>436</v>
      </c>
    </row>
    <row r="27" spans="1:5" ht="15.75">
      <c r="A27" s="1289"/>
      <c r="B27" s="1299" t="s">
        <v>459</v>
      </c>
      <c r="C27" s="1291" t="s">
        <v>460</v>
      </c>
      <c r="D27" s="1284"/>
      <c r="E27" s="1293" t="s">
        <v>436</v>
      </c>
    </row>
    <row r="28" spans="1:5" ht="15.75">
      <c r="A28" s="1289"/>
      <c r="B28" s="1299" t="s">
        <v>461</v>
      </c>
      <c r="C28" s="1291" t="s">
        <v>460</v>
      </c>
      <c r="D28" s="1284"/>
      <c r="E28" s="1293" t="s">
        <v>436</v>
      </c>
    </row>
    <row r="29" spans="1:5" ht="15.75">
      <c r="A29" s="1289"/>
      <c r="B29" s="1299" t="s">
        <v>462</v>
      </c>
      <c r="C29" s="1291" t="s">
        <v>457</v>
      </c>
      <c r="D29" s="1284"/>
      <c r="E29" s="1293" t="s">
        <v>436</v>
      </c>
    </row>
    <row r="30" spans="1:5" ht="15.75">
      <c r="A30" s="1289"/>
      <c r="B30" s="1835" t="s">
        <v>463</v>
      </c>
      <c r="C30" s="1291" t="s">
        <v>457</v>
      </c>
      <c r="D30" s="1284"/>
      <c r="E30" s="1293" t="s">
        <v>436</v>
      </c>
    </row>
    <row r="31" spans="1:5" ht="15.75">
      <c r="A31" s="1289"/>
      <c r="B31" s="1836"/>
      <c r="C31" s="1291" t="s">
        <v>464</v>
      </c>
      <c r="D31" s="1284"/>
      <c r="E31" s="1293" t="s">
        <v>436</v>
      </c>
    </row>
    <row r="32" spans="1:5" ht="15.75">
      <c r="A32" s="1289"/>
      <c r="B32" s="1837"/>
      <c r="C32" s="1291" t="s">
        <v>465</v>
      </c>
      <c r="D32" s="1284"/>
      <c r="E32" s="1293" t="s">
        <v>436</v>
      </c>
    </row>
    <row r="33" spans="1:5" ht="15.75">
      <c r="A33" s="1282" t="s">
        <v>466</v>
      </c>
      <c r="B33" s="1283" t="s">
        <v>467</v>
      </c>
      <c r="C33" s="1283" t="s">
        <v>468</v>
      </c>
      <c r="D33" s="1292">
        <f>D35*(1+D37+D38+D39)+D42</f>
        <v>0</v>
      </c>
      <c r="E33" s="1303" t="s">
        <v>436</v>
      </c>
    </row>
    <row r="34" spans="1:5" ht="15.75">
      <c r="A34" s="1282" t="s">
        <v>469</v>
      </c>
      <c r="B34" s="1304" t="s">
        <v>470</v>
      </c>
      <c r="C34" s="1304" t="s">
        <v>468</v>
      </c>
      <c r="D34" s="1305">
        <f>D36*(1+D37+D38+D39)+D42</f>
        <v>0</v>
      </c>
      <c r="E34" s="1306" t="s">
        <v>436</v>
      </c>
    </row>
    <row r="35" spans="1:5" ht="15.75">
      <c r="A35" s="1289"/>
      <c r="B35" s="1299" t="s">
        <v>471</v>
      </c>
      <c r="C35" s="1291" t="s">
        <v>468</v>
      </c>
      <c r="D35" s="1284"/>
      <c r="E35" s="1293" t="s">
        <v>436</v>
      </c>
    </row>
    <row r="36" spans="1:5" ht="15.75">
      <c r="A36" s="1289"/>
      <c r="B36" s="1307" t="s">
        <v>472</v>
      </c>
      <c r="C36" s="1308" t="s">
        <v>468</v>
      </c>
      <c r="D36" s="1309"/>
      <c r="E36" s="1310" t="s">
        <v>436</v>
      </c>
    </row>
    <row r="37" spans="1:5" ht="15.75">
      <c r="A37" s="1289"/>
      <c r="B37" s="1299" t="s">
        <v>473</v>
      </c>
      <c r="C37" s="1291" t="s">
        <v>460</v>
      </c>
      <c r="D37" s="1284"/>
      <c r="E37" s="1293" t="s">
        <v>436</v>
      </c>
    </row>
    <row r="38" spans="1:5" ht="15.75">
      <c r="A38" s="1289"/>
      <c r="B38" s="1299" t="s">
        <v>474</v>
      </c>
      <c r="C38" s="1291" t="s">
        <v>460</v>
      </c>
      <c r="D38" s="1284"/>
      <c r="E38" s="1293" t="s">
        <v>436</v>
      </c>
    </row>
    <row r="39" spans="1:5" ht="15.75">
      <c r="A39" s="1289"/>
      <c r="B39" s="1299" t="s">
        <v>475</v>
      </c>
      <c r="C39" s="1291" t="s">
        <v>460</v>
      </c>
      <c r="D39" s="1284"/>
      <c r="E39" s="1293" t="s">
        <v>436</v>
      </c>
    </row>
    <row r="40" spans="1:5" ht="15.75">
      <c r="A40" s="1289"/>
      <c r="B40" s="1836" t="s">
        <v>476</v>
      </c>
      <c r="C40" s="1291" t="s">
        <v>464</v>
      </c>
      <c r="D40" s="1284"/>
      <c r="E40" s="1293" t="s">
        <v>436</v>
      </c>
    </row>
    <row r="41" spans="1:5" ht="15.75">
      <c r="A41" s="1289"/>
      <c r="B41" s="1837"/>
      <c r="C41" s="1291" t="s">
        <v>465</v>
      </c>
      <c r="D41" s="1284"/>
      <c r="E41" s="1293" t="s">
        <v>436</v>
      </c>
    </row>
    <row r="42" spans="1:5" ht="15.75">
      <c r="A42" s="1289"/>
      <c r="B42" s="1299" t="s">
        <v>477</v>
      </c>
      <c r="C42" s="1291" t="s">
        <v>468</v>
      </c>
      <c r="D42" s="1284"/>
      <c r="E42" s="1293" t="s">
        <v>436</v>
      </c>
    </row>
    <row r="43" spans="1:5" ht="15.75">
      <c r="A43" s="1282">
        <v>7</v>
      </c>
      <c r="B43" s="1283" t="s">
        <v>478</v>
      </c>
      <c r="C43" s="1283" t="s">
        <v>479</v>
      </c>
      <c r="D43" s="1284">
        <v>0.01</v>
      </c>
      <c r="E43" s="1285" t="s">
        <v>436</v>
      </c>
    </row>
    <row r="44" spans="1:5" ht="15.75">
      <c r="A44" s="1311">
        <v>8</v>
      </c>
      <c r="B44" s="1312" t="s">
        <v>427</v>
      </c>
      <c r="C44" s="1313" t="s">
        <v>480</v>
      </c>
      <c r="D44" s="1314">
        <v>0.03</v>
      </c>
      <c r="E44" s="1315" t="s">
        <v>436</v>
      </c>
    </row>
    <row r="45" spans="1:5">
      <c r="A45" s="1316"/>
      <c r="B45" s="1316"/>
      <c r="C45" s="1316"/>
      <c r="D45" s="1316"/>
      <c r="E45" s="1316"/>
    </row>
  </sheetData>
  <sheetProtection formatCells="0" formatColumns="0" formatRows="0"/>
  <protectedRanges>
    <protectedRange sqref="D4 D6:D24 D26:D32 D35:D44" name="区域1"/>
  </protectedRanges>
  <mergeCells count="3">
    <mergeCell ref="A1:D1"/>
    <mergeCell ref="B30:B32"/>
    <mergeCell ref="B40:B41"/>
  </mergeCells>
  <phoneticPr fontId="102" type="noConversion"/>
  <hyperlinks>
    <hyperlink ref="E1" location="目录!A1" display="返回目录"/>
  </hyperlinks>
  <pageMargins left="0.69930555555555596" right="0.69930555555555596"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47"/>
  <sheetViews>
    <sheetView showGridLines="0" workbookViewId="0">
      <selection activeCell="E5" sqref="E5"/>
    </sheetView>
  </sheetViews>
  <sheetFormatPr defaultColWidth="9" defaultRowHeight="13.5"/>
  <cols>
    <col min="1" max="1" width="4.375" style="912" customWidth="1"/>
    <col min="2" max="2" width="27.375" style="912" customWidth="1"/>
    <col min="3" max="4" width="14.125" style="912" customWidth="1"/>
    <col min="5" max="5" width="12" style="912" customWidth="1"/>
    <col min="6" max="6" width="15.25" style="912" customWidth="1"/>
    <col min="7" max="7" width="11.125" style="912" customWidth="1"/>
    <col min="8" max="8" width="9" style="912"/>
    <col min="9" max="9" width="10.875" style="912" customWidth="1"/>
    <col min="10" max="16384" width="9" style="912"/>
  </cols>
  <sheetData>
    <row r="1" spans="1:8" ht="30.75" customHeight="1">
      <c r="A1" s="605"/>
      <c r="B1" s="1229" t="str">
        <f>"项目"&amp;'1.参数设置'!E4&amp;"参数设置表"</f>
        <v>项目拿地阶段参数设置表</v>
      </c>
      <c r="C1" s="605"/>
      <c r="D1" s="605"/>
      <c r="E1" s="353" t="s">
        <v>117</v>
      </c>
      <c r="F1" s="605"/>
      <c r="G1" s="605"/>
      <c r="H1" s="605"/>
    </row>
    <row r="2" spans="1:8" ht="21.75" customHeight="1">
      <c r="A2" s="605"/>
      <c r="B2" s="350" t="s">
        <v>118</v>
      </c>
      <c r="C2" s="605"/>
      <c r="D2" s="350" t="s">
        <v>119</v>
      </c>
      <c r="E2" s="1230">
        <v>43210</v>
      </c>
      <c r="F2" s="605"/>
      <c r="G2" s="605"/>
      <c r="H2" s="605"/>
    </row>
    <row r="3" spans="1:8" ht="21.75" customHeight="1">
      <c r="A3" s="605"/>
      <c r="B3" s="517" t="s">
        <v>120</v>
      </c>
      <c r="C3" s="605"/>
      <c r="D3" s="351"/>
      <c r="E3" s="1231"/>
      <c r="F3" s="605"/>
      <c r="G3" s="605"/>
      <c r="H3" s="605"/>
    </row>
    <row r="4" spans="1:8" ht="22.5" customHeight="1">
      <c r="A4" s="605"/>
      <c r="B4" s="689" t="s">
        <v>481</v>
      </c>
      <c r="C4" s="1232">
        <v>2018</v>
      </c>
      <c r="D4" s="689" t="s">
        <v>122</v>
      </c>
      <c r="E4" s="1232" t="s">
        <v>482</v>
      </c>
      <c r="F4" s="605"/>
      <c r="G4" s="605"/>
      <c r="H4" s="605"/>
    </row>
    <row r="5" spans="1:8" ht="22.5" customHeight="1">
      <c r="A5" s="605"/>
      <c r="B5" s="689" t="s">
        <v>483</v>
      </c>
      <c r="C5" s="1233">
        <v>2.5000000000000001E-2</v>
      </c>
      <c r="D5" s="689" t="s">
        <v>484</v>
      </c>
      <c r="E5" s="1233">
        <v>0.02</v>
      </c>
      <c r="F5" s="605"/>
      <c r="G5" s="605"/>
      <c r="H5" s="605"/>
    </row>
    <row r="6" spans="1:8" ht="22.5" customHeight="1">
      <c r="A6" s="605"/>
      <c r="B6" s="689" t="s">
        <v>485</v>
      </c>
      <c r="C6" s="1234">
        <f>'17.财务费用测算表'!D19</f>
        <v>8.5000000000000006E-2</v>
      </c>
      <c r="D6" s="689" t="s">
        <v>486</v>
      </c>
      <c r="E6" s="1235">
        <v>1</v>
      </c>
      <c r="F6" s="605"/>
      <c r="G6" s="605"/>
      <c r="H6" s="605"/>
    </row>
    <row r="7" spans="1:8" ht="22.5" customHeight="1">
      <c r="A7" s="605"/>
      <c r="B7" s="689" t="s">
        <v>487</v>
      </c>
      <c r="C7" s="1232" t="s">
        <v>5</v>
      </c>
      <c r="D7" s="689" t="s">
        <v>488</v>
      </c>
      <c r="E7" s="1236" t="str">
        <f>YEAR(F7)&amp;"年"&amp;G7&amp;"季度"</f>
        <v>2020年4季度</v>
      </c>
      <c r="F7" s="1237">
        <f>MAX('9.项目开发计划表'!AB5:AC5)</f>
        <v>44142</v>
      </c>
      <c r="G7" s="1238">
        <f>IF(OR(MONTH(F7)=1,MONTH(F7)=2,MONTH(F7)=3),1,IF(OR(MONTH(F7)=4,MONTH(F7)=5,MONTH(F7)=6),2,IF(OR(MONTH(F7)=7,MONTH(F7)=8,MONTH(F7)=9),3,4)))</f>
        <v>4</v>
      </c>
      <c r="H7" s="605"/>
    </row>
    <row r="8" spans="1:8" ht="22.5" customHeight="1">
      <c r="A8" s="605"/>
      <c r="B8" s="689" t="s">
        <v>489</v>
      </c>
      <c r="C8" s="1239" t="s">
        <v>259</v>
      </c>
      <c r="D8" s="1240" t="s">
        <v>490</v>
      </c>
      <c r="E8" s="1239" t="s">
        <v>259</v>
      </c>
      <c r="F8" s="1240" t="s">
        <v>491</v>
      </c>
      <c r="G8" s="1239" t="s">
        <v>259</v>
      </c>
      <c r="H8" s="605"/>
    </row>
    <row r="9" spans="1:8" ht="22.5" customHeight="1">
      <c r="A9" s="605"/>
      <c r="B9" s="689" t="s">
        <v>492</v>
      </c>
      <c r="C9" s="1241">
        <f>IF(C7="一类区域",15%,IF(C7="二类区域",13%,11%))</f>
        <v>0.13</v>
      </c>
      <c r="D9" s="689" t="s">
        <v>493</v>
      </c>
      <c r="E9" s="1242">
        <f>(1+C9)^(1/4)-1</f>
        <v>3.1025984771220427E-2</v>
      </c>
      <c r="F9" s="1243"/>
      <c r="G9" s="358"/>
      <c r="H9" s="605"/>
    </row>
    <row r="10" spans="1:8" ht="22.5" customHeight="1">
      <c r="A10" s="605"/>
      <c r="B10" s="689" t="s">
        <v>494</v>
      </c>
      <c r="C10" s="1244">
        <v>2020</v>
      </c>
      <c r="D10" s="1232">
        <v>1</v>
      </c>
      <c r="E10" s="1240" t="s">
        <v>495</v>
      </c>
      <c r="F10" s="1232"/>
      <c r="G10" s="1232"/>
      <c r="H10" s="358"/>
    </row>
    <row r="11" spans="1:8" ht="22.5" customHeight="1">
      <c r="A11" s="605"/>
      <c r="B11" s="689" t="s">
        <v>496</v>
      </c>
      <c r="C11" s="1244"/>
      <c r="D11" s="1232"/>
      <c r="E11" s="1240" t="s">
        <v>497</v>
      </c>
      <c r="F11" s="1232"/>
      <c r="G11" s="1232"/>
      <c r="H11" s="358"/>
    </row>
    <row r="12" spans="1:8" ht="22.5" customHeight="1">
      <c r="A12" s="605"/>
      <c r="B12" s="689" t="s">
        <v>498</v>
      </c>
      <c r="C12" s="1244"/>
      <c r="D12" s="1232"/>
      <c r="E12" s="1240" t="s">
        <v>499</v>
      </c>
      <c r="F12" s="1232"/>
      <c r="G12" s="1232"/>
      <c r="H12" s="358"/>
    </row>
    <row r="13" spans="1:8" ht="22.5" customHeight="1">
      <c r="A13" s="605"/>
      <c r="B13" s="1245"/>
      <c r="C13" s="1246"/>
      <c r="D13" s="1246"/>
      <c r="E13" s="1246"/>
      <c r="F13" s="1246"/>
      <c r="G13" s="605"/>
      <c r="H13" s="605"/>
    </row>
    <row r="14" spans="1:8" ht="7.5" customHeight="1">
      <c r="A14" s="605"/>
      <c r="B14" s="1245"/>
      <c r="C14" s="1246"/>
      <c r="D14" s="1246"/>
      <c r="E14" s="1246"/>
      <c r="F14" s="1246"/>
      <c r="G14" s="605"/>
      <c r="H14" s="605"/>
    </row>
    <row r="15" spans="1:8" ht="22.5" customHeight="1">
      <c r="A15" s="605"/>
      <c r="B15" s="141" t="s">
        <v>500</v>
      </c>
      <c r="C15" s="78"/>
      <c r="D15" s="1247"/>
      <c r="E15" s="1246"/>
      <c r="F15" s="605"/>
      <c r="G15" s="605"/>
      <c r="H15" s="605"/>
    </row>
    <row r="16" spans="1:8" ht="22.5" customHeight="1">
      <c r="A16" s="605"/>
      <c r="B16" s="689" t="s">
        <v>501</v>
      </c>
      <c r="C16" s="1248" t="s">
        <v>502</v>
      </c>
      <c r="D16" s="1249"/>
      <c r="E16" s="1250"/>
      <c r="F16" s="1251"/>
      <c r="G16" s="605"/>
      <c r="H16" s="605"/>
    </row>
    <row r="17" spans="1:14" ht="22.5" customHeight="1">
      <c r="A17" s="605"/>
      <c r="B17" s="689" t="s">
        <v>503</v>
      </c>
      <c r="C17" s="1248" t="s">
        <v>504</v>
      </c>
      <c r="D17" s="1249"/>
      <c r="E17" s="1246"/>
      <c r="F17" s="605"/>
      <c r="G17" s="605"/>
      <c r="H17" s="605"/>
    </row>
    <row r="18" spans="1:14" ht="22.5" customHeight="1">
      <c r="A18" s="605"/>
      <c r="B18" s="689" t="s">
        <v>505</v>
      </c>
      <c r="C18" s="1248" t="s">
        <v>372</v>
      </c>
      <c r="D18" s="1249"/>
      <c r="E18" s="1252" t="s">
        <v>506</v>
      </c>
      <c r="F18" s="1253"/>
      <c r="G18" s="1253"/>
      <c r="H18" s="1246"/>
      <c r="I18" s="82" t="s">
        <v>507</v>
      </c>
      <c r="J18" s="78"/>
      <c r="K18" s="78"/>
      <c r="L18" s="1260"/>
      <c r="M18" s="78"/>
      <c r="N18" s="78"/>
    </row>
    <row r="19" spans="1:14" ht="22.5" customHeight="1">
      <c r="A19" s="605"/>
      <c r="B19" s="689" t="s">
        <v>508</v>
      </c>
      <c r="C19" s="1254">
        <f>'8.项目规划指标表'!C22/10000</f>
        <v>8.1953999999999994</v>
      </c>
      <c r="D19" s="1255" t="s">
        <v>509</v>
      </c>
      <c r="E19" s="1256" t="s">
        <v>510</v>
      </c>
      <c r="F19" s="1256" t="s">
        <v>511</v>
      </c>
      <c r="G19" s="1256" t="s">
        <v>502</v>
      </c>
      <c r="H19" s="1257"/>
      <c r="I19" s="1839" t="s">
        <v>510</v>
      </c>
      <c r="J19" s="1838" t="s">
        <v>511</v>
      </c>
      <c r="K19" s="1838"/>
      <c r="L19" s="1838"/>
      <c r="M19" s="1838" t="s">
        <v>502</v>
      </c>
      <c r="N19" s="1838"/>
    </row>
    <row r="20" spans="1:14" ht="22.5" customHeight="1">
      <c r="A20" s="605"/>
      <c r="B20" s="689" t="s">
        <v>512</v>
      </c>
      <c r="C20" s="687">
        <f>IFERROR(VLOOKUP(C19,E20:G23,MATCH(C16,F19:G19,0)+1,TRUE),0)</f>
        <v>8</v>
      </c>
      <c r="D20" s="1249"/>
      <c r="E20" s="1258">
        <v>0</v>
      </c>
      <c r="F20" s="1248">
        <v>11</v>
      </c>
      <c r="G20" s="1248">
        <v>8</v>
      </c>
      <c r="H20" s="1259"/>
      <c r="I20" s="1840"/>
      <c r="J20" s="1256" t="s">
        <v>513</v>
      </c>
      <c r="K20" s="1256" t="s">
        <v>504</v>
      </c>
      <c r="L20" s="1256" t="s">
        <v>514</v>
      </c>
      <c r="M20" s="1256" t="s">
        <v>513</v>
      </c>
      <c r="N20" s="1256" t="s">
        <v>504</v>
      </c>
    </row>
    <row r="21" spans="1:14" ht="22.5" customHeight="1">
      <c r="A21" s="605"/>
      <c r="B21" s="689" t="s">
        <v>515</v>
      </c>
      <c r="C21" s="687">
        <f>IFERROR(VLOOKUP(C19,I21:N24,MATCH(C17,J20:L20,0)+MATCH(C16,J19:N19,0),TRUE),0)</f>
        <v>32</v>
      </c>
      <c r="D21" s="1249"/>
      <c r="E21" s="1258">
        <v>10</v>
      </c>
      <c r="F21" s="1248">
        <v>8</v>
      </c>
      <c r="G21" s="1248">
        <v>6</v>
      </c>
      <c r="H21" s="1260"/>
      <c r="I21" s="1258">
        <v>0</v>
      </c>
      <c r="J21" s="1248">
        <f>K21*1.1</f>
        <v>46.2</v>
      </c>
      <c r="K21" s="1248">
        <v>42</v>
      </c>
      <c r="L21" s="1248">
        <f t="shared" ref="L21:L24" si="0">K21*0.9</f>
        <v>37.800000000000004</v>
      </c>
      <c r="M21" s="1248">
        <f t="shared" ref="M21:M24" si="1">N21*1.1</f>
        <v>35.200000000000003</v>
      </c>
      <c r="N21" s="1248">
        <v>32</v>
      </c>
    </row>
    <row r="22" spans="1:14" ht="22.5" customHeight="1">
      <c r="A22" s="605"/>
      <c r="B22" s="689" t="s">
        <v>516</v>
      </c>
      <c r="C22" s="687">
        <f>IF(C19=0,0,100/C19+IF(C18="是",4,2))</f>
        <v>16.201966957073481</v>
      </c>
      <c r="D22" s="1249"/>
      <c r="E22" s="1258">
        <v>15</v>
      </c>
      <c r="F22" s="1248">
        <v>5</v>
      </c>
      <c r="G22" s="1248">
        <v>4</v>
      </c>
      <c r="H22" s="1260"/>
      <c r="I22" s="1258">
        <v>10</v>
      </c>
      <c r="J22" s="1248">
        <f t="shared" ref="J22:J24" si="2">K22*1.1</f>
        <v>22</v>
      </c>
      <c r="K22" s="1248">
        <v>20</v>
      </c>
      <c r="L22" s="1248">
        <f t="shared" si="0"/>
        <v>18</v>
      </c>
      <c r="M22" s="1248">
        <f t="shared" si="1"/>
        <v>17.600000000000001</v>
      </c>
      <c r="N22" s="1248">
        <v>16</v>
      </c>
    </row>
    <row r="23" spans="1:14" ht="22.5" customHeight="1">
      <c r="A23" s="605"/>
      <c r="B23" s="1261" t="s">
        <v>517</v>
      </c>
      <c r="C23" s="1262">
        <f>SUM(C20:C22)*C19</f>
        <v>460.59759999999994</v>
      </c>
      <c r="D23" s="1249"/>
      <c r="E23" s="1258">
        <v>20</v>
      </c>
      <c r="F23" s="1248">
        <v>3.5</v>
      </c>
      <c r="G23" s="1248">
        <v>3</v>
      </c>
      <c r="H23" s="1260"/>
      <c r="I23" s="1258">
        <v>15</v>
      </c>
      <c r="J23" s="1248">
        <f t="shared" si="2"/>
        <v>17.600000000000001</v>
      </c>
      <c r="K23" s="1248">
        <v>16</v>
      </c>
      <c r="L23" s="1248">
        <f t="shared" si="0"/>
        <v>14.4</v>
      </c>
      <c r="M23" s="1248">
        <f t="shared" si="1"/>
        <v>14.3</v>
      </c>
      <c r="N23" s="1248">
        <v>13</v>
      </c>
    </row>
    <row r="24" spans="1:14" ht="22.5" customHeight="1">
      <c r="A24" s="605"/>
      <c r="B24" s="1261" t="s">
        <v>518</v>
      </c>
      <c r="C24" s="1262">
        <f>IF('8.项目规划指标表'!E16=0,0,C23/'8.项目规划指标表'!E16*10000)</f>
        <v>77.100368262470695</v>
      </c>
      <c r="D24" s="1249"/>
      <c r="H24" s="1260"/>
      <c r="I24" s="1258">
        <v>20</v>
      </c>
      <c r="J24" s="1248">
        <f t="shared" si="2"/>
        <v>15.400000000000002</v>
      </c>
      <c r="K24" s="1248">
        <v>14</v>
      </c>
      <c r="L24" s="1248">
        <f t="shared" si="0"/>
        <v>12.6</v>
      </c>
      <c r="M24" s="1248">
        <f t="shared" si="1"/>
        <v>12.100000000000001</v>
      </c>
      <c r="N24" s="1248">
        <v>11</v>
      </c>
    </row>
    <row r="25" spans="1:14" ht="15" customHeight="1">
      <c r="A25" s="605"/>
      <c r="B25" s="1263"/>
      <c r="C25" s="1263"/>
      <c r="D25" s="1246"/>
    </row>
    <row r="26" spans="1:14" s="1227" customFormat="1" ht="22.5" customHeight="1">
      <c r="A26" s="1246"/>
      <c r="B26" s="1264" t="s">
        <v>519</v>
      </c>
      <c r="C26" s="1265"/>
      <c r="D26" s="1266"/>
      <c r="E26" s="1246"/>
      <c r="F26" s="1246"/>
      <c r="G26" s="1246"/>
      <c r="H26" s="1246"/>
    </row>
    <row r="27" spans="1:14" s="1228" customFormat="1" ht="22.5" customHeight="1">
      <c r="A27" s="1251"/>
      <c r="B27" s="1267" t="s">
        <v>520</v>
      </c>
      <c r="C27" s="1268" t="s">
        <v>19</v>
      </c>
      <c r="D27" s="1268" t="s">
        <v>20</v>
      </c>
      <c r="E27" s="1268" t="s">
        <v>21</v>
      </c>
      <c r="F27" s="1268" t="s">
        <v>22</v>
      </c>
      <c r="G27" s="1268" t="s">
        <v>23</v>
      </c>
      <c r="H27" s="1268" t="s">
        <v>24</v>
      </c>
    </row>
    <row r="28" spans="1:14" ht="18" customHeight="1">
      <c r="A28" s="605"/>
      <c r="B28" s="1269" t="s">
        <v>521</v>
      </c>
      <c r="C28" s="1270">
        <v>0.02</v>
      </c>
      <c r="D28" s="1270"/>
      <c r="E28" s="1270"/>
      <c r="F28" s="1270"/>
      <c r="G28" s="1270"/>
      <c r="H28" s="1270"/>
      <c r="J28" s="1273" t="s">
        <v>522</v>
      </c>
    </row>
    <row r="29" spans="1:14" ht="18" customHeight="1">
      <c r="A29" s="605"/>
      <c r="B29" s="1269" t="s">
        <v>523</v>
      </c>
      <c r="C29" s="1270">
        <v>0.01</v>
      </c>
      <c r="D29" s="1270"/>
      <c r="E29" s="1270"/>
      <c r="F29" s="1270"/>
      <c r="G29" s="1270"/>
      <c r="H29" s="1270"/>
    </row>
    <row r="30" spans="1:14" ht="18" customHeight="1">
      <c r="A30" s="605"/>
      <c r="B30" s="1269" t="s">
        <v>524</v>
      </c>
      <c r="C30" s="1270">
        <v>0</v>
      </c>
      <c r="D30" s="1270"/>
      <c r="E30" s="1270"/>
      <c r="F30" s="1270"/>
      <c r="G30" s="1270"/>
      <c r="H30" s="1270"/>
    </row>
    <row r="31" spans="1:14" ht="18" customHeight="1">
      <c r="A31" s="605"/>
      <c r="B31" s="1269" t="s">
        <v>525</v>
      </c>
      <c r="C31" s="1270">
        <v>0.05</v>
      </c>
      <c r="D31" s="1270"/>
      <c r="E31" s="1270"/>
      <c r="F31" s="1270"/>
      <c r="G31" s="1270"/>
      <c r="H31" s="1270"/>
    </row>
    <row r="32" spans="1:14" ht="18" customHeight="1">
      <c r="A32" s="605"/>
      <c r="B32" s="366" t="s">
        <v>526</v>
      </c>
      <c r="C32" s="1270">
        <v>0</v>
      </c>
      <c r="D32" s="1270"/>
      <c r="E32" s="1270"/>
      <c r="F32" s="1270"/>
      <c r="G32" s="1270"/>
      <c r="H32" s="1270"/>
    </row>
    <row r="33" spans="1:8" ht="18" customHeight="1">
      <c r="A33" s="605"/>
      <c r="B33" s="366" t="s">
        <v>527</v>
      </c>
      <c r="C33" s="1271">
        <f>IFERROR('13.建安成本表'!E117/'13.建安成本表'!E5,0)</f>
        <v>1.4767224874522816E-2</v>
      </c>
      <c r="D33" s="1271">
        <f>IFERROR('13.建安成本表'!H117/'13.建安成本表'!H5,0)</f>
        <v>0</v>
      </c>
      <c r="E33" s="1271">
        <f>IFERROR('13.建安成本表'!K117/'13.建安成本表'!K5,0)</f>
        <v>0</v>
      </c>
      <c r="F33" s="1271">
        <f>IFERROR('13.建安成本表'!N117/'13.建安成本表'!N5,0)</f>
        <v>0</v>
      </c>
      <c r="G33" s="1271">
        <f>IFERROR('13.建安成本表'!Q117/'13.建安成本表'!Q5,0)</f>
        <v>0</v>
      </c>
      <c r="H33" s="1271">
        <f>IFERROR('13.建安成本表'!T117/'13.建安成本表'!T5,0)</f>
        <v>0</v>
      </c>
    </row>
    <row r="34" spans="1:8" ht="18" customHeight="1">
      <c r="A34" s="605"/>
      <c r="B34" s="366" t="s">
        <v>528</v>
      </c>
      <c r="C34" s="1272">
        <f>1-SUM(C28:C33)</f>
        <v>0.90523277512547717</v>
      </c>
      <c r="D34" s="1272">
        <f t="shared" ref="D34:H34" si="3">1-SUM(D28:D33)</f>
        <v>1</v>
      </c>
      <c r="E34" s="1272">
        <f t="shared" si="3"/>
        <v>1</v>
      </c>
      <c r="F34" s="1272">
        <f t="shared" si="3"/>
        <v>1</v>
      </c>
      <c r="G34" s="1272">
        <f t="shared" si="3"/>
        <v>1</v>
      </c>
      <c r="H34" s="1272">
        <f t="shared" si="3"/>
        <v>1</v>
      </c>
    </row>
    <row r="35" spans="1:8" ht="22.5" customHeight="1">
      <c r="A35" s="605"/>
      <c r="B35" s="1246"/>
      <c r="C35" s="1246"/>
      <c r="D35" s="1246"/>
      <c r="E35" s="1246"/>
      <c r="F35" s="605"/>
      <c r="G35" s="605"/>
      <c r="H35" s="605"/>
    </row>
    <row r="36" spans="1:8" ht="12.75" customHeight="1">
      <c r="E36" s="78"/>
      <c r="F36" s="78"/>
      <c r="G36" s="605"/>
      <c r="H36" s="605"/>
    </row>
    <row r="37" spans="1:8" ht="12.75" customHeight="1">
      <c r="E37" s="78"/>
      <c r="F37" s="78"/>
      <c r="G37" s="605"/>
      <c r="H37" s="605"/>
    </row>
    <row r="38" spans="1:8">
      <c r="G38" s="605"/>
      <c r="H38" s="605"/>
    </row>
    <row r="39" spans="1:8">
      <c r="G39" s="605"/>
      <c r="H39" s="605"/>
    </row>
    <row r="40" spans="1:8">
      <c r="G40" s="605"/>
      <c r="H40" s="605"/>
    </row>
    <row r="41" spans="1:8">
      <c r="G41" s="605"/>
      <c r="H41" s="605"/>
    </row>
    <row r="42" spans="1:8">
      <c r="G42" s="605"/>
      <c r="H42" s="605"/>
    </row>
    <row r="43" spans="1:8">
      <c r="G43" s="605"/>
      <c r="H43" s="605"/>
    </row>
    <row r="44" spans="1:8">
      <c r="G44" s="605"/>
      <c r="H44" s="605"/>
    </row>
    <row r="45" spans="1:8">
      <c r="A45" s="78"/>
      <c r="B45" s="78"/>
      <c r="C45" s="78"/>
      <c r="D45" s="1260"/>
      <c r="E45" s="78"/>
      <c r="F45" s="78"/>
      <c r="G45" s="605"/>
      <c r="H45" s="605"/>
    </row>
    <row r="46" spans="1:8">
      <c r="A46" s="78"/>
      <c r="B46" s="78"/>
      <c r="C46" s="78"/>
      <c r="D46" s="1260"/>
      <c r="E46" s="78"/>
      <c r="F46" s="78"/>
      <c r="G46" s="605"/>
      <c r="H46" s="605"/>
    </row>
    <row r="47" spans="1:8">
      <c r="A47" s="78"/>
      <c r="B47" s="78"/>
      <c r="C47" s="78"/>
      <c r="D47" s="1260"/>
      <c r="E47" s="78"/>
      <c r="F47" s="78"/>
      <c r="G47" s="605"/>
      <c r="H47" s="605"/>
    </row>
  </sheetData>
  <sheetProtection formatCells="0" formatColumns="0" formatRows="0"/>
  <protectedRanges>
    <protectedRange sqref="C16:C18" name="区域1"/>
    <protectedRange sqref="E2:E3" name="区域1_1"/>
  </protectedRanges>
  <mergeCells count="3">
    <mergeCell ref="J19:L19"/>
    <mergeCell ref="M19:N19"/>
    <mergeCell ref="I19:I20"/>
  </mergeCells>
  <phoneticPr fontId="102" type="noConversion"/>
  <dataValidations count="7">
    <dataValidation type="list" allowBlank="1" showInputMessage="1" showErrorMessage="1" sqref="C4 C10:C12 F10:F12">
      <formula1>"2016,2017,2018,2019,2020,2021,2022,2023,2024,2025,2026"</formula1>
    </dataValidation>
    <dataValidation type="list" allowBlank="1" showInputMessage="1" showErrorMessage="1" sqref="E4">
      <formula1>"拿地阶段,启动会阶段,方案初案阶段,方案定案阶段,施工图阶段"</formula1>
    </dataValidation>
    <dataValidation type="list" allowBlank="1" showInputMessage="1" showErrorMessage="1" sqref="C7">
      <formula1>"一类区域,二类区域,三类区域"</formula1>
    </dataValidation>
    <dataValidation type="list" allowBlank="1" showInputMessage="1" showErrorMessage="1" sqref="C16">
      <formula1>"一类,二类"</formula1>
    </dataValidation>
    <dataValidation type="list" allowBlank="1" showInputMessage="1" showErrorMessage="1" sqref="C17">
      <formula1>"高档,中档,低档"</formula1>
    </dataValidation>
    <dataValidation type="list" allowBlank="1" showInputMessage="1" showErrorMessage="1" sqref="C18">
      <formula1>"是,否"</formula1>
    </dataValidation>
    <dataValidation type="list" allowBlank="1" showInputMessage="1" showErrorMessage="1" sqref="D10:D12 G10:G12">
      <formula1>"1,2,3,4"</formula1>
    </dataValidation>
  </dataValidations>
  <hyperlinks>
    <hyperlink ref="E1" location="目录!A1" display="返回目录"/>
  </hyperlinks>
  <pageMargins left="0.69930555555555596" right="0.69930555555555596"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U99"/>
  <sheetViews>
    <sheetView showGridLines="0" workbookViewId="0">
      <pane xSplit="2" ySplit="2" topLeftCell="C3" activePane="bottomRight" state="frozen"/>
      <selection pane="topRight"/>
      <selection pane="bottomLeft"/>
      <selection pane="bottomRight" activeCell="H15" sqref="H15"/>
    </sheetView>
  </sheetViews>
  <sheetFormatPr defaultColWidth="9" defaultRowHeight="12.75"/>
  <cols>
    <col min="1" max="1" width="3.5" style="77" customWidth="1"/>
    <col min="2" max="2" width="20.125" style="77" customWidth="1"/>
    <col min="3" max="3" width="11.75" style="77" customWidth="1"/>
    <col min="4" max="16384" width="9" style="77"/>
  </cols>
  <sheetData>
    <row r="1" spans="1:47" ht="18.75">
      <c r="A1" s="1841" t="s">
        <v>529</v>
      </c>
      <c r="B1" s="1841"/>
      <c r="C1" s="141" t="s">
        <v>530</v>
      </c>
      <c r="D1" s="1139">
        <f>F6+G6</f>
        <v>20220.116314965788</v>
      </c>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row>
    <row r="2" spans="1:47">
      <c r="A2" s="78"/>
      <c r="B2" s="78"/>
      <c r="C2" s="1140" t="s">
        <v>531</v>
      </c>
      <c r="D2" s="1141"/>
      <c r="E2" s="1141"/>
      <c r="F2" s="1142">
        <v>1</v>
      </c>
      <c r="G2" s="1141"/>
      <c r="H2" s="1141"/>
      <c r="I2" s="1141"/>
      <c r="J2" s="1141"/>
      <c r="K2" s="1141"/>
      <c r="L2" s="1141"/>
      <c r="M2" s="1141"/>
      <c r="N2" s="1141"/>
      <c r="O2" s="1141"/>
      <c r="P2" s="1141"/>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row>
    <row r="3" spans="1:47" ht="18" customHeight="1">
      <c r="A3" s="78"/>
      <c r="B3" s="81" t="s">
        <v>532</v>
      </c>
      <c r="C3" s="78"/>
      <c r="D3" s="81" t="s">
        <v>533</v>
      </c>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c r="AT3" s="78"/>
      <c r="AU3" s="78"/>
    </row>
    <row r="4" spans="1:47" ht="16.5" customHeight="1">
      <c r="A4" s="78"/>
      <c r="B4" s="1850" t="s">
        <v>534</v>
      </c>
      <c r="C4" s="1854" t="s">
        <v>535</v>
      </c>
      <c r="D4" s="1842">
        <f>'1.参数设置'!C4</f>
        <v>2018</v>
      </c>
      <c r="E4" s="1843"/>
      <c r="F4" s="1843"/>
      <c r="G4" s="1844"/>
      <c r="H4" s="1845">
        <f>D4+1</f>
        <v>2019</v>
      </c>
      <c r="I4" s="1846"/>
      <c r="J4" s="1846"/>
      <c r="K4" s="1846"/>
      <c r="L4" s="1846">
        <f>H4+1</f>
        <v>2020</v>
      </c>
      <c r="M4" s="1846"/>
      <c r="N4" s="1846"/>
      <c r="O4" s="1846"/>
      <c r="P4" s="1846">
        <f>L4+1</f>
        <v>2021</v>
      </c>
      <c r="Q4" s="1846"/>
      <c r="R4" s="1846"/>
      <c r="S4" s="1846"/>
      <c r="T4" s="1846">
        <f>P4+1</f>
        <v>2022</v>
      </c>
      <c r="U4" s="1846"/>
      <c r="V4" s="1846"/>
      <c r="W4" s="1846"/>
      <c r="X4" s="1846">
        <f>T4+1</f>
        <v>2023</v>
      </c>
      <c r="Y4" s="1846"/>
      <c r="Z4" s="1846"/>
      <c r="AA4" s="1846"/>
      <c r="AB4" s="1846">
        <f>X4+1</f>
        <v>2024</v>
      </c>
      <c r="AC4" s="1846"/>
      <c r="AD4" s="1846"/>
      <c r="AE4" s="1846"/>
      <c r="AF4" s="1846">
        <f>AB4+1</f>
        <v>2025</v>
      </c>
      <c r="AG4" s="1846"/>
      <c r="AH4" s="1846"/>
      <c r="AI4" s="1846"/>
      <c r="AJ4" s="1846">
        <f>AF4+1</f>
        <v>2026</v>
      </c>
      <c r="AK4" s="1846"/>
      <c r="AL4" s="1846"/>
      <c r="AM4" s="1846"/>
      <c r="AN4" s="1846">
        <f>AJ4+1</f>
        <v>2027</v>
      </c>
      <c r="AO4" s="1846"/>
      <c r="AP4" s="1846"/>
      <c r="AQ4" s="1846"/>
      <c r="AR4" s="1846">
        <f>AN4+1</f>
        <v>2028</v>
      </c>
      <c r="AS4" s="1846"/>
      <c r="AT4" s="1846"/>
      <c r="AU4" s="1847"/>
    </row>
    <row r="5" spans="1:47" ht="16.5" customHeight="1">
      <c r="A5" s="78"/>
      <c r="B5" s="1851"/>
      <c r="C5" s="1855"/>
      <c r="D5" s="1143">
        <v>1</v>
      </c>
      <c r="E5" s="1144">
        <v>2</v>
      </c>
      <c r="F5" s="1144">
        <v>3</v>
      </c>
      <c r="G5" s="1145">
        <v>4</v>
      </c>
      <c r="H5" s="1143">
        <f t="shared" ref="H5:AU5" si="0">D5</f>
        <v>1</v>
      </c>
      <c r="I5" s="1144">
        <f t="shared" si="0"/>
        <v>2</v>
      </c>
      <c r="J5" s="1144">
        <f t="shared" si="0"/>
        <v>3</v>
      </c>
      <c r="K5" s="1145">
        <f t="shared" si="0"/>
        <v>4</v>
      </c>
      <c r="L5" s="1143">
        <f t="shared" si="0"/>
        <v>1</v>
      </c>
      <c r="M5" s="1144">
        <f t="shared" si="0"/>
        <v>2</v>
      </c>
      <c r="N5" s="1144">
        <f t="shared" si="0"/>
        <v>3</v>
      </c>
      <c r="O5" s="1145">
        <f t="shared" si="0"/>
        <v>4</v>
      </c>
      <c r="P5" s="1143">
        <f t="shared" si="0"/>
        <v>1</v>
      </c>
      <c r="Q5" s="1144">
        <f t="shared" si="0"/>
        <v>2</v>
      </c>
      <c r="R5" s="1144">
        <f t="shared" si="0"/>
        <v>3</v>
      </c>
      <c r="S5" s="1145">
        <f t="shared" si="0"/>
        <v>4</v>
      </c>
      <c r="T5" s="1143">
        <f t="shared" si="0"/>
        <v>1</v>
      </c>
      <c r="U5" s="1144">
        <f t="shared" si="0"/>
        <v>2</v>
      </c>
      <c r="V5" s="1144">
        <f t="shared" si="0"/>
        <v>3</v>
      </c>
      <c r="W5" s="1145">
        <f t="shared" si="0"/>
        <v>4</v>
      </c>
      <c r="X5" s="1143">
        <f t="shared" si="0"/>
        <v>1</v>
      </c>
      <c r="Y5" s="1144">
        <f t="shared" si="0"/>
        <v>2</v>
      </c>
      <c r="Z5" s="1144">
        <f t="shared" si="0"/>
        <v>3</v>
      </c>
      <c r="AA5" s="1145">
        <f t="shared" si="0"/>
        <v>4</v>
      </c>
      <c r="AB5" s="1143">
        <f t="shared" si="0"/>
        <v>1</v>
      </c>
      <c r="AC5" s="1144">
        <f t="shared" si="0"/>
        <v>2</v>
      </c>
      <c r="AD5" s="1144">
        <f t="shared" si="0"/>
        <v>3</v>
      </c>
      <c r="AE5" s="1145">
        <f t="shared" si="0"/>
        <v>4</v>
      </c>
      <c r="AF5" s="1143">
        <f t="shared" si="0"/>
        <v>1</v>
      </c>
      <c r="AG5" s="1144">
        <f t="shared" si="0"/>
        <v>2</v>
      </c>
      <c r="AH5" s="1144">
        <f t="shared" si="0"/>
        <v>3</v>
      </c>
      <c r="AI5" s="1145">
        <f t="shared" si="0"/>
        <v>4</v>
      </c>
      <c r="AJ5" s="1143">
        <f t="shared" si="0"/>
        <v>1</v>
      </c>
      <c r="AK5" s="1144">
        <f t="shared" si="0"/>
        <v>2</v>
      </c>
      <c r="AL5" s="1144">
        <f t="shared" si="0"/>
        <v>3</v>
      </c>
      <c r="AM5" s="1145">
        <f t="shared" si="0"/>
        <v>4</v>
      </c>
      <c r="AN5" s="1143">
        <f t="shared" si="0"/>
        <v>1</v>
      </c>
      <c r="AO5" s="1144">
        <f t="shared" si="0"/>
        <v>2</v>
      </c>
      <c r="AP5" s="1144">
        <f t="shared" si="0"/>
        <v>3</v>
      </c>
      <c r="AQ5" s="1145">
        <f t="shared" si="0"/>
        <v>4</v>
      </c>
      <c r="AR5" s="1143">
        <f t="shared" si="0"/>
        <v>1</v>
      </c>
      <c r="AS5" s="1144">
        <f t="shared" si="0"/>
        <v>2</v>
      </c>
      <c r="AT5" s="1144">
        <f t="shared" si="0"/>
        <v>3</v>
      </c>
      <c r="AU5" s="1218">
        <f t="shared" si="0"/>
        <v>4</v>
      </c>
    </row>
    <row r="6" spans="1:47" ht="17.25" customHeight="1">
      <c r="A6" s="78"/>
      <c r="B6" s="1146" t="s">
        <v>536</v>
      </c>
      <c r="C6" s="1147">
        <f>SUM(D6:AU6)</f>
        <v>20220.116314965788</v>
      </c>
      <c r="D6" s="1148">
        <f>D2*$D$1</f>
        <v>0</v>
      </c>
      <c r="E6" s="1148">
        <f>E2*$D$1</f>
        <v>0</v>
      </c>
      <c r="F6" s="1148">
        <f>支付对价及节点!C12+支付对价及节点!D12</f>
        <v>7150</v>
      </c>
      <c r="G6" s="1148">
        <f>(支付对价及节点!I3+支付对价及节点!I4-支付对价及节点!C12-支付对价及节点!D12)+支付对价及节点!I5+支付对价及节点!I6</f>
        <v>13070.116314965786</v>
      </c>
      <c r="H6" s="1148">
        <f t="shared" ref="H6:AU6" si="1">H2*$D$1</f>
        <v>0</v>
      </c>
      <c r="I6" s="1148">
        <f t="shared" si="1"/>
        <v>0</v>
      </c>
      <c r="J6" s="1148">
        <f t="shared" si="1"/>
        <v>0</v>
      </c>
      <c r="K6" s="1148">
        <f t="shared" si="1"/>
        <v>0</v>
      </c>
      <c r="L6" s="1148">
        <f t="shared" si="1"/>
        <v>0</v>
      </c>
      <c r="M6" s="1148">
        <f t="shared" si="1"/>
        <v>0</v>
      </c>
      <c r="N6" s="1148">
        <f t="shared" si="1"/>
        <v>0</v>
      </c>
      <c r="O6" s="1148">
        <f t="shared" si="1"/>
        <v>0</v>
      </c>
      <c r="P6" s="1148">
        <f t="shared" si="1"/>
        <v>0</v>
      </c>
      <c r="Q6" s="1148">
        <f t="shared" si="1"/>
        <v>0</v>
      </c>
      <c r="R6" s="1148">
        <f t="shared" si="1"/>
        <v>0</v>
      </c>
      <c r="S6" s="1148">
        <f t="shared" si="1"/>
        <v>0</v>
      </c>
      <c r="T6" s="1148">
        <f t="shared" si="1"/>
        <v>0</v>
      </c>
      <c r="U6" s="1148">
        <f t="shared" si="1"/>
        <v>0</v>
      </c>
      <c r="V6" s="1148">
        <f t="shared" si="1"/>
        <v>0</v>
      </c>
      <c r="W6" s="1148">
        <f t="shared" si="1"/>
        <v>0</v>
      </c>
      <c r="X6" s="1148">
        <f t="shared" si="1"/>
        <v>0</v>
      </c>
      <c r="Y6" s="1148">
        <f t="shared" si="1"/>
        <v>0</v>
      </c>
      <c r="Z6" s="1148">
        <f t="shared" si="1"/>
        <v>0</v>
      </c>
      <c r="AA6" s="1148">
        <f t="shared" si="1"/>
        <v>0</v>
      </c>
      <c r="AB6" s="1148">
        <f t="shared" si="1"/>
        <v>0</v>
      </c>
      <c r="AC6" s="1148">
        <f t="shared" si="1"/>
        <v>0</v>
      </c>
      <c r="AD6" s="1148">
        <f t="shared" si="1"/>
        <v>0</v>
      </c>
      <c r="AE6" s="1148">
        <f t="shared" si="1"/>
        <v>0</v>
      </c>
      <c r="AF6" s="1148">
        <f t="shared" si="1"/>
        <v>0</v>
      </c>
      <c r="AG6" s="1148">
        <f t="shared" si="1"/>
        <v>0</v>
      </c>
      <c r="AH6" s="1148">
        <f t="shared" si="1"/>
        <v>0</v>
      </c>
      <c r="AI6" s="1148">
        <f t="shared" si="1"/>
        <v>0</v>
      </c>
      <c r="AJ6" s="1148">
        <f t="shared" si="1"/>
        <v>0</v>
      </c>
      <c r="AK6" s="1148">
        <f t="shared" si="1"/>
        <v>0</v>
      </c>
      <c r="AL6" s="1148">
        <f t="shared" si="1"/>
        <v>0</v>
      </c>
      <c r="AM6" s="1148">
        <f t="shared" si="1"/>
        <v>0</v>
      </c>
      <c r="AN6" s="1148">
        <f t="shared" si="1"/>
        <v>0</v>
      </c>
      <c r="AO6" s="1148">
        <f t="shared" si="1"/>
        <v>0</v>
      </c>
      <c r="AP6" s="1148">
        <f t="shared" si="1"/>
        <v>0</v>
      </c>
      <c r="AQ6" s="1148">
        <f t="shared" si="1"/>
        <v>0</v>
      </c>
      <c r="AR6" s="1148">
        <f t="shared" si="1"/>
        <v>0</v>
      </c>
      <c r="AS6" s="1148">
        <f t="shared" si="1"/>
        <v>0</v>
      </c>
      <c r="AT6" s="1148">
        <f t="shared" si="1"/>
        <v>0</v>
      </c>
      <c r="AU6" s="1148">
        <f t="shared" si="1"/>
        <v>0</v>
      </c>
    </row>
    <row r="7" spans="1:47" ht="17.25" customHeight="1">
      <c r="A7" s="78"/>
      <c r="B7" s="1149" t="s">
        <v>537</v>
      </c>
      <c r="C7" s="1150">
        <f t="shared" ref="C7:C15" si="2">SUM(D7:AU7)</f>
        <v>0</v>
      </c>
      <c r="D7" s="1151"/>
      <c r="E7" s="1152"/>
      <c r="F7" s="1152"/>
      <c r="G7" s="1153"/>
      <c r="H7" s="1154"/>
      <c r="I7" s="1152"/>
      <c r="J7" s="1152"/>
      <c r="K7" s="1153"/>
      <c r="L7" s="1154"/>
      <c r="M7" s="1152"/>
      <c r="N7" s="1152"/>
      <c r="O7" s="1153"/>
      <c r="P7" s="1154"/>
      <c r="Q7" s="1152"/>
      <c r="R7" s="1152"/>
      <c r="S7" s="1153"/>
      <c r="T7" s="1154"/>
      <c r="U7" s="1152"/>
      <c r="V7" s="1152"/>
      <c r="W7" s="1153"/>
      <c r="X7" s="1154"/>
      <c r="Y7" s="1152"/>
      <c r="Z7" s="1152"/>
      <c r="AA7" s="1153"/>
      <c r="AB7" s="1154"/>
      <c r="AC7" s="1152"/>
      <c r="AD7" s="1152"/>
      <c r="AE7" s="1153"/>
      <c r="AF7" s="1154"/>
      <c r="AG7" s="1152"/>
      <c r="AH7" s="1152"/>
      <c r="AI7" s="1153"/>
      <c r="AJ7" s="1154"/>
      <c r="AK7" s="1152"/>
      <c r="AL7" s="1152"/>
      <c r="AM7" s="1153"/>
      <c r="AN7" s="1154"/>
      <c r="AO7" s="1152"/>
      <c r="AP7" s="1152"/>
      <c r="AQ7" s="1153"/>
      <c r="AR7" s="1154"/>
      <c r="AS7" s="1152"/>
      <c r="AT7" s="1152"/>
      <c r="AU7" s="1219"/>
    </row>
    <row r="8" spans="1:47" ht="17.25" customHeight="1">
      <c r="A8" s="78"/>
      <c r="B8" s="1149" t="s">
        <v>538</v>
      </c>
      <c r="C8" s="1150">
        <f t="shared" si="2"/>
        <v>240</v>
      </c>
      <c r="D8" s="1151"/>
      <c r="E8" s="1152"/>
      <c r="F8" s="1152"/>
      <c r="G8" s="1153">
        <v>240</v>
      </c>
      <c r="H8" s="1154"/>
      <c r="I8" s="1152"/>
      <c r="J8" s="1152"/>
      <c r="K8" s="1153"/>
      <c r="L8" s="1154"/>
      <c r="M8" s="1152"/>
      <c r="N8" s="1152"/>
      <c r="O8" s="1153"/>
      <c r="P8" s="1154"/>
      <c r="Q8" s="1152"/>
      <c r="R8" s="1152"/>
      <c r="S8" s="1153"/>
      <c r="T8" s="1154"/>
      <c r="U8" s="1152"/>
      <c r="V8" s="1152"/>
      <c r="W8" s="1153"/>
      <c r="X8" s="1154"/>
      <c r="Y8" s="1152"/>
      <c r="Z8" s="1152"/>
      <c r="AA8" s="1153"/>
      <c r="AB8" s="1154"/>
      <c r="AC8" s="1152"/>
      <c r="AD8" s="1152"/>
      <c r="AE8" s="1153"/>
      <c r="AF8" s="1154"/>
      <c r="AG8" s="1152"/>
      <c r="AH8" s="1152"/>
      <c r="AI8" s="1153"/>
      <c r="AJ8" s="1154"/>
      <c r="AK8" s="1152"/>
      <c r="AL8" s="1152"/>
      <c r="AM8" s="1153"/>
      <c r="AN8" s="1154"/>
      <c r="AO8" s="1152"/>
      <c r="AP8" s="1152"/>
      <c r="AQ8" s="1153"/>
      <c r="AR8" s="1154"/>
      <c r="AS8" s="1152"/>
      <c r="AT8" s="1152"/>
      <c r="AU8" s="1219"/>
    </row>
    <row r="9" spans="1:47" ht="17.25" customHeight="1">
      <c r="A9" s="78"/>
      <c r="B9" s="1149" t="s">
        <v>539</v>
      </c>
      <c r="C9" s="1150">
        <f t="shared" si="2"/>
        <v>0</v>
      </c>
      <c r="D9" s="1151"/>
      <c r="E9" s="1152"/>
      <c r="F9" s="1152"/>
      <c r="G9" s="1153"/>
      <c r="H9" s="1154"/>
      <c r="I9" s="1152"/>
      <c r="J9" s="1152"/>
      <c r="K9" s="1153"/>
      <c r="L9" s="1154"/>
      <c r="M9" s="1152"/>
      <c r="N9" s="1152"/>
      <c r="O9" s="1153"/>
      <c r="P9" s="1154"/>
      <c r="Q9" s="1152"/>
      <c r="R9" s="1152"/>
      <c r="S9" s="1153"/>
      <c r="T9" s="1154"/>
      <c r="U9" s="1152"/>
      <c r="V9" s="1152"/>
      <c r="W9" s="1153"/>
      <c r="X9" s="1154"/>
      <c r="Y9" s="1152"/>
      <c r="Z9" s="1152"/>
      <c r="AA9" s="1153"/>
      <c r="AB9" s="1154"/>
      <c r="AC9" s="1152"/>
      <c r="AD9" s="1152"/>
      <c r="AE9" s="1153"/>
      <c r="AF9" s="1154"/>
      <c r="AG9" s="1152"/>
      <c r="AH9" s="1152"/>
      <c r="AI9" s="1153"/>
      <c r="AJ9" s="1154"/>
      <c r="AK9" s="1152"/>
      <c r="AL9" s="1152"/>
      <c r="AM9" s="1153"/>
      <c r="AN9" s="1154"/>
      <c r="AO9" s="1152"/>
      <c r="AP9" s="1152"/>
      <c r="AQ9" s="1153"/>
      <c r="AR9" s="1154"/>
      <c r="AS9" s="1152"/>
      <c r="AT9" s="1152"/>
      <c r="AU9" s="1219"/>
    </row>
    <row r="10" spans="1:47" ht="17.25" customHeight="1">
      <c r="A10" s="78"/>
      <c r="B10" s="1149" t="s">
        <v>540</v>
      </c>
      <c r="C10" s="1150">
        <f t="shared" si="2"/>
        <v>0</v>
      </c>
      <c r="D10" s="1151"/>
      <c r="E10" s="1152"/>
      <c r="F10" s="1152"/>
      <c r="G10" s="1153"/>
      <c r="H10" s="1152"/>
      <c r="I10" s="1152"/>
      <c r="J10" s="1152"/>
      <c r="K10" s="1153"/>
      <c r="L10" s="1152"/>
      <c r="M10" s="1152"/>
      <c r="N10" s="1152"/>
      <c r="O10" s="1153"/>
      <c r="P10" s="1152"/>
      <c r="Q10" s="1152"/>
      <c r="R10" s="1152"/>
      <c r="S10" s="1153"/>
      <c r="T10" s="1154"/>
      <c r="U10" s="1152"/>
      <c r="V10" s="1152"/>
      <c r="W10" s="1153"/>
      <c r="X10" s="1154"/>
      <c r="Y10" s="1152"/>
      <c r="Z10" s="1152"/>
      <c r="AA10" s="1153"/>
      <c r="AB10" s="1154"/>
      <c r="AC10" s="1152"/>
      <c r="AD10" s="1152"/>
      <c r="AE10" s="1153"/>
      <c r="AF10" s="1154"/>
      <c r="AG10" s="1152"/>
      <c r="AH10" s="1152"/>
      <c r="AI10" s="1153"/>
      <c r="AJ10" s="1154"/>
      <c r="AK10" s="1152"/>
      <c r="AL10" s="1152"/>
      <c r="AM10" s="1153"/>
      <c r="AN10" s="1154"/>
      <c r="AO10" s="1152"/>
      <c r="AP10" s="1152"/>
      <c r="AQ10" s="1153"/>
      <c r="AR10" s="1154"/>
      <c r="AS10" s="1152"/>
      <c r="AT10" s="1152"/>
      <c r="AU10" s="1219"/>
    </row>
    <row r="11" spans="1:47" ht="17.25" customHeight="1">
      <c r="A11" s="78"/>
      <c r="B11" s="1149" t="s">
        <v>541</v>
      </c>
      <c r="C11" s="1150">
        <f t="shared" si="2"/>
        <v>0</v>
      </c>
      <c r="D11" s="1154"/>
      <c r="E11" s="1152"/>
      <c r="F11" s="1152"/>
      <c r="G11" s="1153"/>
      <c r="H11" s="1154"/>
      <c r="I11" s="1152"/>
      <c r="J11" s="1152"/>
      <c r="K11" s="1153"/>
      <c r="L11" s="1154"/>
      <c r="M11" s="1152"/>
      <c r="N11" s="1152"/>
      <c r="O11" s="1153"/>
      <c r="P11" s="1154"/>
      <c r="Q11" s="1152"/>
      <c r="R11" s="1152"/>
      <c r="S11" s="1153"/>
      <c r="T11" s="1154"/>
      <c r="U11" s="1152"/>
      <c r="V11" s="1152"/>
      <c r="W11" s="1153"/>
      <c r="X11" s="1154"/>
      <c r="Y11" s="1152"/>
      <c r="Z11" s="1152"/>
      <c r="AA11" s="1153"/>
      <c r="AB11" s="1154"/>
      <c r="AC11" s="1152"/>
      <c r="AD11" s="1152"/>
      <c r="AE11" s="1153"/>
      <c r="AF11" s="1154"/>
      <c r="AG11" s="1152"/>
      <c r="AH11" s="1152"/>
      <c r="AI11" s="1153"/>
      <c r="AJ11" s="1154"/>
      <c r="AK11" s="1152"/>
      <c r="AL11" s="1152"/>
      <c r="AM11" s="1153"/>
      <c r="AN11" s="1154"/>
      <c r="AO11" s="1152"/>
      <c r="AP11" s="1152"/>
      <c r="AQ11" s="1153"/>
      <c r="AR11" s="1154"/>
      <c r="AS11" s="1152"/>
      <c r="AT11" s="1152"/>
      <c r="AU11" s="1219"/>
    </row>
    <row r="12" spans="1:47" ht="17.25" hidden="1" customHeight="1">
      <c r="A12" s="78"/>
      <c r="B12" s="1149" t="s">
        <v>259</v>
      </c>
      <c r="C12" s="1150">
        <f t="shared" si="2"/>
        <v>0</v>
      </c>
      <c r="D12" s="1155"/>
      <c r="E12" s="1156"/>
      <c r="F12" s="1156"/>
      <c r="G12" s="1157"/>
      <c r="H12" s="1155"/>
      <c r="I12" s="1156"/>
      <c r="J12" s="1156"/>
      <c r="K12" s="1157"/>
      <c r="L12" s="1155"/>
      <c r="M12" s="1156"/>
      <c r="N12" s="1156"/>
      <c r="O12" s="1157"/>
      <c r="P12" s="1155"/>
      <c r="Q12" s="1156"/>
      <c r="R12" s="1156"/>
      <c r="S12" s="1157"/>
      <c r="T12" s="1155"/>
      <c r="U12" s="1156"/>
      <c r="V12" s="1156"/>
      <c r="W12" s="1157"/>
      <c r="X12" s="1155"/>
      <c r="Y12" s="1156"/>
      <c r="Z12" s="1156"/>
      <c r="AA12" s="1157"/>
      <c r="AB12" s="1155"/>
      <c r="AC12" s="1156"/>
      <c r="AD12" s="1156"/>
      <c r="AE12" s="1157"/>
      <c r="AF12" s="1155"/>
      <c r="AG12" s="1156"/>
      <c r="AH12" s="1156"/>
      <c r="AI12" s="1157"/>
      <c r="AJ12" s="1155"/>
      <c r="AK12" s="1156"/>
      <c r="AL12" s="1156"/>
      <c r="AM12" s="1157"/>
      <c r="AN12" s="1155"/>
      <c r="AO12" s="1156"/>
      <c r="AP12" s="1156"/>
      <c r="AQ12" s="1157"/>
      <c r="AR12" s="1155"/>
      <c r="AS12" s="1156"/>
      <c r="AT12" s="1156"/>
      <c r="AU12" s="1220"/>
    </row>
    <row r="13" spans="1:47" ht="17.25" hidden="1" customHeight="1">
      <c r="A13" s="78"/>
      <c r="B13" s="1149" t="s">
        <v>259</v>
      </c>
      <c r="C13" s="1150">
        <f t="shared" si="2"/>
        <v>0</v>
      </c>
      <c r="D13" s="1155"/>
      <c r="E13" s="1156"/>
      <c r="F13" s="1156"/>
      <c r="G13" s="1157"/>
      <c r="H13" s="1155"/>
      <c r="I13" s="1156"/>
      <c r="J13" s="1156"/>
      <c r="K13" s="1157"/>
      <c r="L13" s="1155"/>
      <c r="M13" s="1156"/>
      <c r="N13" s="1156"/>
      <c r="O13" s="1157"/>
      <c r="P13" s="1155"/>
      <c r="Q13" s="1156"/>
      <c r="R13" s="1156"/>
      <c r="S13" s="1157"/>
      <c r="T13" s="1155"/>
      <c r="U13" s="1156"/>
      <c r="V13" s="1156"/>
      <c r="W13" s="1157"/>
      <c r="X13" s="1155"/>
      <c r="Y13" s="1156"/>
      <c r="Z13" s="1156"/>
      <c r="AA13" s="1157"/>
      <c r="AB13" s="1155"/>
      <c r="AC13" s="1156"/>
      <c r="AD13" s="1156"/>
      <c r="AE13" s="1157"/>
      <c r="AF13" s="1155"/>
      <c r="AG13" s="1156"/>
      <c r="AH13" s="1156"/>
      <c r="AI13" s="1157"/>
      <c r="AJ13" s="1155"/>
      <c r="AK13" s="1156"/>
      <c r="AL13" s="1156"/>
      <c r="AM13" s="1157"/>
      <c r="AN13" s="1155"/>
      <c r="AO13" s="1156"/>
      <c r="AP13" s="1156"/>
      <c r="AQ13" s="1157"/>
      <c r="AR13" s="1155"/>
      <c r="AS13" s="1156"/>
      <c r="AT13" s="1156"/>
      <c r="AU13" s="1220"/>
    </row>
    <row r="14" spans="1:47" ht="17.25" customHeight="1">
      <c r="A14" s="78"/>
      <c r="B14" s="1158" t="s">
        <v>542</v>
      </c>
      <c r="C14" s="1150">
        <f t="shared" si="2"/>
        <v>0</v>
      </c>
      <c r="D14" s="1154"/>
      <c r="E14" s="1152"/>
      <c r="F14" s="1152"/>
      <c r="G14" s="1153"/>
      <c r="H14" s="1154"/>
      <c r="I14" s="1152"/>
      <c r="J14" s="1152"/>
      <c r="K14" s="1153"/>
      <c r="L14" s="1154"/>
      <c r="M14" s="1152"/>
      <c r="N14" s="1152"/>
      <c r="O14" s="1153"/>
      <c r="P14" s="1154"/>
      <c r="Q14" s="1152"/>
      <c r="R14" s="1152"/>
      <c r="S14" s="1153"/>
      <c r="T14" s="1154"/>
      <c r="U14" s="1152"/>
      <c r="V14" s="1152"/>
      <c r="W14" s="1153"/>
      <c r="X14" s="1154"/>
      <c r="Y14" s="1152"/>
      <c r="Z14" s="1152"/>
      <c r="AA14" s="1153"/>
      <c r="AB14" s="1154"/>
      <c r="AC14" s="1152"/>
      <c r="AD14" s="1152"/>
      <c r="AE14" s="1153"/>
      <c r="AF14" s="1154"/>
      <c r="AG14" s="1152"/>
      <c r="AH14" s="1152"/>
      <c r="AI14" s="1153"/>
      <c r="AJ14" s="1154"/>
      <c r="AK14" s="1152"/>
      <c r="AL14" s="1152"/>
      <c r="AM14" s="1153"/>
      <c r="AN14" s="1154"/>
      <c r="AO14" s="1152"/>
      <c r="AP14" s="1152"/>
      <c r="AQ14" s="1153"/>
      <c r="AR14" s="1154"/>
      <c r="AS14" s="1152"/>
      <c r="AT14" s="1152"/>
      <c r="AU14" s="1219"/>
    </row>
    <row r="15" spans="1:47" ht="17.25" customHeight="1">
      <c r="A15" s="78"/>
      <c r="B15" s="1149" t="s">
        <v>543</v>
      </c>
      <c r="C15" s="1150">
        <f t="shared" si="2"/>
        <v>-4.9999999999954525E-3</v>
      </c>
      <c r="D15" s="1159"/>
      <c r="E15" s="1160"/>
      <c r="F15" s="1160"/>
      <c r="G15" s="1161"/>
      <c r="H15" s="1159">
        <f>'8.项目规划指标表'!C22*75/10000-614.66</f>
        <v>-4.9999999999954525E-3</v>
      </c>
      <c r="I15" s="1160"/>
      <c r="J15" s="1160"/>
      <c r="K15" s="1161"/>
      <c r="L15" s="1159"/>
      <c r="M15" s="1160"/>
      <c r="N15" s="1160"/>
      <c r="O15" s="1161"/>
      <c r="P15" s="1159"/>
      <c r="Q15" s="1160"/>
      <c r="R15" s="1160"/>
      <c r="S15" s="1161"/>
      <c r="T15" s="1159"/>
      <c r="U15" s="1160"/>
      <c r="V15" s="1160"/>
      <c r="W15" s="1161"/>
      <c r="X15" s="1159"/>
      <c r="Y15" s="1160"/>
      <c r="Z15" s="1160"/>
      <c r="AA15" s="1161"/>
      <c r="AB15" s="1159"/>
      <c r="AC15" s="1160"/>
      <c r="AD15" s="1160"/>
      <c r="AE15" s="1161"/>
      <c r="AF15" s="1159"/>
      <c r="AG15" s="1160"/>
      <c r="AH15" s="1160"/>
      <c r="AI15" s="1161"/>
      <c r="AJ15" s="1159"/>
      <c r="AK15" s="1160"/>
      <c r="AL15" s="1160"/>
      <c r="AM15" s="1161"/>
      <c r="AN15" s="1159"/>
      <c r="AO15" s="1160"/>
      <c r="AP15" s="1160"/>
      <c r="AQ15" s="1161"/>
      <c r="AR15" s="1159"/>
      <c r="AS15" s="1160"/>
      <c r="AT15" s="1160"/>
      <c r="AU15" s="1221"/>
    </row>
    <row r="16" spans="1:47" ht="17.25" customHeight="1">
      <c r="A16" s="78"/>
      <c r="B16" s="1162" t="s">
        <v>544</v>
      </c>
      <c r="C16" s="1163">
        <f>SUM(C6:C15)</f>
        <v>20460.111314965787</v>
      </c>
      <c r="D16" s="1164">
        <f t="shared" ref="D16:AU16" si="3">SUM(D6:D15)</f>
        <v>0</v>
      </c>
      <c r="E16" s="1165">
        <f t="shared" si="3"/>
        <v>0</v>
      </c>
      <c r="F16" s="1165">
        <f t="shared" si="3"/>
        <v>7150</v>
      </c>
      <c r="G16" s="1166">
        <f t="shared" si="3"/>
        <v>13310.116314965786</v>
      </c>
      <c r="H16" s="1167">
        <f>SUM(H6:H15)</f>
        <v>-4.9999999999954525E-3</v>
      </c>
      <c r="I16" s="1165">
        <f t="shared" si="3"/>
        <v>0</v>
      </c>
      <c r="J16" s="1165">
        <f t="shared" si="3"/>
        <v>0</v>
      </c>
      <c r="K16" s="1166">
        <f t="shared" si="3"/>
        <v>0</v>
      </c>
      <c r="L16" s="1164">
        <f t="shared" si="3"/>
        <v>0</v>
      </c>
      <c r="M16" s="1165">
        <f t="shared" si="3"/>
        <v>0</v>
      </c>
      <c r="N16" s="1165">
        <f t="shared" si="3"/>
        <v>0</v>
      </c>
      <c r="O16" s="1166">
        <f t="shared" si="3"/>
        <v>0</v>
      </c>
      <c r="P16" s="1164">
        <f t="shared" si="3"/>
        <v>0</v>
      </c>
      <c r="Q16" s="1165">
        <f t="shared" si="3"/>
        <v>0</v>
      </c>
      <c r="R16" s="1165">
        <f t="shared" si="3"/>
        <v>0</v>
      </c>
      <c r="S16" s="1166">
        <f t="shared" si="3"/>
        <v>0</v>
      </c>
      <c r="T16" s="1164">
        <f t="shared" si="3"/>
        <v>0</v>
      </c>
      <c r="U16" s="1165">
        <f t="shared" si="3"/>
        <v>0</v>
      </c>
      <c r="V16" s="1165">
        <f t="shared" si="3"/>
        <v>0</v>
      </c>
      <c r="W16" s="1166">
        <f t="shared" si="3"/>
        <v>0</v>
      </c>
      <c r="X16" s="1164">
        <f t="shared" si="3"/>
        <v>0</v>
      </c>
      <c r="Y16" s="1165">
        <f t="shared" si="3"/>
        <v>0</v>
      </c>
      <c r="Z16" s="1165">
        <f t="shared" si="3"/>
        <v>0</v>
      </c>
      <c r="AA16" s="1166">
        <f t="shared" si="3"/>
        <v>0</v>
      </c>
      <c r="AB16" s="1164">
        <f t="shared" si="3"/>
        <v>0</v>
      </c>
      <c r="AC16" s="1165">
        <f t="shared" si="3"/>
        <v>0</v>
      </c>
      <c r="AD16" s="1165">
        <f t="shared" si="3"/>
        <v>0</v>
      </c>
      <c r="AE16" s="1166">
        <f t="shared" si="3"/>
        <v>0</v>
      </c>
      <c r="AF16" s="1164">
        <f t="shared" si="3"/>
        <v>0</v>
      </c>
      <c r="AG16" s="1165">
        <f t="shared" si="3"/>
        <v>0</v>
      </c>
      <c r="AH16" s="1165">
        <f t="shared" si="3"/>
        <v>0</v>
      </c>
      <c r="AI16" s="1166">
        <f t="shared" si="3"/>
        <v>0</v>
      </c>
      <c r="AJ16" s="1164">
        <f t="shared" si="3"/>
        <v>0</v>
      </c>
      <c r="AK16" s="1165">
        <f t="shared" si="3"/>
        <v>0</v>
      </c>
      <c r="AL16" s="1165">
        <f t="shared" si="3"/>
        <v>0</v>
      </c>
      <c r="AM16" s="1166">
        <f t="shared" si="3"/>
        <v>0</v>
      </c>
      <c r="AN16" s="1164">
        <f t="shared" si="3"/>
        <v>0</v>
      </c>
      <c r="AO16" s="1165">
        <f t="shared" si="3"/>
        <v>0</v>
      </c>
      <c r="AP16" s="1165">
        <f t="shared" si="3"/>
        <v>0</v>
      </c>
      <c r="AQ16" s="1166">
        <f t="shared" si="3"/>
        <v>0</v>
      </c>
      <c r="AR16" s="1164">
        <f t="shared" si="3"/>
        <v>0</v>
      </c>
      <c r="AS16" s="1165">
        <f t="shared" si="3"/>
        <v>0</v>
      </c>
      <c r="AT16" s="1165">
        <f t="shared" si="3"/>
        <v>0</v>
      </c>
      <c r="AU16" s="1222">
        <f t="shared" si="3"/>
        <v>0</v>
      </c>
    </row>
    <row r="17" spans="1:47" ht="15" customHeight="1">
      <c r="A17" s="78"/>
      <c r="B17" s="1168" t="s">
        <v>545</v>
      </c>
      <c r="C17" s="1169">
        <f>C16-C18-C19</f>
        <v>240</v>
      </c>
      <c r="D17" s="758"/>
      <c r="E17" s="758"/>
      <c r="F17" s="758"/>
      <c r="G17" s="758"/>
      <c r="H17" s="78"/>
      <c r="I17" s="78"/>
      <c r="J17" s="78"/>
      <c r="K17" s="78"/>
      <c r="L17" s="78"/>
      <c r="M17" s="78"/>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row>
    <row r="18" spans="1:47" ht="15" customHeight="1">
      <c r="A18" s="78"/>
      <c r="B18" s="1168" t="s">
        <v>546</v>
      </c>
      <c r="C18" s="1170">
        <f>支付对价及节点!I5</f>
        <v>8012.7870000000003</v>
      </c>
      <c r="D18" s="93"/>
      <c r="E18" s="92"/>
      <c r="F18" s="78"/>
      <c r="G18" s="1100"/>
      <c r="H18" s="78"/>
      <c r="I18" s="78"/>
      <c r="J18" s="78"/>
      <c r="K18" s="78"/>
      <c r="L18" s="78"/>
      <c r="M18" s="78"/>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row>
    <row r="19" spans="1:47" ht="15" customHeight="1">
      <c r="A19" s="78"/>
      <c r="B19" s="1168" t="s">
        <v>547</v>
      </c>
      <c r="C19" s="1170">
        <f>支付对价及节点!I4+支付对价及节点!I6+支付对价及节点!I3+H15</f>
        <v>12207.324314965786</v>
      </c>
      <c r="D19" s="78"/>
      <c r="E19" s="78"/>
      <c r="F19" s="78"/>
      <c r="G19" s="1100"/>
      <c r="H19" s="78"/>
      <c r="I19" s="78"/>
      <c r="J19" s="78"/>
      <c r="K19" s="78"/>
      <c r="L19" s="78"/>
      <c r="M19" s="78"/>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row>
    <row r="20" spans="1:47" ht="15" customHeight="1">
      <c r="A20" s="78"/>
      <c r="B20" s="1168" t="s">
        <v>548</v>
      </c>
      <c r="C20" s="1171">
        <f>IF(C16&lt;&gt;0,C18/C16,0)</f>
        <v>0.39162968747579363</v>
      </c>
      <c r="D20" s="78"/>
      <c r="E20" s="78"/>
      <c r="F20" s="78"/>
      <c r="G20" s="1100"/>
      <c r="H20" s="78"/>
      <c r="I20" s="78"/>
      <c r="J20" s="78"/>
      <c r="K20" s="78"/>
      <c r="L20" s="78"/>
      <c r="M20" s="78"/>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row>
    <row r="21" spans="1:47" ht="14.25" customHeight="1">
      <c r="A21" s="78"/>
      <c r="B21" s="78"/>
      <c r="C21" s="78"/>
      <c r="D21" s="78"/>
      <c r="E21" s="78"/>
      <c r="F21" s="78"/>
      <c r="G21" s="92"/>
      <c r="H21" s="78"/>
      <c r="I21" s="78"/>
      <c r="J21" s="78"/>
      <c r="K21" s="78"/>
      <c r="L21" s="78"/>
      <c r="M21" s="78"/>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row>
    <row r="22" spans="1:47" ht="18.75" customHeight="1">
      <c r="A22" s="78"/>
      <c r="B22" s="141" t="s">
        <v>549</v>
      </c>
      <c r="C22" s="94"/>
      <c r="D22" s="78"/>
      <c r="E22" s="1172"/>
      <c r="F22" s="1100"/>
      <c r="G22" s="1100"/>
      <c r="H22" s="1100"/>
      <c r="I22" s="1100"/>
      <c r="J22" s="78"/>
      <c r="K22" s="92"/>
      <c r="L22" s="78"/>
      <c r="M22" s="78"/>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row>
    <row r="23" spans="1:47" s="742" customFormat="1" ht="21" customHeight="1">
      <c r="A23" s="473"/>
      <c r="B23" s="1852" t="s">
        <v>550</v>
      </c>
      <c r="C23" s="1173"/>
      <c r="D23" s="1848" t="s">
        <v>368</v>
      </c>
      <c r="E23" s="1848"/>
      <c r="F23" s="1848"/>
      <c r="G23" s="1848"/>
      <c r="H23" s="1848"/>
      <c r="I23" s="1849"/>
      <c r="J23" s="1173"/>
      <c r="K23" s="1848" t="s">
        <v>551</v>
      </c>
      <c r="L23" s="1848"/>
      <c r="M23" s="1848"/>
      <c r="N23" s="1848"/>
      <c r="O23" s="1848"/>
      <c r="P23" s="1849"/>
      <c r="Q23" s="1173"/>
      <c r="R23" s="1848" t="s">
        <v>552</v>
      </c>
      <c r="S23" s="1848"/>
      <c r="T23" s="1848"/>
      <c r="U23" s="1848"/>
      <c r="V23" s="1848"/>
      <c r="W23" s="1849"/>
      <c r="X23" s="473"/>
      <c r="Y23" s="473"/>
      <c r="Z23" s="473"/>
      <c r="AA23" s="473"/>
      <c r="AB23" s="473"/>
      <c r="AC23" s="473"/>
      <c r="AD23" s="473"/>
      <c r="AE23" s="473"/>
      <c r="AF23" s="473"/>
      <c r="AG23" s="473"/>
      <c r="AH23" s="473"/>
      <c r="AI23" s="473"/>
      <c r="AJ23" s="473"/>
      <c r="AK23" s="473"/>
      <c r="AL23" s="473"/>
      <c r="AM23" s="473"/>
      <c r="AN23" s="473"/>
      <c r="AO23" s="473"/>
      <c r="AP23" s="473"/>
      <c r="AQ23" s="473"/>
      <c r="AR23" s="473"/>
      <c r="AS23" s="473"/>
      <c r="AT23" s="473"/>
      <c r="AU23" s="473"/>
    </row>
    <row r="24" spans="1:47" s="742" customFormat="1" ht="17.25" customHeight="1">
      <c r="A24" s="473"/>
      <c r="B24" s="1853"/>
      <c r="C24" s="1174" t="s">
        <v>251</v>
      </c>
      <c r="D24" s="1175" t="s">
        <v>19</v>
      </c>
      <c r="E24" s="1176" t="s">
        <v>20</v>
      </c>
      <c r="F24" s="1176" t="s">
        <v>21</v>
      </c>
      <c r="G24" s="1176" t="s">
        <v>22</v>
      </c>
      <c r="H24" s="1176" t="s">
        <v>23</v>
      </c>
      <c r="I24" s="1207" t="s">
        <v>24</v>
      </c>
      <c r="J24" s="1174" t="s">
        <v>251</v>
      </c>
      <c r="K24" s="1175" t="s">
        <v>19</v>
      </c>
      <c r="L24" s="1176" t="s">
        <v>20</v>
      </c>
      <c r="M24" s="1176" t="s">
        <v>21</v>
      </c>
      <c r="N24" s="1176" t="s">
        <v>22</v>
      </c>
      <c r="O24" s="1176" t="s">
        <v>23</v>
      </c>
      <c r="P24" s="1207" t="s">
        <v>24</v>
      </c>
      <c r="Q24" s="1174" t="s">
        <v>251</v>
      </c>
      <c r="R24" s="1175" t="s">
        <v>19</v>
      </c>
      <c r="S24" s="1176" t="s">
        <v>20</v>
      </c>
      <c r="T24" s="1176" t="s">
        <v>21</v>
      </c>
      <c r="U24" s="1176" t="s">
        <v>22</v>
      </c>
      <c r="V24" s="1176" t="s">
        <v>23</v>
      </c>
      <c r="W24" s="1207" t="s">
        <v>24</v>
      </c>
      <c r="X24" s="473"/>
      <c r="Y24" s="473"/>
      <c r="Z24" s="473"/>
      <c r="AA24" s="473"/>
      <c r="AB24" s="473"/>
      <c r="AC24" s="473"/>
      <c r="AD24" s="473"/>
      <c r="AE24" s="473"/>
      <c r="AF24" s="473"/>
      <c r="AG24" s="473"/>
      <c r="AH24" s="473"/>
      <c r="AI24" s="473"/>
      <c r="AJ24" s="473"/>
      <c r="AK24" s="473"/>
      <c r="AL24" s="473"/>
      <c r="AM24" s="473"/>
      <c r="AN24" s="473"/>
      <c r="AO24" s="473"/>
      <c r="AP24" s="473"/>
      <c r="AQ24" s="473"/>
      <c r="AR24" s="473"/>
      <c r="AS24" s="473"/>
      <c r="AT24" s="473"/>
      <c r="AU24" s="473"/>
    </row>
    <row r="25" spans="1:47" s="742" customFormat="1" ht="17.25" customHeight="1">
      <c r="A25" s="473"/>
      <c r="B25" s="1177" t="str">
        <f>'8.项目规划指标表'!B5</f>
        <v>高层</v>
      </c>
      <c r="C25" s="1178">
        <f>SUM(D25:I25)</f>
        <v>13253.890298521339</v>
      </c>
      <c r="D25" s="1179">
        <f>IF(OR(B25="回迁房",B25="回迁商业",B25="无产权公共配套",B25="回迁写字楼"),0,IFERROR('8.项目规划指标表'!$G$16/'8.项目规划指标表'!$C$16*$C$16*'8.项目规划指标表'!G5/SUMIF('8.项目规划指标表'!$AE$5:$AE$15,"分摊",'8.项目规划指标表'!G$5:G$15),0))</f>
        <v>13253.890298521339</v>
      </c>
      <c r="E25" s="725">
        <f>IF(OR(B25="回迁房",B25="回迁商业",B25="无产权公共配套",B25="回迁写字楼"),0,IFERROR('8.项目规划指标表'!$K$16/'8.项目规划指标表'!$C$16*$C$16*'8.项目规划指标表'!K5/SUMIF('8.项目规划指标表'!$AE$5:$AE$15,"分摊",'8.项目规划指标表'!K$5:K$15),0))</f>
        <v>0</v>
      </c>
      <c r="F25" s="1180">
        <f>IF(OR(B25="回迁房",B25="回迁商业",B25="无产权公共配套",B25="回迁写字楼"),0,IFERROR('8.项目规划指标表'!$O$16/'8.项目规划指标表'!$C$16*$C$16*'8.项目规划指标表'!O5/SUMIF('8.项目规划指标表'!$AE$5:$AE$15,"分摊",'8.项目规划指标表'!O$5:O$15),0))</f>
        <v>0</v>
      </c>
      <c r="G25" s="1180">
        <f>IF(OR(B25="回迁房",B25="回迁商业",B25="无产权公共配套",B25="回迁写字楼"),0,IFERROR('8.项目规划指标表'!$S$16/'8.项目规划指标表'!$C$16*$C$16*'8.项目规划指标表'!S5/SUMIF('8.项目规划指标表'!$AE$5:$AE$15,"分摊",'8.项目规划指标表'!S$5:S$15),0))</f>
        <v>0</v>
      </c>
      <c r="H25" s="1181">
        <f>IF(OR(B25="回迁房",B25="回迁商业",B25="无产权公共配套",B25="回迁写字楼"),0,IFERROR('8.项目规划指标表'!$W$16/'8.项目规划指标表'!$C$16*$C$16*'8.项目规划指标表'!W5/SUMIF('8.项目规划指标表'!$AE$5:$AE$15,"分摊",'8.项目规划指标表'!W$5:W$15),0))</f>
        <v>0</v>
      </c>
      <c r="I25" s="1208">
        <f>IF(OR(B25="回迁房",B25="回迁商业",B25="无产权公共配套",B25="回迁写字楼"),0,IFERROR('8.项目规划指标表'!$AA$16/'8.项目规划指标表'!$C$16*$C$16*'8.项目规划指标表'!AA5/SUMIF('8.项目规划指标表'!$AE$5:$AE$15,"分摊",'8.项目规划指标表'!AA$5:AA$15),0))</f>
        <v>0</v>
      </c>
      <c r="J25" s="1183">
        <f>SUM(K25:P25)</f>
        <v>13098.420290432066</v>
      </c>
      <c r="K25" s="1209">
        <f>IFERROR(D25/$C$37*($C$16-$C$17),0)</f>
        <v>13098.420290432066</v>
      </c>
      <c r="L25" s="725">
        <f>IFERROR(E25/$C$37*($C$16-$C$17),0)</f>
        <v>0</v>
      </c>
      <c r="M25" s="725">
        <f>IFERROR(F25/$C$37*($C$16-$C$17),0)</f>
        <v>0</v>
      </c>
      <c r="N25" s="725">
        <f t="shared" ref="L25:P29" si="4">IFERROR(G25/$C$37*($C$16-$C$17),0)</f>
        <v>0</v>
      </c>
      <c r="O25" s="1184">
        <f t="shared" si="4"/>
        <v>0</v>
      </c>
      <c r="P25" s="1210">
        <f t="shared" si="4"/>
        <v>0</v>
      </c>
      <c r="Q25" s="1183">
        <f>SUM(R25:W25)</f>
        <v>155.4700080892726</v>
      </c>
      <c r="R25" s="1209">
        <f>D25-K25</f>
        <v>155.4700080892726</v>
      </c>
      <c r="S25" s="725">
        <f t="shared" ref="S25:S34" si="5">E25-L25</f>
        <v>0</v>
      </c>
      <c r="T25" s="725">
        <f t="shared" ref="T25:T34" si="6">F25-M25</f>
        <v>0</v>
      </c>
      <c r="U25" s="725">
        <f t="shared" ref="U25:U34" si="7">G25-N25</f>
        <v>0</v>
      </c>
      <c r="V25" s="1181">
        <f t="shared" ref="V25:V34" si="8">H25-O25</f>
        <v>0</v>
      </c>
      <c r="W25" s="1208">
        <f t="shared" ref="W25:W34" si="9">I25-P25</f>
        <v>0</v>
      </c>
      <c r="X25" s="473"/>
      <c r="Y25" s="473"/>
      <c r="Z25" s="473"/>
      <c r="AA25" s="473"/>
      <c r="AB25" s="473"/>
      <c r="AC25" s="473"/>
      <c r="AD25" s="473"/>
      <c r="AE25" s="473"/>
      <c r="AF25" s="473"/>
      <c r="AG25" s="473"/>
      <c r="AH25" s="473"/>
      <c r="AI25" s="473"/>
      <c r="AJ25" s="473"/>
      <c r="AK25" s="473"/>
      <c r="AL25" s="473"/>
      <c r="AM25" s="473"/>
      <c r="AN25" s="473"/>
      <c r="AO25" s="473"/>
      <c r="AP25" s="473"/>
      <c r="AQ25" s="473"/>
      <c r="AR25" s="473"/>
      <c r="AS25" s="473"/>
      <c r="AT25" s="473"/>
      <c r="AU25" s="473"/>
    </row>
    <row r="26" spans="1:47" s="742" customFormat="1" ht="17.25" customHeight="1">
      <c r="A26" s="473"/>
      <c r="B26" s="1182" t="str">
        <f>'8.项目规划指标表'!B6</f>
        <v>商铺</v>
      </c>
      <c r="C26" s="1183">
        <f t="shared" ref="C26:C36" si="10">SUM(D26:I26)</f>
        <v>7206.2210164444468</v>
      </c>
      <c r="D26" s="1179">
        <f>IF(OR(B26="回迁房",B26="回迁商业",B26="无产权公共配套",B26="回迁写字楼"),0,IFERROR('8.项目规划指标表'!$G$16/'8.项目规划指标表'!$C$16*$C$16*'8.项目规划指标表'!G6/SUMIF('8.项目规划指标表'!$AE$5:$AE$15,"分摊",'8.项目规划指标表'!G$5:G$15),0))</f>
        <v>7206.2210164444468</v>
      </c>
      <c r="E26" s="725">
        <f>IF(OR(B26="回迁房",B26="回迁商业",B26="无产权公共配套",B26="回迁写字楼"),0,IFERROR('8.项目规划指标表'!$K$16/'8.项目规划指标表'!$C$16*$C$16*'8.项目规划指标表'!K6/SUMIF('8.项目规划指标表'!$AE$5:$AE$15,"分摊",'8.项目规划指标表'!K$5:K$15),0))</f>
        <v>0</v>
      </c>
      <c r="F26" s="1180">
        <f>IF(OR(B26="回迁房",B26="回迁商业",B26="无产权公共配套",B26="回迁写字楼"),0,IFERROR('8.项目规划指标表'!$O$16/'8.项目规划指标表'!$C$16*$C$16*'8.项目规划指标表'!O6/SUMIF('8.项目规划指标表'!$AE$5:$AE$15,"分摊",'8.项目规划指标表'!O$5:O$15),0))</f>
        <v>0</v>
      </c>
      <c r="G26" s="1180">
        <f>IF(OR(B26="回迁房",B26="回迁商业",B26="无产权公共配套",B26="回迁写字楼"),0,IFERROR('8.项目规划指标表'!$S$16/'8.项目规划指标表'!$C$16*$C$16*'8.项目规划指标表'!S6/SUMIF('8.项目规划指标表'!$AE$5:$AE$15,"分摊",'8.项目规划指标表'!S$5:S$15),0))</f>
        <v>0</v>
      </c>
      <c r="H26" s="1184">
        <f>IF(OR(B26="回迁房",B26="回迁商业",B26="无产权公共配套",B26="回迁写字楼"),0,IFERROR('8.项目规划指标表'!$W$16/'8.项目规划指标表'!$C$16*$C$16*'8.项目规划指标表'!W6/SUMIF('8.项目规划指标表'!$AE$5:$AE$15,"分摊",'8.项目规划指标表'!W$5:W$15),0))</f>
        <v>0</v>
      </c>
      <c r="I26" s="1210">
        <f>IF(OR(B26="回迁房",B26="回迁商业",B26="无产权公共配套",B26="回迁写字楼"),0,IFERROR('8.项目规划指标表'!$AA$16/'8.项目规划指标表'!$C$16*$C$16*'8.项目规划指标表'!AA6/SUMIF('8.项目规划指标表'!$AE$5:$AE$15,"分摊",'8.项目规划指标表'!AA$5:AA$15),0))</f>
        <v>0</v>
      </c>
      <c r="J26" s="1183">
        <f t="shared" ref="J26:J36" si="11">SUM(K26:P26)</f>
        <v>7121.6910245337176</v>
      </c>
      <c r="K26" s="1209">
        <f t="shared" ref="K26" si="12">IFERROR(D26/$C$37*($C$16-$C$17),0)</f>
        <v>7121.6910245337176</v>
      </c>
      <c r="L26" s="725">
        <f t="shared" si="4"/>
        <v>0</v>
      </c>
      <c r="M26" s="725">
        <f t="shared" si="4"/>
        <v>0</v>
      </c>
      <c r="N26" s="725">
        <f t="shared" si="4"/>
        <v>0</v>
      </c>
      <c r="O26" s="1184">
        <f t="shared" si="4"/>
        <v>0</v>
      </c>
      <c r="P26" s="1210">
        <f t="shared" si="4"/>
        <v>0</v>
      </c>
      <c r="Q26" s="1183">
        <f t="shared" ref="Q26:Q36" si="13">SUM(R26:W26)</f>
        <v>84.529991910729223</v>
      </c>
      <c r="R26" s="1209">
        <f t="shared" ref="R26:R34" si="14">D26-K26</f>
        <v>84.529991910729223</v>
      </c>
      <c r="S26" s="725">
        <f t="shared" si="5"/>
        <v>0</v>
      </c>
      <c r="T26" s="725">
        <f t="shared" si="6"/>
        <v>0</v>
      </c>
      <c r="U26" s="725">
        <f t="shared" si="7"/>
        <v>0</v>
      </c>
      <c r="V26" s="1184">
        <f t="shared" si="8"/>
        <v>0</v>
      </c>
      <c r="W26" s="1210">
        <f t="shared" si="9"/>
        <v>0</v>
      </c>
      <c r="X26" s="473"/>
      <c r="Y26" s="473"/>
      <c r="Z26" s="473"/>
      <c r="AA26" s="473"/>
      <c r="AB26" s="473"/>
      <c r="AC26" s="473"/>
      <c r="AD26" s="473"/>
      <c r="AE26" s="473"/>
      <c r="AF26" s="473"/>
      <c r="AG26" s="473"/>
      <c r="AH26" s="473"/>
      <c r="AI26" s="473"/>
      <c r="AJ26" s="473"/>
      <c r="AK26" s="473"/>
      <c r="AL26" s="473"/>
      <c r="AM26" s="473"/>
      <c r="AN26" s="473"/>
      <c r="AO26" s="473"/>
      <c r="AP26" s="473"/>
      <c r="AQ26" s="473"/>
      <c r="AR26" s="473"/>
      <c r="AS26" s="473"/>
      <c r="AT26" s="473"/>
      <c r="AU26" s="473"/>
    </row>
    <row r="27" spans="1:47" s="742" customFormat="1" ht="17.25" customHeight="1">
      <c r="A27" s="473"/>
      <c r="B27" s="1182" t="str">
        <f>'8.项目规划指标表'!B7</f>
        <v>回迁商业</v>
      </c>
      <c r="C27" s="1183">
        <f t="shared" si="10"/>
        <v>0</v>
      </c>
      <c r="D27" s="1179">
        <f>IF(OR(B27="回迁房",B27="回迁商业",B27="无产权公共配套",B27="回迁写字楼"),0,IFERROR('8.项目规划指标表'!$G$16/'8.项目规划指标表'!$C$16*$C$16*'8.项目规划指标表'!G7/SUMIF('8.项目规划指标表'!$AE$5:$AE$15,"分摊",'8.项目规划指标表'!G$5:G$15),0))</f>
        <v>0</v>
      </c>
      <c r="E27" s="725">
        <f>IF(OR(B27="回迁房",B27="回迁商业",B27="无产权公共配套",B27="回迁写字楼"),0,IFERROR('8.项目规划指标表'!$K$16/'8.项目规划指标表'!$C$16*$C$16*'8.项目规划指标表'!K7/SUMIF('8.项目规划指标表'!$AE$5:$AE$15,"分摊",'8.项目规划指标表'!K$5:K$15),0))</f>
        <v>0</v>
      </c>
      <c r="F27" s="1180">
        <f>IF(OR(B27="回迁房",B27="回迁商业",B27="无产权公共配套",B27="回迁写字楼"),0,IFERROR('8.项目规划指标表'!$O$16/'8.项目规划指标表'!$C$16*$C$16*'8.项目规划指标表'!O7/SUMIF('8.项目规划指标表'!$AE$5:$AE$15,"分摊",'8.项目规划指标表'!O$5:O$15),0))</f>
        <v>0</v>
      </c>
      <c r="G27" s="1180">
        <f>IF(OR(B27="回迁房",B27="回迁商业",B27="无产权公共配套",B27="回迁写字楼"),0,IFERROR('8.项目规划指标表'!$S$16/'8.项目规划指标表'!$C$16*$C$16*'8.项目规划指标表'!S7/SUMIF('8.项目规划指标表'!$AE$5:$AE$15,"分摊",'8.项目规划指标表'!S$5:S$15),0))</f>
        <v>0</v>
      </c>
      <c r="H27" s="1184">
        <f>IF(OR(B27="回迁房",B27="回迁商业",B27="无产权公共配套",B27="回迁写字楼"),0,IFERROR('8.项目规划指标表'!$W$16/'8.项目规划指标表'!$C$16*$C$16*'8.项目规划指标表'!W7/SUMIF('8.项目规划指标表'!$AE$5:$AE$15,"分摊",'8.项目规划指标表'!W$5:W$15),0))</f>
        <v>0</v>
      </c>
      <c r="I27" s="1210">
        <f>IF(OR(B27="回迁房",B27="回迁商业",B27="无产权公共配套",B27="回迁写字楼"),0,IFERROR('8.项目规划指标表'!$AA$16/'8.项目规划指标表'!$C$16*$C$16*'8.项目规划指标表'!AA7/SUMIF('8.项目规划指标表'!$AE$5:$AE$15,"分摊",'8.项目规划指标表'!AA$5:AA$15),0))</f>
        <v>0</v>
      </c>
      <c r="J27" s="1183">
        <f t="shared" si="11"/>
        <v>0</v>
      </c>
      <c r="K27" s="1209">
        <f t="shared" ref="K27:K34" si="15">IFERROR(D27/$C$37*($C$16-$C$17),0)</f>
        <v>0</v>
      </c>
      <c r="L27" s="725">
        <f t="shared" si="4"/>
        <v>0</v>
      </c>
      <c r="M27" s="725">
        <f t="shared" si="4"/>
        <v>0</v>
      </c>
      <c r="N27" s="725">
        <f t="shared" si="4"/>
        <v>0</v>
      </c>
      <c r="O27" s="1184">
        <f t="shared" si="4"/>
        <v>0</v>
      </c>
      <c r="P27" s="1210">
        <f t="shared" si="4"/>
        <v>0</v>
      </c>
      <c r="Q27" s="1183">
        <f t="shared" si="13"/>
        <v>0</v>
      </c>
      <c r="R27" s="1209">
        <f t="shared" si="14"/>
        <v>0</v>
      </c>
      <c r="S27" s="725">
        <f t="shared" si="5"/>
        <v>0</v>
      </c>
      <c r="T27" s="725">
        <f t="shared" si="6"/>
        <v>0</v>
      </c>
      <c r="U27" s="725">
        <f t="shared" si="7"/>
        <v>0</v>
      </c>
      <c r="V27" s="1184">
        <f t="shared" si="8"/>
        <v>0</v>
      </c>
      <c r="W27" s="1210">
        <f t="shared" si="9"/>
        <v>0</v>
      </c>
      <c r="X27" s="473"/>
      <c r="Y27" s="473"/>
      <c r="Z27" s="473"/>
      <c r="AA27" s="473"/>
      <c r="AB27" s="473"/>
      <c r="AC27" s="473"/>
      <c r="AD27" s="473"/>
      <c r="AE27" s="473"/>
      <c r="AF27" s="473"/>
      <c r="AG27" s="473"/>
      <c r="AH27" s="473"/>
      <c r="AI27" s="473"/>
      <c r="AJ27" s="473"/>
      <c r="AK27" s="473"/>
      <c r="AL27" s="473"/>
      <c r="AM27" s="473"/>
      <c r="AN27" s="473"/>
      <c r="AO27" s="473"/>
      <c r="AP27" s="473"/>
      <c r="AQ27" s="473"/>
      <c r="AR27" s="473"/>
      <c r="AS27" s="473"/>
      <c r="AT27" s="473"/>
      <c r="AU27" s="473"/>
    </row>
    <row r="28" spans="1:47" s="742" customFormat="1" ht="17.25" customHeight="1">
      <c r="A28" s="473"/>
      <c r="B28" s="1182">
        <f>'8.项目规划指标表'!B8</f>
        <v>0</v>
      </c>
      <c r="C28" s="1183">
        <f t="shared" si="10"/>
        <v>0</v>
      </c>
      <c r="D28" s="1179">
        <f>IF(OR(B28="回迁房",B28="回迁商业",B28="无产权公共配套",B28="回迁写字楼"),0,IFERROR('8.项目规划指标表'!$G$16/'8.项目规划指标表'!$C$16*$C$16*'8.项目规划指标表'!G8/SUMIF('8.项目规划指标表'!$AE$5:$AE$15,"分摊",'8.项目规划指标表'!G$5:G$15),0))</f>
        <v>0</v>
      </c>
      <c r="E28" s="725">
        <f>IF(OR(B28="回迁房",B28="回迁商业",B28="无产权公共配套",B28="回迁写字楼"),0,IFERROR('8.项目规划指标表'!$K$16/'8.项目规划指标表'!$C$16*$C$16*'8.项目规划指标表'!K8/SUMIF('8.项目规划指标表'!$AE$5:$AE$15,"分摊",'8.项目规划指标表'!K$5:K$15),0))</f>
        <v>0</v>
      </c>
      <c r="F28" s="1180">
        <f>IF(OR(B28="回迁房",B28="回迁商业",B28="无产权公共配套",B28="回迁写字楼"),0,IFERROR('8.项目规划指标表'!$O$16/'8.项目规划指标表'!$C$16*$C$16*'8.项目规划指标表'!O8/SUMIF('8.项目规划指标表'!$AE$5:$AE$15,"分摊",'8.项目规划指标表'!O$5:O$15),0))</f>
        <v>0</v>
      </c>
      <c r="G28" s="1180">
        <f>IF(OR(B28="回迁房",B28="回迁商业",B28="无产权公共配套",B28="回迁写字楼"),0,IFERROR('8.项目规划指标表'!$S$16/'8.项目规划指标表'!$C$16*$C$16*'8.项目规划指标表'!S8/SUMIF('8.项目规划指标表'!$AE$5:$AE$15,"分摊",'8.项目规划指标表'!S$5:S$15),0))</f>
        <v>0</v>
      </c>
      <c r="H28" s="1184">
        <f>IF(OR(B28="回迁房",B28="回迁商业",B28="无产权公共配套",B28="回迁写字楼"),0,IFERROR('8.项目规划指标表'!$W$16/'8.项目规划指标表'!$C$16*$C$16*'8.项目规划指标表'!W8/SUMIF('8.项目规划指标表'!$AE$5:$AE$15,"分摊",'8.项目规划指标表'!W$5:W$15),0))</f>
        <v>0</v>
      </c>
      <c r="I28" s="1210">
        <f>IF(OR(B28="回迁房",B28="回迁商业",B28="无产权公共配套",B28="回迁写字楼"),0,IFERROR('8.项目规划指标表'!$AA$16/'8.项目规划指标表'!$C$16*$C$16*'8.项目规划指标表'!AA8/SUMIF('8.项目规划指标表'!$AE$5:$AE$15,"分摊",'8.项目规划指标表'!AA$5:AA$15),0))</f>
        <v>0</v>
      </c>
      <c r="J28" s="1183">
        <f t="shared" si="11"/>
        <v>0</v>
      </c>
      <c r="K28" s="1209">
        <f t="shared" si="15"/>
        <v>0</v>
      </c>
      <c r="L28" s="725">
        <f t="shared" si="4"/>
        <v>0</v>
      </c>
      <c r="M28" s="725">
        <f t="shared" si="4"/>
        <v>0</v>
      </c>
      <c r="N28" s="725">
        <f t="shared" si="4"/>
        <v>0</v>
      </c>
      <c r="O28" s="1184">
        <f t="shared" si="4"/>
        <v>0</v>
      </c>
      <c r="P28" s="1210">
        <f t="shared" si="4"/>
        <v>0</v>
      </c>
      <c r="Q28" s="1183">
        <f t="shared" si="13"/>
        <v>0</v>
      </c>
      <c r="R28" s="1209">
        <f t="shared" si="14"/>
        <v>0</v>
      </c>
      <c r="S28" s="725">
        <f t="shared" si="5"/>
        <v>0</v>
      </c>
      <c r="T28" s="725">
        <f t="shared" si="6"/>
        <v>0</v>
      </c>
      <c r="U28" s="725">
        <f t="shared" si="7"/>
        <v>0</v>
      </c>
      <c r="V28" s="1184">
        <f t="shared" si="8"/>
        <v>0</v>
      </c>
      <c r="W28" s="1210">
        <f t="shared" si="9"/>
        <v>0</v>
      </c>
      <c r="X28" s="473"/>
      <c r="Y28" s="473"/>
      <c r="Z28" s="473"/>
      <c r="AA28" s="473"/>
      <c r="AB28" s="473"/>
      <c r="AC28" s="473"/>
      <c r="AD28" s="473"/>
      <c r="AE28" s="473"/>
      <c r="AF28" s="473"/>
      <c r="AG28" s="473"/>
      <c r="AH28" s="473"/>
      <c r="AI28" s="473"/>
      <c r="AJ28" s="473"/>
      <c r="AK28" s="473"/>
      <c r="AL28" s="473"/>
      <c r="AM28" s="473"/>
      <c r="AN28" s="473"/>
      <c r="AO28" s="473"/>
      <c r="AP28" s="473"/>
      <c r="AQ28" s="473"/>
      <c r="AR28" s="473"/>
      <c r="AS28" s="473"/>
      <c r="AT28" s="473"/>
      <c r="AU28" s="473"/>
    </row>
    <row r="29" spans="1:47" s="742" customFormat="1" ht="17.25" customHeight="1">
      <c r="A29" s="473"/>
      <c r="B29" s="1182">
        <f>'8.项目规划指标表'!B9</f>
        <v>0</v>
      </c>
      <c r="C29" s="1183">
        <f t="shared" si="10"/>
        <v>0</v>
      </c>
      <c r="D29" s="1179">
        <f>IF(OR(B29="回迁房",B29="回迁商业",B29="无产权公共配套",B29="回迁写字楼"),0,IFERROR('8.项目规划指标表'!$G$16/'8.项目规划指标表'!$C$16*$C$16*'8.项目规划指标表'!G9/SUMIF('8.项目规划指标表'!$AE$5:$AE$15,"分摊",'8.项目规划指标表'!G$5:G$15),0))</f>
        <v>0</v>
      </c>
      <c r="E29" s="725">
        <f>IF(OR(B29="回迁房",B29="回迁商业",B29="无产权公共配套",B29="回迁写字楼"),0,IFERROR('8.项目规划指标表'!$K$16/'8.项目规划指标表'!$C$16*$C$16*'8.项目规划指标表'!K9/SUMIF('8.项目规划指标表'!$AE$5:$AE$15,"分摊",'8.项目规划指标表'!K$5:K$15),0))</f>
        <v>0</v>
      </c>
      <c r="F29" s="1180">
        <f>IF(OR(B29="回迁房",B29="回迁商业",B29="无产权公共配套",B29="回迁写字楼"),0,IFERROR('8.项目规划指标表'!$O$16/'8.项目规划指标表'!$C$16*$C$16*'8.项目规划指标表'!O9/SUMIF('8.项目规划指标表'!$AE$5:$AE$15,"分摊",'8.项目规划指标表'!O$5:O$15),0))</f>
        <v>0</v>
      </c>
      <c r="G29" s="1180">
        <f>IF(OR(B29="回迁房",B29="回迁商业",B29="无产权公共配套",B29="回迁写字楼"),0,IFERROR('8.项目规划指标表'!$S$16/'8.项目规划指标表'!$C$16*$C$16*'8.项目规划指标表'!S9/SUMIF('8.项目规划指标表'!$AE$5:$AE$15,"分摊",'8.项目规划指标表'!S$5:S$15),0))</f>
        <v>0</v>
      </c>
      <c r="H29" s="1184">
        <f>IF(OR(B29="回迁房",B29="回迁商业",B29="无产权公共配套",B29="回迁写字楼"),0,IFERROR('8.项目规划指标表'!$W$16/'8.项目规划指标表'!$C$16*$C$16*'8.项目规划指标表'!W9/SUMIF('8.项目规划指标表'!$AE$5:$AE$15,"分摊",'8.项目规划指标表'!W$5:W$15),0))</f>
        <v>0</v>
      </c>
      <c r="I29" s="1210">
        <f>IF(OR(B29="回迁房",B29="回迁商业",B29="无产权公共配套",B29="回迁写字楼"),0,IFERROR('8.项目规划指标表'!$AA$16/'8.项目规划指标表'!$C$16*$C$16*'8.项目规划指标表'!AA9/SUMIF('8.项目规划指标表'!$AE$5:$AE$15,"分摊",'8.项目规划指标表'!AA$5:AA$15),0))</f>
        <v>0</v>
      </c>
      <c r="J29" s="1183">
        <f t="shared" si="11"/>
        <v>0</v>
      </c>
      <c r="K29" s="1209">
        <f t="shared" si="15"/>
        <v>0</v>
      </c>
      <c r="L29" s="725">
        <f t="shared" si="4"/>
        <v>0</v>
      </c>
      <c r="M29" s="725">
        <f t="shared" si="4"/>
        <v>0</v>
      </c>
      <c r="N29" s="725">
        <f t="shared" si="4"/>
        <v>0</v>
      </c>
      <c r="O29" s="1184">
        <f t="shared" si="4"/>
        <v>0</v>
      </c>
      <c r="P29" s="1210">
        <f t="shared" si="4"/>
        <v>0</v>
      </c>
      <c r="Q29" s="1183">
        <f t="shared" si="13"/>
        <v>0</v>
      </c>
      <c r="R29" s="1209">
        <f t="shared" si="14"/>
        <v>0</v>
      </c>
      <c r="S29" s="725">
        <f t="shared" si="5"/>
        <v>0</v>
      </c>
      <c r="T29" s="725">
        <f t="shared" si="6"/>
        <v>0</v>
      </c>
      <c r="U29" s="725">
        <f t="shared" si="7"/>
        <v>0</v>
      </c>
      <c r="V29" s="1184">
        <f t="shared" si="8"/>
        <v>0</v>
      </c>
      <c r="W29" s="1210">
        <f t="shared" si="9"/>
        <v>0</v>
      </c>
      <c r="X29" s="473"/>
      <c r="Y29" s="473"/>
      <c r="Z29" s="473"/>
      <c r="AA29" s="473"/>
      <c r="AB29" s="473"/>
      <c r="AC29" s="473"/>
      <c r="AD29" s="473"/>
      <c r="AE29" s="473"/>
      <c r="AF29" s="473"/>
      <c r="AG29" s="473"/>
      <c r="AH29" s="473"/>
      <c r="AI29" s="473"/>
      <c r="AJ29" s="473"/>
      <c r="AK29" s="473"/>
      <c r="AL29" s="473"/>
      <c r="AM29" s="473"/>
      <c r="AN29" s="473"/>
      <c r="AO29" s="473"/>
      <c r="AP29" s="473"/>
      <c r="AQ29" s="473"/>
      <c r="AR29" s="473"/>
      <c r="AS29" s="473"/>
      <c r="AT29" s="473"/>
      <c r="AU29" s="473"/>
    </row>
    <row r="30" spans="1:47" s="742" customFormat="1" ht="17.25" customHeight="1">
      <c r="A30" s="473"/>
      <c r="B30" s="1182">
        <f>'8.项目规划指标表'!B10</f>
        <v>0</v>
      </c>
      <c r="C30" s="1183">
        <f t="shared" si="10"/>
        <v>0</v>
      </c>
      <c r="D30" s="1179">
        <f>IF(OR(B30="回迁房",B30="回迁商业",B30="无产权公共配套",B30="回迁写字楼"),0,IFERROR('8.项目规划指标表'!$G$16/'8.项目规划指标表'!$C$16*$C$16*'8.项目规划指标表'!G10/SUMIF('8.项目规划指标表'!$AE$5:$AE$15,"分摊",'8.项目规划指标表'!G$5:G$15),0))</f>
        <v>0</v>
      </c>
      <c r="E30" s="725">
        <f>IF(OR(B30="回迁房",B30="回迁商业",B30="无产权公共配套",B30="回迁写字楼"),0,IFERROR('8.项目规划指标表'!$K$16/'8.项目规划指标表'!$C$16*$C$16*'8.项目规划指标表'!K10/SUMIF('8.项目规划指标表'!$AE$5:$AE$15,"分摊",'8.项目规划指标表'!K$5:K$15),0))</f>
        <v>0</v>
      </c>
      <c r="F30" s="1180">
        <f>IF(OR(B30="回迁房",B30="回迁商业",B30="无产权公共配套",B30="回迁写字楼"),0,IFERROR('8.项目规划指标表'!$O$16/'8.项目规划指标表'!$C$16*$C$16*'8.项目规划指标表'!O10/SUMIF('8.项目规划指标表'!$AE$5:$AE$15,"分摊",'8.项目规划指标表'!O$5:O$15),0))</f>
        <v>0</v>
      </c>
      <c r="G30" s="1180">
        <f>IF(OR(B30="回迁房",B30="回迁商业",B30="无产权公共配套",B30="回迁写字楼"),0,IFERROR('8.项目规划指标表'!$S$16/'8.项目规划指标表'!$C$16*$C$16*'8.项目规划指标表'!S10/SUMIF('8.项目规划指标表'!$AE$5:$AE$15,"分摊",'8.项目规划指标表'!S$5:S$15),0))</f>
        <v>0</v>
      </c>
      <c r="H30" s="1184">
        <f>IF(OR(B30="回迁房",B30="回迁商业",B30="无产权公共配套",B30="回迁写字楼"),0,IFERROR('8.项目规划指标表'!$W$16/'8.项目规划指标表'!$C$16*$C$16*'8.项目规划指标表'!W10/SUMIF('8.项目规划指标表'!$AE$5:$AE$15,"分摊",'8.项目规划指标表'!W$5:W$15),0))</f>
        <v>0</v>
      </c>
      <c r="I30" s="1210">
        <f>IF(OR(B30="回迁房",B30="回迁商业",B30="无产权公共配套",B30="回迁写字楼"),0,IFERROR('8.项目规划指标表'!$AA$16/'8.项目规划指标表'!$C$16*$C$16*'8.项目规划指标表'!AA10/SUMIF('8.项目规划指标表'!$AE$5:$AE$15,"分摊",'8.项目规划指标表'!AA$5:AA$15),0))</f>
        <v>0</v>
      </c>
      <c r="J30" s="1183">
        <f t="shared" si="11"/>
        <v>0</v>
      </c>
      <c r="K30" s="1209">
        <f t="shared" si="15"/>
        <v>0</v>
      </c>
      <c r="L30" s="725">
        <f>IFERROR(E30/C$37*($C$16-$C$17),0)</f>
        <v>0</v>
      </c>
      <c r="M30" s="725">
        <f>IFERROR(F30/C$37*($C$16-$C$17),0)</f>
        <v>0</v>
      </c>
      <c r="N30" s="725">
        <f>IFERROR(G30/C$37*($C$16-$C$17),0)</f>
        <v>0</v>
      </c>
      <c r="O30" s="1184">
        <f>IFERROR(H30/C$37*($C$16-$C$17),0)</f>
        <v>0</v>
      </c>
      <c r="P30" s="1210">
        <f>IFERROR(I30/C$37*($C$16-$C$17),0)</f>
        <v>0</v>
      </c>
      <c r="Q30" s="1183">
        <f t="shared" si="13"/>
        <v>0</v>
      </c>
      <c r="R30" s="1209">
        <f t="shared" si="14"/>
        <v>0</v>
      </c>
      <c r="S30" s="725">
        <f t="shared" si="5"/>
        <v>0</v>
      </c>
      <c r="T30" s="725">
        <f t="shared" si="6"/>
        <v>0</v>
      </c>
      <c r="U30" s="725">
        <f t="shared" si="7"/>
        <v>0</v>
      </c>
      <c r="V30" s="1184">
        <f t="shared" si="8"/>
        <v>0</v>
      </c>
      <c r="W30" s="1210">
        <f t="shared" si="9"/>
        <v>0</v>
      </c>
      <c r="X30" s="473"/>
      <c r="Y30" s="473"/>
      <c r="Z30" s="473"/>
      <c r="AA30" s="473"/>
      <c r="AB30" s="473"/>
      <c r="AC30" s="473"/>
      <c r="AD30" s="473"/>
      <c r="AE30" s="473"/>
      <c r="AF30" s="473"/>
      <c r="AG30" s="473"/>
      <c r="AH30" s="473"/>
      <c r="AI30" s="473"/>
      <c r="AJ30" s="473"/>
      <c r="AK30" s="473"/>
      <c r="AL30" s="473"/>
      <c r="AM30" s="473"/>
      <c r="AN30" s="473"/>
      <c r="AO30" s="473"/>
      <c r="AP30" s="473"/>
      <c r="AQ30" s="473"/>
      <c r="AR30" s="473"/>
      <c r="AS30" s="473"/>
      <c r="AT30" s="473"/>
      <c r="AU30" s="473"/>
    </row>
    <row r="31" spans="1:47" s="742" customFormat="1" ht="17.25" customHeight="1">
      <c r="A31" s="473"/>
      <c r="B31" s="1182">
        <f>'8.项目规划指标表'!B11</f>
        <v>0</v>
      </c>
      <c r="C31" s="1183">
        <f t="shared" si="10"/>
        <v>0</v>
      </c>
      <c r="D31" s="1179">
        <f>IF(OR(B31="回迁房",B31="回迁商业",B31="无产权公共配套",B31="回迁写字楼"),0,IFERROR('8.项目规划指标表'!$G$16/'8.项目规划指标表'!$C$16*$C$16*'8.项目规划指标表'!G11/SUMIF('8.项目规划指标表'!$AE$5:$AE$15,"分摊",'8.项目规划指标表'!G$5:G$15),0))</f>
        <v>0</v>
      </c>
      <c r="E31" s="725">
        <f>IF(OR(B31="回迁房",B31="回迁商业",B31="无产权公共配套",B31="回迁写字楼"),0,IFERROR('8.项目规划指标表'!$K$16/'8.项目规划指标表'!$C$16*$C$16*'8.项目规划指标表'!K11/SUMIF('8.项目规划指标表'!$AE$5:$AE$15,"分摊",'8.项目规划指标表'!K$5:K$15),0))</f>
        <v>0</v>
      </c>
      <c r="F31" s="1180">
        <f>IF(OR(B31="回迁房",B31="回迁商业",B31="无产权公共配套",B31="回迁写字楼"),0,IFERROR('8.项目规划指标表'!$O$16/'8.项目规划指标表'!$C$16*$C$16*'8.项目规划指标表'!O11/SUMIF('8.项目规划指标表'!$AE$5:$AE$15,"分摊",'8.项目规划指标表'!O$5:O$15),0))</f>
        <v>0</v>
      </c>
      <c r="G31" s="1180">
        <f>IF(OR(B31="回迁房",B31="回迁商业",B31="无产权公共配套",B31="回迁写字楼"),0,IFERROR('8.项目规划指标表'!$S$16/'8.项目规划指标表'!$C$16*$C$16*'8.项目规划指标表'!S11/SUMIF('8.项目规划指标表'!$AE$5:$AE$15,"分摊",'8.项目规划指标表'!S$5:S$15),0))</f>
        <v>0</v>
      </c>
      <c r="H31" s="1184">
        <f>IF(OR(B31="回迁房",B31="回迁商业",B31="无产权公共配套",B31="回迁写字楼"),0,IFERROR('8.项目规划指标表'!$W$16/'8.项目规划指标表'!$C$16*$C$16*'8.项目规划指标表'!W11/SUMIF('8.项目规划指标表'!$AE$5:$AE$15,"分摊",'8.项目规划指标表'!W$5:W$15),0))</f>
        <v>0</v>
      </c>
      <c r="I31" s="1210">
        <f>IF(OR(B31="回迁房",B31="回迁商业",B31="无产权公共配套",B31="回迁写字楼"),0,IFERROR('8.项目规划指标表'!$AA$16/'8.项目规划指标表'!$C$16*$C$16*'8.项目规划指标表'!AA11/SUMIF('8.项目规划指标表'!$AE$5:$AE$15,"分摊",'8.项目规划指标表'!AA$5:AA$15),0))</f>
        <v>0</v>
      </c>
      <c r="J31" s="1183">
        <f t="shared" si="11"/>
        <v>0</v>
      </c>
      <c r="K31" s="1209">
        <f t="shared" si="15"/>
        <v>0</v>
      </c>
      <c r="L31" s="725">
        <f>IFERROR(E31/C$37*($C$16-$C$17),0)</f>
        <v>0</v>
      </c>
      <c r="M31" s="725">
        <f>IFERROR(F31/C$37*($C$16-$C$17),0)</f>
        <v>0</v>
      </c>
      <c r="N31" s="725">
        <f>IFERROR(G31/C$37*($C$16-$C$17),0)</f>
        <v>0</v>
      </c>
      <c r="O31" s="1184">
        <f>IFERROR(H31/C$37*($C$16-$C$17),0)</f>
        <v>0</v>
      </c>
      <c r="P31" s="1210">
        <f>IFERROR(I31/C$37*($C$16-$C$17),0)</f>
        <v>0</v>
      </c>
      <c r="Q31" s="1183">
        <f t="shared" si="13"/>
        <v>0</v>
      </c>
      <c r="R31" s="1209">
        <f t="shared" si="14"/>
        <v>0</v>
      </c>
      <c r="S31" s="725">
        <f t="shared" si="5"/>
        <v>0</v>
      </c>
      <c r="T31" s="725">
        <f t="shared" si="6"/>
        <v>0</v>
      </c>
      <c r="U31" s="725">
        <f t="shared" si="7"/>
        <v>0</v>
      </c>
      <c r="V31" s="1184">
        <f t="shared" si="8"/>
        <v>0</v>
      </c>
      <c r="W31" s="1210">
        <f t="shared" si="9"/>
        <v>0</v>
      </c>
      <c r="X31" s="473"/>
      <c r="Y31" s="473"/>
      <c r="Z31" s="473"/>
      <c r="AA31" s="473"/>
      <c r="AB31" s="473"/>
      <c r="AC31" s="473"/>
      <c r="AD31" s="473"/>
      <c r="AE31" s="473"/>
      <c r="AF31" s="473"/>
      <c r="AG31" s="473"/>
      <c r="AH31" s="473"/>
      <c r="AI31" s="473"/>
      <c r="AJ31" s="473"/>
      <c r="AK31" s="473"/>
      <c r="AL31" s="473"/>
      <c r="AM31" s="473"/>
      <c r="AN31" s="473"/>
      <c r="AO31" s="473"/>
      <c r="AP31" s="473"/>
      <c r="AQ31" s="473"/>
      <c r="AR31" s="473"/>
      <c r="AS31" s="473"/>
      <c r="AT31" s="473"/>
      <c r="AU31" s="473"/>
    </row>
    <row r="32" spans="1:47" s="742" customFormat="1" ht="17.25" customHeight="1">
      <c r="A32" s="473"/>
      <c r="B32" s="1182">
        <f>'8.项目规划指标表'!B12</f>
        <v>0</v>
      </c>
      <c r="C32" s="1183">
        <f t="shared" si="10"/>
        <v>0</v>
      </c>
      <c r="D32" s="1179">
        <f>IF(OR(B32="回迁房",B32="回迁商业",B32="无产权公共配套",B32="回迁写字楼"),0,IFERROR('8.项目规划指标表'!$G$16/'8.项目规划指标表'!$C$16*$C$16*'8.项目规划指标表'!G12/SUMIF('8.项目规划指标表'!$AE$5:$AE$15,"分摊",'8.项目规划指标表'!G$5:G$15),0))</f>
        <v>0</v>
      </c>
      <c r="E32" s="725">
        <f>IF(OR(B32="回迁房",B32="回迁商业",B32="无产权公共配套",B32="回迁写字楼"),0,IFERROR('8.项目规划指标表'!$K$16/'8.项目规划指标表'!$C$16*$C$16*'8.项目规划指标表'!K12/SUMIF('8.项目规划指标表'!$AE$5:$AE$15,"分摊",'8.项目规划指标表'!K$5:K$15),0))</f>
        <v>0</v>
      </c>
      <c r="F32" s="1180">
        <f>IF(OR(B32="回迁房",B32="回迁商业",B32="无产权公共配套",B32="回迁写字楼"),0,IFERROR('8.项目规划指标表'!$O$16/'8.项目规划指标表'!$C$16*$C$16*'8.项目规划指标表'!O12/SUMIF('8.项目规划指标表'!$AE$5:$AE$15,"分摊",'8.项目规划指标表'!O$5:O$15),0))</f>
        <v>0</v>
      </c>
      <c r="G32" s="1180">
        <f>IF(OR(B32="回迁房",B32="回迁商业",B32="无产权公共配套",B32="回迁写字楼"),0,IFERROR('8.项目规划指标表'!$S$16/'8.项目规划指标表'!$C$16*$C$16*'8.项目规划指标表'!S12/SUMIF('8.项目规划指标表'!$AE$5:$AE$15,"分摊",'8.项目规划指标表'!S$5:S$15),0))</f>
        <v>0</v>
      </c>
      <c r="H32" s="1184">
        <f>IF(OR(B32="回迁房",B32="回迁商业",B32="无产权公共配套",B32="回迁写字楼"),0,IFERROR('8.项目规划指标表'!$W$16/'8.项目规划指标表'!$C$16*$C$16*'8.项目规划指标表'!W12/SUMIF('8.项目规划指标表'!$AE$5:$AE$15,"分摊",'8.项目规划指标表'!W$5:W$15),0))</f>
        <v>0</v>
      </c>
      <c r="I32" s="1210">
        <f>IF(OR(B32="回迁房",B32="回迁商业",B32="无产权公共配套",B32="回迁写字楼"),0,IFERROR('8.项目规划指标表'!$AA$16/'8.项目规划指标表'!$C$16*$C$16*'8.项目规划指标表'!AA12/SUMIF('8.项目规划指标表'!$AE$5:$AE$15,"分摊",'8.项目规划指标表'!AA$5:AA$15),0))</f>
        <v>0</v>
      </c>
      <c r="J32" s="1183">
        <f t="shared" si="11"/>
        <v>0</v>
      </c>
      <c r="K32" s="1209">
        <f t="shared" si="15"/>
        <v>0</v>
      </c>
      <c r="L32" s="725">
        <f>IFERROR(E32/C$37*($C$16-$C$17),0)</f>
        <v>0</v>
      </c>
      <c r="M32" s="725">
        <f>IFERROR(F32/C$37*($C$16-$C$17),0)</f>
        <v>0</v>
      </c>
      <c r="N32" s="725">
        <f>IFERROR(G32/C$37*($C$16-$C$17),0)</f>
        <v>0</v>
      </c>
      <c r="O32" s="1184">
        <f>IFERROR(H32/C$37*($C$16-$C$17),0)</f>
        <v>0</v>
      </c>
      <c r="P32" s="1210">
        <f>IFERROR(I32/C$37*($C$16-$C$17),0)</f>
        <v>0</v>
      </c>
      <c r="Q32" s="1183">
        <f t="shared" si="13"/>
        <v>0</v>
      </c>
      <c r="R32" s="1209">
        <f t="shared" si="14"/>
        <v>0</v>
      </c>
      <c r="S32" s="725">
        <f t="shared" si="5"/>
        <v>0</v>
      </c>
      <c r="T32" s="725">
        <f t="shared" si="6"/>
        <v>0</v>
      </c>
      <c r="U32" s="725">
        <f t="shared" si="7"/>
        <v>0</v>
      </c>
      <c r="V32" s="1184">
        <f t="shared" si="8"/>
        <v>0</v>
      </c>
      <c r="W32" s="1210">
        <f t="shared" si="9"/>
        <v>0</v>
      </c>
      <c r="X32" s="473"/>
      <c r="Y32" s="473"/>
      <c r="Z32" s="473"/>
      <c r="AA32" s="473"/>
      <c r="AB32" s="473"/>
      <c r="AC32" s="473"/>
      <c r="AD32" s="473"/>
      <c r="AE32" s="473"/>
      <c r="AF32" s="473"/>
      <c r="AG32" s="473"/>
      <c r="AH32" s="473"/>
      <c r="AI32" s="473"/>
      <c r="AJ32" s="473"/>
      <c r="AK32" s="473"/>
      <c r="AL32" s="473"/>
      <c r="AM32" s="473"/>
      <c r="AN32" s="473"/>
      <c r="AO32" s="473"/>
      <c r="AP32" s="473"/>
      <c r="AQ32" s="473"/>
      <c r="AR32" s="473"/>
      <c r="AS32" s="473"/>
      <c r="AT32" s="473"/>
      <c r="AU32" s="473"/>
    </row>
    <row r="33" spans="1:47" s="742" customFormat="1" ht="17.25" customHeight="1">
      <c r="A33" s="473"/>
      <c r="B33" s="1182">
        <f>'8.项目规划指标表'!B13</f>
        <v>0</v>
      </c>
      <c r="C33" s="1183">
        <f t="shared" si="10"/>
        <v>0</v>
      </c>
      <c r="D33" s="1179">
        <f>IF(OR(B33="回迁房",B33="回迁商业",B33="无产权公共配套",B33="回迁写字楼"),0,IFERROR('8.项目规划指标表'!$G$16/'8.项目规划指标表'!$C$16*$C$16*'8.项目规划指标表'!G13/SUMIF('8.项目规划指标表'!$AE$5:$AE$15,"分摊",'8.项目规划指标表'!G$5:G$15),0))</f>
        <v>0</v>
      </c>
      <c r="E33" s="725">
        <f>IF(OR(B33="回迁房",B33="回迁商业",B33="无产权公共配套",B33="回迁写字楼"),0,IFERROR('8.项目规划指标表'!$K$16/'8.项目规划指标表'!$C$16*$C$16*'8.项目规划指标表'!K13/SUMIF('8.项目规划指标表'!$AE$5:$AE$15,"分摊",'8.项目规划指标表'!K$5:K$15),0))</f>
        <v>0</v>
      </c>
      <c r="F33" s="1180">
        <f>IF(OR(B33="回迁房",B33="回迁商业",B33="无产权公共配套",B33="回迁写字楼"),0,IFERROR('8.项目规划指标表'!$O$16/'8.项目规划指标表'!$C$16*$C$16*'8.项目规划指标表'!O13/SUMIF('8.项目规划指标表'!$AE$5:$AE$15,"分摊",'8.项目规划指标表'!O$5:O$15),0))</f>
        <v>0</v>
      </c>
      <c r="G33" s="1180">
        <f>IF(OR(B33="回迁房",B33="回迁商业",B33="无产权公共配套",B33="回迁写字楼"),0,IFERROR('8.项目规划指标表'!$S$16/'8.项目规划指标表'!$C$16*$C$16*'8.项目规划指标表'!S13/SUMIF('8.项目规划指标表'!$AE$5:$AE$15,"分摊",'8.项目规划指标表'!S$5:S$15),0))</f>
        <v>0</v>
      </c>
      <c r="H33" s="1184">
        <f>IF(OR(B33="回迁房",B33="回迁商业",B33="无产权公共配套",B33="回迁写字楼"),0,IFERROR('8.项目规划指标表'!$W$16/'8.项目规划指标表'!$C$16*$C$16*'8.项目规划指标表'!W13/SUMIF('8.项目规划指标表'!$AE$5:$AE$15,"分摊",'8.项目规划指标表'!W$5:W$15),0))</f>
        <v>0</v>
      </c>
      <c r="I33" s="1210">
        <f>IF(OR(B33="回迁房",B33="回迁商业",B33="无产权公共配套",B33="回迁写字楼"),0,IFERROR('8.项目规划指标表'!$AA$16/'8.项目规划指标表'!$C$16*$C$16*'8.项目规划指标表'!AA13/SUMIF('8.项目规划指标表'!$AE$5:$AE$15,"分摊",'8.项目规划指标表'!AA$5:AA$15),0))</f>
        <v>0</v>
      </c>
      <c r="J33" s="1183">
        <f t="shared" si="11"/>
        <v>0</v>
      </c>
      <c r="K33" s="1209">
        <f t="shared" si="15"/>
        <v>0</v>
      </c>
      <c r="L33" s="725">
        <f>IFERROR(E33/C$37*($C$16-$C$17),0)</f>
        <v>0</v>
      </c>
      <c r="M33" s="725">
        <f>IFERROR(F33/C$37*($C$16-$C$17),0)</f>
        <v>0</v>
      </c>
      <c r="N33" s="725">
        <f>IFERROR(G33/C$37*($C$16-$C$17),0)</f>
        <v>0</v>
      </c>
      <c r="O33" s="1184">
        <f>IFERROR(H33/C$37*($C$16-$C$17),0)</f>
        <v>0</v>
      </c>
      <c r="P33" s="1210">
        <f>IFERROR(I33/C$37*($C$16-$C$17),0)</f>
        <v>0</v>
      </c>
      <c r="Q33" s="1183">
        <f t="shared" si="13"/>
        <v>0</v>
      </c>
      <c r="R33" s="1209">
        <f t="shared" si="14"/>
        <v>0</v>
      </c>
      <c r="S33" s="725">
        <f t="shared" si="5"/>
        <v>0</v>
      </c>
      <c r="T33" s="725">
        <f t="shared" si="6"/>
        <v>0</v>
      </c>
      <c r="U33" s="725">
        <f t="shared" si="7"/>
        <v>0</v>
      </c>
      <c r="V33" s="1184">
        <f t="shared" si="8"/>
        <v>0</v>
      </c>
      <c r="W33" s="1210">
        <f t="shared" si="9"/>
        <v>0</v>
      </c>
      <c r="X33" s="473"/>
      <c r="Y33" s="473"/>
      <c r="Z33" s="473"/>
      <c r="AA33" s="473"/>
      <c r="AB33" s="473"/>
      <c r="AC33" s="473"/>
      <c r="AD33" s="473"/>
      <c r="AE33" s="473"/>
      <c r="AF33" s="473"/>
      <c r="AG33" s="473"/>
      <c r="AH33" s="473"/>
      <c r="AI33" s="473"/>
      <c r="AJ33" s="473"/>
      <c r="AK33" s="473"/>
      <c r="AL33" s="473"/>
      <c r="AM33" s="473"/>
      <c r="AN33" s="473"/>
      <c r="AO33" s="473"/>
      <c r="AP33" s="473"/>
      <c r="AQ33" s="473"/>
      <c r="AR33" s="473"/>
      <c r="AS33" s="473"/>
      <c r="AT33" s="473"/>
      <c r="AU33" s="473"/>
    </row>
    <row r="34" spans="1:47" s="742" customFormat="1" ht="17.25" customHeight="1">
      <c r="A34" s="473"/>
      <c r="B34" s="1182" t="str">
        <f>'8.项目规划指标表'!B14</f>
        <v>自持物业</v>
      </c>
      <c r="C34" s="1183">
        <f t="shared" si="10"/>
        <v>0</v>
      </c>
      <c r="D34" s="1179">
        <f>IF(OR(B34="回迁房",B34="回迁商业",B34="无产权公共配套",B34="回迁写字楼"),0,IFERROR('8.项目规划指标表'!$G$16/'8.项目规划指标表'!$C$16*$C$16*'8.项目规划指标表'!G14/SUMIF('8.项目规划指标表'!$AE$5:$AE$15,"分摊",'8.项目规划指标表'!G$5:G$15),0))</f>
        <v>0</v>
      </c>
      <c r="E34" s="725">
        <f>IF(OR(B34="回迁房",B34="回迁商业",B34="无产权公共配套",B34="回迁写字楼"),0,IFERROR('8.项目规划指标表'!$K$16/'8.项目规划指标表'!$C$16*$C$16*'8.项目规划指标表'!K14/SUMIF('8.项目规划指标表'!$AE$5:$AE$15,"分摊",'8.项目规划指标表'!K$5:K$15),0))</f>
        <v>0</v>
      </c>
      <c r="F34" s="1180">
        <f>IF(OR(B34="回迁房",B34="回迁商业",B34="无产权公共配套",B34="回迁写字楼"),0,IFERROR('8.项目规划指标表'!$O$16/'8.项目规划指标表'!$C$16*$C$16*'8.项目规划指标表'!O14/SUMIF('8.项目规划指标表'!$AE$5:$AE$15,"分摊",'8.项目规划指标表'!O$5:O$15),0))</f>
        <v>0</v>
      </c>
      <c r="G34" s="1180">
        <f>IF(OR(B34="回迁房",B34="回迁商业",B34="无产权公共配套",B34="回迁写字楼"),0,IFERROR('8.项目规划指标表'!$S$16/'8.项目规划指标表'!$C$16*$C$16*'8.项目规划指标表'!S14/SUMIF('8.项目规划指标表'!$AE$5:$AE$15,"分摊",'8.项目规划指标表'!S$5:S$15),0))</f>
        <v>0</v>
      </c>
      <c r="H34" s="1184">
        <f>IF(OR(B34="回迁房",B34="回迁商业",B34="无产权公共配套",B34="回迁写字楼"),0,IFERROR('8.项目规划指标表'!$W$16/'8.项目规划指标表'!$C$16*$C$16*'8.项目规划指标表'!W14/SUMIF('8.项目规划指标表'!$AE$5:$AE$15,"分摊",'8.项目规划指标表'!W$5:W$15),0))</f>
        <v>0</v>
      </c>
      <c r="I34" s="1210">
        <f>IF(OR(B34="回迁房",B34="回迁商业",B34="无产权公共配套",B34="回迁写字楼"),0,IFERROR('8.项目规划指标表'!$AA$16/'8.项目规划指标表'!$C$16*$C$16*'8.项目规划指标表'!AA14/SUMIF('8.项目规划指标表'!$AE$5:$AE$15,"分摊",'8.项目规划指标表'!AA$5:AA$15),0))</f>
        <v>0</v>
      </c>
      <c r="J34" s="1183">
        <f t="shared" si="11"/>
        <v>0</v>
      </c>
      <c r="K34" s="1209">
        <f t="shared" si="15"/>
        <v>0</v>
      </c>
      <c r="L34" s="725">
        <f>IFERROR(E34/C$37*($C$16-$C$17),0)</f>
        <v>0</v>
      </c>
      <c r="M34" s="725">
        <f>IFERROR(F34/C$37*($C$16-$C$17),0)</f>
        <v>0</v>
      </c>
      <c r="N34" s="725">
        <f>IFERROR(G34/C$37*($C$16-$C$17),0)</f>
        <v>0</v>
      </c>
      <c r="O34" s="1184">
        <f>IFERROR(H34/C$37*($C$16-$C$17),0)</f>
        <v>0</v>
      </c>
      <c r="P34" s="1210">
        <f>IFERROR(I34/C$37*($C$16-$C$17),0)</f>
        <v>0</v>
      </c>
      <c r="Q34" s="1183">
        <f t="shared" si="13"/>
        <v>0</v>
      </c>
      <c r="R34" s="1209">
        <f t="shared" si="14"/>
        <v>0</v>
      </c>
      <c r="S34" s="725">
        <f t="shared" si="5"/>
        <v>0</v>
      </c>
      <c r="T34" s="725">
        <f t="shared" si="6"/>
        <v>0</v>
      </c>
      <c r="U34" s="725">
        <f t="shared" si="7"/>
        <v>0</v>
      </c>
      <c r="V34" s="1184">
        <f t="shared" si="8"/>
        <v>0</v>
      </c>
      <c r="W34" s="1210">
        <f t="shared" si="9"/>
        <v>0</v>
      </c>
      <c r="X34" s="473"/>
      <c r="Y34" s="473"/>
      <c r="Z34" s="473"/>
      <c r="AA34" s="473"/>
      <c r="AB34" s="473"/>
      <c r="AC34" s="473"/>
      <c r="AD34" s="473"/>
      <c r="AE34" s="473"/>
      <c r="AF34" s="473"/>
      <c r="AG34" s="473"/>
      <c r="AH34" s="473"/>
      <c r="AI34" s="473"/>
      <c r="AJ34" s="473"/>
      <c r="AK34" s="473"/>
      <c r="AL34" s="473"/>
      <c r="AM34" s="473"/>
      <c r="AN34" s="473"/>
      <c r="AO34" s="473"/>
      <c r="AP34" s="473"/>
      <c r="AQ34" s="473"/>
      <c r="AR34" s="473"/>
      <c r="AS34" s="473"/>
      <c r="AT34" s="473"/>
      <c r="AU34" s="473"/>
    </row>
    <row r="35" spans="1:47" s="742" customFormat="1" ht="17.25" customHeight="1">
      <c r="A35" s="473"/>
      <c r="B35" s="1182" t="str">
        <f>'8.项目规划指标表'!B18</f>
        <v>有产权车库(个)</v>
      </c>
      <c r="C35" s="1183">
        <f t="shared" si="10"/>
        <v>0</v>
      </c>
      <c r="D35" s="90"/>
      <c r="E35" s="1185"/>
      <c r="F35" s="1185"/>
      <c r="G35" s="1185"/>
      <c r="H35" s="1186"/>
      <c r="I35" s="1211"/>
      <c r="J35" s="1183">
        <f t="shared" si="11"/>
        <v>0</v>
      </c>
      <c r="K35" s="90"/>
      <c r="L35" s="1185"/>
      <c r="M35" s="1185"/>
      <c r="N35" s="1185"/>
      <c r="O35" s="1186"/>
      <c r="P35" s="1211"/>
      <c r="Q35" s="1183">
        <f t="shared" si="13"/>
        <v>0</v>
      </c>
      <c r="R35" s="90"/>
      <c r="S35" s="1185"/>
      <c r="T35" s="1185"/>
      <c r="U35" s="1185"/>
      <c r="V35" s="1186"/>
      <c r="W35" s="1211"/>
      <c r="X35" s="473"/>
      <c r="Y35" s="473"/>
      <c r="Z35" s="473"/>
      <c r="AA35" s="473"/>
      <c r="AB35" s="473"/>
      <c r="AC35" s="473"/>
      <c r="AD35" s="473"/>
      <c r="AE35" s="473"/>
      <c r="AF35" s="473"/>
      <c r="AG35" s="473"/>
      <c r="AH35" s="473"/>
      <c r="AI35" s="473"/>
      <c r="AJ35" s="473"/>
      <c r="AK35" s="473"/>
      <c r="AL35" s="473"/>
      <c r="AM35" s="473"/>
      <c r="AN35" s="473"/>
      <c r="AO35" s="473"/>
      <c r="AP35" s="473"/>
      <c r="AQ35" s="473"/>
      <c r="AR35" s="473"/>
      <c r="AS35" s="473"/>
      <c r="AT35" s="473"/>
      <c r="AU35" s="473"/>
    </row>
    <row r="36" spans="1:47" s="742" customFormat="1" ht="17.25" customHeight="1">
      <c r="A36" s="473"/>
      <c r="B36" s="1187" t="str">
        <f>'8.项目规划指标表'!B19</f>
        <v>无产权车库(个)</v>
      </c>
      <c r="C36" s="1188">
        <f t="shared" si="10"/>
        <v>0</v>
      </c>
      <c r="D36" s="1189"/>
      <c r="E36" s="1190"/>
      <c r="F36" s="1190"/>
      <c r="G36" s="1190"/>
      <c r="H36" s="1191"/>
      <c r="I36" s="1212"/>
      <c r="J36" s="1188">
        <f t="shared" si="11"/>
        <v>0</v>
      </c>
      <c r="K36" s="1189"/>
      <c r="L36" s="1190"/>
      <c r="M36" s="1190"/>
      <c r="N36" s="1190"/>
      <c r="O36" s="1191"/>
      <c r="P36" s="1212"/>
      <c r="Q36" s="1188">
        <f t="shared" si="13"/>
        <v>0</v>
      </c>
      <c r="R36" s="1189"/>
      <c r="S36" s="1190"/>
      <c r="T36" s="1190"/>
      <c r="U36" s="1190"/>
      <c r="V36" s="1191"/>
      <c r="W36" s="1212"/>
      <c r="X36" s="473"/>
      <c r="Y36" s="473"/>
      <c r="Z36" s="473"/>
      <c r="AA36" s="473"/>
      <c r="AB36" s="473"/>
      <c r="AC36" s="473"/>
      <c r="AD36" s="473"/>
      <c r="AE36" s="473"/>
      <c r="AF36" s="473"/>
      <c r="AG36" s="473"/>
      <c r="AH36" s="473"/>
      <c r="AI36" s="473"/>
      <c r="AJ36" s="473"/>
      <c r="AK36" s="473"/>
      <c r="AL36" s="473"/>
      <c r="AM36" s="473"/>
      <c r="AN36" s="473"/>
      <c r="AO36" s="473"/>
      <c r="AP36" s="473"/>
      <c r="AQ36" s="473"/>
      <c r="AR36" s="473"/>
      <c r="AS36" s="473"/>
      <c r="AT36" s="473"/>
      <c r="AU36" s="473"/>
    </row>
    <row r="37" spans="1:47" s="742" customFormat="1" ht="17.25" customHeight="1">
      <c r="A37" s="473"/>
      <c r="B37" s="1192" t="s">
        <v>251</v>
      </c>
      <c r="C37" s="1193">
        <f t="shared" ref="C37:P37" si="16">SUM(C25:C36)</f>
        <v>20460.111314965787</v>
      </c>
      <c r="D37" s="1194">
        <f t="shared" si="16"/>
        <v>20460.111314965787</v>
      </c>
      <c r="E37" s="1195">
        <f t="shared" si="16"/>
        <v>0</v>
      </c>
      <c r="F37" s="1195">
        <f t="shared" si="16"/>
        <v>0</v>
      </c>
      <c r="G37" s="1195">
        <f t="shared" si="16"/>
        <v>0</v>
      </c>
      <c r="H37" s="1195">
        <f t="shared" si="16"/>
        <v>0</v>
      </c>
      <c r="I37" s="1213">
        <f t="shared" si="16"/>
        <v>0</v>
      </c>
      <c r="J37" s="1214">
        <f t="shared" si="16"/>
        <v>20220.111314965783</v>
      </c>
      <c r="K37" s="1194">
        <f t="shared" si="16"/>
        <v>20220.111314965783</v>
      </c>
      <c r="L37" s="1195">
        <f t="shared" si="16"/>
        <v>0</v>
      </c>
      <c r="M37" s="1195">
        <f t="shared" si="16"/>
        <v>0</v>
      </c>
      <c r="N37" s="1195">
        <f t="shared" si="16"/>
        <v>0</v>
      </c>
      <c r="O37" s="1195">
        <f t="shared" si="16"/>
        <v>0</v>
      </c>
      <c r="P37" s="1213">
        <f t="shared" si="16"/>
        <v>0</v>
      </c>
      <c r="Q37" s="1214">
        <f t="shared" ref="Q37:W37" si="17">SUM(Q25:Q36)</f>
        <v>240.00000000000182</v>
      </c>
      <c r="R37" s="1194">
        <f t="shared" si="17"/>
        <v>240.00000000000182</v>
      </c>
      <c r="S37" s="1195">
        <f t="shared" si="17"/>
        <v>0</v>
      </c>
      <c r="T37" s="1195">
        <f t="shared" si="17"/>
        <v>0</v>
      </c>
      <c r="U37" s="1195">
        <f t="shared" si="17"/>
        <v>0</v>
      </c>
      <c r="V37" s="1195">
        <f t="shared" si="17"/>
        <v>0</v>
      </c>
      <c r="W37" s="1213">
        <f t="shared" si="17"/>
        <v>0</v>
      </c>
      <c r="X37" s="473"/>
      <c r="Y37" s="473"/>
      <c r="Z37" s="473"/>
      <c r="AA37" s="473"/>
      <c r="AB37" s="473"/>
      <c r="AC37" s="473"/>
      <c r="AD37" s="473"/>
      <c r="AE37" s="473"/>
      <c r="AF37" s="473"/>
      <c r="AG37" s="473"/>
      <c r="AH37" s="473"/>
      <c r="AI37" s="473"/>
      <c r="AJ37" s="473"/>
      <c r="AK37" s="473"/>
      <c r="AL37" s="473"/>
      <c r="AM37" s="473"/>
      <c r="AN37" s="473"/>
      <c r="AO37" s="473"/>
      <c r="AP37" s="473"/>
      <c r="AQ37" s="473"/>
      <c r="AR37" s="473"/>
      <c r="AS37" s="473"/>
      <c r="AT37" s="473"/>
      <c r="AU37" s="473"/>
    </row>
    <row r="38" spans="1:47" ht="15.75" customHeight="1">
      <c r="A38" s="78"/>
      <c r="B38" s="1196" t="s">
        <v>553</v>
      </c>
      <c r="C38" s="811">
        <f>C37-C16</f>
        <v>0</v>
      </c>
      <c r="D38" s="78"/>
      <c r="E38" s="78"/>
      <c r="F38" s="78"/>
      <c r="G38" s="473"/>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c r="AG38" s="78"/>
      <c r="AH38" s="78"/>
      <c r="AI38" s="78"/>
      <c r="AJ38" s="78"/>
      <c r="AK38" s="78"/>
      <c r="AL38" s="78"/>
      <c r="AM38" s="78"/>
      <c r="AN38" s="78"/>
      <c r="AO38" s="78"/>
      <c r="AP38" s="78"/>
      <c r="AQ38" s="78"/>
      <c r="AR38" s="78"/>
      <c r="AS38" s="78"/>
      <c r="AT38" s="78"/>
      <c r="AU38" s="78"/>
    </row>
    <row r="39" spans="1:47" ht="17.25" customHeight="1">
      <c r="A39" s="78"/>
      <c r="B39" s="141" t="s">
        <v>554</v>
      </c>
      <c r="C39" s="78"/>
      <c r="D39" s="78"/>
      <c r="E39" s="78"/>
      <c r="F39" s="78"/>
      <c r="G39" s="78"/>
      <c r="H39" s="78"/>
      <c r="I39" s="78"/>
      <c r="J39" s="78"/>
      <c r="K39" s="78"/>
      <c r="L39" s="78"/>
      <c r="M39" s="78"/>
      <c r="N39" s="78"/>
      <c r="O39" s="78"/>
      <c r="P39" s="78"/>
      <c r="Q39" s="78"/>
      <c r="R39" s="78"/>
      <c r="S39" s="78"/>
      <c r="T39" s="78"/>
      <c r="U39" s="78"/>
      <c r="V39" s="78"/>
      <c r="W39" s="78"/>
      <c r="X39" s="78"/>
      <c r="Y39" s="78"/>
      <c r="Z39" s="78"/>
      <c r="AA39" s="78"/>
      <c r="AB39" s="78"/>
      <c r="AC39" s="78"/>
      <c r="AD39" s="78"/>
      <c r="AE39" s="78"/>
      <c r="AF39" s="78"/>
      <c r="AG39" s="78"/>
      <c r="AH39" s="78"/>
      <c r="AI39" s="78"/>
      <c r="AJ39" s="78"/>
      <c r="AK39" s="78"/>
      <c r="AL39" s="78"/>
      <c r="AM39" s="78"/>
      <c r="AN39" s="78"/>
      <c r="AO39" s="78"/>
      <c r="AP39" s="78"/>
      <c r="AQ39" s="78"/>
      <c r="AR39" s="78"/>
      <c r="AS39" s="78"/>
      <c r="AT39" s="78"/>
      <c r="AU39" s="78"/>
    </row>
    <row r="40" spans="1:47" ht="20.25" customHeight="1">
      <c r="A40" s="78"/>
      <c r="B40" s="1852" t="s">
        <v>550</v>
      </c>
      <c r="C40" s="1173"/>
      <c r="D40" s="1848" t="s">
        <v>555</v>
      </c>
      <c r="E40" s="1848"/>
      <c r="F40" s="1848"/>
      <c r="G40" s="1848"/>
      <c r="H40" s="1848"/>
      <c r="I40" s="1849"/>
      <c r="J40" s="1173"/>
      <c r="K40" s="1848" t="s">
        <v>556</v>
      </c>
      <c r="L40" s="1848"/>
      <c r="M40" s="1848"/>
      <c r="N40" s="1848"/>
      <c r="O40" s="1848"/>
      <c r="P40" s="1849"/>
      <c r="Q40" s="78"/>
      <c r="R40" s="78"/>
      <c r="S40" s="78"/>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row>
    <row r="41" spans="1:47" ht="19.5" customHeight="1">
      <c r="A41" s="78"/>
      <c r="B41" s="1853"/>
      <c r="C41" s="1174" t="s">
        <v>251</v>
      </c>
      <c r="D41" s="1175" t="s">
        <v>19</v>
      </c>
      <c r="E41" s="1176" t="s">
        <v>20</v>
      </c>
      <c r="F41" s="1176" t="s">
        <v>21</v>
      </c>
      <c r="G41" s="1176" t="s">
        <v>22</v>
      </c>
      <c r="H41" s="1176" t="s">
        <v>23</v>
      </c>
      <c r="I41" s="1207" t="s">
        <v>24</v>
      </c>
      <c r="J41" s="1174" t="s">
        <v>251</v>
      </c>
      <c r="K41" s="1175" t="s">
        <v>19</v>
      </c>
      <c r="L41" s="1176" t="s">
        <v>20</v>
      </c>
      <c r="M41" s="1176" t="s">
        <v>21</v>
      </c>
      <c r="N41" s="1176" t="s">
        <v>22</v>
      </c>
      <c r="O41" s="1176" t="s">
        <v>23</v>
      </c>
      <c r="P41" s="1207" t="s">
        <v>24</v>
      </c>
      <c r="Q41" s="78"/>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c r="AT41" s="78"/>
      <c r="AU41" s="78"/>
    </row>
    <row r="42" spans="1:47" ht="15.75" customHeight="1">
      <c r="A42" s="78"/>
      <c r="B42" s="1177" t="str">
        <f>'8.项目规划指标表'!B5</f>
        <v>高层</v>
      </c>
      <c r="C42" s="1197">
        <f>IFERROR(C25/'8.项目规划指标表'!$E5*10000,0)</f>
        <v>2362.5472902890087</v>
      </c>
      <c r="D42" s="1179">
        <f>IFERROR(D25/'8.项目规划指标表'!$I5*10000,0)</f>
        <v>2362.5472902890087</v>
      </c>
      <c r="E42" s="725">
        <f>IFERROR(E25/'8.项目规划指标表'!$M5*10000,0)</f>
        <v>0</v>
      </c>
      <c r="F42" s="1180">
        <f>IFERROR(F25/'8.项目规划指标表'!$Q5*10000,0)</f>
        <v>0</v>
      </c>
      <c r="G42" s="1180">
        <f>IFERROR(G25/'8.项目规划指标表'!$U5*10000,0)</f>
        <v>0</v>
      </c>
      <c r="H42" s="1181">
        <f>IFERROR(H25/'8.项目规划指标表'!$Y5*10000,0)</f>
        <v>0</v>
      </c>
      <c r="I42" s="1208">
        <f>IFERROR(I25/'8.项目规划指标表'!$AC5*10000,0)</f>
        <v>0</v>
      </c>
      <c r="J42" s="1183">
        <f>IFERROR(J25/'8.项目规划指标表'!$E5*10000,0)</f>
        <v>2334.8342763693522</v>
      </c>
      <c r="K42" s="1209">
        <f>IFERROR(K25/'8.项目规划指标表'!$I5*10000,0)</f>
        <v>2334.8342763693522</v>
      </c>
      <c r="L42" s="725">
        <f>IFERROR(L25/'8.项目规划指标表'!$M5*10000,0)</f>
        <v>0</v>
      </c>
      <c r="M42" s="725">
        <f>IFERROR(M25/'8.项目规划指标表'!$Q5*10000,0)</f>
        <v>0</v>
      </c>
      <c r="N42" s="725">
        <f>IFERROR(N25/'8.项目规划指标表'!$U5*10000,0)</f>
        <v>0</v>
      </c>
      <c r="O42" s="1181">
        <f>IFERROR(O25/'8.项目规划指标表'!$Y5*10000,0)</f>
        <v>0</v>
      </c>
      <c r="P42" s="1208">
        <f>IFERROR(P25/'8.项目规划指标表'!$AC5*10000,0)</f>
        <v>0</v>
      </c>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78"/>
      <c r="AU42" s="78"/>
    </row>
    <row r="43" spans="1:47" ht="15.75" customHeight="1">
      <c r="A43" s="78"/>
      <c r="B43" s="1182" t="str">
        <f>'8.项目规划指标表'!B6</f>
        <v>商铺</v>
      </c>
      <c r="C43" s="1183">
        <f>IFERROR(C26/'8.项目规划指标表'!$E6*10000,0)</f>
        <v>19797.310484737493</v>
      </c>
      <c r="D43" s="1179">
        <f>IFERROR(D26/'8.项目规划指标表'!$I6*10000,0)</f>
        <v>19797.310484737493</v>
      </c>
      <c r="E43" s="725">
        <f>IFERROR(E26/'8.项目规划指标表'!$M6*10000,0)</f>
        <v>0</v>
      </c>
      <c r="F43" s="1180">
        <f>IFERROR(F26/'8.项目规划指标表'!$Q6*10000,0)</f>
        <v>0</v>
      </c>
      <c r="G43" s="1180">
        <f>IFERROR(G26/'8.项目规划指标表'!$U6*10000,0)</f>
        <v>0</v>
      </c>
      <c r="H43" s="1184">
        <f>IFERROR(H26/'8.项目规划指标表'!$Y6*10000,0)</f>
        <v>0</v>
      </c>
      <c r="I43" s="1210">
        <f>IFERROR(I26/'8.项目规划指标表'!$AC6*10000,0)</f>
        <v>0</v>
      </c>
      <c r="J43" s="1183">
        <f>IFERROR(J26/'8.项目规划指标表'!$E6*10000,0)</f>
        <v>19565.085232235488</v>
      </c>
      <c r="K43" s="1209">
        <f>IFERROR(K26/'8.项目规划指标表'!$I6*10000,0)</f>
        <v>19565.085232235488</v>
      </c>
      <c r="L43" s="725">
        <f>IFERROR(L26/'8.项目规划指标表'!$M6*10000,0)</f>
        <v>0</v>
      </c>
      <c r="M43" s="725">
        <f>IFERROR(M26/'8.项目规划指标表'!$Q6*10000,0)</f>
        <v>0</v>
      </c>
      <c r="N43" s="725">
        <f>IFERROR(N26/'8.项目规划指标表'!$U6*10000,0)</f>
        <v>0</v>
      </c>
      <c r="O43" s="1184">
        <f>IFERROR(O26/'8.项目规划指标表'!$Y6*10000,0)</f>
        <v>0</v>
      </c>
      <c r="P43" s="1210">
        <f>IFERROR(P26/'8.项目规划指标表'!$AC6*10000,0)</f>
        <v>0</v>
      </c>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row>
    <row r="44" spans="1:47" ht="15.75" customHeight="1">
      <c r="A44" s="78"/>
      <c r="B44" s="1182" t="str">
        <f>'8.项目规划指标表'!B7</f>
        <v>回迁商业</v>
      </c>
      <c r="C44" s="1183">
        <f>IFERROR(C27/'8.项目规划指标表'!$E7*10000,0)</f>
        <v>0</v>
      </c>
      <c r="D44" s="1179">
        <f>IFERROR(D27/'8.项目规划指标表'!$I7*10000,0)</f>
        <v>0</v>
      </c>
      <c r="E44" s="725">
        <f>IFERROR(E27/'8.项目规划指标表'!$M7*10000,0)</f>
        <v>0</v>
      </c>
      <c r="F44" s="1180">
        <f>IFERROR(F27/'8.项目规划指标表'!$Q7*10000,0)</f>
        <v>0</v>
      </c>
      <c r="G44" s="1180">
        <f>IFERROR(G27/'8.项目规划指标表'!$U7*10000,0)</f>
        <v>0</v>
      </c>
      <c r="H44" s="1184">
        <f>IFERROR(H27/'8.项目规划指标表'!$Y7*10000,0)</f>
        <v>0</v>
      </c>
      <c r="I44" s="1210">
        <f>IFERROR(I27/'8.项目规划指标表'!$AC7*10000,0)</f>
        <v>0</v>
      </c>
      <c r="J44" s="1183">
        <f>IFERROR(J27/'8.项目规划指标表'!$E7*10000,0)</f>
        <v>0</v>
      </c>
      <c r="K44" s="1209">
        <f>IFERROR(K27/'8.项目规划指标表'!$I7*10000,0)</f>
        <v>0</v>
      </c>
      <c r="L44" s="725">
        <f>IFERROR(L27/'8.项目规划指标表'!$M7*10000,0)</f>
        <v>0</v>
      </c>
      <c r="M44" s="725">
        <f>IFERROR(M27/'8.项目规划指标表'!$Q7*10000,0)</f>
        <v>0</v>
      </c>
      <c r="N44" s="725">
        <f>IFERROR(N27/'8.项目规划指标表'!$U7*10000,0)</f>
        <v>0</v>
      </c>
      <c r="O44" s="1184">
        <f>IFERROR(O27/'8.项目规划指标表'!$Y7*10000,0)</f>
        <v>0</v>
      </c>
      <c r="P44" s="1210">
        <f>IFERROR(P27/'8.项目规划指标表'!$AC7*10000,0)</f>
        <v>0</v>
      </c>
      <c r="Q44" s="78"/>
      <c r="R44" s="78"/>
      <c r="S44" s="78"/>
      <c r="T44" s="78"/>
      <c r="U44" s="78"/>
      <c r="V44" s="78"/>
      <c r="W44" s="78"/>
      <c r="X44" s="78"/>
      <c r="Y44" s="78"/>
      <c r="Z44" s="78"/>
      <c r="AA44" s="78"/>
      <c r="AB44" s="78"/>
      <c r="AC44" s="78"/>
      <c r="AD44" s="78"/>
      <c r="AE44" s="78"/>
      <c r="AF44" s="78"/>
      <c r="AG44" s="78"/>
      <c r="AH44" s="78"/>
      <c r="AI44" s="78"/>
      <c r="AJ44" s="78"/>
      <c r="AK44" s="78"/>
      <c r="AL44" s="78"/>
      <c r="AM44" s="78"/>
      <c r="AN44" s="78"/>
      <c r="AO44" s="78"/>
      <c r="AP44" s="78"/>
      <c r="AQ44" s="78"/>
      <c r="AR44" s="78"/>
      <c r="AS44" s="78"/>
      <c r="AT44" s="78"/>
      <c r="AU44" s="78"/>
    </row>
    <row r="45" spans="1:47" ht="15.75" customHeight="1">
      <c r="A45" s="78"/>
      <c r="B45" s="1182">
        <f>'8.项目规划指标表'!B8</f>
        <v>0</v>
      </c>
      <c r="C45" s="1183">
        <f>IFERROR(C28/'8.项目规划指标表'!$E8*10000,0)</f>
        <v>0</v>
      </c>
      <c r="D45" s="1179">
        <f>IFERROR(D28/'8.项目规划指标表'!$I8*10000,0)</f>
        <v>0</v>
      </c>
      <c r="E45" s="725">
        <f>IFERROR(E28/'8.项目规划指标表'!$M8*10000,0)</f>
        <v>0</v>
      </c>
      <c r="F45" s="1180">
        <f>IFERROR(F28/'8.项目规划指标表'!$Q8*10000,0)</f>
        <v>0</v>
      </c>
      <c r="G45" s="1180">
        <f>IFERROR(G28/'8.项目规划指标表'!$U8*10000,0)</f>
        <v>0</v>
      </c>
      <c r="H45" s="1184">
        <f>IFERROR(H28/'8.项目规划指标表'!$Y8*10000,0)</f>
        <v>0</v>
      </c>
      <c r="I45" s="1210">
        <f>IFERROR(I28/'8.项目规划指标表'!$AC8*10000,0)</f>
        <v>0</v>
      </c>
      <c r="J45" s="1183">
        <f>IFERROR(J28/'8.项目规划指标表'!$E8*10000,0)</f>
        <v>0</v>
      </c>
      <c r="K45" s="1209">
        <f>IFERROR(K28/'8.项目规划指标表'!$I8*10000,0)</f>
        <v>0</v>
      </c>
      <c r="L45" s="725">
        <f>IFERROR(L28/'8.项目规划指标表'!$M8*10000,0)</f>
        <v>0</v>
      </c>
      <c r="M45" s="725">
        <f>IFERROR(M28/'8.项目规划指标表'!$Q8*10000,0)</f>
        <v>0</v>
      </c>
      <c r="N45" s="725">
        <f>IFERROR(N28/'8.项目规划指标表'!$U8*10000,0)</f>
        <v>0</v>
      </c>
      <c r="O45" s="1184">
        <f>IFERROR(O28/'8.项目规划指标表'!$Y8*10000,0)</f>
        <v>0</v>
      </c>
      <c r="P45" s="1210">
        <f>IFERROR(P28/'8.项目规划指标表'!$AC8*10000,0)</f>
        <v>0</v>
      </c>
      <c r="Q45" s="78"/>
      <c r="R45" s="78"/>
      <c r="S45" s="78"/>
      <c r="T45" s="78"/>
      <c r="U45" s="78"/>
      <c r="V45" s="78"/>
      <c r="W45" s="78"/>
      <c r="X45" s="78"/>
      <c r="Y45" s="78"/>
      <c r="Z45" s="78"/>
      <c r="AA45" s="78"/>
      <c r="AB45" s="78"/>
      <c r="AC45" s="78"/>
      <c r="AD45" s="78"/>
      <c r="AE45" s="78"/>
      <c r="AF45" s="78"/>
      <c r="AG45" s="78"/>
      <c r="AH45" s="78"/>
      <c r="AI45" s="78"/>
      <c r="AJ45" s="78"/>
      <c r="AK45" s="78"/>
      <c r="AL45" s="78"/>
      <c r="AM45" s="78"/>
      <c r="AN45" s="78"/>
      <c r="AO45" s="78"/>
      <c r="AP45" s="78"/>
      <c r="AQ45" s="78"/>
      <c r="AR45" s="78"/>
      <c r="AS45" s="78"/>
      <c r="AT45" s="78"/>
      <c r="AU45" s="78"/>
    </row>
    <row r="46" spans="1:47" ht="15.75" customHeight="1">
      <c r="A46" s="78"/>
      <c r="B46" s="1182">
        <f>'8.项目规划指标表'!B9</f>
        <v>0</v>
      </c>
      <c r="C46" s="1183">
        <f>IFERROR(C29/'8.项目规划指标表'!$E9*10000,0)</f>
        <v>0</v>
      </c>
      <c r="D46" s="1179">
        <f>IFERROR(D29/'8.项目规划指标表'!$I9*10000,0)</f>
        <v>0</v>
      </c>
      <c r="E46" s="725">
        <f>IFERROR(E29/'8.项目规划指标表'!$M9*10000,0)</f>
        <v>0</v>
      </c>
      <c r="F46" s="1180">
        <f>IFERROR(F29/'8.项目规划指标表'!$Q9*10000,0)</f>
        <v>0</v>
      </c>
      <c r="G46" s="1180">
        <f>IFERROR(G29/'8.项目规划指标表'!$U9*10000,0)</f>
        <v>0</v>
      </c>
      <c r="H46" s="1184">
        <f>IFERROR(H29/'8.项目规划指标表'!$Y9*10000,0)</f>
        <v>0</v>
      </c>
      <c r="I46" s="1210">
        <f>IFERROR(I29/'8.项目规划指标表'!$AC9*10000,0)</f>
        <v>0</v>
      </c>
      <c r="J46" s="1183">
        <f>IFERROR(J29/'8.项目规划指标表'!$E9*10000,0)</f>
        <v>0</v>
      </c>
      <c r="K46" s="1209">
        <f>IFERROR(K29/'8.项目规划指标表'!$I9*10000,0)</f>
        <v>0</v>
      </c>
      <c r="L46" s="725">
        <f>IFERROR(L29/'8.项目规划指标表'!$M9*10000,0)</f>
        <v>0</v>
      </c>
      <c r="M46" s="725">
        <f>IFERROR(M29/'8.项目规划指标表'!$Q9*10000,0)</f>
        <v>0</v>
      </c>
      <c r="N46" s="725">
        <f>IFERROR(N29/'8.项目规划指标表'!$U9*10000,0)</f>
        <v>0</v>
      </c>
      <c r="O46" s="1184">
        <f>IFERROR(O29/'8.项目规划指标表'!$Y9*10000,0)</f>
        <v>0</v>
      </c>
      <c r="P46" s="1210">
        <f>IFERROR(P29/'8.项目规划指标表'!$AC9*10000,0)</f>
        <v>0</v>
      </c>
      <c r="Q46" s="78"/>
      <c r="R46" s="78"/>
      <c r="S46" s="78"/>
      <c r="T46" s="78"/>
      <c r="U46" s="78"/>
      <c r="V46" s="78"/>
      <c r="W46" s="78"/>
      <c r="X46" s="78"/>
      <c r="Y46" s="78"/>
      <c r="Z46" s="78"/>
      <c r="AA46" s="78"/>
      <c r="AB46" s="78"/>
      <c r="AC46" s="78"/>
      <c r="AD46" s="78"/>
      <c r="AE46" s="78"/>
      <c r="AF46" s="78"/>
      <c r="AG46" s="78"/>
      <c r="AH46" s="78"/>
      <c r="AI46" s="78"/>
      <c r="AJ46" s="78"/>
      <c r="AK46" s="78"/>
      <c r="AL46" s="78"/>
      <c r="AM46" s="78"/>
      <c r="AN46" s="78"/>
      <c r="AO46" s="78"/>
      <c r="AP46" s="78"/>
      <c r="AQ46" s="78"/>
      <c r="AR46" s="78"/>
      <c r="AS46" s="78"/>
      <c r="AT46" s="78"/>
      <c r="AU46" s="78"/>
    </row>
    <row r="47" spans="1:47" ht="15.75" customHeight="1">
      <c r="A47" s="78"/>
      <c r="B47" s="1182">
        <f>'8.项目规划指标表'!B10</f>
        <v>0</v>
      </c>
      <c r="C47" s="1183">
        <f>IFERROR(C30/'8.项目规划指标表'!$E10*10000,0)</f>
        <v>0</v>
      </c>
      <c r="D47" s="1179">
        <f>IFERROR(D30/'8.项目规划指标表'!$I10*10000,0)</f>
        <v>0</v>
      </c>
      <c r="E47" s="725">
        <f>IFERROR(E30/'8.项目规划指标表'!$M10*10000,0)</f>
        <v>0</v>
      </c>
      <c r="F47" s="1180">
        <f>IFERROR(F30/'8.项目规划指标表'!$Q10*10000,0)</f>
        <v>0</v>
      </c>
      <c r="G47" s="1180">
        <f>IFERROR(G30/'8.项目规划指标表'!$U10*10000,0)</f>
        <v>0</v>
      </c>
      <c r="H47" s="1184">
        <f>IFERROR(H30/'8.项目规划指标表'!$Y10*10000,0)</f>
        <v>0</v>
      </c>
      <c r="I47" s="1210">
        <f>IFERROR(I30/'8.项目规划指标表'!$AC10*10000,0)</f>
        <v>0</v>
      </c>
      <c r="J47" s="1183">
        <f>IFERROR(J30/'8.项目规划指标表'!$E10*10000,0)</f>
        <v>0</v>
      </c>
      <c r="K47" s="1209">
        <f>IFERROR(K30/'8.项目规划指标表'!$I10*10000,0)</f>
        <v>0</v>
      </c>
      <c r="L47" s="725">
        <f>IFERROR(L30/'8.项目规划指标表'!$M10*10000,0)</f>
        <v>0</v>
      </c>
      <c r="M47" s="725">
        <f>IFERROR(M30/'8.项目规划指标表'!$Q10*10000,0)</f>
        <v>0</v>
      </c>
      <c r="N47" s="725">
        <f>IFERROR(N30/'8.项目规划指标表'!$U10*10000,0)</f>
        <v>0</v>
      </c>
      <c r="O47" s="1184">
        <f>IFERROR(O30/'8.项目规划指标表'!$Y10*10000,0)</f>
        <v>0</v>
      </c>
      <c r="P47" s="1210">
        <f>IFERROR(P30/'8.项目规划指标表'!$AC10*10000,0)</f>
        <v>0</v>
      </c>
      <c r="Q47" s="78"/>
      <c r="R47" s="78"/>
      <c r="S47" s="78"/>
      <c r="T47" s="78"/>
      <c r="U47" s="78"/>
      <c r="V47" s="78"/>
      <c r="W47" s="78"/>
      <c r="X47" s="78"/>
      <c r="Y47" s="78"/>
      <c r="Z47" s="78"/>
      <c r="AA47" s="78"/>
      <c r="AB47" s="78"/>
      <c r="AC47" s="78"/>
      <c r="AD47" s="78"/>
      <c r="AE47" s="78"/>
      <c r="AF47" s="78"/>
      <c r="AG47" s="78"/>
      <c r="AH47" s="78"/>
      <c r="AI47" s="78"/>
      <c r="AJ47" s="78"/>
      <c r="AK47" s="78"/>
      <c r="AL47" s="78"/>
      <c r="AM47" s="78"/>
      <c r="AN47" s="78"/>
      <c r="AO47" s="78"/>
      <c r="AP47" s="78"/>
      <c r="AQ47" s="78"/>
      <c r="AR47" s="78"/>
      <c r="AS47" s="78"/>
      <c r="AT47" s="78"/>
      <c r="AU47" s="78"/>
    </row>
    <row r="48" spans="1:47" ht="15.75" customHeight="1">
      <c r="A48" s="78"/>
      <c r="B48" s="1182">
        <f>'8.项目规划指标表'!B11</f>
        <v>0</v>
      </c>
      <c r="C48" s="1183">
        <f>IFERROR(C31/'8.项目规划指标表'!$E11*10000,0)</f>
        <v>0</v>
      </c>
      <c r="D48" s="1179">
        <f>IFERROR(D31/'8.项目规划指标表'!$I11*10000,0)</f>
        <v>0</v>
      </c>
      <c r="E48" s="725">
        <f>IFERROR(E31/'8.项目规划指标表'!$M11*10000,0)</f>
        <v>0</v>
      </c>
      <c r="F48" s="1180">
        <f>IFERROR(F31/'8.项目规划指标表'!$Q11*10000,0)</f>
        <v>0</v>
      </c>
      <c r="G48" s="1180">
        <f>IFERROR(G31/'8.项目规划指标表'!$U11*10000,0)</f>
        <v>0</v>
      </c>
      <c r="H48" s="1184">
        <f>IFERROR(H31/'8.项目规划指标表'!$Y11*10000,0)</f>
        <v>0</v>
      </c>
      <c r="I48" s="1210">
        <f>IFERROR(I31/'8.项目规划指标表'!$AC11*10000,0)</f>
        <v>0</v>
      </c>
      <c r="J48" s="1183">
        <f>IFERROR(J31/'8.项目规划指标表'!$E11*10000,0)</f>
        <v>0</v>
      </c>
      <c r="K48" s="1209">
        <f>IFERROR(K31/'8.项目规划指标表'!$I11*10000,0)</f>
        <v>0</v>
      </c>
      <c r="L48" s="725">
        <f>IFERROR(L31/'8.项目规划指标表'!$M11*10000,0)</f>
        <v>0</v>
      </c>
      <c r="M48" s="725">
        <f>IFERROR(M31/'8.项目规划指标表'!$Q11*10000,0)</f>
        <v>0</v>
      </c>
      <c r="N48" s="725">
        <f>IFERROR(N31/'8.项目规划指标表'!$U11*10000,0)</f>
        <v>0</v>
      </c>
      <c r="O48" s="1184">
        <f>IFERROR(O31/'8.项目规划指标表'!$Y11*10000,0)</f>
        <v>0</v>
      </c>
      <c r="P48" s="1210">
        <f>IFERROR(P31/'8.项目规划指标表'!$AC11*10000,0)</f>
        <v>0</v>
      </c>
      <c r="Q48" s="78"/>
      <c r="R48" s="78"/>
      <c r="S48" s="78"/>
      <c r="T48" s="78"/>
      <c r="U48" s="78"/>
      <c r="V48" s="78"/>
      <c r="W48" s="78"/>
      <c r="X48" s="78"/>
      <c r="Y48" s="78"/>
      <c r="Z48" s="78"/>
      <c r="AA48" s="78"/>
      <c r="AB48" s="78"/>
      <c r="AC48" s="78"/>
      <c r="AD48" s="78"/>
      <c r="AE48" s="78"/>
      <c r="AF48" s="78"/>
      <c r="AG48" s="78"/>
      <c r="AH48" s="78"/>
      <c r="AI48" s="78"/>
      <c r="AJ48" s="78"/>
      <c r="AK48" s="78"/>
      <c r="AL48" s="78"/>
      <c r="AM48" s="78"/>
      <c r="AN48" s="78"/>
      <c r="AO48" s="78"/>
      <c r="AP48" s="78"/>
      <c r="AQ48" s="78"/>
      <c r="AR48" s="78"/>
      <c r="AS48" s="78"/>
      <c r="AT48" s="78"/>
      <c r="AU48" s="78"/>
    </row>
    <row r="49" spans="1:47" ht="15.75" customHeight="1">
      <c r="A49" s="78"/>
      <c r="B49" s="1182">
        <f>'8.项目规划指标表'!B12</f>
        <v>0</v>
      </c>
      <c r="C49" s="1183">
        <f>IFERROR(C32/'8.项目规划指标表'!$E12*10000,0)</f>
        <v>0</v>
      </c>
      <c r="D49" s="1179">
        <f>IFERROR(D32/'8.项目规划指标表'!$I12*10000,0)</f>
        <v>0</v>
      </c>
      <c r="E49" s="725">
        <f>IFERROR(E32/'8.项目规划指标表'!$M12*10000,0)</f>
        <v>0</v>
      </c>
      <c r="F49" s="1180">
        <f>IFERROR(F32/'8.项目规划指标表'!$Q12*10000,0)</f>
        <v>0</v>
      </c>
      <c r="G49" s="1180">
        <f>IFERROR(G32/'8.项目规划指标表'!$U12*10000,0)</f>
        <v>0</v>
      </c>
      <c r="H49" s="1184">
        <f>IFERROR(H32/'8.项目规划指标表'!$Y12*10000,0)</f>
        <v>0</v>
      </c>
      <c r="I49" s="1210">
        <f>IFERROR(I32/'8.项目规划指标表'!$AC12*10000,0)</f>
        <v>0</v>
      </c>
      <c r="J49" s="1183">
        <f>IFERROR(J32/'8.项目规划指标表'!$E12*10000,0)</f>
        <v>0</v>
      </c>
      <c r="K49" s="1209">
        <f>IFERROR(K32/'8.项目规划指标表'!$I12*10000,0)</f>
        <v>0</v>
      </c>
      <c r="L49" s="725">
        <f>IFERROR(L32/'8.项目规划指标表'!$M12*10000,0)</f>
        <v>0</v>
      </c>
      <c r="M49" s="725">
        <f>IFERROR(M32/'8.项目规划指标表'!$Q12*10000,0)</f>
        <v>0</v>
      </c>
      <c r="N49" s="725">
        <f>IFERROR(N32/'8.项目规划指标表'!$U12*10000,0)</f>
        <v>0</v>
      </c>
      <c r="O49" s="1184">
        <f>IFERROR(O32/'8.项目规划指标表'!$Y12*10000,0)</f>
        <v>0</v>
      </c>
      <c r="P49" s="1210">
        <f>IFERROR(P32/'8.项目规划指标表'!$AC12*10000,0)</f>
        <v>0</v>
      </c>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c r="AR49" s="78"/>
      <c r="AS49" s="78"/>
      <c r="AT49" s="78"/>
      <c r="AU49" s="78"/>
    </row>
    <row r="50" spans="1:47" ht="15.75" customHeight="1">
      <c r="A50" s="78"/>
      <c r="B50" s="1182">
        <f>'8.项目规划指标表'!B13</f>
        <v>0</v>
      </c>
      <c r="C50" s="1183">
        <f>IFERROR(C33/'8.项目规划指标表'!$E13*10000,0)</f>
        <v>0</v>
      </c>
      <c r="D50" s="1179">
        <f>IFERROR(D33/'8.项目规划指标表'!$I13*10000,0)</f>
        <v>0</v>
      </c>
      <c r="E50" s="725">
        <f>IFERROR(E33/'8.项目规划指标表'!$M13*10000,0)</f>
        <v>0</v>
      </c>
      <c r="F50" s="1180">
        <f>IFERROR(F33/'8.项目规划指标表'!$Q13*10000,0)</f>
        <v>0</v>
      </c>
      <c r="G50" s="1180">
        <f>IFERROR(G33/'8.项目规划指标表'!$U13*10000,0)</f>
        <v>0</v>
      </c>
      <c r="H50" s="1184">
        <f>IFERROR(H33/'8.项目规划指标表'!$Y13*10000,0)</f>
        <v>0</v>
      </c>
      <c r="I50" s="1210">
        <f>IFERROR(I33/'8.项目规划指标表'!$AC13*10000,0)</f>
        <v>0</v>
      </c>
      <c r="J50" s="1183">
        <f>IFERROR(J33/'8.项目规划指标表'!$E13*10000,0)</f>
        <v>0</v>
      </c>
      <c r="K50" s="1209">
        <f>IFERROR(K33/'8.项目规划指标表'!$I13*10000,0)</f>
        <v>0</v>
      </c>
      <c r="L50" s="725">
        <f>IFERROR(L33/'8.项目规划指标表'!$M13*10000,0)</f>
        <v>0</v>
      </c>
      <c r="M50" s="725">
        <f>IFERROR(M33/'8.项目规划指标表'!$Q13*10000,0)</f>
        <v>0</v>
      </c>
      <c r="N50" s="725">
        <f>IFERROR(N33/'8.项目规划指标表'!$U13*10000,0)</f>
        <v>0</v>
      </c>
      <c r="O50" s="1184">
        <f>IFERROR(O33/'8.项目规划指标表'!$Y13*10000,0)</f>
        <v>0</v>
      </c>
      <c r="P50" s="1210">
        <f>IFERROR(P33/'8.项目规划指标表'!$AC13*10000,0)</f>
        <v>0</v>
      </c>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c r="AR50" s="78"/>
      <c r="AS50" s="78"/>
      <c r="AT50" s="78"/>
      <c r="AU50" s="78"/>
    </row>
    <row r="51" spans="1:47" ht="15.75" customHeight="1">
      <c r="A51" s="78"/>
      <c r="B51" s="1198" t="str">
        <f>'8.项目规划指标表'!B14</f>
        <v>自持物业</v>
      </c>
      <c r="C51" s="1199">
        <f>IFERROR(C34/'8.项目规划指标表'!$E14*10000,0)</f>
        <v>0</v>
      </c>
      <c r="D51" s="1200">
        <f>IFERROR(D34/'8.项目规划指标表'!$I14*10000,0)</f>
        <v>0</v>
      </c>
      <c r="E51" s="1201">
        <f>IFERROR(E34/'8.项目规划指标表'!$M14*10000,0)</f>
        <v>0</v>
      </c>
      <c r="F51" s="1202">
        <f>IFERROR(F34/'8.项目规划指标表'!$Q14*10000,0)</f>
        <v>0</v>
      </c>
      <c r="G51" s="1202">
        <f>IFERROR(G34/'8.项目规划指标表'!$U14*10000,0)</f>
        <v>0</v>
      </c>
      <c r="H51" s="1203">
        <f>IFERROR(H34/'8.项目规划指标表'!$Y14*10000,0)</f>
        <v>0</v>
      </c>
      <c r="I51" s="1215">
        <f>IFERROR(I34/'8.项目规划指标表'!$AC14*10000,0)</f>
        <v>0</v>
      </c>
      <c r="J51" s="1199">
        <f>IFERROR(J34/'8.项目规划指标表'!$E14*10000,0)</f>
        <v>0</v>
      </c>
      <c r="K51" s="1216">
        <f>IFERROR(K34/'8.项目规划指标表'!$I14*10000,0)</f>
        <v>0</v>
      </c>
      <c r="L51" s="1201">
        <f>IFERROR(L34/'8.项目规划指标表'!$M14*10000,0)</f>
        <v>0</v>
      </c>
      <c r="M51" s="1201">
        <f>IFERROR(M34/'8.项目规划指标表'!$Q14*10000,0)</f>
        <v>0</v>
      </c>
      <c r="N51" s="1201">
        <f>IFERROR(N34/'8.项目规划指标表'!$U14*10000,0)</f>
        <v>0</v>
      </c>
      <c r="O51" s="1184">
        <f>IFERROR(O34/'8.项目规划指标表'!$Y14*10000,0)</f>
        <v>0</v>
      </c>
      <c r="P51" s="1210">
        <f>IFERROR(P34/'8.项目规划指标表'!$AC14*10000,0)</f>
        <v>0</v>
      </c>
      <c r="Q51" s="78"/>
      <c r="R51" s="78"/>
      <c r="S51" s="78"/>
      <c r="T51" s="78"/>
      <c r="U51" s="78"/>
      <c r="V51" s="78"/>
      <c r="W51" s="78"/>
      <c r="X51" s="78"/>
      <c r="Y51" s="78"/>
      <c r="Z51" s="78"/>
      <c r="AA51" s="78"/>
      <c r="AB51" s="78"/>
      <c r="AC51" s="78"/>
      <c r="AD51" s="78"/>
      <c r="AE51" s="78"/>
      <c r="AF51" s="78"/>
      <c r="AG51" s="78"/>
      <c r="AH51" s="78"/>
      <c r="AI51" s="78"/>
      <c r="AJ51" s="78"/>
      <c r="AK51" s="78"/>
      <c r="AL51" s="78"/>
      <c r="AM51" s="78"/>
      <c r="AN51" s="78"/>
      <c r="AO51" s="78"/>
      <c r="AP51" s="78"/>
      <c r="AQ51" s="78"/>
      <c r="AR51" s="78"/>
      <c r="AS51" s="78"/>
      <c r="AT51" s="78"/>
      <c r="AU51" s="78"/>
    </row>
    <row r="52" spans="1:47" ht="15.75" customHeight="1">
      <c r="A52" s="78"/>
      <c r="B52" s="1204" t="s">
        <v>251</v>
      </c>
      <c r="C52" s="1205">
        <f>IFERROR(C37/'8.项目规划指标表'!$E16*10000,0)</f>
        <v>3424.8596108077982</v>
      </c>
      <c r="D52" s="1206">
        <f>IFERROR(D37/'8.项目规划指标表'!$I16*10000,0)</f>
        <v>3424.8596108077982</v>
      </c>
      <c r="E52" s="1195">
        <f>IFERROR(E37/'8.项目规划指标表'!$M16*10000,0)</f>
        <v>0</v>
      </c>
      <c r="F52" s="1195">
        <f>IFERROR(F37/'8.项目规划指标表'!$Q16*10000,0)</f>
        <v>0</v>
      </c>
      <c r="G52" s="1195">
        <f>IFERROR(G37/'8.项目规划指标表'!$U16*10000,0)</f>
        <v>0</v>
      </c>
      <c r="H52" s="1195">
        <f>IFERROR(H37/'8.项目规划指标表'!$Y16*10000,0)</f>
        <v>0</v>
      </c>
      <c r="I52" s="1213">
        <f>IFERROR(I37/'8.项目规划指标表'!$AC16*10000,0)</f>
        <v>0</v>
      </c>
      <c r="J52" s="1217">
        <f>IFERROR(J37/'8.项目规划指标表'!$E16*10000,0)</f>
        <v>3384.6855230943729</v>
      </c>
      <c r="K52" s="1194">
        <f>IFERROR(K37/'8.项目规划指标表'!$I16*10000,0)</f>
        <v>3384.6855230943729</v>
      </c>
      <c r="L52" s="1195">
        <f>IFERROR(L37/'8.项目规划指标表'!$M16*10000,0)</f>
        <v>0</v>
      </c>
      <c r="M52" s="1195">
        <f>IFERROR(M37/'8.项目规划指标表'!$Q16*10000,0)</f>
        <v>0</v>
      </c>
      <c r="N52" s="1195">
        <f>IFERROR(N37/'8.项目规划指标表'!$U16*10000,0)</f>
        <v>0</v>
      </c>
      <c r="O52" s="1195">
        <f>IFERROR(O37/'8.项目规划指标表'!$Y16*10000,0)</f>
        <v>0</v>
      </c>
      <c r="P52" s="1213">
        <f>IFERROR(P37/'8.项目规划指标表'!$AC16*10000,0)</f>
        <v>0</v>
      </c>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row>
    <row r="53" spans="1:47" ht="18.75" customHeight="1">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row>
    <row r="54" spans="1:47" ht="16.5" customHeight="1">
      <c r="A54" s="78"/>
      <c r="B54" s="141" t="s">
        <v>557</v>
      </c>
      <c r="C54" s="78"/>
      <c r="D54" s="78"/>
      <c r="E54" s="78"/>
      <c r="F54" s="78"/>
      <c r="G54" s="78"/>
      <c r="H54" s="78"/>
      <c r="I54" s="78"/>
      <c r="J54" s="78"/>
      <c r="K54" s="78"/>
      <c r="L54" s="78"/>
      <c r="M54" s="78"/>
      <c r="N54" s="78"/>
      <c r="O54" s="78"/>
      <c r="P54" s="78"/>
      <c r="Q54" s="78"/>
      <c r="R54" s="78"/>
      <c r="S54" s="78"/>
      <c r="T54" s="78"/>
      <c r="U54" s="78"/>
      <c r="V54" s="78"/>
      <c r="W54" s="78"/>
      <c r="X54" s="78"/>
      <c r="Y54" s="78"/>
      <c r="Z54" s="78"/>
      <c r="AA54" s="78"/>
      <c r="AB54" s="78"/>
      <c r="AC54" s="78"/>
      <c r="AD54" s="78"/>
      <c r="AE54" s="78"/>
      <c r="AF54" s="78"/>
      <c r="AG54" s="78"/>
      <c r="AH54" s="78"/>
      <c r="AI54" s="78"/>
      <c r="AJ54" s="78"/>
      <c r="AK54" s="78"/>
      <c r="AL54" s="78"/>
      <c r="AM54" s="78"/>
      <c r="AN54" s="78"/>
      <c r="AO54" s="78"/>
      <c r="AP54" s="78"/>
      <c r="AQ54" s="78"/>
      <c r="AR54" s="78"/>
      <c r="AS54" s="78"/>
      <c r="AT54" s="78"/>
      <c r="AU54" s="78"/>
    </row>
    <row r="55" spans="1:47" s="742" customFormat="1" ht="21.75" customHeight="1">
      <c r="A55" s="473"/>
      <c r="B55" s="1852" t="s">
        <v>550</v>
      </c>
      <c r="C55" s="1173"/>
      <c r="D55" s="1848" t="s">
        <v>558</v>
      </c>
      <c r="E55" s="1848"/>
      <c r="F55" s="1848"/>
      <c r="G55" s="1848"/>
      <c r="H55" s="1848"/>
      <c r="I55" s="1849"/>
      <c r="J55" s="1173"/>
      <c r="K55" s="1848" t="s">
        <v>559</v>
      </c>
      <c r="L55" s="1848"/>
      <c r="M55" s="1848"/>
      <c r="N55" s="1848"/>
      <c r="O55" s="1848"/>
      <c r="P55" s="1849"/>
      <c r="Q55" s="473"/>
      <c r="R55" s="473"/>
      <c r="S55" s="473"/>
      <c r="T55" s="473"/>
      <c r="U55" s="473"/>
      <c r="V55" s="473"/>
      <c r="W55" s="473"/>
      <c r="X55" s="473"/>
      <c r="Y55" s="473"/>
      <c r="Z55" s="473"/>
      <c r="AA55" s="473"/>
      <c r="AB55" s="473"/>
      <c r="AC55" s="473"/>
      <c r="AD55" s="473"/>
      <c r="AE55" s="473"/>
      <c r="AF55" s="473"/>
      <c r="AG55" s="473"/>
      <c r="AH55" s="473"/>
      <c r="AI55" s="473"/>
      <c r="AJ55" s="473"/>
      <c r="AK55" s="473"/>
      <c r="AL55" s="473"/>
      <c r="AM55" s="473"/>
      <c r="AN55" s="473"/>
      <c r="AO55" s="473"/>
      <c r="AP55" s="473"/>
      <c r="AQ55" s="473"/>
      <c r="AR55" s="473"/>
      <c r="AS55" s="473"/>
      <c r="AT55" s="473"/>
      <c r="AU55" s="473"/>
    </row>
    <row r="56" spans="1:47" s="742" customFormat="1" ht="20.25" customHeight="1">
      <c r="A56" s="473"/>
      <c r="B56" s="1853"/>
      <c r="C56" s="1174" t="s">
        <v>251</v>
      </c>
      <c r="D56" s="1175" t="s">
        <v>19</v>
      </c>
      <c r="E56" s="1176" t="s">
        <v>20</v>
      </c>
      <c r="F56" s="1176" t="s">
        <v>21</v>
      </c>
      <c r="G56" s="1176" t="s">
        <v>22</v>
      </c>
      <c r="H56" s="1176" t="s">
        <v>23</v>
      </c>
      <c r="I56" s="1207" t="s">
        <v>24</v>
      </c>
      <c r="J56" s="1174" t="s">
        <v>251</v>
      </c>
      <c r="K56" s="1175" t="s">
        <v>19</v>
      </c>
      <c r="L56" s="1176" t="s">
        <v>20</v>
      </c>
      <c r="M56" s="1176" t="s">
        <v>21</v>
      </c>
      <c r="N56" s="1176" t="s">
        <v>22</v>
      </c>
      <c r="O56" s="1176" t="s">
        <v>23</v>
      </c>
      <c r="P56" s="1207" t="s">
        <v>24</v>
      </c>
      <c r="Q56" s="473"/>
      <c r="R56" s="473"/>
      <c r="S56" s="473"/>
      <c r="T56" s="473"/>
      <c r="U56" s="473"/>
      <c r="V56" s="473"/>
      <c r="W56" s="473"/>
      <c r="X56" s="473"/>
      <c r="Y56" s="473"/>
      <c r="Z56" s="473"/>
      <c r="AA56" s="473"/>
      <c r="AB56" s="473"/>
      <c r="AC56" s="473"/>
      <c r="AD56" s="473"/>
      <c r="AE56" s="473"/>
      <c r="AF56" s="473"/>
      <c r="AG56" s="473"/>
      <c r="AH56" s="473"/>
      <c r="AI56" s="473"/>
      <c r="AJ56" s="473"/>
      <c r="AK56" s="473"/>
      <c r="AL56" s="473"/>
      <c r="AM56" s="473"/>
      <c r="AN56" s="473"/>
      <c r="AO56" s="473"/>
      <c r="AP56" s="473"/>
      <c r="AQ56" s="473"/>
      <c r="AR56" s="473"/>
      <c r="AS56" s="473"/>
      <c r="AT56" s="473"/>
      <c r="AU56" s="473"/>
    </row>
    <row r="57" spans="1:47" s="742" customFormat="1" ht="17.25" customHeight="1">
      <c r="A57" s="473"/>
      <c r="B57" s="1177" t="str">
        <f>'8.项目规划指标表'!B5</f>
        <v>高层</v>
      </c>
      <c r="C57" s="1178">
        <f t="shared" ref="C57:C66" si="18">SUM(D57:I57)</f>
        <v>5190.616915448365</v>
      </c>
      <c r="D57" s="1179">
        <f>D25*$C$20</f>
        <v>5190.616915448365</v>
      </c>
      <c r="E57" s="1179">
        <f t="shared" ref="E57:I57" si="19">E25*$C$20</f>
        <v>0</v>
      </c>
      <c r="F57" s="1179">
        <f t="shared" si="19"/>
        <v>0</v>
      </c>
      <c r="G57" s="1179">
        <f t="shared" si="19"/>
        <v>0</v>
      </c>
      <c r="H57" s="1179">
        <f t="shared" si="19"/>
        <v>0</v>
      </c>
      <c r="I57" s="1179">
        <f t="shared" si="19"/>
        <v>0</v>
      </c>
      <c r="J57" s="1178">
        <f>SUM(K57:O57)</f>
        <v>925.24365694266749</v>
      </c>
      <c r="K57" s="1179">
        <f>IFERROR(D$57/'8.项目规划指标表'!$I$5*10000,0)</f>
        <v>925.24365694266749</v>
      </c>
      <c r="L57" s="725">
        <f>IFERROR(E$57/'8.项目规划指标表'!$M$5*10000,0)</f>
        <v>0</v>
      </c>
      <c r="M57" s="1180">
        <f>IFERROR(F$57/'8.项目规划指标表'!$O$5*10000,0)</f>
        <v>0</v>
      </c>
      <c r="N57" s="1180">
        <f>IFERROR(G$57/'8.项目规划指标表'!$U$5*10000,0)</f>
        <v>0</v>
      </c>
      <c r="O57" s="1181">
        <f>IFERROR(H$57/'8.项目规划指标表'!$Y$5*10000,0)</f>
        <v>0</v>
      </c>
      <c r="P57" s="1208">
        <f>IFERROR(I$57/'8.项目规划指标表'!$AC$5*10000,0)</f>
        <v>0</v>
      </c>
      <c r="Q57" s="473"/>
      <c r="R57" s="473"/>
      <c r="S57" s="473"/>
      <c r="T57" s="473"/>
      <c r="U57" s="473"/>
      <c r="V57" s="473"/>
      <c r="W57" s="473"/>
      <c r="X57" s="473"/>
      <c r="Y57" s="473"/>
      <c r="Z57" s="473"/>
      <c r="AA57" s="473"/>
      <c r="AB57" s="473"/>
      <c r="AC57" s="473"/>
      <c r="AD57" s="473"/>
      <c r="AE57" s="473"/>
      <c r="AF57" s="473"/>
      <c r="AG57" s="473"/>
      <c r="AH57" s="473"/>
      <c r="AI57" s="473"/>
      <c r="AJ57" s="473"/>
      <c r="AK57" s="473"/>
      <c r="AL57" s="473"/>
      <c r="AM57" s="473"/>
      <c r="AN57" s="473"/>
      <c r="AO57" s="473"/>
      <c r="AP57" s="473"/>
      <c r="AQ57" s="473"/>
      <c r="AR57" s="473"/>
      <c r="AS57" s="473"/>
      <c r="AT57" s="473"/>
      <c r="AU57" s="473"/>
    </row>
    <row r="58" spans="1:47" s="742" customFormat="1" ht="17.25" customHeight="1">
      <c r="A58" s="473"/>
      <c r="B58" s="1182" t="str">
        <f>'8.项目规划指标表'!B6</f>
        <v>商铺</v>
      </c>
      <c r="C58" s="1183">
        <f t="shared" si="18"/>
        <v>2822.1700845516348</v>
      </c>
      <c r="D58" s="1179">
        <f t="shared" ref="D58:I65" si="20">D26*$C$20</f>
        <v>2822.1700845516348</v>
      </c>
      <c r="E58" s="1179">
        <f t="shared" si="20"/>
        <v>0</v>
      </c>
      <c r="F58" s="1179">
        <f t="shared" si="20"/>
        <v>0</v>
      </c>
      <c r="G58" s="1179">
        <f t="shared" si="20"/>
        <v>0</v>
      </c>
      <c r="H58" s="1179">
        <f t="shared" si="20"/>
        <v>0</v>
      </c>
      <c r="I58" s="1179">
        <f t="shared" si="20"/>
        <v>0</v>
      </c>
      <c r="J58" s="1183">
        <f t="shared" ref="J58:J66" si="21">SUM(K58:O58)</f>
        <v>7753.2145179989966</v>
      </c>
      <c r="K58" s="1179">
        <f>IFERROR(D$58/'8.项目规划指标表'!$I$6*10000,0)</f>
        <v>7753.2145179989966</v>
      </c>
      <c r="L58" s="725">
        <f>IFERROR(E$58/'8.项目规划指标表'!$M$6*10000,0)</f>
        <v>0</v>
      </c>
      <c r="M58" s="1180">
        <f>IFERROR(F$58/'8.项目规划指标表'!$O$6*10000,0)</f>
        <v>0</v>
      </c>
      <c r="N58" s="1180">
        <f>IFERROR(G$58/'8.项目规划指标表'!$U$6*10000,0)</f>
        <v>0</v>
      </c>
      <c r="O58" s="1184">
        <f>IFERROR(H$58/'8.项目规划指标表'!$Y$6*10000,0)</f>
        <v>0</v>
      </c>
      <c r="P58" s="1210">
        <f>IFERROR(I$58/'8.项目规划指标表'!$AC$6*10000,0)</f>
        <v>0</v>
      </c>
      <c r="Q58" s="473"/>
      <c r="R58" s="473"/>
      <c r="S58" s="473"/>
      <c r="T58" s="473"/>
      <c r="U58" s="473"/>
      <c r="V58" s="473"/>
      <c r="W58" s="473"/>
      <c r="X58" s="473"/>
      <c r="Y58" s="473"/>
      <c r="Z58" s="473"/>
      <c r="AA58" s="473"/>
      <c r="AB58" s="473"/>
      <c r="AC58" s="473"/>
      <c r="AD58" s="473"/>
      <c r="AE58" s="473"/>
      <c r="AF58" s="473"/>
      <c r="AG58" s="473"/>
      <c r="AH58" s="473"/>
      <c r="AI58" s="473"/>
      <c r="AJ58" s="473"/>
      <c r="AK58" s="473"/>
      <c r="AL58" s="473"/>
      <c r="AM58" s="473"/>
      <c r="AN58" s="473"/>
      <c r="AO58" s="473"/>
      <c r="AP58" s="473"/>
      <c r="AQ58" s="473"/>
      <c r="AR58" s="473"/>
      <c r="AS58" s="473"/>
      <c r="AT58" s="473"/>
      <c r="AU58" s="473"/>
    </row>
    <row r="59" spans="1:47" s="742" customFormat="1" ht="17.25" customHeight="1">
      <c r="A59" s="473"/>
      <c r="B59" s="1182" t="str">
        <f>'8.项目规划指标表'!B7</f>
        <v>回迁商业</v>
      </c>
      <c r="C59" s="1183">
        <f t="shared" si="18"/>
        <v>0</v>
      </c>
      <c r="D59" s="1179">
        <f t="shared" si="20"/>
        <v>0</v>
      </c>
      <c r="E59" s="1179">
        <f t="shared" si="20"/>
        <v>0</v>
      </c>
      <c r="F59" s="1179">
        <f t="shared" si="20"/>
        <v>0</v>
      </c>
      <c r="G59" s="1179">
        <f t="shared" si="20"/>
        <v>0</v>
      </c>
      <c r="H59" s="1179">
        <f t="shared" si="20"/>
        <v>0</v>
      </c>
      <c r="I59" s="1179">
        <f t="shared" si="20"/>
        <v>0</v>
      </c>
      <c r="J59" s="1183">
        <f t="shared" si="21"/>
        <v>0</v>
      </c>
      <c r="K59" s="1179">
        <f>IFERROR(D$59/'8.项目规划指标表'!$I$7*10000,0)</f>
        <v>0</v>
      </c>
      <c r="L59" s="725">
        <f>IFERROR(E$59/'8.项目规划指标表'!$M$7*10000,0)</f>
        <v>0</v>
      </c>
      <c r="M59" s="1180">
        <f>IFERROR(F$59/'8.项目规划指标表'!$O$7*10000,0)</f>
        <v>0</v>
      </c>
      <c r="N59" s="1180">
        <f>IFERROR(G$59/'8.项目规划指标表'!$U$7*10000,0)</f>
        <v>0</v>
      </c>
      <c r="O59" s="1184">
        <f>IFERROR(H$59/'8.项目规划指标表'!$Y$7*10000,0)</f>
        <v>0</v>
      </c>
      <c r="P59" s="1210">
        <f>IFERROR(I$59/'8.项目规划指标表'!$AC$7*10000,0)</f>
        <v>0</v>
      </c>
      <c r="Q59" s="473"/>
      <c r="R59" s="473"/>
      <c r="S59" s="473"/>
      <c r="T59" s="473"/>
      <c r="U59" s="473"/>
      <c r="V59" s="473"/>
      <c r="W59" s="473"/>
      <c r="X59" s="473"/>
      <c r="Y59" s="473"/>
      <c r="Z59" s="473"/>
      <c r="AA59" s="473"/>
      <c r="AB59" s="473"/>
      <c r="AC59" s="473"/>
      <c r="AD59" s="473"/>
      <c r="AE59" s="473"/>
      <c r="AF59" s="473"/>
      <c r="AG59" s="473"/>
      <c r="AH59" s="473"/>
      <c r="AI59" s="473"/>
      <c r="AJ59" s="473"/>
      <c r="AK59" s="473"/>
      <c r="AL59" s="473"/>
      <c r="AM59" s="473"/>
      <c r="AN59" s="473"/>
      <c r="AO59" s="473"/>
      <c r="AP59" s="473"/>
      <c r="AQ59" s="473"/>
      <c r="AR59" s="473"/>
      <c r="AS59" s="473"/>
      <c r="AT59" s="473"/>
      <c r="AU59" s="473"/>
    </row>
    <row r="60" spans="1:47" s="742" customFormat="1" ht="17.25" customHeight="1">
      <c r="A60" s="473"/>
      <c r="B60" s="1182">
        <f>'8.项目规划指标表'!B8</f>
        <v>0</v>
      </c>
      <c r="C60" s="1183">
        <f t="shared" si="18"/>
        <v>0</v>
      </c>
      <c r="D60" s="1179">
        <f t="shared" si="20"/>
        <v>0</v>
      </c>
      <c r="E60" s="1179">
        <f t="shared" si="20"/>
        <v>0</v>
      </c>
      <c r="F60" s="1179">
        <f t="shared" si="20"/>
        <v>0</v>
      </c>
      <c r="G60" s="1179">
        <f t="shared" si="20"/>
        <v>0</v>
      </c>
      <c r="H60" s="1179">
        <f t="shared" si="20"/>
        <v>0</v>
      </c>
      <c r="I60" s="1179">
        <f t="shared" si="20"/>
        <v>0</v>
      </c>
      <c r="J60" s="1183">
        <f t="shared" si="21"/>
        <v>0</v>
      </c>
      <c r="K60" s="1179">
        <f>IFERROR(D$60/'8.项目规划指标表'!$I$8*10000,0)</f>
        <v>0</v>
      </c>
      <c r="L60" s="725">
        <f>IFERROR(E$60/'8.项目规划指标表'!$M$8*10000,0)</f>
        <v>0</v>
      </c>
      <c r="M60" s="1180">
        <f>IFERROR(F$60/'8.项目规划指标表'!$O$8*10000,0)</f>
        <v>0</v>
      </c>
      <c r="N60" s="1180">
        <f>IFERROR(G$60/'8.项目规划指标表'!$U$8*10000,0)</f>
        <v>0</v>
      </c>
      <c r="O60" s="1184">
        <f>IFERROR(H$60/'8.项目规划指标表'!$Y$8*10000,0)</f>
        <v>0</v>
      </c>
      <c r="P60" s="1210">
        <f>IFERROR(I$60/'8.项目规划指标表'!$AC$8*10000,0)</f>
        <v>0</v>
      </c>
      <c r="Q60" s="473"/>
      <c r="R60" s="473"/>
      <c r="S60" s="473"/>
      <c r="T60" s="473"/>
      <c r="U60" s="473"/>
      <c r="V60" s="473"/>
      <c r="W60" s="473"/>
      <c r="X60" s="473"/>
      <c r="Y60" s="473"/>
      <c r="Z60" s="473"/>
      <c r="AA60" s="473"/>
      <c r="AB60" s="473"/>
      <c r="AC60" s="473"/>
      <c r="AD60" s="473"/>
      <c r="AE60" s="473"/>
      <c r="AF60" s="473"/>
      <c r="AG60" s="473"/>
      <c r="AH60" s="473"/>
      <c r="AI60" s="473"/>
      <c r="AJ60" s="473"/>
      <c r="AK60" s="473"/>
      <c r="AL60" s="473"/>
      <c r="AM60" s="473"/>
      <c r="AN60" s="473"/>
      <c r="AO60" s="473"/>
      <c r="AP60" s="473"/>
      <c r="AQ60" s="473"/>
      <c r="AR60" s="473"/>
      <c r="AS60" s="473"/>
      <c r="AT60" s="473"/>
      <c r="AU60" s="473"/>
    </row>
    <row r="61" spans="1:47" s="742" customFormat="1" ht="17.25" customHeight="1">
      <c r="A61" s="473"/>
      <c r="B61" s="1182">
        <f>'8.项目规划指标表'!B9</f>
        <v>0</v>
      </c>
      <c r="C61" s="1183">
        <f t="shared" si="18"/>
        <v>0</v>
      </c>
      <c r="D61" s="1179">
        <f t="shared" si="20"/>
        <v>0</v>
      </c>
      <c r="E61" s="1179">
        <f t="shared" si="20"/>
        <v>0</v>
      </c>
      <c r="F61" s="1179">
        <f t="shared" si="20"/>
        <v>0</v>
      </c>
      <c r="G61" s="1179">
        <f t="shared" si="20"/>
        <v>0</v>
      </c>
      <c r="H61" s="1179">
        <f t="shared" si="20"/>
        <v>0</v>
      </c>
      <c r="I61" s="1179">
        <f t="shared" si="20"/>
        <v>0</v>
      </c>
      <c r="J61" s="1183">
        <f t="shared" si="21"/>
        <v>0</v>
      </c>
      <c r="K61" s="1179">
        <f>IFERROR(D$61/'8.项目规划指标表'!$I$9*10000,0)</f>
        <v>0</v>
      </c>
      <c r="L61" s="725">
        <f>IFERROR(E$61/'8.项目规划指标表'!$M$9*10000,0)</f>
        <v>0</v>
      </c>
      <c r="M61" s="1180">
        <f>IFERROR(F$61/'8.项目规划指标表'!$O$9*10000,0)</f>
        <v>0</v>
      </c>
      <c r="N61" s="1180">
        <f>IFERROR(G$61/'8.项目规划指标表'!$U$9*10000,0)</f>
        <v>0</v>
      </c>
      <c r="O61" s="1184">
        <f>IFERROR(H$61/'8.项目规划指标表'!$Y$9*10000,0)</f>
        <v>0</v>
      </c>
      <c r="P61" s="1210">
        <f>IFERROR(I$61/'8.项目规划指标表'!$AC$9*10000,0)</f>
        <v>0</v>
      </c>
      <c r="Q61" s="473"/>
      <c r="R61" s="473"/>
      <c r="S61" s="473"/>
      <c r="T61" s="473"/>
      <c r="U61" s="473"/>
      <c r="V61" s="473"/>
      <c r="W61" s="473"/>
      <c r="X61" s="473"/>
      <c r="Y61" s="473"/>
      <c r="Z61" s="473"/>
      <c r="AA61" s="473"/>
      <c r="AB61" s="473"/>
      <c r="AC61" s="473"/>
      <c r="AD61" s="473"/>
      <c r="AE61" s="473"/>
      <c r="AF61" s="473"/>
      <c r="AG61" s="473"/>
      <c r="AH61" s="473"/>
      <c r="AI61" s="473"/>
      <c r="AJ61" s="473"/>
      <c r="AK61" s="473"/>
      <c r="AL61" s="473"/>
      <c r="AM61" s="473"/>
      <c r="AN61" s="473"/>
      <c r="AO61" s="473"/>
      <c r="AP61" s="473"/>
      <c r="AQ61" s="473"/>
      <c r="AR61" s="473"/>
      <c r="AS61" s="473"/>
      <c r="AT61" s="473"/>
      <c r="AU61" s="473"/>
    </row>
    <row r="62" spans="1:47" s="742" customFormat="1" ht="17.25" customHeight="1">
      <c r="A62" s="473"/>
      <c r="B62" s="1182">
        <f>'8.项目规划指标表'!B10</f>
        <v>0</v>
      </c>
      <c r="C62" s="1183">
        <f t="shared" si="18"/>
        <v>0</v>
      </c>
      <c r="D62" s="1179">
        <f t="shared" si="20"/>
        <v>0</v>
      </c>
      <c r="E62" s="1179">
        <f t="shared" si="20"/>
        <v>0</v>
      </c>
      <c r="F62" s="1179">
        <f t="shared" si="20"/>
        <v>0</v>
      </c>
      <c r="G62" s="1179">
        <f t="shared" si="20"/>
        <v>0</v>
      </c>
      <c r="H62" s="1179">
        <f t="shared" si="20"/>
        <v>0</v>
      </c>
      <c r="I62" s="1179">
        <f t="shared" si="20"/>
        <v>0</v>
      </c>
      <c r="J62" s="1183">
        <f t="shared" si="21"/>
        <v>0</v>
      </c>
      <c r="K62" s="1179">
        <f>IFERROR(D$62/'8.项目规划指标表'!$I$10*10000,0)</f>
        <v>0</v>
      </c>
      <c r="L62" s="725">
        <f>IFERROR(E$62/'8.项目规划指标表'!$M$10*10000,0)</f>
        <v>0</v>
      </c>
      <c r="M62" s="1180">
        <f>IFERROR(F$62/'8.项目规划指标表'!$O$10*10000,0)</f>
        <v>0</v>
      </c>
      <c r="N62" s="1180">
        <f>IFERROR(G$62/'8.项目规划指标表'!$U$10*10000,0)</f>
        <v>0</v>
      </c>
      <c r="O62" s="1184">
        <f>IFERROR(H$62/'8.项目规划指标表'!$Y$10*10000,0)</f>
        <v>0</v>
      </c>
      <c r="P62" s="1210">
        <f>IFERROR(I$62/'8.项目规划指标表'!$AC$10*10000,0)</f>
        <v>0</v>
      </c>
      <c r="Q62" s="473"/>
      <c r="R62" s="473"/>
      <c r="S62" s="473"/>
      <c r="T62" s="473"/>
      <c r="U62" s="473"/>
      <c r="V62" s="473"/>
      <c r="W62" s="473"/>
      <c r="X62" s="473"/>
      <c r="Y62" s="473"/>
      <c r="Z62" s="473"/>
      <c r="AA62" s="473"/>
      <c r="AB62" s="473"/>
      <c r="AC62" s="473"/>
      <c r="AD62" s="473"/>
      <c r="AE62" s="473"/>
      <c r="AF62" s="473"/>
      <c r="AG62" s="473"/>
      <c r="AH62" s="473"/>
      <c r="AI62" s="473"/>
      <c r="AJ62" s="473"/>
      <c r="AK62" s="473"/>
      <c r="AL62" s="473"/>
      <c r="AM62" s="473"/>
      <c r="AN62" s="473"/>
      <c r="AO62" s="473"/>
      <c r="AP62" s="473"/>
      <c r="AQ62" s="473"/>
      <c r="AR62" s="473"/>
      <c r="AS62" s="473"/>
      <c r="AT62" s="473"/>
      <c r="AU62" s="473"/>
    </row>
    <row r="63" spans="1:47" s="742" customFormat="1" ht="17.25" customHeight="1">
      <c r="A63" s="473"/>
      <c r="B63" s="1182">
        <f>'8.项目规划指标表'!B11</f>
        <v>0</v>
      </c>
      <c r="C63" s="1183">
        <f t="shared" si="18"/>
        <v>0</v>
      </c>
      <c r="D63" s="1179">
        <f t="shared" si="20"/>
        <v>0</v>
      </c>
      <c r="E63" s="1179">
        <f t="shared" si="20"/>
        <v>0</v>
      </c>
      <c r="F63" s="1179">
        <f t="shared" si="20"/>
        <v>0</v>
      </c>
      <c r="G63" s="1179">
        <f t="shared" si="20"/>
        <v>0</v>
      </c>
      <c r="H63" s="1179">
        <f t="shared" si="20"/>
        <v>0</v>
      </c>
      <c r="I63" s="1179">
        <f t="shared" si="20"/>
        <v>0</v>
      </c>
      <c r="J63" s="1183">
        <f t="shared" si="21"/>
        <v>0</v>
      </c>
      <c r="K63" s="1179">
        <f>IFERROR(D$63/'8.项目规划指标表'!$I$11*10000,0)</f>
        <v>0</v>
      </c>
      <c r="L63" s="725">
        <f>IFERROR(E$63/'8.项目规划指标表'!$M$11*10000,0)</f>
        <v>0</v>
      </c>
      <c r="M63" s="1180">
        <f>IFERROR(F$63/'8.项目规划指标表'!$O$11*10000,0)</f>
        <v>0</v>
      </c>
      <c r="N63" s="1180">
        <f>IFERROR(G$63/'8.项目规划指标表'!$U$11*10000,0)</f>
        <v>0</v>
      </c>
      <c r="O63" s="1184">
        <f>IFERROR(H$63/'8.项目规划指标表'!$Y$11*10000,0)</f>
        <v>0</v>
      </c>
      <c r="P63" s="1210">
        <f>IFERROR(I$63/'8.项目规划指标表'!$AC$11*10000,0)</f>
        <v>0</v>
      </c>
      <c r="Q63" s="473"/>
      <c r="R63" s="473"/>
      <c r="S63" s="473"/>
      <c r="T63" s="473"/>
      <c r="U63" s="473"/>
      <c r="V63" s="473"/>
      <c r="W63" s="473"/>
      <c r="X63" s="473"/>
      <c r="Y63" s="473"/>
      <c r="Z63" s="473"/>
      <c r="AA63" s="473"/>
      <c r="AB63" s="473"/>
      <c r="AC63" s="473"/>
      <c r="AD63" s="473"/>
      <c r="AE63" s="473"/>
      <c r="AF63" s="473"/>
      <c r="AG63" s="473"/>
      <c r="AH63" s="473"/>
      <c r="AI63" s="473"/>
      <c r="AJ63" s="473"/>
      <c r="AK63" s="473"/>
      <c r="AL63" s="473"/>
      <c r="AM63" s="473"/>
      <c r="AN63" s="473"/>
      <c r="AO63" s="473"/>
      <c r="AP63" s="473"/>
      <c r="AQ63" s="473"/>
      <c r="AR63" s="473"/>
      <c r="AS63" s="473"/>
      <c r="AT63" s="473"/>
      <c r="AU63" s="473"/>
    </row>
    <row r="64" spans="1:47" s="742" customFormat="1" ht="17.25" customHeight="1">
      <c r="A64" s="473"/>
      <c r="B64" s="1182">
        <f>'8.项目规划指标表'!B12</f>
        <v>0</v>
      </c>
      <c r="C64" s="1183">
        <f t="shared" si="18"/>
        <v>0</v>
      </c>
      <c r="D64" s="1179">
        <f t="shared" si="20"/>
        <v>0</v>
      </c>
      <c r="E64" s="1179">
        <f t="shared" si="20"/>
        <v>0</v>
      </c>
      <c r="F64" s="1179">
        <f t="shared" si="20"/>
        <v>0</v>
      </c>
      <c r="G64" s="1179">
        <f t="shared" si="20"/>
        <v>0</v>
      </c>
      <c r="H64" s="1179">
        <f t="shared" si="20"/>
        <v>0</v>
      </c>
      <c r="I64" s="1179">
        <f t="shared" si="20"/>
        <v>0</v>
      </c>
      <c r="J64" s="1183">
        <f t="shared" si="21"/>
        <v>0</v>
      </c>
      <c r="K64" s="1179">
        <f>IFERROR(D$64/'8.项目规划指标表'!$I$12*10000,0)</f>
        <v>0</v>
      </c>
      <c r="L64" s="725">
        <f>IFERROR(E$64/'8.项目规划指标表'!$M$12*10000,0)</f>
        <v>0</v>
      </c>
      <c r="M64" s="1180">
        <f>IFERROR(F$64/'8.项目规划指标表'!$O$12*10000,0)</f>
        <v>0</v>
      </c>
      <c r="N64" s="1180">
        <f>IFERROR(G$64/'8.项目规划指标表'!$U$12*10000,0)</f>
        <v>0</v>
      </c>
      <c r="O64" s="1184">
        <f>IFERROR(H$64/'8.项目规划指标表'!$Y$12*10000,0)</f>
        <v>0</v>
      </c>
      <c r="P64" s="1210">
        <f>IFERROR(I$64/'8.项目规划指标表'!$AC$12*10000,0)</f>
        <v>0</v>
      </c>
      <c r="Q64" s="473"/>
      <c r="R64" s="473"/>
      <c r="S64" s="473"/>
      <c r="T64" s="473"/>
      <c r="U64" s="473"/>
      <c r="V64" s="473"/>
      <c r="W64" s="473"/>
      <c r="X64" s="473"/>
      <c r="Y64" s="473"/>
      <c r="Z64" s="473"/>
      <c r="AA64" s="473"/>
      <c r="AB64" s="473"/>
      <c r="AC64" s="473"/>
      <c r="AD64" s="473"/>
      <c r="AE64" s="473"/>
      <c r="AF64" s="473"/>
      <c r="AG64" s="473"/>
      <c r="AH64" s="473"/>
      <c r="AI64" s="473"/>
      <c r="AJ64" s="473"/>
      <c r="AK64" s="473"/>
      <c r="AL64" s="473"/>
      <c r="AM64" s="473"/>
      <c r="AN64" s="473"/>
      <c r="AO64" s="473"/>
      <c r="AP64" s="473"/>
      <c r="AQ64" s="473"/>
      <c r="AR64" s="473"/>
      <c r="AS64" s="473"/>
      <c r="AT64" s="473"/>
      <c r="AU64" s="473"/>
    </row>
    <row r="65" spans="1:47" s="742" customFormat="1" ht="17.25" customHeight="1">
      <c r="A65" s="473"/>
      <c r="B65" s="1182">
        <f>'8.项目规划指标表'!B13</f>
        <v>0</v>
      </c>
      <c r="C65" s="1183">
        <f t="shared" si="18"/>
        <v>0</v>
      </c>
      <c r="D65" s="1179">
        <f t="shared" si="20"/>
        <v>0</v>
      </c>
      <c r="E65" s="1179">
        <f t="shared" si="20"/>
        <v>0</v>
      </c>
      <c r="F65" s="1179">
        <f t="shared" si="20"/>
        <v>0</v>
      </c>
      <c r="G65" s="1179">
        <f t="shared" si="20"/>
        <v>0</v>
      </c>
      <c r="H65" s="1179">
        <f t="shared" si="20"/>
        <v>0</v>
      </c>
      <c r="I65" s="1179">
        <f t="shared" si="20"/>
        <v>0</v>
      </c>
      <c r="J65" s="1183">
        <f t="shared" si="21"/>
        <v>0</v>
      </c>
      <c r="K65" s="1179">
        <f>IFERROR(D$65/'8.项目规划指标表'!$I$13*10000,0)</f>
        <v>0</v>
      </c>
      <c r="L65" s="725">
        <f>IFERROR(E$65/'8.项目规划指标表'!$M$13*10000,0)</f>
        <v>0</v>
      </c>
      <c r="M65" s="1180">
        <f>IFERROR(F$65/'8.项目规划指标表'!$O$13*10000,0)</f>
        <v>0</v>
      </c>
      <c r="N65" s="1180">
        <f>IFERROR(G$65/'8.项目规划指标表'!$U$13*10000,0)</f>
        <v>0</v>
      </c>
      <c r="O65" s="1184">
        <f>IFERROR(H$65/'8.项目规划指标表'!$Y$13*10000,0)</f>
        <v>0</v>
      </c>
      <c r="P65" s="1210">
        <f>IFERROR(I$65/'8.项目规划指标表'!$AC$13*10000,0)</f>
        <v>0</v>
      </c>
      <c r="Q65" s="473"/>
      <c r="R65" s="473"/>
      <c r="S65" s="473"/>
      <c r="T65" s="473"/>
      <c r="U65" s="473"/>
      <c r="V65" s="473"/>
      <c r="W65" s="473"/>
      <c r="X65" s="473"/>
      <c r="Y65" s="473"/>
      <c r="Z65" s="473"/>
      <c r="AA65" s="473"/>
      <c r="AB65" s="473"/>
      <c r="AC65" s="473"/>
      <c r="AD65" s="473"/>
      <c r="AE65" s="473"/>
      <c r="AF65" s="473"/>
      <c r="AG65" s="473"/>
      <c r="AH65" s="473"/>
      <c r="AI65" s="473"/>
      <c r="AJ65" s="473"/>
      <c r="AK65" s="473"/>
      <c r="AL65" s="473"/>
      <c r="AM65" s="473"/>
      <c r="AN65" s="473"/>
      <c r="AO65" s="473"/>
      <c r="AP65" s="473"/>
      <c r="AQ65" s="473"/>
      <c r="AR65" s="473"/>
      <c r="AS65" s="473"/>
      <c r="AT65" s="473"/>
      <c r="AU65" s="473"/>
    </row>
    <row r="66" spans="1:47" s="742" customFormat="1" ht="17.25" customHeight="1">
      <c r="A66" s="473"/>
      <c r="B66" s="1182" t="str">
        <f>'8.项目规划指标表'!B14</f>
        <v>自持物业</v>
      </c>
      <c r="C66" s="1183">
        <f t="shared" si="18"/>
        <v>0</v>
      </c>
      <c r="D66" s="1223">
        <f>D34*$C$20</f>
        <v>0</v>
      </c>
      <c r="E66" s="1223">
        <f>E34*$C$20</f>
        <v>0</v>
      </c>
      <c r="F66" s="1223">
        <f>F34*$C$20</f>
        <v>0</v>
      </c>
      <c r="G66" s="1223">
        <f t="shared" ref="G66:I66" si="22">G34*$C$20</f>
        <v>0</v>
      </c>
      <c r="H66" s="1223">
        <f t="shared" si="22"/>
        <v>0</v>
      </c>
      <c r="I66" s="1223">
        <f t="shared" si="22"/>
        <v>0</v>
      </c>
      <c r="J66" s="1183">
        <f t="shared" si="21"/>
        <v>0</v>
      </c>
      <c r="K66" s="1179">
        <f>IFERROR(D$66/'8.项目规划指标表'!$I$14*10000,0)</f>
        <v>0</v>
      </c>
      <c r="L66" s="725">
        <f>IFERROR(E$66/'8.项目规划指标表'!$M$14*10000,0)</f>
        <v>0</v>
      </c>
      <c r="M66" s="1180">
        <f>IFERROR(F$66/'8.项目规划指标表'!$O$14*10000,0)</f>
        <v>0</v>
      </c>
      <c r="N66" s="1180">
        <f>IFERROR(G$66/'8.项目规划指标表'!$U$14*10000,0)</f>
        <v>0</v>
      </c>
      <c r="O66" s="1184">
        <f>IFERROR(H$66/'8.项目规划指标表'!$Y$14*10000,0)</f>
        <v>0</v>
      </c>
      <c r="P66" s="1210">
        <f>IFERROR(I$66/'8.项目规划指标表'!$AC$14*10000,0)</f>
        <v>0</v>
      </c>
      <c r="Q66" s="473"/>
      <c r="R66" s="473"/>
      <c r="S66" s="473"/>
      <c r="T66" s="473"/>
      <c r="U66" s="473"/>
      <c r="V66" s="473"/>
      <c r="W66" s="473"/>
      <c r="X66" s="473"/>
      <c r="Y66" s="473"/>
      <c r="Z66" s="473"/>
      <c r="AA66" s="473"/>
      <c r="AB66" s="473"/>
      <c r="AC66" s="473"/>
      <c r="AD66" s="473"/>
      <c r="AE66" s="473"/>
      <c r="AF66" s="473"/>
      <c r="AG66" s="473"/>
      <c r="AH66" s="473"/>
      <c r="AI66" s="473"/>
      <c r="AJ66" s="473"/>
      <c r="AK66" s="473"/>
      <c r="AL66" s="473"/>
      <c r="AM66" s="473"/>
      <c r="AN66" s="473"/>
      <c r="AO66" s="473"/>
      <c r="AP66" s="473"/>
      <c r="AQ66" s="473"/>
      <c r="AR66" s="473"/>
      <c r="AS66" s="473"/>
      <c r="AT66" s="473"/>
      <c r="AU66" s="473"/>
    </row>
    <row r="67" spans="1:47" s="742" customFormat="1" ht="17.25" customHeight="1">
      <c r="A67" s="473"/>
      <c r="B67" s="1204" t="s">
        <v>251</v>
      </c>
      <c r="C67" s="1205">
        <f>SUM(C57:C66)</f>
        <v>8012.7870000000003</v>
      </c>
      <c r="D67" s="1194">
        <f>SUM(D57:D66)</f>
        <v>8012.7870000000003</v>
      </c>
      <c r="E67" s="1195">
        <f t="shared" ref="E67:J67" si="23">SUM(E57:E66)</f>
        <v>0</v>
      </c>
      <c r="F67" s="1195">
        <f t="shared" si="23"/>
        <v>0</v>
      </c>
      <c r="G67" s="1195">
        <f t="shared" si="23"/>
        <v>0</v>
      </c>
      <c r="H67" s="1195">
        <f t="shared" si="23"/>
        <v>0</v>
      </c>
      <c r="I67" s="1213">
        <f t="shared" si="23"/>
        <v>0</v>
      </c>
      <c r="J67" s="1205">
        <f t="shared" si="23"/>
        <v>8678.4581749416648</v>
      </c>
      <c r="K67" s="1206">
        <f>IFERROR(D$67/'8.项目规划指标表'!$H$22*10000,0)</f>
        <v>1228.4651825958974</v>
      </c>
      <c r="L67" s="1195">
        <f>IFERROR(E$67/'8.项目规划指标表'!$P$22*10000,0)</f>
        <v>0</v>
      </c>
      <c r="M67" s="1195">
        <f>IFERROR(F$67/'8.项目规划指标表'!$P$22*10000,0)</f>
        <v>0</v>
      </c>
      <c r="N67" s="1195">
        <f>IFERROR(G$67/'8.项目规划指标表'!$T$22*10000,0)</f>
        <v>0</v>
      </c>
      <c r="O67" s="1195">
        <f>IFERROR(H$67/'8.项目规划指标表'!$X$22*10000,0)</f>
        <v>0</v>
      </c>
      <c r="P67" s="1213">
        <f>IFERROR(I$67/'8.项目规划指标表'!$AB$22*10000,0)</f>
        <v>0</v>
      </c>
      <c r="Q67" s="473"/>
      <c r="R67" s="473"/>
      <c r="S67" s="473"/>
      <c r="T67" s="473"/>
      <c r="U67" s="473"/>
      <c r="V67" s="473"/>
      <c r="W67" s="473"/>
      <c r="X67" s="473"/>
      <c r="Y67" s="473"/>
      <c r="Z67" s="473"/>
      <c r="AA67" s="473"/>
      <c r="AB67" s="473"/>
      <c r="AC67" s="473"/>
      <c r="AD67" s="473"/>
      <c r="AE67" s="473"/>
      <c r="AF67" s="473"/>
      <c r="AG67" s="473"/>
      <c r="AH67" s="473"/>
      <c r="AI67" s="473"/>
      <c r="AJ67" s="473"/>
      <c r="AK67" s="473"/>
      <c r="AL67" s="473"/>
      <c r="AM67" s="473"/>
      <c r="AN67" s="473"/>
      <c r="AO67" s="473"/>
      <c r="AP67" s="473"/>
      <c r="AQ67" s="473"/>
      <c r="AR67" s="473"/>
      <c r="AS67" s="473"/>
      <c r="AT67" s="473"/>
      <c r="AU67" s="473"/>
    </row>
    <row r="68" spans="1:47" ht="15.75" customHeight="1">
      <c r="A68" s="78"/>
      <c r="B68" s="1196" t="s">
        <v>553</v>
      </c>
      <c r="C68" s="242">
        <f>C67-C18</f>
        <v>0</v>
      </c>
      <c r="D68" s="92"/>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78"/>
      <c r="AI68" s="78"/>
      <c r="AJ68" s="78"/>
      <c r="AK68" s="78"/>
      <c r="AL68" s="78"/>
      <c r="AM68" s="78"/>
      <c r="AN68" s="78"/>
      <c r="AO68" s="78"/>
      <c r="AP68" s="78"/>
      <c r="AQ68" s="78"/>
      <c r="AR68" s="78"/>
      <c r="AS68" s="78"/>
      <c r="AT68" s="78"/>
      <c r="AU68" s="78"/>
    </row>
    <row r="69" spans="1:47" ht="16.5" customHeight="1">
      <c r="A69" s="78"/>
      <c r="B69" s="141" t="s">
        <v>560</v>
      </c>
      <c r="C69" s="78"/>
      <c r="D69" s="92"/>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78"/>
      <c r="AI69" s="78"/>
      <c r="AJ69" s="78"/>
      <c r="AK69" s="78"/>
      <c r="AL69" s="78"/>
      <c r="AM69" s="78"/>
      <c r="AN69" s="78"/>
      <c r="AO69" s="78"/>
      <c r="AP69" s="78"/>
      <c r="AQ69" s="78"/>
      <c r="AR69" s="78"/>
      <c r="AS69" s="78"/>
      <c r="AT69" s="78"/>
      <c r="AU69" s="78"/>
    </row>
    <row r="70" spans="1:47" s="742" customFormat="1" ht="16.5" customHeight="1">
      <c r="A70" s="473"/>
      <c r="B70" s="1852" t="s">
        <v>550</v>
      </c>
      <c r="C70" s="1173"/>
      <c r="D70" s="1848" t="s">
        <v>561</v>
      </c>
      <c r="E70" s="1848"/>
      <c r="F70" s="1848"/>
      <c r="G70" s="1848"/>
      <c r="H70" s="1848"/>
      <c r="I70" s="1849"/>
      <c r="J70" s="1173"/>
      <c r="K70" s="1848" t="s">
        <v>562</v>
      </c>
      <c r="L70" s="1848"/>
      <c r="M70" s="1848"/>
      <c r="N70" s="1848"/>
      <c r="O70" s="1848"/>
      <c r="P70" s="1849"/>
      <c r="Q70" s="473"/>
      <c r="R70" s="473"/>
      <c r="S70" s="473"/>
      <c r="T70" s="473"/>
      <c r="U70" s="473"/>
      <c r="V70" s="473"/>
      <c r="W70" s="473"/>
      <c r="X70" s="473"/>
      <c r="Y70" s="473"/>
      <c r="Z70" s="473"/>
      <c r="AA70" s="473"/>
      <c r="AB70" s="473"/>
      <c r="AC70" s="473"/>
      <c r="AD70" s="473"/>
      <c r="AE70" s="473"/>
      <c r="AF70" s="473"/>
      <c r="AG70" s="473"/>
      <c r="AH70" s="473"/>
      <c r="AI70" s="473"/>
      <c r="AJ70" s="473"/>
      <c r="AK70" s="473"/>
      <c r="AL70" s="473"/>
      <c r="AM70" s="473"/>
      <c r="AN70" s="473"/>
      <c r="AO70" s="473"/>
      <c r="AP70" s="473"/>
      <c r="AQ70" s="473"/>
      <c r="AR70" s="473"/>
      <c r="AS70" s="473"/>
      <c r="AT70" s="473"/>
      <c r="AU70" s="473"/>
    </row>
    <row r="71" spans="1:47" s="742" customFormat="1" ht="17.25" customHeight="1">
      <c r="A71" s="473"/>
      <c r="B71" s="1853"/>
      <c r="C71" s="1174" t="s">
        <v>251</v>
      </c>
      <c r="D71" s="1175" t="s">
        <v>19</v>
      </c>
      <c r="E71" s="1176" t="s">
        <v>20</v>
      </c>
      <c r="F71" s="1176" t="s">
        <v>21</v>
      </c>
      <c r="G71" s="1176" t="s">
        <v>22</v>
      </c>
      <c r="H71" s="1176" t="s">
        <v>23</v>
      </c>
      <c r="I71" s="1207" t="s">
        <v>24</v>
      </c>
      <c r="J71" s="1174" t="s">
        <v>251</v>
      </c>
      <c r="K71" s="1175" t="s">
        <v>19</v>
      </c>
      <c r="L71" s="1176" t="s">
        <v>20</v>
      </c>
      <c r="M71" s="1176" t="s">
        <v>21</v>
      </c>
      <c r="N71" s="1176" t="s">
        <v>22</v>
      </c>
      <c r="O71" s="1176" t="s">
        <v>23</v>
      </c>
      <c r="P71" s="1207" t="s">
        <v>24</v>
      </c>
      <c r="Q71" s="473"/>
      <c r="R71" s="473"/>
      <c r="S71" s="473"/>
      <c r="T71" s="473"/>
      <c r="U71" s="473"/>
      <c r="V71" s="473"/>
      <c r="W71" s="473"/>
      <c r="X71" s="473"/>
      <c r="Y71" s="473"/>
      <c r="Z71" s="473"/>
      <c r="AA71" s="473"/>
      <c r="AB71" s="473"/>
      <c r="AC71" s="473"/>
      <c r="AD71" s="473"/>
      <c r="AE71" s="473"/>
      <c r="AF71" s="473"/>
      <c r="AG71" s="473"/>
      <c r="AH71" s="473"/>
      <c r="AI71" s="473"/>
      <c r="AJ71" s="473"/>
      <c r="AK71" s="473"/>
      <c r="AL71" s="473"/>
      <c r="AM71" s="473"/>
      <c r="AN71" s="473"/>
      <c r="AO71" s="473"/>
      <c r="AP71" s="473"/>
      <c r="AQ71" s="473"/>
      <c r="AR71" s="473"/>
      <c r="AS71" s="473"/>
      <c r="AT71" s="473"/>
      <c r="AU71" s="473"/>
    </row>
    <row r="72" spans="1:47" s="742" customFormat="1" ht="17.25" customHeight="1">
      <c r="A72" s="473">
        <v>1</v>
      </c>
      <c r="B72" s="1177" t="str">
        <f>'8.项目规划指标表'!B5</f>
        <v>高层</v>
      </c>
      <c r="C72" s="1178">
        <f t="shared" ref="C72:C81" si="24">SUM(D72:I72)</f>
        <v>471.87426504076041</v>
      </c>
      <c r="D72" s="1179">
        <f t="shared" ref="D72:I81" si="25">D57/1.1*10%</f>
        <v>471.87426504076041</v>
      </c>
      <c r="E72" s="1179">
        <f t="shared" si="25"/>
        <v>0</v>
      </c>
      <c r="F72" s="1179">
        <f t="shared" si="25"/>
        <v>0</v>
      </c>
      <c r="G72" s="1179">
        <f t="shared" si="25"/>
        <v>0</v>
      </c>
      <c r="H72" s="1179">
        <f t="shared" si="25"/>
        <v>0</v>
      </c>
      <c r="I72" s="1179">
        <f t="shared" si="25"/>
        <v>0</v>
      </c>
      <c r="J72" s="1178">
        <f>SUM(K72:O72)</f>
        <v>12782.016033480579</v>
      </c>
      <c r="K72" s="1179">
        <f>K25-D72+R25</f>
        <v>12782.016033480579</v>
      </c>
      <c r="L72" s="725">
        <f t="shared" ref="L72:P72" si="26">L25-E72+S25</f>
        <v>0</v>
      </c>
      <c r="M72" s="1180">
        <f t="shared" si="26"/>
        <v>0</v>
      </c>
      <c r="N72" s="1180">
        <f t="shared" si="26"/>
        <v>0</v>
      </c>
      <c r="O72" s="1181">
        <f t="shared" si="26"/>
        <v>0</v>
      </c>
      <c r="P72" s="1208">
        <f t="shared" si="26"/>
        <v>0</v>
      </c>
      <c r="Q72" s="473"/>
      <c r="R72" s="473"/>
      <c r="S72" s="473"/>
      <c r="T72" s="473"/>
      <c r="U72" s="473"/>
      <c r="V72" s="473"/>
      <c r="W72" s="473"/>
      <c r="X72" s="473"/>
      <c r="Y72" s="473"/>
      <c r="Z72" s="473"/>
      <c r="AA72" s="473"/>
      <c r="AB72" s="473"/>
      <c r="AC72" s="473"/>
      <c r="AD72" s="473"/>
      <c r="AE72" s="473"/>
      <c r="AF72" s="473"/>
      <c r="AG72" s="473"/>
      <c r="AH72" s="473"/>
      <c r="AI72" s="473"/>
      <c r="AJ72" s="473"/>
      <c r="AK72" s="473"/>
      <c r="AL72" s="473"/>
      <c r="AM72" s="473"/>
      <c r="AN72" s="473"/>
      <c r="AO72" s="473"/>
      <c r="AP72" s="473"/>
      <c r="AQ72" s="473"/>
      <c r="AR72" s="473"/>
      <c r="AS72" s="473"/>
      <c r="AT72" s="473"/>
      <c r="AU72" s="473"/>
    </row>
    <row r="73" spans="1:47" s="742" customFormat="1" ht="17.25" customHeight="1">
      <c r="A73" s="473">
        <v>2</v>
      </c>
      <c r="B73" s="1182" t="str">
        <f>'8.项目规划指标表'!B6</f>
        <v>商铺</v>
      </c>
      <c r="C73" s="1183">
        <f t="shared" si="24"/>
        <v>256.56091677742137</v>
      </c>
      <c r="D73" s="1179">
        <f t="shared" si="25"/>
        <v>256.56091677742137</v>
      </c>
      <c r="E73" s="1179">
        <f t="shared" si="25"/>
        <v>0</v>
      </c>
      <c r="F73" s="1179">
        <f t="shared" si="25"/>
        <v>0</v>
      </c>
      <c r="G73" s="1179">
        <f t="shared" si="25"/>
        <v>0</v>
      </c>
      <c r="H73" s="1179">
        <f t="shared" si="25"/>
        <v>0</v>
      </c>
      <c r="I73" s="1179">
        <f t="shared" si="25"/>
        <v>0</v>
      </c>
      <c r="J73" s="1183">
        <f t="shared" ref="J73:J81" si="27">SUM(K73:O73)</f>
        <v>6949.6600996670259</v>
      </c>
      <c r="K73" s="1179">
        <f t="shared" ref="K73:P73" si="28">K26-D73+R26</f>
        <v>6949.6600996670259</v>
      </c>
      <c r="L73" s="725">
        <f t="shared" si="28"/>
        <v>0</v>
      </c>
      <c r="M73" s="1180">
        <f t="shared" si="28"/>
        <v>0</v>
      </c>
      <c r="N73" s="1180">
        <f t="shared" si="28"/>
        <v>0</v>
      </c>
      <c r="O73" s="1184">
        <f t="shared" si="28"/>
        <v>0</v>
      </c>
      <c r="P73" s="1210">
        <f t="shared" si="28"/>
        <v>0</v>
      </c>
      <c r="Q73" s="473"/>
      <c r="R73" s="473"/>
      <c r="S73" s="473"/>
      <c r="T73" s="473"/>
      <c r="U73" s="473"/>
      <c r="V73" s="473"/>
      <c r="W73" s="473"/>
      <c r="X73" s="473"/>
      <c r="Y73" s="473"/>
      <c r="Z73" s="473"/>
      <c r="AA73" s="473"/>
      <c r="AB73" s="473"/>
      <c r="AC73" s="473"/>
      <c r="AD73" s="473"/>
      <c r="AE73" s="473"/>
      <c r="AF73" s="473"/>
      <c r="AG73" s="473"/>
      <c r="AH73" s="473"/>
      <c r="AI73" s="473"/>
      <c r="AJ73" s="473"/>
      <c r="AK73" s="473"/>
      <c r="AL73" s="473"/>
      <c r="AM73" s="473"/>
      <c r="AN73" s="473"/>
      <c r="AO73" s="473"/>
      <c r="AP73" s="473"/>
      <c r="AQ73" s="473"/>
      <c r="AR73" s="473"/>
      <c r="AS73" s="473"/>
      <c r="AT73" s="473"/>
      <c r="AU73" s="473"/>
    </row>
    <row r="74" spans="1:47" s="742" customFormat="1" ht="17.25" customHeight="1">
      <c r="A74" s="473">
        <v>3</v>
      </c>
      <c r="B74" s="1182" t="str">
        <f>'8.项目规划指标表'!B7</f>
        <v>回迁商业</v>
      </c>
      <c r="C74" s="1183">
        <f t="shared" si="24"/>
        <v>0</v>
      </c>
      <c r="D74" s="1179">
        <f t="shared" si="25"/>
        <v>0</v>
      </c>
      <c r="E74" s="1179">
        <f t="shared" si="25"/>
        <v>0</v>
      </c>
      <c r="F74" s="1179">
        <f t="shared" si="25"/>
        <v>0</v>
      </c>
      <c r="G74" s="1179">
        <f t="shared" si="25"/>
        <v>0</v>
      </c>
      <c r="H74" s="1179">
        <f t="shared" si="25"/>
        <v>0</v>
      </c>
      <c r="I74" s="1179">
        <f t="shared" si="25"/>
        <v>0</v>
      </c>
      <c r="J74" s="1183">
        <f t="shared" si="27"/>
        <v>0</v>
      </c>
      <c r="K74" s="1179">
        <f t="shared" ref="K74:P74" si="29">K27-D74+R27</f>
        <v>0</v>
      </c>
      <c r="L74" s="725">
        <f t="shared" si="29"/>
        <v>0</v>
      </c>
      <c r="M74" s="1180">
        <f t="shared" si="29"/>
        <v>0</v>
      </c>
      <c r="N74" s="1180">
        <f t="shared" si="29"/>
        <v>0</v>
      </c>
      <c r="O74" s="1184">
        <f t="shared" si="29"/>
        <v>0</v>
      </c>
      <c r="P74" s="1210">
        <f t="shared" si="29"/>
        <v>0</v>
      </c>
      <c r="Q74" s="473"/>
      <c r="R74" s="473"/>
      <c r="S74" s="473"/>
      <c r="T74" s="473"/>
      <c r="U74" s="473"/>
      <c r="V74" s="473"/>
      <c r="W74" s="473"/>
      <c r="X74" s="473"/>
      <c r="Y74" s="473"/>
      <c r="Z74" s="473"/>
      <c r="AA74" s="473"/>
      <c r="AB74" s="473"/>
      <c r="AC74" s="473"/>
      <c r="AD74" s="473"/>
      <c r="AE74" s="473"/>
      <c r="AF74" s="473"/>
      <c r="AG74" s="473"/>
      <c r="AH74" s="473"/>
      <c r="AI74" s="473"/>
      <c r="AJ74" s="473"/>
      <c r="AK74" s="473"/>
      <c r="AL74" s="473"/>
      <c r="AM74" s="473"/>
      <c r="AN74" s="473"/>
      <c r="AO74" s="473"/>
      <c r="AP74" s="473"/>
      <c r="AQ74" s="473"/>
      <c r="AR74" s="473"/>
      <c r="AS74" s="473"/>
      <c r="AT74" s="473"/>
      <c r="AU74" s="473"/>
    </row>
    <row r="75" spans="1:47" s="742" customFormat="1" ht="17.25" customHeight="1">
      <c r="A75" s="473">
        <v>4</v>
      </c>
      <c r="B75" s="1182">
        <f>'8.项目规划指标表'!B8</f>
        <v>0</v>
      </c>
      <c r="C75" s="1183">
        <f t="shared" si="24"/>
        <v>0</v>
      </c>
      <c r="D75" s="1179">
        <f t="shared" si="25"/>
        <v>0</v>
      </c>
      <c r="E75" s="1179">
        <f t="shared" si="25"/>
        <v>0</v>
      </c>
      <c r="F75" s="1179">
        <f t="shared" si="25"/>
        <v>0</v>
      </c>
      <c r="G75" s="1179">
        <f t="shared" si="25"/>
        <v>0</v>
      </c>
      <c r="H75" s="1179">
        <f t="shared" si="25"/>
        <v>0</v>
      </c>
      <c r="I75" s="1179">
        <f t="shared" si="25"/>
        <v>0</v>
      </c>
      <c r="J75" s="1183">
        <f t="shared" si="27"/>
        <v>0</v>
      </c>
      <c r="K75" s="1179">
        <f t="shared" ref="K75:P75" si="30">K28-D75+R28</f>
        <v>0</v>
      </c>
      <c r="L75" s="725">
        <f t="shared" si="30"/>
        <v>0</v>
      </c>
      <c r="M75" s="1180">
        <f t="shared" si="30"/>
        <v>0</v>
      </c>
      <c r="N75" s="1180">
        <f t="shared" si="30"/>
        <v>0</v>
      </c>
      <c r="O75" s="1184">
        <f t="shared" si="30"/>
        <v>0</v>
      </c>
      <c r="P75" s="1210">
        <f t="shared" si="30"/>
        <v>0</v>
      </c>
      <c r="Q75" s="473"/>
      <c r="R75" s="473"/>
      <c r="S75" s="473"/>
      <c r="T75" s="473"/>
      <c r="U75" s="473"/>
      <c r="V75" s="473"/>
      <c r="W75" s="473"/>
      <c r="X75" s="473"/>
      <c r="Y75" s="473"/>
      <c r="Z75" s="473"/>
      <c r="AA75" s="473"/>
      <c r="AB75" s="473"/>
      <c r="AC75" s="473"/>
      <c r="AD75" s="473"/>
      <c r="AE75" s="473"/>
      <c r="AF75" s="473"/>
      <c r="AG75" s="473"/>
      <c r="AH75" s="473"/>
      <c r="AI75" s="473"/>
      <c r="AJ75" s="473"/>
      <c r="AK75" s="473"/>
      <c r="AL75" s="473"/>
      <c r="AM75" s="473"/>
      <c r="AN75" s="473"/>
      <c r="AO75" s="473"/>
      <c r="AP75" s="473"/>
      <c r="AQ75" s="473"/>
      <c r="AR75" s="473"/>
      <c r="AS75" s="473"/>
      <c r="AT75" s="473"/>
      <c r="AU75" s="473"/>
    </row>
    <row r="76" spans="1:47" s="742" customFormat="1" ht="17.25" customHeight="1">
      <c r="A76" s="473">
        <v>5</v>
      </c>
      <c r="B76" s="1182">
        <f>'8.项目规划指标表'!B9</f>
        <v>0</v>
      </c>
      <c r="C76" s="1183">
        <f t="shared" si="24"/>
        <v>0</v>
      </c>
      <c r="D76" s="1179">
        <f t="shared" si="25"/>
        <v>0</v>
      </c>
      <c r="E76" s="1179">
        <f t="shared" si="25"/>
        <v>0</v>
      </c>
      <c r="F76" s="1179">
        <f t="shared" si="25"/>
        <v>0</v>
      </c>
      <c r="G76" s="1179">
        <f t="shared" si="25"/>
        <v>0</v>
      </c>
      <c r="H76" s="1179">
        <f t="shared" si="25"/>
        <v>0</v>
      </c>
      <c r="I76" s="1179">
        <f t="shared" si="25"/>
        <v>0</v>
      </c>
      <c r="J76" s="1183">
        <f t="shared" si="27"/>
        <v>0</v>
      </c>
      <c r="K76" s="1179">
        <f t="shared" ref="K76:P76" si="31">K29-D76+R29</f>
        <v>0</v>
      </c>
      <c r="L76" s="725">
        <f t="shared" si="31"/>
        <v>0</v>
      </c>
      <c r="M76" s="1180">
        <f t="shared" si="31"/>
        <v>0</v>
      </c>
      <c r="N76" s="1180">
        <f t="shared" si="31"/>
        <v>0</v>
      </c>
      <c r="O76" s="1184">
        <f t="shared" si="31"/>
        <v>0</v>
      </c>
      <c r="P76" s="1210">
        <f t="shared" si="31"/>
        <v>0</v>
      </c>
      <c r="Q76" s="473"/>
      <c r="R76" s="473"/>
      <c r="S76" s="473"/>
      <c r="T76" s="473"/>
      <c r="U76" s="473"/>
      <c r="V76" s="473"/>
      <c r="W76" s="473"/>
      <c r="X76" s="473"/>
      <c r="Y76" s="473"/>
      <c r="Z76" s="473"/>
      <c r="AA76" s="473"/>
      <c r="AB76" s="473"/>
      <c r="AC76" s="473"/>
      <c r="AD76" s="473"/>
      <c r="AE76" s="473"/>
      <c r="AF76" s="473"/>
      <c r="AG76" s="473"/>
      <c r="AH76" s="473"/>
      <c r="AI76" s="473"/>
      <c r="AJ76" s="473"/>
      <c r="AK76" s="473"/>
      <c r="AL76" s="473"/>
      <c r="AM76" s="473"/>
      <c r="AN76" s="473"/>
      <c r="AO76" s="473"/>
      <c r="AP76" s="473"/>
      <c r="AQ76" s="473"/>
      <c r="AR76" s="473"/>
      <c r="AS76" s="473"/>
      <c r="AT76" s="473"/>
      <c r="AU76" s="473"/>
    </row>
    <row r="77" spans="1:47" s="742" customFormat="1" ht="17.25" customHeight="1">
      <c r="A77" s="473">
        <v>6</v>
      </c>
      <c r="B77" s="1182">
        <f>'8.项目规划指标表'!B10</f>
        <v>0</v>
      </c>
      <c r="C77" s="1183">
        <f t="shared" si="24"/>
        <v>0</v>
      </c>
      <c r="D77" s="1179">
        <f t="shared" si="25"/>
        <v>0</v>
      </c>
      <c r="E77" s="1179">
        <f t="shared" si="25"/>
        <v>0</v>
      </c>
      <c r="F77" s="1179">
        <f t="shared" si="25"/>
        <v>0</v>
      </c>
      <c r="G77" s="1179">
        <f t="shared" si="25"/>
        <v>0</v>
      </c>
      <c r="H77" s="1179">
        <f t="shared" si="25"/>
        <v>0</v>
      </c>
      <c r="I77" s="1179">
        <f t="shared" si="25"/>
        <v>0</v>
      </c>
      <c r="J77" s="1183">
        <f t="shared" si="27"/>
        <v>0</v>
      </c>
      <c r="K77" s="1179">
        <f t="shared" ref="K77:P77" si="32">K30-D77+R30</f>
        <v>0</v>
      </c>
      <c r="L77" s="725">
        <f t="shared" si="32"/>
        <v>0</v>
      </c>
      <c r="M77" s="1180">
        <f t="shared" si="32"/>
        <v>0</v>
      </c>
      <c r="N77" s="1180">
        <f t="shared" si="32"/>
        <v>0</v>
      </c>
      <c r="O77" s="1184">
        <f t="shared" si="32"/>
        <v>0</v>
      </c>
      <c r="P77" s="1210">
        <f t="shared" si="32"/>
        <v>0</v>
      </c>
      <c r="Q77" s="473"/>
      <c r="R77" s="473"/>
      <c r="S77" s="473"/>
      <c r="T77" s="473"/>
      <c r="U77" s="473"/>
      <c r="V77" s="473"/>
      <c r="W77" s="473"/>
      <c r="X77" s="473"/>
      <c r="Y77" s="473"/>
      <c r="Z77" s="473"/>
      <c r="AA77" s="473"/>
      <c r="AB77" s="473"/>
      <c r="AC77" s="473"/>
      <c r="AD77" s="473"/>
      <c r="AE77" s="473"/>
      <c r="AF77" s="473"/>
      <c r="AG77" s="473"/>
      <c r="AH77" s="473"/>
      <c r="AI77" s="473"/>
      <c r="AJ77" s="473"/>
      <c r="AK77" s="473"/>
      <c r="AL77" s="473"/>
      <c r="AM77" s="473"/>
      <c r="AN77" s="473"/>
      <c r="AO77" s="473"/>
      <c r="AP77" s="473"/>
      <c r="AQ77" s="473"/>
      <c r="AR77" s="473"/>
      <c r="AS77" s="473"/>
      <c r="AT77" s="473"/>
      <c r="AU77" s="473"/>
    </row>
    <row r="78" spans="1:47" s="742" customFormat="1" ht="17.25" customHeight="1">
      <c r="A78" s="473">
        <v>7</v>
      </c>
      <c r="B78" s="1182">
        <f>'8.项目规划指标表'!B11</f>
        <v>0</v>
      </c>
      <c r="C78" s="1183">
        <f t="shared" si="24"/>
        <v>0</v>
      </c>
      <c r="D78" s="1179">
        <f t="shared" si="25"/>
        <v>0</v>
      </c>
      <c r="E78" s="1179">
        <f t="shared" si="25"/>
        <v>0</v>
      </c>
      <c r="F78" s="1179">
        <f t="shared" si="25"/>
        <v>0</v>
      </c>
      <c r="G78" s="1179">
        <f t="shared" si="25"/>
        <v>0</v>
      </c>
      <c r="H78" s="1179">
        <f t="shared" si="25"/>
        <v>0</v>
      </c>
      <c r="I78" s="1179">
        <f t="shared" si="25"/>
        <v>0</v>
      </c>
      <c r="J78" s="1183">
        <f t="shared" si="27"/>
        <v>0</v>
      </c>
      <c r="K78" s="1179">
        <f t="shared" ref="K78:P78" si="33">K31-D78+R31</f>
        <v>0</v>
      </c>
      <c r="L78" s="725">
        <f t="shared" si="33"/>
        <v>0</v>
      </c>
      <c r="M78" s="1180">
        <f t="shared" si="33"/>
        <v>0</v>
      </c>
      <c r="N78" s="1180">
        <f t="shared" si="33"/>
        <v>0</v>
      </c>
      <c r="O78" s="1184">
        <f t="shared" si="33"/>
        <v>0</v>
      </c>
      <c r="P78" s="1210">
        <f t="shared" si="33"/>
        <v>0</v>
      </c>
      <c r="Q78" s="473"/>
      <c r="R78" s="473"/>
      <c r="S78" s="473"/>
      <c r="T78" s="473"/>
      <c r="U78" s="473"/>
      <c r="V78" s="473"/>
      <c r="W78" s="473"/>
      <c r="X78" s="473"/>
      <c r="Y78" s="473"/>
      <c r="Z78" s="473"/>
      <c r="AA78" s="473"/>
      <c r="AB78" s="473"/>
      <c r="AC78" s="473"/>
      <c r="AD78" s="473"/>
      <c r="AE78" s="473"/>
      <c r="AF78" s="473"/>
      <c r="AG78" s="473"/>
      <c r="AH78" s="473"/>
      <c r="AI78" s="473"/>
      <c r="AJ78" s="473"/>
      <c r="AK78" s="473"/>
      <c r="AL78" s="473"/>
      <c r="AM78" s="473"/>
      <c r="AN78" s="473"/>
      <c r="AO78" s="473"/>
      <c r="AP78" s="473"/>
      <c r="AQ78" s="473"/>
      <c r="AR78" s="473"/>
      <c r="AS78" s="473"/>
      <c r="AT78" s="473"/>
      <c r="AU78" s="473"/>
    </row>
    <row r="79" spans="1:47" s="742" customFormat="1" ht="17.25" customHeight="1">
      <c r="A79" s="473">
        <v>8</v>
      </c>
      <c r="B79" s="1182">
        <f>'8.项目规划指标表'!B12</f>
        <v>0</v>
      </c>
      <c r="C79" s="1183">
        <f t="shared" si="24"/>
        <v>0</v>
      </c>
      <c r="D79" s="1179">
        <f t="shared" si="25"/>
        <v>0</v>
      </c>
      <c r="E79" s="1179">
        <f t="shared" si="25"/>
        <v>0</v>
      </c>
      <c r="F79" s="1179">
        <f t="shared" si="25"/>
        <v>0</v>
      </c>
      <c r="G79" s="1179">
        <f t="shared" si="25"/>
        <v>0</v>
      </c>
      <c r="H79" s="1179">
        <f t="shared" si="25"/>
        <v>0</v>
      </c>
      <c r="I79" s="1179">
        <f t="shared" si="25"/>
        <v>0</v>
      </c>
      <c r="J79" s="1183">
        <f t="shared" si="27"/>
        <v>0</v>
      </c>
      <c r="K79" s="1179">
        <f t="shared" ref="K79:P79" si="34">K32-D79+R32</f>
        <v>0</v>
      </c>
      <c r="L79" s="725">
        <f t="shared" si="34"/>
        <v>0</v>
      </c>
      <c r="M79" s="1180">
        <f t="shared" si="34"/>
        <v>0</v>
      </c>
      <c r="N79" s="1180">
        <f t="shared" si="34"/>
        <v>0</v>
      </c>
      <c r="O79" s="1184">
        <f t="shared" si="34"/>
        <v>0</v>
      </c>
      <c r="P79" s="1210">
        <f t="shared" si="34"/>
        <v>0</v>
      </c>
      <c r="Q79" s="473"/>
      <c r="R79" s="473"/>
      <c r="S79" s="473"/>
      <c r="T79" s="473"/>
      <c r="U79" s="473"/>
      <c r="V79" s="473"/>
      <c r="W79" s="473"/>
      <c r="X79" s="473"/>
      <c r="Y79" s="473"/>
      <c r="Z79" s="473"/>
      <c r="AA79" s="473"/>
      <c r="AB79" s="473"/>
      <c r="AC79" s="473"/>
      <c r="AD79" s="473"/>
      <c r="AE79" s="473"/>
      <c r="AF79" s="473"/>
      <c r="AG79" s="473"/>
      <c r="AH79" s="473"/>
      <c r="AI79" s="473"/>
      <c r="AJ79" s="473"/>
      <c r="AK79" s="473"/>
      <c r="AL79" s="473"/>
      <c r="AM79" s="473"/>
      <c r="AN79" s="473"/>
      <c r="AO79" s="473"/>
      <c r="AP79" s="473"/>
      <c r="AQ79" s="473"/>
      <c r="AR79" s="473"/>
      <c r="AS79" s="473"/>
      <c r="AT79" s="473"/>
      <c r="AU79" s="473"/>
    </row>
    <row r="80" spans="1:47" s="742" customFormat="1" ht="17.25" customHeight="1">
      <c r="A80" s="473">
        <v>9</v>
      </c>
      <c r="B80" s="1182">
        <f>'8.项目规划指标表'!B13</f>
        <v>0</v>
      </c>
      <c r="C80" s="1183">
        <f t="shared" si="24"/>
        <v>0</v>
      </c>
      <c r="D80" s="1179">
        <f t="shared" si="25"/>
        <v>0</v>
      </c>
      <c r="E80" s="1179">
        <f t="shared" si="25"/>
        <v>0</v>
      </c>
      <c r="F80" s="1179">
        <f t="shared" si="25"/>
        <v>0</v>
      </c>
      <c r="G80" s="1179">
        <f t="shared" si="25"/>
        <v>0</v>
      </c>
      <c r="H80" s="1179">
        <f t="shared" si="25"/>
        <v>0</v>
      </c>
      <c r="I80" s="1179">
        <f t="shared" si="25"/>
        <v>0</v>
      </c>
      <c r="J80" s="1183">
        <f t="shared" si="27"/>
        <v>0</v>
      </c>
      <c r="K80" s="1179">
        <f t="shared" ref="K80:P80" si="35">K33-D80+R33</f>
        <v>0</v>
      </c>
      <c r="L80" s="725">
        <f t="shared" si="35"/>
        <v>0</v>
      </c>
      <c r="M80" s="1180">
        <f t="shared" si="35"/>
        <v>0</v>
      </c>
      <c r="N80" s="1180">
        <f t="shared" si="35"/>
        <v>0</v>
      </c>
      <c r="O80" s="1184">
        <f t="shared" si="35"/>
        <v>0</v>
      </c>
      <c r="P80" s="1210">
        <f t="shared" si="35"/>
        <v>0</v>
      </c>
      <c r="Q80" s="473"/>
      <c r="R80" s="473"/>
      <c r="S80" s="473"/>
      <c r="T80" s="473"/>
      <c r="U80" s="473"/>
      <c r="V80" s="473"/>
      <c r="W80" s="473"/>
      <c r="X80" s="473"/>
      <c r="Y80" s="473"/>
      <c r="Z80" s="473"/>
      <c r="AA80" s="473"/>
      <c r="AB80" s="473"/>
      <c r="AC80" s="473"/>
      <c r="AD80" s="473"/>
      <c r="AE80" s="473"/>
      <c r="AF80" s="473"/>
      <c r="AG80" s="473"/>
      <c r="AH80" s="473"/>
      <c r="AI80" s="473"/>
      <c r="AJ80" s="473"/>
      <c r="AK80" s="473"/>
      <c r="AL80" s="473"/>
      <c r="AM80" s="473"/>
      <c r="AN80" s="473"/>
      <c r="AO80" s="473"/>
      <c r="AP80" s="473"/>
      <c r="AQ80" s="473"/>
      <c r="AR80" s="473"/>
      <c r="AS80" s="473"/>
      <c r="AT80" s="473"/>
      <c r="AU80" s="473"/>
    </row>
    <row r="81" spans="1:47" s="742" customFormat="1" ht="17.25" customHeight="1">
      <c r="A81" s="473">
        <v>10</v>
      </c>
      <c r="B81" s="1182" t="str">
        <f>'8.项目规划指标表'!B14</f>
        <v>自持物业</v>
      </c>
      <c r="C81" s="1183">
        <f t="shared" si="24"/>
        <v>0</v>
      </c>
      <c r="D81" s="1179">
        <f t="shared" si="25"/>
        <v>0</v>
      </c>
      <c r="E81" s="1179">
        <f t="shared" si="25"/>
        <v>0</v>
      </c>
      <c r="F81" s="1179">
        <f t="shared" si="25"/>
        <v>0</v>
      </c>
      <c r="G81" s="1179">
        <f t="shared" si="25"/>
        <v>0</v>
      </c>
      <c r="H81" s="1179">
        <f t="shared" si="25"/>
        <v>0</v>
      </c>
      <c r="I81" s="1179">
        <f t="shared" si="25"/>
        <v>0</v>
      </c>
      <c r="J81" s="1183">
        <f t="shared" si="27"/>
        <v>0</v>
      </c>
      <c r="K81" s="1179">
        <f>K34-D81+R34</f>
        <v>0</v>
      </c>
      <c r="L81" s="725">
        <f t="shared" ref="L81:P81" si="36">L34-E81+S34</f>
        <v>0</v>
      </c>
      <c r="M81" s="1180">
        <f t="shared" si="36"/>
        <v>0</v>
      </c>
      <c r="N81" s="1180">
        <f t="shared" si="36"/>
        <v>0</v>
      </c>
      <c r="O81" s="1184">
        <f t="shared" si="36"/>
        <v>0</v>
      </c>
      <c r="P81" s="1210">
        <f t="shared" si="36"/>
        <v>0</v>
      </c>
      <c r="Q81" s="473"/>
      <c r="R81" s="473"/>
      <c r="S81" s="473"/>
      <c r="T81" s="473"/>
      <c r="U81" s="473"/>
      <c r="V81" s="473"/>
      <c r="W81" s="473"/>
      <c r="X81" s="473"/>
      <c r="Y81" s="473"/>
      <c r="Z81" s="473"/>
      <c r="AA81" s="473"/>
      <c r="AB81" s="473"/>
      <c r="AC81" s="473"/>
      <c r="AD81" s="473"/>
      <c r="AE81" s="473"/>
      <c r="AF81" s="473"/>
      <c r="AG81" s="473"/>
      <c r="AH81" s="473"/>
      <c r="AI81" s="473"/>
      <c r="AJ81" s="473"/>
      <c r="AK81" s="473"/>
      <c r="AL81" s="473"/>
      <c r="AM81" s="473"/>
      <c r="AN81" s="473"/>
      <c r="AO81" s="473"/>
      <c r="AP81" s="473"/>
      <c r="AQ81" s="473"/>
      <c r="AR81" s="473"/>
      <c r="AS81" s="473"/>
      <c r="AT81" s="473"/>
      <c r="AU81" s="473"/>
    </row>
    <row r="82" spans="1:47" s="742" customFormat="1" ht="17.25" customHeight="1">
      <c r="A82" s="473"/>
      <c r="B82" s="1204" t="s">
        <v>251</v>
      </c>
      <c r="C82" s="1205">
        <f t="shared" ref="C82:P82" si="37">SUM(C72:C81)</f>
        <v>728.43518181818172</v>
      </c>
      <c r="D82" s="1194">
        <f t="shared" si="37"/>
        <v>728.43518181818172</v>
      </c>
      <c r="E82" s="1195">
        <f t="shared" si="37"/>
        <v>0</v>
      </c>
      <c r="F82" s="1195">
        <f t="shared" si="37"/>
        <v>0</v>
      </c>
      <c r="G82" s="1195">
        <f t="shared" si="37"/>
        <v>0</v>
      </c>
      <c r="H82" s="1195">
        <f t="shared" si="37"/>
        <v>0</v>
      </c>
      <c r="I82" s="1213">
        <f t="shared" si="37"/>
        <v>0</v>
      </c>
      <c r="J82" s="1205">
        <f t="shared" si="37"/>
        <v>19731.676133147605</v>
      </c>
      <c r="K82" s="1206">
        <f t="shared" si="37"/>
        <v>19731.676133147605</v>
      </c>
      <c r="L82" s="1195">
        <f t="shared" si="37"/>
        <v>0</v>
      </c>
      <c r="M82" s="1195">
        <f t="shared" si="37"/>
        <v>0</v>
      </c>
      <c r="N82" s="1195">
        <f t="shared" si="37"/>
        <v>0</v>
      </c>
      <c r="O82" s="1195">
        <f t="shared" si="37"/>
        <v>0</v>
      </c>
      <c r="P82" s="1213">
        <f t="shared" si="37"/>
        <v>0</v>
      </c>
      <c r="Q82" s="473"/>
      <c r="R82" s="473"/>
      <c r="S82" s="473"/>
      <c r="T82" s="473"/>
      <c r="U82" s="473"/>
      <c r="V82" s="473"/>
      <c r="W82" s="473"/>
      <c r="X82" s="473"/>
      <c r="Y82" s="473"/>
      <c r="Z82" s="473"/>
      <c r="AA82" s="473"/>
      <c r="AB82" s="473"/>
      <c r="AC82" s="473"/>
      <c r="AD82" s="473"/>
      <c r="AE82" s="473"/>
      <c r="AF82" s="473"/>
      <c r="AG82" s="473"/>
      <c r="AH82" s="473"/>
      <c r="AI82" s="473"/>
      <c r="AJ82" s="473"/>
      <c r="AK82" s="473"/>
      <c r="AL82" s="473"/>
      <c r="AM82" s="473"/>
      <c r="AN82" s="473"/>
      <c r="AO82" s="473"/>
      <c r="AP82" s="473"/>
      <c r="AQ82" s="473"/>
      <c r="AR82" s="473"/>
      <c r="AS82" s="473"/>
      <c r="AT82" s="473"/>
      <c r="AU82" s="473"/>
    </row>
    <row r="83" spans="1:47" ht="16.5" customHeight="1">
      <c r="A83" s="78"/>
      <c r="B83" s="1196" t="s">
        <v>553</v>
      </c>
      <c r="C83" s="242">
        <f>C18/1.1*0.1-C82</f>
        <v>0</v>
      </c>
      <c r="D83" s="473"/>
      <c r="E83" s="78"/>
      <c r="F83" s="78"/>
      <c r="G83" s="78"/>
      <c r="H83" s="78"/>
      <c r="I83" s="78"/>
      <c r="J83" s="78"/>
      <c r="K83" s="78"/>
      <c r="L83" s="78"/>
      <c r="M83" s="78"/>
      <c r="N83" s="473">
        <f>N82+'13.建安成本表'!N213</f>
        <v>0</v>
      </c>
      <c r="O83" s="78"/>
      <c r="P83" s="78"/>
      <c r="Q83" s="78"/>
      <c r="R83" s="78"/>
      <c r="S83" s="78"/>
      <c r="T83" s="78"/>
      <c r="U83" s="78"/>
      <c r="V83" s="78"/>
      <c r="W83" s="78"/>
      <c r="X83" s="78"/>
      <c r="Y83" s="78"/>
      <c r="Z83" s="78"/>
      <c r="AA83" s="78"/>
      <c r="AB83" s="78"/>
      <c r="AC83" s="78"/>
      <c r="AD83" s="78"/>
      <c r="AE83" s="78"/>
      <c r="AF83" s="78"/>
      <c r="AG83" s="78"/>
      <c r="AH83" s="78"/>
      <c r="AI83" s="78"/>
      <c r="AJ83" s="78"/>
      <c r="AK83" s="78"/>
      <c r="AL83" s="78"/>
      <c r="AM83" s="78"/>
      <c r="AN83" s="78"/>
      <c r="AO83" s="78"/>
      <c r="AP83" s="78"/>
      <c r="AQ83" s="78"/>
      <c r="AR83" s="78"/>
      <c r="AS83" s="78"/>
      <c r="AT83" s="78"/>
      <c r="AU83" s="78"/>
    </row>
    <row r="84" spans="1:47">
      <c r="A84" s="78"/>
      <c r="B84" s="78"/>
      <c r="C84" s="78"/>
      <c r="D84" s="78"/>
      <c r="E84" s="78"/>
      <c r="F84" s="78"/>
      <c r="G84" s="78"/>
      <c r="H84" s="78"/>
      <c r="I84" s="78"/>
      <c r="J84" s="78"/>
      <c r="K84" s="78"/>
      <c r="L84" s="78"/>
      <c r="M84" s="78"/>
      <c r="N84" s="78"/>
      <c r="O84" s="78"/>
      <c r="P84" s="78"/>
      <c r="Q84" s="78"/>
      <c r="R84" s="78"/>
      <c r="S84" s="78"/>
      <c r="T84" s="78"/>
      <c r="U84" s="78"/>
      <c r="V84" s="78"/>
      <c r="W84" s="78"/>
      <c r="X84" s="78"/>
      <c r="Y84" s="78"/>
      <c r="Z84" s="78"/>
      <c r="AA84" s="78"/>
      <c r="AB84" s="78"/>
      <c r="AC84" s="78"/>
      <c r="AD84" s="78"/>
      <c r="AE84" s="78"/>
      <c r="AF84" s="78"/>
      <c r="AG84" s="78"/>
      <c r="AH84" s="78"/>
      <c r="AI84" s="78"/>
      <c r="AJ84" s="78"/>
      <c r="AK84" s="78"/>
      <c r="AL84" s="78"/>
      <c r="AM84" s="78"/>
      <c r="AN84" s="78"/>
      <c r="AO84" s="78"/>
      <c r="AP84" s="78"/>
      <c r="AQ84" s="78"/>
      <c r="AR84" s="78"/>
      <c r="AS84" s="78"/>
      <c r="AT84" s="78"/>
      <c r="AU84" s="78"/>
    </row>
    <row r="85" spans="1:47" ht="18" customHeight="1">
      <c r="A85" s="78"/>
      <c r="B85" s="82" t="s">
        <v>563</v>
      </c>
      <c r="C85" s="78"/>
      <c r="D85" s="1848" t="s">
        <v>564</v>
      </c>
      <c r="E85" s="1848"/>
      <c r="F85" s="1848"/>
      <c r="G85" s="1848"/>
      <c r="H85" s="1848"/>
      <c r="I85" s="1849"/>
      <c r="J85" s="78"/>
      <c r="K85" s="1848" t="s">
        <v>163</v>
      </c>
      <c r="L85" s="1848"/>
      <c r="M85" s="1848"/>
      <c r="N85" s="1848"/>
      <c r="O85" s="1848"/>
      <c r="P85" s="1849"/>
      <c r="Q85" s="78"/>
      <c r="R85" s="78"/>
      <c r="S85" s="78"/>
      <c r="T85" s="78"/>
      <c r="U85" s="78"/>
      <c r="V85" s="78"/>
      <c r="W85" s="78"/>
      <c r="X85" s="78"/>
      <c r="Y85" s="78"/>
      <c r="Z85" s="78"/>
      <c r="AA85" s="78"/>
      <c r="AB85" s="78"/>
      <c r="AC85" s="78"/>
      <c r="AD85" s="78"/>
      <c r="AE85" s="78"/>
      <c r="AF85" s="78"/>
      <c r="AG85" s="78"/>
      <c r="AH85" s="78"/>
      <c r="AI85" s="78"/>
      <c r="AJ85" s="78"/>
      <c r="AK85" s="78"/>
      <c r="AL85" s="78"/>
      <c r="AM85" s="78"/>
      <c r="AN85" s="78"/>
      <c r="AO85" s="78"/>
      <c r="AP85" s="78"/>
      <c r="AQ85" s="78"/>
      <c r="AR85" s="78"/>
      <c r="AS85" s="78"/>
      <c r="AT85" s="78"/>
      <c r="AU85" s="78"/>
    </row>
    <row r="86" spans="1:47" ht="13.5" customHeight="1">
      <c r="B86" s="414"/>
      <c r="C86" s="421" t="s">
        <v>251</v>
      </c>
      <c r="D86" s="415" t="str">
        <f t="shared" ref="D86:I86" si="38">D71</f>
        <v>一期</v>
      </c>
      <c r="E86" s="415" t="str">
        <f t="shared" si="38"/>
        <v>二期</v>
      </c>
      <c r="F86" s="415" t="str">
        <f t="shared" si="38"/>
        <v>三期</v>
      </c>
      <c r="G86" s="415" t="str">
        <f t="shared" si="38"/>
        <v>四期</v>
      </c>
      <c r="H86" s="415" t="str">
        <f t="shared" si="38"/>
        <v>五期</v>
      </c>
      <c r="I86" s="1225" t="str">
        <f t="shared" si="38"/>
        <v>六期</v>
      </c>
      <c r="J86" s="1225" t="s">
        <v>251</v>
      </c>
      <c r="K86" s="1225" t="str">
        <f>K71</f>
        <v>一期</v>
      </c>
      <c r="L86" s="1225" t="str">
        <f t="shared" ref="L86:P86" si="39">L71</f>
        <v>二期</v>
      </c>
      <c r="M86" s="1225" t="str">
        <f t="shared" si="39"/>
        <v>三期</v>
      </c>
      <c r="N86" s="1225" t="str">
        <f t="shared" si="39"/>
        <v>四期</v>
      </c>
      <c r="O86" s="1225" t="str">
        <f t="shared" si="39"/>
        <v>五期</v>
      </c>
      <c r="P86" s="1225" t="str">
        <f t="shared" si="39"/>
        <v>六期</v>
      </c>
    </row>
    <row r="87" spans="1:47">
      <c r="A87" s="77">
        <v>1</v>
      </c>
      <c r="B87" s="416" t="str">
        <f>B72</f>
        <v>高层</v>
      </c>
      <c r="C87" s="725">
        <f>D87+E87+F87+G87+H87+I87</f>
        <v>0</v>
      </c>
      <c r="D87" s="725">
        <f>IF('8.项目规划指标表'!$J5&lt;&gt;0,D72+K72,0)</f>
        <v>0</v>
      </c>
      <c r="E87" s="725">
        <f>IF('8.项目规划指标表'!$N5&lt;&gt;0,E72+L72,0)</f>
        <v>0</v>
      </c>
      <c r="F87" s="725">
        <f>IF('8.项目规划指标表'!$R5&lt;&gt;0,F72+M72,0)</f>
        <v>0</v>
      </c>
      <c r="G87" s="725">
        <f>IF('8.项目规划指标表'!$V5&lt;&gt;0,G72+N72,0)</f>
        <v>0</v>
      </c>
      <c r="H87" s="725">
        <f>IF('8.项目规划指标表'!$Z5&lt;&gt;0,H72+O72,0)</f>
        <v>0</v>
      </c>
      <c r="I87" s="1181">
        <f>IF('8.项目规划指标表'!$AD5&lt;&gt;0,I72+P72,0)</f>
        <v>0</v>
      </c>
      <c r="J87" s="725"/>
      <c r="K87" s="725"/>
      <c r="L87" s="725"/>
      <c r="M87" s="725"/>
      <c r="N87" s="725"/>
      <c r="O87" s="725"/>
      <c r="P87" s="725"/>
    </row>
    <row r="88" spans="1:47">
      <c r="A88" s="77">
        <v>2</v>
      </c>
      <c r="B88" s="416" t="str">
        <f>B73</f>
        <v>商铺</v>
      </c>
      <c r="C88" s="725">
        <f t="shared" ref="C88:C96" si="40">D88+E88+F88+G88+H88+I88</f>
        <v>0</v>
      </c>
      <c r="D88" s="725">
        <f>IF('8.项目规划指标表'!$J6&lt;&gt;0,D73+K73,0)</f>
        <v>0</v>
      </c>
      <c r="E88" s="725">
        <f>IF('8.项目规划指标表'!$N6&lt;&gt;0,E73+L73,0)</f>
        <v>0</v>
      </c>
      <c r="F88" s="725">
        <f>IF('8.项目规划指标表'!$R6&lt;&gt;0,F73+M73,0)</f>
        <v>0</v>
      </c>
      <c r="G88" s="725">
        <f>IF('8.项目规划指标表'!$V6&lt;&gt;0,G73+N73,0)</f>
        <v>0</v>
      </c>
      <c r="H88" s="725">
        <f>IF('8.项目规划指标表'!$Z6&lt;&gt;0,H73+O73,0)</f>
        <v>0</v>
      </c>
      <c r="I88" s="1181">
        <f>IF('8.项目规划指标表'!$AD6&lt;&gt;0,I73+P73,0)</f>
        <v>0</v>
      </c>
      <c r="J88" s="725"/>
      <c r="K88" s="725"/>
      <c r="L88" s="725"/>
      <c r="M88" s="725"/>
      <c r="N88" s="725"/>
      <c r="O88" s="725"/>
      <c r="P88" s="725"/>
    </row>
    <row r="89" spans="1:47">
      <c r="A89" s="77">
        <v>3</v>
      </c>
      <c r="B89" s="416" t="str">
        <f t="shared" ref="B89:B96" si="41">B74</f>
        <v>回迁商业</v>
      </c>
      <c r="C89" s="725">
        <f t="shared" si="40"/>
        <v>0</v>
      </c>
      <c r="D89" s="725">
        <f>IF('8.项目规划指标表'!$J7&lt;&gt;0,D74+K74,0)</f>
        <v>0</v>
      </c>
      <c r="E89" s="725">
        <f>IF('8.项目规划指标表'!$N7&lt;&gt;0,E74+L74,0)</f>
        <v>0</v>
      </c>
      <c r="F89" s="725">
        <f>IF('8.项目规划指标表'!$R7&lt;&gt;0,F74+M74,0)</f>
        <v>0</v>
      </c>
      <c r="G89" s="725">
        <f>IF('8.项目规划指标表'!$V7&lt;&gt;0,G74+N74,0)</f>
        <v>0</v>
      </c>
      <c r="H89" s="725">
        <f>IF('8.项目规划指标表'!$Z7&lt;&gt;0,H74+O74,0)</f>
        <v>0</v>
      </c>
      <c r="I89" s="1181">
        <f>IF('8.项目规划指标表'!$AD7&lt;&gt;0,I74+P74,0)</f>
        <v>0</v>
      </c>
      <c r="J89" s="725"/>
      <c r="K89" s="725"/>
      <c r="L89" s="725"/>
      <c r="M89" s="725"/>
      <c r="N89" s="725"/>
      <c r="O89" s="725"/>
      <c r="P89" s="725"/>
    </row>
    <row r="90" spans="1:47">
      <c r="A90" s="77">
        <v>4</v>
      </c>
      <c r="B90" s="416">
        <f t="shared" si="41"/>
        <v>0</v>
      </c>
      <c r="C90" s="725">
        <f t="shared" si="40"/>
        <v>0</v>
      </c>
      <c r="D90" s="725">
        <f>IF('8.项目规划指标表'!$J8&lt;&gt;0,D75+K75,0)</f>
        <v>0</v>
      </c>
      <c r="E90" s="725">
        <f>IF('8.项目规划指标表'!$N8&lt;&gt;0,E75+L75,0)</f>
        <v>0</v>
      </c>
      <c r="F90" s="725">
        <f>IF('8.项目规划指标表'!$R8&lt;&gt;0,F75+M75,0)</f>
        <v>0</v>
      </c>
      <c r="G90" s="725">
        <f>IF('8.项目规划指标表'!$V8&lt;&gt;0,G75+N75,0)</f>
        <v>0</v>
      </c>
      <c r="H90" s="725">
        <f>IF('8.项目规划指标表'!$Z8&lt;&gt;0,H75+O75,0)</f>
        <v>0</v>
      </c>
      <c r="I90" s="1181">
        <f>IF('8.项目规划指标表'!$AD8&lt;&gt;0,I75+P75,0)</f>
        <v>0</v>
      </c>
      <c r="J90" s="725"/>
      <c r="K90" s="725"/>
      <c r="L90" s="725"/>
      <c r="M90" s="725"/>
      <c r="N90" s="725"/>
      <c r="O90" s="725"/>
      <c r="P90" s="725"/>
    </row>
    <row r="91" spans="1:47">
      <c r="A91" s="77">
        <v>5</v>
      </c>
      <c r="B91" s="416">
        <f t="shared" si="41"/>
        <v>0</v>
      </c>
      <c r="C91" s="725">
        <f t="shared" si="40"/>
        <v>0</v>
      </c>
      <c r="D91" s="725">
        <f>IF('8.项目规划指标表'!$J9&lt;&gt;0,D76+K76,0)</f>
        <v>0</v>
      </c>
      <c r="E91" s="725">
        <f>IF('8.项目规划指标表'!$N9&lt;&gt;0,E76+L76,0)</f>
        <v>0</v>
      </c>
      <c r="F91" s="725">
        <f>IF('8.项目规划指标表'!$R9&lt;&gt;0,F76+M76,0)</f>
        <v>0</v>
      </c>
      <c r="G91" s="725">
        <f>IF('8.项目规划指标表'!$V9&lt;&gt;0,G76+N76,0)</f>
        <v>0</v>
      </c>
      <c r="H91" s="725">
        <f>IF('8.项目规划指标表'!$Z9&lt;&gt;0,H76+O76,0)</f>
        <v>0</v>
      </c>
      <c r="I91" s="1181">
        <f>IF('8.项目规划指标表'!$AD9&lt;&gt;0,I76+P76,0)</f>
        <v>0</v>
      </c>
      <c r="J91" s="725"/>
      <c r="K91" s="725"/>
      <c r="L91" s="725"/>
      <c r="M91" s="725"/>
      <c r="N91" s="725"/>
      <c r="O91" s="725"/>
      <c r="P91" s="725"/>
    </row>
    <row r="92" spans="1:47">
      <c r="A92" s="77">
        <v>6</v>
      </c>
      <c r="B92" s="416">
        <f t="shared" si="41"/>
        <v>0</v>
      </c>
      <c r="C92" s="725">
        <f t="shared" si="40"/>
        <v>0</v>
      </c>
      <c r="D92" s="725">
        <f>IF('8.项目规划指标表'!$J10&lt;&gt;0,D77+K77,0)</f>
        <v>0</v>
      </c>
      <c r="E92" s="725">
        <f>IF('8.项目规划指标表'!$N10&lt;&gt;0,E77+L77,0)</f>
        <v>0</v>
      </c>
      <c r="F92" s="725">
        <f>IF('8.项目规划指标表'!$R10&lt;&gt;0,F77+M77,0)</f>
        <v>0</v>
      </c>
      <c r="G92" s="725">
        <f>IF('8.项目规划指标表'!$V10&lt;&gt;0,G77+N77,0)</f>
        <v>0</v>
      </c>
      <c r="H92" s="725">
        <f>IF('8.项目规划指标表'!$Z10&lt;&gt;0,H77+O77,0)</f>
        <v>0</v>
      </c>
      <c r="I92" s="1181">
        <f>IF('8.项目规划指标表'!$AD10&lt;&gt;0,I77+P77,0)</f>
        <v>0</v>
      </c>
      <c r="J92" s="725"/>
      <c r="K92" s="725"/>
      <c r="L92" s="725"/>
      <c r="M92" s="725"/>
      <c r="N92" s="725"/>
      <c r="O92" s="725"/>
      <c r="P92" s="725"/>
    </row>
    <row r="93" spans="1:47">
      <c r="A93" s="77">
        <v>7</v>
      </c>
      <c r="B93" s="416">
        <f t="shared" si="41"/>
        <v>0</v>
      </c>
      <c r="C93" s="725">
        <f t="shared" si="40"/>
        <v>0</v>
      </c>
      <c r="D93" s="725">
        <f>IF('8.项目规划指标表'!$J11&lt;&gt;0,D78+K78,0)</f>
        <v>0</v>
      </c>
      <c r="E93" s="725">
        <f>IF('8.项目规划指标表'!$N11&lt;&gt;0,E78+L78,0)</f>
        <v>0</v>
      </c>
      <c r="F93" s="725">
        <f>IF('8.项目规划指标表'!$R11&lt;&gt;0,F78+M78,0)</f>
        <v>0</v>
      </c>
      <c r="G93" s="725">
        <f>IF('8.项目规划指标表'!$V11&lt;&gt;0,G78+N78,0)</f>
        <v>0</v>
      </c>
      <c r="H93" s="725">
        <f>IF('8.项目规划指标表'!$Z11&lt;&gt;0,H78+O78,0)</f>
        <v>0</v>
      </c>
      <c r="I93" s="1181">
        <f>IF('8.项目规划指标表'!$AD11&lt;&gt;0,I78+P78,0)</f>
        <v>0</v>
      </c>
      <c r="J93" s="725"/>
      <c r="K93" s="725"/>
      <c r="L93" s="725"/>
      <c r="M93" s="725"/>
      <c r="N93" s="725"/>
      <c r="O93" s="725"/>
      <c r="P93" s="725"/>
    </row>
    <row r="94" spans="1:47">
      <c r="A94" s="77">
        <v>8</v>
      </c>
      <c r="B94" s="416">
        <f t="shared" si="41"/>
        <v>0</v>
      </c>
      <c r="C94" s="725">
        <f t="shared" si="40"/>
        <v>0</v>
      </c>
      <c r="D94" s="725">
        <f>IF('8.项目规划指标表'!$J12&lt;&gt;0,D79+K79,0)</f>
        <v>0</v>
      </c>
      <c r="E94" s="725">
        <f>IF('8.项目规划指标表'!$N12&lt;&gt;0,E79+L79,0)</f>
        <v>0</v>
      </c>
      <c r="F94" s="725">
        <f>IF('8.项目规划指标表'!$R12&lt;&gt;0,F79+M79,0)</f>
        <v>0</v>
      </c>
      <c r="G94" s="725">
        <f>IF('8.项目规划指标表'!$V12&lt;&gt;0,G79+N79,0)</f>
        <v>0</v>
      </c>
      <c r="H94" s="725">
        <f>IF('8.项目规划指标表'!$Z12&lt;&gt;0,H79+O79,0)</f>
        <v>0</v>
      </c>
      <c r="I94" s="1181">
        <f>IF('8.项目规划指标表'!$AD12&lt;&gt;0,I79+P79,0)</f>
        <v>0</v>
      </c>
      <c r="J94" s="725"/>
      <c r="K94" s="725"/>
      <c r="L94" s="725"/>
      <c r="M94" s="725"/>
      <c r="N94" s="725"/>
      <c r="O94" s="725"/>
      <c r="P94" s="725"/>
    </row>
    <row r="95" spans="1:47">
      <c r="A95" s="77">
        <v>9</v>
      </c>
      <c r="B95" s="416">
        <f t="shared" si="41"/>
        <v>0</v>
      </c>
      <c r="C95" s="725">
        <f t="shared" si="40"/>
        <v>0</v>
      </c>
      <c r="D95" s="725">
        <f>IF('8.项目规划指标表'!$J13&lt;&gt;0,D80+K80,0)</f>
        <v>0</v>
      </c>
      <c r="E95" s="725">
        <f>IF('8.项目规划指标表'!$N13&lt;&gt;0,E80+L80,0)</f>
        <v>0</v>
      </c>
      <c r="F95" s="725">
        <f>IF('8.项目规划指标表'!$R13&lt;&gt;0,F80+M80,0)</f>
        <v>0</v>
      </c>
      <c r="G95" s="725">
        <f>IF('8.项目规划指标表'!$V13&lt;&gt;0,G80+N80,0)</f>
        <v>0</v>
      </c>
      <c r="H95" s="725">
        <f>IF('8.项目规划指标表'!$Z13&lt;&gt;0,H80+O80,0)</f>
        <v>0</v>
      </c>
      <c r="I95" s="1181">
        <f>IF('8.项目规划指标表'!$AD13&lt;&gt;0,I80+P80,0)</f>
        <v>0</v>
      </c>
      <c r="J95" s="725"/>
      <c r="K95" s="725"/>
      <c r="L95" s="725"/>
      <c r="M95" s="725"/>
      <c r="N95" s="725"/>
      <c r="O95" s="725"/>
      <c r="P95" s="725"/>
    </row>
    <row r="96" spans="1:47">
      <c r="A96" s="77">
        <v>10</v>
      </c>
      <c r="B96" s="416" t="str">
        <f t="shared" si="41"/>
        <v>自持物业</v>
      </c>
      <c r="C96" s="725">
        <f t="shared" si="40"/>
        <v>0</v>
      </c>
      <c r="D96" s="725">
        <f t="shared" ref="D96:I96" si="42">D81+K81</f>
        <v>0</v>
      </c>
      <c r="E96" s="725">
        <f t="shared" si="42"/>
        <v>0</v>
      </c>
      <c r="F96" s="725">
        <f t="shared" si="42"/>
        <v>0</v>
      </c>
      <c r="G96" s="725">
        <f t="shared" si="42"/>
        <v>0</v>
      </c>
      <c r="H96" s="725">
        <f t="shared" si="42"/>
        <v>0</v>
      </c>
      <c r="I96" s="1181">
        <f t="shared" si="42"/>
        <v>0</v>
      </c>
      <c r="J96" s="725"/>
      <c r="K96" s="725">
        <f t="shared" ref="K96:P96" si="43">R34</f>
        <v>0</v>
      </c>
      <c r="L96" s="725">
        <f t="shared" si="43"/>
        <v>0</v>
      </c>
      <c r="M96" s="725">
        <f t="shared" si="43"/>
        <v>0</v>
      </c>
      <c r="N96" s="725">
        <f t="shared" si="43"/>
        <v>0</v>
      </c>
      <c r="O96" s="725">
        <f t="shared" si="43"/>
        <v>0</v>
      </c>
      <c r="P96" s="725">
        <f t="shared" si="43"/>
        <v>0</v>
      </c>
    </row>
    <row r="97" spans="1:16">
      <c r="A97" s="77">
        <v>11</v>
      </c>
      <c r="B97" s="1224" t="s">
        <v>565</v>
      </c>
      <c r="C97" s="90"/>
      <c r="D97" s="90"/>
      <c r="E97" s="90"/>
      <c r="F97" s="90"/>
      <c r="G97" s="90"/>
      <c r="H97" s="90"/>
      <c r="I97" s="1226"/>
      <c r="J97" s="725"/>
      <c r="K97" s="725"/>
      <c r="L97" s="725"/>
      <c r="M97" s="725"/>
      <c r="N97" s="725"/>
      <c r="O97" s="725"/>
      <c r="P97" s="725"/>
    </row>
    <row r="98" spans="1:16">
      <c r="A98" s="77">
        <v>12</v>
      </c>
      <c r="B98" s="1224" t="s">
        <v>566</v>
      </c>
      <c r="C98" s="90"/>
      <c r="D98" s="90"/>
      <c r="E98" s="90"/>
      <c r="F98" s="90"/>
      <c r="G98" s="90"/>
      <c r="H98" s="90"/>
      <c r="I98" s="1226"/>
      <c r="J98" s="725"/>
      <c r="K98" s="725"/>
      <c r="L98" s="725"/>
      <c r="M98" s="725"/>
      <c r="N98" s="725"/>
      <c r="O98" s="725"/>
      <c r="P98" s="725"/>
    </row>
    <row r="99" spans="1:16">
      <c r="B99" s="735" t="str">
        <f>B82</f>
        <v>合计</v>
      </c>
      <c r="C99" s="725">
        <f>D99+E99+F99+G99+H99+I99</f>
        <v>0</v>
      </c>
      <c r="D99" s="725">
        <f>SUM(D87:D98)</f>
        <v>0</v>
      </c>
      <c r="E99" s="725">
        <f t="shared" ref="E99:I99" si="44">SUM(E87:E98)</f>
        <v>0</v>
      </c>
      <c r="F99" s="725">
        <f t="shared" si="44"/>
        <v>0</v>
      </c>
      <c r="G99" s="725">
        <f t="shared" si="44"/>
        <v>0</v>
      </c>
      <c r="H99" s="725">
        <f t="shared" si="44"/>
        <v>0</v>
      </c>
      <c r="I99" s="1181">
        <f t="shared" si="44"/>
        <v>0</v>
      </c>
      <c r="J99" s="725"/>
      <c r="K99" s="725"/>
      <c r="L99" s="725"/>
      <c r="M99" s="725"/>
      <c r="N99" s="725"/>
      <c r="O99" s="725"/>
      <c r="P99" s="725"/>
    </row>
  </sheetData>
  <sheetProtection formatCells="0" formatColumns="0" formatRows="0" autoFilter="0"/>
  <protectedRanges>
    <protectedRange sqref="C18:C19 D6:AU15" name="区域1"/>
  </protectedRanges>
  <mergeCells count="29">
    <mergeCell ref="D85:I85"/>
    <mergeCell ref="K85:P85"/>
    <mergeCell ref="B4:B5"/>
    <mergeCell ref="B23:B24"/>
    <mergeCell ref="B40:B41"/>
    <mergeCell ref="B55:B56"/>
    <mergeCell ref="B70:B71"/>
    <mergeCell ref="C4:C5"/>
    <mergeCell ref="D40:I40"/>
    <mergeCell ref="K40:P40"/>
    <mergeCell ref="D55:I55"/>
    <mergeCell ref="K55:P55"/>
    <mergeCell ref="D70:I70"/>
    <mergeCell ref="K70:P70"/>
    <mergeCell ref="AN4:AQ4"/>
    <mergeCell ref="AR4:AU4"/>
    <mergeCell ref="D23:I23"/>
    <mergeCell ref="K23:P23"/>
    <mergeCell ref="R23:W23"/>
    <mergeCell ref="T4:W4"/>
    <mergeCell ref="X4:AA4"/>
    <mergeCell ref="AB4:AE4"/>
    <mergeCell ref="AF4:AI4"/>
    <mergeCell ref="AJ4:AM4"/>
    <mergeCell ref="A1:B1"/>
    <mergeCell ref="D4:G4"/>
    <mergeCell ref="H4:K4"/>
    <mergeCell ref="L4:O4"/>
    <mergeCell ref="P4:S4"/>
  </mergeCells>
  <phoneticPr fontId="102" type="noConversion"/>
  <pageMargins left="0.69930555555555596" right="0.69930555555555596" top="0.75" bottom="0.75" header="0.3" footer="0.3"/>
  <pageSetup paperSize="9" orientation="portrait" horizontalDpi="300" verticalDpi="300"/>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summaryRight="0"/>
  </sheetPr>
  <dimension ref="A1:CN33"/>
  <sheetViews>
    <sheetView showGridLines="0" workbookViewId="0">
      <pane xSplit="2" ySplit="5" topLeftCell="O12" activePane="bottomRight" state="frozen"/>
      <selection pane="topRight"/>
      <selection pane="bottomLeft"/>
      <selection pane="bottomRight" activeCell="P6" sqref="P6:AA6"/>
    </sheetView>
  </sheetViews>
  <sheetFormatPr defaultColWidth="9" defaultRowHeight="12.75" outlineLevelRow="1" outlineLevelCol="1"/>
  <cols>
    <col min="1" max="1" width="14.875" style="77" customWidth="1"/>
    <col min="2" max="2" width="9.625" style="77" customWidth="1"/>
    <col min="3" max="14" width="9.125" style="77" customWidth="1" outlineLevel="1"/>
    <col min="15" max="15" width="9" style="77"/>
    <col min="16" max="27" width="9" style="77" customWidth="1" outlineLevel="1"/>
    <col min="28" max="28" width="9" style="77"/>
    <col min="29" max="40" width="9" style="77" customWidth="1" outlineLevel="1"/>
    <col min="41" max="41" width="9" style="77"/>
    <col min="42" max="53" width="9" style="77" customWidth="1" outlineLevel="1"/>
    <col min="54" max="54" width="9" style="77"/>
    <col min="55" max="66" width="9" style="77" customWidth="1" outlineLevel="1"/>
    <col min="67" max="67" width="9" style="77"/>
    <col min="68" max="77" width="9" style="77" customWidth="1" outlineLevel="1"/>
    <col min="78" max="79" width="8.875" style="77" customWidth="1" outlineLevel="1"/>
    <col min="80" max="80" width="9" style="77"/>
    <col min="81" max="92" width="9" style="77" customWidth="1" outlineLevel="1"/>
    <col min="93" max="16384" width="9" style="77"/>
  </cols>
  <sheetData>
    <row r="1" spans="1:92" ht="88.5" customHeight="1">
      <c r="A1" s="1862" t="s">
        <v>567</v>
      </c>
      <c r="B1" s="1863"/>
      <c r="C1" s="1863"/>
      <c r="D1" s="1863"/>
      <c r="E1" s="1863"/>
      <c r="F1" s="1863"/>
      <c r="G1" s="1863"/>
      <c r="H1" s="1863"/>
      <c r="I1" s="1863"/>
      <c r="J1" s="1863"/>
      <c r="K1" s="1863"/>
      <c r="L1" s="1863"/>
      <c r="M1" s="1863"/>
      <c r="N1" s="1863"/>
      <c r="O1" s="1863"/>
      <c r="P1" s="1863"/>
      <c r="Q1" s="1863"/>
      <c r="R1" s="1863"/>
      <c r="S1" s="1863"/>
      <c r="T1" s="1863"/>
      <c r="U1" s="1863"/>
      <c r="V1" s="1863"/>
      <c r="W1" s="1863"/>
      <c r="X1" s="1863"/>
      <c r="Y1" s="1863"/>
      <c r="Z1" s="1863"/>
      <c r="AA1" s="1863"/>
    </row>
    <row r="2" spans="1:92">
      <c r="P2" s="870">
        <f ca="1">IFERROR(P3/'8.项目规划指标表'!$I5*10000,0)</f>
        <v>12282.165868023802</v>
      </c>
      <c r="Q2" s="870">
        <f ca="1">IFERROR(Q3/'8.项目规划指标表'!$I6*10000,0)</f>
        <v>67796.160217789351</v>
      </c>
      <c r="R2" s="870">
        <f ca="1">IFERROR(R3/'8.项目规划指标表'!$I7*10000,0)</f>
        <v>0</v>
      </c>
      <c r="S2" s="870">
        <f ca="1">IFERROR(S3/'8.项目规划指标表'!$I8*10000,0)</f>
        <v>0</v>
      </c>
      <c r="T2" s="870">
        <f ca="1">IFERROR(T3/'8.项目规划指标表'!$I9*10000,0)</f>
        <v>0</v>
      </c>
      <c r="U2" s="870">
        <f ca="1">IFERROR(U3/'8.项目规划指标表'!$I10*10000,0)</f>
        <v>0</v>
      </c>
      <c r="V2" s="870">
        <f ca="1">IFERROR(V3/'8.项目规划指标表'!$I11*10000,0)</f>
        <v>0</v>
      </c>
      <c r="W2" s="870">
        <f ca="1">IFERROR(W3/'8.项目规划指标表'!$I12*10000,0)</f>
        <v>0</v>
      </c>
      <c r="X2" s="870">
        <f ca="1">IFERROR(X3/'8.项目规划指标表'!$I13*10000,0)</f>
        <v>0</v>
      </c>
      <c r="Y2" s="870">
        <f>IFERROR(Y3/'8.项目规划指标表'!$I14*10000,0)</f>
        <v>0</v>
      </c>
      <c r="Z2" s="870">
        <f ca="1">IFERROR(Z3/'8.项目规划指标表'!$I18*10000,0)</f>
        <v>57054.964073432391</v>
      </c>
      <c r="AA2" s="870">
        <f ca="1">IFERROR(AA3/'8.项目规划指标表'!$I19*10000,0)</f>
        <v>0</v>
      </c>
      <c r="AB2" s="870"/>
      <c r="AC2" s="870">
        <f ca="1">IFERROR(AC3/'8.项目规划指标表'!$M5*10000,0)</f>
        <v>0</v>
      </c>
      <c r="AD2" s="870">
        <f ca="1">IFERROR(AD3/'8.项目规划指标表'!$M6*10000,0)</f>
        <v>0</v>
      </c>
      <c r="AE2" s="870">
        <f ca="1">IFERROR(AE3/'8.项目规划指标表'!$M7*10000,0)</f>
        <v>0</v>
      </c>
      <c r="AF2" s="870">
        <f ca="1">IFERROR(AF3/'8.项目规划指标表'!$M8*10000,0)</f>
        <v>0</v>
      </c>
      <c r="AG2" s="870">
        <f ca="1">IFERROR(AG3/'8.项目规划指标表'!$M9*10000,0)</f>
        <v>0</v>
      </c>
      <c r="AH2" s="870">
        <f ca="1">IFERROR(AH3/'8.项目规划指标表'!$M10*10000,0)</f>
        <v>0</v>
      </c>
      <c r="AI2" s="870">
        <f ca="1">IFERROR(AI3/'8.项目规划指标表'!$M11*10000,0)</f>
        <v>0</v>
      </c>
      <c r="AJ2" s="870">
        <f ca="1">IFERROR(AJ3/'8.项目规划指标表'!$M12*10000,0)</f>
        <v>0</v>
      </c>
      <c r="AK2" s="870">
        <f ca="1">IFERROR(AK3/'8.项目规划指标表'!$M13*10000,0)</f>
        <v>0</v>
      </c>
      <c r="AL2" s="870">
        <f ca="1">IFERROR(AL3/'8.项目规划指标表'!$M14*10000,0)</f>
        <v>0</v>
      </c>
      <c r="AM2" s="870">
        <f ca="1">IFERROR(AM3/'8.项目规划指标表'!$M18*10000,0)</f>
        <v>0</v>
      </c>
      <c r="AN2" s="870">
        <f ca="1">IFERROR(AN3/'8.项目规划指标表'!$M19*10000,0)</f>
        <v>0</v>
      </c>
      <c r="AO2" s="870"/>
      <c r="AP2" s="870">
        <f ca="1">IFERROR(AP3/'8.项目规划指标表'!$Q5*10000,0)</f>
        <v>0</v>
      </c>
      <c r="AQ2" s="870">
        <f ca="1">IFERROR(AQ3/'8.项目规划指标表'!$Q6*10000,0)</f>
        <v>0</v>
      </c>
      <c r="AR2" s="870">
        <f ca="1">IFERROR(AR3/'8.项目规划指标表'!$Q7*10000,0)</f>
        <v>0</v>
      </c>
      <c r="AS2" s="870">
        <f ca="1">IFERROR(AS3/'8.项目规划指标表'!$Q8*10000,0)</f>
        <v>0</v>
      </c>
      <c r="AT2" s="870">
        <f ca="1">IFERROR(AT3/'8.项目规划指标表'!$Q9*10000,0)</f>
        <v>0</v>
      </c>
      <c r="AU2" s="870">
        <f ca="1">IFERROR(AU3/'8.项目规划指标表'!$Q10*10000,0)</f>
        <v>0</v>
      </c>
      <c r="AV2" s="870">
        <f ca="1">IFERROR(AV3/'8.项目规划指标表'!$Q11*10000,0)</f>
        <v>0</v>
      </c>
      <c r="AW2" s="870">
        <f ca="1">IFERROR(AW3/'8.项目规划指标表'!$Q12*10000,0)</f>
        <v>0</v>
      </c>
      <c r="AX2" s="870">
        <f ca="1">IFERROR(AX3/'8.项目规划指标表'!$Q13*10000,0)</f>
        <v>0</v>
      </c>
      <c r="AY2" s="870">
        <f>IFERROR(AY3/'8.项目规划指标表'!$Q14*10000,0)</f>
        <v>0</v>
      </c>
      <c r="AZ2" s="870">
        <f ca="1">IFERROR(AZ3/'8.项目规划指标表'!$Q18*10000,0)</f>
        <v>0</v>
      </c>
      <c r="BA2" s="870">
        <f ca="1">IFERROR(BA3/'8.项目规划指标表'!$Q19*10000,0)</f>
        <v>0</v>
      </c>
      <c r="BB2" s="870"/>
      <c r="BC2" s="870">
        <f ca="1">IFERROR(BC3/'8.项目规划指标表'!$U5*10000,0)</f>
        <v>0</v>
      </c>
      <c r="BD2" s="870">
        <f ca="1">IFERROR(BD3/'8.项目规划指标表'!$U6*10000,0)</f>
        <v>0</v>
      </c>
      <c r="BE2" s="870">
        <f ca="1">IFERROR(BE3/'8.项目规划指标表'!$U7*10000,0)</f>
        <v>0</v>
      </c>
      <c r="BF2" s="870">
        <f ca="1">IFERROR(BF3/'8.项目规划指标表'!$U8*10000,0)</f>
        <v>0</v>
      </c>
      <c r="BG2" s="870">
        <f ca="1">IFERROR(BG3/'8.项目规划指标表'!$U9*10000,0)</f>
        <v>0</v>
      </c>
      <c r="BH2" s="870">
        <f ca="1">IFERROR(BH3/'8.项目规划指标表'!$U10*10000,0)</f>
        <v>0</v>
      </c>
      <c r="BI2" s="870">
        <f ca="1">IFERROR(BI3/'8.项目规划指标表'!$U11*10000,0)</f>
        <v>0</v>
      </c>
      <c r="BJ2" s="870">
        <f ca="1">IFERROR(BJ3/'8.项目规划指标表'!$U12*10000,0)</f>
        <v>0</v>
      </c>
      <c r="BK2" s="870">
        <f ca="1">IFERROR(BK3/'8.项目规划指标表'!$U13*10000,0)</f>
        <v>0</v>
      </c>
      <c r="BL2" s="870">
        <f>IFERROR(BL3/'8.项目规划指标表'!$U14*10000,0)</f>
        <v>0</v>
      </c>
      <c r="BM2" s="870">
        <f ca="1">IFERROR(BM3/'8.项目规划指标表'!$U18*10000,0)</f>
        <v>0</v>
      </c>
      <c r="BN2" s="870">
        <f ca="1">IFERROR(BN3/'8.项目规划指标表'!$U19*10000,0)</f>
        <v>0</v>
      </c>
      <c r="BO2" s="870"/>
      <c r="BP2" s="870">
        <f ca="1">IFERROR(BP3/'8.项目规划指标表'!$Y5*10000,0)</f>
        <v>0</v>
      </c>
      <c r="BQ2" s="870">
        <f ca="1">IFERROR(BQ3/'8.项目规划指标表'!$Y6*10000,0)</f>
        <v>0</v>
      </c>
      <c r="BR2" s="870">
        <f ca="1">IFERROR(BR3/'8.项目规划指标表'!$Y7*10000,0)</f>
        <v>0</v>
      </c>
      <c r="BS2" s="870">
        <f ca="1">IFERROR(BS3/'8.项目规划指标表'!$Y8*10000,0)</f>
        <v>0</v>
      </c>
      <c r="BT2" s="870">
        <f ca="1">IFERROR(BT3/'8.项目规划指标表'!$Y9*10000,0)</f>
        <v>0</v>
      </c>
      <c r="BU2" s="870">
        <f ca="1">IFERROR(BU3/'8.项目规划指标表'!$Y10*10000,0)</f>
        <v>0</v>
      </c>
      <c r="BV2" s="870">
        <f ca="1">IFERROR(BV3/'8.项目规划指标表'!$Y11*10000,0)</f>
        <v>0</v>
      </c>
      <c r="BW2" s="870">
        <f ca="1">IFERROR(BW3/'8.项目规划指标表'!$Y12*10000,0)</f>
        <v>0</v>
      </c>
      <c r="BX2" s="870">
        <f ca="1">IFERROR(BX3/'8.项目规划指标表'!$Y13*10000,0)</f>
        <v>0</v>
      </c>
      <c r="BY2" s="870">
        <f ca="1">IFERROR(BY3/'8.项目规划指标表'!$Y14*10000,0)</f>
        <v>0</v>
      </c>
      <c r="BZ2" s="870">
        <f ca="1">IFERROR(BZ3/'8.项目规划指标表'!$Y18*10000,0)</f>
        <v>0</v>
      </c>
      <c r="CA2" s="870">
        <f ca="1">IFERROR(CA3/'8.项目规划指标表'!$Y19*10000,0)</f>
        <v>0</v>
      </c>
      <c r="CB2" s="870"/>
      <c r="CC2" s="870">
        <f ca="1">IFERROR(CC3/'8.项目规划指标表'!$AC5*10000,0)</f>
        <v>0</v>
      </c>
      <c r="CD2" s="870">
        <f ca="1">IFERROR(CD3/'8.项目规划指标表'!$AC6*10000,0)</f>
        <v>0</v>
      </c>
      <c r="CE2" s="870">
        <f ca="1">IFERROR(CE3/'8.项目规划指标表'!$AC7*10000,0)</f>
        <v>0</v>
      </c>
      <c r="CF2" s="870">
        <f ca="1">IFERROR(CF3/'8.项目规划指标表'!$AC8*10000,0)</f>
        <v>0</v>
      </c>
      <c r="CG2" s="870">
        <f ca="1">IFERROR(CG3/'8.项目规划指标表'!$AC9*10000,0)</f>
        <v>0</v>
      </c>
      <c r="CH2" s="870">
        <f ca="1">IFERROR(CH3/'8.项目规划指标表'!$AC10*10000,0)</f>
        <v>0</v>
      </c>
      <c r="CI2" s="870">
        <f ca="1">IFERROR(CI3/'8.项目规划指标表'!$AC11*10000,0)</f>
        <v>0</v>
      </c>
      <c r="CJ2" s="870">
        <f ca="1">IFERROR(CJ3/'8.项目规划指标表'!$AC12*10000,0)</f>
        <v>0</v>
      </c>
      <c r="CK2" s="870">
        <f ca="1">IFERROR(CK3/'8.项目规划指标表'!$AC13*10000,0)</f>
        <v>0</v>
      </c>
      <c r="CL2" s="870">
        <f ca="1">IFERROR(CL3/'8.项目规划指标表'!$AC14*10000,0)</f>
        <v>0</v>
      </c>
      <c r="CM2" s="870">
        <f ca="1">IFERROR(CM3/'8.项目规划指标表'!$AC18*10000,0)</f>
        <v>0</v>
      </c>
      <c r="CN2" s="870">
        <f ca="1">IFERROR(CN3/'8.项目规划指标表'!$AC19*10000,0)</f>
        <v>0</v>
      </c>
    </row>
    <row r="3" spans="1:92" ht="14.25" customHeight="1">
      <c r="A3" s="81" t="s">
        <v>118</v>
      </c>
      <c r="B3" s="81"/>
      <c r="O3" s="1131" t="s">
        <v>568</v>
      </c>
      <c r="P3" s="823">
        <f ca="1">SUM(P7:P8,P10,P13:P19,P22/P21)</f>
        <v>68902.950519613529</v>
      </c>
      <c r="Q3" s="823">
        <f t="shared" ref="Q3:AA3" ca="1" si="0">SUM(Q7:Q8,Q10,Q13:Q19,Q22/Q21)</f>
        <v>24677.802319275324</v>
      </c>
      <c r="R3" s="823">
        <f t="shared" ca="1" si="0"/>
        <v>0</v>
      </c>
      <c r="S3" s="823">
        <f t="shared" ca="1" si="0"/>
        <v>0</v>
      </c>
      <c r="T3" s="823">
        <f t="shared" ca="1" si="0"/>
        <v>0</v>
      </c>
      <c r="U3" s="823">
        <f t="shared" ca="1" si="0"/>
        <v>0</v>
      </c>
      <c r="V3" s="823">
        <f t="shared" ca="1" si="0"/>
        <v>0</v>
      </c>
      <c r="W3" s="823">
        <f t="shared" ca="1" si="0"/>
        <v>0</v>
      </c>
      <c r="X3" s="823">
        <f t="shared" ca="1" si="0"/>
        <v>0</v>
      </c>
      <c r="Y3" s="823"/>
      <c r="Z3" s="823">
        <f t="shared" ca="1" si="0"/>
        <v>2407.7194838988471</v>
      </c>
      <c r="AA3" s="823">
        <f t="shared" ca="1" si="0"/>
        <v>0</v>
      </c>
      <c r="AC3" s="823">
        <f ca="1">SUM(AC7:AC8,AC10,AC13:AC19,AC22/AC21)</f>
        <v>0</v>
      </c>
      <c r="AD3" s="823">
        <f t="shared" ref="AD3:AN3" ca="1" si="1">SUM(AD7:AD8,AD10,AD13:AD19,AD22/AD21)</f>
        <v>0</v>
      </c>
      <c r="AE3" s="823">
        <f t="shared" ca="1" si="1"/>
        <v>0</v>
      </c>
      <c r="AF3" s="823">
        <f t="shared" ca="1" si="1"/>
        <v>0</v>
      </c>
      <c r="AG3" s="823">
        <f t="shared" ca="1" si="1"/>
        <v>0</v>
      </c>
      <c r="AH3" s="823">
        <f t="shared" ca="1" si="1"/>
        <v>0</v>
      </c>
      <c r="AI3" s="823">
        <f t="shared" ca="1" si="1"/>
        <v>0</v>
      </c>
      <c r="AJ3" s="823">
        <f t="shared" ca="1" si="1"/>
        <v>0</v>
      </c>
      <c r="AK3" s="823">
        <f t="shared" ca="1" si="1"/>
        <v>0</v>
      </c>
      <c r="AL3" s="823">
        <f t="shared" ca="1" si="1"/>
        <v>0</v>
      </c>
      <c r="AM3" s="823">
        <f t="shared" ca="1" si="1"/>
        <v>0</v>
      </c>
      <c r="AN3" s="823">
        <f t="shared" ca="1" si="1"/>
        <v>0</v>
      </c>
      <c r="AP3" s="823">
        <f ca="1">SUM(AP7:AP8,AP10,AP13:AP19,AP22/AP21)</f>
        <v>0</v>
      </c>
      <c r="AQ3" s="823">
        <f t="shared" ref="AQ3:BA3" ca="1" si="2">SUM(AQ7:AQ8,AQ10,AQ13:AQ19,AQ22/AQ21)</f>
        <v>0</v>
      </c>
      <c r="AR3" s="823">
        <f t="shared" ca="1" si="2"/>
        <v>0</v>
      </c>
      <c r="AS3" s="823">
        <f t="shared" ca="1" si="2"/>
        <v>0</v>
      </c>
      <c r="AT3" s="823">
        <f t="shared" ca="1" si="2"/>
        <v>0</v>
      </c>
      <c r="AU3" s="823">
        <f t="shared" ca="1" si="2"/>
        <v>0</v>
      </c>
      <c r="AV3" s="823">
        <f t="shared" ca="1" si="2"/>
        <v>0</v>
      </c>
      <c r="AW3" s="823">
        <f t="shared" ca="1" si="2"/>
        <v>0</v>
      </c>
      <c r="AX3" s="823">
        <f t="shared" ca="1" si="2"/>
        <v>0</v>
      </c>
      <c r="AY3" s="823">
        <f t="shared" si="2"/>
        <v>0</v>
      </c>
      <c r="AZ3" s="823">
        <f t="shared" ca="1" si="2"/>
        <v>0</v>
      </c>
      <c r="BA3" s="823">
        <f t="shared" ca="1" si="2"/>
        <v>0</v>
      </c>
      <c r="BC3" s="823">
        <f ca="1">SUM(BC7:BC8,BC10,BC13:BC19,BC22/BC21)</f>
        <v>0</v>
      </c>
      <c r="BD3" s="823">
        <f t="shared" ref="BD3:BN3" ca="1" si="3">SUM(BD7:BD8,BD10,BD13:BD19,BD22/BD21)</f>
        <v>0</v>
      </c>
      <c r="BE3" s="823">
        <f t="shared" ca="1" si="3"/>
        <v>0</v>
      </c>
      <c r="BF3" s="823">
        <f t="shared" ca="1" si="3"/>
        <v>0</v>
      </c>
      <c r="BG3" s="823">
        <f t="shared" ca="1" si="3"/>
        <v>0</v>
      </c>
      <c r="BH3" s="823">
        <f t="shared" ca="1" si="3"/>
        <v>0</v>
      </c>
      <c r="BI3" s="823">
        <f t="shared" ca="1" si="3"/>
        <v>0</v>
      </c>
      <c r="BJ3" s="823">
        <f t="shared" ca="1" si="3"/>
        <v>0</v>
      </c>
      <c r="BK3" s="823">
        <f t="shared" ca="1" si="3"/>
        <v>0</v>
      </c>
      <c r="BL3" s="823">
        <f t="shared" si="3"/>
        <v>0</v>
      </c>
      <c r="BM3" s="823">
        <f t="shared" ca="1" si="3"/>
        <v>0</v>
      </c>
      <c r="BN3" s="823">
        <f t="shared" ca="1" si="3"/>
        <v>0</v>
      </c>
      <c r="BP3" s="823">
        <f ca="1">SUM(BP7:BP8,BP10,BP13:BP19,BP22/BP21)</f>
        <v>0</v>
      </c>
      <c r="BQ3" s="823">
        <f t="shared" ref="BQ3:CA3" ca="1" si="4">SUM(BQ7:BQ8,BQ10,BQ13:BQ19,BQ22/BQ21)</f>
        <v>0</v>
      </c>
      <c r="BR3" s="823">
        <f t="shared" ca="1" si="4"/>
        <v>0</v>
      </c>
      <c r="BS3" s="823">
        <f t="shared" ca="1" si="4"/>
        <v>0</v>
      </c>
      <c r="BT3" s="823">
        <f t="shared" ca="1" si="4"/>
        <v>0</v>
      </c>
      <c r="BU3" s="823">
        <f t="shared" ca="1" si="4"/>
        <v>0</v>
      </c>
      <c r="BV3" s="823">
        <f t="shared" ca="1" si="4"/>
        <v>0</v>
      </c>
      <c r="BW3" s="823">
        <f t="shared" ca="1" si="4"/>
        <v>0</v>
      </c>
      <c r="BX3" s="823">
        <f t="shared" ca="1" si="4"/>
        <v>0</v>
      </c>
      <c r="BY3" s="823">
        <f t="shared" ca="1" si="4"/>
        <v>0</v>
      </c>
      <c r="BZ3" s="823">
        <f t="shared" ca="1" si="4"/>
        <v>0</v>
      </c>
      <c r="CA3" s="823">
        <f t="shared" ca="1" si="4"/>
        <v>0</v>
      </c>
      <c r="CC3" s="823">
        <f ca="1">SUM(CC7:CC8,CC10,CC13:CC19,CC22/CC21)</f>
        <v>0</v>
      </c>
      <c r="CD3" s="823">
        <f t="shared" ref="CD3:CN3" ca="1" si="5">SUM(CD7:CD8,CD10,CD13:CD19,CD22/CD21)</f>
        <v>0</v>
      </c>
      <c r="CE3" s="823">
        <f t="shared" ca="1" si="5"/>
        <v>0</v>
      </c>
      <c r="CF3" s="823">
        <f t="shared" ca="1" si="5"/>
        <v>0</v>
      </c>
      <c r="CG3" s="823">
        <f t="shared" ca="1" si="5"/>
        <v>0</v>
      </c>
      <c r="CH3" s="823">
        <f t="shared" ca="1" si="5"/>
        <v>0</v>
      </c>
      <c r="CI3" s="823">
        <f t="shared" ca="1" si="5"/>
        <v>0</v>
      </c>
      <c r="CJ3" s="823">
        <f t="shared" ca="1" si="5"/>
        <v>0</v>
      </c>
      <c r="CK3" s="823">
        <f t="shared" ca="1" si="5"/>
        <v>0</v>
      </c>
      <c r="CL3" s="823">
        <f t="shared" ca="1" si="5"/>
        <v>0</v>
      </c>
      <c r="CM3" s="823">
        <f t="shared" ca="1" si="5"/>
        <v>0</v>
      </c>
      <c r="CN3" s="823">
        <f t="shared" ca="1" si="5"/>
        <v>0</v>
      </c>
    </row>
    <row r="4" spans="1:92" ht="16.5" customHeight="1">
      <c r="A4" s="1860" t="s">
        <v>569</v>
      </c>
      <c r="B4" s="1857" t="s">
        <v>570</v>
      </c>
      <c r="C4" s="1857"/>
      <c r="D4" s="1857"/>
      <c r="E4" s="1857"/>
      <c r="F4" s="1857"/>
      <c r="G4" s="1857"/>
      <c r="H4" s="1857"/>
      <c r="I4" s="1857"/>
      <c r="J4" s="1857"/>
      <c r="K4" s="1857"/>
      <c r="L4" s="1857"/>
      <c r="M4" s="1857"/>
      <c r="N4" s="1858"/>
      <c r="O4" s="1856" t="s">
        <v>19</v>
      </c>
      <c r="P4" s="1857"/>
      <c r="Q4" s="1857"/>
      <c r="R4" s="1857"/>
      <c r="S4" s="1857"/>
      <c r="T4" s="1857"/>
      <c r="U4" s="1857"/>
      <c r="V4" s="1857"/>
      <c r="W4" s="1857"/>
      <c r="X4" s="1857"/>
      <c r="Y4" s="1857"/>
      <c r="Z4" s="1857"/>
      <c r="AA4" s="1858"/>
      <c r="AB4" s="1856" t="s">
        <v>20</v>
      </c>
      <c r="AC4" s="1857"/>
      <c r="AD4" s="1857"/>
      <c r="AE4" s="1857"/>
      <c r="AF4" s="1857"/>
      <c r="AG4" s="1857"/>
      <c r="AH4" s="1857"/>
      <c r="AI4" s="1857"/>
      <c r="AJ4" s="1857"/>
      <c r="AK4" s="1857"/>
      <c r="AL4" s="1857"/>
      <c r="AM4" s="1857"/>
      <c r="AN4" s="1858"/>
      <c r="AO4" s="1856" t="s">
        <v>21</v>
      </c>
      <c r="AP4" s="1857"/>
      <c r="AQ4" s="1857"/>
      <c r="AR4" s="1857"/>
      <c r="AS4" s="1857"/>
      <c r="AT4" s="1857"/>
      <c r="AU4" s="1857"/>
      <c r="AV4" s="1857"/>
      <c r="AW4" s="1857"/>
      <c r="AX4" s="1857"/>
      <c r="AY4" s="1857"/>
      <c r="AZ4" s="1857"/>
      <c r="BA4" s="1858"/>
      <c r="BB4" s="1856" t="s">
        <v>22</v>
      </c>
      <c r="BC4" s="1857"/>
      <c r="BD4" s="1857"/>
      <c r="BE4" s="1857"/>
      <c r="BF4" s="1857"/>
      <c r="BG4" s="1857"/>
      <c r="BH4" s="1857"/>
      <c r="BI4" s="1857"/>
      <c r="BJ4" s="1857"/>
      <c r="BK4" s="1857"/>
      <c r="BL4" s="1857"/>
      <c r="BM4" s="1857"/>
      <c r="BN4" s="1858"/>
      <c r="BO4" s="1856" t="s">
        <v>23</v>
      </c>
      <c r="BP4" s="1857"/>
      <c r="BQ4" s="1857"/>
      <c r="BR4" s="1857"/>
      <c r="BS4" s="1857"/>
      <c r="BT4" s="1857"/>
      <c r="BU4" s="1857"/>
      <c r="BV4" s="1857"/>
      <c r="BW4" s="1857"/>
      <c r="BX4" s="1857"/>
      <c r="BY4" s="1857"/>
      <c r="BZ4" s="1857"/>
      <c r="CA4" s="1859"/>
      <c r="CB4" s="1856" t="s">
        <v>24</v>
      </c>
      <c r="CC4" s="1857"/>
      <c r="CD4" s="1857"/>
      <c r="CE4" s="1857"/>
      <c r="CF4" s="1857"/>
      <c r="CG4" s="1857"/>
      <c r="CH4" s="1857"/>
      <c r="CI4" s="1857"/>
      <c r="CJ4" s="1857"/>
      <c r="CK4" s="1857"/>
      <c r="CL4" s="1857"/>
      <c r="CM4" s="1857"/>
      <c r="CN4" s="1859"/>
    </row>
    <row r="5" spans="1:92" s="74" customFormat="1" ht="16.5" customHeight="1">
      <c r="A5" s="1861"/>
      <c r="B5" s="860" t="s">
        <v>571</v>
      </c>
      <c r="C5" s="860" t="str">
        <f>'8.项目规划指标表'!$B5</f>
        <v>高层</v>
      </c>
      <c r="D5" s="860" t="str">
        <f>'8.项目规划指标表'!$B6</f>
        <v>商铺</v>
      </c>
      <c r="E5" s="860" t="str">
        <f>'8.项目规划指标表'!$B7</f>
        <v>回迁商业</v>
      </c>
      <c r="F5" s="860">
        <f>'8.项目规划指标表'!$B8</f>
        <v>0</v>
      </c>
      <c r="G5" s="860">
        <f>'8.项目规划指标表'!$B9</f>
        <v>0</v>
      </c>
      <c r="H5" s="860">
        <f>'8.项目规划指标表'!$B10</f>
        <v>0</v>
      </c>
      <c r="I5" s="860">
        <f>'8.项目规划指标表'!$B11</f>
        <v>0</v>
      </c>
      <c r="J5" s="860">
        <f>'8.项目规划指标表'!$B12</f>
        <v>0</v>
      </c>
      <c r="K5" s="860">
        <f>'8.项目规划指标表'!$B13</f>
        <v>0</v>
      </c>
      <c r="L5" s="860" t="str">
        <f>'8.项目规划指标表'!$B14</f>
        <v>自持物业</v>
      </c>
      <c r="M5" s="920" t="str">
        <f>'8.项目规划指标表'!$B18</f>
        <v>有产权车库(个)</v>
      </c>
      <c r="N5" s="921" t="str">
        <f>'8.项目规划指标表'!$B19</f>
        <v>无产权车库(个)</v>
      </c>
      <c r="O5" s="922" t="s">
        <v>572</v>
      </c>
      <c r="P5" s="860" t="str">
        <f>'8.项目规划指标表'!$B5</f>
        <v>高层</v>
      </c>
      <c r="Q5" s="860" t="str">
        <f>'8.项目规划指标表'!$B6</f>
        <v>商铺</v>
      </c>
      <c r="R5" s="860" t="str">
        <f>'8.项目规划指标表'!$B7</f>
        <v>回迁商业</v>
      </c>
      <c r="S5" s="860">
        <f>'8.项目规划指标表'!$B8</f>
        <v>0</v>
      </c>
      <c r="T5" s="860">
        <f>'8.项目规划指标表'!$B9</f>
        <v>0</v>
      </c>
      <c r="U5" s="860">
        <f>'8.项目规划指标表'!$B10</f>
        <v>0</v>
      </c>
      <c r="V5" s="860">
        <f>'8.项目规划指标表'!$B11</f>
        <v>0</v>
      </c>
      <c r="W5" s="860">
        <f>'8.项目规划指标表'!$B12</f>
        <v>0</v>
      </c>
      <c r="X5" s="860">
        <f>'8.项目规划指标表'!$B13</f>
        <v>0</v>
      </c>
      <c r="Y5" s="860" t="str">
        <f>'8.项目规划指标表'!$B14</f>
        <v>自持物业</v>
      </c>
      <c r="Z5" s="920" t="str">
        <f>'8.项目规划指标表'!$B18</f>
        <v>有产权车库(个)</v>
      </c>
      <c r="AA5" s="921" t="str">
        <f>'8.项目规划指标表'!$B19</f>
        <v>无产权车库(个)</v>
      </c>
      <c r="AB5" s="859" t="s">
        <v>573</v>
      </c>
      <c r="AC5" s="860" t="str">
        <f>'8.项目规划指标表'!$B5</f>
        <v>高层</v>
      </c>
      <c r="AD5" s="860" t="str">
        <f>'8.项目规划指标表'!$B6</f>
        <v>商铺</v>
      </c>
      <c r="AE5" s="860" t="str">
        <f>'8.项目规划指标表'!$B7</f>
        <v>回迁商业</v>
      </c>
      <c r="AF5" s="860">
        <f>'8.项目规划指标表'!$B8</f>
        <v>0</v>
      </c>
      <c r="AG5" s="860">
        <f>'8.项目规划指标表'!$B9</f>
        <v>0</v>
      </c>
      <c r="AH5" s="860">
        <f>'8.项目规划指标表'!$B10</f>
        <v>0</v>
      </c>
      <c r="AI5" s="860">
        <f>'8.项目规划指标表'!$B11</f>
        <v>0</v>
      </c>
      <c r="AJ5" s="860">
        <f>'8.项目规划指标表'!$B12</f>
        <v>0</v>
      </c>
      <c r="AK5" s="860">
        <f>'8.项目规划指标表'!$B13</f>
        <v>0</v>
      </c>
      <c r="AL5" s="860" t="str">
        <f>'8.项目规划指标表'!$B14</f>
        <v>自持物业</v>
      </c>
      <c r="AM5" s="920" t="str">
        <f>'8.项目规划指标表'!$B18</f>
        <v>有产权车库(个)</v>
      </c>
      <c r="AN5" s="921" t="str">
        <f>'8.项目规划指标表'!$B19</f>
        <v>无产权车库(个)</v>
      </c>
      <c r="AO5" s="859" t="s">
        <v>574</v>
      </c>
      <c r="AP5" s="860" t="str">
        <f>'8.项目规划指标表'!$B5</f>
        <v>高层</v>
      </c>
      <c r="AQ5" s="860" t="str">
        <f>'8.项目规划指标表'!$B6</f>
        <v>商铺</v>
      </c>
      <c r="AR5" s="860" t="str">
        <f>'8.项目规划指标表'!$B7</f>
        <v>回迁商业</v>
      </c>
      <c r="AS5" s="860">
        <f>'8.项目规划指标表'!$B8</f>
        <v>0</v>
      </c>
      <c r="AT5" s="860">
        <f>'8.项目规划指标表'!$B9</f>
        <v>0</v>
      </c>
      <c r="AU5" s="860">
        <f>'8.项目规划指标表'!$B10</f>
        <v>0</v>
      </c>
      <c r="AV5" s="860">
        <f>'8.项目规划指标表'!$B11</f>
        <v>0</v>
      </c>
      <c r="AW5" s="860">
        <f>'8.项目规划指标表'!$B12</f>
        <v>0</v>
      </c>
      <c r="AX5" s="860">
        <f>'8.项目规划指标表'!$B13</f>
        <v>0</v>
      </c>
      <c r="AY5" s="860" t="str">
        <f>'8.项目规划指标表'!$B14</f>
        <v>自持物业</v>
      </c>
      <c r="AZ5" s="920" t="str">
        <f>'8.项目规划指标表'!$B18</f>
        <v>有产权车库(个)</v>
      </c>
      <c r="BA5" s="921" t="str">
        <f>'8.项目规划指标表'!$B19</f>
        <v>无产权车库(个)</v>
      </c>
      <c r="BB5" s="859" t="s">
        <v>575</v>
      </c>
      <c r="BC5" s="860" t="str">
        <f>'8.项目规划指标表'!$B5</f>
        <v>高层</v>
      </c>
      <c r="BD5" s="860" t="str">
        <f>'8.项目规划指标表'!$B6</f>
        <v>商铺</v>
      </c>
      <c r="BE5" s="860" t="str">
        <f>'8.项目规划指标表'!$B7</f>
        <v>回迁商业</v>
      </c>
      <c r="BF5" s="860">
        <f>'8.项目规划指标表'!$B8</f>
        <v>0</v>
      </c>
      <c r="BG5" s="860">
        <f>'8.项目规划指标表'!$B9</f>
        <v>0</v>
      </c>
      <c r="BH5" s="860">
        <f>'8.项目规划指标表'!$B10</f>
        <v>0</v>
      </c>
      <c r="BI5" s="860">
        <f>'8.项目规划指标表'!$B11</f>
        <v>0</v>
      </c>
      <c r="BJ5" s="860">
        <f>'8.项目规划指标表'!$B12</f>
        <v>0</v>
      </c>
      <c r="BK5" s="860">
        <f>'8.项目规划指标表'!$B13</f>
        <v>0</v>
      </c>
      <c r="BL5" s="860" t="str">
        <f>'8.项目规划指标表'!$B14</f>
        <v>自持物业</v>
      </c>
      <c r="BM5" s="920" t="str">
        <f>'8.项目规划指标表'!$B18</f>
        <v>有产权车库(个)</v>
      </c>
      <c r="BN5" s="921" t="str">
        <f>'8.项目规划指标表'!$B19</f>
        <v>无产权车库(个)</v>
      </c>
      <c r="BO5" s="859" t="s">
        <v>576</v>
      </c>
      <c r="BP5" s="860" t="str">
        <f>'8.项目规划指标表'!$B5</f>
        <v>高层</v>
      </c>
      <c r="BQ5" s="860" t="str">
        <f>'8.项目规划指标表'!$B6</f>
        <v>商铺</v>
      </c>
      <c r="BR5" s="860" t="str">
        <f>'8.项目规划指标表'!$B7</f>
        <v>回迁商业</v>
      </c>
      <c r="BS5" s="860">
        <f>'8.项目规划指标表'!$B8</f>
        <v>0</v>
      </c>
      <c r="BT5" s="860">
        <f>'8.项目规划指标表'!$B9</f>
        <v>0</v>
      </c>
      <c r="BU5" s="860">
        <f>'8.项目规划指标表'!$B10</f>
        <v>0</v>
      </c>
      <c r="BV5" s="860">
        <f>'8.项目规划指标表'!$B11</f>
        <v>0</v>
      </c>
      <c r="BW5" s="860">
        <f>'8.项目规划指标表'!$B12</f>
        <v>0</v>
      </c>
      <c r="BX5" s="860">
        <f>'8.项目规划指标表'!$B13</f>
        <v>0</v>
      </c>
      <c r="BY5" s="860" t="str">
        <f>'8.项目规划指标表'!$B14</f>
        <v>自持物业</v>
      </c>
      <c r="BZ5" s="920" t="str">
        <f>'8.项目规划指标表'!$B18</f>
        <v>有产权车库(个)</v>
      </c>
      <c r="CA5" s="921" t="str">
        <f>'8.项目规划指标表'!$B19</f>
        <v>无产权车库(个)</v>
      </c>
      <c r="CB5" s="859" t="s">
        <v>577</v>
      </c>
      <c r="CC5" s="860" t="str">
        <f>'8.项目规划指标表'!$B5</f>
        <v>高层</v>
      </c>
      <c r="CD5" s="860" t="str">
        <f>'8.项目规划指标表'!$B6</f>
        <v>商铺</v>
      </c>
      <c r="CE5" s="860" t="str">
        <f>'8.项目规划指标表'!$B7</f>
        <v>回迁商业</v>
      </c>
      <c r="CF5" s="860">
        <f>'8.项目规划指标表'!$B8</f>
        <v>0</v>
      </c>
      <c r="CG5" s="860">
        <f>'8.项目规划指标表'!$B9</f>
        <v>0</v>
      </c>
      <c r="CH5" s="860">
        <f>'8.项目规划指标表'!$B10</f>
        <v>0</v>
      </c>
      <c r="CI5" s="860">
        <f>'8.项目规划指标表'!$B11</f>
        <v>0</v>
      </c>
      <c r="CJ5" s="860">
        <f>'8.项目规划指标表'!$B12</f>
        <v>0</v>
      </c>
      <c r="CK5" s="860">
        <f>'8.项目规划指标表'!$B13</f>
        <v>0</v>
      </c>
      <c r="CL5" s="860" t="str">
        <f>'8.项目规划指标表'!$B14</f>
        <v>自持物业</v>
      </c>
      <c r="CM5" s="920" t="str">
        <f>'8.项目规划指标表'!$B18</f>
        <v>有产权车库(个)</v>
      </c>
      <c r="CN5" s="973" t="str">
        <f>'8.项目规划指标表'!$B19</f>
        <v>无产权车库(个)</v>
      </c>
    </row>
    <row r="6" spans="1:92" ht="18" customHeight="1">
      <c r="A6" s="897" t="s">
        <v>468</v>
      </c>
      <c r="B6" s="870">
        <f t="shared" ref="B6:B12" si="6">SUM(C6:N6)</f>
        <v>95988.878167238086</v>
      </c>
      <c r="C6" s="870">
        <f t="shared" ref="C6:C19" si="7">SUM(P6,AC6,AP6,BC6,BP6,CC6)</f>
        <v>68903.392517487999</v>
      </c>
      <c r="D6" s="870">
        <f t="shared" ref="D6" si="8">SUM(Q6,AD6,AQ6,BD6,BQ6,CD6)</f>
        <v>24677.772020684588</v>
      </c>
      <c r="E6" s="870">
        <f t="shared" ref="E6" si="9">SUM(R6,AE6,AR6,BE6,BR6,CE6)</f>
        <v>0</v>
      </c>
      <c r="F6" s="870">
        <f t="shared" ref="F6" si="10">SUM(S6,AF6,AS6,BF6,BS6,CF6)</f>
        <v>0</v>
      </c>
      <c r="G6" s="870">
        <f t="shared" ref="G6" si="11">SUM(T6,AG6,AT6,BG6,BT6,CG6)</f>
        <v>0</v>
      </c>
      <c r="H6" s="870">
        <f t="shared" ref="H6" si="12">SUM(U6,AH6,AU6,BH6,BU6,CH6)</f>
        <v>0</v>
      </c>
      <c r="I6" s="870">
        <f t="shared" ref="I6" si="13">SUM(V6,AI6,AV6,BI6,BV6,CI6)</f>
        <v>0</v>
      </c>
      <c r="J6" s="870">
        <f t="shared" ref="J6" si="14">SUM(W6,AJ6,AW6,BJ6,BW6,CJ6)</f>
        <v>0</v>
      </c>
      <c r="K6" s="870">
        <f t="shared" ref="K6" si="15">SUM(X6,AK6,AX6,BK6,BX6,CK6)</f>
        <v>0</v>
      </c>
      <c r="L6" s="870">
        <f t="shared" ref="L6" si="16">SUM(Y6,AL6,AY6,BL6,BY6,CL6)</f>
        <v>0</v>
      </c>
      <c r="M6" s="870">
        <f t="shared" ref="M6" si="17">SUM(Z6,AM6,AZ6,BM6,BZ6,CM6)</f>
        <v>2407.7136290655026</v>
      </c>
      <c r="N6" s="923">
        <f t="shared" ref="N6" si="18">SUM(AA6,AN6,BA6,BN6,CA6,CN6)</f>
        <v>0</v>
      </c>
      <c r="O6" s="871">
        <f>SUM(P6:AA6)</f>
        <v>95988.878167238086</v>
      </c>
      <c r="P6" s="1132">
        <v>68903.392517487999</v>
      </c>
      <c r="Q6" s="1132">
        <v>24677.772020684588</v>
      </c>
      <c r="R6" s="1132">
        <v>0</v>
      </c>
      <c r="S6" s="1132">
        <v>0</v>
      </c>
      <c r="T6" s="1132">
        <v>0</v>
      </c>
      <c r="U6" s="1132">
        <v>0</v>
      </c>
      <c r="V6" s="1132">
        <v>0</v>
      </c>
      <c r="W6" s="1132">
        <v>0</v>
      </c>
      <c r="X6" s="1132">
        <v>0</v>
      </c>
      <c r="Y6" s="1133"/>
      <c r="Z6" s="1132">
        <v>2407.7136290655026</v>
      </c>
      <c r="AA6" s="1134">
        <v>0</v>
      </c>
      <c r="AB6" s="952">
        <f t="shared" ref="AB6:AB10" si="19">SUM(AC6:AN6)</f>
        <v>0</v>
      </c>
      <c r="AC6" s="1135"/>
      <c r="AD6" s="1135"/>
      <c r="AE6" s="1135"/>
      <c r="AF6" s="1135"/>
      <c r="AG6" s="1135"/>
      <c r="AH6" s="1135"/>
      <c r="AI6" s="1135"/>
      <c r="AJ6" s="1135"/>
      <c r="AK6" s="1135"/>
      <c r="AL6" s="870"/>
      <c r="AM6" s="1135"/>
      <c r="AN6" s="1136"/>
      <c r="AO6" s="952">
        <f t="shared" ref="AO6:AO18" si="20">SUM(AP6:BA6)</f>
        <v>0</v>
      </c>
      <c r="AP6" s="1135"/>
      <c r="AQ6" s="1135"/>
      <c r="AR6" s="1135"/>
      <c r="AS6" s="1135"/>
      <c r="AT6" s="1135"/>
      <c r="AU6" s="1135"/>
      <c r="AV6" s="1135"/>
      <c r="AW6" s="1135"/>
      <c r="AX6" s="1135"/>
      <c r="AY6" s="870"/>
      <c r="AZ6" s="1135"/>
      <c r="BA6" s="1136"/>
      <c r="BB6" s="952">
        <f t="shared" ref="BB6:BB18" si="21">SUM(BC6:BN6)</f>
        <v>0</v>
      </c>
      <c r="BC6" s="1135"/>
      <c r="BD6" s="1135"/>
      <c r="BE6" s="1135"/>
      <c r="BF6" s="1135"/>
      <c r="BG6" s="1135"/>
      <c r="BH6" s="1135"/>
      <c r="BI6" s="1135"/>
      <c r="BJ6" s="1135"/>
      <c r="BK6" s="1135"/>
      <c r="BL6" s="870"/>
      <c r="BM6" s="1135"/>
      <c r="BN6" s="1136"/>
      <c r="BO6" s="952">
        <f t="shared" ref="BO6:BO18" si="22">SUM(BP6:CA6)</f>
        <v>0</v>
      </c>
      <c r="BP6" s="1135"/>
      <c r="BQ6" s="1135"/>
      <c r="BR6" s="1135"/>
      <c r="BS6" s="1135"/>
      <c r="BT6" s="1135"/>
      <c r="BU6" s="1135"/>
      <c r="BV6" s="1135"/>
      <c r="BW6" s="1135"/>
      <c r="BX6" s="1135"/>
      <c r="BY6" s="870"/>
      <c r="BZ6" s="1135"/>
      <c r="CA6" s="1137"/>
      <c r="CB6" s="952">
        <f t="shared" ref="CB6:CB18" si="23">SUM(CC6:CN6)</f>
        <v>0</v>
      </c>
      <c r="CC6" s="1135"/>
      <c r="CD6" s="1135"/>
      <c r="CE6" s="1135"/>
      <c r="CF6" s="1135"/>
      <c r="CG6" s="1135"/>
      <c r="CH6" s="1135"/>
      <c r="CI6" s="1135"/>
      <c r="CJ6" s="1135"/>
      <c r="CK6" s="1135"/>
      <c r="CL6" s="870"/>
      <c r="CM6" s="1135"/>
      <c r="CN6" s="1137"/>
    </row>
    <row r="7" spans="1:92" ht="18" customHeight="1">
      <c r="A7" s="897" t="s">
        <v>368</v>
      </c>
      <c r="B7" s="870">
        <f t="shared" si="6"/>
        <v>20460.111314965787</v>
      </c>
      <c r="C7" s="870">
        <f t="shared" si="7"/>
        <v>13253.890298521339</v>
      </c>
      <c r="D7" s="870">
        <f t="shared" ref="D7" si="24">SUM(Q7,AD7,AQ7,BD7,BQ7,CD7)</f>
        <v>7206.2210164444468</v>
      </c>
      <c r="E7" s="870">
        <f t="shared" ref="E7" si="25">SUM(R7,AE7,AR7,BE7,BR7,CE7)</f>
        <v>0</v>
      </c>
      <c r="F7" s="870">
        <f t="shared" ref="F7" si="26">SUM(S7,AF7,AS7,BF7,BS7,CF7)</f>
        <v>0</v>
      </c>
      <c r="G7" s="870">
        <f t="shared" ref="G7" si="27">SUM(T7,AG7,AT7,BG7,BT7,CG7)</f>
        <v>0</v>
      </c>
      <c r="H7" s="870">
        <f t="shared" ref="H7" si="28">SUM(U7,AH7,AU7,BH7,BU7,CH7)</f>
        <v>0</v>
      </c>
      <c r="I7" s="870">
        <f t="shared" ref="I7" si="29">SUM(V7,AI7,AV7,BI7,BV7,CI7)</f>
        <v>0</v>
      </c>
      <c r="J7" s="870">
        <f t="shared" ref="J7" si="30">SUM(W7,AJ7,AW7,BJ7,BW7,CJ7)</f>
        <v>0</v>
      </c>
      <c r="K7" s="870">
        <f t="shared" ref="K7" si="31">SUM(X7,AK7,AX7,BK7,BX7,CK7)</f>
        <v>0</v>
      </c>
      <c r="L7" s="870">
        <f t="shared" ref="L7" si="32">SUM(Y7,AL7,AY7,BL7,BY7,CL7)</f>
        <v>0</v>
      </c>
      <c r="M7" s="870">
        <f t="shared" ref="M7" si="33">SUM(Z7,AM7,AZ7,BM7,BZ7,CM7)</f>
        <v>0</v>
      </c>
      <c r="N7" s="923">
        <f t="shared" ref="N7" si="34">SUM(AA7,AN7,BA7,BN7,CA7,CN7)</f>
        <v>0</v>
      </c>
      <c r="O7" s="871">
        <f t="shared" ref="O7:O18" si="35">SUM(P7:AA7)</f>
        <v>20460.111314965787</v>
      </c>
      <c r="P7" s="870">
        <f t="array" ref="P7:Y7">TRANSPOSE('12.土地成本表'!D25:I34)</f>
        <v>13253.890298521339</v>
      </c>
      <c r="Q7" s="870">
        <v>7206.2210164444468</v>
      </c>
      <c r="R7" s="870">
        <v>0</v>
      </c>
      <c r="S7" s="870">
        <v>0</v>
      </c>
      <c r="T7" s="870">
        <v>0</v>
      </c>
      <c r="U7" s="870">
        <v>0</v>
      </c>
      <c r="V7" s="870">
        <v>0</v>
      </c>
      <c r="W7" s="870">
        <v>0</v>
      </c>
      <c r="X7" s="870">
        <v>0</v>
      </c>
      <c r="Y7" s="870">
        <v>0</v>
      </c>
      <c r="Z7" s="870">
        <f>0</f>
        <v>0</v>
      </c>
      <c r="AA7" s="923">
        <f>0</f>
        <v>0</v>
      </c>
      <c r="AB7" s="952">
        <f t="shared" si="19"/>
        <v>0</v>
      </c>
      <c r="AC7" s="870">
        <f t="array" ref="AC7:AL7">TRANSPOSE('12.土地成本表'!E25:E34)</f>
        <v>0</v>
      </c>
      <c r="AD7" s="870">
        <v>0</v>
      </c>
      <c r="AE7" s="870">
        <v>0</v>
      </c>
      <c r="AF7" s="870">
        <v>0</v>
      </c>
      <c r="AG7" s="870">
        <v>0</v>
      </c>
      <c r="AH7" s="870">
        <v>0</v>
      </c>
      <c r="AI7" s="870">
        <v>0</v>
      </c>
      <c r="AJ7" s="870">
        <v>0</v>
      </c>
      <c r="AK7" s="870">
        <v>0</v>
      </c>
      <c r="AL7" s="870">
        <v>0</v>
      </c>
      <c r="AM7" s="870">
        <f>0</f>
        <v>0</v>
      </c>
      <c r="AN7" s="923">
        <f>0</f>
        <v>0</v>
      </c>
      <c r="AO7" s="952">
        <f t="shared" si="20"/>
        <v>0</v>
      </c>
      <c r="AP7" s="870">
        <f t="array" ref="AP7:AY7">TRANSPOSE('12.土地成本表'!F25:F34)</f>
        <v>0</v>
      </c>
      <c r="AQ7" s="870">
        <v>0</v>
      </c>
      <c r="AR7" s="870">
        <v>0</v>
      </c>
      <c r="AS7" s="870">
        <v>0</v>
      </c>
      <c r="AT7" s="870">
        <v>0</v>
      </c>
      <c r="AU7" s="870">
        <v>0</v>
      </c>
      <c r="AV7" s="870">
        <v>0</v>
      </c>
      <c r="AW7" s="870">
        <v>0</v>
      </c>
      <c r="AX7" s="870">
        <v>0</v>
      </c>
      <c r="AY7" s="870">
        <v>0</v>
      </c>
      <c r="AZ7" s="870">
        <f>0</f>
        <v>0</v>
      </c>
      <c r="BA7" s="923">
        <f>0</f>
        <v>0</v>
      </c>
      <c r="BB7" s="952">
        <f t="shared" si="21"/>
        <v>0</v>
      </c>
      <c r="BC7" s="870">
        <f t="array" ref="BC7:BL7">TRANSPOSE('12.土地成本表'!G25:G34)</f>
        <v>0</v>
      </c>
      <c r="BD7" s="870">
        <v>0</v>
      </c>
      <c r="BE7" s="870">
        <v>0</v>
      </c>
      <c r="BF7" s="870">
        <v>0</v>
      </c>
      <c r="BG7" s="870">
        <v>0</v>
      </c>
      <c r="BH7" s="870">
        <v>0</v>
      </c>
      <c r="BI7" s="870">
        <v>0</v>
      </c>
      <c r="BJ7" s="870">
        <v>0</v>
      </c>
      <c r="BK7" s="870">
        <v>0</v>
      </c>
      <c r="BL7" s="870">
        <v>0</v>
      </c>
      <c r="BM7" s="870"/>
      <c r="BN7" s="923"/>
      <c r="BO7" s="952">
        <f t="shared" si="22"/>
        <v>0</v>
      </c>
      <c r="BP7" s="870">
        <f t="array" ref="BP7:BY7">TRANSPOSE('12.土地成本表'!H25:H34)</f>
        <v>0</v>
      </c>
      <c r="BQ7" s="870">
        <v>0</v>
      </c>
      <c r="BR7" s="870">
        <v>0</v>
      </c>
      <c r="BS7" s="870">
        <v>0</v>
      </c>
      <c r="BT7" s="870">
        <v>0</v>
      </c>
      <c r="BU7" s="870">
        <v>0</v>
      </c>
      <c r="BV7" s="870">
        <v>0</v>
      </c>
      <c r="BW7" s="870">
        <v>0</v>
      </c>
      <c r="BX7" s="870">
        <v>0</v>
      </c>
      <c r="BY7" s="870">
        <v>0</v>
      </c>
      <c r="BZ7" s="870">
        <f>0</f>
        <v>0</v>
      </c>
      <c r="CA7" s="964">
        <f>0</f>
        <v>0</v>
      </c>
      <c r="CB7" s="952">
        <f t="shared" si="23"/>
        <v>0</v>
      </c>
      <c r="CC7" s="870">
        <f t="array" ref="CC7:CL7">TRANSPOSE('12.土地成本表'!I25:I34)</f>
        <v>0</v>
      </c>
      <c r="CD7" s="870">
        <v>0</v>
      </c>
      <c r="CE7" s="870">
        <v>0</v>
      </c>
      <c r="CF7" s="870">
        <v>0</v>
      </c>
      <c r="CG7" s="870">
        <v>0</v>
      </c>
      <c r="CH7" s="870">
        <v>0</v>
      </c>
      <c r="CI7" s="870">
        <v>0</v>
      </c>
      <c r="CJ7" s="870">
        <v>0</v>
      </c>
      <c r="CK7" s="870">
        <v>0</v>
      </c>
      <c r="CL7" s="870">
        <v>0</v>
      </c>
      <c r="CM7" s="870">
        <f>0</f>
        <v>0</v>
      </c>
      <c r="CN7" s="964">
        <f>0</f>
        <v>0</v>
      </c>
    </row>
    <row r="8" spans="1:92" ht="18" customHeight="1">
      <c r="A8" s="897" t="s">
        <v>578</v>
      </c>
      <c r="B8" s="870">
        <f t="shared" si="6"/>
        <v>31190.531999999999</v>
      </c>
      <c r="C8" s="870">
        <f t="shared" si="7"/>
        <v>27209.326191199023</v>
      </c>
      <c r="D8" s="870">
        <f t="shared" ref="D8" si="36">SUM(Q8,AD8,AQ8,BD8,BQ8,CD8)</f>
        <v>2113.0962088009774</v>
      </c>
      <c r="E8" s="870">
        <f t="shared" ref="E8" si="37">SUM(R8,AE8,AR8,BE8,BR8,CE8)</f>
        <v>0</v>
      </c>
      <c r="F8" s="870">
        <f t="shared" ref="F8" si="38">SUM(S8,AF8,AS8,BF8,BS8,CF8)</f>
        <v>0</v>
      </c>
      <c r="G8" s="870">
        <f t="shared" ref="G8" si="39">SUM(T8,AG8,AT8,BG8,BT8,CG8)</f>
        <v>0</v>
      </c>
      <c r="H8" s="870">
        <f t="shared" ref="H8" si="40">SUM(U8,AH8,AU8,BH8,BU8,CH8)</f>
        <v>0</v>
      </c>
      <c r="I8" s="870">
        <f t="shared" ref="I8:I9" si="41">SUM(V8,AI8,AV8,BI8,BV8,CI8)</f>
        <v>0</v>
      </c>
      <c r="J8" s="870">
        <f t="shared" ref="J8" si="42">SUM(W8,AJ8,AW8,BJ8,BW8,CJ8)</f>
        <v>0</v>
      </c>
      <c r="K8" s="870">
        <f t="shared" ref="K8" si="43">SUM(X8,AK8,AX8,BK8,BX8,CK8)</f>
        <v>0</v>
      </c>
      <c r="L8" s="870">
        <f t="shared" ref="L8" si="44">SUM(Y8,AL8,AY8,BL8,BY8,CL8)</f>
        <v>0</v>
      </c>
      <c r="M8" s="870">
        <f t="shared" ref="M8" si="45">SUM(Z8,AM8,AZ8,BM8,BZ8,CM8)</f>
        <v>1868.1096</v>
      </c>
      <c r="N8" s="923">
        <f t="shared" ref="N8" si="46">SUM(AA8,AN8,BA8,BN8,CA8,CN8)</f>
        <v>0</v>
      </c>
      <c r="O8" s="871">
        <f t="shared" si="35"/>
        <v>31190.531999999999</v>
      </c>
      <c r="P8" s="870">
        <f t="array" ref="P8:Z8">TRANSPOSE('13.建安成本表'!E180:E191)</f>
        <v>27209.326191199023</v>
      </c>
      <c r="Q8" s="870">
        <v>2113.0962088009774</v>
      </c>
      <c r="R8" s="870">
        <v>0</v>
      </c>
      <c r="S8" s="870">
        <v>0</v>
      </c>
      <c r="T8" s="870">
        <v>0</v>
      </c>
      <c r="U8" s="870">
        <v>0</v>
      </c>
      <c r="V8" s="870">
        <v>0</v>
      </c>
      <c r="W8" s="870">
        <v>0</v>
      </c>
      <c r="X8" s="870">
        <v>0</v>
      </c>
      <c r="Y8" s="870">
        <v>0</v>
      </c>
      <c r="Z8" s="870">
        <v>1868.1096</v>
      </c>
      <c r="AA8" s="923">
        <f>'13.建安成本表'!E191</f>
        <v>0</v>
      </c>
      <c r="AB8" s="952">
        <f t="shared" si="19"/>
        <v>0</v>
      </c>
      <c r="AC8" s="870">
        <f t="array" ref="AC8:AM8">TRANSPOSE('13.建安成本表'!H180:H191)</f>
        <v>0</v>
      </c>
      <c r="AD8" s="870">
        <v>0</v>
      </c>
      <c r="AE8" s="870">
        <v>0</v>
      </c>
      <c r="AF8" s="870">
        <v>0</v>
      </c>
      <c r="AG8" s="870">
        <v>0</v>
      </c>
      <c r="AH8" s="870">
        <v>0</v>
      </c>
      <c r="AI8" s="870">
        <v>0</v>
      </c>
      <c r="AJ8" s="870">
        <v>0</v>
      </c>
      <c r="AK8" s="870">
        <v>0</v>
      </c>
      <c r="AL8" s="870">
        <v>0</v>
      </c>
      <c r="AM8" s="870">
        <v>0</v>
      </c>
      <c r="AN8" s="923">
        <f>'13.建安成本表'!H191</f>
        <v>0</v>
      </c>
      <c r="AO8" s="952">
        <f t="shared" si="20"/>
        <v>0</v>
      </c>
      <c r="AP8" s="870">
        <f t="array" ref="AP8:AZ8">TRANSPOSE('13.建安成本表'!K180:K191)</f>
        <v>0</v>
      </c>
      <c r="AQ8" s="870">
        <v>0</v>
      </c>
      <c r="AR8" s="870">
        <v>0</v>
      </c>
      <c r="AS8" s="870">
        <v>0</v>
      </c>
      <c r="AT8" s="870">
        <v>0</v>
      </c>
      <c r="AU8" s="870">
        <v>0</v>
      </c>
      <c r="AV8" s="870">
        <v>0</v>
      </c>
      <c r="AW8" s="870">
        <v>0</v>
      </c>
      <c r="AX8" s="870">
        <v>0</v>
      </c>
      <c r="AY8" s="870">
        <v>0</v>
      </c>
      <c r="AZ8" s="870">
        <v>0</v>
      </c>
      <c r="BA8" s="923">
        <f>0</f>
        <v>0</v>
      </c>
      <c r="BB8" s="952">
        <f t="shared" si="21"/>
        <v>0</v>
      </c>
      <c r="BC8" s="870">
        <f t="array" ref="BC8:BM8">TRANSPOSE('13.建安成本表'!N180:N191)</f>
        <v>0</v>
      </c>
      <c r="BD8" s="870">
        <v>0</v>
      </c>
      <c r="BE8" s="870">
        <v>0</v>
      </c>
      <c r="BF8" s="870">
        <v>0</v>
      </c>
      <c r="BG8" s="870">
        <v>0</v>
      </c>
      <c r="BH8" s="870">
        <v>0</v>
      </c>
      <c r="BI8" s="870">
        <v>0</v>
      </c>
      <c r="BJ8" s="870">
        <v>0</v>
      </c>
      <c r="BK8" s="870">
        <v>0</v>
      </c>
      <c r="BL8" s="870">
        <v>0</v>
      </c>
      <c r="BM8" s="870">
        <v>0</v>
      </c>
      <c r="BN8" s="923">
        <f>'13.建安成本表'!N191</f>
        <v>0</v>
      </c>
      <c r="BO8" s="952">
        <f t="shared" si="22"/>
        <v>0</v>
      </c>
      <c r="BP8" s="870">
        <f t="array" ref="BP8:BZ8">TRANSPOSE('13.建安成本表'!Q180:Q191)</f>
        <v>0</v>
      </c>
      <c r="BQ8" s="870">
        <v>0</v>
      </c>
      <c r="BR8" s="870">
        <v>0</v>
      </c>
      <c r="BS8" s="870">
        <v>0</v>
      </c>
      <c r="BT8" s="870">
        <v>0</v>
      </c>
      <c r="BU8" s="870">
        <v>0</v>
      </c>
      <c r="BV8" s="870">
        <v>0</v>
      </c>
      <c r="BW8" s="870">
        <v>0</v>
      </c>
      <c r="BX8" s="870">
        <v>0</v>
      </c>
      <c r="BY8" s="870">
        <v>0</v>
      </c>
      <c r="BZ8" s="870">
        <v>0</v>
      </c>
      <c r="CA8" s="964">
        <f>'13.建安成本表'!Q191</f>
        <v>0</v>
      </c>
      <c r="CB8" s="952">
        <f t="shared" si="23"/>
        <v>0</v>
      </c>
      <c r="CC8" s="870">
        <f t="array" ref="CC8:CM8">TRANSPOSE('13.建安成本表'!T180:T191)</f>
        <v>0</v>
      </c>
      <c r="CD8" s="870">
        <v>0</v>
      </c>
      <c r="CE8" s="870">
        <v>0</v>
      </c>
      <c r="CF8" s="870">
        <v>0</v>
      </c>
      <c r="CG8" s="870">
        <v>0</v>
      </c>
      <c r="CH8" s="870">
        <v>0</v>
      </c>
      <c r="CI8" s="870">
        <v>0</v>
      </c>
      <c r="CJ8" s="870">
        <v>0</v>
      </c>
      <c r="CK8" s="870">
        <v>0</v>
      </c>
      <c r="CL8" s="870">
        <v>0</v>
      </c>
      <c r="CM8" s="870">
        <v>0</v>
      </c>
      <c r="CN8" s="964">
        <f>'13.建安成本表'!T191</f>
        <v>0</v>
      </c>
    </row>
    <row r="9" spans="1:92" ht="18" customHeight="1">
      <c r="A9" s="897" t="s">
        <v>208</v>
      </c>
      <c r="B9" s="870">
        <f t="shared" si="6"/>
        <v>44338.234852272304</v>
      </c>
      <c r="C9" s="870">
        <f t="shared" si="7"/>
        <v>28440.17602776764</v>
      </c>
      <c r="D9" s="870">
        <f t="shared" ref="D9" si="47">SUM(Q9,AD9,AQ9,BD9,BQ9,CD9)</f>
        <v>15358.454795439164</v>
      </c>
      <c r="E9" s="870">
        <f t="shared" ref="E9" si="48">SUM(R9,AE9,AR9,BE9,BR9,CE9)</f>
        <v>0</v>
      </c>
      <c r="F9" s="870">
        <f t="shared" ref="F9" si="49">SUM(S9,AF9,AS9,BF9,BS9,CF9)</f>
        <v>0</v>
      </c>
      <c r="G9" s="870">
        <f t="shared" ref="G9" si="50">SUM(T9,AG9,AT9,BG9,BT9,CG9)</f>
        <v>0</v>
      </c>
      <c r="H9" s="870">
        <f t="shared" ref="H9" si="51">SUM(U9,AH9,AU9,BH9,BU9,CH9)</f>
        <v>0</v>
      </c>
      <c r="I9" s="870">
        <f t="shared" si="41"/>
        <v>0</v>
      </c>
      <c r="J9" s="870">
        <f t="shared" ref="J9" si="52">SUM(W9,AJ9,AW9,BJ9,BW9,CJ9)</f>
        <v>0</v>
      </c>
      <c r="K9" s="870">
        <f t="shared" ref="K9" si="53">SUM(X9,AK9,AX9,BK9,BX9,CK9)</f>
        <v>0</v>
      </c>
      <c r="L9" s="870">
        <f t="shared" ref="L9" si="54">SUM(Y9,AL9,AY9,BL9,BY9,CL9)</f>
        <v>0</v>
      </c>
      <c r="M9" s="870">
        <f t="shared" ref="M9" si="55">SUM(Z9,AM9,AZ9,BM9,BZ9,CM9)</f>
        <v>539.60402906550257</v>
      </c>
      <c r="N9" s="923">
        <f t="shared" ref="N9" si="56">SUM(AA9,AN9,BA9,BN9,CA9,CN9)</f>
        <v>0</v>
      </c>
      <c r="O9" s="871">
        <f t="shared" si="35"/>
        <v>44338.234852272304</v>
      </c>
      <c r="P9" s="870">
        <f t="shared" ref="P9:AA9" si="57">P6-P7-P8</f>
        <v>28440.17602776764</v>
      </c>
      <c r="Q9" s="870">
        <f t="shared" si="57"/>
        <v>15358.454795439164</v>
      </c>
      <c r="R9" s="870">
        <f t="shared" si="57"/>
        <v>0</v>
      </c>
      <c r="S9" s="870">
        <f t="shared" si="57"/>
        <v>0</v>
      </c>
      <c r="T9" s="870">
        <f t="shared" si="57"/>
        <v>0</v>
      </c>
      <c r="U9" s="870">
        <f t="shared" si="57"/>
        <v>0</v>
      </c>
      <c r="V9" s="870">
        <f t="shared" si="57"/>
        <v>0</v>
      </c>
      <c r="W9" s="870">
        <f t="shared" si="57"/>
        <v>0</v>
      </c>
      <c r="X9" s="870">
        <f t="shared" si="57"/>
        <v>0</v>
      </c>
      <c r="Y9" s="870"/>
      <c r="Z9" s="870">
        <f t="shared" si="57"/>
        <v>539.60402906550257</v>
      </c>
      <c r="AA9" s="923">
        <f t="shared" si="57"/>
        <v>0</v>
      </c>
      <c r="AB9" s="871">
        <f t="shared" si="19"/>
        <v>0</v>
      </c>
      <c r="AC9" s="870">
        <f t="shared" ref="AC9:AN9" si="58">AC6-AC7-AC8</f>
        <v>0</v>
      </c>
      <c r="AD9" s="870">
        <f t="shared" si="58"/>
        <v>0</v>
      </c>
      <c r="AE9" s="870">
        <f t="shared" si="58"/>
        <v>0</v>
      </c>
      <c r="AF9" s="870">
        <f t="shared" si="58"/>
        <v>0</v>
      </c>
      <c r="AG9" s="870">
        <f t="shared" si="58"/>
        <v>0</v>
      </c>
      <c r="AH9" s="870">
        <f t="shared" si="58"/>
        <v>0</v>
      </c>
      <c r="AI9" s="870">
        <f t="shared" si="58"/>
        <v>0</v>
      </c>
      <c r="AJ9" s="870">
        <f t="shared" si="58"/>
        <v>0</v>
      </c>
      <c r="AK9" s="870">
        <f t="shared" si="58"/>
        <v>0</v>
      </c>
      <c r="AL9" s="870"/>
      <c r="AM9" s="870">
        <f t="shared" si="58"/>
        <v>0</v>
      </c>
      <c r="AN9" s="923">
        <f t="shared" si="58"/>
        <v>0</v>
      </c>
      <c r="AO9" s="871">
        <f t="shared" si="20"/>
        <v>0</v>
      </c>
      <c r="AP9" s="870">
        <f t="shared" ref="AP9:BA9" si="59">AP6-AP7-AP8</f>
        <v>0</v>
      </c>
      <c r="AQ9" s="870">
        <f t="shared" si="59"/>
        <v>0</v>
      </c>
      <c r="AR9" s="870">
        <f t="shared" si="59"/>
        <v>0</v>
      </c>
      <c r="AS9" s="870">
        <f t="shared" si="59"/>
        <v>0</v>
      </c>
      <c r="AT9" s="870">
        <f t="shared" si="59"/>
        <v>0</v>
      </c>
      <c r="AU9" s="870">
        <f t="shared" si="59"/>
        <v>0</v>
      </c>
      <c r="AV9" s="870">
        <f t="shared" si="59"/>
        <v>0</v>
      </c>
      <c r="AW9" s="870">
        <f t="shared" si="59"/>
        <v>0</v>
      </c>
      <c r="AX9" s="870">
        <f t="shared" si="59"/>
        <v>0</v>
      </c>
      <c r="AY9" s="870"/>
      <c r="AZ9" s="870">
        <f t="shared" si="59"/>
        <v>0</v>
      </c>
      <c r="BA9" s="923">
        <f t="shared" si="59"/>
        <v>0</v>
      </c>
      <c r="BB9" s="871">
        <f t="shared" si="21"/>
        <v>0</v>
      </c>
      <c r="BC9" s="870">
        <f t="shared" ref="BC9:BN9" si="60">BC6-BC7-BC8</f>
        <v>0</v>
      </c>
      <c r="BD9" s="870">
        <f t="shared" si="60"/>
        <v>0</v>
      </c>
      <c r="BE9" s="870">
        <f t="shared" si="60"/>
        <v>0</v>
      </c>
      <c r="BF9" s="870">
        <f t="shared" si="60"/>
        <v>0</v>
      </c>
      <c r="BG9" s="870">
        <f t="shared" si="60"/>
        <v>0</v>
      </c>
      <c r="BH9" s="870">
        <f t="shared" si="60"/>
        <v>0</v>
      </c>
      <c r="BI9" s="870">
        <f t="shared" si="60"/>
        <v>0</v>
      </c>
      <c r="BJ9" s="870">
        <f t="shared" si="60"/>
        <v>0</v>
      </c>
      <c r="BK9" s="870">
        <f t="shared" si="60"/>
        <v>0</v>
      </c>
      <c r="BL9" s="870"/>
      <c r="BM9" s="870">
        <f t="shared" si="60"/>
        <v>0</v>
      </c>
      <c r="BN9" s="923">
        <f t="shared" si="60"/>
        <v>0</v>
      </c>
      <c r="BO9" s="871">
        <f t="shared" si="22"/>
        <v>0</v>
      </c>
      <c r="BP9" s="870">
        <f t="shared" ref="BP9:CA9" si="61">BP6-BP7-BP8</f>
        <v>0</v>
      </c>
      <c r="BQ9" s="870">
        <f t="shared" si="61"/>
        <v>0</v>
      </c>
      <c r="BR9" s="870">
        <f t="shared" si="61"/>
        <v>0</v>
      </c>
      <c r="BS9" s="870">
        <f t="shared" si="61"/>
        <v>0</v>
      </c>
      <c r="BT9" s="870">
        <f t="shared" si="61"/>
        <v>0</v>
      </c>
      <c r="BU9" s="870">
        <f t="shared" si="61"/>
        <v>0</v>
      </c>
      <c r="BV9" s="870">
        <f t="shared" si="61"/>
        <v>0</v>
      </c>
      <c r="BW9" s="870">
        <f t="shared" si="61"/>
        <v>0</v>
      </c>
      <c r="BX9" s="870">
        <f t="shared" si="61"/>
        <v>0</v>
      </c>
      <c r="BY9" s="870"/>
      <c r="BZ9" s="870">
        <f t="shared" si="61"/>
        <v>0</v>
      </c>
      <c r="CA9" s="923">
        <f t="shared" si="61"/>
        <v>0</v>
      </c>
      <c r="CB9" s="871">
        <f t="shared" si="23"/>
        <v>0</v>
      </c>
      <c r="CC9" s="870">
        <f t="shared" ref="CC9:CN9" si="62">CC6-CC7-CC8</f>
        <v>0</v>
      </c>
      <c r="CD9" s="870">
        <f t="shared" si="62"/>
        <v>0</v>
      </c>
      <c r="CE9" s="870">
        <f t="shared" si="62"/>
        <v>0</v>
      </c>
      <c r="CF9" s="870">
        <f t="shared" si="62"/>
        <v>0</v>
      </c>
      <c r="CG9" s="870">
        <f t="shared" si="62"/>
        <v>0</v>
      </c>
      <c r="CH9" s="870">
        <f t="shared" si="62"/>
        <v>0</v>
      </c>
      <c r="CI9" s="870">
        <f t="shared" si="62"/>
        <v>0</v>
      </c>
      <c r="CJ9" s="870">
        <f t="shared" si="62"/>
        <v>0</v>
      </c>
      <c r="CK9" s="870">
        <f t="shared" si="62"/>
        <v>0</v>
      </c>
      <c r="CL9" s="870"/>
      <c r="CM9" s="870">
        <f t="shared" si="62"/>
        <v>0</v>
      </c>
      <c r="CN9" s="964">
        <f t="shared" si="62"/>
        <v>0</v>
      </c>
    </row>
    <row r="10" spans="1:92" ht="18" customHeight="1">
      <c r="A10" s="897" t="s">
        <v>416</v>
      </c>
      <c r="B10" s="870">
        <f t="shared" si="6"/>
        <v>5154.5475867442437</v>
      </c>
      <c r="C10" s="870">
        <f t="shared" si="7"/>
        <v>3311.711963926025</v>
      </c>
      <c r="D10" s="870">
        <f t="shared" ref="D10" si="63">SUM(Q10,AD10,AQ10,BD10,BQ10,CD10)</f>
        <v>1794.2464412468769</v>
      </c>
      <c r="E10" s="870">
        <f t="shared" ref="E10" si="64">SUM(R10,AE10,AR10,BE10,BR10,CE10)</f>
        <v>0</v>
      </c>
      <c r="F10" s="870">
        <f t="shared" ref="F10" si="65">SUM(S10,AF10,AS10,BF10,BS10,CF10)</f>
        <v>0</v>
      </c>
      <c r="G10" s="870">
        <f t="shared" ref="G10" si="66">SUM(T10,AG10,AT10,BG10,BT10,CG10)</f>
        <v>0</v>
      </c>
      <c r="H10" s="870">
        <f t="shared" ref="H10" si="67">SUM(U10,AH10,AU10,BH10,BU10,CH10)</f>
        <v>0</v>
      </c>
      <c r="I10" s="870">
        <f t="shared" ref="I10" si="68">SUM(V10,AI10,AV10,BI10,BV10,CI10)</f>
        <v>0</v>
      </c>
      <c r="J10" s="870">
        <f t="shared" ref="J10" si="69">SUM(W10,AJ10,AW10,BJ10,BW10,CJ10)</f>
        <v>0</v>
      </c>
      <c r="K10" s="870">
        <f t="shared" ref="K10" si="70">SUM(X10,AK10,AX10,BK10,BX10,CK10)</f>
        <v>0</v>
      </c>
      <c r="L10" s="870">
        <f t="shared" ref="L10" si="71">SUM(Y10,AL10,AY10,BL10,BY10,CL10)</f>
        <v>0</v>
      </c>
      <c r="M10" s="870">
        <f t="shared" ref="M10" si="72">SUM(Z10,AM10,AZ10,BM10,BZ10,CM10)</f>
        <v>48.589181571342124</v>
      </c>
      <c r="N10" s="923">
        <f t="shared" ref="N10" si="73">SUM(AA10,AN10,BA10,BN10,CA10,CN10)</f>
        <v>0</v>
      </c>
      <c r="O10" s="871">
        <f t="shared" si="35"/>
        <v>5154.5475867442437</v>
      </c>
      <c r="P10" s="872">
        <f>SUM(P11:P12)</f>
        <v>3311.711963926025</v>
      </c>
      <c r="Q10" s="872">
        <f>SUM(Q11:Q12)</f>
        <v>1794.2464412468769</v>
      </c>
      <c r="R10" s="872">
        <f t="shared" ref="R10:AA10" si="74">SUM(R11:R12)</f>
        <v>0</v>
      </c>
      <c r="S10" s="872">
        <f t="shared" si="74"/>
        <v>0</v>
      </c>
      <c r="T10" s="872">
        <f t="shared" si="74"/>
        <v>0</v>
      </c>
      <c r="U10" s="872">
        <f t="shared" si="74"/>
        <v>0</v>
      </c>
      <c r="V10" s="872">
        <f t="shared" si="74"/>
        <v>0</v>
      </c>
      <c r="W10" s="872">
        <f t="shared" si="74"/>
        <v>0</v>
      </c>
      <c r="X10" s="872">
        <f t="shared" si="74"/>
        <v>0</v>
      </c>
      <c r="Y10" s="872"/>
      <c r="Z10" s="872">
        <f t="shared" si="74"/>
        <v>48.589181571342124</v>
      </c>
      <c r="AA10" s="951">
        <f t="shared" si="74"/>
        <v>0</v>
      </c>
      <c r="AB10" s="952">
        <f t="shared" si="19"/>
        <v>0</v>
      </c>
      <c r="AC10" s="872">
        <f>SUM(AC11:AC12)</f>
        <v>0</v>
      </c>
      <c r="AD10" s="872">
        <f t="shared" ref="AD10:AN10" si="75">SUM(AD11:AD12)</f>
        <v>0</v>
      </c>
      <c r="AE10" s="872">
        <f t="shared" si="75"/>
        <v>0</v>
      </c>
      <c r="AF10" s="872">
        <f t="shared" si="75"/>
        <v>0</v>
      </c>
      <c r="AG10" s="872">
        <f t="shared" si="75"/>
        <v>0</v>
      </c>
      <c r="AH10" s="872">
        <f t="shared" si="75"/>
        <v>0</v>
      </c>
      <c r="AI10" s="872">
        <f t="shared" si="75"/>
        <v>0</v>
      </c>
      <c r="AJ10" s="872">
        <f t="shared" si="75"/>
        <v>0</v>
      </c>
      <c r="AK10" s="872">
        <f t="shared" si="75"/>
        <v>0</v>
      </c>
      <c r="AL10" s="872"/>
      <c r="AM10" s="872">
        <f t="shared" si="75"/>
        <v>0</v>
      </c>
      <c r="AN10" s="951">
        <f t="shared" si="75"/>
        <v>0</v>
      </c>
      <c r="AO10" s="952">
        <f t="shared" si="20"/>
        <v>0</v>
      </c>
      <c r="AP10" s="872">
        <f>SUM(AP11:AP12)</f>
        <v>0</v>
      </c>
      <c r="AQ10" s="872">
        <f t="shared" ref="AQ10:BA10" si="76">SUM(AQ11:AQ12)</f>
        <v>0</v>
      </c>
      <c r="AR10" s="872">
        <f t="shared" si="76"/>
        <v>0</v>
      </c>
      <c r="AS10" s="872">
        <f t="shared" si="76"/>
        <v>0</v>
      </c>
      <c r="AT10" s="872">
        <f t="shared" si="76"/>
        <v>0</v>
      </c>
      <c r="AU10" s="872">
        <f t="shared" si="76"/>
        <v>0</v>
      </c>
      <c r="AV10" s="872">
        <f t="shared" si="76"/>
        <v>0</v>
      </c>
      <c r="AW10" s="872">
        <f t="shared" si="76"/>
        <v>0</v>
      </c>
      <c r="AX10" s="872">
        <f t="shared" si="76"/>
        <v>0</v>
      </c>
      <c r="AY10" s="872"/>
      <c r="AZ10" s="872">
        <f t="shared" si="76"/>
        <v>0</v>
      </c>
      <c r="BA10" s="951">
        <f t="shared" si="76"/>
        <v>0</v>
      </c>
      <c r="BB10" s="952">
        <f t="shared" si="21"/>
        <v>0</v>
      </c>
      <c r="BC10" s="872">
        <f>SUM(BC11:BC12)</f>
        <v>0</v>
      </c>
      <c r="BD10" s="872">
        <f t="shared" ref="BD10:BN10" si="77">SUM(BD11:BD12)</f>
        <v>0</v>
      </c>
      <c r="BE10" s="872">
        <f t="shared" si="77"/>
        <v>0</v>
      </c>
      <c r="BF10" s="872">
        <f t="shared" si="77"/>
        <v>0</v>
      </c>
      <c r="BG10" s="872">
        <f t="shared" si="77"/>
        <v>0</v>
      </c>
      <c r="BH10" s="872">
        <f t="shared" si="77"/>
        <v>0</v>
      </c>
      <c r="BI10" s="872">
        <f t="shared" si="77"/>
        <v>0</v>
      </c>
      <c r="BJ10" s="872">
        <f t="shared" si="77"/>
        <v>0</v>
      </c>
      <c r="BK10" s="872">
        <f t="shared" si="77"/>
        <v>0</v>
      </c>
      <c r="BL10" s="872"/>
      <c r="BM10" s="872">
        <f t="shared" si="77"/>
        <v>0</v>
      </c>
      <c r="BN10" s="951">
        <f t="shared" si="77"/>
        <v>0</v>
      </c>
      <c r="BO10" s="952">
        <f t="shared" si="22"/>
        <v>0</v>
      </c>
      <c r="BP10" s="872">
        <f>SUM(BP11:BP12)</f>
        <v>0</v>
      </c>
      <c r="BQ10" s="872">
        <f t="shared" ref="BQ10:CA10" si="78">SUM(BQ11:BQ12)</f>
        <v>0</v>
      </c>
      <c r="BR10" s="872">
        <f t="shared" si="78"/>
        <v>0</v>
      </c>
      <c r="BS10" s="872">
        <f t="shared" si="78"/>
        <v>0</v>
      </c>
      <c r="BT10" s="872">
        <f t="shared" si="78"/>
        <v>0</v>
      </c>
      <c r="BU10" s="872">
        <f t="shared" si="78"/>
        <v>0</v>
      </c>
      <c r="BV10" s="872">
        <f t="shared" si="78"/>
        <v>0</v>
      </c>
      <c r="BW10" s="872">
        <f t="shared" si="78"/>
        <v>0</v>
      </c>
      <c r="BX10" s="872">
        <f t="shared" si="78"/>
        <v>0</v>
      </c>
      <c r="BY10" s="872"/>
      <c r="BZ10" s="872">
        <f t="shared" si="78"/>
        <v>0</v>
      </c>
      <c r="CA10" s="963">
        <f t="shared" si="78"/>
        <v>0</v>
      </c>
      <c r="CB10" s="952">
        <f t="shared" si="23"/>
        <v>0</v>
      </c>
      <c r="CC10" s="872">
        <f>SUM(CC11:CC12)</f>
        <v>0</v>
      </c>
      <c r="CD10" s="872">
        <f t="shared" ref="CD10:CN10" si="79">SUM(CD11:CD12)</f>
        <v>0</v>
      </c>
      <c r="CE10" s="872">
        <f t="shared" si="79"/>
        <v>0</v>
      </c>
      <c r="CF10" s="872">
        <f t="shared" si="79"/>
        <v>0</v>
      </c>
      <c r="CG10" s="872">
        <f t="shared" si="79"/>
        <v>0</v>
      </c>
      <c r="CH10" s="872">
        <f t="shared" si="79"/>
        <v>0</v>
      </c>
      <c r="CI10" s="872">
        <f t="shared" si="79"/>
        <v>0</v>
      </c>
      <c r="CJ10" s="872">
        <f t="shared" si="79"/>
        <v>0</v>
      </c>
      <c r="CK10" s="872">
        <f t="shared" si="79"/>
        <v>0</v>
      </c>
      <c r="CL10" s="872"/>
      <c r="CM10" s="872">
        <f t="shared" si="79"/>
        <v>0</v>
      </c>
      <c r="CN10" s="963">
        <f t="shared" si="79"/>
        <v>0</v>
      </c>
    </row>
    <row r="11" spans="1:92" s="894" customFormat="1" ht="18" customHeight="1" outlineLevel="1">
      <c r="A11" s="1126" t="s">
        <v>579</v>
      </c>
      <c r="B11" s="898">
        <f t="shared" si="6"/>
        <v>5154.5475867442437</v>
      </c>
      <c r="C11" s="898">
        <f t="shared" si="7"/>
        <v>3311.711963926025</v>
      </c>
      <c r="D11" s="898">
        <f t="shared" ref="D11" si="80">SUM(Q11,AD11,AQ11,BD11,BQ11,CD11)</f>
        <v>1794.2464412468769</v>
      </c>
      <c r="E11" s="898">
        <f t="shared" ref="E11" si="81">SUM(R11,AE11,AR11,BE11,BR11,CE11)</f>
        <v>0</v>
      </c>
      <c r="F11" s="898">
        <f t="shared" ref="F11" si="82">SUM(S11,AF11,AS11,BF11,BS11,CF11)</f>
        <v>0</v>
      </c>
      <c r="G11" s="898">
        <f t="shared" ref="G11" si="83">SUM(T11,AG11,AT11,BG11,BT11,CG11)</f>
        <v>0</v>
      </c>
      <c r="H11" s="898">
        <f t="shared" ref="H11" si="84">SUM(U11,AH11,AU11,BH11,BU11,CH11)</f>
        <v>0</v>
      </c>
      <c r="I11" s="898">
        <f t="shared" ref="I11" si="85">SUM(V11,AI11,AV11,BI11,BV11,CI11)</f>
        <v>0</v>
      </c>
      <c r="J11" s="898">
        <f t="shared" ref="J11" si="86">SUM(W11,AJ11,AW11,BJ11,BW11,CJ11)</f>
        <v>0</v>
      </c>
      <c r="K11" s="898">
        <f t="shared" ref="K11" si="87">SUM(X11,AK11,AX11,BK11,BX11,CK11)</f>
        <v>0</v>
      </c>
      <c r="L11" s="898">
        <f t="shared" ref="L11" si="88">SUM(Y11,AL11,AY11,BL11,BY11,CL11)</f>
        <v>0</v>
      </c>
      <c r="M11" s="898">
        <f t="shared" ref="M11" si="89">SUM(Z11,AM11,AZ11,BM11,BZ11,CM11)</f>
        <v>48.589181571342124</v>
      </c>
      <c r="N11" s="926">
        <f t="shared" ref="N11" si="90">SUM(AA11,AN11,BA11,BN11,CA11,CN11)</f>
        <v>0</v>
      </c>
      <c r="O11" s="875">
        <f t="shared" si="35"/>
        <v>5154.5475867442437</v>
      </c>
      <c r="P11" s="928">
        <f>IF((P6-'12.土地成本表'!$D57)/1.1*0.1-'13.建安成本表'!$E197=0,0,(P6-'12.土地成本表'!$D57)/1.1*0.1-'13.建安成本表'!$E197)</f>
        <v>3311.711963926025</v>
      </c>
      <c r="Q11" s="928">
        <f>IF((Q6-'12.土地成本表'!$D58)/1.1*0.1-'13.建安成本表'!$E198=0,0,(Q6-'12.土地成本表'!$D58)/1.1*0.1-'13.建安成本表'!$E198)</f>
        <v>1794.2464412468769</v>
      </c>
      <c r="R11" s="928">
        <f>IF((R6-'12.土地成本表'!$D59)/1.1*0.1-'13.建安成本表'!$E199=0,0,(R6-'12.土地成本表'!$D59)/1.1*0.1-'13.建安成本表'!$E199)</f>
        <v>0</v>
      </c>
      <c r="S11" s="928">
        <f>IF((S6-'12.土地成本表'!$D60)/1.1*0.1-'13.建安成本表'!$E200=0,0,(S6-'12.土地成本表'!$D60)/1.1*0.1-'13.建安成本表'!$E200)</f>
        <v>0</v>
      </c>
      <c r="T11" s="928">
        <f>IF((T6-'12.土地成本表'!$D61)/1.1*0.1-'13.建安成本表'!$E201=0,0,(T6-'12.土地成本表'!$D61)/1.1*0.1-'13.建安成本表'!$E201)</f>
        <v>0</v>
      </c>
      <c r="U11" s="928">
        <f>IF((U6-'12.土地成本表'!$D62)/1.1*0.1-'13.建安成本表'!$E202=0,0,(U6-'12.土地成本表'!$D62)/1.1*0.1-'13.建安成本表'!$E202)</f>
        <v>0</v>
      </c>
      <c r="V11" s="928">
        <f>IF((V6-'12.土地成本表'!$D63)/1.1*0.1-'13.建安成本表'!$E203=0,0,(V6-'12.土地成本表'!$D63)/1.1*0.1-'13.建安成本表'!$E203)</f>
        <v>0</v>
      </c>
      <c r="W11" s="928">
        <f>IF((W6-'12.土地成本表'!$D64)/1.1*0.1-'13.建安成本表'!$E204=0,0,(W6-'12.土地成本表'!$D64)/1.1*0.1-'13.建安成本表'!$E204)</f>
        <v>0</v>
      </c>
      <c r="X11" s="928">
        <f>IF((X6-'12.土地成本表'!$D65)/1.1*0.1-'13.建安成本表'!$E205=0,0,(X6-'12.土地成本表'!$D65)/1.1*0.1-'13.建安成本表'!$E205)</f>
        <v>0</v>
      </c>
      <c r="Y11" s="928"/>
      <c r="Z11" s="928">
        <f>IF(Z6/1.1*0.1-'13.建安成本表'!$E207=0,0,Z6/1.1*0.1-'13.建安成本表'!$E207)</f>
        <v>48.589181571342124</v>
      </c>
      <c r="AA11" s="955">
        <f>IF(AA6/1.1*0.1-'13.建安成本表'!$E208=0,0,AA6/1.1*0.1-'13.建安成本表'!$E208)</f>
        <v>0</v>
      </c>
      <c r="AB11" s="956">
        <f t="shared" ref="AB11" si="91">SUM(AC11:AN11)</f>
        <v>0</v>
      </c>
      <c r="AC11" s="928">
        <f>IF((AC6-'12.土地成本表'!$E57)/1.1*0.1-'13.建安成本表'!$H197=0,0,(AC6-'12.土地成本表'!$E57)/1.1*0.1-'13.建安成本表'!$H197)</f>
        <v>0</v>
      </c>
      <c r="AD11" s="928">
        <f>IF((AD6-'12.土地成本表'!$E58)/1.1*0.1-'13.建安成本表'!$H198=0,0,(AD6-'12.土地成本表'!$E58)/1.1*0.1-'13.建安成本表'!$H198)</f>
        <v>0</v>
      </c>
      <c r="AE11" s="928">
        <f>IF((AE6-'12.土地成本表'!$E59)/1.1*0.1-'13.建安成本表'!$H199=0,0,(AE6-'12.土地成本表'!$E59)/1.1*0.1-'13.建安成本表'!$H199)</f>
        <v>0</v>
      </c>
      <c r="AF11" s="928">
        <f>IF((AF6-'12.土地成本表'!$E60)/1.1*0.1-'13.建安成本表'!$H200=0,0,(AF6-'12.土地成本表'!$E60)/1.1*0.1-'13.建安成本表'!$H200)</f>
        <v>0</v>
      </c>
      <c r="AG11" s="928">
        <f>IF((AG6-'12.土地成本表'!$E61)/1.1*0.1-'13.建安成本表'!$H201=0,0,(AG6-'12.土地成本表'!$E61)/1.1*0.1-'13.建安成本表'!$H201)</f>
        <v>0</v>
      </c>
      <c r="AH11" s="928">
        <f>IF((AH6-'12.土地成本表'!$E62)/1.1*0.1-'13.建安成本表'!$H202=0,0,(AH6-'12.土地成本表'!$E62)/1.1*0.1-'13.建安成本表'!$H202)</f>
        <v>0</v>
      </c>
      <c r="AI11" s="928">
        <f>IF((AI6-'12.土地成本表'!$E63)/1.1*0.1-'13.建安成本表'!$H203=0,0,(AI6-'12.土地成本表'!$E63)/1.1*0.1-'13.建安成本表'!$H203)</f>
        <v>0</v>
      </c>
      <c r="AJ11" s="928">
        <f>IF((AJ6-'12.土地成本表'!$E64)/1.1*0.1-'13.建安成本表'!$H204=0,0,(AJ6-'12.土地成本表'!$E64)/1.1*0.1-'13.建安成本表'!$H204)</f>
        <v>0</v>
      </c>
      <c r="AK11" s="928">
        <f>IF((AK6-'12.土地成本表'!$E65)/1.1*0.1-'13.建安成本表'!$H205=0,0,(AK6-'12.土地成本表'!$E65)/1.1*0.1-'13.建安成本表'!$H205)</f>
        <v>0</v>
      </c>
      <c r="AL11" s="928"/>
      <c r="AM11" s="928">
        <f>IF(AM6/1.1*0.1-'13.建安成本表'!$H207=0,0,AM6/1.1*0.1-'13.建安成本表'!$H207)</f>
        <v>0</v>
      </c>
      <c r="AN11" s="955">
        <f>IF(AN6/1.1*0.1-'13.建安成本表'!$H208=0,0,AN6/1.1*0.1-'13.建安成本表'!$H208)</f>
        <v>0</v>
      </c>
      <c r="AO11" s="956">
        <f t="shared" ref="AO11" si="92">SUM(AP11:BA11)</f>
        <v>0</v>
      </c>
      <c r="AP11" s="928">
        <f>IF((AP6-'12.土地成本表'!$F57)/1.1*0.1-'13.建安成本表'!$K197=0,0,(AP6-'12.土地成本表'!$F57)/1.1*0.1-'13.建安成本表'!$K197)</f>
        <v>0</v>
      </c>
      <c r="AQ11" s="928">
        <f>IF((AQ6-'12.土地成本表'!$F58)/1.1*0.1-'13.建安成本表'!$K198=0,0,(AQ6-'12.土地成本表'!$F58)/1.1*0.1-'13.建安成本表'!$K198)</f>
        <v>0</v>
      </c>
      <c r="AR11" s="928">
        <f>IF((AR6-'12.土地成本表'!$F59)/1.1*0.1-'13.建安成本表'!$K199=0,0,(AR6-'12.土地成本表'!$F59)/1.1*0.1-'13.建安成本表'!$K199)</f>
        <v>0</v>
      </c>
      <c r="AS11" s="928">
        <f>IF((AS6-'12.土地成本表'!$F60)/1.1*0.1-'13.建安成本表'!$K200=0,0,(AS6-'12.土地成本表'!$F60)/1.1*0.1-'13.建安成本表'!$K200)</f>
        <v>0</v>
      </c>
      <c r="AT11" s="928">
        <f>IF((AT6-'12.土地成本表'!$F61)/1.1*0.1-'13.建安成本表'!$K201=0,0,(AT6-'12.土地成本表'!$F61)/1.1*0.1-'13.建安成本表'!$K201)</f>
        <v>0</v>
      </c>
      <c r="AU11" s="928">
        <f>IF((AU6-'12.土地成本表'!$F62)/1.1*0.1-'13.建安成本表'!$K202=0,0,(AU6-'12.土地成本表'!$F62)/1.1*0.1-'13.建安成本表'!$K202)</f>
        <v>0</v>
      </c>
      <c r="AV11" s="928">
        <f>IF((AV6-'12.土地成本表'!$F63)/1.1*0.1-'13.建安成本表'!$K203=0,0,(AV6-'12.土地成本表'!$F63)/1.1*0.1-'13.建安成本表'!$K203)</f>
        <v>0</v>
      </c>
      <c r="AW11" s="928">
        <f>IF((AW6-'12.土地成本表'!$F64)/1.1*0.1-'13.建安成本表'!$K204=0,0,(AW6-'12.土地成本表'!$F64)/1.1*0.1-'13.建安成本表'!$K204)</f>
        <v>0</v>
      </c>
      <c r="AX11" s="928">
        <f>IF((AX6-'12.土地成本表'!$F65)/1.1*0.1-'13.建安成本表'!$K205=0,0,(AX6-'12.土地成本表'!$F65)/1.1*0.1-'13.建安成本表'!$K205)</f>
        <v>0</v>
      </c>
      <c r="AY11" s="928"/>
      <c r="AZ11" s="928">
        <f>IF(AZ6/1.1*0.1-'13.建安成本表'!$K207=0,0,AZ6/1.1*0.1-'13.建安成本表'!$K207)</f>
        <v>0</v>
      </c>
      <c r="BA11" s="955">
        <f>IF(BA6/1.1*0.1-'13.建安成本表'!$K208=0,0,BA6/1.1*0.1-'13.建安成本表'!$K208)</f>
        <v>0</v>
      </c>
      <c r="BB11" s="956">
        <f t="shared" ref="BB11" si="93">SUM(BC11:BN11)</f>
        <v>0</v>
      </c>
      <c r="BC11" s="928">
        <f>IF((BC6-'12.土地成本表'!$G57)/1.1*0.1-'13.建安成本表'!$N197=0,0,(BC6-'12.土地成本表'!$G57)/1.1*0.1-'13.建安成本表'!$N197)</f>
        <v>0</v>
      </c>
      <c r="BD11" s="928">
        <f>IF((BD6-'12.土地成本表'!$G58)/1.1*0.1-'13.建安成本表'!$N198=0,0,(BD6-'12.土地成本表'!$G58)/1.1*0.1-'13.建安成本表'!$N198)</f>
        <v>0</v>
      </c>
      <c r="BE11" s="928">
        <f>IF((BE6-'12.土地成本表'!$G59)/1.1*0.1-'13.建安成本表'!$N199=0,0,(BE6-'12.土地成本表'!$G59)/1.1*0.1-'13.建安成本表'!$N199)</f>
        <v>0</v>
      </c>
      <c r="BF11" s="928">
        <f>IF((BF6-'12.土地成本表'!$G60)/1.1*0.1-'13.建安成本表'!$N200=0,0,(BF6-'12.土地成本表'!$G60)/1.1*0.1-'13.建安成本表'!$N200)</f>
        <v>0</v>
      </c>
      <c r="BG11" s="928">
        <f>IF((BG6-'12.土地成本表'!$G61)/1.1*0.1-'13.建安成本表'!$N201=0,0,(BG6-'12.土地成本表'!$G61)/1.1*0.1-'13.建安成本表'!$N201)</f>
        <v>0</v>
      </c>
      <c r="BH11" s="928">
        <f>IF((BH6-'12.土地成本表'!$G62)/1.1*0.1-'13.建安成本表'!$N202=0,0,(BH6-'12.土地成本表'!$G62)/1.1*0.1-'13.建安成本表'!$N202)</f>
        <v>0</v>
      </c>
      <c r="BI11" s="928">
        <f>IF((BI6-'12.土地成本表'!$G63)/1.1*0.1-'13.建安成本表'!$N203=0,0,(BI6-'12.土地成本表'!$G63)/1.1*0.1-'13.建安成本表'!$N203)</f>
        <v>0</v>
      </c>
      <c r="BJ11" s="928">
        <f>IF((BJ6-'12.土地成本表'!$G64)/1.1*0.1-'13.建安成本表'!$N204=0,0,(BJ6-'12.土地成本表'!$G64)/1.1*0.1-'13.建安成本表'!$N204)</f>
        <v>0</v>
      </c>
      <c r="BK11" s="928">
        <f>IF((BK6-'12.土地成本表'!$G65)/1.1*0.1-'13.建安成本表'!$N205=0,0,(BK6-'12.土地成本表'!$G65)/1.1*0.1-'13.建安成本表'!$N205)</f>
        <v>0</v>
      </c>
      <c r="BL11" s="928"/>
      <c r="BM11" s="928">
        <f>IF(BM6/1.1*0.1-'13.建安成本表'!$N207=0,0,BM6/1.1*0.1-'13.建安成本表'!$N207)</f>
        <v>0</v>
      </c>
      <c r="BN11" s="955">
        <f>IF(BN6/1.1*0.1-'13.建安成本表'!$N208=0,0,BN6/1.1*0.1-'13.建安成本表'!$N208)</f>
        <v>0</v>
      </c>
      <c r="BO11" s="956">
        <f t="shared" ref="BO11" si="94">SUM(BP11:CA11)</f>
        <v>0</v>
      </c>
      <c r="BP11" s="928">
        <f>IF((BP6-'12.土地成本表'!$H57)/1.1*0.1-'13.建安成本表'!$Q197=0,0,(BP6-'12.土地成本表'!$H57)/1.1*0.1-'13.建安成本表'!$Q197)</f>
        <v>0</v>
      </c>
      <c r="BQ11" s="928">
        <f>IF((BQ6-'12.土地成本表'!$H58)/1.1*0.1-'13.建安成本表'!$Q198=0,0,(BQ6-'12.土地成本表'!$H58)/1.1*0.1-'13.建安成本表'!$Q198)</f>
        <v>0</v>
      </c>
      <c r="BR11" s="928">
        <f>IF((BR6-'12.土地成本表'!$H59)/1.1*0.1-'13.建安成本表'!$Q199=0,0,(BR6-'12.土地成本表'!$H59)/1.1*0.1-'13.建安成本表'!$Q199)</f>
        <v>0</v>
      </c>
      <c r="BS11" s="928">
        <f>IF((BS6-'12.土地成本表'!$H60)/1.1*0.1-'13.建安成本表'!$Q200=0,0,(BS6-'12.土地成本表'!$H60)/1.1*0.1-'13.建安成本表'!$Q200)</f>
        <v>0</v>
      </c>
      <c r="BT11" s="928">
        <f>IF((BT6-'12.土地成本表'!$H61)/1.1*0.1-'13.建安成本表'!$Q201=0,0,(BT6-'12.土地成本表'!$H61)/1.1*0.1-'13.建安成本表'!$Q201)</f>
        <v>0</v>
      </c>
      <c r="BU11" s="928">
        <f>IF((BU6-'12.土地成本表'!$H62)/1.1*0.1-'13.建安成本表'!$Q202=0,0,(BU6-'12.土地成本表'!$H62)/1.1*0.1-'13.建安成本表'!$Q202)</f>
        <v>0</v>
      </c>
      <c r="BV11" s="928">
        <f>IF((BV6-'12.土地成本表'!$H63)/1.1*0.1-'13.建安成本表'!$Q203=0,0,(BV6-'12.土地成本表'!$H63)/1.1*0.1-'13.建安成本表'!$Q203)</f>
        <v>0</v>
      </c>
      <c r="BW11" s="928">
        <f>IF((BW6-'12.土地成本表'!$H64)/1.1*0.1-'13.建安成本表'!$Q204=0,0,(BW6-'12.土地成本表'!$H64)/1.1*0.1-'13.建安成本表'!$Q204)</f>
        <v>0</v>
      </c>
      <c r="BX11" s="928">
        <f>IF((BX6-'12.土地成本表'!$H65)/1.1*0.1-'13.建安成本表'!$Q205=0,0,(BX6-'12.土地成本表'!$H65)/1.1*0.1-'13.建安成本表'!$Q205)</f>
        <v>0</v>
      </c>
      <c r="BY11" s="928"/>
      <c r="BZ11" s="928">
        <f>IF(BZ6/1.1*0.1-'13.建安成本表'!$Q207=0,0,BZ6/1.1*0.1-'13.建安成本表'!$Q207)</f>
        <v>0</v>
      </c>
      <c r="CA11" s="966">
        <f>IF(CA6/1.1*0.1-'13.建安成本表'!$Q208=0,0,CA6/1.1*0.1-'13.建安成本表'!$Q208)</f>
        <v>0</v>
      </c>
      <c r="CB11" s="956">
        <f t="shared" ref="CB11" si="95">SUM(CC11:CN11)</f>
        <v>0</v>
      </c>
      <c r="CC11" s="928">
        <f>IF((CC6-'12.土地成本表'!$I57)/1.1*0.1-'13.建安成本表'!$T197=0,0,(CC6-'12.土地成本表'!$I57)/1.1*0.1-'13.建安成本表'!$T197)</f>
        <v>0</v>
      </c>
      <c r="CD11" s="928">
        <f>IF((CD6-'12.土地成本表'!$I58)/1.1*0.1-'13.建安成本表'!$T198=0,0,(CD6-'12.土地成本表'!$I58)/1.1*0.1-'13.建安成本表'!$T198)</f>
        <v>0</v>
      </c>
      <c r="CE11" s="928">
        <f>IF((CE6-'12.土地成本表'!$I59)/1.1*0.1-'13.建安成本表'!$T199=0,0,(CE6-'12.土地成本表'!$I59)/1.1*0.1-'13.建安成本表'!$T199)</f>
        <v>0</v>
      </c>
      <c r="CF11" s="928">
        <f>IF((CF6-'12.土地成本表'!$I60)/1.1*0.1-'13.建安成本表'!$T200=0,0,(CF6-'12.土地成本表'!$I60)/1.1*0.1-'13.建安成本表'!$T200)</f>
        <v>0</v>
      </c>
      <c r="CG11" s="928">
        <f>IF((CG6-'12.土地成本表'!$I61)/1.1*0.1-'13.建安成本表'!$T201=0,0,(CG6-'12.土地成本表'!$I61)/1.1*0.1-'13.建安成本表'!$T201)</f>
        <v>0</v>
      </c>
      <c r="CH11" s="928">
        <f>IF((CH6-'12.土地成本表'!$I62)/1.1*0.1-'13.建安成本表'!$T202=0,0,(CH6-'12.土地成本表'!$I62)/1.1*0.1-'13.建安成本表'!$T202)</f>
        <v>0</v>
      </c>
      <c r="CI11" s="928">
        <f>IF((CI6-'12.土地成本表'!$I63)/1.1*0.1-'13.建安成本表'!$T203=0,0,(CI6-'12.土地成本表'!$I63)/1.1*0.1-'13.建安成本表'!$T203)</f>
        <v>0</v>
      </c>
      <c r="CJ11" s="928">
        <f>IF((CJ6-'12.土地成本表'!$I64)/1.1*0.1-'13.建安成本表'!$T204=0,0,(CJ6-'12.土地成本表'!$I64)/1.1*0.1-'13.建安成本表'!$T204)</f>
        <v>0</v>
      </c>
      <c r="CK11" s="928">
        <f>IF((CK6-'12.土地成本表'!$I65)/1.1*0.1-'13.建安成本表'!$T205=0,0,(CK6-'12.土地成本表'!$I65)/1.1*0.1-'13.建安成本表'!$T205)</f>
        <v>0</v>
      </c>
      <c r="CL11" s="928"/>
      <c r="CM11" s="928">
        <f>IF(CM6/1.1*0.1-'13.建安成本表'!$T207=0,0,CM6/1.1*0.1-'13.建安成本表'!$T207)</f>
        <v>0</v>
      </c>
      <c r="CN11" s="966">
        <f>IF(CN6/1.1*0.1-'13.建安成本表'!$T208=0,0,CN6/1.1*0.1-'13.建安成本表'!$T208)</f>
        <v>0</v>
      </c>
    </row>
    <row r="12" spans="1:92" s="894" customFormat="1" ht="18" customHeight="1" outlineLevel="1">
      <c r="A12" s="1126" t="s">
        <v>580</v>
      </c>
      <c r="B12" s="898">
        <f t="shared" si="6"/>
        <v>0</v>
      </c>
      <c r="C12" s="898">
        <f t="shared" si="7"/>
        <v>0</v>
      </c>
      <c r="D12" s="898">
        <f t="shared" ref="D12" si="96">SUM(Q12,AD12,AQ12,BD12,BQ12,CD12)</f>
        <v>0</v>
      </c>
      <c r="E12" s="898">
        <f t="shared" ref="E12" si="97">SUM(R12,AE12,AR12,BE12,BR12,CE12)</f>
        <v>0</v>
      </c>
      <c r="F12" s="898">
        <f t="shared" ref="F12" si="98">SUM(S12,AF12,AS12,BF12,BS12,CF12)</f>
        <v>0</v>
      </c>
      <c r="G12" s="898">
        <f t="shared" ref="G12" si="99">SUM(T12,AG12,AT12,BG12,BT12,CG12)</f>
        <v>0</v>
      </c>
      <c r="H12" s="898">
        <f t="shared" ref="H12" si="100">SUM(U12,AH12,AU12,BH12,BU12,CH12)</f>
        <v>0</v>
      </c>
      <c r="I12" s="898">
        <f t="shared" ref="I12" si="101">SUM(V12,AI12,AV12,BI12,BV12,CI12)</f>
        <v>0</v>
      </c>
      <c r="J12" s="898">
        <f t="shared" ref="J12" si="102">SUM(W12,AJ12,AW12,BJ12,BW12,CJ12)</f>
        <v>0</v>
      </c>
      <c r="K12" s="898">
        <f t="shared" ref="K12" si="103">SUM(X12,AK12,AX12,BK12,BX12,CK12)</f>
        <v>0</v>
      </c>
      <c r="L12" s="898">
        <f t="shared" ref="L12" si="104">SUM(Y12,AL12,AY12,BL12,BY12,CL12)</f>
        <v>0</v>
      </c>
      <c r="M12" s="898">
        <f t="shared" ref="M12" si="105">SUM(Z12,AM12,AZ12,BM12,BZ12,CM12)</f>
        <v>0</v>
      </c>
      <c r="N12" s="926">
        <f t="shared" ref="N12" si="106">SUM(AA12,AN12,BA12,BN12,CA12,CN12)</f>
        <v>0</v>
      </c>
      <c r="O12" s="875">
        <f t="shared" si="35"/>
        <v>0</v>
      </c>
      <c r="P12" s="928">
        <f>'14.增值税计算表'!E409</f>
        <v>0</v>
      </c>
      <c r="Q12" s="928">
        <f>'14.增值税计算表'!F409</f>
        <v>0</v>
      </c>
      <c r="R12" s="928">
        <f>'14.增值税计算表'!G409</f>
        <v>0</v>
      </c>
      <c r="S12" s="928">
        <f>'14.增值税计算表'!H409</f>
        <v>0</v>
      </c>
      <c r="T12" s="928">
        <f>'14.增值税计算表'!I409</f>
        <v>0</v>
      </c>
      <c r="U12" s="928">
        <f>'14.增值税计算表'!J409</f>
        <v>0</v>
      </c>
      <c r="V12" s="928">
        <f>'14.增值税计算表'!K409</f>
        <v>0</v>
      </c>
      <c r="W12" s="928">
        <f>'14.增值税计算表'!L409</f>
        <v>0</v>
      </c>
      <c r="X12" s="928">
        <f>'14.增值税计算表'!M409</f>
        <v>0</v>
      </c>
      <c r="Y12" s="928"/>
      <c r="Z12" s="928">
        <f>'14.增值税计算表'!O409</f>
        <v>0</v>
      </c>
      <c r="AA12" s="955">
        <f>'14.增值税计算表'!P409</f>
        <v>0</v>
      </c>
      <c r="AB12" s="956">
        <f t="shared" ref="AB12" si="107">SUM(AC12:AN12)</f>
        <v>0</v>
      </c>
      <c r="AC12" s="928">
        <f>'14.增值税计算表'!E410</f>
        <v>0</v>
      </c>
      <c r="AD12" s="928">
        <f>'14.增值税计算表'!F410</f>
        <v>0</v>
      </c>
      <c r="AE12" s="928">
        <f>'14.增值税计算表'!G410</f>
        <v>0</v>
      </c>
      <c r="AF12" s="928">
        <f>'14.增值税计算表'!H410</f>
        <v>0</v>
      </c>
      <c r="AG12" s="928">
        <f>'14.增值税计算表'!I410</f>
        <v>0</v>
      </c>
      <c r="AH12" s="928">
        <f>'14.增值税计算表'!J410</f>
        <v>0</v>
      </c>
      <c r="AI12" s="928">
        <f>'14.增值税计算表'!K410</f>
        <v>0</v>
      </c>
      <c r="AJ12" s="928">
        <f>'14.增值税计算表'!L410</f>
        <v>0</v>
      </c>
      <c r="AK12" s="928">
        <f>'14.增值税计算表'!M410</f>
        <v>0</v>
      </c>
      <c r="AL12" s="928"/>
      <c r="AM12" s="928">
        <f>'14.增值税计算表'!O410</f>
        <v>0</v>
      </c>
      <c r="AN12" s="955">
        <f>'14.增值税计算表'!P410</f>
        <v>0</v>
      </c>
      <c r="AO12" s="956">
        <f t="shared" ref="AO12" si="108">SUM(AP12:BA12)</f>
        <v>0</v>
      </c>
      <c r="AP12" s="928">
        <f>'14.增值税计算表'!R411</f>
        <v>0</v>
      </c>
      <c r="AQ12" s="928">
        <f>'14.增值税计算表'!S411</f>
        <v>0</v>
      </c>
      <c r="AR12" s="928">
        <f>'14.增值税计算表'!T411</f>
        <v>0</v>
      </c>
      <c r="AS12" s="928">
        <f>'14.增值税计算表'!U411</f>
        <v>0</v>
      </c>
      <c r="AT12" s="928">
        <f>'14.增值税计算表'!V411</f>
        <v>0</v>
      </c>
      <c r="AU12" s="928">
        <f>'14.增值税计算表'!W411</f>
        <v>0</v>
      </c>
      <c r="AV12" s="928">
        <f>'14.增值税计算表'!X411</f>
        <v>0</v>
      </c>
      <c r="AW12" s="928">
        <f>'14.增值税计算表'!Y411</f>
        <v>0</v>
      </c>
      <c r="AX12" s="928">
        <f>'14.增值税计算表'!Z411</f>
        <v>0</v>
      </c>
      <c r="AY12" s="928"/>
      <c r="AZ12" s="928">
        <f>'14.增值税计算表'!AB411</f>
        <v>0</v>
      </c>
      <c r="BA12" s="955">
        <f>'14.增值税计算表'!AC411</f>
        <v>0</v>
      </c>
      <c r="BB12" s="956">
        <f t="shared" ref="BB12" si="109">SUM(BC12:BN12)</f>
        <v>0</v>
      </c>
      <c r="BC12" s="928">
        <f>'14.增值税计算表'!AE412</f>
        <v>0</v>
      </c>
      <c r="BD12" s="928">
        <f>'14.增值税计算表'!AF412</f>
        <v>0</v>
      </c>
      <c r="BE12" s="928">
        <f>'14.增值税计算表'!AG412</f>
        <v>0</v>
      </c>
      <c r="BF12" s="928">
        <f>'14.增值税计算表'!AH412</f>
        <v>0</v>
      </c>
      <c r="BG12" s="928">
        <f>'14.增值税计算表'!AI412</f>
        <v>0</v>
      </c>
      <c r="BH12" s="928">
        <f>'14.增值税计算表'!AJ412</f>
        <v>0</v>
      </c>
      <c r="BI12" s="928">
        <f>'14.增值税计算表'!AK412</f>
        <v>0</v>
      </c>
      <c r="BJ12" s="928">
        <f>'14.增值税计算表'!AL412</f>
        <v>0</v>
      </c>
      <c r="BK12" s="928">
        <f>'14.增值税计算表'!AM412</f>
        <v>0</v>
      </c>
      <c r="BL12" s="928"/>
      <c r="BM12" s="928">
        <f>'14.增值税计算表'!AO412</f>
        <v>0</v>
      </c>
      <c r="BN12" s="955">
        <f>'14.增值税计算表'!AP412</f>
        <v>0</v>
      </c>
      <c r="BO12" s="956">
        <f t="shared" ref="BO12" si="110">SUM(BP12:CA12)</f>
        <v>0</v>
      </c>
      <c r="BP12" s="928">
        <f>'14.增值税计算表'!AR413</f>
        <v>0</v>
      </c>
      <c r="BQ12" s="928">
        <f>'14.增值税计算表'!AS413</f>
        <v>0</v>
      </c>
      <c r="BR12" s="928">
        <f>'14.增值税计算表'!AT413</f>
        <v>0</v>
      </c>
      <c r="BS12" s="928">
        <f>'14.增值税计算表'!AU413</f>
        <v>0</v>
      </c>
      <c r="BT12" s="928">
        <f>'14.增值税计算表'!AV413</f>
        <v>0</v>
      </c>
      <c r="BU12" s="928">
        <f>'14.增值税计算表'!AW413</f>
        <v>0</v>
      </c>
      <c r="BV12" s="928">
        <f>'14.增值税计算表'!AX413</f>
        <v>0</v>
      </c>
      <c r="BW12" s="928">
        <f>'14.增值税计算表'!AY413</f>
        <v>0</v>
      </c>
      <c r="BX12" s="928">
        <f>'14.增值税计算表'!AZ413</f>
        <v>0</v>
      </c>
      <c r="BY12" s="928"/>
      <c r="BZ12" s="928">
        <f>'14.增值税计算表'!BB413</f>
        <v>0</v>
      </c>
      <c r="CA12" s="966">
        <f>'14.增值税计算表'!BC413</f>
        <v>0</v>
      </c>
      <c r="CB12" s="956">
        <f t="shared" ref="CB12" si="111">SUM(CC12:CN12)</f>
        <v>0</v>
      </c>
      <c r="CC12" s="928">
        <f>'14.增值税计算表'!BE414</f>
        <v>0</v>
      </c>
      <c r="CD12" s="928">
        <f>'14.增值税计算表'!BF414</f>
        <v>0</v>
      </c>
      <c r="CE12" s="928">
        <f>'14.增值税计算表'!BG414</f>
        <v>0</v>
      </c>
      <c r="CF12" s="928">
        <f>'14.增值税计算表'!BH414</f>
        <v>0</v>
      </c>
      <c r="CG12" s="928">
        <f>'14.增值税计算表'!BI414</f>
        <v>0</v>
      </c>
      <c r="CH12" s="928">
        <f>'14.增值税计算表'!BJ414</f>
        <v>0</v>
      </c>
      <c r="CI12" s="928">
        <f>'14.增值税计算表'!BK414</f>
        <v>0</v>
      </c>
      <c r="CJ12" s="928">
        <f>'14.增值税计算表'!BL414</f>
        <v>0</v>
      </c>
      <c r="CK12" s="928">
        <f>'14.增值税计算表'!BM414</f>
        <v>0</v>
      </c>
      <c r="CL12" s="928"/>
      <c r="CM12" s="928">
        <f>'14.增值税计算表'!BO414</f>
        <v>0</v>
      </c>
      <c r="CN12" s="966">
        <f>'14.增值税计算表'!BP414</f>
        <v>0</v>
      </c>
    </row>
    <row r="13" spans="1:92" ht="18" customHeight="1" collapsed="1">
      <c r="A13" s="897" t="s">
        <v>581</v>
      </c>
      <c r="B13" s="870">
        <f t="shared" ref="B13:B20" si="112">SUM(C13:N13)</f>
        <v>557.31218406316918</v>
      </c>
      <c r="C13" s="870">
        <f t="shared" si="7"/>
        <v>482.72702400621495</v>
      </c>
      <c r="D13" s="870">
        <f t="shared" ref="D13" si="113">SUM(Q13,AD13,AQ13,BD13,BQ13,CD13)</f>
        <v>48.399687890536072</v>
      </c>
      <c r="E13" s="870">
        <f t="shared" ref="E13" si="114">SUM(R13,AE13,AR13,BE13,BR13,CE13)</f>
        <v>0</v>
      </c>
      <c r="F13" s="870">
        <f t="shared" ref="F13" si="115">SUM(S13,AF13,AS13,BF13,BS13,CF13)</f>
        <v>0</v>
      </c>
      <c r="G13" s="870">
        <f t="shared" ref="G13" si="116">SUM(T13,AG13,AT13,BG13,BT13,CG13)</f>
        <v>0</v>
      </c>
      <c r="H13" s="870">
        <f t="shared" ref="H13" si="117">SUM(U13,AH13,AU13,BH13,BU13,CH13)</f>
        <v>0</v>
      </c>
      <c r="I13" s="870">
        <f t="shared" ref="I13" si="118">SUM(V13,AI13,AV13,BI13,BV13,CI13)</f>
        <v>0</v>
      </c>
      <c r="J13" s="870">
        <f t="shared" ref="J13" si="119">SUM(W13,AJ13,AW13,BJ13,BW13,CJ13)</f>
        <v>0</v>
      </c>
      <c r="K13" s="870">
        <f t="shared" ref="K13" si="120">SUM(X13,AK13,AX13,BK13,BX13,CK13)</f>
        <v>0</v>
      </c>
      <c r="L13" s="870">
        <f t="shared" ref="L13" si="121">SUM(Y13,AL13,AY13,BL13,BY13,CL13)</f>
        <v>0</v>
      </c>
      <c r="M13" s="870">
        <f t="shared" ref="M13" si="122">SUM(Z13,AM13,AZ13,BM13,BZ13,CM13)</f>
        <v>26.185472166418233</v>
      </c>
      <c r="N13" s="923">
        <f t="shared" ref="N13" si="123">SUM(AA13,AN13,BA13,BN13,CA13,CN13)</f>
        <v>0</v>
      </c>
      <c r="O13" s="871">
        <f t="shared" si="35"/>
        <v>557.31218406316918</v>
      </c>
      <c r="P13" s="872">
        <f>IFERROR(('14.增值税计算表'!$D$355+'14.增值税计算表'!$D$366)/'5.分产品利润表'!$O6*'5.分产品利润表'!P6,0)</f>
        <v>482.72702400621495</v>
      </c>
      <c r="Q13" s="872">
        <f>IFERROR(('14.增值税计算表'!$D$355+'14.增值税计算表'!$D$366)/'5.分产品利润表'!$O6*'5.分产品利润表'!Q6,0)</f>
        <v>48.399687890536072</v>
      </c>
      <c r="R13" s="872">
        <f>IFERROR(('14.增值税计算表'!$D$355+'14.增值税计算表'!$D$366)/'5.分产品利润表'!$O6*'5.分产品利润表'!R6,0)</f>
        <v>0</v>
      </c>
      <c r="S13" s="872">
        <f>IFERROR(('14.增值税计算表'!$D$355+'14.增值税计算表'!$D$366)/'5.分产品利润表'!$O6*'5.分产品利润表'!S6,0)</f>
        <v>0</v>
      </c>
      <c r="T13" s="872">
        <f>IFERROR(('14.增值税计算表'!$D$355+'14.增值税计算表'!$D$366)/'5.分产品利润表'!$O6*'5.分产品利润表'!T6,0)</f>
        <v>0</v>
      </c>
      <c r="U13" s="872">
        <f>IFERROR(('14.增值税计算表'!$D$355+'14.增值税计算表'!$D$366)/'5.分产品利润表'!$O6*'5.分产品利润表'!U6,0)</f>
        <v>0</v>
      </c>
      <c r="V13" s="872">
        <f>IFERROR(('14.增值税计算表'!$D$355+'14.增值税计算表'!$D$366)/'5.分产品利润表'!$O6*'5.分产品利润表'!V6,0)</f>
        <v>0</v>
      </c>
      <c r="W13" s="872">
        <f>IFERROR(('14.增值税计算表'!$D$355+'14.增值税计算表'!$D$366)/'5.分产品利润表'!$O6*'5.分产品利润表'!W6,0)</f>
        <v>0</v>
      </c>
      <c r="X13" s="872">
        <f>IFERROR(('14.增值税计算表'!$D$355+'14.增值税计算表'!$D$366)/'5.分产品利润表'!$O6*'5.分产品利润表'!X6,0)</f>
        <v>0</v>
      </c>
      <c r="Y13" s="872"/>
      <c r="Z13" s="872">
        <f>IFERROR(('14.增值税计算表'!$D$355+'14.增值税计算表'!$D$366)/'5.分产品利润表'!$O6*'5.分产品利润表'!Z6,0)</f>
        <v>26.185472166418233</v>
      </c>
      <c r="AA13" s="951">
        <f>IFERROR(('14.增值税计算表'!$D$355+'14.增值税计算表'!$D$366)/'5.分产品利润表'!$O6*'5.分产品利润表'!AA6,0)</f>
        <v>0</v>
      </c>
      <c r="AB13" s="952">
        <f t="shared" ref="AB13:AB18" si="124">SUM(AC13:AN13)</f>
        <v>0</v>
      </c>
      <c r="AC13" s="872">
        <f>IFERROR(('14.增值税计算表'!$D$367+'14.增值税计算表'!$D$356)/'5.分产品利润表'!$AB6*'5.分产品利润表'!AC6,0)</f>
        <v>0</v>
      </c>
      <c r="AD13" s="872">
        <f>IFERROR(('14.增值税计算表'!$D$367+'14.增值税计算表'!$D$356)/'5.分产品利润表'!$AB6*'5.分产品利润表'!AD6,0)</f>
        <v>0</v>
      </c>
      <c r="AE13" s="872">
        <f>IFERROR(('14.增值税计算表'!$D$367+'14.增值税计算表'!$D$356)/'5.分产品利润表'!$AB6*'5.分产品利润表'!AE6,0)</f>
        <v>0</v>
      </c>
      <c r="AF13" s="872">
        <f>IFERROR(('14.增值税计算表'!$D$367+'14.增值税计算表'!$D$356)/'5.分产品利润表'!$AB6*'5.分产品利润表'!AF6,0)</f>
        <v>0</v>
      </c>
      <c r="AG13" s="872">
        <f>IFERROR(('14.增值税计算表'!$D$367+'14.增值税计算表'!$D$356)/'5.分产品利润表'!$AB6*'5.分产品利润表'!AG6,0)</f>
        <v>0</v>
      </c>
      <c r="AH13" s="872">
        <f>IFERROR(('14.增值税计算表'!$D$367+'14.增值税计算表'!$D$356)/'5.分产品利润表'!$AB6*'5.分产品利润表'!AH6,0)</f>
        <v>0</v>
      </c>
      <c r="AI13" s="872">
        <f>IFERROR(('14.增值税计算表'!$D$367+'14.增值税计算表'!$D$356)/'5.分产品利润表'!$AB6*'5.分产品利润表'!AI6,0)</f>
        <v>0</v>
      </c>
      <c r="AJ13" s="872">
        <f>IFERROR(('14.增值税计算表'!$D$367+'14.增值税计算表'!$D$356)/'5.分产品利润表'!$AB6*'5.分产品利润表'!AJ6,0)</f>
        <v>0</v>
      </c>
      <c r="AK13" s="872">
        <f>IFERROR(('14.增值税计算表'!$D$367+'14.增值税计算表'!$D$356)/'5.分产品利润表'!$AB6*'5.分产品利润表'!AK6,0)</f>
        <v>0</v>
      </c>
      <c r="AL13" s="872"/>
      <c r="AM13" s="872">
        <f>IFERROR(('14.增值税计算表'!$D$367+'14.增值税计算表'!$D$356)/'5.分产品利润表'!$AB6*'5.分产品利润表'!AM6,0)</f>
        <v>0</v>
      </c>
      <c r="AN13" s="951">
        <f>IFERROR(('14.增值税计算表'!$D$367+'14.增值税计算表'!$D$356)/'5.分产品利润表'!$AB6*'5.分产品利润表'!AN6,0)</f>
        <v>0</v>
      </c>
      <c r="AO13" s="952">
        <f t="shared" si="20"/>
        <v>0</v>
      </c>
      <c r="AP13" s="872">
        <f>IFERROR(('14.增值税计算表'!$D$357+'14.增值税计算表'!$D$368)/'5.分产品利润表'!$AO6*'5.分产品利润表'!AP6,0)</f>
        <v>0</v>
      </c>
      <c r="AQ13" s="872">
        <f>IFERROR(('14.增值税计算表'!$D$357+'14.增值税计算表'!$D$368)/'5.分产品利润表'!$AO6*'5.分产品利润表'!AQ6,0)</f>
        <v>0</v>
      </c>
      <c r="AR13" s="872">
        <f>IFERROR(('14.增值税计算表'!$D$357+'14.增值税计算表'!$D$368)/'5.分产品利润表'!$AO6*'5.分产品利润表'!AR6,0)</f>
        <v>0</v>
      </c>
      <c r="AS13" s="872">
        <f>IFERROR(('14.增值税计算表'!$D$357+'14.增值税计算表'!$D$368)/'5.分产品利润表'!$AO6*'5.分产品利润表'!AS6,0)</f>
        <v>0</v>
      </c>
      <c r="AT13" s="872">
        <f>IFERROR(('14.增值税计算表'!$D$357+'14.增值税计算表'!$D$368)/'5.分产品利润表'!$AO6*'5.分产品利润表'!AT6,0)</f>
        <v>0</v>
      </c>
      <c r="AU13" s="872">
        <f>IFERROR(('14.增值税计算表'!$D$357+'14.增值税计算表'!$D$368)/'5.分产品利润表'!$AO6*'5.分产品利润表'!AU6,0)</f>
        <v>0</v>
      </c>
      <c r="AV13" s="872">
        <f>IFERROR(('14.增值税计算表'!$D$357+'14.增值税计算表'!$D$368)/'5.分产品利润表'!$AO6*'5.分产品利润表'!AV6,0)</f>
        <v>0</v>
      </c>
      <c r="AW13" s="872">
        <f>IFERROR(('14.增值税计算表'!$D$357+'14.增值税计算表'!$D$368)/'5.分产品利润表'!$AO6*'5.分产品利润表'!AW6,0)</f>
        <v>0</v>
      </c>
      <c r="AX13" s="872">
        <f>IFERROR(('14.增值税计算表'!$D$357+'14.增值税计算表'!$D$368)/'5.分产品利润表'!$AO6*'5.分产品利润表'!AX6,0)</f>
        <v>0</v>
      </c>
      <c r="AY13" s="872"/>
      <c r="AZ13" s="872">
        <f>IFERROR(('14.增值税计算表'!$D$357+'14.增值税计算表'!$D$368)/'5.分产品利润表'!$AO6*'5.分产品利润表'!AZ6,0)</f>
        <v>0</v>
      </c>
      <c r="BA13" s="951">
        <f>IFERROR(('14.增值税计算表'!$D$357+'14.增值税计算表'!$D$368)/'5.分产品利润表'!$AO6*'5.分产品利润表'!BA6,0)</f>
        <v>0</v>
      </c>
      <c r="BB13" s="952">
        <f t="shared" si="21"/>
        <v>0</v>
      </c>
      <c r="BC13" s="872">
        <f>IFERROR(('14.增值税计算表'!$D$369+'14.增值税计算表'!$D$358)/'5.分产品利润表'!$BB6*'5.分产品利润表'!BC6,0)</f>
        <v>0</v>
      </c>
      <c r="BD13" s="872">
        <f>IFERROR(('14.增值税计算表'!$D$369+'14.增值税计算表'!$D$358)/'5.分产品利润表'!$BB6*'5.分产品利润表'!BD6,0)</f>
        <v>0</v>
      </c>
      <c r="BE13" s="872">
        <f>IFERROR(('14.增值税计算表'!$D$369+'14.增值税计算表'!$D$358)/'5.分产品利润表'!$BB6*'5.分产品利润表'!BE6,0)</f>
        <v>0</v>
      </c>
      <c r="BF13" s="872">
        <f>IFERROR(('14.增值税计算表'!$D$369+'14.增值税计算表'!$D$358)/'5.分产品利润表'!$BB6*'5.分产品利润表'!BF6,0)</f>
        <v>0</v>
      </c>
      <c r="BG13" s="872">
        <f>IFERROR(('14.增值税计算表'!$D$369+'14.增值税计算表'!$D$358)/'5.分产品利润表'!$BB6*'5.分产品利润表'!BG6,0)</f>
        <v>0</v>
      </c>
      <c r="BH13" s="872">
        <f>IFERROR(('14.增值税计算表'!$D$369+'14.增值税计算表'!$D$358)/'5.分产品利润表'!$BB6*'5.分产品利润表'!BH6,0)</f>
        <v>0</v>
      </c>
      <c r="BI13" s="872">
        <f>IFERROR(('14.增值税计算表'!$D$369+'14.增值税计算表'!$D$358)/'5.分产品利润表'!$BB6*'5.分产品利润表'!BI6,0)</f>
        <v>0</v>
      </c>
      <c r="BJ13" s="872">
        <f>IFERROR(('14.增值税计算表'!$D$369+'14.增值税计算表'!$D$358)/'5.分产品利润表'!$BB6*'5.分产品利润表'!BJ6,0)</f>
        <v>0</v>
      </c>
      <c r="BK13" s="872">
        <f>IFERROR(('14.增值税计算表'!$D$369+'14.增值税计算表'!$D$358)/'5.分产品利润表'!$BB6*'5.分产品利润表'!BK6,0)</f>
        <v>0</v>
      </c>
      <c r="BL13" s="872"/>
      <c r="BM13" s="872">
        <f>IFERROR(('14.增值税计算表'!$D$369+'14.增值税计算表'!$D$358)/'5.分产品利润表'!$BB6*'5.分产品利润表'!BM6,0)</f>
        <v>0</v>
      </c>
      <c r="BN13" s="951">
        <f>IFERROR(('14.增值税计算表'!$D$369+'14.增值税计算表'!$D$358)/'5.分产品利润表'!$BB6*'5.分产品利润表'!BN6,0)</f>
        <v>0</v>
      </c>
      <c r="BO13" s="952">
        <f t="shared" si="22"/>
        <v>0</v>
      </c>
      <c r="BP13" s="872">
        <f>IFERROR(('14.增值税计算表'!$D$359+'14.增值税计算表'!$D$370)/'5.分产品利润表'!$BO6*'5.分产品利润表'!BP6,0)</f>
        <v>0</v>
      </c>
      <c r="BQ13" s="872">
        <f>IFERROR(('14.增值税计算表'!$D$359+'14.增值税计算表'!$D$370)/'5.分产品利润表'!$BO6*'5.分产品利润表'!BQ6,0)</f>
        <v>0</v>
      </c>
      <c r="BR13" s="872">
        <f>IFERROR(('14.增值税计算表'!$D$359+'14.增值税计算表'!$D$370)/'5.分产品利润表'!$BO6*'5.分产品利润表'!BR6,0)</f>
        <v>0</v>
      </c>
      <c r="BS13" s="872">
        <f>IFERROR(('14.增值税计算表'!$D$359+'14.增值税计算表'!$D$370)/'5.分产品利润表'!$BO6*'5.分产品利润表'!BS6,0)</f>
        <v>0</v>
      </c>
      <c r="BT13" s="872">
        <f>IFERROR(('14.增值税计算表'!$D$359+'14.增值税计算表'!$D$370)/'5.分产品利润表'!$BO6*'5.分产品利润表'!BT6,0)</f>
        <v>0</v>
      </c>
      <c r="BU13" s="872">
        <f>IFERROR(('14.增值税计算表'!$D$359+'14.增值税计算表'!$D$370)/'5.分产品利润表'!$BO6*'5.分产品利润表'!BU6,0)</f>
        <v>0</v>
      </c>
      <c r="BV13" s="872">
        <f>IFERROR(('14.增值税计算表'!$D$359+'14.增值税计算表'!$D$370)/'5.分产品利润表'!$BO6*'5.分产品利润表'!BV6,0)</f>
        <v>0</v>
      </c>
      <c r="BW13" s="872">
        <f>IFERROR(('14.增值税计算表'!$D$359+'14.增值税计算表'!$D$370)/'5.分产品利润表'!$BO6*'5.分产品利润表'!BW6,0)</f>
        <v>0</v>
      </c>
      <c r="BX13" s="872">
        <f>IFERROR(('14.增值税计算表'!$D$359+'14.增值税计算表'!$D$370)/'5.分产品利润表'!$BO6*'5.分产品利润表'!BX6,0)</f>
        <v>0</v>
      </c>
      <c r="BY13" s="872"/>
      <c r="BZ13" s="872">
        <f>IFERROR(('14.增值税计算表'!$D$359+'14.增值税计算表'!$D$370)/'5.分产品利润表'!$BO6*'5.分产品利润表'!BZ6,0)</f>
        <v>0</v>
      </c>
      <c r="CA13" s="963">
        <f>IFERROR(('14.增值税计算表'!$D$359+'14.增值税计算表'!$D$370)/'5.分产品利润表'!$BO6*'5.分产品利润表'!CA6,0)</f>
        <v>0</v>
      </c>
      <c r="CB13" s="952">
        <f t="shared" si="23"/>
        <v>0</v>
      </c>
      <c r="CC13" s="872">
        <f>IFERROR(('14.增值税计算表'!$D$371+'14.增值税计算表'!$D$360)/'5.分产品利润表'!$CB6*'5.分产品利润表'!CC6,0)</f>
        <v>0</v>
      </c>
      <c r="CD13" s="872">
        <f>IFERROR(('14.增值税计算表'!$D$371+'14.增值税计算表'!$D$360)/'5.分产品利润表'!$CB6*'5.分产品利润表'!CD6,0)</f>
        <v>0</v>
      </c>
      <c r="CE13" s="872">
        <f>IFERROR(('14.增值税计算表'!$D$371+'14.增值税计算表'!$D$360)/'5.分产品利润表'!$CB6*'5.分产品利润表'!CE6,0)</f>
        <v>0</v>
      </c>
      <c r="CF13" s="872">
        <f>IFERROR(('14.增值税计算表'!$D$371+'14.增值税计算表'!$D$360)/'5.分产品利润表'!$CB6*'5.分产品利润表'!CF6,0)</f>
        <v>0</v>
      </c>
      <c r="CG13" s="872">
        <f>IFERROR(('14.增值税计算表'!$D$371+'14.增值税计算表'!$D$360)/'5.分产品利润表'!$CB6*'5.分产品利润表'!CG6,0)</f>
        <v>0</v>
      </c>
      <c r="CH13" s="872">
        <f>IFERROR(('14.增值税计算表'!$D$371+'14.增值税计算表'!$D$360)/'5.分产品利润表'!$CB6*'5.分产品利润表'!CH6,0)</f>
        <v>0</v>
      </c>
      <c r="CI13" s="872">
        <f>IFERROR(('14.增值税计算表'!$D$371+'14.增值税计算表'!$D$360)/'5.分产品利润表'!$CB6*'5.分产品利润表'!CI6,0)</f>
        <v>0</v>
      </c>
      <c r="CJ13" s="872">
        <f>IFERROR(('14.增值税计算表'!$D$371+'14.增值税计算表'!$D$360)/'5.分产品利润表'!$CB6*'5.分产品利润表'!CJ6,0)</f>
        <v>0</v>
      </c>
      <c r="CK13" s="872">
        <f>IFERROR(('14.增值税计算表'!$D$371+'14.增值税计算表'!$D$360)/'5.分产品利润表'!$CB6*'5.分产品利润表'!CK6,0)</f>
        <v>0</v>
      </c>
      <c r="CL13" s="872"/>
      <c r="CM13" s="872">
        <f>IFERROR(('14.增值税计算表'!$D$371+'14.增值税计算表'!$D$360)/'5.分产品利润表'!$CB6*'5.分产品利润表'!CM6,0)</f>
        <v>0</v>
      </c>
      <c r="CN13" s="963">
        <f>IFERROR(('14.增值税计算表'!$D$371+'14.增值税计算表'!$D$360)/'5.分产品利润表'!$CB6*'5.分产品利润表'!CN6,0)</f>
        <v>0</v>
      </c>
    </row>
    <row r="14" spans="1:92" ht="18" customHeight="1">
      <c r="A14" s="897" t="s">
        <v>582</v>
      </c>
      <c r="B14" s="870">
        <f t="shared" si="112"/>
        <v>47.994439083619042</v>
      </c>
      <c r="C14" s="870">
        <f t="shared" si="7"/>
        <v>34.451696258744001</v>
      </c>
      <c r="D14" s="870">
        <f t="shared" ref="D14" si="125">SUM(Q14,AD14,AQ14,BD14,BQ14,CD14)</f>
        <v>12.338886010342295</v>
      </c>
      <c r="E14" s="870">
        <f t="shared" ref="E14" si="126">SUM(R14,AE14,AR14,BE14,BR14,CE14)</f>
        <v>0</v>
      </c>
      <c r="F14" s="870">
        <f t="shared" ref="F14" si="127">SUM(S14,AF14,AS14,BF14,BS14,CF14)</f>
        <v>0</v>
      </c>
      <c r="G14" s="870">
        <f t="shared" ref="G14" si="128">SUM(T14,AG14,AT14,BG14,BT14,CG14)</f>
        <v>0</v>
      </c>
      <c r="H14" s="870">
        <f t="shared" ref="H14" si="129">SUM(U14,AH14,AU14,BH14,BU14,CH14)</f>
        <v>0</v>
      </c>
      <c r="I14" s="870">
        <f t="shared" ref="I14" si="130">SUM(V14,AI14,AV14,BI14,BV14,CI14)</f>
        <v>0</v>
      </c>
      <c r="J14" s="870">
        <f t="shared" ref="J14" si="131">SUM(W14,AJ14,AW14,BJ14,BW14,CJ14)</f>
        <v>0</v>
      </c>
      <c r="K14" s="870">
        <f t="shared" ref="K14" si="132">SUM(X14,AK14,AX14,BK14,BX14,CK14)</f>
        <v>0</v>
      </c>
      <c r="L14" s="870">
        <f t="shared" ref="L14" si="133">SUM(Y14,AL14,AY14,BL14,BY14,CL14)</f>
        <v>0</v>
      </c>
      <c r="M14" s="870">
        <f t="shared" ref="M14" si="134">SUM(Z14,AM14,AZ14,BM14,BZ14,CM14)</f>
        <v>1.2038568145327513</v>
      </c>
      <c r="N14" s="923">
        <f t="shared" ref="N14" si="135">SUM(AA14,AN14,BA14,BN14,CA14,CN14)</f>
        <v>0</v>
      </c>
      <c r="O14" s="871">
        <f t="shared" si="35"/>
        <v>47.994439083619042</v>
      </c>
      <c r="P14" s="872">
        <f>P6*('2.税率表'!$D$15+'2.税率表'!$D$16+'2.税率表'!$D$18)</f>
        <v>34.451696258744001</v>
      </c>
      <c r="Q14" s="872">
        <f>Q6*('2.税率表'!$D$15+'2.税率表'!$D$16+'2.税率表'!$D$18)</f>
        <v>12.338886010342295</v>
      </c>
      <c r="R14" s="872">
        <f>R6*('2.税率表'!$D$15+'2.税率表'!$D$16+'2.税率表'!$D$18)</f>
        <v>0</v>
      </c>
      <c r="S14" s="872">
        <f>S6*('2.税率表'!$D$15+'2.税率表'!$D$16+'2.税率表'!$D$18)</f>
        <v>0</v>
      </c>
      <c r="T14" s="872">
        <f>T6*('2.税率表'!$D$15+'2.税率表'!$D$16+'2.税率表'!$D$18)</f>
        <v>0</v>
      </c>
      <c r="U14" s="872">
        <f>U6*('2.税率表'!$D$15+'2.税率表'!$D$16+'2.税率表'!$D$18)</f>
        <v>0</v>
      </c>
      <c r="V14" s="872">
        <f>V6*('2.税率表'!$D$15+'2.税率表'!$D$16+'2.税率表'!$D$18)</f>
        <v>0</v>
      </c>
      <c r="W14" s="872">
        <f>W6*('2.税率表'!$D$15+'2.税率表'!$D$16+'2.税率表'!$D$18)</f>
        <v>0</v>
      </c>
      <c r="X14" s="872">
        <f>X6*('2.税率表'!$D$15+'2.税率表'!$D$16+'2.税率表'!$D$18)</f>
        <v>0</v>
      </c>
      <c r="Y14" s="872"/>
      <c r="Z14" s="872">
        <f>Z6*('2.税率表'!$D$15+'2.税率表'!$D$16+'2.税率表'!$D$18)</f>
        <v>1.2038568145327513</v>
      </c>
      <c r="AA14" s="951">
        <f>AA6*('2.税率表'!$D$15+'2.税率表'!$D$16+'2.税率表'!$D$18)</f>
        <v>0</v>
      </c>
      <c r="AB14" s="871">
        <f t="shared" si="124"/>
        <v>0</v>
      </c>
      <c r="AC14" s="872">
        <f>AC6*('2.税率表'!$D$15+'2.税率表'!$D$16+'2.税率表'!$D$18)</f>
        <v>0</v>
      </c>
      <c r="AD14" s="872">
        <f>AD6*('2.税率表'!$D$15+'2.税率表'!$D$16+'2.税率表'!$D$18)</f>
        <v>0</v>
      </c>
      <c r="AE14" s="872">
        <f>AE6*('2.税率表'!$D$15+'2.税率表'!$D$16+'2.税率表'!$D$18)</f>
        <v>0</v>
      </c>
      <c r="AF14" s="872">
        <f>AF6*('2.税率表'!$D$15+'2.税率表'!$D$16+'2.税率表'!$D$18)</f>
        <v>0</v>
      </c>
      <c r="AG14" s="872">
        <f>AG6*('2.税率表'!$D$15+'2.税率表'!$D$16+'2.税率表'!$D$18)</f>
        <v>0</v>
      </c>
      <c r="AH14" s="872">
        <f>AH6*('2.税率表'!$D$15+'2.税率表'!$D$16+'2.税率表'!$D$18)</f>
        <v>0</v>
      </c>
      <c r="AI14" s="872">
        <f>AI6*('2.税率表'!$D$15+'2.税率表'!$D$16+'2.税率表'!$D$18)</f>
        <v>0</v>
      </c>
      <c r="AJ14" s="872">
        <f>AJ6*('2.税率表'!$D$15+'2.税率表'!$D$16+'2.税率表'!$D$18)</f>
        <v>0</v>
      </c>
      <c r="AK14" s="872">
        <f>AK6*('2.税率表'!$D$15+'2.税率表'!$D$16+'2.税率表'!$D$18)</f>
        <v>0</v>
      </c>
      <c r="AL14" s="872"/>
      <c r="AM14" s="872">
        <f>AM6*('2.税率表'!$D$15+'2.税率表'!$D$16+'2.税率表'!$D$18)</f>
        <v>0</v>
      </c>
      <c r="AN14" s="951">
        <f>AN6*('2.税率表'!$D$15+'2.税率表'!$D$16+'2.税率表'!$D$18)</f>
        <v>0</v>
      </c>
      <c r="AO14" s="871">
        <f t="shared" si="20"/>
        <v>0</v>
      </c>
      <c r="AP14" s="872">
        <f>AP6*('2.税率表'!$D$15+'2.税率表'!$D$16+'2.税率表'!$D$18)</f>
        <v>0</v>
      </c>
      <c r="AQ14" s="872">
        <f>AQ6*('2.税率表'!$D$15+'2.税率表'!$D$16+'2.税率表'!$D$18)</f>
        <v>0</v>
      </c>
      <c r="AR14" s="872">
        <f>AR6*('2.税率表'!$D$15+'2.税率表'!$D$16+'2.税率表'!$D$18)</f>
        <v>0</v>
      </c>
      <c r="AS14" s="872">
        <f>AS6*('2.税率表'!$D$15+'2.税率表'!$D$16+'2.税率表'!$D$18)</f>
        <v>0</v>
      </c>
      <c r="AT14" s="872">
        <f>AT6*('2.税率表'!$D$15+'2.税率表'!$D$16+'2.税率表'!$D$18)</f>
        <v>0</v>
      </c>
      <c r="AU14" s="872">
        <f>AU6*('2.税率表'!$D$15+'2.税率表'!$D$16+'2.税率表'!$D$18)</f>
        <v>0</v>
      </c>
      <c r="AV14" s="872">
        <f>AV6*('2.税率表'!$D$15+'2.税率表'!$D$16+'2.税率表'!$D$18)</f>
        <v>0</v>
      </c>
      <c r="AW14" s="872">
        <f>AW6*('2.税率表'!$D$15+'2.税率表'!$D$16+'2.税率表'!$D$18)</f>
        <v>0</v>
      </c>
      <c r="AX14" s="872">
        <f>AX6*('2.税率表'!$D$15+'2.税率表'!$D$16+'2.税率表'!$D$18)</f>
        <v>0</v>
      </c>
      <c r="AY14" s="872"/>
      <c r="AZ14" s="872">
        <f>AZ6*('2.税率表'!$D$15+'2.税率表'!$D$16+'2.税率表'!$D$18)</f>
        <v>0</v>
      </c>
      <c r="BA14" s="951">
        <f>BA6*('2.税率表'!$D$15+'2.税率表'!$D$16+'2.税率表'!$D$18)</f>
        <v>0</v>
      </c>
      <c r="BB14" s="871">
        <f t="shared" si="21"/>
        <v>0</v>
      </c>
      <c r="BC14" s="872">
        <f>BC6*('2.税率表'!$D$15+'2.税率表'!$D$16+'2.税率表'!$D$18)</f>
        <v>0</v>
      </c>
      <c r="BD14" s="872">
        <f>BD6*('2.税率表'!$D$15+'2.税率表'!$D$16+'2.税率表'!$D$18)</f>
        <v>0</v>
      </c>
      <c r="BE14" s="872">
        <f>BE6*('2.税率表'!$D$15+'2.税率表'!$D$16+'2.税率表'!$D$18)</f>
        <v>0</v>
      </c>
      <c r="BF14" s="872">
        <f>BF6*('2.税率表'!$D$15+'2.税率表'!$D$16+'2.税率表'!$D$18)</f>
        <v>0</v>
      </c>
      <c r="BG14" s="872">
        <f>BG6*('2.税率表'!$D$15+'2.税率表'!$D$16+'2.税率表'!$D$18)</f>
        <v>0</v>
      </c>
      <c r="BH14" s="872">
        <f>BH6*('2.税率表'!$D$15+'2.税率表'!$D$16+'2.税率表'!$D$18)</f>
        <v>0</v>
      </c>
      <c r="BI14" s="872">
        <f>BI6*('2.税率表'!$D$15+'2.税率表'!$D$16+'2.税率表'!$D$18)</f>
        <v>0</v>
      </c>
      <c r="BJ14" s="872">
        <f>BJ6*('2.税率表'!$D$15+'2.税率表'!$D$16+'2.税率表'!$D$18)</f>
        <v>0</v>
      </c>
      <c r="BK14" s="872">
        <f>BK6*('2.税率表'!$D$15+'2.税率表'!$D$16+'2.税率表'!$D$18)</f>
        <v>0</v>
      </c>
      <c r="BL14" s="872"/>
      <c r="BM14" s="872">
        <f>BM6*('2.税率表'!$D$15+'2.税率表'!$D$16+'2.税率表'!$D$18)</f>
        <v>0</v>
      </c>
      <c r="BN14" s="951">
        <f>BN6*('2.税率表'!$D$15+'2.税率表'!$D$16+'2.税率表'!$D$18)</f>
        <v>0</v>
      </c>
      <c r="BO14" s="871">
        <f t="shared" si="22"/>
        <v>0</v>
      </c>
      <c r="BP14" s="872">
        <f>BP6*('2.税率表'!$D$15+'2.税率表'!$D$16+'2.税率表'!$D$18)</f>
        <v>0</v>
      </c>
      <c r="BQ14" s="872">
        <f>BQ6*('2.税率表'!$D$15+'2.税率表'!$D$16+'2.税率表'!$D$18)</f>
        <v>0</v>
      </c>
      <c r="BR14" s="872">
        <f>BR6*('2.税率表'!$D$15+'2.税率表'!$D$16+'2.税率表'!$D$18)</f>
        <v>0</v>
      </c>
      <c r="BS14" s="872">
        <f>BS6*('2.税率表'!$D$15+'2.税率表'!$D$16+'2.税率表'!$D$18)</f>
        <v>0</v>
      </c>
      <c r="BT14" s="872">
        <f>BT6*('2.税率表'!$D$15+'2.税率表'!$D$16+'2.税率表'!$D$18)</f>
        <v>0</v>
      </c>
      <c r="BU14" s="872">
        <f>BU6*('2.税率表'!$D$15+'2.税率表'!$D$16+'2.税率表'!$D$18)</f>
        <v>0</v>
      </c>
      <c r="BV14" s="872">
        <f>BV6*('2.税率表'!$D$15+'2.税率表'!$D$16+'2.税率表'!$D$18)</f>
        <v>0</v>
      </c>
      <c r="BW14" s="872">
        <f>BW6*('2.税率表'!$D$15+'2.税率表'!$D$16+'2.税率表'!$D$18)</f>
        <v>0</v>
      </c>
      <c r="BX14" s="872">
        <f>BX6*('2.税率表'!$D$15+'2.税率表'!$D$16+'2.税率表'!$D$18)</f>
        <v>0</v>
      </c>
      <c r="BY14" s="872"/>
      <c r="BZ14" s="872">
        <f>BZ6*('2.税率表'!$D$15+'2.税率表'!$D$16+'2.税率表'!$D$18)</f>
        <v>0</v>
      </c>
      <c r="CA14" s="951">
        <f>CA6*('2.税率表'!$D$15+'2.税率表'!$D$16+'2.税率表'!$D$18)</f>
        <v>0</v>
      </c>
      <c r="CB14" s="871">
        <f t="shared" si="23"/>
        <v>0</v>
      </c>
      <c r="CC14" s="872">
        <f>CC6*('2.税率表'!$D$15+'2.税率表'!$D$16+'2.税率表'!$D$18)</f>
        <v>0</v>
      </c>
      <c r="CD14" s="872">
        <f>CD6*('2.税率表'!$D$15+'2.税率表'!$D$16+'2.税率表'!$D$18)</f>
        <v>0</v>
      </c>
      <c r="CE14" s="872">
        <f>CE6*('2.税率表'!$D$15+'2.税率表'!$D$16+'2.税率表'!$D$18)</f>
        <v>0</v>
      </c>
      <c r="CF14" s="872">
        <f>CF6*('2.税率表'!$D$15+'2.税率表'!$D$16+'2.税率表'!$D$18)</f>
        <v>0</v>
      </c>
      <c r="CG14" s="872">
        <f>CG6*('2.税率表'!$D$15+'2.税率表'!$D$16+'2.税率表'!$D$18)</f>
        <v>0</v>
      </c>
      <c r="CH14" s="872">
        <f>CH6*('2.税率表'!$D$15+'2.税率表'!$D$16+'2.税率表'!$D$18)</f>
        <v>0</v>
      </c>
      <c r="CI14" s="872">
        <f>CI6*('2.税率表'!$D$15+'2.税率表'!$D$16+'2.税率表'!$D$18)</f>
        <v>0</v>
      </c>
      <c r="CJ14" s="872">
        <f>CJ6*('2.税率表'!$D$15+'2.税率表'!$D$16+'2.税率表'!$D$18)</f>
        <v>0</v>
      </c>
      <c r="CK14" s="872">
        <f>CK6*('2.税率表'!$D$15+'2.税率表'!$D$16+'2.税率表'!$D$18)</f>
        <v>0</v>
      </c>
      <c r="CL14" s="872"/>
      <c r="CM14" s="872">
        <f>CM6*('2.税率表'!$D$15+'2.税率表'!$D$16+'2.税率表'!$D$18)</f>
        <v>0</v>
      </c>
      <c r="CN14" s="951">
        <f>CN6*('2.税率表'!$D$15+'2.税率表'!$D$16+'2.税率表'!$D$18)</f>
        <v>0</v>
      </c>
    </row>
    <row r="15" spans="1:92" ht="18" customHeight="1">
      <c r="A15" s="897" t="s">
        <v>377</v>
      </c>
      <c r="B15" s="870">
        <f t="shared" ca="1" si="112"/>
        <v>7149.0265899704282</v>
      </c>
      <c r="C15" s="870">
        <f t="shared" ca="1" si="7"/>
        <v>3744.9989569173499</v>
      </c>
      <c r="D15" s="870">
        <f t="shared" ref="D15" ca="1" si="136">SUM(Q15,AD15,AQ15,BD15,BQ15,CD15)</f>
        <v>3101.4329581116267</v>
      </c>
      <c r="E15" s="870">
        <f t="shared" ref="E15" ca="1" si="137">SUM(R15,AE15,AR15,BE15,BR15,CE15)</f>
        <v>0</v>
      </c>
      <c r="F15" s="870">
        <f t="shared" ref="F15" ca="1" si="138">SUM(S15,AF15,AS15,BF15,BS15,CF15)</f>
        <v>0</v>
      </c>
      <c r="G15" s="870">
        <f t="shared" ref="G15" ca="1" si="139">SUM(T15,AG15,AT15,BG15,BT15,CG15)</f>
        <v>0</v>
      </c>
      <c r="H15" s="870">
        <f t="shared" ref="H15" ca="1" si="140">SUM(U15,AH15,AU15,BH15,BU15,CH15)</f>
        <v>0</v>
      </c>
      <c r="I15" s="870">
        <f t="shared" ref="I15" ca="1" si="141">SUM(V15,AI15,AV15,BI15,BV15,CI15)</f>
        <v>0</v>
      </c>
      <c r="J15" s="870">
        <f t="shared" ref="J15" ca="1" si="142">SUM(W15,AJ15,AW15,BJ15,BW15,CJ15)</f>
        <v>0</v>
      </c>
      <c r="K15" s="870">
        <f t="shared" ref="K15" ca="1" si="143">SUM(X15,AK15,AX15,BK15,BX15,CK15)</f>
        <v>0</v>
      </c>
      <c r="L15" s="870">
        <f t="shared" ref="L15" si="144">SUM(Y15,AL15,AY15,BL15,BY15,CL15)</f>
        <v>0</v>
      </c>
      <c r="M15" s="870">
        <f t="shared" ref="M15" ca="1" si="145">SUM(Z15,AM15,AZ15,BM15,BZ15,CM15)</f>
        <v>302.59467494145161</v>
      </c>
      <c r="N15" s="923">
        <f t="shared" ref="N15" ca="1" si="146">SUM(AA15,AN15,BA15,BN15,CA15,CN15)</f>
        <v>0</v>
      </c>
      <c r="O15" s="871">
        <f t="shared" ca="1" si="35"/>
        <v>7149.0265899704282</v>
      </c>
      <c r="P15" s="872">
        <f ca="1">MAX(Sheet3!D20,Sheet3!D21)</f>
        <v>3744.9989569173499</v>
      </c>
      <c r="Q15" s="872">
        <f ca="1">MAX(Sheet3!E20,Sheet3!E21)</f>
        <v>3101.4329581116267</v>
      </c>
      <c r="R15" s="872">
        <f>MAX(Sheet3!F20,Sheet3!F21)</f>
        <v>0</v>
      </c>
      <c r="S15" s="872">
        <f>MAX(Sheet3!G20,Sheet3!G21)</f>
        <v>0</v>
      </c>
      <c r="T15" s="872">
        <f>MAX(Sheet3!H20,Sheet3!H21)</f>
        <v>0</v>
      </c>
      <c r="U15" s="872">
        <f>MAX(Sheet3!I20,Sheet3!I21)</f>
        <v>0</v>
      </c>
      <c r="V15" s="872">
        <f>MAX(Sheet3!J20,Sheet3!J21)</f>
        <v>0</v>
      </c>
      <c r="W15" s="872">
        <f>MAX(Sheet3!K20,Sheet3!K21)</f>
        <v>0</v>
      </c>
      <c r="X15" s="872">
        <f>MAX(Sheet3!L20,Sheet3!L21)</f>
        <v>0</v>
      </c>
      <c r="Y15" s="872"/>
      <c r="Z15" s="872">
        <f ca="1">MAX(Sheet3!N20,Sheet3!N21)</f>
        <v>302.59467494145161</v>
      </c>
      <c r="AA15" s="872">
        <f>MAX(Sheet3!O20,Sheet3!O21)</f>
        <v>0</v>
      </c>
      <c r="AB15" s="952">
        <f t="shared" ca="1" si="124"/>
        <v>0</v>
      </c>
      <c r="AC15" s="872">
        <f ca="1">MAX(Sheet3!D38,Sheet3!D39)</f>
        <v>0</v>
      </c>
      <c r="AD15" s="872">
        <f ca="1">MAX(Sheet3!E38,Sheet3!E39)</f>
        <v>0</v>
      </c>
      <c r="AE15" s="872">
        <f ca="1">MAX(Sheet3!F38,Sheet3!F39)</f>
        <v>0</v>
      </c>
      <c r="AF15" s="872">
        <f ca="1">MAX(Sheet3!G38,Sheet3!G39)</f>
        <v>0</v>
      </c>
      <c r="AG15" s="872">
        <f ca="1">MAX(Sheet3!H38,Sheet3!H39)</f>
        <v>0</v>
      </c>
      <c r="AH15" s="872">
        <f ca="1">MAX(Sheet3!I38,Sheet3!I39)</f>
        <v>0</v>
      </c>
      <c r="AI15" s="872">
        <f ca="1">MAX(Sheet3!J38,Sheet3!J39)</f>
        <v>0</v>
      </c>
      <c r="AJ15" s="872">
        <f ca="1">MAX(Sheet3!K38,Sheet3!K39)</f>
        <v>0</v>
      </c>
      <c r="AK15" s="872">
        <f ca="1">MAX(Sheet3!L38,Sheet3!L39)</f>
        <v>0</v>
      </c>
      <c r="AL15" s="872"/>
      <c r="AM15" s="872">
        <f ca="1">MAX(Sheet3!N38,Sheet3!N39)</f>
        <v>0</v>
      </c>
      <c r="AN15" s="872">
        <f ca="1">MAX(Sheet3!O38,Sheet3!O39)</f>
        <v>0</v>
      </c>
      <c r="AO15" s="952">
        <f t="shared" ca="1" si="20"/>
        <v>0</v>
      </c>
      <c r="AP15" s="872">
        <f ca="1">MAX(Sheet3!D56,Sheet3!D57)</f>
        <v>0</v>
      </c>
      <c r="AQ15" s="872">
        <f ca="1">MAX(Sheet3!E56,Sheet3!E57)</f>
        <v>0</v>
      </c>
      <c r="AR15" s="872">
        <f ca="1">MAX(Sheet3!F56,Sheet3!F57)</f>
        <v>0</v>
      </c>
      <c r="AS15" s="872">
        <f ca="1">MAX(Sheet3!G56,Sheet3!G57)</f>
        <v>0</v>
      </c>
      <c r="AT15" s="872">
        <f ca="1">MAX(Sheet3!H56,Sheet3!H57)</f>
        <v>0</v>
      </c>
      <c r="AU15" s="872">
        <f ca="1">MAX(Sheet3!I56,Sheet3!I57)</f>
        <v>0</v>
      </c>
      <c r="AV15" s="872">
        <f ca="1">MAX(Sheet3!J56,Sheet3!J57)</f>
        <v>0</v>
      </c>
      <c r="AW15" s="872">
        <f ca="1">MAX(Sheet3!K56,Sheet3!K57)</f>
        <v>0</v>
      </c>
      <c r="AX15" s="872">
        <f ca="1">MAX(Sheet3!L56,Sheet3!L57)</f>
        <v>0</v>
      </c>
      <c r="AY15" s="872"/>
      <c r="AZ15" s="872">
        <f ca="1">MAX(Sheet3!N56,Sheet3!N57)</f>
        <v>0</v>
      </c>
      <c r="BA15" s="872">
        <f ca="1">MAX(Sheet3!O56,Sheet3!O57)</f>
        <v>0</v>
      </c>
      <c r="BB15" s="952">
        <f t="shared" ca="1" si="21"/>
        <v>0</v>
      </c>
      <c r="BC15" s="872">
        <f ca="1">MAX(Sheet3!D74,Sheet3!D75)</f>
        <v>0</v>
      </c>
      <c r="BD15" s="872">
        <f ca="1">MAX(Sheet3!E74,Sheet3!E75)</f>
        <v>0</v>
      </c>
      <c r="BE15" s="872">
        <f ca="1">MAX(Sheet3!F74,Sheet3!F75)</f>
        <v>0</v>
      </c>
      <c r="BF15" s="872">
        <f ca="1">MAX(Sheet3!G74,Sheet3!G75)</f>
        <v>0</v>
      </c>
      <c r="BG15" s="872">
        <f ca="1">MAX(Sheet3!H74,Sheet3!H75)</f>
        <v>0</v>
      </c>
      <c r="BH15" s="872">
        <f ca="1">MAX(Sheet3!I74,Sheet3!I75)</f>
        <v>0</v>
      </c>
      <c r="BI15" s="872">
        <f ca="1">MAX(Sheet3!J74,Sheet3!J75)</f>
        <v>0</v>
      </c>
      <c r="BJ15" s="872">
        <f ca="1">MAX(Sheet3!K74,Sheet3!K75)</f>
        <v>0</v>
      </c>
      <c r="BK15" s="872">
        <f ca="1">MAX(Sheet3!L74,Sheet3!L75)</f>
        <v>0</v>
      </c>
      <c r="BL15" s="872"/>
      <c r="BM15" s="872">
        <f ca="1">MAX(Sheet3!N74,Sheet3!N75)</f>
        <v>0</v>
      </c>
      <c r="BN15" s="872">
        <f ca="1">MAX(Sheet3!O74,Sheet3!O75)</f>
        <v>0</v>
      </c>
      <c r="BO15" s="952">
        <f t="shared" ca="1" si="22"/>
        <v>0</v>
      </c>
      <c r="BP15" s="872">
        <f ca="1">MAX(Sheet3!D93,Sheet3!D92)</f>
        <v>0</v>
      </c>
      <c r="BQ15" s="872">
        <f ca="1">MAX(Sheet3!E93,Sheet3!E92)</f>
        <v>0</v>
      </c>
      <c r="BR15" s="872">
        <f ca="1">MAX(Sheet3!F93,Sheet3!F92)</f>
        <v>0</v>
      </c>
      <c r="BS15" s="872">
        <f ca="1">MAX(Sheet3!G93,Sheet3!G92)</f>
        <v>0</v>
      </c>
      <c r="BT15" s="872">
        <f ca="1">MAX(Sheet3!H93,Sheet3!H92)</f>
        <v>0</v>
      </c>
      <c r="BU15" s="872">
        <f ca="1">MAX(Sheet3!I93,Sheet3!I92)</f>
        <v>0</v>
      </c>
      <c r="BV15" s="872">
        <f ca="1">MAX(Sheet3!J93,Sheet3!J92)</f>
        <v>0</v>
      </c>
      <c r="BW15" s="872">
        <f ca="1">MAX(Sheet3!K93,Sheet3!K92)</f>
        <v>0</v>
      </c>
      <c r="BX15" s="872">
        <f ca="1">MAX(Sheet3!L93,Sheet3!L92)</f>
        <v>0</v>
      </c>
      <c r="BY15" s="872"/>
      <c r="BZ15" s="872">
        <f ca="1">MAX(Sheet3!N93,Sheet3!N92)</f>
        <v>0</v>
      </c>
      <c r="CA15" s="872">
        <f ca="1">MAX(Sheet3!O93,Sheet3!O92)</f>
        <v>0</v>
      </c>
      <c r="CB15" s="952">
        <f t="shared" ca="1" si="23"/>
        <v>0</v>
      </c>
      <c r="CC15" s="872">
        <f ca="1">MAX(Sheet3!D110,Sheet3!D111)</f>
        <v>0</v>
      </c>
      <c r="CD15" s="872">
        <f ca="1">MAX(Sheet3!E110,Sheet3!E111)</f>
        <v>0</v>
      </c>
      <c r="CE15" s="872">
        <f ca="1">MAX(Sheet3!F110,Sheet3!F111)</f>
        <v>0</v>
      </c>
      <c r="CF15" s="872">
        <f ca="1">MAX(Sheet3!G110,Sheet3!G111)</f>
        <v>0</v>
      </c>
      <c r="CG15" s="872">
        <f ca="1">MAX(Sheet3!H110,Sheet3!H111)</f>
        <v>0</v>
      </c>
      <c r="CH15" s="872">
        <f ca="1">MAX(Sheet3!I110,Sheet3!I111)</f>
        <v>0</v>
      </c>
      <c r="CI15" s="872">
        <f ca="1">MAX(Sheet3!J110,Sheet3!J111)</f>
        <v>0</v>
      </c>
      <c r="CJ15" s="872">
        <f ca="1">MAX(Sheet3!K110,Sheet3!K111)</f>
        <v>0</v>
      </c>
      <c r="CK15" s="872">
        <f ca="1">MAX(Sheet3!L110,Sheet3!L111)</f>
        <v>0</v>
      </c>
      <c r="CL15" s="872"/>
      <c r="CM15" s="872">
        <f ca="1">MAX(Sheet3!N110,Sheet3!N111)</f>
        <v>0</v>
      </c>
      <c r="CN15" s="872">
        <f ca="1">MAX(Sheet3!O110,Sheet3!O111)</f>
        <v>0</v>
      </c>
    </row>
    <row r="16" spans="1:92" ht="18" customHeight="1">
      <c r="A16" s="897" t="s">
        <v>583</v>
      </c>
      <c r="B16" s="870">
        <f t="shared" si="112"/>
        <v>1919.7775633447618</v>
      </c>
      <c r="C16" s="870">
        <f t="shared" si="7"/>
        <v>1378.06785034976</v>
      </c>
      <c r="D16" s="870">
        <f t="shared" ref="D16" si="147">SUM(Q16,AD16,AQ16,BD16,BQ16,CD16)</f>
        <v>493.55544041369177</v>
      </c>
      <c r="E16" s="870">
        <f t="shared" ref="E16" si="148">SUM(R16,AE16,AR16,BE16,BR16,CE16)</f>
        <v>0</v>
      </c>
      <c r="F16" s="870">
        <f t="shared" ref="F16" si="149">SUM(S16,AF16,AS16,BF16,BS16,CF16)</f>
        <v>0</v>
      </c>
      <c r="G16" s="870">
        <f t="shared" ref="G16" si="150">SUM(T16,AG16,AT16,BG16,BT16,CG16)</f>
        <v>0</v>
      </c>
      <c r="H16" s="870">
        <f t="shared" ref="H16" si="151">SUM(U16,AH16,AU16,BH16,BU16,CH16)</f>
        <v>0</v>
      </c>
      <c r="I16" s="870">
        <f t="shared" ref="I16" si="152">SUM(V16,AI16,AV16,BI16,BV16,CI16)</f>
        <v>0</v>
      </c>
      <c r="J16" s="870">
        <f t="shared" ref="J16" si="153">SUM(W16,AJ16,AW16,BJ16,BW16,CJ16)</f>
        <v>0</v>
      </c>
      <c r="K16" s="870">
        <f t="shared" ref="K16" si="154">SUM(X16,AK16,AX16,BK16,BX16,CK16)</f>
        <v>0</v>
      </c>
      <c r="L16" s="870">
        <f t="shared" ref="L16" si="155">SUM(Y16,AL16,AY16,BL16,BY16,CL16)</f>
        <v>0</v>
      </c>
      <c r="M16" s="870">
        <f t="shared" ref="M16" si="156">SUM(Z16,AM16,AZ16,BM16,BZ16,CM16)</f>
        <v>48.154272581310053</v>
      </c>
      <c r="N16" s="923">
        <f t="shared" ref="N16" si="157">SUM(AA16,AN16,BA16,BN16,CA16,CN16)</f>
        <v>0</v>
      </c>
      <c r="O16" s="871">
        <f t="shared" si="35"/>
        <v>1919.7775633447618</v>
      </c>
      <c r="P16" s="872">
        <f>P6*'1.参数设置'!$E$5</f>
        <v>1378.06785034976</v>
      </c>
      <c r="Q16" s="872">
        <f>Q6*'1.参数设置'!$E$5</f>
        <v>493.55544041369177</v>
      </c>
      <c r="R16" s="872">
        <f>R6*'1.参数设置'!$E$5</f>
        <v>0</v>
      </c>
      <c r="S16" s="872">
        <f>S6*'1.参数设置'!$E$5</f>
        <v>0</v>
      </c>
      <c r="T16" s="872">
        <f>T6*'1.参数设置'!$E$5</f>
        <v>0</v>
      </c>
      <c r="U16" s="872">
        <f>U6*'1.参数设置'!$E$5</f>
        <v>0</v>
      </c>
      <c r="V16" s="872">
        <f>V6*'1.参数设置'!$E$5</f>
        <v>0</v>
      </c>
      <c r="W16" s="872">
        <f>W6*'1.参数设置'!$E$5</f>
        <v>0</v>
      </c>
      <c r="X16" s="872">
        <f>X6*'1.参数设置'!$E$5</f>
        <v>0</v>
      </c>
      <c r="Y16" s="872"/>
      <c r="Z16" s="872">
        <f>Z6*'1.参数设置'!$E$5</f>
        <v>48.154272581310053</v>
      </c>
      <c r="AA16" s="951">
        <f>AA6*'1.参数设置'!$E$5</f>
        <v>0</v>
      </c>
      <c r="AB16" s="952">
        <f t="shared" si="124"/>
        <v>0</v>
      </c>
      <c r="AC16" s="872">
        <f>AC6*'1.参数设置'!$E$5</f>
        <v>0</v>
      </c>
      <c r="AD16" s="872">
        <f>AD6*'1.参数设置'!$E$5</f>
        <v>0</v>
      </c>
      <c r="AE16" s="872">
        <f>AE6*'1.参数设置'!$E$5</f>
        <v>0</v>
      </c>
      <c r="AF16" s="872">
        <f>AF6*'1.参数设置'!$E$5</f>
        <v>0</v>
      </c>
      <c r="AG16" s="872">
        <f>AG6*'1.参数设置'!$E$5</f>
        <v>0</v>
      </c>
      <c r="AH16" s="872">
        <f>AH6*'1.参数设置'!$E$5</f>
        <v>0</v>
      </c>
      <c r="AI16" s="872">
        <f>AI6*'1.参数设置'!$E$5</f>
        <v>0</v>
      </c>
      <c r="AJ16" s="872">
        <f>AJ6*'1.参数设置'!$E$5</f>
        <v>0</v>
      </c>
      <c r="AK16" s="872">
        <f>AK6*'1.参数设置'!$E$5</f>
        <v>0</v>
      </c>
      <c r="AL16" s="872"/>
      <c r="AM16" s="872">
        <f>AM6*'1.参数设置'!$E$5</f>
        <v>0</v>
      </c>
      <c r="AN16" s="951">
        <f>AN6*'1.参数设置'!$E$5</f>
        <v>0</v>
      </c>
      <c r="AO16" s="952">
        <f t="shared" si="20"/>
        <v>0</v>
      </c>
      <c r="AP16" s="872">
        <f>AP6*'1.参数设置'!$E$5</f>
        <v>0</v>
      </c>
      <c r="AQ16" s="872">
        <f>AQ6*'1.参数设置'!$E$5</f>
        <v>0</v>
      </c>
      <c r="AR16" s="872">
        <f>AR6*'1.参数设置'!$E$5</f>
        <v>0</v>
      </c>
      <c r="AS16" s="872">
        <f>AS6*'1.参数设置'!$E$5</f>
        <v>0</v>
      </c>
      <c r="AT16" s="872">
        <f>AT6*'1.参数设置'!$E$5</f>
        <v>0</v>
      </c>
      <c r="AU16" s="872">
        <f>AU6*'1.参数设置'!$E$5</f>
        <v>0</v>
      </c>
      <c r="AV16" s="872">
        <f>AV6*'1.参数设置'!$E$5</f>
        <v>0</v>
      </c>
      <c r="AW16" s="872">
        <f>AW6*'1.参数设置'!$E$5</f>
        <v>0</v>
      </c>
      <c r="AX16" s="872">
        <f>AX6*'1.参数设置'!$E$5</f>
        <v>0</v>
      </c>
      <c r="AY16" s="872"/>
      <c r="AZ16" s="872">
        <f>AZ6*'1.参数设置'!$E$5</f>
        <v>0</v>
      </c>
      <c r="BA16" s="951">
        <f>BA6*'1.参数设置'!$E$5</f>
        <v>0</v>
      </c>
      <c r="BB16" s="952">
        <f t="shared" si="21"/>
        <v>0</v>
      </c>
      <c r="BC16" s="872">
        <f>BC6*'1.参数设置'!$E$5</f>
        <v>0</v>
      </c>
      <c r="BD16" s="872">
        <f>BD6*'1.参数设置'!$E$5</f>
        <v>0</v>
      </c>
      <c r="BE16" s="872">
        <f>BE6*'1.参数设置'!$E$5</f>
        <v>0</v>
      </c>
      <c r="BF16" s="872">
        <f>BF6*'1.参数设置'!$E$5</f>
        <v>0</v>
      </c>
      <c r="BG16" s="872">
        <f>BG6*'1.参数设置'!$E$5</f>
        <v>0</v>
      </c>
      <c r="BH16" s="872">
        <f>BH6*'1.参数设置'!$E$5</f>
        <v>0</v>
      </c>
      <c r="BI16" s="872">
        <f>BI6*'1.参数设置'!$E$5</f>
        <v>0</v>
      </c>
      <c r="BJ16" s="872">
        <f>BJ6*'1.参数设置'!$E$5</f>
        <v>0</v>
      </c>
      <c r="BK16" s="872">
        <f>BK6*'1.参数设置'!$E$5</f>
        <v>0</v>
      </c>
      <c r="BL16" s="872"/>
      <c r="BM16" s="872">
        <f>BM6*'1.参数设置'!$E$5</f>
        <v>0</v>
      </c>
      <c r="BN16" s="951">
        <f>BN6*'1.参数设置'!$E$5</f>
        <v>0</v>
      </c>
      <c r="BO16" s="952">
        <f t="shared" si="22"/>
        <v>0</v>
      </c>
      <c r="BP16" s="872">
        <f>BP6*'1.参数设置'!$E$5</f>
        <v>0</v>
      </c>
      <c r="BQ16" s="872">
        <f>BQ6*'1.参数设置'!$E$5</f>
        <v>0</v>
      </c>
      <c r="BR16" s="872">
        <f>BR6*'1.参数设置'!$E$5</f>
        <v>0</v>
      </c>
      <c r="BS16" s="872">
        <f>BS6*'1.参数设置'!$E$5</f>
        <v>0</v>
      </c>
      <c r="BT16" s="872">
        <f>BT6*'1.参数设置'!$E$5</f>
        <v>0</v>
      </c>
      <c r="BU16" s="872">
        <f>BU6*'1.参数设置'!$E$5</f>
        <v>0</v>
      </c>
      <c r="BV16" s="872">
        <f>BV6*'1.参数设置'!$E$5</f>
        <v>0</v>
      </c>
      <c r="BW16" s="872">
        <f>BW6*'1.参数设置'!$E$5</f>
        <v>0</v>
      </c>
      <c r="BX16" s="872">
        <f>BX6*'1.参数设置'!$E$5</f>
        <v>0</v>
      </c>
      <c r="BY16" s="872"/>
      <c r="BZ16" s="872">
        <f>BZ6*'1.参数设置'!$E$5</f>
        <v>0</v>
      </c>
      <c r="CA16" s="951">
        <f>CA6*'1.参数设置'!$E$5</f>
        <v>0</v>
      </c>
      <c r="CB16" s="952">
        <f t="shared" si="23"/>
        <v>0</v>
      </c>
      <c r="CC16" s="872">
        <f>CC6*'1.参数设置'!$E$5</f>
        <v>0</v>
      </c>
      <c r="CD16" s="872">
        <f>CD6*'1.参数设置'!$E$5</f>
        <v>0</v>
      </c>
      <c r="CE16" s="872">
        <f>CE6*'1.参数设置'!$E$5</f>
        <v>0</v>
      </c>
      <c r="CF16" s="872">
        <f>CF6*'1.参数设置'!$E$5</f>
        <v>0</v>
      </c>
      <c r="CG16" s="872">
        <f>CG6*'1.参数设置'!$E$5</f>
        <v>0</v>
      </c>
      <c r="CH16" s="872">
        <f>CH6*'1.参数设置'!$E$5</f>
        <v>0</v>
      </c>
      <c r="CI16" s="872">
        <f>CI6*'1.参数设置'!$E$5</f>
        <v>0</v>
      </c>
      <c r="CJ16" s="872">
        <f>CJ6*'1.参数设置'!$E$5</f>
        <v>0</v>
      </c>
      <c r="CK16" s="872">
        <f>CK6*'1.参数设置'!$E$5</f>
        <v>0</v>
      </c>
      <c r="CL16" s="872"/>
      <c r="CM16" s="872">
        <f>CM6*'1.参数设置'!$E$5</f>
        <v>0</v>
      </c>
      <c r="CN16" s="963">
        <f>CN6*'1.参数设置'!$E$5</f>
        <v>0</v>
      </c>
    </row>
    <row r="17" spans="1:92" ht="18" customHeight="1">
      <c r="A17" s="897" t="s">
        <v>584</v>
      </c>
      <c r="B17" s="870">
        <f t="shared" si="112"/>
        <v>2399.7219541809527</v>
      </c>
      <c r="C17" s="870">
        <f t="shared" si="7"/>
        <v>1722.5848129372</v>
      </c>
      <c r="D17" s="870">
        <f t="shared" ref="D17" si="158">SUM(Q17,AD17,AQ17,BD17,BQ17,CD17)</f>
        <v>616.9443005171147</v>
      </c>
      <c r="E17" s="870">
        <f t="shared" ref="E17" si="159">SUM(R17,AE17,AR17,BE17,BR17,CE17)</f>
        <v>0</v>
      </c>
      <c r="F17" s="870">
        <f t="shared" ref="F17" si="160">SUM(S17,AF17,AS17,BF17,BS17,CF17)</f>
        <v>0</v>
      </c>
      <c r="G17" s="870">
        <f t="shared" ref="G17" si="161">SUM(T17,AG17,AT17,BG17,BT17,CG17)</f>
        <v>0</v>
      </c>
      <c r="H17" s="870">
        <f t="shared" ref="H17" si="162">SUM(U17,AH17,AU17,BH17,BU17,CH17)</f>
        <v>0</v>
      </c>
      <c r="I17" s="870">
        <f t="shared" ref="I17" si="163">SUM(V17,AI17,AV17,BI17,BV17,CI17)</f>
        <v>0</v>
      </c>
      <c r="J17" s="870">
        <f t="shared" ref="J17" si="164">SUM(W17,AJ17,AW17,BJ17,BW17,CJ17)</f>
        <v>0</v>
      </c>
      <c r="K17" s="870">
        <f t="shared" ref="K17" si="165">SUM(X17,AK17,AX17,BK17,BX17,CK17)</f>
        <v>0</v>
      </c>
      <c r="L17" s="870">
        <f t="shared" ref="L17" si="166">SUM(Y17,AL17,AY17,BL17,BY17,CL17)</f>
        <v>0</v>
      </c>
      <c r="M17" s="870">
        <f t="shared" ref="M17" si="167">SUM(Z17,AM17,AZ17,BM17,BZ17,CM17)</f>
        <v>60.19284072663757</v>
      </c>
      <c r="N17" s="923">
        <f t="shared" ref="N17" si="168">SUM(AA17,AN17,BA17,BN17,CA17,CN17)</f>
        <v>0</v>
      </c>
      <c r="O17" s="871">
        <f t="shared" si="35"/>
        <v>2399.7219541809527</v>
      </c>
      <c r="P17" s="872">
        <f>P6*'1.参数设置'!$C$5</f>
        <v>1722.5848129372</v>
      </c>
      <c r="Q17" s="872">
        <f>Q6*'1.参数设置'!$C$5</f>
        <v>616.9443005171147</v>
      </c>
      <c r="R17" s="872">
        <f>R6*'1.参数设置'!$C$5</f>
        <v>0</v>
      </c>
      <c r="S17" s="872">
        <f>S6*'1.参数设置'!$C$5</f>
        <v>0</v>
      </c>
      <c r="T17" s="872">
        <f>T6*'1.参数设置'!$C$5</f>
        <v>0</v>
      </c>
      <c r="U17" s="872">
        <f>U6*'1.参数设置'!$C$5</f>
        <v>0</v>
      </c>
      <c r="V17" s="872">
        <f>V6*'1.参数设置'!$C$5</f>
        <v>0</v>
      </c>
      <c r="W17" s="872">
        <f>W6*'1.参数设置'!$C$5</f>
        <v>0</v>
      </c>
      <c r="X17" s="872">
        <f>X6*'1.参数设置'!$C$5</f>
        <v>0</v>
      </c>
      <c r="Y17" s="872"/>
      <c r="Z17" s="872">
        <f>Z6*'1.参数设置'!$C$5</f>
        <v>60.19284072663757</v>
      </c>
      <c r="AA17" s="951">
        <f>AA6*'1.参数设置'!$C$5</f>
        <v>0</v>
      </c>
      <c r="AB17" s="952">
        <f t="shared" si="124"/>
        <v>0</v>
      </c>
      <c r="AC17" s="872">
        <f>AC6*'1.参数设置'!$C$5</f>
        <v>0</v>
      </c>
      <c r="AD17" s="872">
        <f>AD6*'1.参数设置'!$C$5</f>
        <v>0</v>
      </c>
      <c r="AE17" s="872">
        <f>AE6*'1.参数设置'!$C$5</f>
        <v>0</v>
      </c>
      <c r="AF17" s="872">
        <f>AF6*'1.参数设置'!$C$5</f>
        <v>0</v>
      </c>
      <c r="AG17" s="872">
        <f>AG6*'1.参数设置'!$C$5</f>
        <v>0</v>
      </c>
      <c r="AH17" s="872">
        <f>AH6*'1.参数设置'!$C$5</f>
        <v>0</v>
      </c>
      <c r="AI17" s="872">
        <f>AI6*'1.参数设置'!$C$5</f>
        <v>0</v>
      </c>
      <c r="AJ17" s="872">
        <f>AJ6*'1.参数设置'!$C$5</f>
        <v>0</v>
      </c>
      <c r="AK17" s="872">
        <f>AK6*'1.参数设置'!$C$5</f>
        <v>0</v>
      </c>
      <c r="AL17" s="872"/>
      <c r="AM17" s="872">
        <f>AM6*'1.参数设置'!$C$5</f>
        <v>0</v>
      </c>
      <c r="AN17" s="951">
        <f>AN6*'1.参数设置'!$C$5</f>
        <v>0</v>
      </c>
      <c r="AO17" s="952">
        <f t="shared" si="20"/>
        <v>0</v>
      </c>
      <c r="AP17" s="872">
        <f>AP6*'1.参数设置'!$C$5</f>
        <v>0</v>
      </c>
      <c r="AQ17" s="872">
        <f>AQ6*'1.参数设置'!$C$5</f>
        <v>0</v>
      </c>
      <c r="AR17" s="872">
        <f>AR6*'1.参数设置'!$C$5</f>
        <v>0</v>
      </c>
      <c r="AS17" s="872">
        <f>AS6*'1.参数设置'!$C$5</f>
        <v>0</v>
      </c>
      <c r="AT17" s="872">
        <f>AT6*'1.参数设置'!$C$5</f>
        <v>0</v>
      </c>
      <c r="AU17" s="872">
        <f>AU6*'1.参数设置'!$C$5</f>
        <v>0</v>
      </c>
      <c r="AV17" s="872">
        <f>AV6*'1.参数设置'!$C$5</f>
        <v>0</v>
      </c>
      <c r="AW17" s="872">
        <f>AW6*'1.参数设置'!$C$5</f>
        <v>0</v>
      </c>
      <c r="AX17" s="872">
        <f>AX6*'1.参数设置'!$C$5</f>
        <v>0</v>
      </c>
      <c r="AY17" s="872">
        <f>AY6*'1.参数设置'!$C$5</f>
        <v>0</v>
      </c>
      <c r="AZ17" s="872">
        <f>AZ6*'1.参数设置'!$C$5</f>
        <v>0</v>
      </c>
      <c r="BA17" s="951">
        <f>BA6*'1.参数设置'!$C$5</f>
        <v>0</v>
      </c>
      <c r="BB17" s="952">
        <f t="shared" si="21"/>
        <v>0</v>
      </c>
      <c r="BC17" s="872">
        <f>BC6*'1.参数设置'!$C$5</f>
        <v>0</v>
      </c>
      <c r="BD17" s="872">
        <f>BD6*'1.参数设置'!$C$5</f>
        <v>0</v>
      </c>
      <c r="BE17" s="872">
        <f>BE6*'1.参数设置'!$C$5</f>
        <v>0</v>
      </c>
      <c r="BF17" s="872">
        <f>BF6*'1.参数设置'!$C$5</f>
        <v>0</v>
      </c>
      <c r="BG17" s="872">
        <f>BG6*'1.参数设置'!$C$5</f>
        <v>0</v>
      </c>
      <c r="BH17" s="872">
        <f>BH6*'1.参数设置'!$C$5</f>
        <v>0</v>
      </c>
      <c r="BI17" s="872">
        <f>BI6*'1.参数设置'!$C$5</f>
        <v>0</v>
      </c>
      <c r="BJ17" s="872">
        <f>BJ6*'1.参数设置'!$C$5</f>
        <v>0</v>
      </c>
      <c r="BK17" s="872">
        <f>BK6*'1.参数设置'!$C$5</f>
        <v>0</v>
      </c>
      <c r="BL17" s="872">
        <f>BL6*'1.参数设置'!$C$5</f>
        <v>0</v>
      </c>
      <c r="BM17" s="872">
        <f>BM6*'1.参数设置'!$C$5</f>
        <v>0</v>
      </c>
      <c r="BN17" s="951">
        <f>BN6*'1.参数设置'!$C$5</f>
        <v>0</v>
      </c>
      <c r="BO17" s="952">
        <f t="shared" si="22"/>
        <v>0</v>
      </c>
      <c r="BP17" s="872">
        <f>BP6*'1.参数设置'!$C$5</f>
        <v>0</v>
      </c>
      <c r="BQ17" s="872">
        <f>BQ6*'1.参数设置'!$C$5</f>
        <v>0</v>
      </c>
      <c r="BR17" s="872">
        <f>BR6*'1.参数设置'!$C$5</f>
        <v>0</v>
      </c>
      <c r="BS17" s="872">
        <f>BS6*'1.参数设置'!$C$5</f>
        <v>0</v>
      </c>
      <c r="BT17" s="872">
        <f>BT6*'1.参数设置'!$C$5</f>
        <v>0</v>
      </c>
      <c r="BU17" s="872">
        <f>BU6*'1.参数设置'!$C$5</f>
        <v>0</v>
      </c>
      <c r="BV17" s="872">
        <f>BV6*'1.参数设置'!$C$5</f>
        <v>0</v>
      </c>
      <c r="BW17" s="872">
        <f>BW6*'1.参数设置'!$C$5</f>
        <v>0</v>
      </c>
      <c r="BX17" s="872">
        <f>BX6*'1.参数设置'!$C$5</f>
        <v>0</v>
      </c>
      <c r="BY17" s="872"/>
      <c r="BZ17" s="872">
        <f>BZ6*'1.参数设置'!$C$5</f>
        <v>0</v>
      </c>
      <c r="CA17" s="951">
        <f>CA6*'1.参数设置'!$C$5</f>
        <v>0</v>
      </c>
      <c r="CB17" s="952">
        <f t="shared" si="23"/>
        <v>0</v>
      </c>
      <c r="CC17" s="872">
        <f>CC6*'1.参数设置'!$C$5</f>
        <v>0</v>
      </c>
      <c r="CD17" s="872">
        <f>CD6*'1.参数设置'!$C$5</f>
        <v>0</v>
      </c>
      <c r="CE17" s="872">
        <f>CE6*'1.参数设置'!$C$5</f>
        <v>0</v>
      </c>
      <c r="CF17" s="872">
        <f>CF6*'1.参数设置'!$C$5</f>
        <v>0</v>
      </c>
      <c r="CG17" s="872">
        <f>CG6*'1.参数设置'!$C$5</f>
        <v>0</v>
      </c>
      <c r="CH17" s="872">
        <f>CH6*'1.参数设置'!$C$5</f>
        <v>0</v>
      </c>
      <c r="CI17" s="872">
        <f>CI6*'1.参数设置'!$C$5</f>
        <v>0</v>
      </c>
      <c r="CJ17" s="872">
        <f>CJ6*'1.参数设置'!$C$5</f>
        <v>0</v>
      </c>
      <c r="CK17" s="872">
        <f>CK6*'1.参数设置'!$C$5</f>
        <v>0</v>
      </c>
      <c r="CL17" s="872"/>
      <c r="CM17" s="872">
        <f>CM6*'1.参数设置'!$C$5</f>
        <v>0</v>
      </c>
      <c r="CN17" s="963">
        <f>CN6*'1.参数设置'!$C$5</f>
        <v>0</v>
      </c>
    </row>
    <row r="18" spans="1:92" ht="18" customHeight="1">
      <c r="A18" s="897" t="s">
        <v>373</v>
      </c>
      <c r="B18" s="870">
        <f t="shared" ca="1" si="112"/>
        <v>901.5</v>
      </c>
      <c r="C18" s="870">
        <f t="shared" ca="1" si="7"/>
        <v>786.4312016661313</v>
      </c>
      <c r="D18" s="870">
        <f t="shared" ref="D18" ca="1" si="169">SUM(Q18,AD18,AQ18,BD18,BQ18,CD18)</f>
        <v>61.074823354538523</v>
      </c>
      <c r="E18" s="870">
        <f t="shared" ref="E18" si="170">SUM(R18,AE18,AR18,BE18,BR18,CE18)</f>
        <v>0</v>
      </c>
      <c r="F18" s="870">
        <f t="shared" ref="F18" ca="1" si="171">SUM(S18,AF18,AS18,BF18,BS18,CF18)</f>
        <v>0</v>
      </c>
      <c r="G18" s="870">
        <f t="shared" ref="G18" ca="1" si="172">SUM(T18,AG18,AT18,BG18,BT18,CG18)</f>
        <v>0</v>
      </c>
      <c r="H18" s="870">
        <f t="shared" ref="H18" ca="1" si="173">SUM(U18,AH18,AU18,BH18,BU18,CH18)</f>
        <v>0</v>
      </c>
      <c r="I18" s="870">
        <f t="shared" ref="I18" ca="1" si="174">SUM(V18,AI18,AV18,BI18,BV18,CI18)</f>
        <v>0</v>
      </c>
      <c r="J18" s="870">
        <f t="shared" ref="J18" ca="1" si="175">SUM(W18,AJ18,AW18,BJ18,BW18,CJ18)</f>
        <v>0</v>
      </c>
      <c r="K18" s="870">
        <f t="shared" ref="K18" ca="1" si="176">SUM(X18,AK18,AX18,BK18,BX18,CK18)</f>
        <v>0</v>
      </c>
      <c r="L18" s="870">
        <f t="shared" ref="L18" ca="1" si="177">SUM(Y18,AL18,AY18,BL18,BY18,CL18)</f>
        <v>0</v>
      </c>
      <c r="M18" s="870">
        <f t="shared" ref="M18" ca="1" si="178">SUM(Z18,AM18,AZ18,BM18,BZ18,CM18)</f>
        <v>53.993974979330268</v>
      </c>
      <c r="N18" s="923">
        <f t="shared" ref="N18" ca="1" si="179">SUM(AA18,AN18,BA18,BN18,CA18,CN18)</f>
        <v>0</v>
      </c>
      <c r="O18" s="871">
        <f t="shared" ca="1" si="35"/>
        <v>901.5</v>
      </c>
      <c r="P18" s="872">
        <f ca="1">'17.财务费用测算表'!D30</f>
        <v>786.4312016661313</v>
      </c>
      <c r="Q18" s="872">
        <f ca="1">'17.财务费用测算表'!E30</f>
        <v>61.074823354538523</v>
      </c>
      <c r="R18" s="872">
        <f>'17.财务费用测算表'!F30</f>
        <v>0</v>
      </c>
      <c r="S18" s="872">
        <f ca="1">'17.财务费用测算表'!G30</f>
        <v>0</v>
      </c>
      <c r="T18" s="872">
        <f ca="1">'17.财务费用测算表'!H30</f>
        <v>0</v>
      </c>
      <c r="U18" s="872">
        <f ca="1">'17.财务费用测算表'!I30</f>
        <v>0</v>
      </c>
      <c r="V18" s="872">
        <f ca="1">'17.财务费用测算表'!J30</f>
        <v>0</v>
      </c>
      <c r="W18" s="872">
        <f ca="1">'17.财务费用测算表'!K30</f>
        <v>0</v>
      </c>
      <c r="X18" s="872">
        <f ca="1">'17.财务费用测算表'!L30</f>
        <v>0</v>
      </c>
      <c r="Y18" s="872">
        <f ca="1">'17.财务费用测算表'!M30</f>
        <v>0</v>
      </c>
      <c r="Z18" s="872">
        <f ca="1">'17.财务费用测算表'!N30</f>
        <v>53.993974979330268</v>
      </c>
      <c r="AA18" s="951">
        <f ca="1">'17.财务费用测算表'!O30</f>
        <v>0</v>
      </c>
      <c r="AB18" s="952">
        <f t="shared" ca="1" si="124"/>
        <v>0</v>
      </c>
      <c r="AC18" s="872">
        <f ca="1">'17.财务费用测算表'!D31</f>
        <v>0</v>
      </c>
      <c r="AD18" s="872">
        <f ca="1">'17.财务费用测算表'!E31</f>
        <v>0</v>
      </c>
      <c r="AE18" s="872">
        <f>'17.财务费用测算表'!F31</f>
        <v>0</v>
      </c>
      <c r="AF18" s="872">
        <f ca="1">'17.财务费用测算表'!G31</f>
        <v>0</v>
      </c>
      <c r="AG18" s="872">
        <f ca="1">'17.财务费用测算表'!H31</f>
        <v>0</v>
      </c>
      <c r="AH18" s="872">
        <f ca="1">'17.财务费用测算表'!I31</f>
        <v>0</v>
      </c>
      <c r="AI18" s="872">
        <f ca="1">'17.财务费用测算表'!J31</f>
        <v>0</v>
      </c>
      <c r="AJ18" s="872">
        <f ca="1">'17.财务费用测算表'!K31</f>
        <v>0</v>
      </c>
      <c r="AK18" s="872">
        <f ca="1">'17.财务费用测算表'!L31</f>
        <v>0</v>
      </c>
      <c r="AL18" s="872">
        <f ca="1">'17.财务费用测算表'!M31</f>
        <v>0</v>
      </c>
      <c r="AM18" s="872">
        <f ca="1">'17.财务费用测算表'!N31</f>
        <v>0</v>
      </c>
      <c r="AN18" s="951">
        <f ca="1">'17.财务费用测算表'!O31</f>
        <v>0</v>
      </c>
      <c r="AO18" s="952">
        <f t="shared" ca="1" si="20"/>
        <v>0</v>
      </c>
      <c r="AP18" s="872">
        <f ca="1">'17.财务费用测算表'!D32</f>
        <v>0</v>
      </c>
      <c r="AQ18" s="872">
        <f ca="1">'17.财务费用测算表'!E32</f>
        <v>0</v>
      </c>
      <c r="AR18" s="872">
        <f>'17.财务费用测算表'!F32</f>
        <v>0</v>
      </c>
      <c r="AS18" s="872">
        <f ca="1">'17.财务费用测算表'!G32</f>
        <v>0</v>
      </c>
      <c r="AT18" s="872">
        <f ca="1">'17.财务费用测算表'!H32</f>
        <v>0</v>
      </c>
      <c r="AU18" s="872">
        <f ca="1">'17.财务费用测算表'!I32</f>
        <v>0</v>
      </c>
      <c r="AV18" s="872">
        <f ca="1">'17.财务费用测算表'!J32</f>
        <v>0</v>
      </c>
      <c r="AW18" s="872">
        <f ca="1">'17.财务费用测算表'!K32</f>
        <v>0</v>
      </c>
      <c r="AX18" s="872">
        <f ca="1">'17.财务费用测算表'!L32</f>
        <v>0</v>
      </c>
      <c r="AY18" s="872"/>
      <c r="AZ18" s="872">
        <f ca="1">'17.财务费用测算表'!N32</f>
        <v>0</v>
      </c>
      <c r="BA18" s="951">
        <f ca="1">'17.财务费用测算表'!O32</f>
        <v>0</v>
      </c>
      <c r="BB18" s="952">
        <f t="shared" ca="1" si="21"/>
        <v>0</v>
      </c>
      <c r="BC18" s="872">
        <f ca="1">'17.财务费用测算表'!D33</f>
        <v>0</v>
      </c>
      <c r="BD18" s="872">
        <f ca="1">'17.财务费用测算表'!E33</f>
        <v>0</v>
      </c>
      <c r="BE18" s="872">
        <f>'17.财务费用测算表'!F33</f>
        <v>0</v>
      </c>
      <c r="BF18" s="872">
        <f ca="1">'17.财务费用测算表'!G33</f>
        <v>0</v>
      </c>
      <c r="BG18" s="872">
        <f ca="1">'17.财务费用测算表'!H33</f>
        <v>0</v>
      </c>
      <c r="BH18" s="872">
        <f ca="1">'17.财务费用测算表'!I33</f>
        <v>0</v>
      </c>
      <c r="BI18" s="872">
        <f ca="1">'17.财务费用测算表'!J33</f>
        <v>0</v>
      </c>
      <c r="BJ18" s="872">
        <f ca="1">'17.财务费用测算表'!K33</f>
        <v>0</v>
      </c>
      <c r="BK18" s="872">
        <f ca="1">'17.财务费用测算表'!L33</f>
        <v>0</v>
      </c>
      <c r="BL18" s="872"/>
      <c r="BM18" s="872">
        <f ca="1">'17.财务费用测算表'!N33</f>
        <v>0</v>
      </c>
      <c r="BN18" s="951">
        <f ca="1">'17.财务费用测算表'!O33</f>
        <v>0</v>
      </c>
      <c r="BO18" s="952">
        <f t="shared" ca="1" si="22"/>
        <v>0</v>
      </c>
      <c r="BP18" s="872">
        <f ca="1">'17.财务费用测算表'!D34</f>
        <v>0</v>
      </c>
      <c r="BQ18" s="872">
        <f ca="1">'17.财务费用测算表'!E34</f>
        <v>0</v>
      </c>
      <c r="BR18" s="872">
        <f>'17.财务费用测算表'!F34</f>
        <v>0</v>
      </c>
      <c r="BS18" s="872">
        <f ca="1">'17.财务费用测算表'!G34</f>
        <v>0</v>
      </c>
      <c r="BT18" s="872">
        <f ca="1">'17.财务费用测算表'!H34</f>
        <v>0</v>
      </c>
      <c r="BU18" s="872">
        <f ca="1">'17.财务费用测算表'!I34</f>
        <v>0</v>
      </c>
      <c r="BV18" s="872">
        <f ca="1">'17.财务费用测算表'!J34</f>
        <v>0</v>
      </c>
      <c r="BW18" s="872">
        <f ca="1">'17.财务费用测算表'!K34</f>
        <v>0</v>
      </c>
      <c r="BX18" s="872">
        <f ca="1">'17.财务费用测算表'!L34</f>
        <v>0</v>
      </c>
      <c r="BY18" s="872">
        <f ca="1">'17.财务费用测算表'!M34</f>
        <v>0</v>
      </c>
      <c r="BZ18" s="872">
        <f ca="1">'17.财务费用测算表'!N34</f>
        <v>0</v>
      </c>
      <c r="CA18" s="963">
        <f ca="1">'17.财务费用测算表'!O34</f>
        <v>0</v>
      </c>
      <c r="CB18" s="952">
        <f t="shared" ca="1" si="23"/>
        <v>0</v>
      </c>
      <c r="CC18" s="872">
        <f ca="1">'17.财务费用测算表'!D35</f>
        <v>0</v>
      </c>
      <c r="CD18" s="872">
        <f ca="1">'17.财务费用测算表'!E35</f>
        <v>0</v>
      </c>
      <c r="CE18" s="872">
        <f>'17.财务费用测算表'!F35</f>
        <v>0</v>
      </c>
      <c r="CF18" s="872">
        <f ca="1">'17.财务费用测算表'!G35</f>
        <v>0</v>
      </c>
      <c r="CG18" s="872">
        <f ca="1">'17.财务费用测算表'!H35</f>
        <v>0</v>
      </c>
      <c r="CH18" s="872">
        <f ca="1">'17.财务费用测算表'!I35</f>
        <v>0</v>
      </c>
      <c r="CI18" s="872">
        <f ca="1">'17.财务费用测算表'!J35</f>
        <v>0</v>
      </c>
      <c r="CJ18" s="872">
        <f ca="1">'17.财务费用测算表'!K35</f>
        <v>0</v>
      </c>
      <c r="CK18" s="872">
        <f ca="1">'17.财务费用测算表'!L35</f>
        <v>0</v>
      </c>
      <c r="CL18" s="872">
        <f ca="1">'17.财务费用测算表'!M35</f>
        <v>0</v>
      </c>
      <c r="CM18" s="872">
        <f ca="1">'17.财务费用测算表'!N35</f>
        <v>0</v>
      </c>
      <c r="CN18" s="963">
        <f ca="1">'17.财务费用测算表'!O35</f>
        <v>0</v>
      </c>
    </row>
    <row r="19" spans="1:92" ht="18" customHeight="1">
      <c r="A19" s="897" t="s">
        <v>585</v>
      </c>
      <c r="B19" s="870">
        <f t="shared" ca="1" si="112"/>
        <v>6481.5512091364362</v>
      </c>
      <c r="C19" s="870">
        <f t="shared" ca="1" si="7"/>
        <v>4200.1639572082941</v>
      </c>
      <c r="D19" s="870">
        <f t="shared" ref="D19" ca="1" si="180">SUM(Q19,AD19,AQ19,BD19,BQ19,CD19)</f>
        <v>2282.6916418103178</v>
      </c>
      <c r="E19" s="870">
        <f t="shared" ref="E19" ca="1" si="181">SUM(R19,AE19,AR19,BE19,BR19,CE19)</f>
        <v>0</v>
      </c>
      <c r="F19" s="870">
        <f t="shared" ref="F19" ca="1" si="182">SUM(S19,AF19,AS19,BF19,BS19,CF19)</f>
        <v>0</v>
      </c>
      <c r="G19" s="870">
        <f t="shared" ref="G19" ca="1" si="183">SUM(T19,AG19,AT19,BG19,BT19,CG19)</f>
        <v>0</v>
      </c>
      <c r="H19" s="870">
        <f t="shared" ref="H19" ca="1" si="184">SUM(U19,AH19,AU19,BH19,BU19,CH19)</f>
        <v>0</v>
      </c>
      <c r="I19" s="870">
        <f t="shared" ref="I19" ca="1" si="185">SUM(V19,AI19,AV19,BI19,BV19,CI19)</f>
        <v>0</v>
      </c>
      <c r="J19" s="870">
        <f t="shared" ref="J19" ca="1" si="186">SUM(W19,AJ19,AW19,BJ19,BW19,CJ19)</f>
        <v>0</v>
      </c>
      <c r="K19" s="870">
        <f t="shared" ref="K19" ca="1" si="187">SUM(X19,AK19,AX19,BK19,BX19,CK19)</f>
        <v>0</v>
      </c>
      <c r="L19" s="870">
        <f t="shared" ref="L19" si="188">SUM(Y19,AL19,AY19,BL19,BY19,CL19)</f>
        <v>0</v>
      </c>
      <c r="M19" s="870">
        <f t="shared" ref="M19" ca="1" si="189">SUM(Z19,AM19,AZ19,BM19,BZ19,CM19)</f>
        <v>-1.3043898821760185</v>
      </c>
      <c r="N19" s="923">
        <f t="shared" ref="N19" ca="1" si="190">SUM(AA19,AN19,BA19,BN19,CA19,CN19)</f>
        <v>0</v>
      </c>
      <c r="O19" s="871">
        <f ca="1">Sheet4!D201</f>
        <v>6481.5512091364362</v>
      </c>
      <c r="P19" s="872">
        <f ca="1">Sheet4!$D202</f>
        <v>4200.1639572082941</v>
      </c>
      <c r="Q19" s="872">
        <f ca="1">Sheet4!$D203</f>
        <v>2282.6916418103178</v>
      </c>
      <c r="R19" s="872">
        <f ca="1">Sheet4!$D204</f>
        <v>0</v>
      </c>
      <c r="S19" s="872">
        <f ca="1">Sheet4!$D205</f>
        <v>0</v>
      </c>
      <c r="T19" s="872">
        <f ca="1">Sheet4!$D206</f>
        <v>0</v>
      </c>
      <c r="U19" s="872">
        <f ca="1">Sheet4!$D207</f>
        <v>0</v>
      </c>
      <c r="V19" s="872">
        <f ca="1">Sheet4!$D208</f>
        <v>0</v>
      </c>
      <c r="W19" s="872">
        <f ca="1">Sheet4!$D209</f>
        <v>0</v>
      </c>
      <c r="X19" s="872">
        <f ca="1">Sheet4!$D210</f>
        <v>0</v>
      </c>
      <c r="Y19" s="872"/>
      <c r="Z19" s="872">
        <f ca="1">Sheet4!$D212</f>
        <v>-1.3043898821760185</v>
      </c>
      <c r="AA19" s="951">
        <f ca="1">Sheet4!$D213</f>
        <v>0</v>
      </c>
      <c r="AB19" s="952">
        <f ca="1">'16.所得税计算表'!E201</f>
        <v>0</v>
      </c>
      <c r="AC19" s="872">
        <f ca="1">Sheet4!$E202</f>
        <v>0</v>
      </c>
      <c r="AD19" s="872">
        <f ca="1">Sheet4!$E203</f>
        <v>0</v>
      </c>
      <c r="AE19" s="872">
        <f ca="1">Sheet4!$E204</f>
        <v>0</v>
      </c>
      <c r="AF19" s="872">
        <f ca="1">Sheet4!$E205</f>
        <v>0</v>
      </c>
      <c r="AG19" s="872">
        <f ca="1">Sheet4!$E206</f>
        <v>0</v>
      </c>
      <c r="AH19" s="872">
        <f ca="1">Sheet4!$E207</f>
        <v>0</v>
      </c>
      <c r="AI19" s="872">
        <f ca="1">Sheet4!$E208</f>
        <v>0</v>
      </c>
      <c r="AJ19" s="872">
        <f ca="1">Sheet4!$E209</f>
        <v>0</v>
      </c>
      <c r="AK19" s="872">
        <f ca="1">Sheet4!$E210</f>
        <v>0</v>
      </c>
      <c r="AL19" s="872"/>
      <c r="AM19" s="872">
        <f ca="1">Sheet4!$E212</f>
        <v>0</v>
      </c>
      <c r="AN19" s="951">
        <f ca="1">Sheet4!$E213</f>
        <v>0</v>
      </c>
      <c r="AO19" s="952">
        <f ca="1">IFERROR(IF($O26&lt;0,AO6/$O6*$AB19,AO28*$O19),0)</f>
        <v>0</v>
      </c>
      <c r="AP19" s="872">
        <f ca="1">Sheet4!$F202</f>
        <v>0</v>
      </c>
      <c r="AQ19" s="872">
        <f ca="1">Sheet4!$F203</f>
        <v>0</v>
      </c>
      <c r="AR19" s="872">
        <f ca="1">Sheet4!$F204</f>
        <v>0</v>
      </c>
      <c r="AS19" s="872">
        <f ca="1">Sheet4!$F205</f>
        <v>0</v>
      </c>
      <c r="AT19" s="872">
        <f ca="1">Sheet4!$F206</f>
        <v>0</v>
      </c>
      <c r="AU19" s="872">
        <f ca="1">Sheet4!$F207</f>
        <v>0</v>
      </c>
      <c r="AV19" s="872">
        <f ca="1">Sheet4!$F208</f>
        <v>0</v>
      </c>
      <c r="AW19" s="872">
        <f ca="1">Sheet4!$F209</f>
        <v>0</v>
      </c>
      <c r="AX19" s="872">
        <f ca="1">Sheet4!$F210</f>
        <v>0</v>
      </c>
      <c r="AY19" s="872"/>
      <c r="AZ19" s="872">
        <f ca="1">Sheet4!$F212</f>
        <v>0</v>
      </c>
      <c r="BA19" s="951">
        <f ca="1">Sheet4!$F213</f>
        <v>0</v>
      </c>
      <c r="BB19" s="952">
        <f ca="1">'16.所得税计算表'!G201</f>
        <v>0</v>
      </c>
      <c r="BC19" s="872">
        <f ca="1">Sheet4!$G202</f>
        <v>0</v>
      </c>
      <c r="BD19" s="872">
        <f ca="1">Sheet4!$G203</f>
        <v>0</v>
      </c>
      <c r="BE19" s="872">
        <f ca="1">Sheet4!$G204</f>
        <v>0</v>
      </c>
      <c r="BF19" s="872">
        <f ca="1">Sheet4!$G205</f>
        <v>0</v>
      </c>
      <c r="BG19" s="872">
        <f ca="1">Sheet4!$G206</f>
        <v>0</v>
      </c>
      <c r="BH19" s="872">
        <f ca="1">Sheet4!$G207</f>
        <v>0</v>
      </c>
      <c r="BI19" s="872">
        <f ca="1">Sheet4!$G208</f>
        <v>0</v>
      </c>
      <c r="BJ19" s="872">
        <f ca="1">Sheet4!$G209</f>
        <v>0</v>
      </c>
      <c r="BK19" s="872">
        <f ca="1">Sheet4!$G210</f>
        <v>0</v>
      </c>
      <c r="BL19" s="872"/>
      <c r="BM19" s="872">
        <f ca="1">Sheet4!$G212</f>
        <v>0</v>
      </c>
      <c r="BN19" s="951">
        <f ca="1">Sheet4!$G213</f>
        <v>0</v>
      </c>
      <c r="BO19" s="952">
        <f ca="1">'16.所得税计算表'!H201</f>
        <v>0</v>
      </c>
      <c r="BP19" s="872">
        <f ca="1">Sheet4!$H202</f>
        <v>0</v>
      </c>
      <c r="BQ19" s="872">
        <f ca="1">Sheet4!$H203</f>
        <v>0</v>
      </c>
      <c r="BR19" s="872">
        <f ca="1">Sheet4!$H204</f>
        <v>0</v>
      </c>
      <c r="BS19" s="872">
        <f ca="1">Sheet4!$H205</f>
        <v>0</v>
      </c>
      <c r="BT19" s="872">
        <f ca="1">Sheet4!$H206</f>
        <v>0</v>
      </c>
      <c r="BU19" s="872">
        <f ca="1">Sheet4!$H207</f>
        <v>0</v>
      </c>
      <c r="BV19" s="872">
        <f ca="1">Sheet4!$H208</f>
        <v>0</v>
      </c>
      <c r="BW19" s="872">
        <f ca="1">Sheet4!$H209</f>
        <v>0</v>
      </c>
      <c r="BX19" s="872">
        <f ca="1">Sheet4!$H210</f>
        <v>0</v>
      </c>
      <c r="BY19" s="872"/>
      <c r="BZ19" s="872">
        <f ca="1">Sheet4!$H212</f>
        <v>0</v>
      </c>
      <c r="CA19" s="963">
        <f ca="1">Sheet4!$H213</f>
        <v>0</v>
      </c>
      <c r="CB19" s="952">
        <f ca="1">'16.所得税计算表'!I201</f>
        <v>0</v>
      </c>
      <c r="CC19" s="872">
        <f ca="1">Sheet4!$I202</f>
        <v>0</v>
      </c>
      <c r="CD19" s="872">
        <f ca="1">Sheet4!$I203</f>
        <v>0</v>
      </c>
      <c r="CE19" s="872">
        <f ca="1">Sheet4!$I204</f>
        <v>0</v>
      </c>
      <c r="CF19" s="872">
        <f ca="1">Sheet4!$I205</f>
        <v>0</v>
      </c>
      <c r="CG19" s="872">
        <f ca="1">Sheet4!$I206</f>
        <v>0</v>
      </c>
      <c r="CH19" s="872">
        <f ca="1">Sheet4!$I207</f>
        <v>0</v>
      </c>
      <c r="CI19" s="872">
        <f ca="1">Sheet4!$I208</f>
        <v>0</v>
      </c>
      <c r="CJ19" s="872">
        <f ca="1">Sheet4!$I209</f>
        <v>0</v>
      </c>
      <c r="CK19" s="872">
        <f ca="1">Sheet4!$I210</f>
        <v>0</v>
      </c>
      <c r="CL19" s="872"/>
      <c r="CM19" s="872">
        <f ca="1">Sheet4!$I212</f>
        <v>0</v>
      </c>
      <c r="CN19" s="963">
        <f ca="1">Sheet4!$I213</f>
        <v>0</v>
      </c>
    </row>
    <row r="20" spans="1:92" ht="18" customHeight="1">
      <c r="A20" s="897" t="s">
        <v>586</v>
      </c>
      <c r="B20" s="901">
        <f t="shared" ca="1" si="112"/>
        <v>19726.803325748704</v>
      </c>
      <c r="C20" s="901">
        <f t="shared" ref="C20:N20" ca="1" si="191">C9-C10-C15-C16-C17-C19-C13-C14-C18</f>
        <v>12779.038564497927</v>
      </c>
      <c r="D20" s="901">
        <f t="shared" ca="1" si="191"/>
        <v>6947.7706160841208</v>
      </c>
      <c r="E20" s="901">
        <f t="shared" ca="1" si="191"/>
        <v>0</v>
      </c>
      <c r="F20" s="901">
        <f t="shared" ca="1" si="191"/>
        <v>0</v>
      </c>
      <c r="G20" s="901">
        <f t="shared" ca="1" si="191"/>
        <v>0</v>
      </c>
      <c r="H20" s="901">
        <f t="shared" ca="1" si="191"/>
        <v>0</v>
      </c>
      <c r="I20" s="901">
        <f t="shared" ca="1" si="191"/>
        <v>0</v>
      </c>
      <c r="J20" s="901">
        <f t="shared" ca="1" si="191"/>
        <v>0</v>
      </c>
      <c r="K20" s="901">
        <f t="shared" ca="1" si="191"/>
        <v>0</v>
      </c>
      <c r="L20" s="901"/>
      <c r="M20" s="901">
        <f t="shared" ca="1" si="191"/>
        <v>-5.8548333440313627E-3</v>
      </c>
      <c r="N20" s="932">
        <f t="shared" ca="1" si="191"/>
        <v>0</v>
      </c>
      <c r="O20" s="933">
        <f ca="1">SUM(P20:AA20)</f>
        <v>19726.803325748704</v>
      </c>
      <c r="P20" s="934">
        <f ca="1">P9-P10-P15-P16-P17-P19-P13-P14-P18</f>
        <v>12779.038564497927</v>
      </c>
      <c r="Q20" s="934">
        <f t="shared" ref="Q20:AA20" ca="1" si="192">Q9-Q10-Q15-Q16-Q17-Q19-Q13-Q14-Q18</f>
        <v>6947.7706160841208</v>
      </c>
      <c r="R20" s="934">
        <f t="shared" ca="1" si="192"/>
        <v>0</v>
      </c>
      <c r="S20" s="934">
        <f t="shared" ca="1" si="192"/>
        <v>0</v>
      </c>
      <c r="T20" s="934">
        <f t="shared" ca="1" si="192"/>
        <v>0</v>
      </c>
      <c r="U20" s="934">
        <f t="shared" ca="1" si="192"/>
        <v>0</v>
      </c>
      <c r="V20" s="934">
        <f t="shared" ca="1" si="192"/>
        <v>0</v>
      </c>
      <c r="W20" s="934">
        <f t="shared" ca="1" si="192"/>
        <v>0</v>
      </c>
      <c r="X20" s="934">
        <f t="shared" ca="1" si="192"/>
        <v>0</v>
      </c>
      <c r="Y20" s="934"/>
      <c r="Z20" s="934">
        <f t="shared" ca="1" si="192"/>
        <v>-5.8548333440313627E-3</v>
      </c>
      <c r="AA20" s="960">
        <f t="shared" ca="1" si="192"/>
        <v>0</v>
      </c>
      <c r="AB20" s="933">
        <f ca="1">SUM(AC20:AN20)</f>
        <v>0</v>
      </c>
      <c r="AC20" s="934">
        <f ca="1">AC9-AC10-AC15-AC16-AC17-AC19-AC13-AC14-AC18</f>
        <v>0</v>
      </c>
      <c r="AD20" s="934">
        <f t="shared" ref="AD20:AN20" ca="1" si="193">AD9-AD10-AD15-AD16-AD17-AD19-AD13-AD14-AD18</f>
        <v>0</v>
      </c>
      <c r="AE20" s="934">
        <f t="shared" ca="1" si="193"/>
        <v>0</v>
      </c>
      <c r="AF20" s="934">
        <f t="shared" ca="1" si="193"/>
        <v>0</v>
      </c>
      <c r="AG20" s="934">
        <f t="shared" ca="1" si="193"/>
        <v>0</v>
      </c>
      <c r="AH20" s="934">
        <f t="shared" ca="1" si="193"/>
        <v>0</v>
      </c>
      <c r="AI20" s="934">
        <f t="shared" ca="1" si="193"/>
        <v>0</v>
      </c>
      <c r="AJ20" s="934">
        <f t="shared" ca="1" si="193"/>
        <v>0</v>
      </c>
      <c r="AK20" s="934">
        <f t="shared" ca="1" si="193"/>
        <v>0</v>
      </c>
      <c r="AL20" s="934"/>
      <c r="AM20" s="934">
        <f t="shared" ca="1" si="193"/>
        <v>0</v>
      </c>
      <c r="AN20" s="960">
        <f t="shared" ca="1" si="193"/>
        <v>0</v>
      </c>
      <c r="AO20" s="933">
        <f ca="1">SUM(AP20:BA20)</f>
        <v>0</v>
      </c>
      <c r="AP20" s="934">
        <f t="shared" ref="AP20:BA20" ca="1" si="194">AP9-AP10-AP15-AP16-AP17-AP19-AP13-AP14-AP18</f>
        <v>0</v>
      </c>
      <c r="AQ20" s="934">
        <f t="shared" ca="1" si="194"/>
        <v>0</v>
      </c>
      <c r="AR20" s="934">
        <f t="shared" ca="1" si="194"/>
        <v>0</v>
      </c>
      <c r="AS20" s="934">
        <f t="shared" ca="1" si="194"/>
        <v>0</v>
      </c>
      <c r="AT20" s="934">
        <f t="shared" ca="1" si="194"/>
        <v>0</v>
      </c>
      <c r="AU20" s="934">
        <f t="shared" ca="1" si="194"/>
        <v>0</v>
      </c>
      <c r="AV20" s="934">
        <f t="shared" ca="1" si="194"/>
        <v>0</v>
      </c>
      <c r="AW20" s="934">
        <f t="shared" ca="1" si="194"/>
        <v>0</v>
      </c>
      <c r="AX20" s="934">
        <f t="shared" ca="1" si="194"/>
        <v>0</v>
      </c>
      <c r="AY20" s="934"/>
      <c r="AZ20" s="934">
        <f t="shared" ca="1" si="194"/>
        <v>0</v>
      </c>
      <c r="BA20" s="960">
        <f t="shared" ca="1" si="194"/>
        <v>0</v>
      </c>
      <c r="BB20" s="933">
        <f ca="1">SUM(BC20:BN20)</f>
        <v>0</v>
      </c>
      <c r="BC20" s="934">
        <f ca="1">BC9-BC10-BC15-BC16-BC17-BC19-BC13-BC14-BC18</f>
        <v>0</v>
      </c>
      <c r="BD20" s="934">
        <f t="shared" ref="BD20:BN20" ca="1" si="195">BD9-BD10-BD15-BD16-BD17-BD19-BD13-BD14-BD18</f>
        <v>0</v>
      </c>
      <c r="BE20" s="934">
        <f t="shared" ca="1" si="195"/>
        <v>0</v>
      </c>
      <c r="BF20" s="934">
        <f t="shared" ca="1" si="195"/>
        <v>0</v>
      </c>
      <c r="BG20" s="934">
        <f t="shared" ca="1" si="195"/>
        <v>0</v>
      </c>
      <c r="BH20" s="934">
        <f t="shared" ca="1" si="195"/>
        <v>0</v>
      </c>
      <c r="BI20" s="934">
        <f t="shared" ca="1" si="195"/>
        <v>0</v>
      </c>
      <c r="BJ20" s="934">
        <f t="shared" ca="1" si="195"/>
        <v>0</v>
      </c>
      <c r="BK20" s="934">
        <f t="shared" ca="1" si="195"/>
        <v>0</v>
      </c>
      <c r="BL20" s="934"/>
      <c r="BM20" s="934">
        <f t="shared" ca="1" si="195"/>
        <v>0</v>
      </c>
      <c r="BN20" s="960">
        <f t="shared" ca="1" si="195"/>
        <v>0</v>
      </c>
      <c r="BO20" s="933">
        <f ca="1">SUM(BP20:CA20)</f>
        <v>0</v>
      </c>
      <c r="BP20" s="934">
        <f t="shared" ref="BP20:CA20" ca="1" si="196">BP9-BP10-BP15-BP16-BP17-BP19-BP13-BP14-BP18</f>
        <v>0</v>
      </c>
      <c r="BQ20" s="934">
        <f t="shared" ca="1" si="196"/>
        <v>0</v>
      </c>
      <c r="BR20" s="934">
        <f t="shared" ca="1" si="196"/>
        <v>0</v>
      </c>
      <c r="BS20" s="934">
        <f t="shared" ca="1" si="196"/>
        <v>0</v>
      </c>
      <c r="BT20" s="934">
        <f t="shared" ca="1" si="196"/>
        <v>0</v>
      </c>
      <c r="BU20" s="934">
        <f t="shared" ca="1" si="196"/>
        <v>0</v>
      </c>
      <c r="BV20" s="934">
        <f t="shared" ca="1" si="196"/>
        <v>0</v>
      </c>
      <c r="BW20" s="934">
        <f t="shared" ca="1" si="196"/>
        <v>0</v>
      </c>
      <c r="BX20" s="934">
        <f t="shared" ca="1" si="196"/>
        <v>0</v>
      </c>
      <c r="BY20" s="934"/>
      <c r="BZ20" s="934">
        <f t="shared" ca="1" si="196"/>
        <v>0</v>
      </c>
      <c r="CA20" s="960">
        <f t="shared" ca="1" si="196"/>
        <v>0</v>
      </c>
      <c r="CB20" s="933">
        <f ca="1">SUM(CC20:CN20)</f>
        <v>0</v>
      </c>
      <c r="CC20" s="934">
        <f t="shared" ref="CC20:CN20" ca="1" si="197">CC9-CC10-CC15-CC16-CC17-CC19-CC13-CC14-CC18</f>
        <v>0</v>
      </c>
      <c r="CD20" s="934">
        <f t="shared" ca="1" si="197"/>
        <v>0</v>
      </c>
      <c r="CE20" s="934">
        <f t="shared" ca="1" si="197"/>
        <v>0</v>
      </c>
      <c r="CF20" s="934">
        <f t="shared" ca="1" si="197"/>
        <v>0</v>
      </c>
      <c r="CG20" s="934">
        <f t="shared" ca="1" si="197"/>
        <v>0</v>
      </c>
      <c r="CH20" s="934">
        <f t="shared" ca="1" si="197"/>
        <v>0</v>
      </c>
      <c r="CI20" s="934">
        <f t="shared" ca="1" si="197"/>
        <v>0</v>
      </c>
      <c r="CJ20" s="934">
        <f t="shared" ca="1" si="197"/>
        <v>0</v>
      </c>
      <c r="CK20" s="934">
        <f t="shared" ca="1" si="197"/>
        <v>0</v>
      </c>
      <c r="CL20" s="934"/>
      <c r="CM20" s="934">
        <f t="shared" ca="1" si="197"/>
        <v>0</v>
      </c>
      <c r="CN20" s="974">
        <f t="shared" ca="1" si="197"/>
        <v>0</v>
      </c>
    </row>
    <row r="21" spans="1:92" s="1125" customFormat="1" ht="18" customHeight="1">
      <c r="A21" s="1127" t="s">
        <v>587</v>
      </c>
      <c r="B21" s="1128">
        <f>收并购参数设置!$C$8</f>
        <v>1</v>
      </c>
      <c r="C21" s="1128">
        <f>收并购参数设置!$C$8</f>
        <v>1</v>
      </c>
      <c r="D21" s="1128">
        <f>收并购参数设置!$C$8</f>
        <v>1</v>
      </c>
      <c r="E21" s="1128">
        <f>收并购参数设置!$C$8</f>
        <v>1</v>
      </c>
      <c r="F21" s="1128">
        <f>收并购参数设置!$C$8</f>
        <v>1</v>
      </c>
      <c r="G21" s="1128">
        <f>收并购参数设置!$C$8</f>
        <v>1</v>
      </c>
      <c r="H21" s="1128">
        <f>收并购参数设置!$C$8</f>
        <v>1</v>
      </c>
      <c r="I21" s="1128">
        <f>收并购参数设置!$C$8</f>
        <v>1</v>
      </c>
      <c r="J21" s="1128">
        <f>收并购参数设置!$C$8</f>
        <v>1</v>
      </c>
      <c r="K21" s="1128">
        <f>收并购参数设置!$C$8</f>
        <v>1</v>
      </c>
      <c r="L21" s="1128">
        <f>收并购参数设置!$C$8</f>
        <v>1</v>
      </c>
      <c r="M21" s="1128">
        <f>收并购参数设置!$C$8</f>
        <v>1</v>
      </c>
      <c r="N21" s="1128">
        <f>收并购参数设置!$C$8</f>
        <v>1</v>
      </c>
      <c r="O21" s="1128">
        <f>收并购参数设置!$C$8</f>
        <v>1</v>
      </c>
      <c r="P21" s="1128">
        <f>收并购参数设置!$C$8</f>
        <v>1</v>
      </c>
      <c r="Q21" s="1128">
        <f>收并购参数设置!$C$8</f>
        <v>1</v>
      </c>
      <c r="R21" s="1128">
        <f>收并购参数设置!$C$8</f>
        <v>1</v>
      </c>
      <c r="S21" s="1128">
        <f>收并购参数设置!$C$8</f>
        <v>1</v>
      </c>
      <c r="T21" s="1128">
        <f>收并购参数设置!$C$8</f>
        <v>1</v>
      </c>
      <c r="U21" s="1128">
        <f>收并购参数设置!$C$8</f>
        <v>1</v>
      </c>
      <c r="V21" s="1128">
        <f>收并购参数设置!$C$8</f>
        <v>1</v>
      </c>
      <c r="W21" s="1128">
        <f>收并购参数设置!$C$8</f>
        <v>1</v>
      </c>
      <c r="X21" s="1128">
        <f>收并购参数设置!$C$8</f>
        <v>1</v>
      </c>
      <c r="Y21" s="1128">
        <f>收并购参数设置!$C$8</f>
        <v>1</v>
      </c>
      <c r="Z21" s="1128">
        <f>收并购参数设置!$C$8</f>
        <v>1</v>
      </c>
      <c r="AA21" s="1128">
        <f>收并购参数设置!$C$8</f>
        <v>1</v>
      </c>
      <c r="AB21" s="1128">
        <f>收并购参数设置!$C$8</f>
        <v>1</v>
      </c>
      <c r="AC21" s="1128">
        <f>收并购参数设置!$C$8</f>
        <v>1</v>
      </c>
      <c r="AD21" s="1128">
        <f>收并购参数设置!$C$8</f>
        <v>1</v>
      </c>
      <c r="AE21" s="1128">
        <f>收并购参数设置!$C$8</f>
        <v>1</v>
      </c>
      <c r="AF21" s="1128">
        <f>收并购参数设置!$C$8</f>
        <v>1</v>
      </c>
      <c r="AG21" s="1128">
        <f>收并购参数设置!$C$8</f>
        <v>1</v>
      </c>
      <c r="AH21" s="1128">
        <f>收并购参数设置!$C$8</f>
        <v>1</v>
      </c>
      <c r="AI21" s="1128">
        <f>收并购参数设置!$C$8</f>
        <v>1</v>
      </c>
      <c r="AJ21" s="1128">
        <f>收并购参数设置!$C$8</f>
        <v>1</v>
      </c>
      <c r="AK21" s="1128">
        <f>收并购参数设置!$C$8</f>
        <v>1</v>
      </c>
      <c r="AL21" s="1128">
        <f>收并购参数设置!$C$8</f>
        <v>1</v>
      </c>
      <c r="AM21" s="1128">
        <f>收并购参数设置!$C$8</f>
        <v>1</v>
      </c>
      <c r="AN21" s="1128">
        <f>收并购参数设置!$C$8</f>
        <v>1</v>
      </c>
      <c r="AO21" s="1128">
        <f>收并购参数设置!$C$8</f>
        <v>1</v>
      </c>
      <c r="AP21" s="1128">
        <f>收并购参数设置!$C$8</f>
        <v>1</v>
      </c>
      <c r="AQ21" s="1128">
        <f>收并购参数设置!$C$8</f>
        <v>1</v>
      </c>
      <c r="AR21" s="1128">
        <f>收并购参数设置!$C$8</f>
        <v>1</v>
      </c>
      <c r="AS21" s="1128">
        <f>收并购参数设置!$C$8</f>
        <v>1</v>
      </c>
      <c r="AT21" s="1128">
        <f>收并购参数设置!$C$8</f>
        <v>1</v>
      </c>
      <c r="AU21" s="1128">
        <f>收并购参数设置!$C$8</f>
        <v>1</v>
      </c>
      <c r="AV21" s="1128">
        <f>收并购参数设置!$C$8</f>
        <v>1</v>
      </c>
      <c r="AW21" s="1128">
        <f>收并购参数设置!$C$8</f>
        <v>1</v>
      </c>
      <c r="AX21" s="1128">
        <f>收并购参数设置!$C$8</f>
        <v>1</v>
      </c>
      <c r="AY21" s="1128">
        <f>收并购参数设置!$C$8</f>
        <v>1</v>
      </c>
      <c r="AZ21" s="1128">
        <f>收并购参数设置!$C$8</f>
        <v>1</v>
      </c>
      <c r="BA21" s="1128">
        <f>收并购参数设置!$C$8</f>
        <v>1</v>
      </c>
      <c r="BB21" s="1128">
        <f>收并购参数设置!$C$8</f>
        <v>1</v>
      </c>
      <c r="BC21" s="1128">
        <f>收并购参数设置!$C$8</f>
        <v>1</v>
      </c>
      <c r="BD21" s="1128">
        <f>收并购参数设置!$C$8</f>
        <v>1</v>
      </c>
      <c r="BE21" s="1128">
        <f>收并购参数设置!$C$8</f>
        <v>1</v>
      </c>
      <c r="BF21" s="1128">
        <f>收并购参数设置!$C$8</f>
        <v>1</v>
      </c>
      <c r="BG21" s="1128">
        <f>收并购参数设置!$C$8</f>
        <v>1</v>
      </c>
      <c r="BH21" s="1128">
        <f>收并购参数设置!$C$8</f>
        <v>1</v>
      </c>
      <c r="BI21" s="1128">
        <f>收并购参数设置!$C$8</f>
        <v>1</v>
      </c>
      <c r="BJ21" s="1128">
        <f>收并购参数设置!$C$8</f>
        <v>1</v>
      </c>
      <c r="BK21" s="1128">
        <f>收并购参数设置!$C$8</f>
        <v>1</v>
      </c>
      <c r="BL21" s="1128">
        <f>收并购参数设置!$C$8</f>
        <v>1</v>
      </c>
      <c r="BM21" s="1128">
        <f>收并购参数设置!$C$8</f>
        <v>1</v>
      </c>
      <c r="BN21" s="1128">
        <f>收并购参数设置!$C$8</f>
        <v>1</v>
      </c>
      <c r="BO21" s="1128">
        <f>收并购参数设置!$C$8</f>
        <v>1</v>
      </c>
      <c r="BP21" s="1128">
        <f>收并购参数设置!$C$8</f>
        <v>1</v>
      </c>
      <c r="BQ21" s="1128">
        <f>收并购参数设置!$C$8</f>
        <v>1</v>
      </c>
      <c r="BR21" s="1128">
        <f>收并购参数设置!$C$8</f>
        <v>1</v>
      </c>
      <c r="BS21" s="1128">
        <f>收并购参数设置!$C$8</f>
        <v>1</v>
      </c>
      <c r="BT21" s="1128">
        <f>收并购参数设置!$C$8</f>
        <v>1</v>
      </c>
      <c r="BU21" s="1128">
        <f>收并购参数设置!$C$8</f>
        <v>1</v>
      </c>
      <c r="BV21" s="1128">
        <f>收并购参数设置!$C$8</f>
        <v>1</v>
      </c>
      <c r="BW21" s="1128">
        <f>收并购参数设置!$C$8</f>
        <v>1</v>
      </c>
      <c r="BX21" s="1128">
        <f>收并购参数设置!$C$8</f>
        <v>1</v>
      </c>
      <c r="BY21" s="1128">
        <f>收并购参数设置!$C$8</f>
        <v>1</v>
      </c>
      <c r="BZ21" s="1128">
        <f>收并购参数设置!$C$8</f>
        <v>1</v>
      </c>
      <c r="CA21" s="1128">
        <f>收并购参数设置!$C$8</f>
        <v>1</v>
      </c>
      <c r="CB21" s="1128">
        <f>收并购参数设置!$C$8</f>
        <v>1</v>
      </c>
      <c r="CC21" s="1128">
        <f>收并购参数设置!$C$8</f>
        <v>1</v>
      </c>
      <c r="CD21" s="1128">
        <f>收并购参数设置!$C$8</f>
        <v>1</v>
      </c>
      <c r="CE21" s="1128">
        <f>收并购参数设置!$C$8</f>
        <v>1</v>
      </c>
      <c r="CF21" s="1128">
        <f>收并购参数设置!$C$8</f>
        <v>1</v>
      </c>
      <c r="CG21" s="1128">
        <f>收并购参数设置!$C$8</f>
        <v>1</v>
      </c>
      <c r="CH21" s="1128">
        <f>收并购参数设置!$C$8</f>
        <v>1</v>
      </c>
      <c r="CI21" s="1128">
        <f>收并购参数设置!$C$8</f>
        <v>1</v>
      </c>
      <c r="CJ21" s="1128">
        <f>收并购参数设置!$C$8</f>
        <v>1</v>
      </c>
      <c r="CK21" s="1128">
        <f>收并购参数设置!$C$8</f>
        <v>1</v>
      </c>
      <c r="CL21" s="1128">
        <f>收并购参数设置!$C$8</f>
        <v>1</v>
      </c>
      <c r="CM21" s="1128">
        <f>收并购参数设置!$C$8</f>
        <v>1</v>
      </c>
      <c r="CN21" s="1128">
        <f>收并购参数设置!$C$8</f>
        <v>1</v>
      </c>
    </row>
    <row r="22" spans="1:92" ht="18" customHeight="1">
      <c r="A22" s="897" t="s">
        <v>588</v>
      </c>
      <c r="B22" s="901">
        <f>收并购及自持输出表!C58</f>
        <v>19726.397481298311</v>
      </c>
      <c r="C22" s="901">
        <f>SUM(P22,AC22,AP22,BC22,BP22,CC22)</f>
        <v>12778.596566623453</v>
      </c>
      <c r="D22" s="901">
        <f>SUM(Q22,AD22,AQ22,BD22,BQ22,CD22)</f>
        <v>6947.8009146748564</v>
      </c>
      <c r="E22" s="901">
        <f>SUM(R22,AE22,AR22,BE22,BR22,CE22)</f>
        <v>0</v>
      </c>
      <c r="F22" s="901">
        <f t="shared" ref="F22:N22" si="198">SUM(S22,AF22,AS22,BF22,BS22,CF22)</f>
        <v>0</v>
      </c>
      <c r="G22" s="901">
        <f t="shared" si="198"/>
        <v>0</v>
      </c>
      <c r="H22" s="901">
        <f t="shared" si="198"/>
        <v>0</v>
      </c>
      <c r="I22" s="901">
        <f t="shared" si="198"/>
        <v>0</v>
      </c>
      <c r="J22" s="901">
        <f t="shared" si="198"/>
        <v>0</v>
      </c>
      <c r="K22" s="901">
        <f t="shared" si="198"/>
        <v>0</v>
      </c>
      <c r="L22" s="901">
        <f t="shared" si="198"/>
        <v>0</v>
      </c>
      <c r="M22" s="901">
        <f t="shared" si="198"/>
        <v>0</v>
      </c>
      <c r="N22" s="901">
        <f t="shared" si="198"/>
        <v>0</v>
      </c>
      <c r="O22" s="933">
        <f>SUM(P22:AA22)</f>
        <v>19726.397481298311</v>
      </c>
      <c r="P22" s="934">
        <f>IF(OR(P5="回迁房",P5="回迁商业",P5="无产权公共配套",P5="回迁写字楼"),0,IFERROR('8.项目规划指标表'!$G$16/'8.项目规划指标表'!$C$16*收并购及自持输出表!$C$58*'8.项目规划指标表'!$G5/SUMIF('8.项目规划指标表'!$AE$5:$AE$15,"分摊",'8.项目规划指标表'!$G$5:$G$15),0))</f>
        <v>12778.596566623453</v>
      </c>
      <c r="Q22" s="934">
        <f>IF(OR(Q5="回迁房",Q5="回迁商业",Q5="无产权公共配套",Q5="回迁写字楼"),0,IFERROR('8.项目规划指标表'!$G$16/'8.项目规划指标表'!$C$16*收并购及自持输出表!$C$58*'8.项目规划指标表'!$G6/SUMIF('8.项目规划指标表'!$AE$5:$AE$15,"分摊",'8.项目规划指标表'!$G$5:$G$15),0))</f>
        <v>6947.8009146748564</v>
      </c>
      <c r="R22" s="934">
        <f>IF(OR(R5="回迁房",R5="回迁商业",R5="无产权公共配套",R5="回迁写字楼"),0,IFERROR('8.项目规划指标表'!$G$16/'8.项目规划指标表'!$C$16*收并购及自持输出表!$C$58*'8.项目规划指标表'!$G7/SUMIF('8.项目规划指标表'!$AE$5:$AE$15,"分摊",'8.项目规划指标表'!$G$5:$G$15),0))</f>
        <v>0</v>
      </c>
      <c r="S22" s="934">
        <f>IF(OR(S5="回迁房",S5="回迁商业",S5="无产权公共配套",S5="回迁写字楼"),0,IFERROR('8.项目规划指标表'!$G$16/'8.项目规划指标表'!$C$16*收并购及自持输出表!$C$58*'8.项目规划指标表'!$G8/SUMIF('8.项目规划指标表'!$AE$5:$AE$15,"分摊",'8.项目规划指标表'!$G$5:$G$15),0))</f>
        <v>0</v>
      </c>
      <c r="T22" s="934">
        <f>IF(OR(T5="回迁房",T5="回迁商业",T5="无产权公共配套",T5="回迁写字楼"),0,IFERROR('8.项目规划指标表'!$G$16/'8.项目规划指标表'!$C$16*收并购及自持输出表!$C$58*'8.项目规划指标表'!$G9/SUMIF('8.项目规划指标表'!$AE$5:$AE$15,"分摊",'8.项目规划指标表'!$G$5:$G$15),0))</f>
        <v>0</v>
      </c>
      <c r="U22" s="934">
        <f>IF(OR(U5="回迁房",U5="回迁商业",U5="无产权公共配套",U5="回迁写字楼"),0,IFERROR('8.项目规划指标表'!$G$16/'8.项目规划指标表'!$C$16*收并购及自持输出表!$C$58*'8.项目规划指标表'!$G10/SUMIF('8.项目规划指标表'!$AE$5:$AE$15,"分摊",'8.项目规划指标表'!$G$5:$G$15),0))</f>
        <v>0</v>
      </c>
      <c r="V22" s="934">
        <f>IF(OR(V5="回迁房",V5="回迁商业",V5="无产权公共配套",V5="回迁写字楼"),0,IFERROR('8.项目规划指标表'!$G$16/'8.项目规划指标表'!$C$16*收并购及自持输出表!$C$58*'8.项目规划指标表'!$G11/SUMIF('8.项目规划指标表'!$AE$5:$AE$15,"分摊",'8.项目规划指标表'!$G$5:$G$15),0))</f>
        <v>0</v>
      </c>
      <c r="W22" s="934">
        <f>IF(OR(W5="回迁房",W5="回迁商业",W5="无产权公共配套",W5="回迁写字楼"),0,IFERROR('8.项目规划指标表'!$G$16/'8.项目规划指标表'!$C$16*收并购及自持输出表!$C$58*'8.项目规划指标表'!$G12/SUMIF('8.项目规划指标表'!$AE$5:$AE$15,"分摊",'8.项目规划指标表'!$G$5:$G$15),0))</f>
        <v>0</v>
      </c>
      <c r="X22" s="934">
        <f>IF(OR(X5="回迁房",X5="回迁商业",X5="无产权公共配套",X5="回迁写字楼"),0,IFERROR('8.项目规划指标表'!$G$16/'8.项目规划指标表'!$C$16*收并购及自持输出表!$C$58*'8.项目规划指标表'!$G13/SUMIF('8.项目规划指标表'!$AE$5:$AE$15,"分摊",'8.项目规划指标表'!$G$5:$G$15),0))</f>
        <v>0</v>
      </c>
      <c r="Y22" s="934">
        <f>IF(OR(Y5="回迁房",Y5="回迁商业",Y5="无产权公共配套",Y5="回迁写字楼"),0,IFERROR('8.项目规划指标表'!$G$16/'8.项目规划指标表'!$C$16*收并购及自持输出表!$C$58*'8.项目规划指标表'!$G14/SUMIF('8.项目规划指标表'!$AE$5:$AE$15,"分摊",'8.项目规划指标表'!$G$5:$G$15),0))</f>
        <v>0</v>
      </c>
      <c r="Z22" s="934"/>
      <c r="AA22" s="934"/>
      <c r="AB22" s="933">
        <f>SUM(AC22:AN22)</f>
        <v>0</v>
      </c>
      <c r="AC22" s="934">
        <f>IF(OR(AC5="回迁房",AC5="回迁商业",AC5="无产权公共配套",AC5="回迁写字楼"),0,IFERROR('8.项目规划指标表'!$K$16/'8.项目规划指标表'!$C$16*收并购及自持输出表!$C$58*'8.项目规划指标表'!$K5/SUMIF('8.项目规划指标表'!$AE$5:$AE$15,"分摊",'8.项目规划指标表'!$K$5:$K$15),0))</f>
        <v>0</v>
      </c>
      <c r="AD22" s="934">
        <f>IF(OR(AD5="回迁房",AD5="回迁商业",AD5="无产权公共配套",AD5="回迁写字楼"),0,IFERROR('8.项目规划指标表'!$K$16/'8.项目规划指标表'!$C$16*收并购及自持输出表!$C$58*'8.项目规划指标表'!$K6/SUMIF('8.项目规划指标表'!$AE$5:$AE$15,"分摊",'8.项目规划指标表'!$K$5:$K$15),0))</f>
        <v>0</v>
      </c>
      <c r="AE22" s="934">
        <f>IF(OR(AE5="回迁房",AE5="回迁商业",AE5="无产权公共配套",AE5="回迁写字楼"),0,IFERROR('8.项目规划指标表'!$K$16/'8.项目规划指标表'!$C$16*收并购及自持输出表!$C$58*'8.项目规划指标表'!$K7/SUMIF('8.项目规划指标表'!$AE$5:$AE$15,"分摊",'8.项目规划指标表'!$K$5:$K$15),0))</f>
        <v>0</v>
      </c>
      <c r="AF22" s="934">
        <f>IF(OR(AF5="回迁房",AF5="回迁商业",AF5="无产权公共配套",AF5="回迁写字楼"),0,IFERROR('8.项目规划指标表'!$K$16/'8.项目规划指标表'!$C$16*收并购及自持输出表!$C$58*'8.项目规划指标表'!$K8/SUMIF('8.项目规划指标表'!$AE$5:$AE$15,"分摊",'8.项目规划指标表'!$K$5:$K$15),0))</f>
        <v>0</v>
      </c>
      <c r="AG22" s="934">
        <f>IF(OR(AG5="回迁房",AG5="回迁商业",AG5="无产权公共配套",AG5="回迁写字楼"),0,IFERROR('8.项目规划指标表'!$K$16/'8.项目规划指标表'!$C$16*收并购及自持输出表!$C$58*'8.项目规划指标表'!$K9/SUMIF('8.项目规划指标表'!$AE$5:$AE$15,"分摊",'8.项目规划指标表'!$K$5:$K$15),0))</f>
        <v>0</v>
      </c>
      <c r="AH22" s="934">
        <f>IF(OR(AH5="回迁房",AH5="回迁商业",AH5="无产权公共配套",AH5="回迁写字楼"),0,IFERROR('8.项目规划指标表'!$K$16/'8.项目规划指标表'!$C$16*收并购及自持输出表!$C$58*'8.项目规划指标表'!$K10/SUMIF('8.项目规划指标表'!$AE$5:$AE$15,"分摊",'8.项目规划指标表'!$K$5:$K$15),0))</f>
        <v>0</v>
      </c>
      <c r="AI22" s="934">
        <f>IF(OR(AI5="回迁房",AI5="回迁商业",AI5="无产权公共配套",AI5="回迁写字楼"),0,IFERROR('8.项目规划指标表'!$K$16/'8.项目规划指标表'!$C$16*收并购及自持输出表!$C$58*'8.项目规划指标表'!$K11/SUMIF('8.项目规划指标表'!$AE$5:$AE$15,"分摊",'8.项目规划指标表'!$K$5:$K$15),0))</f>
        <v>0</v>
      </c>
      <c r="AJ22" s="934">
        <f>IF(OR(AJ5="回迁房",AJ5="回迁商业",AJ5="无产权公共配套",AJ5="回迁写字楼"),0,IFERROR('8.项目规划指标表'!$K$16/'8.项目规划指标表'!$C$16*收并购及自持输出表!$C$58*'8.项目规划指标表'!$K12/SUMIF('8.项目规划指标表'!$AE$5:$AE$15,"分摊",'8.项目规划指标表'!$K$5:$K$15),0))</f>
        <v>0</v>
      </c>
      <c r="AK22" s="934">
        <f>IF(OR(AK5="回迁房",AK5="回迁商业",AK5="无产权公共配套",AK5="回迁写字楼"),0,IFERROR('8.项目规划指标表'!$K$16/'8.项目规划指标表'!$C$16*收并购及自持输出表!$C$58*'8.项目规划指标表'!$K13/SUMIF('8.项目规划指标表'!$AE$5:$AE$15,"分摊",'8.项目规划指标表'!$K$5:$K$15),0))</f>
        <v>0</v>
      </c>
      <c r="AL22" s="934">
        <f>IF(OR(AL5="回迁房",AL5="回迁商业",AL5="无产权公共配套",AL5="回迁写字楼"),0,IFERROR('8.项目规划指标表'!$K$16/'8.项目规划指标表'!$C$16*收并购及自持输出表!$C$58*'8.项目规划指标表'!$K14/SUMIF('8.项目规划指标表'!$AE$5:$AE$15,"分摊",'8.项目规划指标表'!$K$5:$K$15),0))</f>
        <v>0</v>
      </c>
      <c r="AM22" s="934"/>
      <c r="AN22" s="960"/>
      <c r="AO22" s="933">
        <f>SUM(AP22:BA22)</f>
        <v>0</v>
      </c>
      <c r="AP22" s="934">
        <f>IF(OR(AP5="回迁房",AP5="回迁商业",AP5="无产权公共配套",AP5="回迁写字楼"),0,IFERROR('8.项目规划指标表'!$O$16/'8.项目规划指标表'!$C$16*收并购及自持输出表!$C$58*'8.项目规划指标表'!$O5/SUMIF('8.项目规划指标表'!$AE$5:$AE$15,"分摊",'8.项目规划指标表'!$O$5:$O$15),0))</f>
        <v>0</v>
      </c>
      <c r="AQ22" s="934">
        <f>IF(OR(AQ5="回迁房",AQ5="回迁商业",AQ5="无产权公共配套",AQ5="回迁写字楼"),0,IFERROR('8.项目规划指标表'!$O$16/'8.项目规划指标表'!$C$16*收并购及自持输出表!$C$58*'8.项目规划指标表'!$O6/SUMIF('8.项目规划指标表'!$AE$5:$AE$15,"分摊",'8.项目规划指标表'!$O$5:$O$15),0))</f>
        <v>0</v>
      </c>
      <c r="AR22" s="934">
        <f>IF(OR(AR5="回迁房",AR5="回迁商业",AR5="无产权公共配套",AR5="回迁写字楼"),0,IFERROR('8.项目规划指标表'!$O$16/'8.项目规划指标表'!$C$16*收并购及自持输出表!$C$58*'8.项目规划指标表'!$O7/SUMIF('8.项目规划指标表'!$AE$5:$AE$15,"分摊",'8.项目规划指标表'!$O$5:$O$15),0))</f>
        <v>0</v>
      </c>
      <c r="AS22" s="934">
        <f>IF(OR(AS5="回迁房",AS5="回迁商业",AS5="无产权公共配套",AS5="回迁写字楼"),0,IFERROR('8.项目规划指标表'!$O$16/'8.项目规划指标表'!$C$16*收并购及自持输出表!$C$58*'8.项目规划指标表'!$O8/SUMIF('8.项目规划指标表'!$AE$5:$AE$15,"分摊",'8.项目规划指标表'!$O$5:$O$15),0))</f>
        <v>0</v>
      </c>
      <c r="AT22" s="934">
        <f>IF(OR(AT5="回迁房",AT5="回迁商业",AT5="无产权公共配套",AT5="回迁写字楼"),0,IFERROR('8.项目规划指标表'!$O$16/'8.项目规划指标表'!$C$16*收并购及自持输出表!$C$58*'8.项目规划指标表'!$O9/SUMIF('8.项目规划指标表'!$AE$5:$AE$15,"分摊",'8.项目规划指标表'!$O$5:$O$15),0))</f>
        <v>0</v>
      </c>
      <c r="AU22" s="934">
        <f>IF(OR(AU5="回迁房",AU5="回迁商业",AU5="无产权公共配套",AU5="回迁写字楼"),0,IFERROR('8.项目规划指标表'!$O$16/'8.项目规划指标表'!$C$16*收并购及自持输出表!$C$58*'8.项目规划指标表'!$O10/SUMIF('8.项目规划指标表'!$AE$5:$AE$15,"分摊",'8.项目规划指标表'!$O$5:$O$15),0))</f>
        <v>0</v>
      </c>
      <c r="AV22" s="934">
        <f>IF(OR(AV5="回迁房",AV5="回迁商业",AV5="无产权公共配套",AV5="回迁写字楼"),0,IFERROR('8.项目规划指标表'!$O$16/'8.项目规划指标表'!$C$16*收并购及自持输出表!$C$58*'8.项目规划指标表'!$O11/SUMIF('8.项目规划指标表'!$AE$5:$AE$15,"分摊",'8.项目规划指标表'!$O$5:$O$15),0))</f>
        <v>0</v>
      </c>
      <c r="AW22" s="934">
        <f>IF(OR(AW5="回迁房",AW5="回迁商业",AW5="无产权公共配套",AW5="回迁写字楼"),0,IFERROR('8.项目规划指标表'!$O$16/'8.项目规划指标表'!$C$16*收并购及自持输出表!$C$58*'8.项目规划指标表'!$O12/SUMIF('8.项目规划指标表'!$AE$5:$AE$15,"分摊",'8.项目规划指标表'!$O$5:$O$15),0))</f>
        <v>0</v>
      </c>
      <c r="AX22" s="934">
        <f>IF(OR(AX5="回迁房",AX5="回迁商业",AX5="无产权公共配套",AX5="回迁写字楼"),0,IFERROR('8.项目规划指标表'!$O$16/'8.项目规划指标表'!$C$16*收并购及自持输出表!$C$58*'8.项目规划指标表'!$O13/SUMIF('8.项目规划指标表'!$AE$5:$AE$15,"分摊",'8.项目规划指标表'!$O$5:$O$15),0))</f>
        <v>0</v>
      </c>
      <c r="AY22" s="934">
        <f>IF(OR(AY5="回迁房",AY5="回迁商业",AY5="无产权公共配套",AY5="回迁写字楼"),0,IFERROR('8.项目规划指标表'!$O$16/'8.项目规划指标表'!$C$16*收并购及自持输出表!$C$58*'8.项目规划指标表'!$O14/SUMIF('8.项目规划指标表'!$AE$5:$AE$15,"分摊",'8.项目规划指标表'!$O$5:$O$15),0))</f>
        <v>0</v>
      </c>
      <c r="AZ22" s="934"/>
      <c r="BA22" s="960"/>
      <c r="BB22" s="933">
        <f>SUM(BC22:BN22)</f>
        <v>0</v>
      </c>
      <c r="BC22" s="934">
        <f>IF(OR(BC5="回迁房",BC5="回迁商业",BC5="无产权公共配套",BC5="回迁写字楼"),0,IFERROR('8.项目规划指标表'!$S$16/'8.项目规划指标表'!$C$16*收并购及自持输出表!$C$58*'8.项目规划指标表'!$S5/SUMIF('8.项目规划指标表'!$AE$5:$AE$15,"分摊",'8.项目规划指标表'!$S$5:$S$15),0))</f>
        <v>0</v>
      </c>
      <c r="BD22" s="934">
        <f>IF(OR(BD5="回迁房",BD5="回迁商业",BD5="无产权公共配套",BD5="回迁写字楼"),0,IFERROR('8.项目规划指标表'!$S$16/'8.项目规划指标表'!$C$16*收并购及自持输出表!$C$58*'8.项目规划指标表'!$S6/SUMIF('8.项目规划指标表'!$AE$5:$AE$15,"分摊",'8.项目规划指标表'!$S$5:$S$15),0))</f>
        <v>0</v>
      </c>
      <c r="BE22" s="934">
        <f>IF(OR(BE5="回迁房",BE5="回迁商业",BE5="无产权公共配套",BE5="回迁写字楼"),0,IFERROR('8.项目规划指标表'!$S$16/'8.项目规划指标表'!$C$16*收并购及自持输出表!$C$58*'8.项目规划指标表'!$S7/SUMIF('8.项目规划指标表'!$AE$5:$AE$15,"分摊",'8.项目规划指标表'!$S$5:$S$15),0))</f>
        <v>0</v>
      </c>
      <c r="BF22" s="934">
        <f>IF(OR(BF5="回迁房",BF5="回迁商业",BF5="无产权公共配套",BF5="回迁写字楼"),0,IFERROR('8.项目规划指标表'!$S$16/'8.项目规划指标表'!$C$16*收并购及自持输出表!$C$58*'8.项目规划指标表'!$S8/SUMIF('8.项目规划指标表'!$AE$5:$AE$15,"分摊",'8.项目规划指标表'!$S$5:$S$15),0))</f>
        <v>0</v>
      </c>
      <c r="BG22" s="934">
        <f>IF(OR(BG5="回迁房",BG5="回迁商业",BG5="无产权公共配套",BG5="回迁写字楼"),0,IFERROR('8.项目规划指标表'!$S$16/'8.项目规划指标表'!$C$16*收并购及自持输出表!$C$58*'8.项目规划指标表'!$S9/SUMIF('8.项目规划指标表'!$AE$5:$AE$15,"分摊",'8.项目规划指标表'!$S$5:$S$15),0))</f>
        <v>0</v>
      </c>
      <c r="BH22" s="934">
        <f>IF(OR(BH5="回迁房",BH5="回迁商业",BH5="无产权公共配套",BH5="回迁写字楼"),0,IFERROR('8.项目规划指标表'!$S$16/'8.项目规划指标表'!$C$16*收并购及自持输出表!$C$58*'8.项目规划指标表'!$S10/SUMIF('8.项目规划指标表'!$AE$5:$AE$15,"分摊",'8.项目规划指标表'!$S$5:$S$15),0))</f>
        <v>0</v>
      </c>
      <c r="BI22" s="934">
        <f>IF(OR(BI5="回迁房",BI5="回迁商业",BI5="无产权公共配套",BI5="回迁写字楼"),0,IFERROR('8.项目规划指标表'!$S$16/'8.项目规划指标表'!$C$16*收并购及自持输出表!$C$58*'8.项目规划指标表'!$S11/SUMIF('8.项目规划指标表'!$AE$5:$AE$15,"分摊",'8.项目规划指标表'!$S$5:$S$15),0))</f>
        <v>0</v>
      </c>
      <c r="BJ22" s="934">
        <f>IF(OR(BJ5="回迁房",BJ5="回迁商业",BJ5="无产权公共配套",BJ5="回迁写字楼"),0,IFERROR('8.项目规划指标表'!$S$16/'8.项目规划指标表'!$C$16*收并购及自持输出表!$C$58*'8.项目规划指标表'!$S12/SUMIF('8.项目规划指标表'!$AE$5:$AE$15,"分摊",'8.项目规划指标表'!$S$5:$S$15),0))</f>
        <v>0</v>
      </c>
      <c r="BK22" s="934">
        <f>IF(OR(BK5="回迁房",BK5="回迁商业",BK5="无产权公共配套",BK5="回迁写字楼"),0,IFERROR('8.项目规划指标表'!$S$16/'8.项目规划指标表'!$C$16*收并购及自持输出表!$C$58*'8.项目规划指标表'!$S13/SUMIF('8.项目规划指标表'!$AE$5:$AE$15,"分摊",'8.项目规划指标表'!$S$5:$S$15),0))</f>
        <v>0</v>
      </c>
      <c r="BL22" s="934">
        <f>IF(OR(BL5="回迁房",BL5="回迁商业",BL5="无产权公共配套",BL5="回迁写字楼"),0,IFERROR('8.项目规划指标表'!$S$16/'8.项目规划指标表'!$C$16*收并购及自持输出表!$C$58*'8.项目规划指标表'!$S14/SUMIF('8.项目规划指标表'!$AE$5:$AE$15,"分摊",'8.项目规划指标表'!$S$5:$S$15),0))</f>
        <v>0</v>
      </c>
      <c r="BM22" s="934"/>
      <c r="BN22" s="960"/>
      <c r="BO22" s="933">
        <f>SUM(BP22:CA22)</f>
        <v>0</v>
      </c>
      <c r="BP22" s="934">
        <f>IF(OR(BP5="回迁房",BP5="回迁商业",BP5="无产权公共配套",BP5="回迁写字楼"),0,IFERROR('8.项目规划指标表'!$W$16/'8.项目规划指标表'!$C$16*收并购及自持输出表!$C$58*'8.项目规划指标表'!$W5/SUMIF('8.项目规划指标表'!$AE$5:$AE$15,"分摊",'8.项目规划指标表'!$W$5:$W$15),0))</f>
        <v>0</v>
      </c>
      <c r="BQ22" s="934">
        <f>IF(OR(BQ5="回迁房",BQ5="回迁商业",BQ5="无产权公共配套",BQ5="回迁写字楼"),0,IFERROR('8.项目规划指标表'!$W$16/'8.项目规划指标表'!$C$16*收并购及自持输出表!$C$58*'8.项目规划指标表'!$W6/SUMIF('8.项目规划指标表'!$AE$5:$AE$15,"分摊",'8.项目规划指标表'!$W$5:$W$15),0))</f>
        <v>0</v>
      </c>
      <c r="BR22" s="934">
        <f>IF(OR(BR5="回迁房",BR5="回迁商业",BR5="无产权公共配套",BR5="回迁写字楼"),0,IFERROR('8.项目规划指标表'!$W$16/'8.项目规划指标表'!$C$16*收并购及自持输出表!$C$58*'8.项目规划指标表'!$W7/SUMIF('8.项目规划指标表'!$AE$5:$AE$15,"分摊",'8.项目规划指标表'!$W$5:$W$15),0))</f>
        <v>0</v>
      </c>
      <c r="BS22" s="934">
        <f>IF(OR(BS5="回迁房",BS5="回迁商业",BS5="无产权公共配套",BS5="回迁写字楼"),0,IFERROR('8.项目规划指标表'!$W$16/'8.项目规划指标表'!$C$16*收并购及自持输出表!$C$58*'8.项目规划指标表'!$W8/SUMIF('8.项目规划指标表'!$AE$5:$AE$15,"分摊",'8.项目规划指标表'!$W$5:$W$15),0))</f>
        <v>0</v>
      </c>
      <c r="BT22" s="934">
        <f>IF(OR(BT5="回迁房",BT5="回迁商业",BT5="无产权公共配套",BT5="回迁写字楼"),0,IFERROR('8.项目规划指标表'!$W$16/'8.项目规划指标表'!$C$16*收并购及自持输出表!$C$58*'8.项目规划指标表'!$W9/SUMIF('8.项目规划指标表'!$AE$5:$AE$15,"分摊",'8.项目规划指标表'!$W$5:$W$15),0))</f>
        <v>0</v>
      </c>
      <c r="BU22" s="934">
        <f>IF(OR(BU5="回迁房",BU5="回迁商业",BU5="无产权公共配套",BU5="回迁写字楼"),0,IFERROR('8.项目规划指标表'!$W$16/'8.项目规划指标表'!$C$16*收并购及自持输出表!$C$58*'8.项目规划指标表'!$W10/SUMIF('8.项目规划指标表'!$AE$5:$AE$15,"分摊",'8.项目规划指标表'!$W$5:$W$15),0))</f>
        <v>0</v>
      </c>
      <c r="BV22" s="934">
        <f>IF(OR(BV5="回迁房",BV5="回迁商业",BV5="无产权公共配套",BV5="回迁写字楼"),0,IFERROR('8.项目规划指标表'!$W$16/'8.项目规划指标表'!$C$16*收并购及自持输出表!$C$58*'8.项目规划指标表'!$W11/SUMIF('8.项目规划指标表'!$AE$5:$AE$15,"分摊",'8.项目规划指标表'!$W$5:$W$15),0))</f>
        <v>0</v>
      </c>
      <c r="BW22" s="934">
        <f>IF(OR(BW5="回迁房",BW5="回迁商业",BW5="无产权公共配套",BW5="回迁写字楼"),0,IFERROR('8.项目规划指标表'!$W$16/'8.项目规划指标表'!$C$16*收并购及自持输出表!$C$58*'8.项目规划指标表'!$W12/SUMIF('8.项目规划指标表'!$AE$5:$AE$15,"分摊",'8.项目规划指标表'!$W$5:$W$15),0))</f>
        <v>0</v>
      </c>
      <c r="BX22" s="934">
        <f>IF(OR(BX5="回迁房",BX5="回迁商业",BX5="无产权公共配套",BX5="回迁写字楼"),0,IFERROR('8.项目规划指标表'!$W$16/'8.项目规划指标表'!$C$16*收并购及自持输出表!$C$58*'8.项目规划指标表'!$W13/SUMIF('8.项目规划指标表'!$AE$5:$AE$15,"分摊",'8.项目规划指标表'!$W$5:$W$15),0))</f>
        <v>0</v>
      </c>
      <c r="BY22" s="934">
        <f>IF(OR(BY5="回迁房",BY5="回迁商业",BY5="无产权公共配套",BY5="回迁写字楼"),0,IFERROR('8.项目规划指标表'!$W$16/'8.项目规划指标表'!$C$16*收并购及自持输出表!$C$58*'8.项目规划指标表'!$W14/SUMIF('8.项目规划指标表'!$AE$5:$AE$15,"分摊",'8.项目规划指标表'!$W$5:$W$15),0))</f>
        <v>0</v>
      </c>
      <c r="BZ22" s="934"/>
      <c r="CA22" s="1138"/>
      <c r="CB22" s="933">
        <f>SUM(CC22:CN22)</f>
        <v>0</v>
      </c>
      <c r="CC22" s="934">
        <f>IF(OR(CC5="回迁房",CC5="回迁商业",CC5="无产权公共配套",CC5="回迁写字楼"),0,IFERROR('8.项目规划指标表'!$AA$16/'8.项目规划指标表'!$C$16*收并购及自持输出表!$C$58*'8.项目规划指标表'!$AA5/SUMIF('8.项目规划指标表'!$AE$5:$AE$15,"分摊",'8.项目规划指标表'!$AA$5:$AA$15),0))</f>
        <v>0</v>
      </c>
      <c r="CD22" s="934">
        <f>IF(OR(CD5="回迁房",CD5="回迁商业",CD5="无产权公共配套",CD5="回迁写字楼"),0,IFERROR('8.项目规划指标表'!$AA$16/'8.项目规划指标表'!$C$16*收并购及自持输出表!$C$58*'8.项目规划指标表'!$AA6/SUMIF('8.项目规划指标表'!$AE$5:$AE$15,"分摊",'8.项目规划指标表'!$AA$5:$AA$15),0))</f>
        <v>0</v>
      </c>
      <c r="CE22" s="934">
        <f>IF(OR(CE5="回迁房",CE5="回迁商业",CE5="无产权公共配套",CE5="回迁写字楼"),0,IFERROR('8.项目规划指标表'!$AA$16/'8.项目规划指标表'!$C$16*收并购及自持输出表!$C$58*'8.项目规划指标表'!$AA7/SUMIF('8.项目规划指标表'!$AE$5:$AE$15,"分摊",'8.项目规划指标表'!$AA$5:$AA$15),0))</f>
        <v>0</v>
      </c>
      <c r="CF22" s="934">
        <f>IF(OR(CF5="回迁房",CF5="回迁商业",CF5="无产权公共配套",CF5="回迁写字楼"),0,IFERROR('8.项目规划指标表'!$AA$16/'8.项目规划指标表'!$C$16*收并购及自持输出表!$C$58*'8.项目规划指标表'!$AA8/SUMIF('8.项目规划指标表'!$AE$5:$AE$15,"分摊",'8.项目规划指标表'!$AA$5:$AA$15),0))</f>
        <v>0</v>
      </c>
      <c r="CG22" s="934">
        <f>IF(OR(CG5="回迁房",CG5="回迁商业",CG5="无产权公共配套",CG5="回迁写字楼"),0,IFERROR('8.项目规划指标表'!$AA$16/'8.项目规划指标表'!$C$16*收并购及自持输出表!$C$58*'8.项目规划指标表'!$AA9/SUMIF('8.项目规划指标表'!$AE$5:$AE$15,"分摊",'8.项目规划指标表'!$AA$5:$AA$15),0))</f>
        <v>0</v>
      </c>
      <c r="CH22" s="934">
        <f>IF(OR(CH5="回迁房",CH5="回迁商业",CH5="无产权公共配套",CH5="回迁写字楼"),0,IFERROR('8.项目规划指标表'!$AA$16/'8.项目规划指标表'!$C$16*收并购及自持输出表!$C$58*'8.项目规划指标表'!$AA10/SUMIF('8.项目规划指标表'!$AE$5:$AE$15,"分摊",'8.项目规划指标表'!$AA$5:$AA$15),0))</f>
        <v>0</v>
      </c>
      <c r="CI22" s="934">
        <f>IF(OR(CI5="回迁房",CI5="回迁商业",CI5="无产权公共配套",CI5="回迁写字楼"),0,IFERROR('8.项目规划指标表'!$AA$16/'8.项目规划指标表'!$C$16*收并购及自持输出表!$C$58*'8.项目规划指标表'!$AA11/SUMIF('8.项目规划指标表'!$AE$5:$AE$15,"分摊",'8.项目规划指标表'!$AA$5:$AA$15),0))</f>
        <v>0</v>
      </c>
      <c r="CJ22" s="934">
        <f>IF(OR(CJ5="回迁房",CJ5="回迁商业",CJ5="无产权公共配套",CJ5="回迁写字楼"),0,IFERROR('8.项目规划指标表'!$AA$16/'8.项目规划指标表'!$C$16*收并购及自持输出表!$C$58*'8.项目规划指标表'!$AA12/SUMIF('8.项目规划指标表'!$AE$5:$AE$15,"分摊",'8.项目规划指标表'!$AA$5:$AA$15),0))</f>
        <v>0</v>
      </c>
      <c r="CK22" s="934">
        <f>IF(OR(CK5="回迁房",CK5="回迁商业",CK5="无产权公共配套",CK5="回迁写字楼"),0,IFERROR('8.项目规划指标表'!$AA$16/'8.项目规划指标表'!$C$16*收并购及自持输出表!$C$58*'8.项目规划指标表'!$AA13/SUMIF('8.项目规划指标表'!$AE$5:$AE$15,"分摊",'8.项目规划指标表'!$AA$5:$AA$15),0))</f>
        <v>0</v>
      </c>
      <c r="CL22" s="934">
        <f>IF(OR(CL5="回迁房",CL5="回迁商业",CL5="无产权公共配套",CL5="回迁写字楼"),0,IFERROR('8.项目规划指标表'!$AA$16/'8.项目规划指标表'!$C$16*收并购及自持输出表!$C$58*'8.项目规划指标表'!$AA14/SUMIF('8.项目规划指标表'!$AE$5:$AE$15,"分摊",'8.项目规划指标表'!$AA$5:$AA$15),0))</f>
        <v>0</v>
      </c>
      <c r="CM22" s="934"/>
      <c r="CN22" s="974"/>
    </row>
    <row r="23" spans="1:92" ht="18" customHeight="1">
      <c r="A23" s="897" t="s">
        <v>589</v>
      </c>
      <c r="B23" s="901">
        <f ca="1">C23+D23+E23+F23+G23+H23+I23+J23+K23+L23+M23+N23</f>
        <v>0.47815129855321459</v>
      </c>
      <c r="C23" s="1129">
        <f ca="1">ABS(C20*C21-C22)</f>
        <v>0.44199787447359995</v>
      </c>
      <c r="D23" s="901">
        <f t="shared" ref="D23:O23" ca="1" si="199">ABS(D20*D21-D22)</f>
        <v>3.0298590735583275E-2</v>
      </c>
      <c r="E23" s="901">
        <f t="shared" ca="1" si="199"/>
        <v>0</v>
      </c>
      <c r="F23" s="901">
        <f t="shared" ca="1" si="199"/>
        <v>0</v>
      </c>
      <c r="G23" s="901">
        <f t="shared" ca="1" si="199"/>
        <v>0</v>
      </c>
      <c r="H23" s="901">
        <f t="shared" ca="1" si="199"/>
        <v>0</v>
      </c>
      <c r="I23" s="901">
        <f t="shared" ca="1" si="199"/>
        <v>0</v>
      </c>
      <c r="J23" s="901">
        <f t="shared" ca="1" si="199"/>
        <v>0</v>
      </c>
      <c r="K23" s="901">
        <f t="shared" ca="1" si="199"/>
        <v>0</v>
      </c>
      <c r="L23" s="901">
        <f t="shared" si="199"/>
        <v>0</v>
      </c>
      <c r="M23" s="901">
        <f t="shared" ca="1" si="199"/>
        <v>5.8548333440313627E-3</v>
      </c>
      <c r="N23" s="901">
        <f t="shared" ca="1" si="199"/>
        <v>0</v>
      </c>
      <c r="O23" s="901">
        <f t="shared" ca="1" si="199"/>
        <v>0.40584445039348793</v>
      </c>
      <c r="P23" s="901">
        <f t="shared" ref="P23:BZ23" ca="1" si="200">ABS(P20*P21-P22)</f>
        <v>0.44199787447359995</v>
      </c>
      <c r="Q23" s="901">
        <f t="shared" ca="1" si="200"/>
        <v>3.0298590735583275E-2</v>
      </c>
      <c r="R23" s="901">
        <f t="shared" ca="1" si="200"/>
        <v>0</v>
      </c>
      <c r="S23" s="901">
        <f t="shared" ca="1" si="200"/>
        <v>0</v>
      </c>
      <c r="T23" s="901">
        <f t="shared" ca="1" si="200"/>
        <v>0</v>
      </c>
      <c r="U23" s="901">
        <f t="shared" ca="1" si="200"/>
        <v>0</v>
      </c>
      <c r="V23" s="901">
        <f t="shared" ca="1" si="200"/>
        <v>0</v>
      </c>
      <c r="W23" s="901">
        <f t="shared" ca="1" si="200"/>
        <v>0</v>
      </c>
      <c r="X23" s="901">
        <f t="shared" ca="1" si="200"/>
        <v>0</v>
      </c>
      <c r="Y23" s="901"/>
      <c r="Z23" s="901">
        <f t="shared" ca="1" si="200"/>
        <v>5.8548333440313627E-3</v>
      </c>
      <c r="AA23" s="901">
        <f t="shared" ca="1" si="200"/>
        <v>0</v>
      </c>
      <c r="AB23" s="901">
        <f t="shared" ca="1" si="200"/>
        <v>0</v>
      </c>
      <c r="AC23" s="901">
        <f t="shared" ca="1" si="200"/>
        <v>0</v>
      </c>
      <c r="AD23" s="901">
        <f t="shared" ca="1" si="200"/>
        <v>0</v>
      </c>
      <c r="AE23" s="901">
        <f t="shared" ca="1" si="200"/>
        <v>0</v>
      </c>
      <c r="AF23" s="901">
        <f t="shared" ca="1" si="200"/>
        <v>0</v>
      </c>
      <c r="AG23" s="901">
        <f t="shared" ca="1" si="200"/>
        <v>0</v>
      </c>
      <c r="AH23" s="901">
        <f t="shared" ca="1" si="200"/>
        <v>0</v>
      </c>
      <c r="AI23" s="901">
        <f t="shared" ca="1" si="200"/>
        <v>0</v>
      </c>
      <c r="AJ23" s="901">
        <f t="shared" ca="1" si="200"/>
        <v>0</v>
      </c>
      <c r="AK23" s="901">
        <f t="shared" ca="1" si="200"/>
        <v>0</v>
      </c>
      <c r="AL23" s="901"/>
      <c r="AM23" s="901">
        <f t="shared" ca="1" si="200"/>
        <v>0</v>
      </c>
      <c r="AN23" s="901">
        <f t="shared" ca="1" si="200"/>
        <v>0</v>
      </c>
      <c r="AO23" s="901">
        <f t="shared" ca="1" si="200"/>
        <v>0</v>
      </c>
      <c r="AP23" s="901">
        <f t="shared" ca="1" si="200"/>
        <v>0</v>
      </c>
      <c r="AQ23" s="901">
        <f t="shared" ca="1" si="200"/>
        <v>0</v>
      </c>
      <c r="AR23" s="901">
        <f t="shared" ca="1" si="200"/>
        <v>0</v>
      </c>
      <c r="AS23" s="901">
        <f t="shared" ca="1" si="200"/>
        <v>0</v>
      </c>
      <c r="AT23" s="901">
        <f t="shared" ca="1" si="200"/>
        <v>0</v>
      </c>
      <c r="AU23" s="901">
        <f t="shared" ca="1" si="200"/>
        <v>0</v>
      </c>
      <c r="AV23" s="901">
        <f t="shared" ca="1" si="200"/>
        <v>0</v>
      </c>
      <c r="AW23" s="901">
        <f t="shared" ca="1" si="200"/>
        <v>0</v>
      </c>
      <c r="AX23" s="901">
        <f t="shared" ca="1" si="200"/>
        <v>0</v>
      </c>
      <c r="AY23" s="901"/>
      <c r="AZ23" s="901">
        <f t="shared" ca="1" si="200"/>
        <v>0</v>
      </c>
      <c r="BA23" s="901">
        <f t="shared" ca="1" si="200"/>
        <v>0</v>
      </c>
      <c r="BB23" s="901">
        <f t="shared" ca="1" si="200"/>
        <v>0</v>
      </c>
      <c r="BC23" s="901">
        <f t="shared" ca="1" si="200"/>
        <v>0</v>
      </c>
      <c r="BD23" s="901">
        <f t="shared" ca="1" si="200"/>
        <v>0</v>
      </c>
      <c r="BE23" s="901">
        <f t="shared" ca="1" si="200"/>
        <v>0</v>
      </c>
      <c r="BF23" s="901">
        <f t="shared" ca="1" si="200"/>
        <v>0</v>
      </c>
      <c r="BG23" s="901">
        <f t="shared" ca="1" si="200"/>
        <v>0</v>
      </c>
      <c r="BH23" s="901">
        <f t="shared" ca="1" si="200"/>
        <v>0</v>
      </c>
      <c r="BI23" s="901">
        <f t="shared" ca="1" si="200"/>
        <v>0</v>
      </c>
      <c r="BJ23" s="901">
        <f t="shared" ca="1" si="200"/>
        <v>0</v>
      </c>
      <c r="BK23" s="901">
        <f t="shared" ca="1" si="200"/>
        <v>0</v>
      </c>
      <c r="BL23" s="901"/>
      <c r="BM23" s="901">
        <f t="shared" ca="1" si="200"/>
        <v>0</v>
      </c>
      <c r="BN23" s="901">
        <f t="shared" ca="1" si="200"/>
        <v>0</v>
      </c>
      <c r="BO23" s="901">
        <f t="shared" ca="1" si="200"/>
        <v>0</v>
      </c>
      <c r="BP23" s="901">
        <f t="shared" ca="1" si="200"/>
        <v>0</v>
      </c>
      <c r="BQ23" s="901">
        <f t="shared" ca="1" si="200"/>
        <v>0</v>
      </c>
      <c r="BR23" s="901">
        <f t="shared" ca="1" si="200"/>
        <v>0</v>
      </c>
      <c r="BS23" s="901">
        <f t="shared" ca="1" si="200"/>
        <v>0</v>
      </c>
      <c r="BT23" s="901">
        <f t="shared" ca="1" si="200"/>
        <v>0</v>
      </c>
      <c r="BU23" s="901">
        <f t="shared" ca="1" si="200"/>
        <v>0</v>
      </c>
      <c r="BV23" s="901">
        <f t="shared" ca="1" si="200"/>
        <v>0</v>
      </c>
      <c r="BW23" s="901">
        <f t="shared" ca="1" si="200"/>
        <v>0</v>
      </c>
      <c r="BX23" s="901">
        <f t="shared" ca="1" si="200"/>
        <v>0</v>
      </c>
      <c r="BY23" s="901"/>
      <c r="BZ23" s="901">
        <f t="shared" ca="1" si="200"/>
        <v>0</v>
      </c>
      <c r="CA23" s="901">
        <f t="shared" ref="CA23:CN23" ca="1" si="201">ABS(CA20*CA21-CA22)</f>
        <v>0</v>
      </c>
      <c r="CB23" s="901">
        <f t="shared" ca="1" si="201"/>
        <v>0</v>
      </c>
      <c r="CC23" s="901">
        <f t="shared" ca="1" si="201"/>
        <v>0</v>
      </c>
      <c r="CD23" s="901">
        <f t="shared" ca="1" si="201"/>
        <v>0</v>
      </c>
      <c r="CE23" s="901">
        <f t="shared" ca="1" si="201"/>
        <v>0</v>
      </c>
      <c r="CF23" s="901">
        <f t="shared" ca="1" si="201"/>
        <v>0</v>
      </c>
      <c r="CG23" s="901">
        <f t="shared" ca="1" si="201"/>
        <v>0</v>
      </c>
      <c r="CH23" s="901">
        <f t="shared" ca="1" si="201"/>
        <v>0</v>
      </c>
      <c r="CI23" s="901">
        <f t="shared" ca="1" si="201"/>
        <v>0</v>
      </c>
      <c r="CJ23" s="901">
        <f t="shared" ca="1" si="201"/>
        <v>0</v>
      </c>
      <c r="CK23" s="901">
        <f t="shared" ca="1" si="201"/>
        <v>0</v>
      </c>
      <c r="CL23" s="901"/>
      <c r="CM23" s="901">
        <f t="shared" ca="1" si="201"/>
        <v>0</v>
      </c>
      <c r="CN23" s="901">
        <f t="shared" ca="1" si="201"/>
        <v>0</v>
      </c>
    </row>
    <row r="24" spans="1:92" hidden="1">
      <c r="A24" s="908" t="s">
        <v>590</v>
      </c>
      <c r="B24" s="909" t="e">
        <f>IF(#REF!=0,0,(B8-B25)/#REF!*10000)</f>
        <v>#REF!</v>
      </c>
      <c r="C24" s="909" t="e">
        <f>IF(#REF!=0,0,(C8-C25)/#REF!*10000)</f>
        <v>#REF!</v>
      </c>
      <c r="D24" s="909" t="e">
        <f>IF(#REF!=0,0,(D8-D25)/#REF!*10000)</f>
        <v>#REF!</v>
      </c>
      <c r="E24" s="909" t="e">
        <f>IF(#REF!=0,0,(E8-E25)/#REF!*10000)</f>
        <v>#REF!</v>
      </c>
      <c r="F24" s="909" t="e">
        <f>IF(#REF!=0,0,(F8-F25)/#REF!*10000)</f>
        <v>#REF!</v>
      </c>
      <c r="G24" s="909" t="e">
        <f>IF(#REF!=0,0,(G8-G25)/#REF!*10000)</f>
        <v>#REF!</v>
      </c>
      <c r="H24" s="909" t="e">
        <f>IF(#REF!=0,0,(H8-H25)/#REF!*10000)</f>
        <v>#REF!</v>
      </c>
      <c r="I24" s="909" t="e">
        <f>IF(#REF!=0,0,(I8-I25)/#REF!*10000)</f>
        <v>#REF!</v>
      </c>
      <c r="J24" s="909" t="e">
        <f>IF(#REF!=0,0,(J8-J25)/#REF!*10000)</f>
        <v>#REF!</v>
      </c>
      <c r="K24" s="909" t="e">
        <f>IF(#REF!=0,0,(K8-K25)/#REF!*10000)</f>
        <v>#REF!</v>
      </c>
      <c r="L24" s="909" t="e">
        <f>IF(#REF!=0,0,(L8-L25)/#REF!*10000)</f>
        <v>#REF!</v>
      </c>
      <c r="M24" s="909" t="e">
        <f>IF(#REF!=0,0,(M8-M25)/#REF!*10000)</f>
        <v>#REF!</v>
      </c>
      <c r="N24" s="909" t="e">
        <f>IF(#REF!=0,0,(N8-N25)/#REF!*10000)</f>
        <v>#REF!</v>
      </c>
      <c r="O24" s="909" t="e">
        <f>IF(#REF!=0,0,(O8-O25)/#REF!*10000)</f>
        <v>#REF!</v>
      </c>
      <c r="P24" s="909" t="e">
        <f>IF(#REF!=0,0,(P8-P25)/#REF!*10000)</f>
        <v>#REF!</v>
      </c>
      <c r="Q24" s="909" t="e">
        <f>IF(#REF!=0,0,(Q8-Q25)/#REF!*10000)</f>
        <v>#REF!</v>
      </c>
      <c r="R24" s="909" t="e">
        <f>IF(#REF!=0,0,(R8-R25)/#REF!*10000)</f>
        <v>#REF!</v>
      </c>
      <c r="S24" s="909" t="e">
        <f>IF(#REF!=0,0,(S8-S25)/#REF!*10000)</f>
        <v>#REF!</v>
      </c>
      <c r="T24" s="909" t="e">
        <f>IF(#REF!=0,0,(T8-T25)/#REF!*10000)</f>
        <v>#REF!</v>
      </c>
      <c r="U24" s="909" t="e">
        <f>IF(#REF!=0,0,(U8-U25)/#REF!*10000)</f>
        <v>#REF!</v>
      </c>
      <c r="V24" s="909" t="e">
        <f>IF(#REF!=0,0,(V8-V25)/#REF!*10000)</f>
        <v>#REF!</v>
      </c>
      <c r="W24" s="909" t="e">
        <f>IF(#REF!=0,0,(W8-W25)/#REF!*10000)</f>
        <v>#REF!</v>
      </c>
      <c r="X24" s="909" t="e">
        <f>IF(#REF!=0,0,(X8-X25)/#REF!*10000)</f>
        <v>#REF!</v>
      </c>
      <c r="Y24" s="909" t="e">
        <f>IF(#REF!=0,0,(Y8-Y25)/#REF!*10000)</f>
        <v>#REF!</v>
      </c>
      <c r="Z24" s="909" t="e">
        <f>IF(#REF!=0,0,(Z8-Z25)/#REF!*10000)</f>
        <v>#REF!</v>
      </c>
      <c r="AA24" s="909" t="e">
        <f>IF(#REF!=0,0,(AA8-AA25)/#REF!*10000)</f>
        <v>#REF!</v>
      </c>
      <c r="AB24" s="909" t="e">
        <f>IF(#REF!=0,0,(AB8-AB25)/#REF!*10000)</f>
        <v>#REF!</v>
      </c>
      <c r="AC24" s="909" t="e">
        <f>IF(#REF!=0,0,(AC8-AC25)/#REF!*10000)</f>
        <v>#REF!</v>
      </c>
      <c r="AD24" s="909" t="e">
        <f>IF(#REF!=0,0,(AD8-AD25)/#REF!*10000)</f>
        <v>#REF!</v>
      </c>
      <c r="AE24" s="909" t="e">
        <f>IF(#REF!=0,0,(AE8-AE25)/#REF!*10000)</f>
        <v>#REF!</v>
      </c>
      <c r="AF24" s="909" t="e">
        <f>IF(#REF!=0,0,(AF8-AF25)/#REF!*10000)</f>
        <v>#REF!</v>
      </c>
      <c r="AG24" s="909" t="e">
        <f>IF(#REF!=0,0,(AG8-AG25)/#REF!*10000)</f>
        <v>#REF!</v>
      </c>
      <c r="AH24" s="909" t="e">
        <f>IF(#REF!=0,0,(AH8-AH25)/#REF!*10000)</f>
        <v>#REF!</v>
      </c>
      <c r="AI24" s="909" t="e">
        <f>IF(#REF!=0,0,(AI8-AI25)/#REF!*10000)</f>
        <v>#REF!</v>
      </c>
      <c r="AJ24" s="909" t="e">
        <f>IF(#REF!=0,0,(AJ8-AJ25)/#REF!*10000)</f>
        <v>#REF!</v>
      </c>
      <c r="AK24" s="909" t="e">
        <f>IF(#REF!=0,0,(AK8-AK25)/#REF!*10000)</f>
        <v>#REF!</v>
      </c>
      <c r="AL24" s="909" t="e">
        <f>IF(#REF!=0,0,(AL8-AL25)/#REF!*10000)</f>
        <v>#REF!</v>
      </c>
      <c r="AM24" s="909" t="e">
        <f>IF(#REF!=0,0,(AM8-AM25)/#REF!*10000)</f>
        <v>#REF!</v>
      </c>
      <c r="AN24" s="909" t="e">
        <f>IF(#REF!=0,0,(AN8-AN25)/#REF!*10000)</f>
        <v>#REF!</v>
      </c>
      <c r="AO24" s="909" t="e">
        <f>IF(#REF!=0,0,(AO8-AO25)/#REF!*10000)</f>
        <v>#REF!</v>
      </c>
      <c r="AP24" s="909" t="e">
        <f>IF(#REF!=0,0,(AP8-AP25)/#REF!*10000)</f>
        <v>#REF!</v>
      </c>
      <c r="AQ24" s="909" t="e">
        <f>IF(#REF!=0,0,(AQ8-AQ25)/#REF!*10000)</f>
        <v>#REF!</v>
      </c>
      <c r="AR24" s="909" t="e">
        <f>IF(#REF!=0,0,(AR8-AR25)/#REF!*10000)</f>
        <v>#REF!</v>
      </c>
      <c r="AS24" s="909" t="e">
        <f>IF(#REF!=0,0,(AS8-AS25)/#REF!*10000)</f>
        <v>#REF!</v>
      </c>
      <c r="AT24" s="909" t="e">
        <f>IF(#REF!=0,0,(AT8-AT25)/#REF!*10000)</f>
        <v>#REF!</v>
      </c>
      <c r="AU24" s="909" t="e">
        <f>IF(#REF!=0,0,(AU8-AU25)/#REF!*10000)</f>
        <v>#REF!</v>
      </c>
      <c r="AV24" s="909" t="e">
        <f>IF(#REF!=0,0,(AV8-AV25)/#REF!*10000)</f>
        <v>#REF!</v>
      </c>
      <c r="AW24" s="909" t="e">
        <f>IF(#REF!=0,0,(AW8-AW25)/#REF!*10000)</f>
        <v>#REF!</v>
      </c>
      <c r="AX24" s="909" t="e">
        <f>IF(#REF!=0,0,(AX8-AX25)/#REF!*10000)</f>
        <v>#REF!</v>
      </c>
      <c r="AY24" s="909" t="e">
        <f>IF(#REF!=0,0,(AY8-AY25)/#REF!*10000)</f>
        <v>#REF!</v>
      </c>
      <c r="AZ24" s="909" t="e">
        <f>IF(#REF!=0,0,(AZ8-AZ25)/#REF!*10000)</f>
        <v>#REF!</v>
      </c>
      <c r="BA24" s="909" t="e">
        <f>IF(#REF!=0,0,(BA8-BA25)/#REF!*10000)</f>
        <v>#REF!</v>
      </c>
      <c r="BB24" s="909" t="e">
        <f>IF(#REF!=0,0,(BB8-BB25)/#REF!*10000)</f>
        <v>#REF!</v>
      </c>
      <c r="BC24" s="909" t="e">
        <f>IF(#REF!=0,0,(BC8-BC25)/#REF!*10000)</f>
        <v>#REF!</v>
      </c>
      <c r="BD24" s="909" t="e">
        <f>IF(#REF!=0,0,(BD8-BD25)/#REF!*10000)</f>
        <v>#REF!</v>
      </c>
      <c r="BE24" s="909" t="e">
        <f>IF(#REF!=0,0,(BE8-BE25)/#REF!*10000)</f>
        <v>#REF!</v>
      </c>
      <c r="BF24" s="909" t="e">
        <f>IF(#REF!=0,0,(BF8-BF25)/#REF!*10000)</f>
        <v>#REF!</v>
      </c>
      <c r="BG24" s="909" t="e">
        <f>IF(#REF!=0,0,(BG8-BG25)/#REF!*10000)</f>
        <v>#REF!</v>
      </c>
      <c r="BH24" s="909" t="e">
        <f>IF(#REF!=0,0,(BH8-BH25)/#REF!*10000)</f>
        <v>#REF!</v>
      </c>
      <c r="BI24" s="909" t="e">
        <f>IF(#REF!=0,0,(BI8-BI25)/#REF!*10000)</f>
        <v>#REF!</v>
      </c>
      <c r="BJ24" s="909" t="e">
        <f>IF(#REF!=0,0,(BJ8-BJ25)/#REF!*10000)</f>
        <v>#REF!</v>
      </c>
      <c r="BK24" s="909" t="e">
        <f>IF(#REF!=0,0,(BK8-BK25)/#REF!*10000)</f>
        <v>#REF!</v>
      </c>
      <c r="BL24" s="909" t="e">
        <f>IF(#REF!=0,0,(BL8-BL25)/#REF!*10000)</f>
        <v>#REF!</v>
      </c>
      <c r="BM24" s="909" t="e">
        <f>IF(#REF!=0,0,(BM8-BM25)/#REF!*10000)</f>
        <v>#REF!</v>
      </c>
      <c r="BN24" s="909" t="e">
        <f>IF(#REF!=0,0,(BN8-BN25)/#REF!*10000)</f>
        <v>#REF!</v>
      </c>
      <c r="BO24" s="909" t="e">
        <f>IF(#REF!=0,0,(BO8-BO25)/#REF!*10000)</f>
        <v>#REF!</v>
      </c>
      <c r="BP24" s="909" t="e">
        <f>IF(#REF!=0,0,(BP8-BP25)/#REF!*10000)</f>
        <v>#REF!</v>
      </c>
      <c r="BQ24" s="909" t="e">
        <f>IF(#REF!=0,0,(BQ8-BQ25)/#REF!*10000)</f>
        <v>#REF!</v>
      </c>
      <c r="BR24" s="909" t="e">
        <f>IF(#REF!=0,0,(BR8-BR25)/#REF!*10000)</f>
        <v>#REF!</v>
      </c>
      <c r="BS24" s="909" t="e">
        <f>IF(#REF!=0,0,(BS8-BS25)/#REF!*10000)</f>
        <v>#REF!</v>
      </c>
      <c r="BT24" s="909" t="e">
        <f>IF(#REF!=0,0,(BT8-BT25)/#REF!*10000)</f>
        <v>#REF!</v>
      </c>
      <c r="BU24" s="909" t="e">
        <f>IF(#REF!=0,0,(BU8-BU25)/#REF!*10000)</f>
        <v>#REF!</v>
      </c>
      <c r="BV24" s="909" t="e">
        <f>IF(#REF!=0,0,(BV8-BV25)/#REF!*10000)</f>
        <v>#REF!</v>
      </c>
      <c r="BW24" s="909" t="e">
        <f>IF(#REF!=0,0,(BW8-BW25)/#REF!*10000)</f>
        <v>#REF!</v>
      </c>
      <c r="BX24" s="909" t="e">
        <f>IF(#REF!=0,0,(BX8-BX25)/#REF!*10000)</f>
        <v>#REF!</v>
      </c>
      <c r="BY24" s="909" t="e">
        <f>IF(#REF!=0,0,(BY8-BY25)/#REF!*10000)</f>
        <v>#REF!</v>
      </c>
      <c r="BZ24" s="909" t="e">
        <f>IF(#REF!=0,0,(BZ8-BZ25)/#REF!*10000)</f>
        <v>#REF!</v>
      </c>
      <c r="CA24" s="909" t="e">
        <f>IF(#REF!=0,0,(CA8-CA25)/#REF!*10000)</f>
        <v>#REF!</v>
      </c>
    </row>
    <row r="25" spans="1:92" hidden="1">
      <c r="A25" s="908"/>
      <c r="B25" s="909"/>
      <c r="C25" s="909"/>
      <c r="D25" s="909"/>
      <c r="E25" s="909"/>
      <c r="F25" s="909"/>
      <c r="G25" s="909"/>
      <c r="H25" s="909"/>
      <c r="I25" s="909"/>
      <c r="J25" s="909"/>
      <c r="K25" s="909"/>
      <c r="L25" s="909"/>
      <c r="M25" s="909"/>
      <c r="N25" s="909"/>
      <c r="O25" s="909"/>
      <c r="P25" s="909"/>
      <c r="Q25" s="909"/>
      <c r="R25" s="909"/>
      <c r="S25" s="909"/>
      <c r="T25" s="909"/>
      <c r="U25" s="909"/>
      <c r="V25" s="909"/>
      <c r="W25" s="909"/>
      <c r="X25" s="909"/>
      <c r="Y25" s="909"/>
      <c r="Z25" s="909"/>
      <c r="AA25" s="909"/>
      <c r="AB25" s="909"/>
      <c r="AC25" s="909"/>
      <c r="AD25" s="909"/>
      <c r="AE25" s="909"/>
      <c r="AF25" s="909"/>
      <c r="AG25" s="909"/>
      <c r="AH25" s="909"/>
      <c r="AI25" s="909"/>
      <c r="AJ25" s="909"/>
      <c r="AK25" s="909"/>
      <c r="AL25" s="909"/>
      <c r="AM25" s="909"/>
      <c r="AN25" s="909"/>
      <c r="AO25" s="909"/>
      <c r="AP25" s="909"/>
      <c r="AQ25" s="909"/>
      <c r="AR25" s="909"/>
      <c r="AS25" s="909"/>
      <c r="AT25" s="909"/>
      <c r="AU25" s="909"/>
      <c r="AV25" s="909"/>
      <c r="AW25" s="909"/>
      <c r="AX25" s="909"/>
      <c r="AY25" s="909"/>
      <c r="AZ25" s="909"/>
      <c r="BA25" s="909"/>
      <c r="BB25" s="909"/>
      <c r="BC25" s="909"/>
      <c r="BD25" s="909"/>
      <c r="BE25" s="909"/>
      <c r="BF25" s="909"/>
      <c r="BG25" s="909"/>
      <c r="BH25" s="909"/>
      <c r="BI25" s="909"/>
      <c r="BJ25" s="909"/>
      <c r="BK25" s="909"/>
      <c r="BL25" s="909"/>
      <c r="BM25" s="909"/>
      <c r="BN25" s="909"/>
      <c r="BO25" s="909"/>
      <c r="BP25" s="909"/>
      <c r="BQ25" s="909"/>
      <c r="BR25" s="909"/>
      <c r="BS25" s="909"/>
      <c r="BT25" s="909"/>
      <c r="BU25" s="909"/>
      <c r="BV25" s="909"/>
      <c r="BW25" s="909"/>
      <c r="BX25" s="909"/>
      <c r="BY25" s="909"/>
      <c r="BZ25" s="909"/>
      <c r="CA25" s="909"/>
    </row>
    <row r="26" spans="1:92" hidden="1">
      <c r="A26" s="908" t="s">
        <v>591</v>
      </c>
      <c r="B26" s="909"/>
      <c r="C26" s="909"/>
      <c r="D26" s="909"/>
      <c r="E26" s="909"/>
      <c r="F26" s="909"/>
      <c r="G26" s="909"/>
      <c r="H26" s="909"/>
      <c r="I26" s="909"/>
      <c r="J26" s="909"/>
      <c r="K26" s="909"/>
      <c r="L26" s="909"/>
      <c r="M26" s="909"/>
      <c r="N26" s="909"/>
      <c r="O26" s="909">
        <f t="shared" ref="O26:AT26" ca="1" si="202">O6-SUM(O7:O17)+O9</f>
        <v>21955.306948140904</v>
      </c>
      <c r="P26" s="909">
        <f t="shared" ca="1" si="202"/>
        <v>14453.92175944633</v>
      </c>
      <c r="Q26" s="909">
        <f t="shared" ca="1" si="202"/>
        <v>7497.290640002102</v>
      </c>
      <c r="R26" s="909">
        <f t="shared" si="202"/>
        <v>0</v>
      </c>
      <c r="S26" s="909">
        <f t="shared" si="202"/>
        <v>0</v>
      </c>
      <c r="T26" s="909">
        <f t="shared" si="202"/>
        <v>0</v>
      </c>
      <c r="U26" s="909">
        <f t="shared" si="202"/>
        <v>0</v>
      </c>
      <c r="V26" s="909">
        <f t="shared" si="202"/>
        <v>0</v>
      </c>
      <c r="W26" s="909">
        <f t="shared" si="202"/>
        <v>0</v>
      </c>
      <c r="X26" s="909">
        <f t="shared" si="202"/>
        <v>0</v>
      </c>
      <c r="Y26" s="909">
        <f t="shared" si="202"/>
        <v>0</v>
      </c>
      <c r="Z26" s="909">
        <f t="shared" ca="1" si="202"/>
        <v>4.0945486924681518</v>
      </c>
      <c r="AA26" s="909">
        <f t="shared" si="202"/>
        <v>0</v>
      </c>
      <c r="AB26" s="909">
        <f t="shared" ca="1" si="202"/>
        <v>0</v>
      </c>
      <c r="AC26" s="909">
        <f t="shared" ca="1" si="202"/>
        <v>0</v>
      </c>
      <c r="AD26" s="909">
        <f t="shared" ca="1" si="202"/>
        <v>0</v>
      </c>
      <c r="AE26" s="909">
        <f t="shared" ca="1" si="202"/>
        <v>0</v>
      </c>
      <c r="AF26" s="909">
        <f t="shared" ca="1" si="202"/>
        <v>0</v>
      </c>
      <c r="AG26" s="909">
        <f t="shared" ca="1" si="202"/>
        <v>0</v>
      </c>
      <c r="AH26" s="909">
        <f t="shared" ca="1" si="202"/>
        <v>0</v>
      </c>
      <c r="AI26" s="909">
        <f t="shared" ca="1" si="202"/>
        <v>0</v>
      </c>
      <c r="AJ26" s="909">
        <f t="shared" ca="1" si="202"/>
        <v>0</v>
      </c>
      <c r="AK26" s="909">
        <f t="shared" ca="1" si="202"/>
        <v>0</v>
      </c>
      <c r="AL26" s="909">
        <f t="shared" si="202"/>
        <v>0</v>
      </c>
      <c r="AM26" s="909">
        <f t="shared" ca="1" si="202"/>
        <v>0</v>
      </c>
      <c r="AN26" s="909">
        <f t="shared" ca="1" si="202"/>
        <v>0</v>
      </c>
      <c r="AO26" s="909">
        <f t="shared" ca="1" si="202"/>
        <v>0</v>
      </c>
      <c r="AP26" s="909">
        <f t="shared" ca="1" si="202"/>
        <v>0</v>
      </c>
      <c r="AQ26" s="909">
        <f t="shared" ca="1" si="202"/>
        <v>0</v>
      </c>
      <c r="AR26" s="909">
        <f t="shared" ca="1" si="202"/>
        <v>0</v>
      </c>
      <c r="AS26" s="909">
        <f t="shared" ca="1" si="202"/>
        <v>0</v>
      </c>
      <c r="AT26" s="909">
        <f t="shared" ca="1" si="202"/>
        <v>0</v>
      </c>
      <c r="AU26" s="909">
        <f t="shared" ref="AU26:CA26" ca="1" si="203">AU6-SUM(AU7:AU17)+AU9</f>
        <v>0</v>
      </c>
      <c r="AV26" s="909">
        <f t="shared" ca="1" si="203"/>
        <v>0</v>
      </c>
      <c r="AW26" s="909">
        <f t="shared" ca="1" si="203"/>
        <v>0</v>
      </c>
      <c r="AX26" s="909">
        <f t="shared" ca="1" si="203"/>
        <v>0</v>
      </c>
      <c r="AY26" s="909">
        <f t="shared" si="203"/>
        <v>0</v>
      </c>
      <c r="AZ26" s="909">
        <f t="shared" ca="1" si="203"/>
        <v>0</v>
      </c>
      <c r="BA26" s="909">
        <f t="shared" ca="1" si="203"/>
        <v>0</v>
      </c>
      <c r="BB26" s="909">
        <f t="shared" ca="1" si="203"/>
        <v>0</v>
      </c>
      <c r="BC26" s="909">
        <f t="shared" ca="1" si="203"/>
        <v>0</v>
      </c>
      <c r="BD26" s="909">
        <f t="shared" ca="1" si="203"/>
        <v>0</v>
      </c>
      <c r="BE26" s="909">
        <f t="shared" ca="1" si="203"/>
        <v>0</v>
      </c>
      <c r="BF26" s="909">
        <f t="shared" ca="1" si="203"/>
        <v>0</v>
      </c>
      <c r="BG26" s="909">
        <f t="shared" ca="1" si="203"/>
        <v>0</v>
      </c>
      <c r="BH26" s="909">
        <f t="shared" ca="1" si="203"/>
        <v>0</v>
      </c>
      <c r="BI26" s="909">
        <f t="shared" ca="1" si="203"/>
        <v>0</v>
      </c>
      <c r="BJ26" s="909">
        <f t="shared" ca="1" si="203"/>
        <v>0</v>
      </c>
      <c r="BK26" s="909">
        <f t="shared" ca="1" si="203"/>
        <v>0</v>
      </c>
      <c r="BL26" s="909">
        <f t="shared" si="203"/>
        <v>0</v>
      </c>
      <c r="BM26" s="909">
        <f t="shared" ca="1" si="203"/>
        <v>0</v>
      </c>
      <c r="BN26" s="909">
        <f t="shared" ca="1" si="203"/>
        <v>0</v>
      </c>
      <c r="BO26" s="909">
        <f t="shared" ca="1" si="203"/>
        <v>0</v>
      </c>
      <c r="BP26" s="909">
        <f t="shared" ca="1" si="203"/>
        <v>0</v>
      </c>
      <c r="BQ26" s="909">
        <f t="shared" ca="1" si="203"/>
        <v>0</v>
      </c>
      <c r="BR26" s="909">
        <f t="shared" ca="1" si="203"/>
        <v>0</v>
      </c>
      <c r="BS26" s="909">
        <f t="shared" ca="1" si="203"/>
        <v>0</v>
      </c>
      <c r="BT26" s="909">
        <f t="shared" ca="1" si="203"/>
        <v>0</v>
      </c>
      <c r="BU26" s="909">
        <f t="shared" ca="1" si="203"/>
        <v>0</v>
      </c>
      <c r="BV26" s="909">
        <f t="shared" ca="1" si="203"/>
        <v>0</v>
      </c>
      <c r="BW26" s="909">
        <f t="shared" ca="1" si="203"/>
        <v>0</v>
      </c>
      <c r="BX26" s="909">
        <f t="shared" ca="1" si="203"/>
        <v>0</v>
      </c>
      <c r="BY26" s="909">
        <f t="shared" si="203"/>
        <v>0</v>
      </c>
      <c r="BZ26" s="909">
        <f t="shared" ca="1" si="203"/>
        <v>0</v>
      </c>
      <c r="CA26" s="909">
        <f t="shared" ca="1" si="203"/>
        <v>0</v>
      </c>
    </row>
    <row r="27" spans="1:92" hidden="1">
      <c r="A27" s="908" t="s">
        <v>592</v>
      </c>
      <c r="B27" s="909"/>
      <c r="C27" s="909"/>
      <c r="D27" s="909"/>
      <c r="E27" s="909"/>
      <c r="F27" s="909"/>
      <c r="G27" s="909"/>
      <c r="H27" s="909"/>
      <c r="I27" s="909"/>
      <c r="J27" s="909"/>
      <c r="K27" s="909"/>
      <c r="L27" s="909"/>
      <c r="M27" s="909"/>
      <c r="N27" s="909"/>
      <c r="O27" s="945">
        <f ca="1">IF(O26=0,0,O26/$O$26)</f>
        <v>1</v>
      </c>
      <c r="P27" s="945">
        <f t="shared" ref="P27:AA27" ca="1" si="204">IF(P26=0,0,P26/$O$26)</f>
        <v>0.65833385038008929</v>
      </c>
      <c r="Q27" s="945">
        <f t="shared" ca="1" si="204"/>
        <v>0.34147965490580151</v>
      </c>
      <c r="R27" s="945">
        <f t="shared" si="204"/>
        <v>0</v>
      </c>
      <c r="S27" s="945">
        <f t="shared" si="204"/>
        <v>0</v>
      </c>
      <c r="T27" s="945">
        <f t="shared" si="204"/>
        <v>0</v>
      </c>
      <c r="U27" s="945">
        <f t="shared" si="204"/>
        <v>0</v>
      </c>
      <c r="V27" s="945">
        <f t="shared" si="204"/>
        <v>0</v>
      </c>
      <c r="W27" s="945">
        <f t="shared" si="204"/>
        <v>0</v>
      </c>
      <c r="X27" s="945">
        <f t="shared" si="204"/>
        <v>0</v>
      </c>
      <c r="Y27" s="945">
        <f t="shared" si="204"/>
        <v>0</v>
      </c>
      <c r="Z27" s="945">
        <f t="shared" ca="1" si="204"/>
        <v>1.8649471410896686E-4</v>
      </c>
      <c r="AA27" s="945">
        <f t="shared" si="204"/>
        <v>0</v>
      </c>
      <c r="AB27" s="945">
        <f ca="1">IF(AB26=0,0,AB26/$AB$26)</f>
        <v>0</v>
      </c>
      <c r="AC27" s="945">
        <f t="shared" ref="AC27:AN27" ca="1" si="205">IF(AC26=0,0,AC26/$AB$26)</f>
        <v>0</v>
      </c>
      <c r="AD27" s="945">
        <f t="shared" ca="1" si="205"/>
        <v>0</v>
      </c>
      <c r="AE27" s="945">
        <f t="shared" ca="1" si="205"/>
        <v>0</v>
      </c>
      <c r="AF27" s="945">
        <f t="shared" ca="1" si="205"/>
        <v>0</v>
      </c>
      <c r="AG27" s="945">
        <f t="shared" ca="1" si="205"/>
        <v>0</v>
      </c>
      <c r="AH27" s="945">
        <f t="shared" ca="1" si="205"/>
        <v>0</v>
      </c>
      <c r="AI27" s="945">
        <f t="shared" ca="1" si="205"/>
        <v>0</v>
      </c>
      <c r="AJ27" s="945">
        <f t="shared" ca="1" si="205"/>
        <v>0</v>
      </c>
      <c r="AK27" s="945">
        <f t="shared" ca="1" si="205"/>
        <v>0</v>
      </c>
      <c r="AL27" s="945">
        <f t="shared" si="205"/>
        <v>0</v>
      </c>
      <c r="AM27" s="945">
        <f t="shared" ca="1" si="205"/>
        <v>0</v>
      </c>
      <c r="AN27" s="945">
        <f t="shared" ca="1" si="205"/>
        <v>0</v>
      </c>
      <c r="AO27" s="945">
        <f ca="1">IF(AO26=0,0,AO26/$AO$26)</f>
        <v>0</v>
      </c>
      <c r="AP27" s="945">
        <f ca="1">IF(AP26=0,0,AP26/$AO$26)</f>
        <v>0</v>
      </c>
      <c r="AQ27" s="945">
        <f t="shared" ref="AQ27:BA27" ca="1" si="206">IF(AQ26=0,0,AQ26/$AO$26)</f>
        <v>0</v>
      </c>
      <c r="AR27" s="945">
        <f t="shared" ca="1" si="206"/>
        <v>0</v>
      </c>
      <c r="AS27" s="945">
        <f t="shared" ca="1" si="206"/>
        <v>0</v>
      </c>
      <c r="AT27" s="945">
        <f t="shared" ca="1" si="206"/>
        <v>0</v>
      </c>
      <c r="AU27" s="945">
        <f t="shared" ca="1" si="206"/>
        <v>0</v>
      </c>
      <c r="AV27" s="945">
        <f t="shared" ca="1" si="206"/>
        <v>0</v>
      </c>
      <c r="AW27" s="945">
        <f t="shared" ca="1" si="206"/>
        <v>0</v>
      </c>
      <c r="AX27" s="945">
        <f t="shared" ca="1" si="206"/>
        <v>0</v>
      </c>
      <c r="AY27" s="945">
        <f t="shared" si="206"/>
        <v>0</v>
      </c>
      <c r="AZ27" s="945">
        <f t="shared" ca="1" si="206"/>
        <v>0</v>
      </c>
      <c r="BA27" s="945">
        <f t="shared" ca="1" si="206"/>
        <v>0</v>
      </c>
      <c r="BB27" s="945">
        <f ca="1">IF(BB26=0,0,BB26/$BB$26)</f>
        <v>0</v>
      </c>
      <c r="BC27" s="945">
        <f t="shared" ref="BC27:BN27" ca="1" si="207">IF(BC26=0,0,BC26/$BB$26)</f>
        <v>0</v>
      </c>
      <c r="BD27" s="945">
        <f t="shared" ca="1" si="207"/>
        <v>0</v>
      </c>
      <c r="BE27" s="945">
        <f t="shared" ca="1" si="207"/>
        <v>0</v>
      </c>
      <c r="BF27" s="945">
        <f t="shared" ca="1" si="207"/>
        <v>0</v>
      </c>
      <c r="BG27" s="945">
        <f t="shared" ca="1" si="207"/>
        <v>0</v>
      </c>
      <c r="BH27" s="945">
        <f t="shared" ca="1" si="207"/>
        <v>0</v>
      </c>
      <c r="BI27" s="945">
        <f t="shared" ca="1" si="207"/>
        <v>0</v>
      </c>
      <c r="BJ27" s="945">
        <f t="shared" ca="1" si="207"/>
        <v>0</v>
      </c>
      <c r="BK27" s="945">
        <f t="shared" ca="1" si="207"/>
        <v>0</v>
      </c>
      <c r="BL27" s="945">
        <f t="shared" si="207"/>
        <v>0</v>
      </c>
      <c r="BM27" s="945">
        <f t="shared" ca="1" si="207"/>
        <v>0</v>
      </c>
      <c r="BN27" s="945">
        <f t="shared" ca="1" si="207"/>
        <v>0</v>
      </c>
      <c r="BO27" s="945">
        <f ca="1">IF(BO26=0,0,BO26/$BO$26)</f>
        <v>0</v>
      </c>
      <c r="BP27" s="945">
        <f t="shared" ref="BP27:CA27" ca="1" si="208">IF(BP26=0,0,BP26/$BO$26)</f>
        <v>0</v>
      </c>
      <c r="BQ27" s="945">
        <f t="shared" ca="1" si="208"/>
        <v>0</v>
      </c>
      <c r="BR27" s="945">
        <f t="shared" ca="1" si="208"/>
        <v>0</v>
      </c>
      <c r="BS27" s="945">
        <f t="shared" ca="1" si="208"/>
        <v>0</v>
      </c>
      <c r="BT27" s="945">
        <f t="shared" ca="1" si="208"/>
        <v>0</v>
      </c>
      <c r="BU27" s="945">
        <f t="shared" ca="1" si="208"/>
        <v>0</v>
      </c>
      <c r="BV27" s="945">
        <f t="shared" ca="1" si="208"/>
        <v>0</v>
      </c>
      <c r="BW27" s="945">
        <f t="shared" ca="1" si="208"/>
        <v>0</v>
      </c>
      <c r="BX27" s="945">
        <f t="shared" ca="1" si="208"/>
        <v>0</v>
      </c>
      <c r="BY27" s="945">
        <f t="shared" si="208"/>
        <v>0</v>
      </c>
      <c r="BZ27" s="945">
        <f t="shared" ca="1" si="208"/>
        <v>0</v>
      </c>
      <c r="CA27" s="945">
        <f t="shared" ca="1" si="208"/>
        <v>0</v>
      </c>
    </row>
    <row r="28" spans="1:92" hidden="1">
      <c r="A28" s="908" t="s">
        <v>593</v>
      </c>
      <c r="B28" s="909"/>
      <c r="C28" s="909"/>
      <c r="D28" s="909"/>
      <c r="E28" s="909"/>
      <c r="F28" s="909"/>
      <c r="G28" s="909"/>
      <c r="H28" s="909"/>
      <c r="I28" s="909"/>
      <c r="J28" s="909"/>
      <c r="K28" s="909"/>
      <c r="L28" s="909"/>
      <c r="M28" s="909"/>
      <c r="N28" s="909"/>
      <c r="O28" s="945">
        <f ca="1">SUM(P28:AA28)</f>
        <v>1.0000000000000002</v>
      </c>
      <c r="P28" s="945">
        <f ca="1">IF(P27&lt;=0,0,P27/SUMIF($P27:$AA27,"&gt;0%",$P27:$AA27))</f>
        <v>0.65833385038008951</v>
      </c>
      <c r="Q28" s="945">
        <f t="shared" ref="Q28:AA28" ca="1" si="209">IF(Q27&lt;=0,0,Q27/SUMIF($P27:$AA27,"&gt;0%",$P27:$AA27))</f>
        <v>0.34147965490580162</v>
      </c>
      <c r="R28" s="945">
        <f t="shared" si="209"/>
        <v>0</v>
      </c>
      <c r="S28" s="945">
        <f t="shared" si="209"/>
        <v>0</v>
      </c>
      <c r="T28" s="945">
        <f t="shared" si="209"/>
        <v>0</v>
      </c>
      <c r="U28" s="945">
        <f t="shared" si="209"/>
        <v>0</v>
      </c>
      <c r="V28" s="945">
        <f t="shared" si="209"/>
        <v>0</v>
      </c>
      <c r="W28" s="945">
        <f t="shared" si="209"/>
        <v>0</v>
      </c>
      <c r="X28" s="945">
        <f t="shared" si="209"/>
        <v>0</v>
      </c>
      <c r="Y28" s="945">
        <f t="shared" si="209"/>
        <v>0</v>
      </c>
      <c r="Z28" s="945">
        <f t="shared" ca="1" si="209"/>
        <v>1.8649471410896691E-4</v>
      </c>
      <c r="AA28" s="945">
        <f t="shared" si="209"/>
        <v>0</v>
      </c>
      <c r="AB28" s="945">
        <f ca="1">SUM(AC28:AN28)</f>
        <v>0</v>
      </c>
      <c r="AC28" s="945">
        <f ca="1">IF(AC27&lt;=0,0,AC27/SUMIF($AC27:$AN27,"&gt;0%",$AC27:$AN27))</f>
        <v>0</v>
      </c>
      <c r="AD28" s="945">
        <f t="shared" ref="AD28:AN28" ca="1" si="210">IF(AD27&lt;=0,0,AD27/SUMIF($AC27:$AN27,"&gt;0%",$AC27:$AN27))</f>
        <v>0</v>
      </c>
      <c r="AE28" s="945">
        <f t="shared" ca="1" si="210"/>
        <v>0</v>
      </c>
      <c r="AF28" s="945">
        <f t="shared" ca="1" si="210"/>
        <v>0</v>
      </c>
      <c r="AG28" s="945">
        <f t="shared" ca="1" si="210"/>
        <v>0</v>
      </c>
      <c r="AH28" s="945">
        <f t="shared" ca="1" si="210"/>
        <v>0</v>
      </c>
      <c r="AI28" s="945">
        <f t="shared" ca="1" si="210"/>
        <v>0</v>
      </c>
      <c r="AJ28" s="945">
        <f t="shared" ca="1" si="210"/>
        <v>0</v>
      </c>
      <c r="AK28" s="945">
        <f t="shared" ca="1" si="210"/>
        <v>0</v>
      </c>
      <c r="AL28" s="945">
        <f t="shared" si="210"/>
        <v>0</v>
      </c>
      <c r="AM28" s="945">
        <f t="shared" ca="1" si="210"/>
        <v>0</v>
      </c>
      <c r="AN28" s="945">
        <f t="shared" ca="1" si="210"/>
        <v>0</v>
      </c>
      <c r="AO28" s="945">
        <f ca="1">SUM(AP28:BA28)</f>
        <v>0</v>
      </c>
      <c r="AP28" s="945">
        <f ca="1">IF(AP27&lt;=0,0,AP27/SUMIF($AP27:$BA27,"&gt;0%",$AP27:$BA27))</f>
        <v>0</v>
      </c>
      <c r="AQ28" s="945">
        <f t="shared" ref="AQ28:BA28" ca="1" si="211">IF(AQ27&lt;=0,0,AQ27/SUMIF($AP27:$BA27,"&gt;0%",$AP27:$BA27))</f>
        <v>0</v>
      </c>
      <c r="AR28" s="945">
        <f t="shared" ca="1" si="211"/>
        <v>0</v>
      </c>
      <c r="AS28" s="945">
        <f t="shared" ca="1" si="211"/>
        <v>0</v>
      </c>
      <c r="AT28" s="945">
        <f t="shared" ca="1" si="211"/>
        <v>0</v>
      </c>
      <c r="AU28" s="945">
        <f t="shared" ca="1" si="211"/>
        <v>0</v>
      </c>
      <c r="AV28" s="945">
        <f t="shared" ca="1" si="211"/>
        <v>0</v>
      </c>
      <c r="AW28" s="945">
        <f t="shared" ca="1" si="211"/>
        <v>0</v>
      </c>
      <c r="AX28" s="945">
        <f t="shared" ca="1" si="211"/>
        <v>0</v>
      </c>
      <c r="AY28" s="945">
        <f t="shared" si="211"/>
        <v>0</v>
      </c>
      <c r="AZ28" s="945">
        <f t="shared" ca="1" si="211"/>
        <v>0</v>
      </c>
      <c r="BA28" s="945">
        <f t="shared" ca="1" si="211"/>
        <v>0</v>
      </c>
      <c r="BB28" s="945">
        <f ca="1">SUM(BC28:BN28)</f>
        <v>0</v>
      </c>
      <c r="BC28" s="945">
        <f ca="1">IF(BC27&lt;=0,0,BC27/SUMIF($BC27:$BN27,"&gt;0%",$BC27:$BN27))</f>
        <v>0</v>
      </c>
      <c r="BD28" s="945">
        <f t="shared" ref="BD28:BN28" ca="1" si="212">IF(BD27&lt;=0,0,BD27/SUMIF($BC27:$BN27,"&gt;0%",$BC27:$BN27))</f>
        <v>0</v>
      </c>
      <c r="BE28" s="945">
        <f t="shared" ca="1" si="212"/>
        <v>0</v>
      </c>
      <c r="BF28" s="945">
        <f t="shared" ca="1" si="212"/>
        <v>0</v>
      </c>
      <c r="BG28" s="945">
        <f t="shared" ca="1" si="212"/>
        <v>0</v>
      </c>
      <c r="BH28" s="945">
        <f t="shared" ca="1" si="212"/>
        <v>0</v>
      </c>
      <c r="BI28" s="945">
        <f t="shared" ca="1" si="212"/>
        <v>0</v>
      </c>
      <c r="BJ28" s="945">
        <f t="shared" ca="1" si="212"/>
        <v>0</v>
      </c>
      <c r="BK28" s="945">
        <f t="shared" ca="1" si="212"/>
        <v>0</v>
      </c>
      <c r="BL28" s="945">
        <f t="shared" si="212"/>
        <v>0</v>
      </c>
      <c r="BM28" s="945">
        <f t="shared" ca="1" si="212"/>
        <v>0</v>
      </c>
      <c r="BN28" s="945">
        <f t="shared" ca="1" si="212"/>
        <v>0</v>
      </c>
      <c r="BO28" s="945">
        <f ca="1">SUM(BP28:CA28)</f>
        <v>0</v>
      </c>
      <c r="BP28" s="945">
        <f ca="1">IF(BP27&lt;=0,0,BP27/SUMIF($BP27:$CA27,"&gt;0%",$BP27:$CA27))</f>
        <v>0</v>
      </c>
      <c r="BQ28" s="945">
        <f t="shared" ref="BQ28:CA28" ca="1" si="213">IF(BQ27&lt;=0,0,BQ27/SUMIF($BP27:$CA27,"&gt;0%",$BP27:$CA27))</f>
        <v>0</v>
      </c>
      <c r="BR28" s="945">
        <f t="shared" ca="1" si="213"/>
        <v>0</v>
      </c>
      <c r="BS28" s="945">
        <f t="shared" ca="1" si="213"/>
        <v>0</v>
      </c>
      <c r="BT28" s="945">
        <f t="shared" ca="1" si="213"/>
        <v>0</v>
      </c>
      <c r="BU28" s="945">
        <f t="shared" ca="1" si="213"/>
        <v>0</v>
      </c>
      <c r="BV28" s="945">
        <f t="shared" ca="1" si="213"/>
        <v>0</v>
      </c>
      <c r="BW28" s="945">
        <f t="shared" ca="1" si="213"/>
        <v>0</v>
      </c>
      <c r="BX28" s="945">
        <f t="shared" ca="1" si="213"/>
        <v>0</v>
      </c>
      <c r="BY28" s="945">
        <f t="shared" si="213"/>
        <v>0</v>
      </c>
      <c r="BZ28" s="945">
        <f t="shared" ca="1" si="213"/>
        <v>0</v>
      </c>
      <c r="CA28" s="945">
        <f t="shared" ca="1" si="213"/>
        <v>0</v>
      </c>
    </row>
    <row r="29" spans="1:92" hidden="1">
      <c r="A29" s="910" t="s">
        <v>553</v>
      </c>
      <c r="B29" s="911">
        <f ca="1">(B6-B7-B8-B18-B11-B13-B14)-('16.所得税计算表'!C6-'16.所得税计算表'!C19-'16.所得税计算表'!C97-'16.所得税计算表'!C32-'16.所得税计算表'!C45)</f>
        <v>-4183.4403804780595</v>
      </c>
      <c r="C29" s="909"/>
      <c r="D29" s="909"/>
      <c r="E29" s="909"/>
      <c r="F29" s="909"/>
      <c r="G29" s="909"/>
      <c r="H29" s="909"/>
      <c r="I29" s="909"/>
      <c r="J29" s="909"/>
      <c r="K29" s="909"/>
      <c r="L29" s="909"/>
      <c r="M29" s="909"/>
      <c r="N29" s="909"/>
      <c r="O29" s="946">
        <f ca="1">O9-SUM(O10:O18)</f>
        <v>21053.806948140889</v>
      </c>
      <c r="P29" s="945"/>
      <c r="Q29" s="945"/>
      <c r="R29" s="945"/>
      <c r="S29" s="945"/>
      <c r="T29" s="945"/>
      <c r="U29" s="945"/>
      <c r="V29" s="945"/>
      <c r="W29" s="945"/>
      <c r="X29" s="945"/>
      <c r="Y29" s="945"/>
      <c r="Z29" s="945"/>
      <c r="AA29" s="945"/>
      <c r="AB29" s="945"/>
      <c r="AC29" s="945"/>
      <c r="AD29" s="945"/>
      <c r="AE29" s="945"/>
      <c r="AF29" s="945"/>
      <c r="AG29" s="945"/>
      <c r="AH29" s="945"/>
      <c r="AI29" s="945"/>
      <c r="AJ29" s="945"/>
      <c r="AK29" s="945"/>
      <c r="AL29" s="945"/>
      <c r="AM29" s="945"/>
      <c r="AN29" s="945"/>
      <c r="AO29" s="945"/>
      <c r="AP29" s="945"/>
      <c r="AQ29" s="945"/>
      <c r="AR29" s="945"/>
      <c r="AS29" s="945"/>
      <c r="AT29" s="945"/>
      <c r="AU29" s="945"/>
      <c r="AV29" s="945"/>
      <c r="AW29" s="945"/>
      <c r="AX29" s="945"/>
      <c r="AY29" s="945"/>
      <c r="AZ29" s="945"/>
      <c r="BA29" s="945"/>
      <c r="BB29" s="945"/>
      <c r="BC29" s="945"/>
      <c r="BD29" s="945"/>
      <c r="BE29" s="945"/>
      <c r="BF29" s="945"/>
      <c r="BG29" s="945"/>
      <c r="BH29" s="945"/>
      <c r="BI29" s="945"/>
      <c r="BJ29" s="945"/>
      <c r="BK29" s="945"/>
      <c r="BL29" s="945"/>
      <c r="BM29" s="945"/>
      <c r="BN29" s="945"/>
      <c r="BO29" s="945"/>
      <c r="BP29" s="945"/>
      <c r="BQ29" s="945"/>
      <c r="BR29" s="945"/>
      <c r="BS29" s="945"/>
      <c r="BT29" s="945"/>
      <c r="BU29" s="945"/>
      <c r="BV29" s="945"/>
      <c r="BW29" s="945"/>
      <c r="BX29" s="945"/>
      <c r="BY29" s="945"/>
      <c r="BZ29" s="945"/>
      <c r="CA29" s="945"/>
    </row>
    <row r="30" spans="1:92">
      <c r="A30" s="1130" t="s">
        <v>553</v>
      </c>
      <c r="B30" s="911">
        <f ca="1">B23</f>
        <v>0.47815129855321459</v>
      </c>
      <c r="C30" s="909"/>
      <c r="D30" s="909"/>
      <c r="E30" s="909"/>
      <c r="F30" s="909"/>
      <c r="G30" s="909"/>
      <c r="H30" s="909"/>
      <c r="I30" s="909"/>
      <c r="J30" s="909"/>
      <c r="K30" s="909"/>
      <c r="L30" s="909"/>
      <c r="M30" s="909"/>
      <c r="N30" s="909"/>
      <c r="O30" s="946"/>
      <c r="P30" s="946"/>
      <c r="Q30" s="946"/>
      <c r="R30" s="946"/>
      <c r="S30" s="946"/>
      <c r="T30" s="946"/>
      <c r="U30" s="946"/>
      <c r="V30" s="946"/>
      <c r="W30" s="946"/>
      <c r="X30" s="946"/>
      <c r="Y30" s="946"/>
      <c r="Z30" s="946"/>
      <c r="AA30" s="946"/>
      <c r="AB30" s="946"/>
      <c r="AC30" s="946"/>
      <c r="AD30" s="946"/>
      <c r="AE30" s="946"/>
      <c r="AF30" s="946"/>
      <c r="AG30" s="946"/>
      <c r="AH30" s="946"/>
      <c r="AI30" s="946"/>
      <c r="AJ30" s="946"/>
      <c r="AK30" s="946"/>
      <c r="AL30" s="946"/>
      <c r="AM30" s="946"/>
      <c r="AN30" s="946"/>
      <c r="AO30" s="946"/>
      <c r="AP30" s="946"/>
      <c r="AQ30" s="946"/>
      <c r="AR30" s="946"/>
      <c r="AS30" s="946"/>
      <c r="AT30" s="946"/>
      <c r="AU30" s="946"/>
      <c r="AV30" s="946"/>
      <c r="AW30" s="946"/>
      <c r="AX30" s="946"/>
      <c r="AY30" s="946"/>
      <c r="AZ30" s="946"/>
      <c r="BA30" s="946"/>
      <c r="BB30" s="946"/>
      <c r="BC30" s="946"/>
      <c r="BD30" s="946"/>
      <c r="BE30" s="946"/>
      <c r="BF30" s="946"/>
      <c r="BG30" s="946"/>
      <c r="BH30" s="946"/>
      <c r="BI30" s="946"/>
      <c r="BJ30" s="946"/>
      <c r="BK30" s="946"/>
      <c r="BL30" s="946"/>
      <c r="BM30" s="946"/>
      <c r="BN30" s="946"/>
      <c r="BO30" s="946"/>
      <c r="BP30" s="946"/>
      <c r="BQ30" s="946"/>
      <c r="BR30" s="946"/>
      <c r="BS30" s="946"/>
      <c r="BT30" s="946"/>
      <c r="BU30" s="946"/>
      <c r="BV30" s="946"/>
      <c r="BW30" s="946"/>
      <c r="BX30" s="946"/>
      <c r="BY30" s="946"/>
      <c r="BZ30" s="946"/>
      <c r="CA30" s="946"/>
      <c r="CB30" s="946"/>
      <c r="CC30" s="946"/>
      <c r="CD30" s="946"/>
      <c r="CE30" s="946"/>
      <c r="CF30" s="946"/>
      <c r="CG30" s="946"/>
      <c r="CH30" s="946"/>
      <c r="CI30" s="946"/>
      <c r="CJ30" s="946"/>
      <c r="CK30" s="946"/>
      <c r="CL30" s="946"/>
      <c r="CM30" s="946"/>
      <c r="CN30" s="946"/>
    </row>
    <row r="33" spans="15:15">
      <c r="O33" s="823"/>
    </row>
  </sheetData>
  <sheetProtection password="C71F" sheet="1" objects="1" scenarios="1"/>
  <mergeCells count="9">
    <mergeCell ref="BB4:BN4"/>
    <mergeCell ref="BO4:CA4"/>
    <mergeCell ref="CB4:CN4"/>
    <mergeCell ref="A4:A5"/>
    <mergeCell ref="A1:AA1"/>
    <mergeCell ref="B4:N4"/>
    <mergeCell ref="O4:AA4"/>
    <mergeCell ref="AB4:AN4"/>
    <mergeCell ref="AO4:BA4"/>
  </mergeCells>
  <phoneticPr fontId="102" type="noConversion"/>
  <pageMargins left="0.69930555555555596" right="0.69930555555555596"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V135"/>
  <sheetViews>
    <sheetView showGridLines="0" topLeftCell="A10" workbookViewId="0">
      <selection activeCell="H26" sqref="H26:H31"/>
    </sheetView>
  </sheetViews>
  <sheetFormatPr defaultColWidth="9" defaultRowHeight="12.75"/>
  <cols>
    <col min="1" max="11" width="9" style="77"/>
    <col min="12" max="12" width="9.625" style="77" customWidth="1"/>
    <col min="13" max="13" width="9.5" style="77" customWidth="1"/>
    <col min="14" max="14" width="8.875" style="77" customWidth="1"/>
    <col min="15" max="15" width="9.25" style="77" customWidth="1"/>
    <col min="16" max="16" width="9.875" style="77" customWidth="1"/>
    <col min="17" max="17" width="9.625" style="77" customWidth="1"/>
    <col min="18" max="18" width="9.875" style="77" customWidth="1"/>
    <col min="19" max="19" width="9.125" style="77" customWidth="1"/>
    <col min="20" max="47" width="9" style="77"/>
    <col min="48" max="48" width="4.625" style="77" customWidth="1"/>
    <col min="49" max="16384" width="9" style="77"/>
  </cols>
  <sheetData>
    <row r="1" spans="1:20" ht="18.75">
      <c r="A1" s="79" t="s">
        <v>594</v>
      </c>
      <c r="D1" s="80" t="s">
        <v>117</v>
      </c>
    </row>
    <row r="3" spans="1:20">
      <c r="A3" s="81" t="s">
        <v>118</v>
      </c>
    </row>
    <row r="4" spans="1:20">
      <c r="A4" s="82" t="s">
        <v>595</v>
      </c>
    </row>
    <row r="5" spans="1:20" ht="15" customHeight="1">
      <c r="A5" s="1109"/>
      <c r="B5" s="1109"/>
      <c r="C5" s="157" t="s">
        <v>596</v>
      </c>
      <c r="D5" s="1110" t="str">
        <f>'15.土地增值税'!D5</f>
        <v>普</v>
      </c>
      <c r="E5" s="1111" t="str">
        <f>'15.土地增值税'!E5</f>
        <v>非普</v>
      </c>
      <c r="F5" s="1111">
        <f>'15.土地增值税'!F5</f>
        <v>0</v>
      </c>
      <c r="G5" s="1111">
        <f>'15.土地增值税'!G5</f>
        <v>0</v>
      </c>
      <c r="H5" s="1111">
        <f>'15.土地增值税'!H5</f>
        <v>0</v>
      </c>
      <c r="I5" s="1111">
        <f>'15.土地增值税'!I5</f>
        <v>0</v>
      </c>
      <c r="J5" s="1111">
        <f>'15.土地增值税'!J5</f>
        <v>0</v>
      </c>
      <c r="K5" s="1111">
        <f>'15.土地增值税'!K5</f>
        <v>0</v>
      </c>
      <c r="L5" s="1111">
        <f>'15.土地增值税'!L5</f>
        <v>0</v>
      </c>
      <c r="M5" s="1111"/>
      <c r="N5" s="1111" t="str">
        <f>'15.土地增值税'!N5</f>
        <v>非普</v>
      </c>
      <c r="O5" s="1118">
        <f>'15.土地增值税'!O5</f>
        <v>0</v>
      </c>
      <c r="P5" s="1864" t="s">
        <v>597</v>
      </c>
      <c r="Q5" s="1865"/>
      <c r="R5" s="1122" t="str">
        <f>'15.土地增值税'!R5</f>
        <v>两分法</v>
      </c>
    </row>
    <row r="6" spans="1:20" s="75" customFormat="1" ht="15" customHeight="1">
      <c r="A6" s="161" t="s">
        <v>598</v>
      </c>
      <c r="B6" s="161" t="s">
        <v>183</v>
      </c>
      <c r="C6" s="162" t="s">
        <v>599</v>
      </c>
      <c r="D6" s="163" t="str">
        <f>'8.项目规划指标表'!B5</f>
        <v>高层</v>
      </c>
      <c r="E6" s="164" t="str">
        <f>'8.项目规划指标表'!B6</f>
        <v>商铺</v>
      </c>
      <c r="F6" s="164" t="str">
        <f>'8.项目规划指标表'!B7</f>
        <v>回迁商业</v>
      </c>
      <c r="G6" s="164">
        <f>'8.项目规划指标表'!B8</f>
        <v>0</v>
      </c>
      <c r="H6" s="164">
        <f>'8.项目规划指标表'!B9</f>
        <v>0</v>
      </c>
      <c r="I6" s="164">
        <f>'8.项目规划指标表'!B10</f>
        <v>0</v>
      </c>
      <c r="J6" s="164">
        <f>'8.项目规划指标表'!B11</f>
        <v>0</v>
      </c>
      <c r="K6" s="164">
        <f>'8.项目规划指标表'!B12</f>
        <v>0</v>
      </c>
      <c r="L6" s="164">
        <f>'8.项目规划指标表'!B13</f>
        <v>0</v>
      </c>
      <c r="M6" s="164" t="str">
        <f>'8.项目规划指标表'!B14</f>
        <v>自持物业</v>
      </c>
      <c r="N6" s="164" t="str">
        <f>'8.项目规划指标表'!B18</f>
        <v>有产权车库(个)</v>
      </c>
      <c r="O6" s="187" t="str">
        <f>'8.项目规划指标表'!B19</f>
        <v>无产权车库(个)</v>
      </c>
      <c r="P6" s="201" t="s">
        <v>600</v>
      </c>
      <c r="Q6" s="161" t="s">
        <v>601</v>
      </c>
      <c r="R6" s="161" t="s">
        <v>164</v>
      </c>
    </row>
    <row r="7" spans="1:20" s="75" customFormat="1" ht="15" customHeight="1">
      <c r="A7" s="1870" t="s">
        <v>19</v>
      </c>
      <c r="B7" s="165" t="s">
        <v>454</v>
      </c>
      <c r="C7" s="166">
        <f>SUM(D7:O7)</f>
        <v>86476.466817331602</v>
      </c>
      <c r="D7" s="167">
        <f>'3.保本售价试算'!P6/1.11</f>
        <v>62075.128394133324</v>
      </c>
      <c r="E7" s="168">
        <f>'3.保本售价试算'!Q6/1.11</f>
        <v>22232.227045661788</v>
      </c>
      <c r="F7" s="168">
        <f>'3.保本售价试算'!R6/1.11</f>
        <v>0</v>
      </c>
      <c r="G7" s="168">
        <f>'3.保本售价试算'!S6/1.11</f>
        <v>0</v>
      </c>
      <c r="H7" s="168">
        <f>'3.保本售价试算'!T6/1.11</f>
        <v>0</v>
      </c>
      <c r="I7" s="168">
        <f>'3.保本售价试算'!U6/1.11</f>
        <v>0</v>
      </c>
      <c r="J7" s="168">
        <f>'3.保本售价试算'!V6/1.11</f>
        <v>0</v>
      </c>
      <c r="K7" s="168">
        <f>'3.保本售价试算'!W6/1.11</f>
        <v>0</v>
      </c>
      <c r="L7" s="168">
        <f>'3.保本售价试算'!X6/1.11</f>
        <v>0</v>
      </c>
      <c r="M7" s="168"/>
      <c r="N7" s="168">
        <f>'3.保本售价试算'!Z6/1.11</f>
        <v>2169.1113775364888</v>
      </c>
      <c r="O7" s="189">
        <f>'3.保本售价试算'!AA6/1.11</f>
        <v>0</v>
      </c>
      <c r="P7" s="202">
        <f t="shared" ref="P7:P12" si="0">IF($R$5="合并清算",0,SUMIF(D$5:O$5,"普",D7:O7))</f>
        <v>62075.128394133324</v>
      </c>
      <c r="Q7" s="211">
        <f t="shared" ref="Q7:Q12" si="1">IF($R$5="合并清算",C7,IF($R$5="两分法",C7-P7,SUMIF(D$5:O$5,"非普",D7:O7)))</f>
        <v>24401.338423198278</v>
      </c>
      <c r="R7" s="211">
        <f t="shared" ref="R7:R12" si="2">IF($R$5="三分法",C7-P7-Q7,0)</f>
        <v>0</v>
      </c>
      <c r="S7" s="154">
        <f>P7+Q7+R7-C7</f>
        <v>0</v>
      </c>
    </row>
    <row r="8" spans="1:20" s="75" customFormat="1" ht="15" customHeight="1">
      <c r="A8" s="1870"/>
      <c r="B8" s="165" t="s">
        <v>368</v>
      </c>
      <c r="C8" s="166">
        <f>SUM(D8:O8)</f>
        <v>20220.111314965783</v>
      </c>
      <c r="D8" s="185">
        <f>'15.土地增值税'!D8</f>
        <v>13098.420290432066</v>
      </c>
      <c r="E8" s="171">
        <f>'15.土地增值税'!E8</f>
        <v>7121.6910245337176</v>
      </c>
      <c r="F8" s="171">
        <f>'15.土地增值税'!F8</f>
        <v>0</v>
      </c>
      <c r="G8" s="171">
        <f>'15.土地增值税'!G8</f>
        <v>0</v>
      </c>
      <c r="H8" s="171">
        <f>'15.土地增值税'!H8</f>
        <v>0</v>
      </c>
      <c r="I8" s="171">
        <f>'15.土地增值税'!I8</f>
        <v>0</v>
      </c>
      <c r="J8" s="171">
        <f>'15.土地增值税'!J8</f>
        <v>0</v>
      </c>
      <c r="K8" s="171">
        <f>'15.土地增值税'!K8</f>
        <v>0</v>
      </c>
      <c r="L8" s="171">
        <f>'15.土地增值税'!L8</f>
        <v>0</v>
      </c>
      <c r="M8" s="171"/>
      <c r="N8" s="171">
        <f>'15.土地增值税'!N8</f>
        <v>0</v>
      </c>
      <c r="O8" s="234">
        <f>'15.土地增值税'!O8</f>
        <v>0</v>
      </c>
      <c r="P8" s="202">
        <f t="shared" si="0"/>
        <v>13098.420290432066</v>
      </c>
      <c r="Q8" s="211">
        <f t="shared" si="1"/>
        <v>7121.6910245337167</v>
      </c>
      <c r="R8" s="211">
        <f t="shared" si="2"/>
        <v>0</v>
      </c>
      <c r="S8" s="154">
        <f t="shared" ref="S8:S15" si="3">P8+Q8+R8-C8</f>
        <v>0</v>
      </c>
    </row>
    <row r="9" spans="1:20" s="75" customFormat="1" ht="15" customHeight="1">
      <c r="A9" s="1870"/>
      <c r="B9" s="165" t="s">
        <v>578</v>
      </c>
      <c r="C9" s="166">
        <f t="shared" ref="C9:C15" si="4">SUM(D9:O9)</f>
        <v>28347.253116995329</v>
      </c>
      <c r="D9" s="167">
        <f>'13.建安成本表'!E$214</f>
        <v>24728.967645848719</v>
      </c>
      <c r="E9" s="168">
        <f>'13.建安成本表'!E$215</f>
        <v>1920.4697467630406</v>
      </c>
      <c r="F9" s="168">
        <f>'13.建安成本表'!E$216</f>
        <v>0</v>
      </c>
      <c r="G9" s="168">
        <f>'13.建安成本表'!E$217</f>
        <v>0</v>
      </c>
      <c r="H9" s="168">
        <f>'13.建安成本表'!E$218</f>
        <v>0</v>
      </c>
      <c r="I9" s="168">
        <f>'13.建安成本表'!E$219</f>
        <v>0</v>
      </c>
      <c r="J9" s="168">
        <f>'13.建安成本表'!E$220</f>
        <v>0</v>
      </c>
      <c r="K9" s="168">
        <f>'13.建安成本表'!E$221</f>
        <v>0</v>
      </c>
      <c r="L9" s="168">
        <f>'13.建安成本表'!E$222</f>
        <v>0</v>
      </c>
      <c r="M9" s="168"/>
      <c r="N9" s="171">
        <f>'13.建安成本表'!E$224</f>
        <v>1697.8157243835692</v>
      </c>
      <c r="O9" s="232">
        <f>'13.建安成本表'!E$225</f>
        <v>0</v>
      </c>
      <c r="P9" s="202">
        <f t="shared" si="0"/>
        <v>24728.967645848719</v>
      </c>
      <c r="Q9" s="211">
        <f t="shared" si="1"/>
        <v>3618.2854711466098</v>
      </c>
      <c r="R9" s="211">
        <f t="shared" si="2"/>
        <v>0</v>
      </c>
      <c r="S9" s="154">
        <f t="shared" si="3"/>
        <v>0</v>
      </c>
    </row>
    <row r="10" spans="1:20" s="75" customFormat="1" ht="15" customHeight="1">
      <c r="A10" s="1870"/>
      <c r="B10" s="165" t="s">
        <v>602</v>
      </c>
      <c r="C10" s="166">
        <f t="shared" si="4"/>
        <v>579.79752336212357</v>
      </c>
      <c r="D10" s="167">
        <f>D7*1.11*('2.税率表'!D7*('2.税率表'!$D$13+'2.税率表'!$D$14+'2.税率表'!$D$17)+'2.税率表'!$D$15+'2.税率表'!$D$16+'2.税率表'!$D$18)+'14.增值税计算表'!E418</f>
        <v>416.19422057714115</v>
      </c>
      <c r="E10" s="168">
        <f>E7*1.11*('2.税率表'!D7*('2.税率表'!$D$13+'2.税率表'!$D$14+'2.税率表'!$D$17)+'2.税率表'!$D$15+'2.税率表'!$D$16+'2.税率表'!$D$18)+'14.增值税计算表'!F418</f>
        <v>149.06009292826099</v>
      </c>
      <c r="F10" s="168">
        <f>F7*1.11*('2.税率表'!D7*('2.税率表'!$D$13+'2.税率表'!$D$14+'2.税率表'!$D$17)+'2.税率表'!$D$15+'2.税率表'!$D$16+'2.税率表'!$D$18)+'14.增值税计算表'!G418</f>
        <v>0</v>
      </c>
      <c r="G10" s="168">
        <f>G7*1.11*('2.税率表'!D7*('2.税率表'!$D$13+'2.税率表'!$D$14+'2.税率表'!$D$17)+'2.税率表'!$D$15+'2.税率表'!$D$16+'2.税率表'!$D$18)+'14.增值税计算表'!H418</f>
        <v>0</v>
      </c>
      <c r="H10" s="168">
        <f>H7*1.11*('2.税率表'!D7*('2.税率表'!$D$13+'2.税率表'!$D$14+'2.税率表'!$D$17)+'2.税率表'!$D$15+'2.税率表'!$D$16+'2.税率表'!$D$18)+'14.增值税计算表'!I418</f>
        <v>0</v>
      </c>
      <c r="I10" s="168">
        <f>I7*1.11*('2.税率表'!D7*('2.税率表'!$D$13+'2.税率表'!$D$14+'2.税率表'!$D$17)+'2.税率表'!$D$15+'2.税率表'!$D$16+'2.税率表'!$D$18)+'14.增值税计算表'!J418</f>
        <v>0</v>
      </c>
      <c r="J10" s="168">
        <f>J7*1.11*('2.税率表'!D7*('2.税率表'!$D$13+'2.税率表'!$D$14+'2.税率表'!$D$17)+'2.税率表'!$D$15+'2.税率表'!$D$16+'2.税率表'!$D$18)+'14.增值税计算表'!K418</f>
        <v>0</v>
      </c>
      <c r="K10" s="168">
        <f>K7*1.11*('2.税率表'!D7*('2.税率表'!$D$13+'2.税率表'!$D$14+'2.税率表'!$D$17)+'2.税率表'!$D$15+'2.税率表'!$D$16+'2.税率表'!$D$18)+'14.增值税计算表'!L418</f>
        <v>0</v>
      </c>
      <c r="L10" s="168">
        <f>L7*1.11*('2.税率表'!D7*('2.税率表'!$D$13+'2.税率表'!$D$14+'2.税率表'!$D$17)+'2.税率表'!$D$15+'2.税率表'!$D$16+'2.税率表'!$D$18)+'14.增值税计算表'!M418</f>
        <v>0</v>
      </c>
      <c r="M10" s="168"/>
      <c r="N10" s="168">
        <f>N7*1.11*('2.税率表'!D7*('2.税率表'!$D$13+'2.税率表'!$D$14+'2.税率表'!$D$17)+'2.税率表'!$D$15+'2.税率表'!$D$16+'2.税率表'!$D$18)</f>
        <v>14.543209856721425</v>
      </c>
      <c r="O10" s="189">
        <f>O7*1.11*('2.税率表'!D7*('2.税率表'!$D$13+'2.税率表'!$D$14+'2.税率表'!$D$17)+'2.税率表'!$D$15+'2.税率表'!$D$16+'2.税率表'!$D$18)</f>
        <v>0</v>
      </c>
      <c r="P10" s="202">
        <f t="shared" si="0"/>
        <v>416.19422057714115</v>
      </c>
      <c r="Q10" s="211">
        <f t="shared" si="1"/>
        <v>163.60330278498242</v>
      </c>
      <c r="R10" s="211">
        <f t="shared" si="2"/>
        <v>0</v>
      </c>
      <c r="S10" s="154">
        <f t="shared" si="3"/>
        <v>0</v>
      </c>
      <c r="T10" s="154">
        <f>C10-'16.所得税计算表'!C32-'16.所得税计算表'!C45</f>
        <v>-27.811258181045616</v>
      </c>
    </row>
    <row r="11" spans="1:20" s="75" customFormat="1" ht="15" customHeight="1">
      <c r="A11" s="1870"/>
      <c r="B11" s="165" t="s">
        <v>373</v>
      </c>
      <c r="C11" s="166">
        <f t="shared" ca="1" si="4"/>
        <v>2428.3682215980557</v>
      </c>
      <c r="D11" s="167">
        <f ca="1">MAX('17.财务费用测算表'!D51,(D8+D9)*5%)</f>
        <v>1891.3693968140394</v>
      </c>
      <c r="E11" s="168">
        <f ca="1">MAX('17.财务费用测算表'!E51,(E8+E9)*5%)</f>
        <v>452.1080385648379</v>
      </c>
      <c r="F11" s="168">
        <f ca="1">MAX('17.财务费用测算表'!F51,(F8+F9)*5%)</f>
        <v>0</v>
      </c>
      <c r="G11" s="168">
        <f ca="1">MAX('17.财务费用测算表'!G51,(G8+G9)*5%)</f>
        <v>0</v>
      </c>
      <c r="H11" s="168">
        <f ca="1">MAX('17.财务费用测算表'!H51,(H8+H9)*5%)</f>
        <v>0</v>
      </c>
      <c r="I11" s="168">
        <f ca="1">MAX('17.财务费用测算表'!I51,(I8+I9)*5%)</f>
        <v>0</v>
      </c>
      <c r="J11" s="168">
        <f ca="1">MAX('17.财务费用测算表'!J51,(J8+J9)*5%)</f>
        <v>0</v>
      </c>
      <c r="K11" s="168">
        <f ca="1">MAX('17.财务费用测算表'!K51,(K8+K9)*5%)</f>
        <v>0</v>
      </c>
      <c r="L11" s="168">
        <f ca="1">MAX('17.财务费用测算表'!L51,(L8+L9)*5%)</f>
        <v>0</v>
      </c>
      <c r="M11" s="168"/>
      <c r="N11" s="171">
        <f ca="1">MAX('17.财务费用测算表'!N51,(N8+N9)*5%)</f>
        <v>84.890786219178466</v>
      </c>
      <c r="O11" s="234">
        <f ca="1">MAX('17.财务费用测算表'!O51,(O8+O9)*5%)</f>
        <v>0</v>
      </c>
      <c r="P11" s="202">
        <f t="shared" ca="1" si="0"/>
        <v>1891.3693968140394</v>
      </c>
      <c r="Q11" s="211">
        <f t="shared" ca="1" si="1"/>
        <v>536.99882478401628</v>
      </c>
      <c r="R11" s="211">
        <f t="shared" si="2"/>
        <v>0</v>
      </c>
      <c r="S11" s="154">
        <f t="shared" ca="1" si="3"/>
        <v>0</v>
      </c>
    </row>
    <row r="12" spans="1:20" s="75" customFormat="1" ht="15" customHeight="1">
      <c r="A12" s="1870"/>
      <c r="B12" s="165" t="s">
        <v>603</v>
      </c>
      <c r="C12" s="166">
        <f t="shared" si="4"/>
        <v>2428.3682215980557</v>
      </c>
      <c r="D12" s="167">
        <f>(D8+D9)*5%</f>
        <v>1891.3693968140394</v>
      </c>
      <c r="E12" s="168">
        <f t="shared" ref="E12:O12" si="5">(E8+E9)*5%</f>
        <v>452.1080385648379</v>
      </c>
      <c r="F12" s="168">
        <f t="shared" si="5"/>
        <v>0</v>
      </c>
      <c r="G12" s="168">
        <f t="shared" si="5"/>
        <v>0</v>
      </c>
      <c r="H12" s="168">
        <f t="shared" si="5"/>
        <v>0</v>
      </c>
      <c r="I12" s="168">
        <f t="shared" si="5"/>
        <v>0</v>
      </c>
      <c r="J12" s="168">
        <f t="shared" si="5"/>
        <v>0</v>
      </c>
      <c r="K12" s="168">
        <f t="shared" si="5"/>
        <v>0</v>
      </c>
      <c r="L12" s="168">
        <f t="shared" si="5"/>
        <v>0</v>
      </c>
      <c r="M12" s="168"/>
      <c r="N12" s="168">
        <f t="shared" si="5"/>
        <v>84.890786219178466</v>
      </c>
      <c r="O12" s="189">
        <f t="shared" si="5"/>
        <v>0</v>
      </c>
      <c r="P12" s="202">
        <f t="shared" si="0"/>
        <v>1891.3693968140394</v>
      </c>
      <c r="Q12" s="211">
        <f t="shared" si="1"/>
        <v>536.99882478401628</v>
      </c>
      <c r="R12" s="211">
        <f t="shared" si="2"/>
        <v>0</v>
      </c>
      <c r="S12" s="154">
        <f t="shared" si="3"/>
        <v>0</v>
      </c>
    </row>
    <row r="13" spans="1:20" s="75" customFormat="1" ht="15" customHeight="1">
      <c r="A13" s="1870"/>
      <c r="B13" s="165" t="s">
        <v>604</v>
      </c>
      <c r="C13" s="166">
        <f t="shared" si="4"/>
        <v>9713.4728863922228</v>
      </c>
      <c r="D13" s="167">
        <f>(D8+D9)*20%</f>
        <v>7565.4775872561577</v>
      </c>
      <c r="E13" s="168">
        <f t="shared" ref="E13:R13" si="6">(E8+E9)*20%</f>
        <v>1808.4321542593516</v>
      </c>
      <c r="F13" s="168">
        <f t="shared" si="6"/>
        <v>0</v>
      </c>
      <c r="G13" s="168">
        <f t="shared" si="6"/>
        <v>0</v>
      </c>
      <c r="H13" s="168">
        <f t="shared" si="6"/>
        <v>0</v>
      </c>
      <c r="I13" s="168">
        <f t="shared" si="6"/>
        <v>0</v>
      </c>
      <c r="J13" s="168">
        <f t="shared" si="6"/>
        <v>0</v>
      </c>
      <c r="K13" s="168">
        <f t="shared" si="6"/>
        <v>0</v>
      </c>
      <c r="L13" s="168">
        <f t="shared" si="6"/>
        <v>0</v>
      </c>
      <c r="M13" s="168"/>
      <c r="N13" s="168">
        <f t="shared" si="6"/>
        <v>339.56314487671386</v>
      </c>
      <c r="O13" s="189">
        <f t="shared" si="6"/>
        <v>0</v>
      </c>
      <c r="P13" s="202">
        <f t="shared" si="6"/>
        <v>7565.4775872561577</v>
      </c>
      <c r="Q13" s="211">
        <f t="shared" si="6"/>
        <v>2147.9952991360656</v>
      </c>
      <c r="R13" s="211">
        <f t="shared" si="6"/>
        <v>0</v>
      </c>
      <c r="S13" s="154">
        <f t="shared" si="3"/>
        <v>0</v>
      </c>
    </row>
    <row r="14" spans="1:20" s="75" customFormat="1" ht="15" customHeight="1">
      <c r="A14" s="1870"/>
      <c r="B14" s="165" t="s">
        <v>605</v>
      </c>
      <c r="C14" s="166">
        <f t="shared" ca="1" si="4"/>
        <v>63717.371284911569</v>
      </c>
      <c r="D14" s="167">
        <f t="shared" ref="D14:R14" ca="1" si="7">SUM(D8:D13)</f>
        <v>49591.798537742157</v>
      </c>
      <c r="E14" s="168">
        <f t="shared" ca="1" si="7"/>
        <v>11903.869095614047</v>
      </c>
      <c r="F14" s="168">
        <f t="shared" ca="1" si="7"/>
        <v>0</v>
      </c>
      <c r="G14" s="168">
        <f t="shared" ca="1" si="7"/>
        <v>0</v>
      </c>
      <c r="H14" s="168">
        <f t="shared" ca="1" si="7"/>
        <v>0</v>
      </c>
      <c r="I14" s="168">
        <f t="shared" ca="1" si="7"/>
        <v>0</v>
      </c>
      <c r="J14" s="168">
        <f t="shared" ca="1" si="7"/>
        <v>0</v>
      </c>
      <c r="K14" s="168">
        <f t="shared" ca="1" si="7"/>
        <v>0</v>
      </c>
      <c r="L14" s="168">
        <f t="shared" ca="1" si="7"/>
        <v>0</v>
      </c>
      <c r="M14" s="168"/>
      <c r="N14" s="168">
        <f t="shared" ca="1" si="7"/>
        <v>2221.7036515553614</v>
      </c>
      <c r="O14" s="189">
        <f t="shared" ca="1" si="7"/>
        <v>0</v>
      </c>
      <c r="P14" s="202">
        <f t="shared" ca="1" si="7"/>
        <v>49591.798537742157</v>
      </c>
      <c r="Q14" s="211">
        <f t="shared" ca="1" si="7"/>
        <v>14125.572747169406</v>
      </c>
      <c r="R14" s="211">
        <f t="shared" si="7"/>
        <v>0</v>
      </c>
      <c r="S14" s="154">
        <f t="shared" ca="1" si="3"/>
        <v>0</v>
      </c>
    </row>
    <row r="15" spans="1:20" s="75" customFormat="1" ht="15" customHeight="1">
      <c r="A15" s="1870"/>
      <c r="B15" s="165" t="s">
        <v>419</v>
      </c>
      <c r="C15" s="166">
        <f t="shared" ca="1" si="4"/>
        <v>22759.095532420037</v>
      </c>
      <c r="D15" s="167">
        <f ca="1">D7-D14</f>
        <v>12483.329856391167</v>
      </c>
      <c r="E15" s="168">
        <f t="shared" ref="E15:R15" ca="1" si="8">E7-E14</f>
        <v>10328.357950047741</v>
      </c>
      <c r="F15" s="168">
        <f t="shared" ca="1" si="8"/>
        <v>0</v>
      </c>
      <c r="G15" s="168">
        <f t="shared" ca="1" si="8"/>
        <v>0</v>
      </c>
      <c r="H15" s="168">
        <f t="shared" ca="1" si="8"/>
        <v>0</v>
      </c>
      <c r="I15" s="168">
        <f t="shared" ca="1" si="8"/>
        <v>0</v>
      </c>
      <c r="J15" s="168">
        <f t="shared" ca="1" si="8"/>
        <v>0</v>
      </c>
      <c r="K15" s="168">
        <f t="shared" ca="1" si="8"/>
        <v>0</v>
      </c>
      <c r="L15" s="168">
        <f t="shared" ca="1" si="8"/>
        <v>0</v>
      </c>
      <c r="M15" s="168"/>
      <c r="N15" s="168">
        <f t="shared" ca="1" si="8"/>
        <v>-52.592274018872558</v>
      </c>
      <c r="O15" s="189">
        <f t="shared" ca="1" si="8"/>
        <v>0</v>
      </c>
      <c r="P15" s="202">
        <f t="shared" ca="1" si="8"/>
        <v>12483.329856391167</v>
      </c>
      <c r="Q15" s="211">
        <f t="shared" ca="1" si="8"/>
        <v>10275.765676028872</v>
      </c>
      <c r="R15" s="211">
        <f t="shared" si="8"/>
        <v>0</v>
      </c>
      <c r="S15" s="154">
        <f t="shared" ca="1" si="3"/>
        <v>0</v>
      </c>
    </row>
    <row r="16" spans="1:20" s="75" customFormat="1" ht="15" customHeight="1">
      <c r="A16" s="1870"/>
      <c r="B16" s="165" t="s">
        <v>420</v>
      </c>
      <c r="C16" s="173">
        <f ca="1">IF(C14&lt;&gt;0,C15/C14,0)</f>
        <v>0.35718823726504623</v>
      </c>
      <c r="D16" s="174">
        <f ca="1">IF(D14&lt;&gt;0,D15/D14,0)</f>
        <v>0.25172166012270453</v>
      </c>
      <c r="E16" s="175">
        <f t="shared" ref="E16:R16" ca="1" si="9">IF(E14&lt;&gt;0,E15/E14,0)</f>
        <v>0.86764713784135949</v>
      </c>
      <c r="F16" s="175">
        <f t="shared" ca="1" si="9"/>
        <v>0</v>
      </c>
      <c r="G16" s="175">
        <f t="shared" ca="1" si="9"/>
        <v>0</v>
      </c>
      <c r="H16" s="175">
        <f t="shared" ca="1" si="9"/>
        <v>0</v>
      </c>
      <c r="I16" s="175">
        <f t="shared" ca="1" si="9"/>
        <v>0</v>
      </c>
      <c r="J16" s="175">
        <f t="shared" ca="1" si="9"/>
        <v>0</v>
      </c>
      <c r="K16" s="175">
        <f t="shared" ca="1" si="9"/>
        <v>0</v>
      </c>
      <c r="L16" s="175">
        <f t="shared" ca="1" si="9"/>
        <v>0</v>
      </c>
      <c r="M16" s="175">
        <f t="shared" si="9"/>
        <v>0</v>
      </c>
      <c r="N16" s="175">
        <f t="shared" ca="1" si="9"/>
        <v>-2.3672047341711831E-2</v>
      </c>
      <c r="O16" s="192">
        <f t="shared" ca="1" si="9"/>
        <v>0</v>
      </c>
      <c r="P16" s="203">
        <f t="shared" ca="1" si="9"/>
        <v>0.25172166012270453</v>
      </c>
      <c r="Q16" s="213">
        <f t="shared" ca="1" si="9"/>
        <v>0.72745833814689109</v>
      </c>
      <c r="R16" s="213">
        <f t="shared" si="9"/>
        <v>0</v>
      </c>
    </row>
    <row r="17" spans="1:19" s="75" customFormat="1" ht="15" customHeight="1">
      <c r="A17" s="1870"/>
      <c r="B17" s="165" t="s">
        <v>606</v>
      </c>
      <c r="C17" s="166" t="s">
        <v>607</v>
      </c>
      <c r="D17" s="176">
        <f>IF(D5="否",IF(D16&lt;=0,0,IF(D16&lt;=0.5,0.3,IF(D16&lt;=1,0.4,IF(D16&lt;=2,0.5,0.6)))),IF(D5="是",IF(D16&lt;=0.2,0,IF(D16&lt;=0.5,0.3,IF(D16&lt;=1,0.4,IF(D16&lt;=2,0.5,0.6)))),0))</f>
        <v>0</v>
      </c>
      <c r="E17" s="177">
        <f t="shared" ref="E17:J17" si="10">IF(E5="否",IF(E16&lt;=0,0,IF(E16&lt;=0.5,0.3,IF(E16&lt;=1,0.4,IF(E16&lt;=2,0.5,0.6)))),IF(E5="是",IF(E16&lt;=0.2,0,IF(E16&lt;=0.5,0.3,IF(E16&lt;=1,0.4,IF(E16&lt;=2,0.5,0.6)))),0))</f>
        <v>0</v>
      </c>
      <c r="F17" s="177">
        <f t="shared" si="10"/>
        <v>0</v>
      </c>
      <c r="G17" s="177">
        <f t="shared" si="10"/>
        <v>0</v>
      </c>
      <c r="H17" s="177">
        <f t="shared" si="10"/>
        <v>0</v>
      </c>
      <c r="I17" s="177">
        <f t="shared" si="10"/>
        <v>0</v>
      </c>
      <c r="J17" s="177">
        <f t="shared" si="10"/>
        <v>0</v>
      </c>
      <c r="K17" s="177">
        <f t="shared" ref="K17:O17" ca="1" si="11">IF(K16&lt;=0,0,IF(K16&lt;=0.5,0.3,IF(K16&lt;=1,0.4,IF(K16&lt;=2,0.5,0.6))))</f>
        <v>0</v>
      </c>
      <c r="L17" s="177">
        <f t="shared" ca="1" si="11"/>
        <v>0</v>
      </c>
      <c r="M17" s="177">
        <f t="shared" si="11"/>
        <v>0</v>
      </c>
      <c r="N17" s="177">
        <f t="shared" ca="1" si="11"/>
        <v>0</v>
      </c>
      <c r="O17" s="195">
        <f t="shared" ca="1" si="11"/>
        <v>0</v>
      </c>
      <c r="P17" s="204">
        <f ca="1">IF(P16&lt;=0.2,0,IF(P16&lt;=0.5,0.3,IF(P16&lt;=1,0.4,IF(P16&lt;=2,0.5,0.6))))</f>
        <v>0.3</v>
      </c>
      <c r="Q17" s="215">
        <f ca="1">IF(Q16&lt;=0,0,IF(Q16&lt;=0.5,0.3,IF(Q16&lt;=1,0.4,IF(Q16&lt;=2,0.5,0.6))))</f>
        <v>0.4</v>
      </c>
      <c r="R17" s="215">
        <f>IF(R16&lt;=0,0,IF(R16&lt;=0.5,0.3,IF(R16&lt;=1,0.4,IF(R16&lt;=2,0.5,0.6))))</f>
        <v>0</v>
      </c>
    </row>
    <row r="18" spans="1:19" s="75" customFormat="1" ht="15" customHeight="1">
      <c r="A18" s="1870"/>
      <c r="B18" s="165" t="s">
        <v>608</v>
      </c>
      <c r="C18" s="166" t="s">
        <v>607</v>
      </c>
      <c r="D18" s="176">
        <f>IF(D17=0.4,0.05,IF(D17=0.5,0.15,IF(D17=0.6,0.35,0)))</f>
        <v>0</v>
      </c>
      <c r="E18" s="177">
        <f t="shared" ref="E18:R18" si="12">IF(E17=0.4,0.05,IF(E17=0.5,0.15,IF(E17=0.6,0.35,0)))</f>
        <v>0</v>
      </c>
      <c r="F18" s="177">
        <f t="shared" si="12"/>
        <v>0</v>
      </c>
      <c r="G18" s="177">
        <f t="shared" si="12"/>
        <v>0</v>
      </c>
      <c r="H18" s="177">
        <f t="shared" si="12"/>
        <v>0</v>
      </c>
      <c r="I18" s="177">
        <f t="shared" si="12"/>
        <v>0</v>
      </c>
      <c r="J18" s="177">
        <f t="shared" si="12"/>
        <v>0</v>
      </c>
      <c r="K18" s="177">
        <f t="shared" ca="1" si="12"/>
        <v>0</v>
      </c>
      <c r="L18" s="177">
        <f t="shared" ca="1" si="12"/>
        <v>0</v>
      </c>
      <c r="M18" s="177">
        <f t="shared" si="12"/>
        <v>0</v>
      </c>
      <c r="N18" s="177">
        <f t="shared" ca="1" si="12"/>
        <v>0</v>
      </c>
      <c r="O18" s="195">
        <f t="shared" ca="1" si="12"/>
        <v>0</v>
      </c>
      <c r="P18" s="204">
        <f t="shared" ca="1" si="12"/>
        <v>0</v>
      </c>
      <c r="Q18" s="215">
        <f t="shared" ca="1" si="12"/>
        <v>0.05</v>
      </c>
      <c r="R18" s="215">
        <f t="shared" si="12"/>
        <v>0</v>
      </c>
    </row>
    <row r="19" spans="1:19" s="75" customFormat="1" ht="15" customHeight="1">
      <c r="A19" s="1870"/>
      <c r="B19" s="165" t="s">
        <v>609</v>
      </c>
      <c r="C19" s="1112">
        <f t="shared" ref="C19:C21" ca="1" si="13">SUM(D19:O19)</f>
        <v>0</v>
      </c>
      <c r="D19" s="1113">
        <f ca="1">D15*D17-D14*D18</f>
        <v>0</v>
      </c>
      <c r="E19" s="1114">
        <f t="shared" ref="E19:R19" ca="1" si="14">E15*E17-E14*E18</f>
        <v>0</v>
      </c>
      <c r="F19" s="1114">
        <f t="shared" ca="1" si="14"/>
        <v>0</v>
      </c>
      <c r="G19" s="1114">
        <f t="shared" ca="1" si="14"/>
        <v>0</v>
      </c>
      <c r="H19" s="1114">
        <f t="shared" ca="1" si="14"/>
        <v>0</v>
      </c>
      <c r="I19" s="1114">
        <f t="shared" ca="1" si="14"/>
        <v>0</v>
      </c>
      <c r="J19" s="1114">
        <f t="shared" ca="1" si="14"/>
        <v>0</v>
      </c>
      <c r="K19" s="1114">
        <f t="shared" ca="1" si="14"/>
        <v>0</v>
      </c>
      <c r="L19" s="1114">
        <f t="shared" ca="1" si="14"/>
        <v>0</v>
      </c>
      <c r="M19" s="1114">
        <f t="shared" si="14"/>
        <v>0</v>
      </c>
      <c r="N19" s="1114">
        <f t="shared" ca="1" si="14"/>
        <v>0</v>
      </c>
      <c r="O19" s="1119">
        <f t="shared" ca="1" si="14"/>
        <v>0</v>
      </c>
      <c r="P19" s="205">
        <f t="shared" ca="1" si="14"/>
        <v>3744.9989569173499</v>
      </c>
      <c r="Q19" s="219">
        <f t="shared" ca="1" si="14"/>
        <v>3404.0276330530787</v>
      </c>
      <c r="R19" s="219">
        <f t="shared" si="14"/>
        <v>0</v>
      </c>
      <c r="S19" s="154"/>
    </row>
    <row r="20" spans="1:19" s="75" customFormat="1" ht="15" customHeight="1">
      <c r="A20" s="1870"/>
      <c r="B20" s="165" t="s">
        <v>610</v>
      </c>
      <c r="C20" s="166">
        <f t="shared" si="13"/>
        <v>1851.5360284626233</v>
      </c>
      <c r="D20" s="167">
        <f>IF(D5="普",D7*'2.税率表'!$D$20,IF(D5="非普",D7*'2.税率表'!$D$21,IF(D5="其他",D7*'2.税率表'!$D$22,0)))</f>
        <v>1241.5025678826664</v>
      </c>
      <c r="E20" s="168">
        <f>IF(E5="普",E7*'2.税率表'!$D$20,IF(E5="非普",E7*'2.税率表'!$D$21,IF(E5="其他",E7*'2.税率表'!$D$22,0)))</f>
        <v>555.80567614154472</v>
      </c>
      <c r="F20" s="168">
        <f>IF(F5="普",F7*'2.税率表'!$D$20,IF(F5="非普",F7*'2.税率表'!$D$21,IF(F5="其他",F7*'2.税率表'!$D$22,0)))</f>
        <v>0</v>
      </c>
      <c r="G20" s="168">
        <f>IF(G5="普",G7*'2.税率表'!$D$20,IF(G5="非普",G7*'2.税率表'!$D$21,IF(G5="其他",G7*'2.税率表'!$D$22,0)))</f>
        <v>0</v>
      </c>
      <c r="H20" s="168">
        <f>IF(H5="普",H7*'2.税率表'!$D$20,IF(H5="非普",H7*'2.税率表'!$D$21,IF(H5="其他",H7*'2.税率表'!$D$22,0)))</f>
        <v>0</v>
      </c>
      <c r="I20" s="168">
        <f>IF(I5="普",I7*'2.税率表'!$D$20,IF(I5="非普",I7*'2.税率表'!$D$21,IF(I5="其他",I7*'2.税率表'!$D$22,0)))</f>
        <v>0</v>
      </c>
      <c r="J20" s="168">
        <f>IF(J5="普",J7*'2.税率表'!$D$20,IF(J5="非普",J7*'2.税率表'!$D$21,IF(J5="其他",J7*'2.税率表'!$D$22,0)))</f>
        <v>0</v>
      </c>
      <c r="K20" s="168">
        <f>IF(K5="普",K7*'2.税率表'!$D$20,IF(K5="非普",K7*'2.税率表'!$D$21,IF(K5="其他",K7*'2.税率表'!$D$22,0)))</f>
        <v>0</v>
      </c>
      <c r="L20" s="168">
        <f>IF(L5="普",L7*'2.税率表'!$D$20,IF(L5="非普",L7*'2.税率表'!$D$21,IF(L5="其他",L7*'2.税率表'!$D$22,0)))</f>
        <v>0</v>
      </c>
      <c r="M20" s="168">
        <f>IF(M5="普",M7*'2.税率表'!$D$20,IF(M5="非普",M7*'2.税率表'!$D$21,IF(M5="其他",M7*'2.税率表'!$D$22,0)))</f>
        <v>0</v>
      </c>
      <c r="N20" s="168">
        <f>IF(N5="普",N7*'2.税率表'!$D$20,IF(N5="非普",N7*'2.税率表'!$D$21,IF(N5="其他",N7*'2.税率表'!$D$22,0)))</f>
        <v>54.227784438412222</v>
      </c>
      <c r="O20" s="189">
        <f>IF(O5="普",O7*'2.税率表'!$D$20,IF(O5="非普",O7*'2.税率表'!$D$21,IF(O5="其他",O7*'2.税率表'!$D$22,0)))</f>
        <v>0</v>
      </c>
      <c r="P20" s="202">
        <f>P7*'2.税率表'!$D$20</f>
        <v>1241.5025678826664</v>
      </c>
      <c r="Q20" s="211">
        <f>Q7*'2.税率表'!$D$21</f>
        <v>610.03346057995702</v>
      </c>
      <c r="R20" s="211">
        <f>R7*'2.税率表'!$D$22</f>
        <v>0</v>
      </c>
    </row>
    <row r="21" spans="1:19" s="75" customFormat="1" ht="15" customHeight="1">
      <c r="A21" s="1870"/>
      <c r="B21" s="165" t="s">
        <v>597</v>
      </c>
      <c r="C21" s="1115">
        <f t="shared" ca="1" si="13"/>
        <v>7149.0265899704282</v>
      </c>
      <c r="D21" s="1116">
        <f ca="1">IFERROR(IF($R$5="合并清算",$Q21/$Q7*D7,IF(($R$5="两分法")*(D5="普"),$P21/$P7*D7,IF(($R$5="两分法")*(D5="非普"),$Q21/$Q7*D7,IF(($R$5="两分法")*(D5="其他"),$Q21/$Q7*D7,IF(D5="普",$P21/$P7*D7,IF(D5="非普",$Q21/$Q7*D7,$R$21/$R$7*D7)))))),0)</f>
        <v>3744.9989569173499</v>
      </c>
      <c r="E21" s="1117">
        <f t="shared" ref="E21:O21" ca="1" si="15">IFERROR(IF($R$5="合并清算",$Q21/$Q7*E7,IF(($R$5="两分法")*(E5="普"),$P21/$P7*E7,IF(($R$5="两分法")*(E5="非普"),$Q21/$Q7*E7,IF(($R$5="两分法")*(E5="其他"),$Q21/$Q7*E7,IF(E5="普",$P21/$P7*E7,IF(E5="非普",$Q21/$Q7*E7,$R$21/$R$7*E7)))))),0)</f>
        <v>3101.4329581116267</v>
      </c>
      <c r="F21" s="1117">
        <f t="shared" si="15"/>
        <v>0</v>
      </c>
      <c r="G21" s="1117">
        <f t="shared" si="15"/>
        <v>0</v>
      </c>
      <c r="H21" s="1117">
        <f t="shared" si="15"/>
        <v>0</v>
      </c>
      <c r="I21" s="1117">
        <f t="shared" si="15"/>
        <v>0</v>
      </c>
      <c r="J21" s="1117">
        <f t="shared" si="15"/>
        <v>0</v>
      </c>
      <c r="K21" s="1117">
        <f t="shared" si="15"/>
        <v>0</v>
      </c>
      <c r="L21" s="1117">
        <f t="shared" si="15"/>
        <v>0</v>
      </c>
      <c r="M21" s="1117">
        <f t="shared" si="15"/>
        <v>0</v>
      </c>
      <c r="N21" s="1117">
        <f t="shared" ca="1" si="15"/>
        <v>302.59467494145161</v>
      </c>
      <c r="O21" s="1120">
        <f t="shared" si="15"/>
        <v>0</v>
      </c>
      <c r="P21" s="202">
        <f t="shared" ref="P21:Q21" ca="1" si="16">P19</f>
        <v>3744.9989569173499</v>
      </c>
      <c r="Q21" s="211">
        <f t="shared" ca="1" si="16"/>
        <v>3404.0276330530787</v>
      </c>
      <c r="R21" s="211">
        <f t="shared" ref="R21" si="17">R19</f>
        <v>0</v>
      </c>
      <c r="S21" s="154">
        <f ca="1">SUM(P21:R21)-C21</f>
        <v>0</v>
      </c>
    </row>
    <row r="22" spans="1:19">
      <c r="R22" s="1123"/>
    </row>
    <row r="23" spans="1:19" ht="15" customHeight="1">
      <c r="A23" s="1109"/>
      <c r="B23" s="1109"/>
      <c r="C23" s="157" t="s">
        <v>596</v>
      </c>
      <c r="D23" s="1110">
        <f>'15.土地增值税'!D23</f>
        <v>0</v>
      </c>
      <c r="E23" s="1111">
        <f>'15.土地增值税'!E23</f>
        <v>0</v>
      </c>
      <c r="F23" s="1111">
        <f>'15.土地增值税'!F23</f>
        <v>0</v>
      </c>
      <c r="G23" s="1111">
        <f>'15.土地增值税'!G23</f>
        <v>0</v>
      </c>
      <c r="H23" s="1111">
        <f>'15.土地增值税'!H23</f>
        <v>0</v>
      </c>
      <c r="I23" s="1111">
        <f>'15.土地增值税'!I23</f>
        <v>0</v>
      </c>
      <c r="J23" s="1111">
        <f>'15.土地增值税'!J23</f>
        <v>0</v>
      </c>
      <c r="K23" s="1111">
        <f>'15.土地增值税'!K23</f>
        <v>0</v>
      </c>
      <c r="L23" s="1111">
        <f>'15.土地增值税'!L23</f>
        <v>0</v>
      </c>
      <c r="M23" s="1111"/>
      <c r="N23" s="1111">
        <f>'15.土地增值税'!N23</f>
        <v>0</v>
      </c>
      <c r="O23" s="1118">
        <f>'15.土地增值税'!O23</f>
        <v>0</v>
      </c>
      <c r="P23" s="1866" t="s">
        <v>597</v>
      </c>
      <c r="Q23" s="1867"/>
      <c r="R23" s="1124" t="str">
        <f>'15.土地增值税'!R23</f>
        <v>三分法</v>
      </c>
    </row>
    <row r="24" spans="1:19" s="75" customFormat="1" ht="15" customHeight="1">
      <c r="A24" s="161" t="s">
        <v>598</v>
      </c>
      <c r="B24" s="161" t="s">
        <v>183</v>
      </c>
      <c r="C24" s="162" t="s">
        <v>599</v>
      </c>
      <c r="D24" s="163" t="str">
        <f>D6</f>
        <v>高层</v>
      </c>
      <c r="E24" s="164" t="str">
        <f t="shared" ref="E24:O24" si="18">E6</f>
        <v>商铺</v>
      </c>
      <c r="F24" s="164" t="str">
        <f t="shared" si="18"/>
        <v>回迁商业</v>
      </c>
      <c r="G24" s="164">
        <f t="shared" si="18"/>
        <v>0</v>
      </c>
      <c r="H24" s="164">
        <f t="shared" si="18"/>
        <v>0</v>
      </c>
      <c r="I24" s="164">
        <f t="shared" si="18"/>
        <v>0</v>
      </c>
      <c r="J24" s="164">
        <f t="shared" si="18"/>
        <v>0</v>
      </c>
      <c r="K24" s="164">
        <f t="shared" si="18"/>
        <v>0</v>
      </c>
      <c r="L24" s="164">
        <f t="shared" si="18"/>
        <v>0</v>
      </c>
      <c r="M24" s="164" t="str">
        <f t="shared" si="18"/>
        <v>自持物业</v>
      </c>
      <c r="N24" s="164" t="str">
        <f t="shared" si="18"/>
        <v>有产权车库(个)</v>
      </c>
      <c r="O24" s="187" t="str">
        <f t="shared" si="18"/>
        <v>无产权车库(个)</v>
      </c>
      <c r="P24" s="188" t="s">
        <v>600</v>
      </c>
      <c r="Q24" s="161" t="s">
        <v>601</v>
      </c>
      <c r="R24" s="161" t="s">
        <v>164</v>
      </c>
    </row>
    <row r="25" spans="1:19" s="75" customFormat="1" ht="15" customHeight="1">
      <c r="A25" s="1870" t="s">
        <v>20</v>
      </c>
      <c r="B25" s="165" t="s">
        <v>454</v>
      </c>
      <c r="C25" s="166">
        <f>SUM(D25:O25)</f>
        <v>0</v>
      </c>
      <c r="D25" s="167">
        <f>'3.保本售价试算'!AC6/1.11</f>
        <v>0</v>
      </c>
      <c r="E25" s="168">
        <f>'3.保本售价试算'!AD6/1.11</f>
        <v>0</v>
      </c>
      <c r="F25" s="168">
        <f>'3.保本售价试算'!AE6/1.11</f>
        <v>0</v>
      </c>
      <c r="G25" s="168">
        <f>'3.保本售价试算'!AF6/1.11</f>
        <v>0</v>
      </c>
      <c r="H25" s="168">
        <f>'3.保本售价试算'!AG6/1.11</f>
        <v>0</v>
      </c>
      <c r="I25" s="168">
        <f>'3.保本售价试算'!AH6/1.11</f>
        <v>0</v>
      </c>
      <c r="J25" s="168">
        <f>'3.保本售价试算'!AI6/1.11</f>
        <v>0</v>
      </c>
      <c r="K25" s="168">
        <f>'3.保本售价试算'!AJ6/1.11</f>
        <v>0</v>
      </c>
      <c r="L25" s="168">
        <f>'3.保本售价试算'!AK6/1.11</f>
        <v>0</v>
      </c>
      <c r="M25" s="168"/>
      <c r="N25" s="168">
        <f>'3.保本售价试算'!AM6/1.11</f>
        <v>0</v>
      </c>
      <c r="O25" s="189">
        <f>'3.保本售价试算'!AN6/1.11</f>
        <v>0</v>
      </c>
      <c r="P25" s="190">
        <f t="shared" ref="P25:P30" si="19">IF($R$23="合并清算",0,SUMIF(D$5:O$5,"普",D25:O25))</f>
        <v>0</v>
      </c>
      <c r="Q25" s="211">
        <f t="shared" ref="Q25:Q30" si="20">IF($R$23="合并清算",C25,IF($R$23="两分法",C25-P25,SUMIF(D$5:O$5,"非普",D25:O25)))</f>
        <v>0</v>
      </c>
      <c r="R25" s="211">
        <f t="shared" ref="R25:R30" si="21">IF($R$23="三分法",C25-P25-Q25,0)</f>
        <v>0</v>
      </c>
    </row>
    <row r="26" spans="1:19" s="75" customFormat="1" ht="15" customHeight="1">
      <c r="A26" s="1870"/>
      <c r="B26" s="165" t="s">
        <v>368</v>
      </c>
      <c r="C26" s="166">
        <f>SUM(D26:O26)</f>
        <v>0</v>
      </c>
      <c r="D26" s="185">
        <f>'15.土地增值税'!D26</f>
        <v>0</v>
      </c>
      <c r="E26" s="171">
        <f>'15.土地增值税'!E26</f>
        <v>0</v>
      </c>
      <c r="F26" s="171">
        <f>'15.土地增值税'!F26</f>
        <v>0</v>
      </c>
      <c r="G26" s="171">
        <f>'15.土地增值税'!G26</f>
        <v>0</v>
      </c>
      <c r="H26" s="171">
        <f>'15.土地增值税'!H26</f>
        <v>0</v>
      </c>
      <c r="I26" s="171">
        <f>'15.土地增值税'!I26</f>
        <v>0</v>
      </c>
      <c r="J26" s="171">
        <f>'15.土地增值税'!J26</f>
        <v>0</v>
      </c>
      <c r="K26" s="171">
        <f>'15.土地增值税'!K26</f>
        <v>0</v>
      </c>
      <c r="L26" s="171">
        <f>'15.土地增值税'!L26</f>
        <v>0</v>
      </c>
      <c r="M26" s="171"/>
      <c r="N26" s="171">
        <f>'15.土地增值税'!N26</f>
        <v>0</v>
      </c>
      <c r="O26" s="234">
        <f>'15.土地增值税'!O26</f>
        <v>0</v>
      </c>
      <c r="P26" s="190">
        <f t="shared" si="19"/>
        <v>0</v>
      </c>
      <c r="Q26" s="211">
        <f t="shared" si="20"/>
        <v>0</v>
      </c>
      <c r="R26" s="211">
        <f t="shared" si="21"/>
        <v>0</v>
      </c>
    </row>
    <row r="27" spans="1:19" s="75" customFormat="1" ht="15" customHeight="1">
      <c r="A27" s="1870"/>
      <c r="B27" s="165" t="s">
        <v>578</v>
      </c>
      <c r="C27" s="166">
        <f t="shared" ref="C27:C33" si="22">SUM(D27:O27)</f>
        <v>0</v>
      </c>
      <c r="D27" s="167">
        <f>'13.建安成本表'!$H$214</f>
        <v>0</v>
      </c>
      <c r="E27" s="168">
        <f>'13.建安成本表'!$H$215</f>
        <v>0</v>
      </c>
      <c r="F27" s="168">
        <f>'13.建安成本表'!$H$216</f>
        <v>0</v>
      </c>
      <c r="G27" s="168">
        <f>'13.建安成本表'!$H$217</f>
        <v>0</v>
      </c>
      <c r="H27" s="168">
        <f>'13.建安成本表'!$H$218</f>
        <v>0</v>
      </c>
      <c r="I27" s="168">
        <f>'13.建安成本表'!$H$219</f>
        <v>0</v>
      </c>
      <c r="J27" s="168">
        <f>'13.建安成本表'!$H$220</f>
        <v>0</v>
      </c>
      <c r="K27" s="168">
        <f>'13.建安成本表'!$H$221</f>
        <v>0</v>
      </c>
      <c r="L27" s="168">
        <f>'13.建安成本表'!$H$222</f>
        <v>0</v>
      </c>
      <c r="M27" s="168"/>
      <c r="N27" s="171">
        <f>'13.建安成本表'!$H$224</f>
        <v>0</v>
      </c>
      <c r="O27" s="232">
        <f>'13.建安成本表'!$H$225</f>
        <v>0</v>
      </c>
      <c r="P27" s="190">
        <f t="shared" si="19"/>
        <v>0</v>
      </c>
      <c r="Q27" s="211">
        <f t="shared" si="20"/>
        <v>0</v>
      </c>
      <c r="R27" s="211">
        <f t="shared" si="21"/>
        <v>0</v>
      </c>
    </row>
    <row r="28" spans="1:19" s="75" customFormat="1" ht="15" customHeight="1">
      <c r="A28" s="1870"/>
      <c r="B28" s="165" t="s">
        <v>602</v>
      </c>
      <c r="C28" s="166">
        <f t="shared" si="22"/>
        <v>0</v>
      </c>
      <c r="D28" s="167">
        <f>D25*1.11*('2.税率表'!D8*(1+'2.税率表'!$D$13+'2.税率表'!$D$14+'2.税率表'!$D$17)+'2.税率表'!$D$15+'2.税率表'!$D$16+'2.税率表'!$D$18)+'14.增值税计算表'!E419</f>
        <v>0</v>
      </c>
      <c r="E28" s="168">
        <f>E25*1.11*('2.税率表'!D8*(1+'2.税率表'!$D$13+'2.税率表'!$D$14+'2.税率表'!$D$17)+'2.税率表'!$D$15+'2.税率表'!$D$16+'2.税率表'!$D$18)+'14.增值税计算表'!F419</f>
        <v>0</v>
      </c>
      <c r="F28" s="168">
        <f>F25*1.11*('2.税率表'!D8*(1+'2.税率表'!$D$13+'2.税率表'!$D$14+'2.税率表'!$D$17)+'2.税率表'!$D$15+'2.税率表'!$D$16+'2.税率表'!$D$18)+'14.增值税计算表'!G419</f>
        <v>0</v>
      </c>
      <c r="G28" s="168">
        <f>G25*1.11*('2.税率表'!D8*(1+'2.税率表'!$D$13+'2.税率表'!$D$14+'2.税率表'!$D$17)+'2.税率表'!$D$15+'2.税率表'!$D$16+'2.税率表'!$D$18)+'14.增值税计算表'!H419</f>
        <v>0</v>
      </c>
      <c r="H28" s="168">
        <f>H25*1.11*('2.税率表'!D8*(1+'2.税率表'!$D$13+'2.税率表'!$D$14+'2.税率表'!$D$17)+'2.税率表'!$D$15+'2.税率表'!$D$16+'2.税率表'!$D$18)+'14.增值税计算表'!I419</f>
        <v>0</v>
      </c>
      <c r="I28" s="168">
        <f>I25*1.11*('2.税率表'!D8*(1+'2.税率表'!$D$13+'2.税率表'!$D$14+'2.税率表'!$D$17)+'2.税率表'!$D$15+'2.税率表'!$D$16+'2.税率表'!$D$18)+'14.增值税计算表'!J419</f>
        <v>0</v>
      </c>
      <c r="J28" s="168">
        <f>J25*1.11*('2.税率表'!D8*(1+'2.税率表'!$D$13+'2.税率表'!$D$14+'2.税率表'!$D$17)+'2.税率表'!$D$15+'2.税率表'!$D$16+'2.税率表'!$D$18)+'14.增值税计算表'!K419</f>
        <v>0</v>
      </c>
      <c r="K28" s="168">
        <f>K25*1.11*('2.税率表'!D8*(1+'2.税率表'!$D$13+'2.税率表'!$D$14+'2.税率表'!$D$17)+'2.税率表'!$D$15+'2.税率表'!$D$16+'2.税率表'!$D$18)+'14.增值税计算表'!L419</f>
        <v>0</v>
      </c>
      <c r="L28" s="168">
        <f>L25*1.11*('2.税率表'!D8*(1+'2.税率表'!$D$13+'2.税率表'!$D$14+'2.税率表'!$D$17)+'2.税率表'!$D$15+'2.税率表'!$D$16+'2.税率表'!$D$18)+'14.增值税计算表'!M419</f>
        <v>0</v>
      </c>
      <c r="M28" s="168"/>
      <c r="N28" s="168">
        <f>N25*1.11*('2.税率表'!D8*(1+'2.税率表'!$D$13+'2.税率表'!$D$14+'2.税率表'!$D$17)+'2.税率表'!$D$15+'2.税率表'!$D$16+'2.税率表'!$D$18)</f>
        <v>0</v>
      </c>
      <c r="O28" s="189">
        <f>O25*1.11*('2.税率表'!D8*(1+'2.税率表'!$D$13+'2.税率表'!$D$14+'2.税率表'!$D$17)+'2.税率表'!$D$15+'2.税率表'!$D$16+'2.税率表'!$D$18)</f>
        <v>0</v>
      </c>
      <c r="P28" s="190">
        <f t="shared" si="19"/>
        <v>0</v>
      </c>
      <c r="Q28" s="211">
        <f t="shared" si="20"/>
        <v>0</v>
      </c>
      <c r="R28" s="211">
        <f t="shared" si="21"/>
        <v>0</v>
      </c>
    </row>
    <row r="29" spans="1:19" s="75" customFormat="1" ht="15" customHeight="1">
      <c r="A29" s="1870"/>
      <c r="B29" s="165" t="s">
        <v>373</v>
      </c>
      <c r="C29" s="166">
        <f t="shared" ca="1" si="22"/>
        <v>0</v>
      </c>
      <c r="D29" s="167">
        <f ca="1">MAX('17.财务费用测算表'!D52,(D26+D27)*5%)</f>
        <v>0</v>
      </c>
      <c r="E29" s="168">
        <f ca="1">MAX('17.财务费用测算表'!E52,(E26+E27)*5%)</f>
        <v>0</v>
      </c>
      <c r="F29" s="168">
        <f ca="1">MAX('17.财务费用测算表'!F52,(F26+F27)*5%)</f>
        <v>0</v>
      </c>
      <c r="G29" s="168">
        <f ca="1">MAX('17.财务费用测算表'!G52,(G26+G27)*5%)</f>
        <v>0</v>
      </c>
      <c r="H29" s="168">
        <f ca="1">MAX('17.财务费用测算表'!H52,(H26+H27)*5%)</f>
        <v>0</v>
      </c>
      <c r="I29" s="168">
        <f ca="1">MAX('17.财务费用测算表'!I52,(I26+I27)*5%)</f>
        <v>0</v>
      </c>
      <c r="J29" s="168">
        <f ca="1">MAX('17.财务费用测算表'!J52,(J26+J27)*5%)</f>
        <v>0</v>
      </c>
      <c r="K29" s="168">
        <f ca="1">MAX('17.财务费用测算表'!K52,(K26+K27)*5%)</f>
        <v>0</v>
      </c>
      <c r="L29" s="168">
        <f ca="1">MAX('17.财务费用测算表'!L52,(L26+L27)*5%)</f>
        <v>0</v>
      </c>
      <c r="M29" s="168"/>
      <c r="N29" s="171">
        <f ca="1">MAX('17.财务费用测算表'!N52,(N26+N27)*5%)</f>
        <v>0</v>
      </c>
      <c r="O29" s="234">
        <f ca="1">MAX('17.财务费用测算表'!O52,(O26+O27)*5%)</f>
        <v>0</v>
      </c>
      <c r="P29" s="190">
        <f t="shared" ca="1" si="19"/>
        <v>0</v>
      </c>
      <c r="Q29" s="211">
        <f t="shared" ca="1" si="20"/>
        <v>0</v>
      </c>
      <c r="R29" s="211">
        <f t="shared" ca="1" si="21"/>
        <v>0</v>
      </c>
    </row>
    <row r="30" spans="1:19" s="75" customFormat="1" ht="15" customHeight="1">
      <c r="A30" s="1870"/>
      <c r="B30" s="165" t="s">
        <v>603</v>
      </c>
      <c r="C30" s="166">
        <f t="shared" si="22"/>
        <v>0</v>
      </c>
      <c r="D30" s="167">
        <f>(D26+D27)*5%</f>
        <v>0</v>
      </c>
      <c r="E30" s="168">
        <f t="shared" ref="E30:O30" si="23">(E26+E27)*5%</f>
        <v>0</v>
      </c>
      <c r="F30" s="168">
        <f t="shared" si="23"/>
        <v>0</v>
      </c>
      <c r="G30" s="168">
        <f t="shared" si="23"/>
        <v>0</v>
      </c>
      <c r="H30" s="168">
        <f t="shared" si="23"/>
        <v>0</v>
      </c>
      <c r="I30" s="168">
        <f t="shared" si="23"/>
        <v>0</v>
      </c>
      <c r="J30" s="168">
        <f t="shared" si="23"/>
        <v>0</v>
      </c>
      <c r="K30" s="168">
        <f t="shared" si="23"/>
        <v>0</v>
      </c>
      <c r="L30" s="168">
        <f t="shared" si="23"/>
        <v>0</v>
      </c>
      <c r="M30" s="168"/>
      <c r="N30" s="168">
        <f t="shared" si="23"/>
        <v>0</v>
      </c>
      <c r="O30" s="189">
        <f t="shared" si="23"/>
        <v>0</v>
      </c>
      <c r="P30" s="190">
        <f t="shared" si="19"/>
        <v>0</v>
      </c>
      <c r="Q30" s="211">
        <f t="shared" si="20"/>
        <v>0</v>
      </c>
      <c r="R30" s="211">
        <f t="shared" si="21"/>
        <v>0</v>
      </c>
    </row>
    <row r="31" spans="1:19" s="75" customFormat="1" ht="15" customHeight="1">
      <c r="A31" s="1870"/>
      <c r="B31" s="165" t="s">
        <v>604</v>
      </c>
      <c r="C31" s="166">
        <f t="shared" si="22"/>
        <v>0</v>
      </c>
      <c r="D31" s="167">
        <f>(D26+D27)*20%</f>
        <v>0</v>
      </c>
      <c r="E31" s="168">
        <f t="shared" ref="E31:R31" si="24">(E26+E27)*20%</f>
        <v>0</v>
      </c>
      <c r="F31" s="168">
        <f t="shared" si="24"/>
        <v>0</v>
      </c>
      <c r="G31" s="168">
        <f t="shared" si="24"/>
        <v>0</v>
      </c>
      <c r="H31" s="168">
        <f t="shared" si="24"/>
        <v>0</v>
      </c>
      <c r="I31" s="168">
        <f t="shared" si="24"/>
        <v>0</v>
      </c>
      <c r="J31" s="168">
        <f t="shared" si="24"/>
        <v>0</v>
      </c>
      <c r="K31" s="168">
        <f t="shared" si="24"/>
        <v>0</v>
      </c>
      <c r="L31" s="168">
        <f t="shared" si="24"/>
        <v>0</v>
      </c>
      <c r="M31" s="168"/>
      <c r="N31" s="168">
        <f t="shared" si="24"/>
        <v>0</v>
      </c>
      <c r="O31" s="189">
        <f t="shared" si="24"/>
        <v>0</v>
      </c>
      <c r="P31" s="190">
        <f t="shared" si="24"/>
        <v>0</v>
      </c>
      <c r="Q31" s="211">
        <f t="shared" si="24"/>
        <v>0</v>
      </c>
      <c r="R31" s="211">
        <f t="shared" si="24"/>
        <v>0</v>
      </c>
    </row>
    <row r="32" spans="1:19" s="75" customFormat="1" ht="15" customHeight="1">
      <c r="A32" s="1870"/>
      <c r="B32" s="165" t="s">
        <v>605</v>
      </c>
      <c r="C32" s="166">
        <f t="shared" ca="1" si="22"/>
        <v>0</v>
      </c>
      <c r="D32" s="167">
        <f t="shared" ref="D32:R32" ca="1" si="25">SUM(D26:D31)</f>
        <v>0</v>
      </c>
      <c r="E32" s="168">
        <f t="shared" ca="1" si="25"/>
        <v>0</v>
      </c>
      <c r="F32" s="168">
        <f t="shared" ca="1" si="25"/>
        <v>0</v>
      </c>
      <c r="G32" s="168">
        <f t="shared" ca="1" si="25"/>
        <v>0</v>
      </c>
      <c r="H32" s="168">
        <f t="shared" ca="1" si="25"/>
        <v>0</v>
      </c>
      <c r="I32" s="168">
        <f t="shared" ca="1" si="25"/>
        <v>0</v>
      </c>
      <c r="J32" s="168">
        <f t="shared" ca="1" si="25"/>
        <v>0</v>
      </c>
      <c r="K32" s="168">
        <f t="shared" ca="1" si="25"/>
        <v>0</v>
      </c>
      <c r="L32" s="168">
        <f t="shared" ca="1" si="25"/>
        <v>0</v>
      </c>
      <c r="M32" s="168"/>
      <c r="N32" s="168">
        <f t="shared" ca="1" si="25"/>
        <v>0</v>
      </c>
      <c r="O32" s="189">
        <f t="shared" ca="1" si="25"/>
        <v>0</v>
      </c>
      <c r="P32" s="190">
        <f t="shared" ca="1" si="25"/>
        <v>0</v>
      </c>
      <c r="Q32" s="211">
        <f t="shared" ca="1" si="25"/>
        <v>0</v>
      </c>
      <c r="R32" s="211">
        <f t="shared" ca="1" si="25"/>
        <v>0</v>
      </c>
    </row>
    <row r="33" spans="1:19" s="75" customFormat="1" ht="15" customHeight="1">
      <c r="A33" s="1870"/>
      <c r="B33" s="165" t="s">
        <v>419</v>
      </c>
      <c r="C33" s="166">
        <f t="shared" ca="1" si="22"/>
        <v>0</v>
      </c>
      <c r="D33" s="167">
        <f ca="1">D25-D32</f>
        <v>0</v>
      </c>
      <c r="E33" s="168">
        <f t="shared" ref="E33:R33" ca="1" si="26">E25-E32</f>
        <v>0</v>
      </c>
      <c r="F33" s="168">
        <f t="shared" ca="1" si="26"/>
        <v>0</v>
      </c>
      <c r="G33" s="168">
        <f t="shared" ca="1" si="26"/>
        <v>0</v>
      </c>
      <c r="H33" s="168">
        <f t="shared" ca="1" si="26"/>
        <v>0</v>
      </c>
      <c r="I33" s="168">
        <f t="shared" ca="1" si="26"/>
        <v>0</v>
      </c>
      <c r="J33" s="168">
        <f t="shared" ca="1" si="26"/>
        <v>0</v>
      </c>
      <c r="K33" s="168">
        <f t="shared" ca="1" si="26"/>
        <v>0</v>
      </c>
      <c r="L33" s="168">
        <f t="shared" ca="1" si="26"/>
        <v>0</v>
      </c>
      <c r="M33" s="168"/>
      <c r="N33" s="168">
        <f t="shared" ca="1" si="26"/>
        <v>0</v>
      </c>
      <c r="O33" s="189">
        <f t="shared" ca="1" si="26"/>
        <v>0</v>
      </c>
      <c r="P33" s="190">
        <f t="shared" ca="1" si="26"/>
        <v>0</v>
      </c>
      <c r="Q33" s="211">
        <f t="shared" ca="1" si="26"/>
        <v>0</v>
      </c>
      <c r="R33" s="211">
        <f t="shared" ca="1" si="26"/>
        <v>0</v>
      </c>
    </row>
    <row r="34" spans="1:19" s="75" customFormat="1" ht="15" customHeight="1">
      <c r="A34" s="1870"/>
      <c r="B34" s="165" t="s">
        <v>420</v>
      </c>
      <c r="C34" s="173">
        <f ca="1">IF(C32&lt;&gt;0,C33/C32,0)</f>
        <v>0</v>
      </c>
      <c r="D34" s="174">
        <f ca="1">IF(D32&lt;&gt;0,D33/D32,0)</f>
        <v>0</v>
      </c>
      <c r="E34" s="175">
        <f t="shared" ref="E34:R34" ca="1" si="27">IF(E32&lt;&gt;0,E33/E32,0)</f>
        <v>0</v>
      </c>
      <c r="F34" s="175">
        <f t="shared" ca="1" si="27"/>
        <v>0</v>
      </c>
      <c r="G34" s="175">
        <f t="shared" ca="1" si="27"/>
        <v>0</v>
      </c>
      <c r="H34" s="175">
        <f t="shared" ca="1" si="27"/>
        <v>0</v>
      </c>
      <c r="I34" s="175">
        <f t="shared" ca="1" si="27"/>
        <v>0</v>
      </c>
      <c r="J34" s="175">
        <f t="shared" ca="1" si="27"/>
        <v>0</v>
      </c>
      <c r="K34" s="175">
        <f t="shared" ca="1" si="27"/>
        <v>0</v>
      </c>
      <c r="L34" s="175">
        <f t="shared" ca="1" si="27"/>
        <v>0</v>
      </c>
      <c r="M34" s="175">
        <f t="shared" si="27"/>
        <v>0</v>
      </c>
      <c r="N34" s="175">
        <f t="shared" ca="1" si="27"/>
        <v>0</v>
      </c>
      <c r="O34" s="192">
        <f t="shared" ca="1" si="27"/>
        <v>0</v>
      </c>
      <c r="P34" s="193">
        <f t="shared" ca="1" si="27"/>
        <v>0</v>
      </c>
      <c r="Q34" s="213">
        <f t="shared" ca="1" si="27"/>
        <v>0</v>
      </c>
      <c r="R34" s="213">
        <f t="shared" ca="1" si="27"/>
        <v>0</v>
      </c>
    </row>
    <row r="35" spans="1:19" s="75" customFormat="1" ht="15" customHeight="1">
      <c r="A35" s="1870"/>
      <c r="B35" s="165" t="s">
        <v>606</v>
      </c>
      <c r="C35" s="166" t="s">
        <v>607</v>
      </c>
      <c r="D35" s="176">
        <f>IF(D23="否",IF(D34&lt;=0,0,IF(D34&lt;=0.5,0.3,IF(D34&lt;=1,0.4,IF(D34&lt;=2,0.5,0.6)))),IF(D23="是",IF(D34&lt;=0.2,0,IF(D34&lt;=0.5,0.3,IF(D34&lt;=1,0.4,IF(D34&lt;=2,0.5,0.6)))),0))</f>
        <v>0</v>
      </c>
      <c r="E35" s="177">
        <f t="shared" ref="E35:J35" si="28">IF(E23="否",IF(E34&lt;=0,0,IF(E34&lt;=0.5,0.3,IF(E34&lt;=1,0.4,IF(E34&lt;=2,0.5,0.6)))),IF(E23="是",IF(E34&lt;=0.2,0,IF(E34&lt;=0.5,0.3,IF(E34&lt;=1,0.4,IF(E34&lt;=2,0.5,0.6)))),0))</f>
        <v>0</v>
      </c>
      <c r="F35" s="177">
        <f t="shared" si="28"/>
        <v>0</v>
      </c>
      <c r="G35" s="177">
        <f t="shared" si="28"/>
        <v>0</v>
      </c>
      <c r="H35" s="177">
        <f t="shared" si="28"/>
        <v>0</v>
      </c>
      <c r="I35" s="177">
        <f t="shared" si="28"/>
        <v>0</v>
      </c>
      <c r="J35" s="177">
        <f t="shared" si="28"/>
        <v>0</v>
      </c>
      <c r="K35" s="177">
        <f t="shared" ref="K35:O35" ca="1" si="29">IF(K34&lt;=0,0,IF(K34&lt;=0.5,0.3,IF(K34&lt;=1,0.4,IF(K34&lt;=2,0.5,0.6))))</f>
        <v>0</v>
      </c>
      <c r="L35" s="177">
        <f t="shared" ca="1" si="29"/>
        <v>0</v>
      </c>
      <c r="M35" s="177">
        <f t="shared" si="29"/>
        <v>0</v>
      </c>
      <c r="N35" s="177">
        <f t="shared" ca="1" si="29"/>
        <v>0</v>
      </c>
      <c r="O35" s="195">
        <f t="shared" ca="1" si="29"/>
        <v>0</v>
      </c>
      <c r="P35" s="194">
        <f ca="1">IF(P34&lt;=0.2,0,IF(P34&lt;=0.5,0.3,IF(P34&lt;=1,0.4,IF(P34&lt;=2,0.5,0.6))))</f>
        <v>0</v>
      </c>
      <c r="Q35" s="215">
        <f ca="1">IF(Q34&lt;=0,0,IF(Q34&lt;=0.5,0.3,IF(Q34&lt;=1,0.4,IF(Q34&lt;=2,0.5,0.6))))</f>
        <v>0</v>
      </c>
      <c r="R35" s="215">
        <f ca="1">IF(R34&lt;=0,0,IF(R34&lt;=0.5,0.3,IF(R34&lt;=1,0.4,IF(R34&lt;=2,0.5,0.6))))</f>
        <v>0</v>
      </c>
    </row>
    <row r="36" spans="1:19" s="75" customFormat="1" ht="15" customHeight="1">
      <c r="A36" s="1870"/>
      <c r="B36" s="165" t="s">
        <v>608</v>
      </c>
      <c r="C36" s="166" t="s">
        <v>607</v>
      </c>
      <c r="D36" s="176">
        <f>IF(D35=0.4,0.05,IF(D35=0.5,0.15,IF(D35=0.6,0.35,0)))</f>
        <v>0</v>
      </c>
      <c r="E36" s="177">
        <f t="shared" ref="E36:R36" si="30">IF(E35=0.4,0.05,IF(E35=0.5,0.15,IF(E35=0.6,0.35,0)))</f>
        <v>0</v>
      </c>
      <c r="F36" s="177">
        <f t="shared" si="30"/>
        <v>0</v>
      </c>
      <c r="G36" s="177">
        <f t="shared" si="30"/>
        <v>0</v>
      </c>
      <c r="H36" s="177">
        <f t="shared" si="30"/>
        <v>0</v>
      </c>
      <c r="I36" s="177">
        <f t="shared" si="30"/>
        <v>0</v>
      </c>
      <c r="J36" s="177">
        <f t="shared" si="30"/>
        <v>0</v>
      </c>
      <c r="K36" s="177">
        <f t="shared" ca="1" si="30"/>
        <v>0</v>
      </c>
      <c r="L36" s="177">
        <f t="shared" ca="1" si="30"/>
        <v>0</v>
      </c>
      <c r="M36" s="177">
        <f t="shared" si="30"/>
        <v>0</v>
      </c>
      <c r="N36" s="177">
        <f t="shared" ca="1" si="30"/>
        <v>0</v>
      </c>
      <c r="O36" s="195">
        <f t="shared" ca="1" si="30"/>
        <v>0</v>
      </c>
      <c r="P36" s="194">
        <f t="shared" ca="1" si="30"/>
        <v>0</v>
      </c>
      <c r="Q36" s="215">
        <f t="shared" ca="1" si="30"/>
        <v>0</v>
      </c>
      <c r="R36" s="215">
        <f t="shared" ca="1" si="30"/>
        <v>0</v>
      </c>
    </row>
    <row r="37" spans="1:19" s="75" customFormat="1" ht="15" customHeight="1">
      <c r="A37" s="1870"/>
      <c r="B37" s="165" t="s">
        <v>609</v>
      </c>
      <c r="C37" s="1112">
        <f ca="1">SUM(D37:O37)</f>
        <v>0</v>
      </c>
      <c r="D37" s="1113">
        <f t="shared" ref="D37:R37" ca="1" si="31">D33*D35-D32*D36</f>
        <v>0</v>
      </c>
      <c r="E37" s="1114">
        <f t="shared" ca="1" si="31"/>
        <v>0</v>
      </c>
      <c r="F37" s="1114">
        <f t="shared" ca="1" si="31"/>
        <v>0</v>
      </c>
      <c r="G37" s="1114">
        <f t="shared" ca="1" si="31"/>
        <v>0</v>
      </c>
      <c r="H37" s="1114">
        <f t="shared" ca="1" si="31"/>
        <v>0</v>
      </c>
      <c r="I37" s="1114">
        <f t="shared" ca="1" si="31"/>
        <v>0</v>
      </c>
      <c r="J37" s="1114">
        <f t="shared" ca="1" si="31"/>
        <v>0</v>
      </c>
      <c r="K37" s="1114">
        <f t="shared" ca="1" si="31"/>
        <v>0</v>
      </c>
      <c r="L37" s="1114">
        <f t="shared" ca="1" si="31"/>
        <v>0</v>
      </c>
      <c r="M37" s="1114">
        <f t="shared" si="31"/>
        <v>0</v>
      </c>
      <c r="N37" s="1114">
        <f t="shared" ca="1" si="31"/>
        <v>0</v>
      </c>
      <c r="O37" s="1119">
        <f t="shared" ca="1" si="31"/>
        <v>0</v>
      </c>
      <c r="P37" s="1121">
        <f t="shared" ca="1" si="31"/>
        <v>0</v>
      </c>
      <c r="Q37" s="219">
        <f t="shared" ca="1" si="31"/>
        <v>0</v>
      </c>
      <c r="R37" s="219">
        <f t="shared" ca="1" si="31"/>
        <v>0</v>
      </c>
    </row>
    <row r="38" spans="1:19" s="75" customFormat="1" ht="15" customHeight="1">
      <c r="A38" s="1870"/>
      <c r="B38" s="165" t="s">
        <v>610</v>
      </c>
      <c r="C38" s="166">
        <f>SUM(D38:O38)</f>
        <v>0</v>
      </c>
      <c r="D38" s="167">
        <f>IF(D23="普",D25*'2.税率表'!$D$20,IF(D23="非普",D25*'2.税率表'!$D$21,IF(D23="其他",D25*'2.税率表'!$D$22,0)))</f>
        <v>0</v>
      </c>
      <c r="E38" s="168">
        <f>IF(E23="普",E25*'2.税率表'!$D$20,IF(E23="非普",E25*'2.税率表'!$D$21,IF(E23="其他",E25*'2.税率表'!$D$22,0)))</f>
        <v>0</v>
      </c>
      <c r="F38" s="168">
        <f>IF(F23="普",F25*'2.税率表'!$D$20,IF(F23="非普",F25*'2.税率表'!$D$21,IF(F23="其他",F25*'2.税率表'!$D$22,0)))</f>
        <v>0</v>
      </c>
      <c r="G38" s="168">
        <f>IF(G23="普",G25*'2.税率表'!$D$20,IF(G23="非普",G25*'2.税率表'!$D$21,IF(G23="其他",G25*'2.税率表'!$D$22,0)))</f>
        <v>0</v>
      </c>
      <c r="H38" s="168">
        <f>IF(H23="普",H25*'2.税率表'!$D$20,IF(H23="非普",H25*'2.税率表'!$D$21,IF(H23="其他",H25*'2.税率表'!$D$22,0)))</f>
        <v>0</v>
      </c>
      <c r="I38" s="168">
        <f>IF(I23="普",I25*'2.税率表'!$D$20,IF(I23="非普",I25*'2.税率表'!$D$21,IF(I23="其他",I25*'2.税率表'!$D$22,0)))</f>
        <v>0</v>
      </c>
      <c r="J38" s="168">
        <f>IF(J23="普",J25*'2.税率表'!$D$20,IF(J23="非普",J25*'2.税率表'!$D$21,IF(J23="其他",J25*'2.税率表'!$D$22,0)))</f>
        <v>0</v>
      </c>
      <c r="K38" s="168">
        <f>IF(K23="普",K25*'2.税率表'!$D$20,IF(K23="非普",K25*'2.税率表'!$D$21,IF(K23="其他",K25*'2.税率表'!$D$22,0)))</f>
        <v>0</v>
      </c>
      <c r="L38" s="168">
        <f>IF(L23="普",L25*'2.税率表'!$D$20,IF(L23="非普",L25*'2.税率表'!$D$21,IF(L23="其他",L25*'2.税率表'!$D$22,0)))</f>
        <v>0</v>
      </c>
      <c r="M38" s="168">
        <f>IF(M23="普",M25*'2.税率表'!$D$20,IF(M23="非普",M25*'2.税率表'!$D$21,IF(M23="其他",M25*'2.税率表'!$D$22,0)))</f>
        <v>0</v>
      </c>
      <c r="N38" s="168">
        <f>IF(N23="普",N25*'2.税率表'!$D$20,IF(N23="非普",N25*'2.税率表'!$D$21,IF(N23="其他",N25*'2.税率表'!$D$22,0)))</f>
        <v>0</v>
      </c>
      <c r="O38" s="189">
        <f>IF(O23="普",O25*'2.税率表'!$D$20,IF(O23="非普",O25*'2.税率表'!$D$21,IF(O23="其他",O25*'2.税率表'!$D$22,0)))</f>
        <v>0</v>
      </c>
      <c r="P38" s="190">
        <f>P25*'2.税率表'!$D$20</f>
        <v>0</v>
      </c>
      <c r="Q38" s="211">
        <f>Q25*'2.税率表'!$D$21</f>
        <v>0</v>
      </c>
      <c r="R38" s="211">
        <f>R25*'2.税率表'!$D$22</f>
        <v>0</v>
      </c>
    </row>
    <row r="39" spans="1:19" s="75" customFormat="1" ht="15" customHeight="1">
      <c r="A39" s="1870"/>
      <c r="B39" s="165" t="s">
        <v>597</v>
      </c>
      <c r="C39" s="1115">
        <f ca="1">IFERROR(SUM(D39:O39),0)</f>
        <v>0</v>
      </c>
      <c r="D39" s="1116">
        <f t="shared" ref="D39:O39" ca="1" si="32">IFERROR(IF($R$5="合并清算",$Q39/$Q25*D25,IF(($R$5="两分法")*(D23="普"),$P39/$P25*D25,IF(($R$5="两分法")*(D23="非普"),$Q39/$Q25*D25,IF(($R$5="两分法")*(D23="其他"),$Q39/$Q25*D25,IF(D23="普",$P39/$P25*D25,IF(D23="非普",$Q39/$Q25*D25,$R$39/$R$25*D25)))))),0)</f>
        <v>0</v>
      </c>
      <c r="E39" s="1117">
        <f t="shared" ca="1" si="32"/>
        <v>0</v>
      </c>
      <c r="F39" s="1117">
        <f t="shared" ca="1" si="32"/>
        <v>0</v>
      </c>
      <c r="G39" s="1117">
        <f t="shared" ca="1" si="32"/>
        <v>0</v>
      </c>
      <c r="H39" s="1117">
        <f t="shared" ca="1" si="32"/>
        <v>0</v>
      </c>
      <c r="I39" s="1117">
        <f t="shared" ca="1" si="32"/>
        <v>0</v>
      </c>
      <c r="J39" s="1117">
        <f t="shared" ca="1" si="32"/>
        <v>0</v>
      </c>
      <c r="K39" s="1117">
        <f t="shared" ca="1" si="32"/>
        <v>0</v>
      </c>
      <c r="L39" s="1117">
        <f t="shared" ca="1" si="32"/>
        <v>0</v>
      </c>
      <c r="M39" s="1117">
        <f t="shared" ca="1" si="32"/>
        <v>0</v>
      </c>
      <c r="N39" s="1117">
        <f t="shared" ca="1" si="32"/>
        <v>0</v>
      </c>
      <c r="O39" s="1120">
        <f t="shared" ca="1" si="32"/>
        <v>0</v>
      </c>
      <c r="P39" s="190">
        <f t="shared" ref="P39:R39" ca="1" si="33">IF(P38&lt;=P37,P37,P38)</f>
        <v>0</v>
      </c>
      <c r="Q39" s="211">
        <f t="shared" ca="1" si="33"/>
        <v>0</v>
      </c>
      <c r="R39" s="211">
        <f t="shared" ca="1" si="33"/>
        <v>0</v>
      </c>
      <c r="S39" s="154">
        <f ca="1">SUM(P39:R39)-C39</f>
        <v>0</v>
      </c>
    </row>
    <row r="40" spans="1:19">
      <c r="R40" s="690"/>
    </row>
    <row r="41" spans="1:19" ht="15" customHeight="1">
      <c r="A41" s="1109"/>
      <c r="B41" s="1109"/>
      <c r="C41" s="157" t="s">
        <v>596</v>
      </c>
      <c r="D41" s="1110">
        <f>'15.土地增值税'!D41</f>
        <v>0</v>
      </c>
      <c r="E41" s="1111">
        <f>'15.土地增值税'!E41</f>
        <v>0</v>
      </c>
      <c r="F41" s="1111">
        <f>'15.土地增值税'!F41</f>
        <v>0</v>
      </c>
      <c r="G41" s="1111">
        <f>'15.土地增值税'!G41</f>
        <v>0</v>
      </c>
      <c r="H41" s="1111">
        <f>'15.土地增值税'!H41</f>
        <v>0</v>
      </c>
      <c r="I41" s="1111">
        <f>'15.土地增值税'!I41</f>
        <v>0</v>
      </c>
      <c r="J41" s="1111">
        <f>'15.土地增值税'!J41</f>
        <v>0</v>
      </c>
      <c r="K41" s="1111">
        <f>'15.土地增值税'!K41</f>
        <v>0</v>
      </c>
      <c r="L41" s="1111">
        <f>'15.土地增值税'!L41</f>
        <v>0</v>
      </c>
      <c r="M41" s="1111"/>
      <c r="N41" s="1111">
        <f>'15.土地增值税'!N41</f>
        <v>0</v>
      </c>
      <c r="O41" s="1118">
        <f>'15.土地增值税'!O41</f>
        <v>0</v>
      </c>
      <c r="P41" s="1868" t="s">
        <v>597</v>
      </c>
      <c r="Q41" s="1867"/>
      <c r="R41" s="1124" t="str">
        <f>'15.土地增值税'!R41</f>
        <v>三分法</v>
      </c>
    </row>
    <row r="42" spans="1:19" s="75" customFormat="1" ht="15" customHeight="1">
      <c r="A42" s="161" t="s">
        <v>598</v>
      </c>
      <c r="B42" s="161" t="s">
        <v>183</v>
      </c>
      <c r="C42" s="162" t="s">
        <v>599</v>
      </c>
      <c r="D42" s="163" t="str">
        <f>D24</f>
        <v>高层</v>
      </c>
      <c r="E42" s="164" t="str">
        <f t="shared" ref="E42:O42" si="34">E24</f>
        <v>商铺</v>
      </c>
      <c r="F42" s="164" t="str">
        <f t="shared" si="34"/>
        <v>回迁商业</v>
      </c>
      <c r="G42" s="164">
        <f t="shared" si="34"/>
        <v>0</v>
      </c>
      <c r="H42" s="164">
        <f t="shared" si="34"/>
        <v>0</v>
      </c>
      <c r="I42" s="164">
        <f t="shared" si="34"/>
        <v>0</v>
      </c>
      <c r="J42" s="164">
        <f t="shared" si="34"/>
        <v>0</v>
      </c>
      <c r="K42" s="164">
        <f t="shared" si="34"/>
        <v>0</v>
      </c>
      <c r="L42" s="164">
        <f t="shared" si="34"/>
        <v>0</v>
      </c>
      <c r="M42" s="164" t="str">
        <f t="shared" si="34"/>
        <v>自持物业</v>
      </c>
      <c r="N42" s="164" t="str">
        <f t="shared" si="34"/>
        <v>有产权车库(个)</v>
      </c>
      <c r="O42" s="187" t="str">
        <f t="shared" si="34"/>
        <v>无产权车库(个)</v>
      </c>
      <c r="P42" s="201" t="s">
        <v>600</v>
      </c>
      <c r="Q42" s="161" t="s">
        <v>601</v>
      </c>
      <c r="R42" s="161" t="s">
        <v>164</v>
      </c>
    </row>
    <row r="43" spans="1:19" s="75" customFormat="1" ht="15" customHeight="1">
      <c r="A43" s="1870" t="s">
        <v>21</v>
      </c>
      <c r="B43" s="165" t="s">
        <v>454</v>
      </c>
      <c r="C43" s="166">
        <f>SUM(D43:O43)</f>
        <v>0</v>
      </c>
      <c r="D43" s="167">
        <f>'3.保本售价试算'!AP6/1.11</f>
        <v>0</v>
      </c>
      <c r="E43" s="168">
        <f>'3.保本售价试算'!AQ6/1.11</f>
        <v>0</v>
      </c>
      <c r="F43" s="168">
        <f>'3.保本售价试算'!AR6/1.11</f>
        <v>0</v>
      </c>
      <c r="G43" s="168">
        <f>'3.保本售价试算'!AS6/1.11</f>
        <v>0</v>
      </c>
      <c r="H43" s="168">
        <f>'3.保本售价试算'!AT6/1.11</f>
        <v>0</v>
      </c>
      <c r="I43" s="168">
        <f>'3.保本售价试算'!AU6/1.11</f>
        <v>0</v>
      </c>
      <c r="J43" s="168">
        <f>'3.保本售价试算'!AV6/1.11</f>
        <v>0</v>
      </c>
      <c r="K43" s="168">
        <f>'3.保本售价试算'!AW6/1.11</f>
        <v>0</v>
      </c>
      <c r="L43" s="168">
        <f>'3.保本售价试算'!AX6/1.11</f>
        <v>0</v>
      </c>
      <c r="M43" s="168"/>
      <c r="N43" s="168">
        <f>'3.保本售价试算'!AZ6/1.11</f>
        <v>0</v>
      </c>
      <c r="O43" s="189">
        <f>'3.保本售价试算'!BA6/1.11</f>
        <v>0</v>
      </c>
      <c r="P43" s="202">
        <f t="shared" ref="P43:P48" si="35">IF($R$41="合并清算",0,SUMIF(D$5:O$5,"普",D43:O43))</f>
        <v>0</v>
      </c>
      <c r="Q43" s="211">
        <f t="shared" ref="Q43:Q48" si="36">IF($R$41="合并清算",C43,IF($R$41="两分法",C43-P43,SUMIF(D$5:O$5,"非普",D43:O43)))</f>
        <v>0</v>
      </c>
      <c r="R43" s="211">
        <f t="shared" ref="R43:R48" si="37">IF($R$41="三分法",C43-P43-Q43,0)</f>
        <v>0</v>
      </c>
    </row>
    <row r="44" spans="1:19" s="75" customFormat="1" ht="15" customHeight="1">
      <c r="A44" s="1870"/>
      <c r="B44" s="165" t="s">
        <v>368</v>
      </c>
      <c r="C44" s="166">
        <f>SUM(D44:O44)</f>
        <v>0</v>
      </c>
      <c r="D44" s="185">
        <f>'15.土地增值税'!D44</f>
        <v>0</v>
      </c>
      <c r="E44" s="171">
        <f>'15.土地增值税'!E44</f>
        <v>0</v>
      </c>
      <c r="F44" s="171">
        <f>'15.土地增值税'!F44</f>
        <v>0</v>
      </c>
      <c r="G44" s="171">
        <f>'15.土地增值税'!G44</f>
        <v>0</v>
      </c>
      <c r="H44" s="171">
        <f>'15.土地增值税'!H44</f>
        <v>0</v>
      </c>
      <c r="I44" s="171">
        <f>'15.土地增值税'!I44</f>
        <v>0</v>
      </c>
      <c r="J44" s="171">
        <f>'15.土地增值税'!J44</f>
        <v>0</v>
      </c>
      <c r="K44" s="171">
        <f>'15.土地增值税'!K44</f>
        <v>0</v>
      </c>
      <c r="L44" s="171">
        <f>'15.土地增值税'!L44</f>
        <v>0</v>
      </c>
      <c r="M44" s="171"/>
      <c r="N44" s="171">
        <f>'15.土地增值税'!N44</f>
        <v>0</v>
      </c>
      <c r="O44" s="234">
        <f>'15.土地增值税'!O44</f>
        <v>0</v>
      </c>
      <c r="P44" s="202">
        <f t="shared" si="35"/>
        <v>0</v>
      </c>
      <c r="Q44" s="211">
        <f t="shared" si="36"/>
        <v>0</v>
      </c>
      <c r="R44" s="211">
        <f t="shared" si="37"/>
        <v>0</v>
      </c>
    </row>
    <row r="45" spans="1:19" s="75" customFormat="1" ht="15" customHeight="1">
      <c r="A45" s="1870"/>
      <c r="B45" s="165" t="s">
        <v>578</v>
      </c>
      <c r="C45" s="166">
        <f t="shared" ref="C45:C51" si="38">SUM(D45:O45)</f>
        <v>0</v>
      </c>
      <c r="D45" s="167">
        <f>'13.建安成本表'!K$214</f>
        <v>0</v>
      </c>
      <c r="E45" s="168">
        <f>'13.建安成本表'!K$215</f>
        <v>0</v>
      </c>
      <c r="F45" s="168">
        <f>'13.建安成本表'!K$216</f>
        <v>0</v>
      </c>
      <c r="G45" s="168">
        <f>'13.建安成本表'!K$217</f>
        <v>0</v>
      </c>
      <c r="H45" s="168">
        <f>'13.建安成本表'!K$218</f>
        <v>0</v>
      </c>
      <c r="I45" s="168">
        <f>'13.建安成本表'!K$219</f>
        <v>0</v>
      </c>
      <c r="J45" s="168">
        <f>'13.建安成本表'!K$220</f>
        <v>0</v>
      </c>
      <c r="K45" s="168">
        <f>'13.建安成本表'!K$221</f>
        <v>0</v>
      </c>
      <c r="L45" s="168">
        <f>'13.建安成本表'!K$222</f>
        <v>0</v>
      </c>
      <c r="M45" s="168"/>
      <c r="N45" s="171">
        <f>'13.建安成本表'!K$224</f>
        <v>0</v>
      </c>
      <c r="O45" s="232">
        <f>'13.建安成本表'!K$225</f>
        <v>0</v>
      </c>
      <c r="P45" s="202">
        <f t="shared" si="35"/>
        <v>0</v>
      </c>
      <c r="Q45" s="211">
        <f t="shared" si="36"/>
        <v>0</v>
      </c>
      <c r="R45" s="211">
        <f t="shared" si="37"/>
        <v>0</v>
      </c>
    </row>
    <row r="46" spans="1:19" s="75" customFormat="1" ht="15" customHeight="1">
      <c r="A46" s="1870"/>
      <c r="B46" s="165" t="s">
        <v>602</v>
      </c>
      <c r="C46" s="166">
        <f t="shared" si="38"/>
        <v>0</v>
      </c>
      <c r="D46" s="167">
        <f>D43*1.11*('2.税率表'!D9*(1+'2.税率表'!$D$13+'2.税率表'!$D$14+'2.税率表'!$D$17)+'2.税率表'!$D$15+'2.税率表'!$D$16+'2.税率表'!$D$18)+'14.增值税计算表'!E420</f>
        <v>0</v>
      </c>
      <c r="E46" s="168">
        <f>E43*1.11*('2.税率表'!D9*(1+'2.税率表'!$D$13+'2.税率表'!$D$14+'2.税率表'!$D$17)+'2.税率表'!$D$15+'2.税率表'!$D$16+'2.税率表'!$D$18)+'14.增值税计算表'!F420</f>
        <v>0</v>
      </c>
      <c r="F46" s="168">
        <f>F43*1.11*('2.税率表'!D9*(1+'2.税率表'!$D$13+'2.税率表'!$D$14+'2.税率表'!$D$17)+'2.税率表'!$D$15+'2.税率表'!$D$16+'2.税率表'!$D$18)+'14.增值税计算表'!G420</f>
        <v>0</v>
      </c>
      <c r="G46" s="168">
        <f>G43*1.11*('2.税率表'!D9*(1+'2.税率表'!$D$13+'2.税率表'!$D$14+'2.税率表'!$D$17)+'2.税率表'!$D$15+'2.税率表'!$D$16+'2.税率表'!$D$18)+'14.增值税计算表'!H420</f>
        <v>0</v>
      </c>
      <c r="H46" s="168">
        <f>H43*1.11*('2.税率表'!D9*(1+'2.税率表'!$D$13+'2.税率表'!$D$14+'2.税率表'!$D$17)+'2.税率表'!$D$15+'2.税率表'!$D$16+'2.税率表'!$D$18)+'14.增值税计算表'!I420</f>
        <v>0</v>
      </c>
      <c r="I46" s="168">
        <f>I43*1.11*('2.税率表'!D9*(1+'2.税率表'!$D$13+'2.税率表'!$D$14+'2.税率表'!$D$17)+'2.税率表'!$D$15+'2.税率表'!$D$16+'2.税率表'!$D$18)+'14.增值税计算表'!J420</f>
        <v>0</v>
      </c>
      <c r="J46" s="168">
        <f>J43*1.11*('2.税率表'!D9*(1+'2.税率表'!$D$13+'2.税率表'!$D$14+'2.税率表'!$D$17)+'2.税率表'!$D$15+'2.税率表'!$D$16+'2.税率表'!$D$18)+'14.增值税计算表'!K420</f>
        <v>0</v>
      </c>
      <c r="K46" s="168">
        <f>K43*1.11*('2.税率表'!D9*(1+'2.税率表'!$D$13+'2.税率表'!$D$14+'2.税率表'!$D$17)+'2.税率表'!$D$15+'2.税率表'!$D$16+'2.税率表'!$D$18)+'14.增值税计算表'!L420</f>
        <v>0</v>
      </c>
      <c r="L46" s="168">
        <f>L43*1.11*('2.税率表'!D9*(1+'2.税率表'!$D$13+'2.税率表'!$D$14+'2.税率表'!$D$17)+'2.税率表'!$D$15+'2.税率表'!$D$16+'2.税率表'!$D$18)+'14.增值税计算表'!M420</f>
        <v>0</v>
      </c>
      <c r="M46" s="168"/>
      <c r="N46" s="168">
        <f>N43*1.11*('2.税率表'!D9*(1+'2.税率表'!$D$13+'2.税率表'!$D$14+'2.税率表'!$D$17)+'2.税率表'!$D$15+'2.税率表'!$D$16+'2.税率表'!$D$18)</f>
        <v>0</v>
      </c>
      <c r="O46" s="189">
        <f>O43*1.11*('2.税率表'!D9*(1+'2.税率表'!$D$13+'2.税率表'!$D$14+'2.税率表'!$D$17)+'2.税率表'!$D$15+'2.税率表'!$D$16+'2.税率表'!$D$18)</f>
        <v>0</v>
      </c>
      <c r="P46" s="202">
        <f t="shared" si="35"/>
        <v>0</v>
      </c>
      <c r="Q46" s="211">
        <f t="shared" si="36"/>
        <v>0</v>
      </c>
      <c r="R46" s="211">
        <f t="shared" si="37"/>
        <v>0</v>
      </c>
    </row>
    <row r="47" spans="1:19" s="75" customFormat="1" ht="15" customHeight="1">
      <c r="A47" s="1870"/>
      <c r="B47" s="165" t="s">
        <v>373</v>
      </c>
      <c r="C47" s="166">
        <f t="shared" ca="1" si="38"/>
        <v>0</v>
      </c>
      <c r="D47" s="167">
        <f ca="1">MAX('17.财务费用测算表'!D53,(D44+D45)*5%)</f>
        <v>0</v>
      </c>
      <c r="E47" s="168">
        <f ca="1">MAX('17.财务费用测算表'!E53,(E44+E45)*5%)</f>
        <v>0</v>
      </c>
      <c r="F47" s="168">
        <f ca="1">MAX('17.财务费用测算表'!F53,(F44+F45)*5%)</f>
        <v>0</v>
      </c>
      <c r="G47" s="168">
        <f ca="1">MAX('17.财务费用测算表'!G53,(G44+G45)*5%)</f>
        <v>0</v>
      </c>
      <c r="H47" s="168">
        <f ca="1">MAX('17.财务费用测算表'!H53,(H44+H45)*5%)</f>
        <v>0</v>
      </c>
      <c r="I47" s="168">
        <f ca="1">MAX('17.财务费用测算表'!I53,(I44+I45)*5%)</f>
        <v>0</v>
      </c>
      <c r="J47" s="168">
        <f ca="1">MAX('17.财务费用测算表'!J53,(J44+J45)*5%)</f>
        <v>0</v>
      </c>
      <c r="K47" s="168">
        <f ca="1">MAX('17.财务费用测算表'!K53,(K44+K45)*5%)</f>
        <v>0</v>
      </c>
      <c r="L47" s="168">
        <f ca="1">MAX('17.财务费用测算表'!L53,(L44+L45)*5%)</f>
        <v>0</v>
      </c>
      <c r="M47" s="168"/>
      <c r="N47" s="171">
        <f ca="1">MAX('17.财务费用测算表'!N53,(N44+N45)*5%)</f>
        <v>0</v>
      </c>
      <c r="O47" s="234">
        <f ca="1">MAX('17.财务费用测算表'!O53,(O44+O45)*5%)</f>
        <v>0</v>
      </c>
      <c r="P47" s="202">
        <f t="shared" ca="1" si="35"/>
        <v>0</v>
      </c>
      <c r="Q47" s="211">
        <f t="shared" ca="1" si="36"/>
        <v>0</v>
      </c>
      <c r="R47" s="211">
        <f t="shared" ca="1" si="37"/>
        <v>0</v>
      </c>
    </row>
    <row r="48" spans="1:19" s="75" customFormat="1" ht="15" customHeight="1">
      <c r="A48" s="1870"/>
      <c r="B48" s="165" t="s">
        <v>603</v>
      </c>
      <c r="C48" s="166">
        <f t="shared" si="38"/>
        <v>0</v>
      </c>
      <c r="D48" s="167">
        <f>(D44+D45)*5%</f>
        <v>0</v>
      </c>
      <c r="E48" s="168">
        <f t="shared" ref="E48:O48" si="39">(E44+E45)*5%</f>
        <v>0</v>
      </c>
      <c r="F48" s="168">
        <f t="shared" si="39"/>
        <v>0</v>
      </c>
      <c r="G48" s="168">
        <f t="shared" si="39"/>
        <v>0</v>
      </c>
      <c r="H48" s="168">
        <f t="shared" si="39"/>
        <v>0</v>
      </c>
      <c r="I48" s="168">
        <f t="shared" si="39"/>
        <v>0</v>
      </c>
      <c r="J48" s="168">
        <f t="shared" si="39"/>
        <v>0</v>
      </c>
      <c r="K48" s="168">
        <f t="shared" si="39"/>
        <v>0</v>
      </c>
      <c r="L48" s="168">
        <f t="shared" si="39"/>
        <v>0</v>
      </c>
      <c r="M48" s="168"/>
      <c r="N48" s="168">
        <f t="shared" si="39"/>
        <v>0</v>
      </c>
      <c r="O48" s="189">
        <f t="shared" si="39"/>
        <v>0</v>
      </c>
      <c r="P48" s="202">
        <f t="shared" si="35"/>
        <v>0</v>
      </c>
      <c r="Q48" s="211">
        <f t="shared" si="36"/>
        <v>0</v>
      </c>
      <c r="R48" s="211">
        <f t="shared" si="37"/>
        <v>0</v>
      </c>
    </row>
    <row r="49" spans="1:19" s="75" customFormat="1" ht="15" customHeight="1">
      <c r="A49" s="1870"/>
      <c r="B49" s="165" t="s">
        <v>604</v>
      </c>
      <c r="C49" s="166">
        <f t="shared" si="38"/>
        <v>0</v>
      </c>
      <c r="D49" s="167">
        <f>(D44+D45)*20%</f>
        <v>0</v>
      </c>
      <c r="E49" s="168">
        <f t="shared" ref="E49:R49" si="40">(E44+E45)*20%</f>
        <v>0</v>
      </c>
      <c r="F49" s="168">
        <f t="shared" si="40"/>
        <v>0</v>
      </c>
      <c r="G49" s="168">
        <f t="shared" si="40"/>
        <v>0</v>
      </c>
      <c r="H49" s="168">
        <f t="shared" si="40"/>
        <v>0</v>
      </c>
      <c r="I49" s="168">
        <f t="shared" si="40"/>
        <v>0</v>
      </c>
      <c r="J49" s="168">
        <f t="shared" si="40"/>
        <v>0</v>
      </c>
      <c r="K49" s="168">
        <f t="shared" si="40"/>
        <v>0</v>
      </c>
      <c r="L49" s="168">
        <f t="shared" si="40"/>
        <v>0</v>
      </c>
      <c r="M49" s="168"/>
      <c r="N49" s="168">
        <f t="shared" si="40"/>
        <v>0</v>
      </c>
      <c r="O49" s="189">
        <f t="shared" si="40"/>
        <v>0</v>
      </c>
      <c r="P49" s="202">
        <f t="shared" si="40"/>
        <v>0</v>
      </c>
      <c r="Q49" s="211">
        <f t="shared" si="40"/>
        <v>0</v>
      </c>
      <c r="R49" s="211">
        <f t="shared" si="40"/>
        <v>0</v>
      </c>
    </row>
    <row r="50" spans="1:19" s="75" customFormat="1" ht="15" customHeight="1">
      <c r="A50" s="1870"/>
      <c r="B50" s="165" t="s">
        <v>605</v>
      </c>
      <c r="C50" s="166">
        <f t="shared" ca="1" si="38"/>
        <v>0</v>
      </c>
      <c r="D50" s="167">
        <f t="shared" ref="D50:R50" ca="1" si="41">SUM(D44:D49)</f>
        <v>0</v>
      </c>
      <c r="E50" s="168">
        <f t="shared" ca="1" si="41"/>
        <v>0</v>
      </c>
      <c r="F50" s="168">
        <f t="shared" ca="1" si="41"/>
        <v>0</v>
      </c>
      <c r="G50" s="168">
        <f t="shared" ca="1" si="41"/>
        <v>0</v>
      </c>
      <c r="H50" s="168">
        <f t="shared" ca="1" si="41"/>
        <v>0</v>
      </c>
      <c r="I50" s="168">
        <f t="shared" ca="1" si="41"/>
        <v>0</v>
      </c>
      <c r="J50" s="168">
        <f t="shared" ca="1" si="41"/>
        <v>0</v>
      </c>
      <c r="K50" s="168">
        <f t="shared" ca="1" si="41"/>
        <v>0</v>
      </c>
      <c r="L50" s="168">
        <f t="shared" ca="1" si="41"/>
        <v>0</v>
      </c>
      <c r="M50" s="168"/>
      <c r="N50" s="168">
        <f t="shared" ca="1" si="41"/>
        <v>0</v>
      </c>
      <c r="O50" s="189">
        <f t="shared" ca="1" si="41"/>
        <v>0</v>
      </c>
      <c r="P50" s="202">
        <f t="shared" ca="1" si="41"/>
        <v>0</v>
      </c>
      <c r="Q50" s="211">
        <f t="shared" ca="1" si="41"/>
        <v>0</v>
      </c>
      <c r="R50" s="211">
        <f t="shared" ca="1" si="41"/>
        <v>0</v>
      </c>
    </row>
    <row r="51" spans="1:19" s="75" customFormat="1" ht="15" customHeight="1">
      <c r="A51" s="1870"/>
      <c r="B51" s="165" t="s">
        <v>419</v>
      </c>
      <c r="C51" s="166">
        <f t="shared" ca="1" si="38"/>
        <v>0</v>
      </c>
      <c r="D51" s="167">
        <f ca="1">D43-D50</f>
        <v>0</v>
      </c>
      <c r="E51" s="168">
        <f t="shared" ref="E51:R51" ca="1" si="42">E43-E50</f>
        <v>0</v>
      </c>
      <c r="F51" s="168">
        <f t="shared" ca="1" si="42"/>
        <v>0</v>
      </c>
      <c r="G51" s="168">
        <f t="shared" ca="1" si="42"/>
        <v>0</v>
      </c>
      <c r="H51" s="168">
        <f t="shared" ca="1" si="42"/>
        <v>0</v>
      </c>
      <c r="I51" s="168">
        <f t="shared" ca="1" si="42"/>
        <v>0</v>
      </c>
      <c r="J51" s="168">
        <f t="shared" ca="1" si="42"/>
        <v>0</v>
      </c>
      <c r="K51" s="168">
        <f t="shared" ca="1" si="42"/>
        <v>0</v>
      </c>
      <c r="L51" s="168">
        <f t="shared" ca="1" si="42"/>
        <v>0</v>
      </c>
      <c r="M51" s="168"/>
      <c r="N51" s="168">
        <f t="shared" ca="1" si="42"/>
        <v>0</v>
      </c>
      <c r="O51" s="189">
        <f t="shared" ca="1" si="42"/>
        <v>0</v>
      </c>
      <c r="P51" s="202">
        <f t="shared" ca="1" si="42"/>
        <v>0</v>
      </c>
      <c r="Q51" s="211">
        <f t="shared" ca="1" si="42"/>
        <v>0</v>
      </c>
      <c r="R51" s="211">
        <f t="shared" ca="1" si="42"/>
        <v>0</v>
      </c>
    </row>
    <row r="52" spans="1:19" s="75" customFormat="1" ht="15" customHeight="1">
      <c r="A52" s="1870"/>
      <c r="B52" s="165" t="s">
        <v>420</v>
      </c>
      <c r="C52" s="173">
        <f ca="1">IF(C50&lt;&gt;0,C51/C50,0)</f>
        <v>0</v>
      </c>
      <c r="D52" s="174">
        <f ca="1">IF(D50&lt;&gt;0,D51/D50,0)</f>
        <v>0</v>
      </c>
      <c r="E52" s="175">
        <f t="shared" ref="E52:R52" ca="1" si="43">IF(E50&lt;&gt;0,E51/E50,0)</f>
        <v>0</v>
      </c>
      <c r="F52" s="175">
        <f t="shared" ca="1" si="43"/>
        <v>0</v>
      </c>
      <c r="G52" s="175">
        <f t="shared" ca="1" si="43"/>
        <v>0</v>
      </c>
      <c r="H52" s="175">
        <f t="shared" ca="1" si="43"/>
        <v>0</v>
      </c>
      <c r="I52" s="175">
        <f t="shared" ca="1" si="43"/>
        <v>0</v>
      </c>
      <c r="J52" s="175">
        <f t="shared" ca="1" si="43"/>
        <v>0</v>
      </c>
      <c r="K52" s="175">
        <f t="shared" ca="1" si="43"/>
        <v>0</v>
      </c>
      <c r="L52" s="175">
        <f t="shared" ca="1" si="43"/>
        <v>0</v>
      </c>
      <c r="M52" s="175">
        <f t="shared" si="43"/>
        <v>0</v>
      </c>
      <c r="N52" s="175">
        <f t="shared" ca="1" si="43"/>
        <v>0</v>
      </c>
      <c r="O52" s="192">
        <f t="shared" ca="1" si="43"/>
        <v>0</v>
      </c>
      <c r="P52" s="203">
        <f t="shared" ca="1" si="43"/>
        <v>0</v>
      </c>
      <c r="Q52" s="213">
        <f t="shared" ca="1" si="43"/>
        <v>0</v>
      </c>
      <c r="R52" s="213">
        <f t="shared" ca="1" si="43"/>
        <v>0</v>
      </c>
    </row>
    <row r="53" spans="1:19" s="75" customFormat="1" ht="15" customHeight="1">
      <c r="A53" s="1870"/>
      <c r="B53" s="165" t="s">
        <v>606</v>
      </c>
      <c r="C53" s="166" t="s">
        <v>607</v>
      </c>
      <c r="D53" s="176">
        <f>IF(D41="否",IF(D52&lt;=0,0,IF(D52&lt;=0.5,0.3,IF(D52&lt;=1,0.4,IF(D52&lt;=2,0.5,0.6)))),IF(D41="是",IF(D52&lt;=0.2,0,IF(D52&lt;=0.5,0.3,IF(D52&lt;=1,0.4,IF(D52&lt;=2,0.5,0.6)))),0))</f>
        <v>0</v>
      </c>
      <c r="E53" s="177">
        <f t="shared" ref="E53:J53" si="44">IF(E41="否",IF(E52&lt;=0,0,IF(E52&lt;=0.5,0.3,IF(E52&lt;=1,0.4,IF(E52&lt;=2,0.5,0.6)))),IF(E41="是",IF(E52&lt;=0.2,0,IF(E52&lt;=0.5,0.3,IF(E52&lt;=1,0.4,IF(E52&lt;=2,0.5,0.6)))),0))</f>
        <v>0</v>
      </c>
      <c r="F53" s="177">
        <f t="shared" si="44"/>
        <v>0</v>
      </c>
      <c r="G53" s="177">
        <f t="shared" si="44"/>
        <v>0</v>
      </c>
      <c r="H53" s="177">
        <f t="shared" si="44"/>
        <v>0</v>
      </c>
      <c r="I53" s="177">
        <f t="shared" si="44"/>
        <v>0</v>
      </c>
      <c r="J53" s="177">
        <f t="shared" si="44"/>
        <v>0</v>
      </c>
      <c r="K53" s="177">
        <f t="shared" ref="K53:O53" ca="1" si="45">IF(K52&lt;=0,0,IF(K52&lt;=0.5,0.3,IF(K52&lt;=1,0.4,IF(K52&lt;=2,0.5,0.6))))</f>
        <v>0</v>
      </c>
      <c r="L53" s="177">
        <f t="shared" ca="1" si="45"/>
        <v>0</v>
      </c>
      <c r="M53" s="177">
        <f t="shared" si="45"/>
        <v>0</v>
      </c>
      <c r="N53" s="177">
        <f t="shared" ca="1" si="45"/>
        <v>0</v>
      </c>
      <c r="O53" s="195">
        <f t="shared" ca="1" si="45"/>
        <v>0</v>
      </c>
      <c r="P53" s="204">
        <f ca="1">IF(P52&lt;=0.2,0,IF(P52&lt;=0.5,0.3,IF(P52&lt;=1,0.4,IF(P52&lt;=2,0.5,0.6))))</f>
        <v>0</v>
      </c>
      <c r="Q53" s="215">
        <f ca="1">IF(Q52&lt;=0,0,IF(Q52&lt;=0.5,0.3,IF(Q52&lt;=1,0.4,IF(Q52&lt;=2,0.5,0.6))))</f>
        <v>0</v>
      </c>
      <c r="R53" s="215">
        <f ca="1">IF(R52&lt;=0,0,IF(R52&lt;=0.5,0.3,IF(R52&lt;=1,0.4,IF(R52&lt;=2,0.5,0.6))))</f>
        <v>0</v>
      </c>
    </row>
    <row r="54" spans="1:19" s="75" customFormat="1" ht="15" customHeight="1">
      <c r="A54" s="1870"/>
      <c r="B54" s="165" t="s">
        <v>608</v>
      </c>
      <c r="C54" s="166" t="s">
        <v>607</v>
      </c>
      <c r="D54" s="176">
        <f>IF(D53=0.4,0.05,IF(D53=0.5,0.15,IF(D53=0.6,0.35,0)))</f>
        <v>0</v>
      </c>
      <c r="E54" s="177">
        <f t="shared" ref="E54:R54" si="46">IF(E53=0.4,0.05,IF(E53=0.5,0.15,IF(E53=0.6,0.35,0)))</f>
        <v>0</v>
      </c>
      <c r="F54" s="177">
        <f t="shared" si="46"/>
        <v>0</v>
      </c>
      <c r="G54" s="177">
        <f t="shared" si="46"/>
        <v>0</v>
      </c>
      <c r="H54" s="177">
        <f t="shared" si="46"/>
        <v>0</v>
      </c>
      <c r="I54" s="177">
        <f t="shared" si="46"/>
        <v>0</v>
      </c>
      <c r="J54" s="177">
        <f t="shared" si="46"/>
        <v>0</v>
      </c>
      <c r="K54" s="177">
        <f t="shared" ca="1" si="46"/>
        <v>0</v>
      </c>
      <c r="L54" s="177">
        <f t="shared" ca="1" si="46"/>
        <v>0</v>
      </c>
      <c r="M54" s="177">
        <f t="shared" si="46"/>
        <v>0</v>
      </c>
      <c r="N54" s="177">
        <f t="shared" ca="1" si="46"/>
        <v>0</v>
      </c>
      <c r="O54" s="195">
        <f t="shared" ca="1" si="46"/>
        <v>0</v>
      </c>
      <c r="P54" s="204">
        <f t="shared" ca="1" si="46"/>
        <v>0</v>
      </c>
      <c r="Q54" s="215">
        <f t="shared" ca="1" si="46"/>
        <v>0</v>
      </c>
      <c r="R54" s="215">
        <f t="shared" ca="1" si="46"/>
        <v>0</v>
      </c>
    </row>
    <row r="55" spans="1:19" s="75" customFormat="1" ht="15" customHeight="1">
      <c r="A55" s="1870"/>
      <c r="B55" s="165" t="s">
        <v>609</v>
      </c>
      <c r="C55" s="1112">
        <f ca="1">SUM(D55:O55)</f>
        <v>0</v>
      </c>
      <c r="D55" s="1113">
        <f t="shared" ref="D55:R55" ca="1" si="47">D51*D53-D50*D54</f>
        <v>0</v>
      </c>
      <c r="E55" s="1114">
        <f t="shared" ca="1" si="47"/>
        <v>0</v>
      </c>
      <c r="F55" s="1114">
        <f t="shared" ca="1" si="47"/>
        <v>0</v>
      </c>
      <c r="G55" s="1114">
        <f t="shared" ca="1" si="47"/>
        <v>0</v>
      </c>
      <c r="H55" s="1114">
        <f t="shared" ca="1" si="47"/>
        <v>0</v>
      </c>
      <c r="I55" s="1114">
        <f t="shared" ca="1" si="47"/>
        <v>0</v>
      </c>
      <c r="J55" s="1114">
        <f t="shared" ca="1" si="47"/>
        <v>0</v>
      </c>
      <c r="K55" s="1114">
        <f t="shared" ca="1" si="47"/>
        <v>0</v>
      </c>
      <c r="L55" s="1114">
        <f t="shared" ca="1" si="47"/>
        <v>0</v>
      </c>
      <c r="M55" s="1114">
        <f t="shared" si="47"/>
        <v>0</v>
      </c>
      <c r="N55" s="1114">
        <f t="shared" ca="1" si="47"/>
        <v>0</v>
      </c>
      <c r="O55" s="1119">
        <f t="shared" ca="1" si="47"/>
        <v>0</v>
      </c>
      <c r="P55" s="205">
        <f t="shared" ca="1" si="47"/>
        <v>0</v>
      </c>
      <c r="Q55" s="219">
        <f t="shared" ca="1" si="47"/>
        <v>0</v>
      </c>
      <c r="R55" s="219">
        <f t="shared" ca="1" si="47"/>
        <v>0</v>
      </c>
    </row>
    <row r="56" spans="1:19" s="75" customFormat="1" ht="15" customHeight="1">
      <c r="A56" s="1870"/>
      <c r="B56" s="165" t="s">
        <v>610</v>
      </c>
      <c r="C56" s="166">
        <f>SUM(D56:O56)</f>
        <v>0</v>
      </c>
      <c r="D56" s="167">
        <f>IF(D41="普",D43*'2.税率表'!$D$20,IF(D41="非普",D43*'2.税率表'!$D$21,IF(D41="其他",D43*'2.税率表'!$D$22,0)))</f>
        <v>0</v>
      </c>
      <c r="E56" s="168">
        <f>IF(E41="普",E43*'2.税率表'!$D$20,IF(E41="非普",E43*'2.税率表'!$D$21,IF(E41="其他",E43*'2.税率表'!$D$22,0)))</f>
        <v>0</v>
      </c>
      <c r="F56" s="168">
        <f>IF(F41="普",F43*'2.税率表'!$D$20,IF(F41="非普",F43*'2.税率表'!$D$21,IF(F41="其他",F43*'2.税率表'!$D$22,0)))</f>
        <v>0</v>
      </c>
      <c r="G56" s="168">
        <f>IF(G41="普",G43*'2.税率表'!$D$20,IF(G41="非普",G43*'2.税率表'!$D$21,IF(G41="其他",G43*'2.税率表'!$D$22,0)))</f>
        <v>0</v>
      </c>
      <c r="H56" s="168">
        <f>IF(H41="普",H43*'2.税率表'!$D$20,IF(H41="非普",H43*'2.税率表'!$D$21,IF(H41="其他",H43*'2.税率表'!$D$22,0)))</f>
        <v>0</v>
      </c>
      <c r="I56" s="168">
        <f>IF(I41="普",I43*'2.税率表'!$D$20,IF(I41="非普",I43*'2.税率表'!$D$21,IF(I41="其他",I43*'2.税率表'!$D$22,0)))</f>
        <v>0</v>
      </c>
      <c r="J56" s="168">
        <f>IF(J41="普",J43*'2.税率表'!$D$20,IF(J41="非普",J43*'2.税率表'!$D$21,IF(J41="其他",J43*'2.税率表'!$D$22,0)))</f>
        <v>0</v>
      </c>
      <c r="K56" s="168">
        <f>IF(K41="普",K43*'2.税率表'!$D$20,IF(K41="非普",K43*'2.税率表'!$D$21,IF(K41="其他",K43*'2.税率表'!$D$22,0)))</f>
        <v>0</v>
      </c>
      <c r="L56" s="168">
        <f>IF(L41="普",L43*'2.税率表'!$D$20,IF(L41="非普",L43*'2.税率表'!$D$21,IF(L41="其他",L43*'2.税率表'!$D$22,0)))</f>
        <v>0</v>
      </c>
      <c r="M56" s="168">
        <f>IF(M41="普",M43*'2.税率表'!$D$20,IF(M41="非普",M43*'2.税率表'!$D$21,IF(M41="其他",M43*'2.税率表'!$D$22,0)))</f>
        <v>0</v>
      </c>
      <c r="N56" s="168">
        <f>IF(N41="普",N43*'2.税率表'!$D$20,IF(N41="非普",N43*'2.税率表'!$D$21,IF(N41="其他",N43*'2.税率表'!$D$22,0)))</f>
        <v>0</v>
      </c>
      <c r="O56" s="189">
        <f>IF(O41="普",O43*'2.税率表'!$D$20,IF(O41="非普",O43*'2.税率表'!$D$21,IF(O41="其他",O43*'2.税率表'!$D$22,0)))</f>
        <v>0</v>
      </c>
      <c r="P56" s="202">
        <f>P43*'2.税率表'!$D$20</f>
        <v>0</v>
      </c>
      <c r="Q56" s="211">
        <f>Q43*'2.税率表'!$D$21</f>
        <v>0</v>
      </c>
      <c r="R56" s="211">
        <f>R43*'2.税率表'!$D$22</f>
        <v>0</v>
      </c>
    </row>
    <row r="57" spans="1:19" s="75" customFormat="1" ht="15" customHeight="1">
      <c r="A57" s="1870"/>
      <c r="B57" s="165" t="s">
        <v>597</v>
      </c>
      <c r="C57" s="1115">
        <f ca="1">IFERROR(SUM(D57:O57),0)</f>
        <v>0</v>
      </c>
      <c r="D57" s="1116">
        <f t="shared" ref="D57:O57" ca="1" si="48">IFERROR(IF($R$5="合并清算",$Q57/$Q43*D43,IF(($R$5="两分法")*(D41="普"),$P57/$P43*D43,IF(($R$5="两分法")*(D41="非普"),$Q57/$Q43*D43,IF(($R$5="两分法")*(D41="其他"),$Q57/$Q43*D43,IF(D41="普",$P57/$P43*D43,IF(D41="非普",$Q57/$Q43*D43,$R$57/$R$43*D43)))))),0)</f>
        <v>0</v>
      </c>
      <c r="E57" s="1117">
        <f t="shared" ca="1" si="48"/>
        <v>0</v>
      </c>
      <c r="F57" s="1117">
        <f t="shared" ca="1" si="48"/>
        <v>0</v>
      </c>
      <c r="G57" s="1117">
        <f t="shared" ca="1" si="48"/>
        <v>0</v>
      </c>
      <c r="H57" s="1117">
        <f t="shared" ca="1" si="48"/>
        <v>0</v>
      </c>
      <c r="I57" s="1117">
        <f t="shared" ca="1" si="48"/>
        <v>0</v>
      </c>
      <c r="J57" s="1117">
        <f t="shared" ca="1" si="48"/>
        <v>0</v>
      </c>
      <c r="K57" s="1117">
        <f t="shared" ca="1" si="48"/>
        <v>0</v>
      </c>
      <c r="L57" s="1117">
        <f t="shared" ca="1" si="48"/>
        <v>0</v>
      </c>
      <c r="M57" s="1117">
        <f t="shared" ca="1" si="48"/>
        <v>0</v>
      </c>
      <c r="N57" s="1117">
        <f t="shared" ca="1" si="48"/>
        <v>0</v>
      </c>
      <c r="O57" s="1120">
        <f t="shared" ca="1" si="48"/>
        <v>0</v>
      </c>
      <c r="P57" s="202">
        <f t="shared" ref="P57:R57" ca="1" si="49">IF(P56&lt;=P55,P55,P56)</f>
        <v>0</v>
      </c>
      <c r="Q57" s="211">
        <f t="shared" ca="1" si="49"/>
        <v>0</v>
      </c>
      <c r="R57" s="211">
        <f t="shared" ca="1" si="49"/>
        <v>0</v>
      </c>
      <c r="S57" s="154">
        <f ca="1">SUM(P57:R57)-C57</f>
        <v>0</v>
      </c>
    </row>
    <row r="58" spans="1:19">
      <c r="R58" s="690"/>
    </row>
    <row r="59" spans="1:19" ht="15" customHeight="1">
      <c r="A59" s="1109"/>
      <c r="B59" s="1109"/>
      <c r="C59" s="157" t="s">
        <v>596</v>
      </c>
      <c r="D59" s="1110">
        <f>'15.土地增值税'!D59</f>
        <v>0</v>
      </c>
      <c r="E59" s="1111">
        <f>'15.土地增值税'!E59</f>
        <v>0</v>
      </c>
      <c r="F59" s="1111">
        <f>'15.土地增值税'!F59</f>
        <v>0</v>
      </c>
      <c r="G59" s="1111">
        <f>'15.土地增值税'!G59</f>
        <v>0</v>
      </c>
      <c r="H59" s="1111">
        <f>'15.土地增值税'!H59</f>
        <v>0</v>
      </c>
      <c r="I59" s="1111">
        <f>'15.土地增值税'!I59</f>
        <v>0</v>
      </c>
      <c r="J59" s="1111">
        <f>'15.土地增值税'!J59</f>
        <v>0</v>
      </c>
      <c r="K59" s="1111">
        <f>'15.土地增值税'!K59</f>
        <v>0</v>
      </c>
      <c r="L59" s="1111">
        <f>'15.土地增值税'!L59</f>
        <v>0</v>
      </c>
      <c r="M59" s="1111"/>
      <c r="N59" s="1111">
        <f>'15.土地增值税'!N59</f>
        <v>0</v>
      </c>
      <c r="O59" s="1118">
        <f>'15.土地增值税'!O59</f>
        <v>0</v>
      </c>
      <c r="P59" s="1868" t="s">
        <v>597</v>
      </c>
      <c r="Q59" s="1867"/>
      <c r="R59" s="1124" t="str">
        <f>'15.土地增值税'!R59</f>
        <v>三分法</v>
      </c>
    </row>
    <row r="60" spans="1:19" s="75" customFormat="1" ht="15" customHeight="1">
      <c r="A60" s="161" t="s">
        <v>598</v>
      </c>
      <c r="B60" s="161" t="s">
        <v>183</v>
      </c>
      <c r="C60" s="162" t="s">
        <v>599</v>
      </c>
      <c r="D60" s="163" t="str">
        <f>D42</f>
        <v>高层</v>
      </c>
      <c r="E60" s="164" t="str">
        <f t="shared" ref="E60:O60" si="50">E42</f>
        <v>商铺</v>
      </c>
      <c r="F60" s="164" t="str">
        <f t="shared" si="50"/>
        <v>回迁商业</v>
      </c>
      <c r="G60" s="164">
        <f t="shared" si="50"/>
        <v>0</v>
      </c>
      <c r="H60" s="164">
        <f t="shared" si="50"/>
        <v>0</v>
      </c>
      <c r="I60" s="164">
        <f t="shared" si="50"/>
        <v>0</v>
      </c>
      <c r="J60" s="164">
        <f t="shared" si="50"/>
        <v>0</v>
      </c>
      <c r="K60" s="164">
        <f t="shared" si="50"/>
        <v>0</v>
      </c>
      <c r="L60" s="164">
        <f t="shared" si="50"/>
        <v>0</v>
      </c>
      <c r="M60" s="164" t="str">
        <f t="shared" si="50"/>
        <v>自持物业</v>
      </c>
      <c r="N60" s="164" t="str">
        <f t="shared" si="50"/>
        <v>有产权车库(个)</v>
      </c>
      <c r="O60" s="187" t="str">
        <f t="shared" si="50"/>
        <v>无产权车库(个)</v>
      </c>
      <c r="P60" s="201" t="s">
        <v>600</v>
      </c>
      <c r="Q60" s="161" t="s">
        <v>601</v>
      </c>
      <c r="R60" s="161" t="s">
        <v>164</v>
      </c>
    </row>
    <row r="61" spans="1:19" s="75" customFormat="1" ht="15" customHeight="1">
      <c r="A61" s="1870" t="s">
        <v>22</v>
      </c>
      <c r="B61" s="165" t="s">
        <v>454</v>
      </c>
      <c r="C61" s="166">
        <f>SUM(D61:O61)</f>
        <v>0</v>
      </c>
      <c r="D61" s="167">
        <f>'3.保本售价试算'!BC6/1.11</f>
        <v>0</v>
      </c>
      <c r="E61" s="168">
        <f>'3.保本售价试算'!BD6/1.11</f>
        <v>0</v>
      </c>
      <c r="F61" s="168">
        <f>'3.保本售价试算'!BE6/1.11</f>
        <v>0</v>
      </c>
      <c r="G61" s="168">
        <f>'3.保本售价试算'!BF6/1.11</f>
        <v>0</v>
      </c>
      <c r="H61" s="168">
        <f>'3.保本售价试算'!BG6/1.11</f>
        <v>0</v>
      </c>
      <c r="I61" s="168">
        <f>'3.保本售价试算'!BH6/1.11</f>
        <v>0</v>
      </c>
      <c r="J61" s="168">
        <f>'3.保本售价试算'!BI6/1.11</f>
        <v>0</v>
      </c>
      <c r="K61" s="168">
        <f>'3.保本售价试算'!BJ6/1.11</f>
        <v>0</v>
      </c>
      <c r="L61" s="168">
        <f>'3.保本售价试算'!BK6/1.11</f>
        <v>0</v>
      </c>
      <c r="M61" s="168"/>
      <c r="N61" s="168">
        <f>'3.保本售价试算'!BM6/1.11</f>
        <v>0</v>
      </c>
      <c r="O61" s="189">
        <f>'3.保本售价试算'!BN6/1.11</f>
        <v>0</v>
      </c>
      <c r="P61" s="202">
        <f t="shared" ref="P61:P66" si="51">IF($R$59="合并清算",0,SUMIF(D$5:O$5,"普",D61:O61))</f>
        <v>0</v>
      </c>
      <c r="Q61" s="211">
        <f t="shared" ref="Q61:Q66" si="52">IF($R$59="合并清算",C61,IF($R$59="两分法",C61-P61,SUMIF(D$5:O$5,"非普",D61:O61)))</f>
        <v>0</v>
      </c>
      <c r="R61" s="211">
        <f t="shared" ref="R61:R66" si="53">IF($R$59="三分法",C61-P61-Q61,0)</f>
        <v>0</v>
      </c>
    </row>
    <row r="62" spans="1:19" s="75" customFormat="1" ht="15" customHeight="1">
      <c r="A62" s="1870"/>
      <c r="B62" s="165" t="s">
        <v>368</v>
      </c>
      <c r="C62" s="166">
        <f>SUM(D62:O62)</f>
        <v>0</v>
      </c>
      <c r="D62" s="185">
        <f>'15.土地增值税'!D62</f>
        <v>0</v>
      </c>
      <c r="E62" s="171">
        <f>'15.土地增值税'!E62</f>
        <v>0</v>
      </c>
      <c r="F62" s="171">
        <f>'15.土地增值税'!F62</f>
        <v>0</v>
      </c>
      <c r="G62" s="171">
        <f>'15.土地增值税'!G62</f>
        <v>0</v>
      </c>
      <c r="H62" s="171">
        <f>'15.土地增值税'!H62</f>
        <v>0</v>
      </c>
      <c r="I62" s="171">
        <f>'15.土地增值税'!I62</f>
        <v>0</v>
      </c>
      <c r="J62" s="171">
        <f>'15.土地增值税'!J62</f>
        <v>0</v>
      </c>
      <c r="K62" s="171">
        <f>'15.土地增值税'!K62</f>
        <v>0</v>
      </c>
      <c r="L62" s="171">
        <f>'15.土地增值税'!L62</f>
        <v>0</v>
      </c>
      <c r="M62" s="171"/>
      <c r="N62" s="171">
        <f>'15.土地增值税'!N62</f>
        <v>0</v>
      </c>
      <c r="O62" s="234">
        <f>'15.土地增值税'!O62</f>
        <v>0</v>
      </c>
      <c r="P62" s="202">
        <f t="shared" si="51"/>
        <v>0</v>
      </c>
      <c r="Q62" s="211">
        <f t="shared" si="52"/>
        <v>0</v>
      </c>
      <c r="R62" s="211">
        <f t="shared" si="53"/>
        <v>0</v>
      </c>
    </row>
    <row r="63" spans="1:19" s="75" customFormat="1" ht="15" customHeight="1">
      <c r="A63" s="1870"/>
      <c r="B63" s="165" t="s">
        <v>578</v>
      </c>
      <c r="C63" s="166">
        <f t="shared" ref="C63:C69" si="54">SUM(D63:O63)</f>
        <v>0</v>
      </c>
      <c r="D63" s="167">
        <f>'13.建安成本表'!N$214</f>
        <v>0</v>
      </c>
      <c r="E63" s="168">
        <f>'13.建安成本表'!N$215</f>
        <v>0</v>
      </c>
      <c r="F63" s="168">
        <f>'13.建安成本表'!N$216</f>
        <v>0</v>
      </c>
      <c r="G63" s="168">
        <f>'13.建安成本表'!N$217</f>
        <v>0</v>
      </c>
      <c r="H63" s="168">
        <f>'13.建安成本表'!N$218</f>
        <v>0</v>
      </c>
      <c r="I63" s="168">
        <f>'13.建安成本表'!N$219</f>
        <v>0</v>
      </c>
      <c r="J63" s="168">
        <f>'13.建安成本表'!N$220</f>
        <v>0</v>
      </c>
      <c r="K63" s="168">
        <f>'13.建安成本表'!N$221</f>
        <v>0</v>
      </c>
      <c r="L63" s="168">
        <f>'13.建安成本表'!N$222</f>
        <v>0</v>
      </c>
      <c r="M63" s="168"/>
      <c r="N63" s="171">
        <f>'13.建安成本表'!N$224</f>
        <v>0</v>
      </c>
      <c r="O63" s="232">
        <f>'13.建安成本表'!N$225</f>
        <v>0</v>
      </c>
      <c r="P63" s="202">
        <f t="shared" si="51"/>
        <v>0</v>
      </c>
      <c r="Q63" s="211">
        <f t="shared" si="52"/>
        <v>0</v>
      </c>
      <c r="R63" s="211">
        <f t="shared" si="53"/>
        <v>0</v>
      </c>
    </row>
    <row r="64" spans="1:19" s="75" customFormat="1" ht="15" customHeight="1">
      <c r="A64" s="1870"/>
      <c r="B64" s="165" t="s">
        <v>602</v>
      </c>
      <c r="C64" s="166">
        <f t="shared" si="54"/>
        <v>0</v>
      </c>
      <c r="D64" s="167">
        <f>D61*1.11*('2.税率表'!D10*(1+'2.税率表'!$D$13+'2.税率表'!$D$14+'2.税率表'!$D$17)+'2.税率表'!$D$15+'2.税率表'!$D$16+'2.税率表'!$D$18)+'14.增值税计算表'!E421</f>
        <v>0</v>
      </c>
      <c r="E64" s="168">
        <f>E61*1.11*('2.税率表'!D10*(1+'2.税率表'!$D$13+'2.税率表'!$D$14+'2.税率表'!$D$17)+'2.税率表'!$D$15+'2.税率表'!$D$16+'2.税率表'!$D$18)+'14.增值税计算表'!F421</f>
        <v>0</v>
      </c>
      <c r="F64" s="168">
        <f>F61*1.11*('2.税率表'!D10*(1+'2.税率表'!$D$13+'2.税率表'!$D$14+'2.税率表'!$D$17)+'2.税率表'!$D$15+'2.税率表'!$D$16+'2.税率表'!$D$18)+'14.增值税计算表'!G421</f>
        <v>0</v>
      </c>
      <c r="G64" s="168">
        <f>G61*1.11*('2.税率表'!D10*(1+'2.税率表'!$D$13+'2.税率表'!$D$14+'2.税率表'!$D$17)+'2.税率表'!$D$15+'2.税率表'!$D$16+'2.税率表'!$D$18)+'14.增值税计算表'!H421</f>
        <v>0</v>
      </c>
      <c r="H64" s="168">
        <f>H61*1.11*('2.税率表'!D10*(1+'2.税率表'!$D$13+'2.税率表'!$D$14+'2.税率表'!$D$17)+'2.税率表'!$D$15+'2.税率表'!$D$16+'2.税率表'!$D$18)+'14.增值税计算表'!I421</f>
        <v>0</v>
      </c>
      <c r="I64" s="168">
        <f>I61*1.11*('2.税率表'!D10*(1+'2.税率表'!$D$13+'2.税率表'!$D$14+'2.税率表'!$D$17)+'2.税率表'!$D$15+'2.税率表'!$D$16+'2.税率表'!$D$18)+'14.增值税计算表'!J421</f>
        <v>0</v>
      </c>
      <c r="J64" s="168">
        <f>J61*1.11*('2.税率表'!D10*(1+'2.税率表'!$D$13+'2.税率表'!$D$14+'2.税率表'!$D$17)+'2.税率表'!$D$15+'2.税率表'!$D$16+'2.税率表'!$D$18)+'14.增值税计算表'!K421</f>
        <v>0</v>
      </c>
      <c r="K64" s="168">
        <f>K61*1.11*('2.税率表'!D10*(1+'2.税率表'!$D$13+'2.税率表'!$D$14+'2.税率表'!$D$17)+'2.税率表'!$D$15+'2.税率表'!$D$16+'2.税率表'!$D$18)+'14.增值税计算表'!L421</f>
        <v>0</v>
      </c>
      <c r="L64" s="168">
        <f>L61*1.11*('2.税率表'!D10*(1+'2.税率表'!$D$13+'2.税率表'!$D$14+'2.税率表'!$D$17)+'2.税率表'!$D$15+'2.税率表'!$D$16+'2.税率表'!$D$18)+'14.增值税计算表'!M421</f>
        <v>0</v>
      </c>
      <c r="M64" s="168"/>
      <c r="N64" s="168">
        <f>N61*1.11*('2.税率表'!D10*(1+'2.税率表'!$D$13+'2.税率表'!$D$14+'2.税率表'!$D$17)+'2.税率表'!$D$15+'2.税率表'!$D$16+'2.税率表'!$D$18)</f>
        <v>0</v>
      </c>
      <c r="O64" s="189">
        <f>O61*1.11*('2.税率表'!D10*(1+'2.税率表'!$D$13+'2.税率表'!$D$14+'2.税率表'!$D$17)+'2.税率表'!$D$15+'2.税率表'!$D$16+'2.税率表'!$D$18)</f>
        <v>0</v>
      </c>
      <c r="P64" s="202">
        <f t="shared" si="51"/>
        <v>0</v>
      </c>
      <c r="Q64" s="211">
        <f t="shared" si="52"/>
        <v>0</v>
      </c>
      <c r="R64" s="211">
        <f t="shared" si="53"/>
        <v>0</v>
      </c>
    </row>
    <row r="65" spans="1:19" s="75" customFormat="1" ht="15" customHeight="1">
      <c r="A65" s="1870"/>
      <c r="B65" s="165" t="s">
        <v>373</v>
      </c>
      <c r="C65" s="166">
        <f t="shared" ca="1" si="54"/>
        <v>0</v>
      </c>
      <c r="D65" s="167">
        <f ca="1">MAX('17.财务费用测算表'!D54,(D62+D63)*5%)</f>
        <v>0</v>
      </c>
      <c r="E65" s="168">
        <f ca="1">MAX('17.财务费用测算表'!E54,(E62+E63)*5%)</f>
        <v>0</v>
      </c>
      <c r="F65" s="168">
        <f ca="1">MAX('17.财务费用测算表'!F54,(F62+F63)*5%)</f>
        <v>0</v>
      </c>
      <c r="G65" s="168">
        <f ca="1">MAX('17.财务费用测算表'!G54,(G62+G63)*5%)</f>
        <v>0</v>
      </c>
      <c r="H65" s="168">
        <f ca="1">MAX('17.财务费用测算表'!H54,(H62+H63)*5%)</f>
        <v>0</v>
      </c>
      <c r="I65" s="168">
        <f ca="1">MAX('17.财务费用测算表'!I54,(I62+I63)*5%)</f>
        <v>0</v>
      </c>
      <c r="J65" s="168">
        <f ca="1">MAX('17.财务费用测算表'!J54,(J62+J63)*5%)</f>
        <v>0</v>
      </c>
      <c r="K65" s="168">
        <f ca="1">MAX('17.财务费用测算表'!K54,(K62+K63)*5%)</f>
        <v>0</v>
      </c>
      <c r="L65" s="168">
        <f ca="1">MAX('17.财务费用测算表'!L54,(L62+L63)*5%)</f>
        <v>0</v>
      </c>
      <c r="M65" s="168"/>
      <c r="N65" s="171">
        <f ca="1">MAX('17.财务费用测算表'!N54,(N62+N63)*5%)</f>
        <v>0</v>
      </c>
      <c r="O65" s="234">
        <f ca="1">MAX('17.财务费用测算表'!O54,(O62+O63)*5%)</f>
        <v>0</v>
      </c>
      <c r="P65" s="202">
        <f t="shared" ca="1" si="51"/>
        <v>0</v>
      </c>
      <c r="Q65" s="211">
        <f t="shared" ca="1" si="52"/>
        <v>0</v>
      </c>
      <c r="R65" s="211">
        <f t="shared" ca="1" si="53"/>
        <v>0</v>
      </c>
    </row>
    <row r="66" spans="1:19" s="75" customFormat="1" ht="15" customHeight="1">
      <c r="A66" s="1870"/>
      <c r="B66" s="165" t="s">
        <v>603</v>
      </c>
      <c r="C66" s="166">
        <f t="shared" si="54"/>
        <v>0</v>
      </c>
      <c r="D66" s="167">
        <f>(D62+D63)*5%</f>
        <v>0</v>
      </c>
      <c r="E66" s="168">
        <f t="shared" ref="E66:O66" si="55">(E62+E63)*5%</f>
        <v>0</v>
      </c>
      <c r="F66" s="168">
        <f t="shared" si="55"/>
        <v>0</v>
      </c>
      <c r="G66" s="168">
        <f t="shared" si="55"/>
        <v>0</v>
      </c>
      <c r="H66" s="168">
        <f t="shared" si="55"/>
        <v>0</v>
      </c>
      <c r="I66" s="168">
        <f t="shared" si="55"/>
        <v>0</v>
      </c>
      <c r="J66" s="168">
        <f t="shared" si="55"/>
        <v>0</v>
      </c>
      <c r="K66" s="168">
        <f t="shared" si="55"/>
        <v>0</v>
      </c>
      <c r="L66" s="168">
        <f t="shared" si="55"/>
        <v>0</v>
      </c>
      <c r="M66" s="168"/>
      <c r="N66" s="168">
        <f t="shared" si="55"/>
        <v>0</v>
      </c>
      <c r="O66" s="189">
        <f t="shared" si="55"/>
        <v>0</v>
      </c>
      <c r="P66" s="202">
        <f t="shared" si="51"/>
        <v>0</v>
      </c>
      <c r="Q66" s="211">
        <f t="shared" si="52"/>
        <v>0</v>
      </c>
      <c r="R66" s="211">
        <f t="shared" si="53"/>
        <v>0</v>
      </c>
    </row>
    <row r="67" spans="1:19" s="75" customFormat="1" ht="15" customHeight="1">
      <c r="A67" s="1870"/>
      <c r="B67" s="165" t="s">
        <v>604</v>
      </c>
      <c r="C67" s="166">
        <f t="shared" si="54"/>
        <v>0</v>
      </c>
      <c r="D67" s="167">
        <f>(D62+D63)*20%</f>
        <v>0</v>
      </c>
      <c r="E67" s="168">
        <f t="shared" ref="E67:R67" si="56">(E62+E63)*20%</f>
        <v>0</v>
      </c>
      <c r="F67" s="168">
        <f t="shared" si="56"/>
        <v>0</v>
      </c>
      <c r="G67" s="168">
        <f t="shared" si="56"/>
        <v>0</v>
      </c>
      <c r="H67" s="168">
        <f t="shared" si="56"/>
        <v>0</v>
      </c>
      <c r="I67" s="168">
        <f t="shared" si="56"/>
        <v>0</v>
      </c>
      <c r="J67" s="168">
        <f t="shared" si="56"/>
        <v>0</v>
      </c>
      <c r="K67" s="168">
        <f t="shared" si="56"/>
        <v>0</v>
      </c>
      <c r="L67" s="168">
        <f t="shared" si="56"/>
        <v>0</v>
      </c>
      <c r="M67" s="168"/>
      <c r="N67" s="168">
        <f t="shared" si="56"/>
        <v>0</v>
      </c>
      <c r="O67" s="189">
        <f t="shared" si="56"/>
        <v>0</v>
      </c>
      <c r="P67" s="202">
        <f t="shared" si="56"/>
        <v>0</v>
      </c>
      <c r="Q67" s="211">
        <f t="shared" si="56"/>
        <v>0</v>
      </c>
      <c r="R67" s="211">
        <f t="shared" si="56"/>
        <v>0</v>
      </c>
    </row>
    <row r="68" spans="1:19" s="75" customFormat="1" ht="15" customHeight="1">
      <c r="A68" s="1870"/>
      <c r="B68" s="165" t="s">
        <v>605</v>
      </c>
      <c r="C68" s="166">
        <f t="shared" ca="1" si="54"/>
        <v>0</v>
      </c>
      <c r="D68" s="167">
        <f t="shared" ref="D68:R68" ca="1" si="57">SUM(D62:D67)</f>
        <v>0</v>
      </c>
      <c r="E68" s="168">
        <f t="shared" ca="1" si="57"/>
        <v>0</v>
      </c>
      <c r="F68" s="168">
        <f t="shared" ca="1" si="57"/>
        <v>0</v>
      </c>
      <c r="G68" s="168">
        <f t="shared" ca="1" si="57"/>
        <v>0</v>
      </c>
      <c r="H68" s="168">
        <f t="shared" ca="1" si="57"/>
        <v>0</v>
      </c>
      <c r="I68" s="168">
        <f t="shared" ca="1" si="57"/>
        <v>0</v>
      </c>
      <c r="J68" s="168">
        <f t="shared" ca="1" si="57"/>
        <v>0</v>
      </c>
      <c r="K68" s="168">
        <f t="shared" ca="1" si="57"/>
        <v>0</v>
      </c>
      <c r="L68" s="168">
        <f t="shared" ca="1" si="57"/>
        <v>0</v>
      </c>
      <c r="M68" s="168"/>
      <c r="N68" s="168">
        <f t="shared" ca="1" si="57"/>
        <v>0</v>
      </c>
      <c r="O68" s="189">
        <f t="shared" ca="1" si="57"/>
        <v>0</v>
      </c>
      <c r="P68" s="202">
        <f t="shared" ca="1" si="57"/>
        <v>0</v>
      </c>
      <c r="Q68" s="211">
        <f t="shared" ca="1" si="57"/>
        <v>0</v>
      </c>
      <c r="R68" s="211">
        <f t="shared" ca="1" si="57"/>
        <v>0</v>
      </c>
    </row>
    <row r="69" spans="1:19" s="75" customFormat="1" ht="15" customHeight="1">
      <c r="A69" s="1870"/>
      <c r="B69" s="165" t="s">
        <v>419</v>
      </c>
      <c r="C69" s="166">
        <f t="shared" ca="1" si="54"/>
        <v>0</v>
      </c>
      <c r="D69" s="167">
        <f ca="1">D61-D68</f>
        <v>0</v>
      </c>
      <c r="E69" s="168">
        <f t="shared" ref="E69:R69" ca="1" si="58">E61-E68</f>
        <v>0</v>
      </c>
      <c r="F69" s="168">
        <f t="shared" ca="1" si="58"/>
        <v>0</v>
      </c>
      <c r="G69" s="168">
        <f t="shared" ca="1" si="58"/>
        <v>0</v>
      </c>
      <c r="H69" s="168">
        <f t="shared" ca="1" si="58"/>
        <v>0</v>
      </c>
      <c r="I69" s="168">
        <f t="shared" ca="1" si="58"/>
        <v>0</v>
      </c>
      <c r="J69" s="168">
        <f t="shared" ca="1" si="58"/>
        <v>0</v>
      </c>
      <c r="K69" s="168">
        <f t="shared" ca="1" si="58"/>
        <v>0</v>
      </c>
      <c r="L69" s="168">
        <f t="shared" ca="1" si="58"/>
        <v>0</v>
      </c>
      <c r="M69" s="168"/>
      <c r="N69" s="168">
        <f t="shared" ca="1" si="58"/>
        <v>0</v>
      </c>
      <c r="O69" s="189">
        <f t="shared" ca="1" si="58"/>
        <v>0</v>
      </c>
      <c r="P69" s="202">
        <f t="shared" ca="1" si="58"/>
        <v>0</v>
      </c>
      <c r="Q69" s="211">
        <f t="shared" ca="1" si="58"/>
        <v>0</v>
      </c>
      <c r="R69" s="211">
        <f t="shared" ca="1" si="58"/>
        <v>0</v>
      </c>
    </row>
    <row r="70" spans="1:19" s="75" customFormat="1" ht="15" customHeight="1">
      <c r="A70" s="1870"/>
      <c r="B70" s="165" t="s">
        <v>420</v>
      </c>
      <c r="C70" s="173">
        <f ca="1">IF(C68&lt;&gt;0,C69/C68,0)</f>
        <v>0</v>
      </c>
      <c r="D70" s="174">
        <f ca="1">IF(D68&lt;&gt;0,D69/D68,0)</f>
        <v>0</v>
      </c>
      <c r="E70" s="175">
        <f t="shared" ref="E70:R70" ca="1" si="59">IF(E68&lt;&gt;0,E69/E68,0)</f>
        <v>0</v>
      </c>
      <c r="F70" s="175">
        <f t="shared" ca="1" si="59"/>
        <v>0</v>
      </c>
      <c r="G70" s="175">
        <f t="shared" ca="1" si="59"/>
        <v>0</v>
      </c>
      <c r="H70" s="175">
        <f t="shared" ca="1" si="59"/>
        <v>0</v>
      </c>
      <c r="I70" s="175">
        <f t="shared" ca="1" si="59"/>
        <v>0</v>
      </c>
      <c r="J70" s="175">
        <f t="shared" ca="1" si="59"/>
        <v>0</v>
      </c>
      <c r="K70" s="175">
        <f t="shared" ca="1" si="59"/>
        <v>0</v>
      </c>
      <c r="L70" s="175">
        <f t="shared" ca="1" si="59"/>
        <v>0</v>
      </c>
      <c r="M70" s="175">
        <f t="shared" si="59"/>
        <v>0</v>
      </c>
      <c r="N70" s="175">
        <f t="shared" ca="1" si="59"/>
        <v>0</v>
      </c>
      <c r="O70" s="192">
        <f t="shared" ca="1" si="59"/>
        <v>0</v>
      </c>
      <c r="P70" s="203">
        <f t="shared" ca="1" si="59"/>
        <v>0</v>
      </c>
      <c r="Q70" s="213">
        <f t="shared" ca="1" si="59"/>
        <v>0</v>
      </c>
      <c r="R70" s="213">
        <f t="shared" ca="1" si="59"/>
        <v>0</v>
      </c>
    </row>
    <row r="71" spans="1:19" s="75" customFormat="1" ht="15" customHeight="1">
      <c r="A71" s="1870"/>
      <c r="B71" s="165" t="s">
        <v>606</v>
      </c>
      <c r="C71" s="166" t="s">
        <v>607</v>
      </c>
      <c r="D71" s="176">
        <f>IF(D59="否",IF(D70&lt;=0,0,IF(D70&lt;=0.5,0.3,IF(D70&lt;=1,0.4,IF(D70&lt;=2,0.5,0.6)))),IF(D59="是",IF(D70&lt;=0.2,0,IF(D70&lt;=0.5,0.3,IF(D70&lt;=1,0.4,IF(D70&lt;=2,0.5,0.6)))),0))</f>
        <v>0</v>
      </c>
      <c r="E71" s="177">
        <f t="shared" ref="E71:J71" si="60">IF(E59="否",IF(E70&lt;=0,0,IF(E70&lt;=0.5,0.3,IF(E70&lt;=1,0.4,IF(E70&lt;=2,0.5,0.6)))),IF(E59="是",IF(E70&lt;=0.2,0,IF(E70&lt;=0.5,0.3,IF(E70&lt;=1,0.4,IF(E70&lt;=2,0.5,0.6)))),0))</f>
        <v>0</v>
      </c>
      <c r="F71" s="177">
        <f t="shared" si="60"/>
        <v>0</v>
      </c>
      <c r="G71" s="177">
        <f t="shared" si="60"/>
        <v>0</v>
      </c>
      <c r="H71" s="177">
        <f t="shared" si="60"/>
        <v>0</v>
      </c>
      <c r="I71" s="177">
        <f t="shared" si="60"/>
        <v>0</v>
      </c>
      <c r="J71" s="177">
        <f t="shared" si="60"/>
        <v>0</v>
      </c>
      <c r="K71" s="177">
        <f t="shared" ref="K71:O71" ca="1" si="61">IF(K70&lt;=0,0,IF(K70&lt;=0.5,0.3,IF(K70&lt;=1,0.4,IF(K70&lt;=2,0.5,0.6))))</f>
        <v>0</v>
      </c>
      <c r="L71" s="177">
        <f t="shared" ca="1" si="61"/>
        <v>0</v>
      </c>
      <c r="M71" s="177">
        <f t="shared" si="61"/>
        <v>0</v>
      </c>
      <c r="N71" s="177">
        <f t="shared" ca="1" si="61"/>
        <v>0</v>
      </c>
      <c r="O71" s="195">
        <f t="shared" ca="1" si="61"/>
        <v>0</v>
      </c>
      <c r="P71" s="204">
        <f ca="1">IF(P70&lt;=0.2,0,IF(P70&lt;=0.5,0.3,IF(P70&lt;=1,0.4,IF(P70&lt;=2,0.5,0.6))))</f>
        <v>0</v>
      </c>
      <c r="Q71" s="215">
        <f ca="1">IF(Q70&lt;=0,0,IF(Q70&lt;=0.5,0.3,IF(Q70&lt;=1,0.4,IF(Q70&lt;=2,0.5,0.6))))</f>
        <v>0</v>
      </c>
      <c r="R71" s="215">
        <f ca="1">IF(R70&lt;=0,0,IF(R70&lt;=0.5,0.3,IF(R70&lt;=1,0.4,IF(R70&lt;=2,0.5,0.6))))</f>
        <v>0</v>
      </c>
    </row>
    <row r="72" spans="1:19" s="75" customFormat="1" ht="15" customHeight="1">
      <c r="A72" s="1870"/>
      <c r="B72" s="165" t="s">
        <v>608</v>
      </c>
      <c r="C72" s="166" t="s">
        <v>607</v>
      </c>
      <c r="D72" s="176">
        <f>IF(D71=0.4,0.05,IF(D71=0.5,0.15,IF(D71=0.6,0.35,0)))</f>
        <v>0</v>
      </c>
      <c r="E72" s="177">
        <f t="shared" ref="E72:R72" si="62">IF(E71=0.4,0.05,IF(E71=0.5,0.15,IF(E71=0.6,0.35,0)))</f>
        <v>0</v>
      </c>
      <c r="F72" s="177">
        <f t="shared" si="62"/>
        <v>0</v>
      </c>
      <c r="G72" s="177">
        <f t="shared" si="62"/>
        <v>0</v>
      </c>
      <c r="H72" s="177">
        <f t="shared" si="62"/>
        <v>0</v>
      </c>
      <c r="I72" s="177">
        <f t="shared" si="62"/>
        <v>0</v>
      </c>
      <c r="J72" s="177">
        <f t="shared" si="62"/>
        <v>0</v>
      </c>
      <c r="K72" s="177">
        <f t="shared" ca="1" si="62"/>
        <v>0</v>
      </c>
      <c r="L72" s="177">
        <f t="shared" ca="1" si="62"/>
        <v>0</v>
      </c>
      <c r="M72" s="177">
        <f t="shared" si="62"/>
        <v>0</v>
      </c>
      <c r="N72" s="177">
        <f t="shared" ca="1" si="62"/>
        <v>0</v>
      </c>
      <c r="O72" s="195">
        <f t="shared" ca="1" si="62"/>
        <v>0</v>
      </c>
      <c r="P72" s="204">
        <f t="shared" ca="1" si="62"/>
        <v>0</v>
      </c>
      <c r="Q72" s="215">
        <f t="shared" ca="1" si="62"/>
        <v>0</v>
      </c>
      <c r="R72" s="215">
        <f t="shared" ca="1" si="62"/>
        <v>0</v>
      </c>
    </row>
    <row r="73" spans="1:19" s="75" customFormat="1" ht="15" customHeight="1">
      <c r="A73" s="1870"/>
      <c r="B73" s="165" t="s">
        <v>609</v>
      </c>
      <c r="C73" s="1112">
        <f ca="1">SUM(D73:O73)</f>
        <v>0</v>
      </c>
      <c r="D73" s="1113">
        <f t="shared" ref="D73:R73" ca="1" si="63">D69*D71-D68*D72</f>
        <v>0</v>
      </c>
      <c r="E73" s="1114">
        <f t="shared" ca="1" si="63"/>
        <v>0</v>
      </c>
      <c r="F73" s="1114">
        <f t="shared" ca="1" si="63"/>
        <v>0</v>
      </c>
      <c r="G73" s="1114">
        <f t="shared" ca="1" si="63"/>
        <v>0</v>
      </c>
      <c r="H73" s="1114">
        <f t="shared" ca="1" si="63"/>
        <v>0</v>
      </c>
      <c r="I73" s="1114">
        <f t="shared" ca="1" si="63"/>
        <v>0</v>
      </c>
      <c r="J73" s="1114">
        <f t="shared" ca="1" si="63"/>
        <v>0</v>
      </c>
      <c r="K73" s="1114">
        <f t="shared" ca="1" si="63"/>
        <v>0</v>
      </c>
      <c r="L73" s="1114">
        <f t="shared" ca="1" si="63"/>
        <v>0</v>
      </c>
      <c r="M73" s="1114">
        <f t="shared" si="63"/>
        <v>0</v>
      </c>
      <c r="N73" s="1114">
        <f t="shared" ca="1" si="63"/>
        <v>0</v>
      </c>
      <c r="O73" s="1119">
        <f t="shared" ca="1" si="63"/>
        <v>0</v>
      </c>
      <c r="P73" s="205">
        <f t="shared" ca="1" si="63"/>
        <v>0</v>
      </c>
      <c r="Q73" s="219">
        <f t="shared" ca="1" si="63"/>
        <v>0</v>
      </c>
      <c r="R73" s="219">
        <f t="shared" ca="1" si="63"/>
        <v>0</v>
      </c>
    </row>
    <row r="74" spans="1:19" s="75" customFormat="1" ht="15" customHeight="1">
      <c r="A74" s="1870"/>
      <c r="B74" s="165" t="s">
        <v>610</v>
      </c>
      <c r="C74" s="166">
        <f>SUM(D74:O74)</f>
        <v>0</v>
      </c>
      <c r="D74" s="167">
        <f>IF(D59="普",D61*'2.税率表'!$D$20,IF(D59="非普",D61*'2.税率表'!$D$21,IF(D59="其他",D61*'2.税率表'!$D$22,0)))</f>
        <v>0</v>
      </c>
      <c r="E74" s="168">
        <f>IF(E59="普",E61*'2.税率表'!$D$20,IF(E59="非普",E61*'2.税率表'!$D$21,IF(E59="其他",E61*'2.税率表'!$D$22,0)))</f>
        <v>0</v>
      </c>
      <c r="F74" s="168">
        <f>IF(F59="普",F61*'2.税率表'!$D$20,IF(F59="非普",F61*'2.税率表'!$D$21,IF(F59="其他",F61*'2.税率表'!$D$22,0)))</f>
        <v>0</v>
      </c>
      <c r="G74" s="168">
        <f>IF(G59="普",G61*'2.税率表'!$D$20,IF(G59="非普",G61*'2.税率表'!$D$21,IF(G59="其他",G61*'2.税率表'!$D$22,0)))</f>
        <v>0</v>
      </c>
      <c r="H74" s="168">
        <f>IF(H59="普",H61*'2.税率表'!$D$20,IF(H59="非普",H61*'2.税率表'!$D$21,IF(H59="其他",H61*'2.税率表'!$D$22,0)))</f>
        <v>0</v>
      </c>
      <c r="I74" s="168">
        <f>IF(I59="普",I61*'2.税率表'!$D$20,IF(I59="非普",I61*'2.税率表'!$D$21,IF(I59="其他",I61*'2.税率表'!$D$22,0)))</f>
        <v>0</v>
      </c>
      <c r="J74" s="168">
        <f>IF(J59="普",J61*'2.税率表'!$D$20,IF(J59="非普",J61*'2.税率表'!$D$21,IF(J59="其他",J61*'2.税率表'!$D$22,0)))</f>
        <v>0</v>
      </c>
      <c r="K74" s="168">
        <f>IF(K59="普",K61*'2.税率表'!$D$20,IF(K59="非普",K61*'2.税率表'!$D$21,IF(K59="其他",K61*'2.税率表'!$D$22,0)))</f>
        <v>0</v>
      </c>
      <c r="L74" s="168">
        <f>IF(L59="普",L61*'2.税率表'!$D$20,IF(L59="非普",L61*'2.税率表'!$D$21,IF(L59="其他",L61*'2.税率表'!$D$22,0)))</f>
        <v>0</v>
      </c>
      <c r="M74" s="168">
        <f>IF(M59="普",M61*'2.税率表'!$D$20,IF(M59="非普",M61*'2.税率表'!$D$21,IF(M59="其他",M61*'2.税率表'!$D$22,0)))</f>
        <v>0</v>
      </c>
      <c r="N74" s="168">
        <f>IF(N59="普",N61*'2.税率表'!$D$20,IF(N59="非普",N61*'2.税率表'!$D$21,IF(N59="其他",N61*'2.税率表'!$D$22,0)))</f>
        <v>0</v>
      </c>
      <c r="O74" s="189">
        <f>IF(O59="普",O61*'2.税率表'!$D$20,IF(O59="非普",O61*'2.税率表'!$D$21,IF(O59="其他",O61*'2.税率表'!$D$22,0)))</f>
        <v>0</v>
      </c>
      <c r="P74" s="202">
        <f>P61*'2.税率表'!$D$20</f>
        <v>0</v>
      </c>
      <c r="Q74" s="211">
        <f>Q61*'2.税率表'!$D$21</f>
        <v>0</v>
      </c>
      <c r="R74" s="211">
        <f>R61*'2.税率表'!$D$22</f>
        <v>0</v>
      </c>
    </row>
    <row r="75" spans="1:19" s="75" customFormat="1" ht="15" customHeight="1">
      <c r="A75" s="1870"/>
      <c r="B75" s="165" t="s">
        <v>611</v>
      </c>
      <c r="C75" s="1115">
        <f ca="1">IFERROR(SUM(D75:O75),0)</f>
        <v>0</v>
      </c>
      <c r="D75" s="1116">
        <f t="shared" ref="D75:O75" ca="1" si="64">IFERROR(IF($R$5="合并清算",$Q75/$Q61*D61,IF(($R$5="两分法")*(D59="普"),$P75/$P61*D61,IF(($R$5="两分法")*(D59="非普"),$Q75/$Q61*D61,IF(($R$5="两分法")*(D59="其他"),$Q75/$Q61*D61,IF(D59="普",$P75/$P61*D61,IF(D59="非普",$Q75/$Q61*D61,$R$75/$R$61*D61)))))),0)</f>
        <v>0</v>
      </c>
      <c r="E75" s="1117">
        <f t="shared" ca="1" si="64"/>
        <v>0</v>
      </c>
      <c r="F75" s="1117">
        <f t="shared" ca="1" si="64"/>
        <v>0</v>
      </c>
      <c r="G75" s="1117">
        <f t="shared" ca="1" si="64"/>
        <v>0</v>
      </c>
      <c r="H75" s="1117">
        <f t="shared" ca="1" si="64"/>
        <v>0</v>
      </c>
      <c r="I75" s="1117">
        <f t="shared" ca="1" si="64"/>
        <v>0</v>
      </c>
      <c r="J75" s="1117">
        <f t="shared" ca="1" si="64"/>
        <v>0</v>
      </c>
      <c r="K75" s="1117">
        <f t="shared" ca="1" si="64"/>
        <v>0</v>
      </c>
      <c r="L75" s="1117">
        <f t="shared" ca="1" si="64"/>
        <v>0</v>
      </c>
      <c r="M75" s="1117">
        <f t="shared" ca="1" si="64"/>
        <v>0</v>
      </c>
      <c r="N75" s="1117">
        <f t="shared" ca="1" si="64"/>
        <v>0</v>
      </c>
      <c r="O75" s="1120">
        <f t="shared" ca="1" si="64"/>
        <v>0</v>
      </c>
      <c r="P75" s="202">
        <f t="shared" ref="P75:R75" ca="1" si="65">IF(P74&lt;=P73,P73,P74)</f>
        <v>0</v>
      </c>
      <c r="Q75" s="211">
        <f t="shared" ca="1" si="65"/>
        <v>0</v>
      </c>
      <c r="R75" s="211">
        <f t="shared" ca="1" si="65"/>
        <v>0</v>
      </c>
      <c r="S75" s="154">
        <f ca="1">SUM(P75:R75)-C75</f>
        <v>0</v>
      </c>
    </row>
    <row r="77" spans="1:19" ht="15" customHeight="1">
      <c r="A77" s="1109"/>
      <c r="B77" s="1109"/>
      <c r="C77" s="157" t="s">
        <v>596</v>
      </c>
      <c r="D77" s="1110">
        <f>'15.土地增值税'!D77</f>
        <v>0</v>
      </c>
      <c r="E77" s="1111">
        <f>'15.土地增值税'!E77</f>
        <v>0</v>
      </c>
      <c r="F77" s="1111">
        <f>'15.土地增值税'!F77</f>
        <v>0</v>
      </c>
      <c r="G77" s="1111">
        <f>'15.土地增值税'!G77</f>
        <v>0</v>
      </c>
      <c r="H77" s="1111">
        <f>'15.土地增值税'!H77</f>
        <v>0</v>
      </c>
      <c r="I77" s="1111">
        <f>'15.土地增值税'!I77</f>
        <v>0</v>
      </c>
      <c r="J77" s="1111">
        <f>'15.土地增值税'!J77</f>
        <v>0</v>
      </c>
      <c r="K77" s="1111">
        <f>'15.土地增值税'!K77</f>
        <v>0</v>
      </c>
      <c r="L77" s="1111">
        <f>'15.土地增值税'!L77</f>
        <v>0</v>
      </c>
      <c r="M77" s="1111"/>
      <c r="N77" s="1111">
        <f>'15.土地增值税'!N77</f>
        <v>0</v>
      </c>
      <c r="O77" s="1118">
        <f>'15.土地增值税'!O77</f>
        <v>0</v>
      </c>
      <c r="P77" s="1868" t="s">
        <v>597</v>
      </c>
      <c r="Q77" s="1867"/>
      <c r="R77" s="1124" t="str">
        <f>'15.土地增值税'!R77</f>
        <v>三分法</v>
      </c>
    </row>
    <row r="78" spans="1:19" s="75" customFormat="1" ht="15" customHeight="1">
      <c r="A78" s="161" t="s">
        <v>598</v>
      </c>
      <c r="B78" s="161" t="s">
        <v>183</v>
      </c>
      <c r="C78" s="162" t="s">
        <v>599</v>
      </c>
      <c r="D78" s="163" t="str">
        <f>D60</f>
        <v>高层</v>
      </c>
      <c r="E78" s="164" t="str">
        <f t="shared" ref="E78:O78" si="66">E60</f>
        <v>商铺</v>
      </c>
      <c r="F78" s="164" t="str">
        <f t="shared" si="66"/>
        <v>回迁商业</v>
      </c>
      <c r="G78" s="164">
        <f t="shared" si="66"/>
        <v>0</v>
      </c>
      <c r="H78" s="164">
        <f t="shared" si="66"/>
        <v>0</v>
      </c>
      <c r="I78" s="164">
        <f t="shared" si="66"/>
        <v>0</v>
      </c>
      <c r="J78" s="164">
        <f t="shared" si="66"/>
        <v>0</v>
      </c>
      <c r="K78" s="164">
        <f t="shared" si="66"/>
        <v>0</v>
      </c>
      <c r="L78" s="164">
        <f t="shared" si="66"/>
        <v>0</v>
      </c>
      <c r="M78" s="164" t="str">
        <f t="shared" si="66"/>
        <v>自持物业</v>
      </c>
      <c r="N78" s="164" t="str">
        <f t="shared" si="66"/>
        <v>有产权车库(个)</v>
      </c>
      <c r="O78" s="187" t="str">
        <f t="shared" si="66"/>
        <v>无产权车库(个)</v>
      </c>
      <c r="P78" s="201" t="s">
        <v>600</v>
      </c>
      <c r="Q78" s="161" t="s">
        <v>601</v>
      </c>
      <c r="R78" s="161" t="s">
        <v>164</v>
      </c>
    </row>
    <row r="79" spans="1:19" s="75" customFormat="1" ht="15" customHeight="1">
      <c r="A79" s="1870" t="s">
        <v>23</v>
      </c>
      <c r="B79" s="165" t="s">
        <v>454</v>
      </c>
      <c r="C79" s="166">
        <f>SUM(D79:O79)</f>
        <v>0</v>
      </c>
      <c r="D79" s="167">
        <f>'3.保本售价试算'!BP6/1.11</f>
        <v>0</v>
      </c>
      <c r="E79" s="168">
        <f>'3.保本售价试算'!BQ6/1.11</f>
        <v>0</v>
      </c>
      <c r="F79" s="168">
        <f>'3.保本售价试算'!BR6/1.11</f>
        <v>0</v>
      </c>
      <c r="G79" s="168">
        <f>'3.保本售价试算'!BS6/1.11</f>
        <v>0</v>
      </c>
      <c r="H79" s="168">
        <f>'3.保本售价试算'!BT6/1.11</f>
        <v>0</v>
      </c>
      <c r="I79" s="168">
        <f>'3.保本售价试算'!BU6/1.11</f>
        <v>0</v>
      </c>
      <c r="J79" s="168">
        <f>'3.保本售价试算'!BV6/1.11</f>
        <v>0</v>
      </c>
      <c r="K79" s="168">
        <f>'3.保本售价试算'!BW6/1.11</f>
        <v>0</v>
      </c>
      <c r="L79" s="168">
        <f>'3.保本售价试算'!BX6/1.11</f>
        <v>0</v>
      </c>
      <c r="M79" s="168"/>
      <c r="N79" s="168">
        <f>'3.保本售价试算'!BZ6/1.11</f>
        <v>0</v>
      </c>
      <c r="O79" s="189">
        <f>'3.保本售价试算'!CA6/1.11</f>
        <v>0</v>
      </c>
      <c r="P79" s="202">
        <f t="shared" ref="P79:P84" si="67">IF($R$77="合并清算",0,SUMIF(D$5:O$5,"普",D79:O79))</f>
        <v>0</v>
      </c>
      <c r="Q79" s="211">
        <f t="shared" ref="Q79:Q84" si="68">IF($R$77="合并清算",C79,IF($R$77="两分法",C79-P79,SUMIF(D$5:O$5,"非普",D79:O79)))</f>
        <v>0</v>
      </c>
      <c r="R79" s="211">
        <f t="shared" ref="R79:R84" si="69">IF($R$77="三分法",C79-P79-Q79,0)</f>
        <v>0</v>
      </c>
    </row>
    <row r="80" spans="1:19" s="75" customFormat="1" ht="15" customHeight="1">
      <c r="A80" s="1870"/>
      <c r="B80" s="165" t="s">
        <v>368</v>
      </c>
      <c r="C80" s="166">
        <f>SUM(D80:O80)</f>
        <v>0</v>
      </c>
      <c r="D80" s="185">
        <f>'15.土地增值税'!D80</f>
        <v>0</v>
      </c>
      <c r="E80" s="171">
        <f>'15.土地增值税'!E80</f>
        <v>0</v>
      </c>
      <c r="F80" s="171">
        <f>'15.土地增值税'!F80</f>
        <v>0</v>
      </c>
      <c r="G80" s="171">
        <f>'15.土地增值税'!G80</f>
        <v>0</v>
      </c>
      <c r="H80" s="171">
        <f>'15.土地增值税'!H80</f>
        <v>0</v>
      </c>
      <c r="I80" s="171">
        <f>'15.土地增值税'!I80</f>
        <v>0</v>
      </c>
      <c r="J80" s="171">
        <f>'15.土地增值税'!J80</f>
        <v>0</v>
      </c>
      <c r="K80" s="171">
        <f>'15.土地增值税'!K80</f>
        <v>0</v>
      </c>
      <c r="L80" s="171">
        <f>'15.土地增值税'!L80</f>
        <v>0</v>
      </c>
      <c r="M80" s="171"/>
      <c r="N80" s="171">
        <f>'15.土地增值税'!N80</f>
        <v>0</v>
      </c>
      <c r="O80" s="234">
        <f>'15.土地增值税'!O80</f>
        <v>0</v>
      </c>
      <c r="P80" s="202">
        <f t="shared" si="67"/>
        <v>0</v>
      </c>
      <c r="Q80" s="211">
        <f t="shared" si="68"/>
        <v>0</v>
      </c>
      <c r="R80" s="211">
        <f t="shared" si="69"/>
        <v>0</v>
      </c>
    </row>
    <row r="81" spans="1:19" s="75" customFormat="1" ht="15" customHeight="1">
      <c r="A81" s="1870"/>
      <c r="B81" s="165" t="s">
        <v>578</v>
      </c>
      <c r="C81" s="166">
        <f t="shared" ref="C81:C87" si="70">SUM(D81:O81)</f>
        <v>0</v>
      </c>
      <c r="D81" s="167">
        <f>'13.建安成本表'!Q$214</f>
        <v>0</v>
      </c>
      <c r="E81" s="168">
        <f>'13.建安成本表'!Q$215</f>
        <v>0</v>
      </c>
      <c r="F81" s="168">
        <f>'13.建安成本表'!Q$216</f>
        <v>0</v>
      </c>
      <c r="G81" s="168">
        <f>'13.建安成本表'!Q$217</f>
        <v>0</v>
      </c>
      <c r="H81" s="168">
        <f>'13.建安成本表'!Q$218</f>
        <v>0</v>
      </c>
      <c r="I81" s="168">
        <f>'13.建安成本表'!Q$219</f>
        <v>0</v>
      </c>
      <c r="J81" s="168">
        <f>'13.建安成本表'!Q$220</f>
        <v>0</v>
      </c>
      <c r="K81" s="168">
        <f>'13.建安成本表'!Q$221</f>
        <v>0</v>
      </c>
      <c r="L81" s="168">
        <f>'13.建安成本表'!Q$222</f>
        <v>0</v>
      </c>
      <c r="M81" s="168"/>
      <c r="N81" s="171">
        <f>'13.建安成本表'!Q$224</f>
        <v>0</v>
      </c>
      <c r="O81" s="232">
        <f>'13.建安成本表'!Q$225</f>
        <v>0</v>
      </c>
      <c r="P81" s="202">
        <f t="shared" si="67"/>
        <v>0</v>
      </c>
      <c r="Q81" s="211">
        <f t="shared" si="68"/>
        <v>0</v>
      </c>
      <c r="R81" s="211">
        <f t="shared" si="69"/>
        <v>0</v>
      </c>
    </row>
    <row r="82" spans="1:19" s="75" customFormat="1" ht="15" customHeight="1">
      <c r="A82" s="1870"/>
      <c r="B82" s="165" t="s">
        <v>602</v>
      </c>
      <c r="C82" s="166">
        <f t="shared" si="70"/>
        <v>0</v>
      </c>
      <c r="D82" s="167">
        <f>D79*1.11*('2.税率表'!D11*(1+'2.税率表'!$D$13+'2.税率表'!$D$14+'2.税率表'!$D$17)+'2.税率表'!$D$15+'2.税率表'!$D$16+'2.税率表'!$D$18)+'14.增值税计算表'!E422</f>
        <v>0</v>
      </c>
      <c r="E82" s="168">
        <f>E79*1.11*('2.税率表'!D11*(1+'2.税率表'!$D$13+'2.税率表'!$D$14+'2.税率表'!$D$17)+'2.税率表'!$D$15+'2.税率表'!$D$16+'2.税率表'!$D$18)+'14.增值税计算表'!F422</f>
        <v>0</v>
      </c>
      <c r="F82" s="168">
        <f>F79*1.11*('2.税率表'!D11*(1+'2.税率表'!$D$13+'2.税率表'!$D$14+'2.税率表'!$D$17)+'2.税率表'!$D$15+'2.税率表'!$D$16+'2.税率表'!$D$18)+'14.增值税计算表'!G422</f>
        <v>0</v>
      </c>
      <c r="G82" s="168">
        <f>G79*1.11*('2.税率表'!D11*(1+'2.税率表'!$D$13+'2.税率表'!$D$14+'2.税率表'!$D$17)+'2.税率表'!$D$15+'2.税率表'!$D$16+'2.税率表'!$D$18)+'14.增值税计算表'!H422</f>
        <v>0</v>
      </c>
      <c r="H82" s="168">
        <f>H79*1.11*('2.税率表'!D11*(1+'2.税率表'!$D$13+'2.税率表'!$D$14+'2.税率表'!$D$17)+'2.税率表'!$D$15+'2.税率表'!$D$16+'2.税率表'!$D$18)+'14.增值税计算表'!I422</f>
        <v>0</v>
      </c>
      <c r="I82" s="168">
        <f>I79*1.11*('2.税率表'!D11*(1+'2.税率表'!$D$13+'2.税率表'!$D$14+'2.税率表'!$D$17)+'2.税率表'!$D$15+'2.税率表'!$D$16+'2.税率表'!$D$18)+'14.增值税计算表'!J422</f>
        <v>0</v>
      </c>
      <c r="J82" s="168">
        <f>J79*1.11*('2.税率表'!D11*(1+'2.税率表'!$D$13+'2.税率表'!$D$14+'2.税率表'!$D$17)+'2.税率表'!$D$15+'2.税率表'!$D$16+'2.税率表'!$D$18)+'14.增值税计算表'!K422</f>
        <v>0</v>
      </c>
      <c r="K82" s="168">
        <f>K79*1.11*('2.税率表'!D11*(1+'2.税率表'!$D$13+'2.税率表'!$D$14+'2.税率表'!$D$17)+'2.税率表'!$D$15+'2.税率表'!$D$16+'2.税率表'!$D$18)+'14.增值税计算表'!L422</f>
        <v>0</v>
      </c>
      <c r="L82" s="168">
        <f>L79*1.11*('2.税率表'!D11*(1+'2.税率表'!$D$13+'2.税率表'!$D$14+'2.税率表'!$D$17)+'2.税率表'!$D$15+'2.税率表'!$D$16+'2.税率表'!$D$18)+'14.增值税计算表'!M422</f>
        <v>0</v>
      </c>
      <c r="M82" s="168"/>
      <c r="N82" s="168">
        <f>N79*1.11*('2.税率表'!D11*(1+'2.税率表'!$D$13+'2.税率表'!$D$14+'2.税率表'!$D$17)+'2.税率表'!$D$15+'2.税率表'!$D$16+'2.税率表'!$D$18)</f>
        <v>0</v>
      </c>
      <c r="O82" s="189">
        <f>O79*1.11*('2.税率表'!D11*(1+'2.税率表'!$D$13+'2.税率表'!$D$14+'2.税率表'!$D$17)+'2.税率表'!$D$15+'2.税率表'!$D$16+'2.税率表'!$D$18)</f>
        <v>0</v>
      </c>
      <c r="P82" s="202">
        <f t="shared" si="67"/>
        <v>0</v>
      </c>
      <c r="Q82" s="211">
        <f t="shared" si="68"/>
        <v>0</v>
      </c>
      <c r="R82" s="211">
        <f t="shared" si="69"/>
        <v>0</v>
      </c>
    </row>
    <row r="83" spans="1:19" s="75" customFormat="1" ht="15" customHeight="1">
      <c r="A83" s="1870"/>
      <c r="B83" s="165" t="s">
        <v>373</v>
      </c>
      <c r="C83" s="166">
        <f t="shared" ca="1" si="70"/>
        <v>0</v>
      </c>
      <c r="D83" s="167">
        <f ca="1">MAX('17.财务费用测算表'!D55,(D80+D81)*5%)</f>
        <v>0</v>
      </c>
      <c r="E83" s="168">
        <f ca="1">MAX('17.财务费用测算表'!E55,(E80+E81)*5%)</f>
        <v>0</v>
      </c>
      <c r="F83" s="168">
        <f ca="1">MAX('17.财务费用测算表'!F55,(F80+F81)*5%)</f>
        <v>0</v>
      </c>
      <c r="G83" s="168">
        <f ca="1">MAX('17.财务费用测算表'!G55,(G80+G81)*5%)</f>
        <v>0</v>
      </c>
      <c r="H83" s="168">
        <f ca="1">MAX('17.财务费用测算表'!H55,(H80+H81)*5%)</f>
        <v>0</v>
      </c>
      <c r="I83" s="168">
        <f ca="1">MAX('17.财务费用测算表'!I55,(I80+I81)*5%)</f>
        <v>0</v>
      </c>
      <c r="J83" s="168">
        <f ca="1">MAX('17.财务费用测算表'!J55,(J80+J81)*5%)</f>
        <v>0</v>
      </c>
      <c r="K83" s="168">
        <f ca="1">MAX('17.财务费用测算表'!K55,(K80+K81)*5%)</f>
        <v>0</v>
      </c>
      <c r="L83" s="168">
        <f ca="1">MAX('17.财务费用测算表'!L55,(L80+L81)*5%)</f>
        <v>0</v>
      </c>
      <c r="M83" s="168"/>
      <c r="N83" s="171">
        <f ca="1">MAX('17.财务费用测算表'!N55,(N80+N81)*5%)</f>
        <v>0</v>
      </c>
      <c r="O83" s="234">
        <f ca="1">MAX('17.财务费用测算表'!O55,(O80+O81)*5%)</f>
        <v>0</v>
      </c>
      <c r="P83" s="202">
        <f t="shared" ca="1" si="67"/>
        <v>0</v>
      </c>
      <c r="Q83" s="211">
        <f t="shared" ca="1" si="68"/>
        <v>0</v>
      </c>
      <c r="R83" s="211">
        <f t="shared" ca="1" si="69"/>
        <v>0</v>
      </c>
    </row>
    <row r="84" spans="1:19" s="75" customFormat="1" ht="15" customHeight="1">
      <c r="A84" s="1870"/>
      <c r="B84" s="165" t="s">
        <v>603</v>
      </c>
      <c r="C84" s="166">
        <f t="shared" si="70"/>
        <v>0</v>
      </c>
      <c r="D84" s="167">
        <f>(D80+D81)*5%</f>
        <v>0</v>
      </c>
      <c r="E84" s="168">
        <f t="shared" ref="E84:N84" si="71">(E80+E81)*5%</f>
        <v>0</v>
      </c>
      <c r="F84" s="168">
        <f t="shared" si="71"/>
        <v>0</v>
      </c>
      <c r="G84" s="168">
        <f t="shared" si="71"/>
        <v>0</v>
      </c>
      <c r="H84" s="168">
        <f t="shared" si="71"/>
        <v>0</v>
      </c>
      <c r="I84" s="168">
        <f t="shared" si="71"/>
        <v>0</v>
      </c>
      <c r="J84" s="168">
        <f t="shared" si="71"/>
        <v>0</v>
      </c>
      <c r="K84" s="168">
        <f t="shared" si="71"/>
        <v>0</v>
      </c>
      <c r="L84" s="168">
        <f t="shared" si="71"/>
        <v>0</v>
      </c>
      <c r="M84" s="168"/>
      <c r="N84" s="168">
        <f t="shared" si="71"/>
        <v>0</v>
      </c>
      <c r="O84" s="189"/>
      <c r="P84" s="202">
        <f t="shared" si="67"/>
        <v>0</v>
      </c>
      <c r="Q84" s="211">
        <f t="shared" si="68"/>
        <v>0</v>
      </c>
      <c r="R84" s="211">
        <f t="shared" si="69"/>
        <v>0</v>
      </c>
    </row>
    <row r="85" spans="1:19" s="75" customFormat="1" ht="15" customHeight="1">
      <c r="A85" s="1870"/>
      <c r="B85" s="165" t="s">
        <v>604</v>
      </c>
      <c r="C85" s="166">
        <f t="shared" si="70"/>
        <v>0</v>
      </c>
      <c r="D85" s="167">
        <f>(D80+D81)*20%</f>
        <v>0</v>
      </c>
      <c r="E85" s="168">
        <f t="shared" ref="E85:R85" si="72">(E80+E81)*20%</f>
        <v>0</v>
      </c>
      <c r="F85" s="168">
        <f t="shared" si="72"/>
        <v>0</v>
      </c>
      <c r="G85" s="168">
        <f t="shared" si="72"/>
        <v>0</v>
      </c>
      <c r="H85" s="168">
        <f t="shared" si="72"/>
        <v>0</v>
      </c>
      <c r="I85" s="168">
        <f t="shared" si="72"/>
        <v>0</v>
      </c>
      <c r="J85" s="168">
        <f t="shared" si="72"/>
        <v>0</v>
      </c>
      <c r="K85" s="168">
        <f t="shared" si="72"/>
        <v>0</v>
      </c>
      <c r="L85" s="168">
        <f t="shared" si="72"/>
        <v>0</v>
      </c>
      <c r="M85" s="168"/>
      <c r="N85" s="168">
        <f t="shared" si="72"/>
        <v>0</v>
      </c>
      <c r="O85" s="189">
        <f t="shared" si="72"/>
        <v>0</v>
      </c>
      <c r="P85" s="202">
        <f t="shared" si="72"/>
        <v>0</v>
      </c>
      <c r="Q85" s="211">
        <f t="shared" si="72"/>
        <v>0</v>
      </c>
      <c r="R85" s="211">
        <f t="shared" si="72"/>
        <v>0</v>
      </c>
    </row>
    <row r="86" spans="1:19" s="75" customFormat="1" ht="15" customHeight="1">
      <c r="A86" s="1870"/>
      <c r="B86" s="165" t="s">
        <v>605</v>
      </c>
      <c r="C86" s="166">
        <f t="shared" ca="1" si="70"/>
        <v>0</v>
      </c>
      <c r="D86" s="167">
        <f t="shared" ref="D86:R86" ca="1" si="73">SUM(D80:D85)</f>
        <v>0</v>
      </c>
      <c r="E86" s="168">
        <f t="shared" ca="1" si="73"/>
        <v>0</v>
      </c>
      <c r="F86" s="168">
        <f t="shared" ca="1" si="73"/>
        <v>0</v>
      </c>
      <c r="G86" s="168">
        <f t="shared" ca="1" si="73"/>
        <v>0</v>
      </c>
      <c r="H86" s="168">
        <f t="shared" ca="1" si="73"/>
        <v>0</v>
      </c>
      <c r="I86" s="168">
        <f t="shared" ca="1" si="73"/>
        <v>0</v>
      </c>
      <c r="J86" s="168">
        <f t="shared" ca="1" si="73"/>
        <v>0</v>
      </c>
      <c r="K86" s="168">
        <f t="shared" ca="1" si="73"/>
        <v>0</v>
      </c>
      <c r="L86" s="168">
        <f t="shared" ca="1" si="73"/>
        <v>0</v>
      </c>
      <c r="M86" s="168"/>
      <c r="N86" s="168">
        <f t="shared" ca="1" si="73"/>
        <v>0</v>
      </c>
      <c r="O86" s="189">
        <f t="shared" ca="1" si="73"/>
        <v>0</v>
      </c>
      <c r="P86" s="202">
        <f t="shared" ca="1" si="73"/>
        <v>0</v>
      </c>
      <c r="Q86" s="211">
        <f t="shared" ca="1" si="73"/>
        <v>0</v>
      </c>
      <c r="R86" s="211">
        <f t="shared" ca="1" si="73"/>
        <v>0</v>
      </c>
    </row>
    <row r="87" spans="1:19" s="75" customFormat="1" ht="15" customHeight="1">
      <c r="A87" s="1870"/>
      <c r="B87" s="165" t="s">
        <v>419</v>
      </c>
      <c r="C87" s="166">
        <f t="shared" ca="1" si="70"/>
        <v>0</v>
      </c>
      <c r="D87" s="167">
        <f ca="1">D79-D86</f>
        <v>0</v>
      </c>
      <c r="E87" s="168">
        <f t="shared" ref="E87:R87" ca="1" si="74">E79-E86</f>
        <v>0</v>
      </c>
      <c r="F87" s="168">
        <f t="shared" ca="1" si="74"/>
        <v>0</v>
      </c>
      <c r="G87" s="168">
        <f t="shared" ca="1" si="74"/>
        <v>0</v>
      </c>
      <c r="H87" s="168">
        <f t="shared" ca="1" si="74"/>
        <v>0</v>
      </c>
      <c r="I87" s="168">
        <f t="shared" ca="1" si="74"/>
        <v>0</v>
      </c>
      <c r="J87" s="168">
        <f t="shared" ca="1" si="74"/>
        <v>0</v>
      </c>
      <c r="K87" s="168">
        <f t="shared" ca="1" si="74"/>
        <v>0</v>
      </c>
      <c r="L87" s="168">
        <f t="shared" ca="1" si="74"/>
        <v>0</v>
      </c>
      <c r="M87" s="168"/>
      <c r="N87" s="168">
        <f t="shared" ca="1" si="74"/>
        <v>0</v>
      </c>
      <c r="O87" s="189">
        <f t="shared" ca="1" si="74"/>
        <v>0</v>
      </c>
      <c r="P87" s="202">
        <f t="shared" ca="1" si="74"/>
        <v>0</v>
      </c>
      <c r="Q87" s="211">
        <f t="shared" ca="1" si="74"/>
        <v>0</v>
      </c>
      <c r="R87" s="211">
        <f t="shared" ca="1" si="74"/>
        <v>0</v>
      </c>
    </row>
    <row r="88" spans="1:19" s="75" customFormat="1" ht="15" customHeight="1">
      <c r="A88" s="1870"/>
      <c r="B88" s="165" t="s">
        <v>420</v>
      </c>
      <c r="C88" s="173">
        <f ca="1">IF(C86&lt;&gt;0,C87/C86,0)</f>
        <v>0</v>
      </c>
      <c r="D88" s="174">
        <f ca="1">IF(D86&lt;&gt;0,D87/D86,0)</f>
        <v>0</v>
      </c>
      <c r="E88" s="175">
        <f t="shared" ref="E88:R88" ca="1" si="75">IF(E86&lt;&gt;0,E87/E86,0)</f>
        <v>0</v>
      </c>
      <c r="F88" s="175">
        <f t="shared" ca="1" si="75"/>
        <v>0</v>
      </c>
      <c r="G88" s="175">
        <f t="shared" ca="1" si="75"/>
        <v>0</v>
      </c>
      <c r="H88" s="175">
        <f t="shared" ca="1" si="75"/>
        <v>0</v>
      </c>
      <c r="I88" s="175">
        <f t="shared" ca="1" si="75"/>
        <v>0</v>
      </c>
      <c r="J88" s="175">
        <f t="shared" ca="1" si="75"/>
        <v>0</v>
      </c>
      <c r="K88" s="175">
        <f t="shared" ca="1" si="75"/>
        <v>0</v>
      </c>
      <c r="L88" s="175">
        <f t="shared" ca="1" si="75"/>
        <v>0</v>
      </c>
      <c r="M88" s="175">
        <f t="shared" si="75"/>
        <v>0</v>
      </c>
      <c r="N88" s="175">
        <f t="shared" ca="1" si="75"/>
        <v>0</v>
      </c>
      <c r="O88" s="192">
        <f t="shared" ca="1" si="75"/>
        <v>0</v>
      </c>
      <c r="P88" s="203">
        <f t="shared" ca="1" si="75"/>
        <v>0</v>
      </c>
      <c r="Q88" s="213">
        <f t="shared" ca="1" si="75"/>
        <v>0</v>
      </c>
      <c r="R88" s="213">
        <f t="shared" ca="1" si="75"/>
        <v>0</v>
      </c>
    </row>
    <row r="89" spans="1:19" s="75" customFormat="1" ht="15" customHeight="1">
      <c r="A89" s="1870"/>
      <c r="B89" s="165" t="s">
        <v>606</v>
      </c>
      <c r="C89" s="166" t="s">
        <v>607</v>
      </c>
      <c r="D89" s="176">
        <f>IF(D77="否",IF(D88&lt;=0,0,IF(D88&lt;=0.5,0.3,IF(D88&lt;=1,0.4,IF(D88&lt;=2,0.5,0.6)))),IF(D77="是",IF(D88&lt;=0.2,0,IF(D88&lt;=0.5,0.3,IF(D88&lt;=1,0.4,IF(D88&lt;=2,0.5,0.6)))),0))</f>
        <v>0</v>
      </c>
      <c r="E89" s="177">
        <f t="shared" ref="E89:J89" si="76">IF(E77="否",IF(E88&lt;=0,0,IF(E88&lt;=0.5,0.3,IF(E88&lt;=1,0.4,IF(E88&lt;=2,0.5,0.6)))),IF(E77="是",IF(E88&lt;=0.2,0,IF(E88&lt;=0.5,0.3,IF(E88&lt;=1,0.4,IF(E88&lt;=2,0.5,0.6)))),0))</f>
        <v>0</v>
      </c>
      <c r="F89" s="177">
        <f t="shared" si="76"/>
        <v>0</v>
      </c>
      <c r="G89" s="177">
        <f t="shared" si="76"/>
        <v>0</v>
      </c>
      <c r="H89" s="177">
        <f t="shared" si="76"/>
        <v>0</v>
      </c>
      <c r="I89" s="177">
        <f t="shared" si="76"/>
        <v>0</v>
      </c>
      <c r="J89" s="177">
        <f t="shared" si="76"/>
        <v>0</v>
      </c>
      <c r="K89" s="177">
        <f t="shared" ref="K89:O89" ca="1" si="77">IF(K88&lt;=0,0,IF(K88&lt;=0.5,0.3,IF(K88&lt;=1,0.4,IF(K88&lt;=2,0.5,0.6))))</f>
        <v>0</v>
      </c>
      <c r="L89" s="177">
        <f t="shared" ca="1" si="77"/>
        <v>0</v>
      </c>
      <c r="M89" s="177">
        <f t="shared" si="77"/>
        <v>0</v>
      </c>
      <c r="N89" s="177">
        <f t="shared" ca="1" si="77"/>
        <v>0</v>
      </c>
      <c r="O89" s="195">
        <f t="shared" ca="1" si="77"/>
        <v>0</v>
      </c>
      <c r="P89" s="204">
        <f ca="1">IF(P88&lt;=0.2,0,IF(P88&lt;=0.5,0.3,IF(P88&lt;=1,0.4,IF(P88&lt;=2,0.5,0.6))))</f>
        <v>0</v>
      </c>
      <c r="Q89" s="215">
        <f ca="1">IF(Q88&lt;=0,0,IF(Q88&lt;=0.5,0.3,IF(Q88&lt;=1,0.4,IF(Q88&lt;=2,0.5,0.6))))</f>
        <v>0</v>
      </c>
      <c r="R89" s="215">
        <f ca="1">IF(R88&lt;=0,0,IF(R88&lt;=0.5,0.3,IF(R88&lt;=1,0.4,IF(R88&lt;=2,0.5,0.6))))</f>
        <v>0</v>
      </c>
    </row>
    <row r="90" spans="1:19" s="75" customFormat="1" ht="15" customHeight="1">
      <c r="A90" s="1870"/>
      <c r="B90" s="165" t="s">
        <v>608</v>
      </c>
      <c r="C90" s="166" t="s">
        <v>607</v>
      </c>
      <c r="D90" s="176">
        <f>IF(D89=0.4,0.05,IF(D89=0.5,0.15,IF(D89=0.6,0.35,0)))</f>
        <v>0</v>
      </c>
      <c r="E90" s="177">
        <f t="shared" ref="E90:R90" si="78">IF(E89=0.4,0.05,IF(E89=0.5,0.15,IF(E89=0.6,0.35,0)))</f>
        <v>0</v>
      </c>
      <c r="F90" s="177">
        <f t="shared" si="78"/>
        <v>0</v>
      </c>
      <c r="G90" s="177">
        <f t="shared" si="78"/>
        <v>0</v>
      </c>
      <c r="H90" s="177">
        <f t="shared" si="78"/>
        <v>0</v>
      </c>
      <c r="I90" s="177">
        <f t="shared" si="78"/>
        <v>0</v>
      </c>
      <c r="J90" s="177">
        <f t="shared" si="78"/>
        <v>0</v>
      </c>
      <c r="K90" s="177">
        <f t="shared" ca="1" si="78"/>
        <v>0</v>
      </c>
      <c r="L90" s="177">
        <f t="shared" ca="1" si="78"/>
        <v>0</v>
      </c>
      <c r="M90" s="177">
        <f t="shared" si="78"/>
        <v>0</v>
      </c>
      <c r="N90" s="177">
        <f t="shared" ca="1" si="78"/>
        <v>0</v>
      </c>
      <c r="O90" s="195">
        <f t="shared" ca="1" si="78"/>
        <v>0</v>
      </c>
      <c r="P90" s="204">
        <f t="shared" ca="1" si="78"/>
        <v>0</v>
      </c>
      <c r="Q90" s="215">
        <f t="shared" ca="1" si="78"/>
        <v>0</v>
      </c>
      <c r="R90" s="215">
        <f t="shared" ca="1" si="78"/>
        <v>0</v>
      </c>
    </row>
    <row r="91" spans="1:19" s="75" customFormat="1" ht="15" customHeight="1">
      <c r="A91" s="1870"/>
      <c r="B91" s="165" t="s">
        <v>609</v>
      </c>
      <c r="C91" s="1112">
        <f ca="1">SUM(D91:O91)</f>
        <v>0</v>
      </c>
      <c r="D91" s="1113">
        <f t="shared" ref="D91:R91" ca="1" si="79">D87*D89-D86*D90</f>
        <v>0</v>
      </c>
      <c r="E91" s="1114">
        <f t="shared" ca="1" si="79"/>
        <v>0</v>
      </c>
      <c r="F91" s="1114">
        <f t="shared" ca="1" si="79"/>
        <v>0</v>
      </c>
      <c r="G91" s="1114">
        <f t="shared" ca="1" si="79"/>
        <v>0</v>
      </c>
      <c r="H91" s="1114">
        <f t="shared" ca="1" si="79"/>
        <v>0</v>
      </c>
      <c r="I91" s="1114">
        <f t="shared" ca="1" si="79"/>
        <v>0</v>
      </c>
      <c r="J91" s="1114">
        <f t="shared" ca="1" si="79"/>
        <v>0</v>
      </c>
      <c r="K91" s="1114">
        <f t="shared" ca="1" si="79"/>
        <v>0</v>
      </c>
      <c r="L91" s="1114">
        <f t="shared" ca="1" si="79"/>
        <v>0</v>
      </c>
      <c r="M91" s="1114">
        <f t="shared" si="79"/>
        <v>0</v>
      </c>
      <c r="N91" s="1114">
        <f t="shared" ca="1" si="79"/>
        <v>0</v>
      </c>
      <c r="O91" s="1119">
        <f t="shared" ca="1" si="79"/>
        <v>0</v>
      </c>
      <c r="P91" s="205">
        <f t="shared" ca="1" si="79"/>
        <v>0</v>
      </c>
      <c r="Q91" s="219">
        <f t="shared" ca="1" si="79"/>
        <v>0</v>
      </c>
      <c r="R91" s="219">
        <f t="shared" ca="1" si="79"/>
        <v>0</v>
      </c>
    </row>
    <row r="92" spans="1:19" s="75" customFormat="1" ht="15" customHeight="1">
      <c r="A92" s="1870"/>
      <c r="B92" s="165" t="s">
        <v>610</v>
      </c>
      <c r="C92" s="166">
        <f>SUM(D92:O92)</f>
        <v>0</v>
      </c>
      <c r="D92" s="167">
        <f>IF(D77="普",D79*'2.税率表'!$D$20,IF(D77="非普",D79*'2.税率表'!$D$21,IF(D77="其他",D79*'2.税率表'!$D$22,0)))</f>
        <v>0</v>
      </c>
      <c r="E92" s="168">
        <f>IF(E77="普",E79*'2.税率表'!$D$20,IF(E77="非普",E79*'2.税率表'!$D$21,IF(E77="其他",E79*'2.税率表'!$D$22,0)))</f>
        <v>0</v>
      </c>
      <c r="F92" s="168">
        <f>IF(F77="普",F79*'2.税率表'!$D$20,IF(F77="非普",F79*'2.税率表'!$D$21,IF(F77="其他",F79*'2.税率表'!$D$22,0)))</f>
        <v>0</v>
      </c>
      <c r="G92" s="168">
        <f>IF(G77="普",G79*'2.税率表'!$D$20,IF(G77="非普",G79*'2.税率表'!$D$21,IF(G77="其他",G79*'2.税率表'!$D$22,0)))</f>
        <v>0</v>
      </c>
      <c r="H92" s="168">
        <f>IF(H77="普",H79*'2.税率表'!$D$20,IF(H77="非普",H79*'2.税率表'!$D$21,IF(H77="其他",H79*'2.税率表'!$D$22,0)))</f>
        <v>0</v>
      </c>
      <c r="I92" s="168">
        <f>IF(I77="普",I79*'2.税率表'!$D$20,IF(I77="非普",I79*'2.税率表'!$D$21,IF(I77="其他",I79*'2.税率表'!$D$22,0)))</f>
        <v>0</v>
      </c>
      <c r="J92" s="168">
        <f>IF(J77="普",J79*'2.税率表'!$D$20,IF(J77="非普",J79*'2.税率表'!$D$21,IF(J77="其他",J79*'2.税率表'!$D$22,0)))</f>
        <v>0</v>
      </c>
      <c r="K92" s="168">
        <f>IF(K77="普",K79*'2.税率表'!$D$20,IF(K77="非普",K79*'2.税率表'!$D$21,IF(K77="其他",K79*'2.税率表'!$D$22,0)))</f>
        <v>0</v>
      </c>
      <c r="L92" s="168">
        <f>IF(L77="普",L79*'2.税率表'!$D$20,IF(L77="非普",L79*'2.税率表'!$D$21,IF(L77="其他",L79*'2.税率表'!$D$22,0)))</f>
        <v>0</v>
      </c>
      <c r="M92" s="168">
        <f>IF(M77="普",M79*'2.税率表'!$D$20,IF(M77="非普",M79*'2.税率表'!$D$21,IF(M77="其他",M79*'2.税率表'!$D$22,0)))</f>
        <v>0</v>
      </c>
      <c r="N92" s="168">
        <f>IF(N77="普",N79*'2.税率表'!$D$20,IF(N77="非普",N79*'2.税率表'!$D$21,IF(N77="其他",N79*'2.税率表'!$D$22,0)))</f>
        <v>0</v>
      </c>
      <c r="O92" s="189">
        <f>IF(O77="普",O79*'2.税率表'!$D$20,IF(O77="非普",O79*'2.税率表'!$D$21,IF(O77="其他",O79*'2.税率表'!$D$22,0)))</f>
        <v>0</v>
      </c>
      <c r="P92" s="202">
        <f>P79*'2.税率表'!$D$20</f>
        <v>0</v>
      </c>
      <c r="Q92" s="211">
        <f>Q79*'2.税率表'!$D$21</f>
        <v>0</v>
      </c>
      <c r="R92" s="211">
        <f>R79*'2.税率表'!$D$22</f>
        <v>0</v>
      </c>
    </row>
    <row r="93" spans="1:19" s="75" customFormat="1" ht="15" customHeight="1">
      <c r="A93" s="1870"/>
      <c r="B93" s="165" t="s">
        <v>611</v>
      </c>
      <c r="C93" s="1115">
        <f ca="1">IFERROR(SUM(D93:O93),0)</f>
        <v>0</v>
      </c>
      <c r="D93" s="1116">
        <f t="shared" ref="D93:O93" ca="1" si="80">IFERROR(IF($R$5="合并清算",$Q93/$Q79*D79,IF(($R$5="两分法")*(D77="普"),$P93/$P79*D79,IF(($R$5="两分法")*(D77="非普"),$Q93/$Q79*D79,IF(($R$5="两分法")*(D77="其他"),$Q93/$Q79*D79,IF(D77="普",$P93/$P79*D79,IF(D77="非普",$Q93/$Q79*D79,$R$93/$R$79*D79)))))),0)</f>
        <v>0</v>
      </c>
      <c r="E93" s="1117">
        <f t="shared" ca="1" si="80"/>
        <v>0</v>
      </c>
      <c r="F93" s="1117">
        <f t="shared" ca="1" si="80"/>
        <v>0</v>
      </c>
      <c r="G93" s="1117">
        <f t="shared" ca="1" si="80"/>
        <v>0</v>
      </c>
      <c r="H93" s="1117">
        <f t="shared" ca="1" si="80"/>
        <v>0</v>
      </c>
      <c r="I93" s="1117">
        <f t="shared" ca="1" si="80"/>
        <v>0</v>
      </c>
      <c r="J93" s="1117">
        <f t="shared" ca="1" si="80"/>
        <v>0</v>
      </c>
      <c r="K93" s="1117">
        <f t="shared" ca="1" si="80"/>
        <v>0</v>
      </c>
      <c r="L93" s="1117">
        <f t="shared" ca="1" si="80"/>
        <v>0</v>
      </c>
      <c r="M93" s="1117">
        <f t="shared" ca="1" si="80"/>
        <v>0</v>
      </c>
      <c r="N93" s="1117">
        <f t="shared" ca="1" si="80"/>
        <v>0</v>
      </c>
      <c r="O93" s="1120">
        <f t="shared" ca="1" si="80"/>
        <v>0</v>
      </c>
      <c r="P93" s="202">
        <f t="shared" ref="P93:R93" ca="1" si="81">IF(P92&lt;=P91,P91,P92)</f>
        <v>0</v>
      </c>
      <c r="Q93" s="211">
        <f t="shared" ca="1" si="81"/>
        <v>0</v>
      </c>
      <c r="R93" s="211">
        <f t="shared" ca="1" si="81"/>
        <v>0</v>
      </c>
      <c r="S93" s="154">
        <f ca="1">SUM(P93:R93)-C93</f>
        <v>0</v>
      </c>
    </row>
    <row r="94" spans="1:19" ht="15" customHeight="1">
      <c r="R94" s="690"/>
    </row>
    <row r="95" spans="1:19" ht="15" customHeight="1">
      <c r="A95" s="1109"/>
      <c r="B95" s="1109"/>
      <c r="C95" s="157" t="s">
        <v>596</v>
      </c>
      <c r="D95" s="1110">
        <f>'15.土地增值税'!D95</f>
        <v>0</v>
      </c>
      <c r="E95" s="1111">
        <f>'15.土地增值税'!E95</f>
        <v>0</v>
      </c>
      <c r="F95" s="1111">
        <f>'15.土地增值税'!F95</f>
        <v>0</v>
      </c>
      <c r="G95" s="1111">
        <f>'15.土地增值税'!G95</f>
        <v>0</v>
      </c>
      <c r="H95" s="1111">
        <f>'15.土地增值税'!H95</f>
        <v>0</v>
      </c>
      <c r="I95" s="1111">
        <f>'15.土地增值税'!I95</f>
        <v>0</v>
      </c>
      <c r="J95" s="1111">
        <f>'15.土地增值税'!J95</f>
        <v>0</v>
      </c>
      <c r="K95" s="1111">
        <f>'15.土地增值税'!K95</f>
        <v>0</v>
      </c>
      <c r="L95" s="1111">
        <f>'15.土地增值税'!L95</f>
        <v>0</v>
      </c>
      <c r="M95" s="1111"/>
      <c r="N95" s="1111">
        <f>'15.土地增值税'!N95</f>
        <v>0</v>
      </c>
      <c r="O95" s="1118">
        <f>'15.土地增值税'!O95</f>
        <v>0</v>
      </c>
      <c r="P95" s="1868" t="s">
        <v>597</v>
      </c>
      <c r="Q95" s="1867"/>
      <c r="R95" s="1124" t="str">
        <f>'15.土地增值税'!R95</f>
        <v>三分法</v>
      </c>
    </row>
    <row r="96" spans="1:19" s="75" customFormat="1" ht="15" customHeight="1">
      <c r="A96" s="161" t="s">
        <v>598</v>
      </c>
      <c r="B96" s="161" t="s">
        <v>183</v>
      </c>
      <c r="C96" s="162" t="s">
        <v>599</v>
      </c>
      <c r="D96" s="163" t="str">
        <f>D78</f>
        <v>高层</v>
      </c>
      <c r="E96" s="164" t="str">
        <f t="shared" ref="E96:O96" si="82">E78</f>
        <v>商铺</v>
      </c>
      <c r="F96" s="164" t="str">
        <f t="shared" si="82"/>
        <v>回迁商业</v>
      </c>
      <c r="G96" s="164">
        <f t="shared" si="82"/>
        <v>0</v>
      </c>
      <c r="H96" s="164">
        <f t="shared" si="82"/>
        <v>0</v>
      </c>
      <c r="I96" s="164">
        <f t="shared" si="82"/>
        <v>0</v>
      </c>
      <c r="J96" s="164">
        <f t="shared" si="82"/>
        <v>0</v>
      </c>
      <c r="K96" s="164">
        <f t="shared" si="82"/>
        <v>0</v>
      </c>
      <c r="L96" s="164">
        <f t="shared" si="82"/>
        <v>0</v>
      </c>
      <c r="M96" s="164" t="str">
        <f t="shared" si="82"/>
        <v>自持物业</v>
      </c>
      <c r="N96" s="164" t="str">
        <f t="shared" si="82"/>
        <v>有产权车库(个)</v>
      </c>
      <c r="O96" s="187" t="str">
        <f t="shared" si="82"/>
        <v>无产权车库(个)</v>
      </c>
      <c r="P96" s="201" t="s">
        <v>600</v>
      </c>
      <c r="Q96" s="161" t="s">
        <v>601</v>
      </c>
      <c r="R96" s="161" t="s">
        <v>164</v>
      </c>
    </row>
    <row r="97" spans="1:19" s="75" customFormat="1" ht="15" customHeight="1">
      <c r="A97" s="1870" t="s">
        <v>24</v>
      </c>
      <c r="B97" s="165" t="s">
        <v>454</v>
      </c>
      <c r="C97" s="166">
        <f>SUM(D97:O97)</f>
        <v>0</v>
      </c>
      <c r="D97" s="167">
        <f>'3.保本售价试算'!CC6/1.11</f>
        <v>0</v>
      </c>
      <c r="E97" s="168">
        <f>'3.保本售价试算'!CD6/1.11</f>
        <v>0</v>
      </c>
      <c r="F97" s="168">
        <f>'3.保本售价试算'!CE6/1.11</f>
        <v>0</v>
      </c>
      <c r="G97" s="168">
        <f>'3.保本售价试算'!CF6/1.11</f>
        <v>0</v>
      </c>
      <c r="H97" s="168">
        <f>'3.保本售价试算'!CG6/1.11</f>
        <v>0</v>
      </c>
      <c r="I97" s="168">
        <f>'3.保本售价试算'!CH6/1.11</f>
        <v>0</v>
      </c>
      <c r="J97" s="168">
        <f>'3.保本售价试算'!CI6/1.11</f>
        <v>0</v>
      </c>
      <c r="K97" s="168">
        <f>'3.保本售价试算'!CJ6/1.11</f>
        <v>0</v>
      </c>
      <c r="L97" s="168">
        <f>'3.保本售价试算'!CK6/1.11</f>
        <v>0</v>
      </c>
      <c r="M97" s="168"/>
      <c r="N97" s="168">
        <f>'3.保本售价试算'!CM6/1.11</f>
        <v>0</v>
      </c>
      <c r="O97" s="189">
        <f>'3.保本售价试算'!CN6/1.11</f>
        <v>0</v>
      </c>
      <c r="P97" s="202">
        <f t="shared" ref="P97:P102" si="83">IF($R$95="合并清算",0,SUMIF(D$5:O$5,"普",D97:O97))</f>
        <v>0</v>
      </c>
      <c r="Q97" s="211">
        <f t="shared" ref="Q97:Q102" si="84">IF($R$95="合并清算",C97,IF($R$95="两分法",C97-P97,SUMIF(D$5:O$5,"非普",D97:O97)))</f>
        <v>0</v>
      </c>
      <c r="R97" s="211">
        <f t="shared" ref="R97:R102" si="85">IF($R$95="三分法",C97-P97-Q97,0)</f>
        <v>0</v>
      </c>
    </row>
    <row r="98" spans="1:19" s="75" customFormat="1" ht="15" customHeight="1">
      <c r="A98" s="1870"/>
      <c r="B98" s="165" t="s">
        <v>368</v>
      </c>
      <c r="C98" s="166">
        <f>SUM(D98:O98)</f>
        <v>0</v>
      </c>
      <c r="D98" s="185">
        <f>'15.土地增值税'!D98</f>
        <v>0</v>
      </c>
      <c r="E98" s="171">
        <f>'15.土地增值税'!E98</f>
        <v>0</v>
      </c>
      <c r="F98" s="171">
        <f>'15.土地增值税'!F98</f>
        <v>0</v>
      </c>
      <c r="G98" s="171">
        <f>'15.土地增值税'!G98</f>
        <v>0</v>
      </c>
      <c r="H98" s="171">
        <f>'15.土地增值税'!H98</f>
        <v>0</v>
      </c>
      <c r="I98" s="171">
        <f>'15.土地增值税'!I98</f>
        <v>0</v>
      </c>
      <c r="J98" s="171">
        <f>'15.土地增值税'!J98</f>
        <v>0</v>
      </c>
      <c r="K98" s="171">
        <f>'15.土地增值税'!K98</f>
        <v>0</v>
      </c>
      <c r="L98" s="171">
        <f>'15.土地增值税'!L98</f>
        <v>0</v>
      </c>
      <c r="M98" s="171"/>
      <c r="N98" s="171">
        <f>'15.土地增值税'!N98</f>
        <v>0</v>
      </c>
      <c r="O98" s="234">
        <f>'15.土地增值税'!O98</f>
        <v>0</v>
      </c>
      <c r="P98" s="202">
        <f t="shared" si="83"/>
        <v>0</v>
      </c>
      <c r="Q98" s="211">
        <f t="shared" si="84"/>
        <v>0</v>
      </c>
      <c r="R98" s="211">
        <f t="shared" si="85"/>
        <v>0</v>
      </c>
    </row>
    <row r="99" spans="1:19" s="75" customFormat="1" ht="15" customHeight="1">
      <c r="A99" s="1870"/>
      <c r="B99" s="165" t="s">
        <v>578</v>
      </c>
      <c r="C99" s="166">
        <f t="shared" ref="C99:C105" si="86">SUM(D99:O99)</f>
        <v>0</v>
      </c>
      <c r="D99" s="167">
        <f>'13.建安成本表'!T$214</f>
        <v>0</v>
      </c>
      <c r="E99" s="168">
        <f>'13.建安成本表'!T$215</f>
        <v>0</v>
      </c>
      <c r="F99" s="168">
        <f>'13.建安成本表'!T$216</f>
        <v>0</v>
      </c>
      <c r="G99" s="168">
        <f>'13.建安成本表'!T$217</f>
        <v>0</v>
      </c>
      <c r="H99" s="168">
        <f>'13.建安成本表'!T$218</f>
        <v>0</v>
      </c>
      <c r="I99" s="168">
        <f>'13.建安成本表'!T$219</f>
        <v>0</v>
      </c>
      <c r="J99" s="168">
        <f>'13.建安成本表'!T$220</f>
        <v>0</v>
      </c>
      <c r="K99" s="168">
        <f>'13.建安成本表'!T$221</f>
        <v>0</v>
      </c>
      <c r="L99" s="168">
        <f>'13.建安成本表'!T$222</f>
        <v>0</v>
      </c>
      <c r="M99" s="168"/>
      <c r="N99" s="171">
        <f>'13.建安成本表'!T$224</f>
        <v>0</v>
      </c>
      <c r="O99" s="232">
        <f>'13.建安成本表'!T$225</f>
        <v>0</v>
      </c>
      <c r="P99" s="202">
        <f t="shared" si="83"/>
        <v>0</v>
      </c>
      <c r="Q99" s="211">
        <f t="shared" si="84"/>
        <v>0</v>
      </c>
      <c r="R99" s="211">
        <f t="shared" si="85"/>
        <v>0</v>
      </c>
    </row>
    <row r="100" spans="1:19" s="75" customFormat="1" ht="15" customHeight="1">
      <c r="A100" s="1870"/>
      <c r="B100" s="165" t="s">
        <v>602</v>
      </c>
      <c r="C100" s="166">
        <f t="shared" si="86"/>
        <v>0</v>
      </c>
      <c r="D100" s="167">
        <f>D97*1.11*('2.税率表'!D12*(1+'2.税率表'!$D$13+'2.税率表'!$D$14+'2.税率表'!$D$17)+'2.税率表'!$D$15+'2.税率表'!$D$16+'2.税率表'!$D$18)+'14.增值税计算表'!E423</f>
        <v>0</v>
      </c>
      <c r="E100" s="168">
        <f>E97*1.11*('2.税率表'!D12*(1+'2.税率表'!$D$13+'2.税率表'!$D$14+'2.税率表'!$D$17)+'2.税率表'!$D$15+'2.税率表'!$D$16+'2.税率表'!$D$18)+'14.增值税计算表'!F423</f>
        <v>0</v>
      </c>
      <c r="F100" s="168">
        <f>F97*1.11*('2.税率表'!D12*(1+'2.税率表'!$D$13+'2.税率表'!$D$14+'2.税率表'!$D$17)+'2.税率表'!$D$15+'2.税率表'!$D$16+'2.税率表'!$D$18)+'14.增值税计算表'!G423</f>
        <v>0</v>
      </c>
      <c r="G100" s="168">
        <f>G97*1.11*('2.税率表'!D12*(1+'2.税率表'!$D$13+'2.税率表'!$D$14+'2.税率表'!$D$17)+'2.税率表'!$D$15+'2.税率表'!$D$16+'2.税率表'!$D$18)+'14.增值税计算表'!H423</f>
        <v>0</v>
      </c>
      <c r="H100" s="168">
        <f>H97*1.11*('2.税率表'!D12*(1+'2.税率表'!$D$13+'2.税率表'!$D$14+'2.税率表'!$D$17)+'2.税率表'!$D$15+'2.税率表'!$D$16+'2.税率表'!$D$18)+'14.增值税计算表'!I423</f>
        <v>0</v>
      </c>
      <c r="I100" s="168">
        <f>I97*1.11*('2.税率表'!D12*(1+'2.税率表'!$D$13+'2.税率表'!$D$14+'2.税率表'!$D$17)+'2.税率表'!$D$15+'2.税率表'!$D$16+'2.税率表'!$D$18)+'14.增值税计算表'!J423</f>
        <v>0</v>
      </c>
      <c r="J100" s="168">
        <f>J97*1.11*('2.税率表'!D12*(1+'2.税率表'!$D$13+'2.税率表'!$D$14+'2.税率表'!$D$17)+'2.税率表'!$D$15+'2.税率表'!$D$16+'2.税率表'!$D$18)+'14.增值税计算表'!K423</f>
        <v>0</v>
      </c>
      <c r="K100" s="168">
        <f>K97*1.11*('2.税率表'!D12*(1+'2.税率表'!$D$13+'2.税率表'!$D$14+'2.税率表'!$D$17)+'2.税率表'!$D$15+'2.税率表'!$D$16+'2.税率表'!$D$18)+'14.增值税计算表'!L423</f>
        <v>0</v>
      </c>
      <c r="L100" s="168">
        <f>L97*1.11*('2.税率表'!D12*(1+'2.税率表'!$D$13+'2.税率表'!$D$14+'2.税率表'!$D$17)+'2.税率表'!$D$15+'2.税率表'!$D$16+'2.税率表'!$D$18)+'14.增值税计算表'!M423</f>
        <v>0</v>
      </c>
      <c r="M100" s="168"/>
      <c r="N100" s="168">
        <f>N97*1.11*('2.税率表'!D12*(1+'2.税率表'!$D$13+'2.税率表'!$D$14+'2.税率表'!$D$17)+'2.税率表'!$D$15+'2.税率表'!$D$16+'2.税率表'!$D$18)</f>
        <v>0</v>
      </c>
      <c r="O100" s="189">
        <f>O97*1.11*('2.税率表'!D12*(1+'2.税率表'!$D$13+'2.税率表'!$D$14+'2.税率表'!$D$17)+'2.税率表'!$D$15+'2.税率表'!$D$16+'2.税率表'!$D$18)</f>
        <v>0</v>
      </c>
      <c r="P100" s="202">
        <f t="shared" si="83"/>
        <v>0</v>
      </c>
      <c r="Q100" s="211">
        <f t="shared" si="84"/>
        <v>0</v>
      </c>
      <c r="R100" s="211">
        <f t="shared" si="85"/>
        <v>0</v>
      </c>
    </row>
    <row r="101" spans="1:19" s="75" customFormat="1" ht="15" customHeight="1">
      <c r="A101" s="1870"/>
      <c r="B101" s="165" t="s">
        <v>373</v>
      </c>
      <c r="C101" s="166">
        <f t="shared" ca="1" si="86"/>
        <v>0</v>
      </c>
      <c r="D101" s="167">
        <f ca="1">MAX('17.财务费用测算表'!D56,(D98+D99)*5%)</f>
        <v>0</v>
      </c>
      <c r="E101" s="168">
        <f ca="1">MAX('17.财务费用测算表'!E56,(E98+E99)*5%)</f>
        <v>0</v>
      </c>
      <c r="F101" s="168">
        <f ca="1">MAX('17.财务费用测算表'!F56,(F98+F99)*5%)</f>
        <v>0</v>
      </c>
      <c r="G101" s="168">
        <f ca="1">MAX('17.财务费用测算表'!G56,(G98+G99)*5%)</f>
        <v>0</v>
      </c>
      <c r="H101" s="168">
        <f ca="1">MAX('17.财务费用测算表'!H56,(H98+H99)*5%)</f>
        <v>0</v>
      </c>
      <c r="I101" s="168">
        <f ca="1">MAX('17.财务费用测算表'!I56,(I98+I99)*5%)</f>
        <v>0</v>
      </c>
      <c r="J101" s="168">
        <f ca="1">MAX('17.财务费用测算表'!J56,(J98+J99)*5%)</f>
        <v>0</v>
      </c>
      <c r="K101" s="168">
        <f ca="1">MAX('17.财务费用测算表'!K56,(K98+K99)*5%)</f>
        <v>0</v>
      </c>
      <c r="L101" s="168">
        <f ca="1">MAX('17.财务费用测算表'!L56,(L98+L99)*5%)</f>
        <v>0</v>
      </c>
      <c r="M101" s="168"/>
      <c r="N101" s="171">
        <f ca="1">MAX('17.财务费用测算表'!N56,(N98+N99)*5%)</f>
        <v>0</v>
      </c>
      <c r="O101" s="234">
        <f ca="1">MAX('17.财务费用测算表'!O56,(O98+O99)*5%)</f>
        <v>0</v>
      </c>
      <c r="P101" s="202">
        <f t="shared" ca="1" si="83"/>
        <v>0</v>
      </c>
      <c r="Q101" s="211">
        <f t="shared" ca="1" si="84"/>
        <v>0</v>
      </c>
      <c r="R101" s="211">
        <f t="shared" ca="1" si="85"/>
        <v>0</v>
      </c>
    </row>
    <row r="102" spans="1:19" s="75" customFormat="1" ht="15" customHeight="1">
      <c r="A102" s="1870"/>
      <c r="B102" s="165" t="s">
        <v>603</v>
      </c>
      <c r="C102" s="166">
        <f t="shared" si="86"/>
        <v>0</v>
      </c>
      <c r="D102" s="167">
        <f>(D98+D99)*5%</f>
        <v>0</v>
      </c>
      <c r="E102" s="168">
        <f t="shared" ref="E102:N102" si="87">(E98+E99)*5%</f>
        <v>0</v>
      </c>
      <c r="F102" s="168">
        <f t="shared" si="87"/>
        <v>0</v>
      </c>
      <c r="G102" s="168">
        <f t="shared" si="87"/>
        <v>0</v>
      </c>
      <c r="H102" s="168">
        <f t="shared" si="87"/>
        <v>0</v>
      </c>
      <c r="I102" s="168">
        <f t="shared" si="87"/>
        <v>0</v>
      </c>
      <c r="J102" s="168">
        <f t="shared" si="87"/>
        <v>0</v>
      </c>
      <c r="K102" s="168">
        <f t="shared" si="87"/>
        <v>0</v>
      </c>
      <c r="L102" s="168">
        <f t="shared" si="87"/>
        <v>0</v>
      </c>
      <c r="M102" s="168"/>
      <c r="N102" s="168">
        <f t="shared" si="87"/>
        <v>0</v>
      </c>
      <c r="O102" s="189"/>
      <c r="P102" s="202">
        <f t="shared" si="83"/>
        <v>0</v>
      </c>
      <c r="Q102" s="211">
        <f t="shared" si="84"/>
        <v>0</v>
      </c>
      <c r="R102" s="211">
        <f t="shared" si="85"/>
        <v>0</v>
      </c>
    </row>
    <row r="103" spans="1:19" s="75" customFormat="1" ht="15" customHeight="1">
      <c r="A103" s="1870"/>
      <c r="B103" s="165" t="s">
        <v>604</v>
      </c>
      <c r="C103" s="166">
        <f t="shared" si="86"/>
        <v>0</v>
      </c>
      <c r="D103" s="167">
        <f>(D98+D99)*20%</f>
        <v>0</v>
      </c>
      <c r="E103" s="168">
        <f t="shared" ref="E103:R103" si="88">(E98+E99)*20%</f>
        <v>0</v>
      </c>
      <c r="F103" s="168">
        <f t="shared" si="88"/>
        <v>0</v>
      </c>
      <c r="G103" s="168">
        <f t="shared" si="88"/>
        <v>0</v>
      </c>
      <c r="H103" s="168">
        <f t="shared" si="88"/>
        <v>0</v>
      </c>
      <c r="I103" s="168">
        <f t="shared" si="88"/>
        <v>0</v>
      </c>
      <c r="J103" s="168">
        <f t="shared" si="88"/>
        <v>0</v>
      </c>
      <c r="K103" s="168">
        <f t="shared" si="88"/>
        <v>0</v>
      </c>
      <c r="L103" s="168">
        <f t="shared" si="88"/>
        <v>0</v>
      </c>
      <c r="M103" s="168"/>
      <c r="N103" s="168">
        <f t="shared" si="88"/>
        <v>0</v>
      </c>
      <c r="O103" s="189">
        <f t="shared" si="88"/>
        <v>0</v>
      </c>
      <c r="P103" s="202">
        <f t="shared" si="88"/>
        <v>0</v>
      </c>
      <c r="Q103" s="211">
        <f t="shared" si="88"/>
        <v>0</v>
      </c>
      <c r="R103" s="211">
        <f t="shared" si="88"/>
        <v>0</v>
      </c>
    </row>
    <row r="104" spans="1:19" s="75" customFormat="1" ht="15" customHeight="1">
      <c r="A104" s="1870"/>
      <c r="B104" s="165" t="s">
        <v>605</v>
      </c>
      <c r="C104" s="166">
        <f t="shared" ca="1" si="86"/>
        <v>0</v>
      </c>
      <c r="D104" s="167">
        <f t="shared" ref="D104:R104" ca="1" si="89">SUM(D98:D103)</f>
        <v>0</v>
      </c>
      <c r="E104" s="168">
        <f t="shared" ca="1" si="89"/>
        <v>0</v>
      </c>
      <c r="F104" s="168">
        <f t="shared" ca="1" si="89"/>
        <v>0</v>
      </c>
      <c r="G104" s="168">
        <f t="shared" ca="1" si="89"/>
        <v>0</v>
      </c>
      <c r="H104" s="168">
        <f t="shared" ca="1" si="89"/>
        <v>0</v>
      </c>
      <c r="I104" s="168">
        <f t="shared" ca="1" si="89"/>
        <v>0</v>
      </c>
      <c r="J104" s="168">
        <f t="shared" ca="1" si="89"/>
        <v>0</v>
      </c>
      <c r="K104" s="168">
        <f t="shared" ca="1" si="89"/>
        <v>0</v>
      </c>
      <c r="L104" s="168">
        <f t="shared" ca="1" si="89"/>
        <v>0</v>
      </c>
      <c r="M104" s="168"/>
      <c r="N104" s="168">
        <f t="shared" ca="1" si="89"/>
        <v>0</v>
      </c>
      <c r="O104" s="189">
        <f t="shared" ca="1" si="89"/>
        <v>0</v>
      </c>
      <c r="P104" s="202">
        <f t="shared" ca="1" si="89"/>
        <v>0</v>
      </c>
      <c r="Q104" s="211">
        <f t="shared" ca="1" si="89"/>
        <v>0</v>
      </c>
      <c r="R104" s="211">
        <f t="shared" ca="1" si="89"/>
        <v>0</v>
      </c>
    </row>
    <row r="105" spans="1:19" s="75" customFormat="1" ht="15" customHeight="1">
      <c r="A105" s="1870"/>
      <c r="B105" s="165" t="s">
        <v>419</v>
      </c>
      <c r="C105" s="166">
        <f t="shared" ca="1" si="86"/>
        <v>0</v>
      </c>
      <c r="D105" s="167">
        <f ca="1">D97-D104</f>
        <v>0</v>
      </c>
      <c r="E105" s="168">
        <f t="shared" ref="E105:R105" ca="1" si="90">E97-E104</f>
        <v>0</v>
      </c>
      <c r="F105" s="168">
        <f t="shared" ca="1" si="90"/>
        <v>0</v>
      </c>
      <c r="G105" s="168">
        <f t="shared" ca="1" si="90"/>
        <v>0</v>
      </c>
      <c r="H105" s="168">
        <f t="shared" ca="1" si="90"/>
        <v>0</v>
      </c>
      <c r="I105" s="168">
        <f t="shared" ca="1" si="90"/>
        <v>0</v>
      </c>
      <c r="J105" s="168">
        <f t="shared" ca="1" si="90"/>
        <v>0</v>
      </c>
      <c r="K105" s="168">
        <f t="shared" ca="1" si="90"/>
        <v>0</v>
      </c>
      <c r="L105" s="168">
        <f t="shared" ca="1" si="90"/>
        <v>0</v>
      </c>
      <c r="M105" s="168"/>
      <c r="N105" s="168">
        <f t="shared" ca="1" si="90"/>
        <v>0</v>
      </c>
      <c r="O105" s="189">
        <f t="shared" ca="1" si="90"/>
        <v>0</v>
      </c>
      <c r="P105" s="202">
        <f t="shared" ca="1" si="90"/>
        <v>0</v>
      </c>
      <c r="Q105" s="211">
        <f t="shared" ca="1" si="90"/>
        <v>0</v>
      </c>
      <c r="R105" s="211">
        <f t="shared" ca="1" si="90"/>
        <v>0</v>
      </c>
    </row>
    <row r="106" spans="1:19" s="75" customFormat="1" ht="15" customHeight="1">
      <c r="A106" s="1870"/>
      <c r="B106" s="165" t="s">
        <v>420</v>
      </c>
      <c r="C106" s="173">
        <f ca="1">IF(C104&lt;&gt;0,C105/C104,0)</f>
        <v>0</v>
      </c>
      <c r="D106" s="174">
        <f ca="1">IF(D104&lt;&gt;0,D105/D104,0)</f>
        <v>0</v>
      </c>
      <c r="E106" s="175">
        <f t="shared" ref="E106:R106" ca="1" si="91">IF(E104&lt;&gt;0,E105/E104,0)</f>
        <v>0</v>
      </c>
      <c r="F106" s="175">
        <f t="shared" ca="1" si="91"/>
        <v>0</v>
      </c>
      <c r="G106" s="175">
        <f t="shared" ca="1" si="91"/>
        <v>0</v>
      </c>
      <c r="H106" s="175">
        <f t="shared" ca="1" si="91"/>
        <v>0</v>
      </c>
      <c r="I106" s="175">
        <f t="shared" ca="1" si="91"/>
        <v>0</v>
      </c>
      <c r="J106" s="175">
        <f t="shared" ca="1" si="91"/>
        <v>0</v>
      </c>
      <c r="K106" s="175">
        <f t="shared" ca="1" si="91"/>
        <v>0</v>
      </c>
      <c r="L106" s="175">
        <f t="shared" ca="1" si="91"/>
        <v>0</v>
      </c>
      <c r="M106" s="175">
        <f t="shared" si="91"/>
        <v>0</v>
      </c>
      <c r="N106" s="175">
        <f t="shared" ca="1" si="91"/>
        <v>0</v>
      </c>
      <c r="O106" s="192">
        <f t="shared" ca="1" si="91"/>
        <v>0</v>
      </c>
      <c r="P106" s="203">
        <f t="shared" ca="1" si="91"/>
        <v>0</v>
      </c>
      <c r="Q106" s="213">
        <f t="shared" ca="1" si="91"/>
        <v>0</v>
      </c>
      <c r="R106" s="213">
        <f t="shared" ca="1" si="91"/>
        <v>0</v>
      </c>
    </row>
    <row r="107" spans="1:19" s="75" customFormat="1" ht="15" customHeight="1">
      <c r="A107" s="1870"/>
      <c r="B107" s="165" t="s">
        <v>606</v>
      </c>
      <c r="C107" s="166" t="s">
        <v>607</v>
      </c>
      <c r="D107" s="176">
        <f>IF(D95="否",IF(D106&lt;=0,0,IF(D106&lt;=0.5,0.3,IF(D106&lt;=1,0.4,IF(D106&lt;=2,0.5,0.6)))),IF(D95="是",IF(D106&lt;=0.2,0,IF(D106&lt;=0.5,0.3,IF(D106&lt;=1,0.4,IF(D106&lt;=2,0.5,0.6)))),0))</f>
        <v>0</v>
      </c>
      <c r="E107" s="177">
        <f t="shared" ref="E107:J107" si="92">IF(E95="否",IF(E106&lt;=0,0,IF(E106&lt;=0.5,0.3,IF(E106&lt;=1,0.4,IF(E106&lt;=2,0.5,0.6)))),IF(E95="是",IF(E106&lt;=0.2,0,IF(E106&lt;=0.5,0.3,IF(E106&lt;=1,0.4,IF(E106&lt;=2,0.5,0.6)))),0))</f>
        <v>0</v>
      </c>
      <c r="F107" s="177">
        <f t="shared" si="92"/>
        <v>0</v>
      </c>
      <c r="G107" s="177">
        <f t="shared" si="92"/>
        <v>0</v>
      </c>
      <c r="H107" s="177">
        <f t="shared" si="92"/>
        <v>0</v>
      </c>
      <c r="I107" s="177">
        <f t="shared" si="92"/>
        <v>0</v>
      </c>
      <c r="J107" s="177">
        <f t="shared" si="92"/>
        <v>0</v>
      </c>
      <c r="K107" s="177">
        <f t="shared" ref="K107:O107" ca="1" si="93">IF(K106&lt;=0,0,IF(K106&lt;=0.5,0.3,IF(K106&lt;=1,0.4,IF(K106&lt;=2,0.5,0.6))))</f>
        <v>0</v>
      </c>
      <c r="L107" s="177">
        <f t="shared" ca="1" si="93"/>
        <v>0</v>
      </c>
      <c r="M107" s="177">
        <f t="shared" si="93"/>
        <v>0</v>
      </c>
      <c r="N107" s="177">
        <f t="shared" ca="1" si="93"/>
        <v>0</v>
      </c>
      <c r="O107" s="195">
        <f t="shared" ca="1" si="93"/>
        <v>0</v>
      </c>
      <c r="P107" s="204">
        <f ca="1">IF(P106&lt;=0.2,0,IF(P106&lt;=0.5,0.3,IF(P106&lt;=1,0.4,IF(P106&lt;=2,0.5,0.6))))</f>
        <v>0</v>
      </c>
      <c r="Q107" s="215">
        <f ca="1">IF(Q106&lt;=0,0,IF(Q106&lt;=0.5,0.3,IF(Q106&lt;=1,0.4,IF(Q106&lt;=2,0.5,0.6))))</f>
        <v>0</v>
      </c>
      <c r="R107" s="215">
        <f ca="1">IF(R106&lt;=0,0,IF(R106&lt;=0.5,0.3,IF(R106&lt;=1,0.4,IF(R106&lt;=2,0.5,0.6))))</f>
        <v>0</v>
      </c>
    </row>
    <row r="108" spans="1:19" s="75" customFormat="1" ht="15" customHeight="1">
      <c r="A108" s="1870"/>
      <c r="B108" s="165" t="s">
        <v>608</v>
      </c>
      <c r="C108" s="166" t="s">
        <v>607</v>
      </c>
      <c r="D108" s="176">
        <f>IF(D107=0.4,0.05,IF(D107=0.5,0.15,IF(D107=0.6,0.35,0)))</f>
        <v>0</v>
      </c>
      <c r="E108" s="177">
        <f t="shared" ref="E108:R108" si="94">IF(E107=0.4,0.05,IF(E107=0.5,0.15,IF(E107=0.6,0.35,0)))</f>
        <v>0</v>
      </c>
      <c r="F108" s="177">
        <f t="shared" si="94"/>
        <v>0</v>
      </c>
      <c r="G108" s="177">
        <f t="shared" si="94"/>
        <v>0</v>
      </c>
      <c r="H108" s="177">
        <f t="shared" si="94"/>
        <v>0</v>
      </c>
      <c r="I108" s="177">
        <f t="shared" si="94"/>
        <v>0</v>
      </c>
      <c r="J108" s="177">
        <f t="shared" si="94"/>
        <v>0</v>
      </c>
      <c r="K108" s="177">
        <f t="shared" ca="1" si="94"/>
        <v>0</v>
      </c>
      <c r="L108" s="177">
        <f t="shared" ca="1" si="94"/>
        <v>0</v>
      </c>
      <c r="M108" s="177">
        <f t="shared" si="94"/>
        <v>0</v>
      </c>
      <c r="N108" s="177">
        <f t="shared" ca="1" si="94"/>
        <v>0</v>
      </c>
      <c r="O108" s="195">
        <f t="shared" ca="1" si="94"/>
        <v>0</v>
      </c>
      <c r="P108" s="204">
        <f t="shared" ca="1" si="94"/>
        <v>0</v>
      </c>
      <c r="Q108" s="215">
        <f t="shared" ca="1" si="94"/>
        <v>0</v>
      </c>
      <c r="R108" s="215">
        <f t="shared" ca="1" si="94"/>
        <v>0</v>
      </c>
    </row>
    <row r="109" spans="1:19" s="75" customFormat="1" ht="15" customHeight="1">
      <c r="A109" s="1870"/>
      <c r="B109" s="165" t="s">
        <v>609</v>
      </c>
      <c r="C109" s="1112">
        <f ca="1">SUM(D109:O109)</f>
        <v>0</v>
      </c>
      <c r="D109" s="1113">
        <f t="shared" ref="D109:R109" ca="1" si="95">D105*D107-D104*D108</f>
        <v>0</v>
      </c>
      <c r="E109" s="1114">
        <f t="shared" ca="1" si="95"/>
        <v>0</v>
      </c>
      <c r="F109" s="1114">
        <f t="shared" ca="1" si="95"/>
        <v>0</v>
      </c>
      <c r="G109" s="1114">
        <f t="shared" ca="1" si="95"/>
        <v>0</v>
      </c>
      <c r="H109" s="1114">
        <f t="shared" ca="1" si="95"/>
        <v>0</v>
      </c>
      <c r="I109" s="1114">
        <f t="shared" ca="1" si="95"/>
        <v>0</v>
      </c>
      <c r="J109" s="1114">
        <f t="shared" ca="1" si="95"/>
        <v>0</v>
      </c>
      <c r="K109" s="1114">
        <f t="shared" ca="1" si="95"/>
        <v>0</v>
      </c>
      <c r="L109" s="1114">
        <f t="shared" ca="1" si="95"/>
        <v>0</v>
      </c>
      <c r="M109" s="1114">
        <f t="shared" si="95"/>
        <v>0</v>
      </c>
      <c r="N109" s="1114">
        <f t="shared" ca="1" si="95"/>
        <v>0</v>
      </c>
      <c r="O109" s="1119">
        <f t="shared" ca="1" si="95"/>
        <v>0</v>
      </c>
      <c r="P109" s="205">
        <f t="shared" ca="1" si="95"/>
        <v>0</v>
      </c>
      <c r="Q109" s="219">
        <f t="shared" ca="1" si="95"/>
        <v>0</v>
      </c>
      <c r="R109" s="219">
        <f t="shared" ca="1" si="95"/>
        <v>0</v>
      </c>
    </row>
    <row r="110" spans="1:19" s="75" customFormat="1" ht="15" customHeight="1">
      <c r="A110" s="1870"/>
      <c r="B110" s="165" t="s">
        <v>610</v>
      </c>
      <c r="C110" s="166">
        <f>SUM(D110:O110)</f>
        <v>0</v>
      </c>
      <c r="D110" s="167">
        <f>IF(D95="普",D97*'2.税率表'!$D$20,IF(D95="非普",D97*'2.税率表'!$D$21,IF(D95="其他",D97*'2.税率表'!$D$22,0)))</f>
        <v>0</v>
      </c>
      <c r="E110" s="168">
        <f>IF(E95="普",E97*'2.税率表'!$D$20,IF(E95="非普",E97*'2.税率表'!$D$21,IF(E95="其他",E97*'2.税率表'!$D$22,0)))</f>
        <v>0</v>
      </c>
      <c r="F110" s="168">
        <f>IF(F95="普",F97*'2.税率表'!$D$20,IF(F95="非普",F97*'2.税率表'!$D$21,IF(F95="其他",F97*'2.税率表'!$D$22,0)))</f>
        <v>0</v>
      </c>
      <c r="G110" s="168">
        <f>IF(G95="普",G97*'2.税率表'!$D$20,IF(G95="非普",G97*'2.税率表'!$D$21,IF(G95="其他",G97*'2.税率表'!$D$22,0)))</f>
        <v>0</v>
      </c>
      <c r="H110" s="168">
        <f>IF(H95="普",H97*'2.税率表'!$D$20,IF(H95="非普",H97*'2.税率表'!$D$21,IF(H95="其他",H97*'2.税率表'!$D$22,0)))</f>
        <v>0</v>
      </c>
      <c r="I110" s="168">
        <f>IF(I95="普",I97*'2.税率表'!$D$20,IF(I95="非普",I97*'2.税率表'!$D$21,IF(I95="其他",I97*'2.税率表'!$D$22,0)))</f>
        <v>0</v>
      </c>
      <c r="J110" s="168">
        <f>IF(J95="普",J97*'2.税率表'!$D$20,IF(J95="非普",J97*'2.税率表'!$D$21,IF(J95="其他",J97*'2.税率表'!$D$22,0)))</f>
        <v>0</v>
      </c>
      <c r="K110" s="168">
        <f>IF(K95="普",K97*'2.税率表'!$D$20,IF(K95="非普",K97*'2.税率表'!$D$21,IF(K95="其他",K97*'2.税率表'!$D$22,0)))</f>
        <v>0</v>
      </c>
      <c r="L110" s="168">
        <f>IF(L95="普",L97*'2.税率表'!$D$20,IF(L95="非普",L97*'2.税率表'!$D$21,IF(L95="其他",L97*'2.税率表'!$D$22,0)))</f>
        <v>0</v>
      </c>
      <c r="M110" s="168">
        <f>IF(M95="普",M97*'2.税率表'!$D$20,IF(M95="非普",M97*'2.税率表'!$D$21,IF(M95="其他",M97*'2.税率表'!$D$22,0)))</f>
        <v>0</v>
      </c>
      <c r="N110" s="168">
        <f>IF(N95="普",N97*'2.税率表'!$D$20,IF(N95="非普",N97*'2.税率表'!$D$21,IF(N95="其他",N97*'2.税率表'!$D$22,0)))</f>
        <v>0</v>
      </c>
      <c r="O110" s="189">
        <f>IF(O95="普",O97*'2.税率表'!$D$20,IF(O95="非普",O97*'2.税率表'!$D$21,IF(O95="其他",O97*'2.税率表'!$D$22,0)))</f>
        <v>0</v>
      </c>
      <c r="P110" s="202">
        <f>P97*'2.税率表'!$D$20</f>
        <v>0</v>
      </c>
      <c r="Q110" s="211">
        <f>Q97*'2.税率表'!$D$21</f>
        <v>0</v>
      </c>
      <c r="R110" s="211">
        <f>R97*'2.税率表'!$D$22</f>
        <v>0</v>
      </c>
    </row>
    <row r="111" spans="1:19" s="75" customFormat="1" ht="15" customHeight="1">
      <c r="A111" s="1870"/>
      <c r="B111" s="165" t="s">
        <v>611</v>
      </c>
      <c r="C111" s="1115">
        <f ca="1">IFERROR(SUM(D111:O111),0)</f>
        <v>0</v>
      </c>
      <c r="D111" s="1116">
        <f t="shared" ref="D111:O111" ca="1" si="96">IFERROR(IF($R$5="合并清算",$Q111/$Q97*D97,IF(($R$5="两分法")*(D95="普"),$P111/$P97*D97,IF(($R$5="两分法")*(D95="非普"),$Q111/$Q97*D97,IF(($R$5="两分法")*(D95="其他"),$Q111/$Q97*D97,IF(D95="普",$P111/$P97*D97,IF(D95="非普",$Q111/$Q97*D97,$R$111/$R$97*D97)))))),0)</f>
        <v>0</v>
      </c>
      <c r="E111" s="1117">
        <f t="shared" ca="1" si="96"/>
        <v>0</v>
      </c>
      <c r="F111" s="1117">
        <f t="shared" ca="1" si="96"/>
        <v>0</v>
      </c>
      <c r="G111" s="1117">
        <f t="shared" ca="1" si="96"/>
        <v>0</v>
      </c>
      <c r="H111" s="1117">
        <f t="shared" ca="1" si="96"/>
        <v>0</v>
      </c>
      <c r="I111" s="1117">
        <f t="shared" ca="1" si="96"/>
        <v>0</v>
      </c>
      <c r="J111" s="1117">
        <f t="shared" ca="1" si="96"/>
        <v>0</v>
      </c>
      <c r="K111" s="1117">
        <f t="shared" ca="1" si="96"/>
        <v>0</v>
      </c>
      <c r="L111" s="1117">
        <f t="shared" ca="1" si="96"/>
        <v>0</v>
      </c>
      <c r="M111" s="1117">
        <f t="shared" ca="1" si="96"/>
        <v>0</v>
      </c>
      <c r="N111" s="1117">
        <f t="shared" ca="1" si="96"/>
        <v>0</v>
      </c>
      <c r="O111" s="1120">
        <f t="shared" ca="1" si="96"/>
        <v>0</v>
      </c>
      <c r="P111" s="202">
        <f t="shared" ref="P111:R111" ca="1" si="97">IF(P110&lt;=P109,P109,P110)</f>
        <v>0</v>
      </c>
      <c r="Q111" s="211">
        <f t="shared" ca="1" si="97"/>
        <v>0</v>
      </c>
      <c r="R111" s="211">
        <f t="shared" ca="1" si="97"/>
        <v>0</v>
      </c>
      <c r="S111" s="154">
        <f ca="1">SUM(P111:R111)-C111</f>
        <v>0</v>
      </c>
    </row>
    <row r="112" spans="1:19">
      <c r="R112" s="690"/>
    </row>
    <row r="113" spans="1:48">
      <c r="R113" s="690"/>
    </row>
    <row r="114" spans="1:48" ht="15" customHeight="1">
      <c r="A114" s="82" t="s">
        <v>612</v>
      </c>
    </row>
    <row r="115" spans="1:48" ht="15" customHeight="1">
      <c r="A115" s="141" t="s">
        <v>613</v>
      </c>
    </row>
    <row r="116" spans="1:48" s="75" customFormat="1" ht="16.5" customHeight="1">
      <c r="A116" s="1871" t="s">
        <v>598</v>
      </c>
      <c r="B116" s="1871" t="s">
        <v>614</v>
      </c>
      <c r="C116" s="1871" t="s">
        <v>251</v>
      </c>
      <c r="D116" s="1869">
        <f>'1.参数设置'!C4</f>
        <v>2018</v>
      </c>
      <c r="E116" s="1869"/>
      <c r="F116" s="1869"/>
      <c r="G116" s="1869"/>
      <c r="H116" s="1869">
        <f>D116+1</f>
        <v>2019</v>
      </c>
      <c r="I116" s="1869"/>
      <c r="J116" s="1869"/>
      <c r="K116" s="1869"/>
      <c r="L116" s="1869">
        <f>H116+1</f>
        <v>2020</v>
      </c>
      <c r="M116" s="1869"/>
      <c r="N116" s="1869"/>
      <c r="O116" s="1869"/>
      <c r="P116" s="1869">
        <f>L116+1</f>
        <v>2021</v>
      </c>
      <c r="Q116" s="1869"/>
      <c r="R116" s="1869"/>
      <c r="S116" s="1869"/>
      <c r="T116" s="1869">
        <f>P116+1</f>
        <v>2022</v>
      </c>
      <c r="U116" s="1869"/>
      <c r="V116" s="1869"/>
      <c r="W116" s="1869"/>
      <c r="X116" s="1869">
        <f>T116+1</f>
        <v>2023</v>
      </c>
      <c r="Y116" s="1869"/>
      <c r="Z116" s="1869"/>
      <c r="AA116" s="1869"/>
      <c r="AB116" s="1869">
        <f>X116+1</f>
        <v>2024</v>
      </c>
      <c r="AC116" s="1869"/>
      <c r="AD116" s="1869"/>
      <c r="AE116" s="1869"/>
      <c r="AF116" s="1869">
        <f>AB116+1</f>
        <v>2025</v>
      </c>
      <c r="AG116" s="1869"/>
      <c r="AH116" s="1869"/>
      <c r="AI116" s="1869"/>
      <c r="AJ116" s="1869">
        <f>AF116+1</f>
        <v>2026</v>
      </c>
      <c r="AK116" s="1869"/>
      <c r="AL116" s="1869"/>
      <c r="AM116" s="1869"/>
      <c r="AN116" s="1869">
        <f>AJ116+1</f>
        <v>2027</v>
      </c>
      <c r="AO116" s="1869"/>
      <c r="AP116" s="1869"/>
      <c r="AQ116" s="1869"/>
      <c r="AR116" s="1869">
        <f>AN116+1</f>
        <v>2028</v>
      </c>
      <c r="AS116" s="1869"/>
      <c r="AT116" s="1869"/>
      <c r="AU116" s="1869"/>
    </row>
    <row r="117" spans="1:48" s="75" customFormat="1" ht="15.75" customHeight="1">
      <c r="A117" s="1871"/>
      <c r="B117" s="1871"/>
      <c r="C117" s="1871"/>
      <c r="D117" s="222">
        <v>1</v>
      </c>
      <c r="E117" s="223">
        <v>2</v>
      </c>
      <c r="F117" s="223">
        <v>3</v>
      </c>
      <c r="G117" s="224">
        <v>4</v>
      </c>
      <c r="H117" s="222">
        <v>1</v>
      </c>
      <c r="I117" s="223">
        <v>2</v>
      </c>
      <c r="J117" s="223">
        <v>3</v>
      </c>
      <c r="K117" s="224">
        <v>4</v>
      </c>
      <c r="L117" s="222">
        <v>1</v>
      </c>
      <c r="M117" s="223">
        <v>2</v>
      </c>
      <c r="N117" s="223">
        <v>3</v>
      </c>
      <c r="O117" s="224">
        <v>4</v>
      </c>
      <c r="P117" s="222">
        <v>1</v>
      </c>
      <c r="Q117" s="223">
        <v>2</v>
      </c>
      <c r="R117" s="223">
        <v>3</v>
      </c>
      <c r="S117" s="224">
        <v>4</v>
      </c>
      <c r="T117" s="222">
        <v>1</v>
      </c>
      <c r="U117" s="223">
        <v>2</v>
      </c>
      <c r="V117" s="223">
        <v>3</v>
      </c>
      <c r="W117" s="224">
        <v>4</v>
      </c>
      <c r="X117" s="222">
        <v>1</v>
      </c>
      <c r="Y117" s="223">
        <v>2</v>
      </c>
      <c r="Z117" s="223">
        <v>3</v>
      </c>
      <c r="AA117" s="224">
        <v>4</v>
      </c>
      <c r="AB117" s="222">
        <v>1</v>
      </c>
      <c r="AC117" s="223">
        <v>2</v>
      </c>
      <c r="AD117" s="223">
        <v>3</v>
      </c>
      <c r="AE117" s="224">
        <v>4</v>
      </c>
      <c r="AF117" s="222">
        <v>1</v>
      </c>
      <c r="AG117" s="223">
        <v>2</v>
      </c>
      <c r="AH117" s="223">
        <v>3</v>
      </c>
      <c r="AI117" s="224">
        <v>4</v>
      </c>
      <c r="AJ117" s="222">
        <v>1</v>
      </c>
      <c r="AK117" s="223">
        <v>2</v>
      </c>
      <c r="AL117" s="223">
        <v>3</v>
      </c>
      <c r="AM117" s="224">
        <v>4</v>
      </c>
      <c r="AN117" s="222">
        <v>1</v>
      </c>
      <c r="AO117" s="223">
        <v>2</v>
      </c>
      <c r="AP117" s="223">
        <v>3</v>
      </c>
      <c r="AQ117" s="224">
        <v>4</v>
      </c>
      <c r="AR117" s="222">
        <v>1</v>
      </c>
      <c r="AS117" s="223">
        <v>2</v>
      </c>
      <c r="AT117" s="223">
        <v>3</v>
      </c>
      <c r="AU117" s="224">
        <v>4</v>
      </c>
    </row>
    <row r="118" spans="1:48" s="75" customFormat="1" ht="17.25" customHeight="1">
      <c r="A118" s="225" t="s">
        <v>19</v>
      </c>
      <c r="B118" s="226" t="s">
        <v>615</v>
      </c>
      <c r="C118" s="227">
        <f t="shared" ref="C118:C123" si="98">SUM(D118:AU118)</f>
        <v>2011.8638992000003</v>
      </c>
      <c r="D118" s="228">
        <f>('11.销售及回款表'!E78+'11.销售及回款表'!E83)*'2.税率表'!$D$19</f>
        <v>0</v>
      </c>
      <c r="E118" s="171">
        <f>('11.销售及回款表'!F78+'11.销售及回款表'!F83)*'2.税率表'!$D$19</f>
        <v>0</v>
      </c>
      <c r="F118" s="171">
        <f>('11.销售及回款表'!G78+'11.销售及回款表'!G83)*'2.税率表'!$D$19</f>
        <v>0</v>
      </c>
      <c r="G118" s="229">
        <f>('11.销售及回款表'!H78+'11.销售及回款表'!H83)*'2.税率表'!$D$19</f>
        <v>0</v>
      </c>
      <c r="H118" s="228">
        <f>('11.销售及回款表'!I78+'11.销售及回款表'!I83)*'2.税率表'!$D$19</f>
        <v>0</v>
      </c>
      <c r="I118" s="171">
        <f>('11.销售及回款表'!J78+'11.销售及回款表'!J83)*'2.税率表'!$D$19</f>
        <v>589.05000000000007</v>
      </c>
      <c r="J118" s="171">
        <f>('11.销售及回款表'!K78+'11.销售及回款表'!K83)*'2.税率表'!$D$19</f>
        <v>612.61199999999997</v>
      </c>
      <c r="K118" s="229">
        <f>('11.销售及回款表'!L78+'11.销售及回款表'!L83)*'2.税率表'!$D$19</f>
        <v>267.79896000000002</v>
      </c>
      <c r="L118" s="228">
        <f>('11.销售及回款表'!M78+'11.销售及回款表'!M83)*'2.税率表'!$D$19</f>
        <v>273.1549392</v>
      </c>
      <c r="M118" s="171">
        <f>('11.销售及回款表'!N78+'11.销售及回款表'!N83)*'2.税率表'!$D$19</f>
        <v>139.77600000000001</v>
      </c>
      <c r="N118" s="171">
        <f>('11.销售及回款表'!O78+'11.销售及回款表'!O83)*'2.税率表'!$D$19</f>
        <v>70.39200000000001</v>
      </c>
      <c r="O118" s="229">
        <f>('11.销售及回款表'!P78+'11.销售及回款表'!P83)*'2.税率表'!$D$19</f>
        <v>35.448</v>
      </c>
      <c r="P118" s="228">
        <f>('11.销售及回款表'!Q78+'11.销售及回款表'!Q83)*'2.税率表'!$D$19</f>
        <v>23.631999999999998</v>
      </c>
      <c r="Q118" s="171">
        <f>('11.销售及回款表'!R78+'11.销售及回款表'!R83)*'2.税率表'!$D$19</f>
        <v>0</v>
      </c>
      <c r="R118" s="171">
        <f>('11.销售及回款表'!S78+'11.销售及回款表'!S83)*'2.税率表'!$D$19</f>
        <v>0</v>
      </c>
      <c r="S118" s="229">
        <f>('11.销售及回款表'!T78+'11.销售及回款表'!T83)*'2.税率表'!$D$19</f>
        <v>0</v>
      </c>
      <c r="T118" s="228">
        <f>('11.销售及回款表'!U78+'11.销售及回款表'!U83)*'2.税率表'!$D$19</f>
        <v>0</v>
      </c>
      <c r="U118" s="171">
        <f>('11.销售及回款表'!V78+'11.销售及回款表'!V83)*'2.税率表'!$D$19</f>
        <v>0</v>
      </c>
      <c r="V118" s="171">
        <f>('11.销售及回款表'!W78+'11.销售及回款表'!W83)*'2.税率表'!$D$19</f>
        <v>0</v>
      </c>
      <c r="W118" s="229">
        <f>('11.销售及回款表'!X78+'11.销售及回款表'!X83)*'2.税率表'!$D$19</f>
        <v>0</v>
      </c>
      <c r="X118" s="228">
        <f>('11.销售及回款表'!Y78+'11.销售及回款表'!Y83)*'2.税率表'!$D$19</f>
        <v>0</v>
      </c>
      <c r="Y118" s="171">
        <f>('11.销售及回款表'!Z78+'11.销售及回款表'!Z83)*'2.税率表'!$D$19</f>
        <v>0</v>
      </c>
      <c r="Z118" s="171">
        <f>('11.销售及回款表'!AA78+'11.销售及回款表'!AA83)*'2.税率表'!$D$19</f>
        <v>0</v>
      </c>
      <c r="AA118" s="229">
        <f>('11.销售及回款表'!AB78+'11.销售及回款表'!AB83)*'2.税率表'!$D$19</f>
        <v>0</v>
      </c>
      <c r="AB118" s="228">
        <f>('11.销售及回款表'!AC78+'11.销售及回款表'!AC83)*'2.税率表'!$D$19</f>
        <v>0</v>
      </c>
      <c r="AC118" s="171">
        <f>('11.销售及回款表'!AD78+'11.销售及回款表'!AD83)*'2.税率表'!$D$19</f>
        <v>0</v>
      </c>
      <c r="AD118" s="171">
        <f>('11.销售及回款表'!AE78+'11.销售及回款表'!AE83)*'2.税率表'!$D$19</f>
        <v>0</v>
      </c>
      <c r="AE118" s="229">
        <f>('11.销售及回款表'!AF78+'11.销售及回款表'!AF83)*'2.税率表'!$D$19</f>
        <v>0</v>
      </c>
      <c r="AF118" s="228">
        <f>('11.销售及回款表'!AG78+'11.销售及回款表'!AG83)*'2.税率表'!$D$19</f>
        <v>0</v>
      </c>
      <c r="AG118" s="171">
        <f>('11.销售及回款表'!AH78+'11.销售及回款表'!AH83)*'2.税率表'!$D$19</f>
        <v>0</v>
      </c>
      <c r="AH118" s="171">
        <f>('11.销售及回款表'!AI78+'11.销售及回款表'!AI83)*'2.税率表'!$D$19</f>
        <v>0</v>
      </c>
      <c r="AI118" s="229">
        <f>('11.销售及回款表'!AJ78+'11.销售及回款表'!AJ83)*'2.税率表'!$D$19</f>
        <v>0</v>
      </c>
      <c r="AJ118" s="228">
        <f>('11.销售及回款表'!AK78+'11.销售及回款表'!AK83)*'2.税率表'!$D$19</f>
        <v>0</v>
      </c>
      <c r="AK118" s="171">
        <f>('11.销售及回款表'!AL78+'11.销售及回款表'!AL83)*'2.税率表'!$D$19</f>
        <v>0</v>
      </c>
      <c r="AL118" s="171">
        <f>('11.销售及回款表'!AM78+'11.销售及回款表'!AM83)*'2.税率表'!$D$19</f>
        <v>0</v>
      </c>
      <c r="AM118" s="229">
        <f>('11.销售及回款表'!AN78+'11.销售及回款表'!AN83)*'2.税率表'!$D$19</f>
        <v>0</v>
      </c>
      <c r="AN118" s="228">
        <f>('11.销售及回款表'!AO78+'11.销售及回款表'!AO83)*'2.税率表'!$D$19</f>
        <v>0</v>
      </c>
      <c r="AO118" s="171">
        <f>('11.销售及回款表'!AP78+'11.销售及回款表'!AP83)*'2.税率表'!$D$19</f>
        <v>0</v>
      </c>
      <c r="AP118" s="171">
        <f>('11.销售及回款表'!AQ78+'11.销售及回款表'!AQ83)*'2.税率表'!$D$19</f>
        <v>0</v>
      </c>
      <c r="AQ118" s="229">
        <f>('11.销售及回款表'!AR78+'11.销售及回款表'!AR83)*'2.税率表'!$D$19</f>
        <v>0</v>
      </c>
      <c r="AR118" s="228">
        <f>('11.销售及回款表'!AS78+'11.销售及回款表'!AS83)*'2.税率表'!$D$19</f>
        <v>0</v>
      </c>
      <c r="AS118" s="171">
        <f>('11.销售及回款表'!AT78+'11.销售及回款表'!AT83)*'2.税率表'!$D$19</f>
        <v>0</v>
      </c>
      <c r="AT118" s="171">
        <f>('11.销售及回款表'!AU78+'11.销售及回款表'!AU83)*'2.税率表'!$D$19</f>
        <v>0</v>
      </c>
      <c r="AU118" s="229">
        <f>('11.销售及回款表'!AV78+'11.销售及回款表'!AV83)*'2.税率表'!$D$19</f>
        <v>0</v>
      </c>
    </row>
    <row r="119" spans="1:48" s="75" customFormat="1" ht="17.25" customHeight="1">
      <c r="A119" s="225" t="s">
        <v>20</v>
      </c>
      <c r="B119" s="226" t="s">
        <v>615</v>
      </c>
      <c r="C119" s="227">
        <f t="shared" si="98"/>
        <v>0</v>
      </c>
      <c r="D119" s="228">
        <f>('11.销售及回款表'!E148+'11.销售及回款表'!E153)*'2.税率表'!$D$19</f>
        <v>0</v>
      </c>
      <c r="E119" s="171">
        <f>('11.销售及回款表'!F148+'11.销售及回款表'!F153)*'2.税率表'!$D$19</f>
        <v>0</v>
      </c>
      <c r="F119" s="171">
        <f>('11.销售及回款表'!G148+'11.销售及回款表'!G153)*'2.税率表'!$D$19</f>
        <v>0</v>
      </c>
      <c r="G119" s="229">
        <f>('11.销售及回款表'!H148+'11.销售及回款表'!H153)*'2.税率表'!$D$19</f>
        <v>0</v>
      </c>
      <c r="H119" s="228">
        <f>('11.销售及回款表'!I148+'11.销售及回款表'!I153)*'2.税率表'!$D$19</f>
        <v>0</v>
      </c>
      <c r="I119" s="171">
        <f>('11.销售及回款表'!J148+'11.销售及回款表'!J153)*'2.税率表'!$D$19</f>
        <v>0</v>
      </c>
      <c r="J119" s="171">
        <f>('11.销售及回款表'!K148+'11.销售及回款表'!K153)*'2.税率表'!$D$19</f>
        <v>0</v>
      </c>
      <c r="K119" s="229">
        <f>('11.销售及回款表'!L148+'11.销售及回款表'!L153)*'2.税率表'!$D$19</f>
        <v>0</v>
      </c>
      <c r="L119" s="228">
        <f>('11.销售及回款表'!M148+'11.销售及回款表'!M153)*'2.税率表'!$D$19</f>
        <v>0</v>
      </c>
      <c r="M119" s="171">
        <f>('11.销售及回款表'!N148+'11.销售及回款表'!N153)*'2.税率表'!$D$19</f>
        <v>0</v>
      </c>
      <c r="N119" s="171">
        <f>('11.销售及回款表'!O148+'11.销售及回款表'!O153)*'2.税率表'!$D$19</f>
        <v>0</v>
      </c>
      <c r="O119" s="229">
        <f>('11.销售及回款表'!P148+'11.销售及回款表'!P153)*'2.税率表'!$D$19</f>
        <v>0</v>
      </c>
      <c r="P119" s="228">
        <f>('11.销售及回款表'!Q148+'11.销售及回款表'!Q153)*'2.税率表'!$D$19</f>
        <v>0</v>
      </c>
      <c r="Q119" s="171">
        <f>('11.销售及回款表'!R148+'11.销售及回款表'!R153)*'2.税率表'!$D$19</f>
        <v>0</v>
      </c>
      <c r="R119" s="171">
        <f>('11.销售及回款表'!S148+'11.销售及回款表'!S153)*'2.税率表'!$D$19</f>
        <v>0</v>
      </c>
      <c r="S119" s="229">
        <f>('11.销售及回款表'!T148+'11.销售及回款表'!T153)*'2.税率表'!$D$19</f>
        <v>0</v>
      </c>
      <c r="T119" s="228">
        <f>('11.销售及回款表'!U148+'11.销售及回款表'!U153)*'2.税率表'!$D$19</f>
        <v>0</v>
      </c>
      <c r="U119" s="171">
        <f>('11.销售及回款表'!V148+'11.销售及回款表'!V153)*'2.税率表'!$D$19</f>
        <v>0</v>
      </c>
      <c r="V119" s="171">
        <f>('11.销售及回款表'!W148+'11.销售及回款表'!W153)*'2.税率表'!$D$19</f>
        <v>0</v>
      </c>
      <c r="W119" s="229">
        <f>('11.销售及回款表'!X148+'11.销售及回款表'!X153)*'2.税率表'!$D$19</f>
        <v>0</v>
      </c>
      <c r="X119" s="228">
        <f>('11.销售及回款表'!Y148+'11.销售及回款表'!Y153)*'2.税率表'!$D$19</f>
        <v>0</v>
      </c>
      <c r="Y119" s="171">
        <f>('11.销售及回款表'!Z148+'11.销售及回款表'!Z153)*'2.税率表'!$D$19</f>
        <v>0</v>
      </c>
      <c r="Z119" s="171">
        <f>('11.销售及回款表'!AA148+'11.销售及回款表'!AA153)*'2.税率表'!$D$19</f>
        <v>0</v>
      </c>
      <c r="AA119" s="229">
        <f>('11.销售及回款表'!AB148+'11.销售及回款表'!AB153)*'2.税率表'!$D$19</f>
        <v>0</v>
      </c>
      <c r="AB119" s="228">
        <f>('11.销售及回款表'!AC148+'11.销售及回款表'!AC153)*'2.税率表'!$D$19</f>
        <v>0</v>
      </c>
      <c r="AC119" s="171">
        <f>('11.销售及回款表'!AD148+'11.销售及回款表'!AD153)*'2.税率表'!$D$19</f>
        <v>0</v>
      </c>
      <c r="AD119" s="171">
        <f>('11.销售及回款表'!AE148+'11.销售及回款表'!AE153)*'2.税率表'!$D$19</f>
        <v>0</v>
      </c>
      <c r="AE119" s="229">
        <f>('11.销售及回款表'!AF148+'11.销售及回款表'!AF153)*'2.税率表'!$D$19</f>
        <v>0</v>
      </c>
      <c r="AF119" s="228">
        <f>('11.销售及回款表'!AG148+'11.销售及回款表'!AG153)*'2.税率表'!$D$19</f>
        <v>0</v>
      </c>
      <c r="AG119" s="171">
        <f>('11.销售及回款表'!AH148+'11.销售及回款表'!AH153)*'2.税率表'!$D$19</f>
        <v>0</v>
      </c>
      <c r="AH119" s="171">
        <f>('11.销售及回款表'!AI148+'11.销售及回款表'!AI153)*'2.税率表'!$D$19</f>
        <v>0</v>
      </c>
      <c r="AI119" s="229">
        <f>('11.销售及回款表'!AJ148+'11.销售及回款表'!AJ153)*'2.税率表'!$D$19</f>
        <v>0</v>
      </c>
      <c r="AJ119" s="228">
        <f>('11.销售及回款表'!AK148+'11.销售及回款表'!AK153)*'2.税率表'!$D$19</f>
        <v>0</v>
      </c>
      <c r="AK119" s="171">
        <f>('11.销售及回款表'!AL148+'11.销售及回款表'!AL153)*'2.税率表'!$D$19</f>
        <v>0</v>
      </c>
      <c r="AL119" s="171">
        <f>('11.销售及回款表'!AM148+'11.销售及回款表'!AM153)*'2.税率表'!$D$19</f>
        <v>0</v>
      </c>
      <c r="AM119" s="229">
        <f>('11.销售及回款表'!AN148+'11.销售及回款表'!AN153)*'2.税率表'!$D$19</f>
        <v>0</v>
      </c>
      <c r="AN119" s="228">
        <f>('11.销售及回款表'!AO148+'11.销售及回款表'!AO153)*'2.税率表'!$D$19</f>
        <v>0</v>
      </c>
      <c r="AO119" s="171">
        <f>('11.销售及回款表'!AP148+'11.销售及回款表'!AP153)*'2.税率表'!$D$19</f>
        <v>0</v>
      </c>
      <c r="AP119" s="171">
        <f>('11.销售及回款表'!AQ148+'11.销售及回款表'!AQ153)*'2.税率表'!$D$19</f>
        <v>0</v>
      </c>
      <c r="AQ119" s="229">
        <f>('11.销售及回款表'!AR148+'11.销售及回款表'!AR153)*'2.税率表'!$D$19</f>
        <v>0</v>
      </c>
      <c r="AR119" s="228">
        <f>('11.销售及回款表'!AS148+'11.销售及回款表'!AS153)*'2.税率表'!$D$19</f>
        <v>0</v>
      </c>
      <c r="AS119" s="171">
        <f>('11.销售及回款表'!AT148+'11.销售及回款表'!AT153)*'2.税率表'!$D$19</f>
        <v>0</v>
      </c>
      <c r="AT119" s="171">
        <f>('11.销售及回款表'!AU148+'11.销售及回款表'!AU153)*'2.税率表'!$D$19</f>
        <v>0</v>
      </c>
      <c r="AU119" s="229">
        <f>('11.销售及回款表'!AV148+'11.销售及回款表'!AV153)*'2.税率表'!$D$19</f>
        <v>0</v>
      </c>
    </row>
    <row r="120" spans="1:48" s="75" customFormat="1" ht="17.25" customHeight="1">
      <c r="A120" s="225" t="s">
        <v>21</v>
      </c>
      <c r="B120" s="226" t="s">
        <v>615</v>
      </c>
      <c r="C120" s="227">
        <f t="shared" si="98"/>
        <v>0</v>
      </c>
      <c r="D120" s="228">
        <f>('11.销售及回款表'!E218+'11.销售及回款表'!E223)*'2.税率表'!$D$19</f>
        <v>0</v>
      </c>
      <c r="E120" s="171">
        <f>('11.销售及回款表'!F218+'11.销售及回款表'!F223)*'2.税率表'!$D$19</f>
        <v>0</v>
      </c>
      <c r="F120" s="171">
        <f>('11.销售及回款表'!G218+'11.销售及回款表'!G223)*'2.税率表'!$D$19</f>
        <v>0</v>
      </c>
      <c r="G120" s="229">
        <f>('11.销售及回款表'!H218+'11.销售及回款表'!H223)*'2.税率表'!$D$19</f>
        <v>0</v>
      </c>
      <c r="H120" s="228">
        <f>('11.销售及回款表'!I218+'11.销售及回款表'!I223)*'2.税率表'!$D$19</f>
        <v>0</v>
      </c>
      <c r="I120" s="171">
        <f>('11.销售及回款表'!J218+'11.销售及回款表'!J223)*'2.税率表'!$D$19</f>
        <v>0</v>
      </c>
      <c r="J120" s="171">
        <f>('11.销售及回款表'!K218+'11.销售及回款表'!K223)*'2.税率表'!$D$19</f>
        <v>0</v>
      </c>
      <c r="K120" s="229">
        <f>('11.销售及回款表'!L218+'11.销售及回款表'!L223)*'2.税率表'!$D$19</f>
        <v>0</v>
      </c>
      <c r="L120" s="228">
        <f>('11.销售及回款表'!M218+'11.销售及回款表'!M223)*'2.税率表'!$D$19</f>
        <v>0</v>
      </c>
      <c r="M120" s="171">
        <f>('11.销售及回款表'!N218+'11.销售及回款表'!N223)*'2.税率表'!$D$19</f>
        <v>0</v>
      </c>
      <c r="N120" s="171">
        <f>('11.销售及回款表'!O218+'11.销售及回款表'!O223)*'2.税率表'!$D$19</f>
        <v>0</v>
      </c>
      <c r="O120" s="229">
        <f>('11.销售及回款表'!P218+'11.销售及回款表'!P223)*'2.税率表'!$D$19</f>
        <v>0</v>
      </c>
      <c r="P120" s="228">
        <f>('11.销售及回款表'!Q218+'11.销售及回款表'!Q223)*'2.税率表'!$D$19</f>
        <v>0</v>
      </c>
      <c r="Q120" s="171">
        <f>('11.销售及回款表'!R218+'11.销售及回款表'!R223)*'2.税率表'!$D$19</f>
        <v>0</v>
      </c>
      <c r="R120" s="171">
        <f>('11.销售及回款表'!S218+'11.销售及回款表'!S223)*'2.税率表'!$D$19</f>
        <v>0</v>
      </c>
      <c r="S120" s="229">
        <f>('11.销售及回款表'!T218+'11.销售及回款表'!T223)*'2.税率表'!$D$19</f>
        <v>0</v>
      </c>
      <c r="T120" s="228">
        <f>('11.销售及回款表'!U218+'11.销售及回款表'!U223)*'2.税率表'!$D$19</f>
        <v>0</v>
      </c>
      <c r="U120" s="171">
        <f>('11.销售及回款表'!V218+'11.销售及回款表'!V223)*'2.税率表'!$D$19</f>
        <v>0</v>
      </c>
      <c r="V120" s="171">
        <f>('11.销售及回款表'!W218+'11.销售及回款表'!W223)*'2.税率表'!$D$19</f>
        <v>0</v>
      </c>
      <c r="W120" s="229">
        <f>('11.销售及回款表'!X218+'11.销售及回款表'!X223)*'2.税率表'!$D$19</f>
        <v>0</v>
      </c>
      <c r="X120" s="228">
        <f>('11.销售及回款表'!Y218+'11.销售及回款表'!Y223)*'2.税率表'!$D$19</f>
        <v>0</v>
      </c>
      <c r="Y120" s="171">
        <f>('11.销售及回款表'!Z218+'11.销售及回款表'!Z223)*'2.税率表'!$D$19</f>
        <v>0</v>
      </c>
      <c r="Z120" s="171">
        <f>('11.销售及回款表'!AA218+'11.销售及回款表'!AA223)*'2.税率表'!$D$19</f>
        <v>0</v>
      </c>
      <c r="AA120" s="229">
        <f>('11.销售及回款表'!AB218+'11.销售及回款表'!AB223)*'2.税率表'!$D$19</f>
        <v>0</v>
      </c>
      <c r="AB120" s="228">
        <f>('11.销售及回款表'!AC218+'11.销售及回款表'!AC223)*'2.税率表'!$D$19</f>
        <v>0</v>
      </c>
      <c r="AC120" s="171">
        <f>('11.销售及回款表'!AD218+'11.销售及回款表'!AD223)*'2.税率表'!$D$19</f>
        <v>0</v>
      </c>
      <c r="AD120" s="171">
        <f>('11.销售及回款表'!AE218+'11.销售及回款表'!AE223)*'2.税率表'!$D$19</f>
        <v>0</v>
      </c>
      <c r="AE120" s="229">
        <f>('11.销售及回款表'!AF218+'11.销售及回款表'!AF223)*'2.税率表'!$D$19</f>
        <v>0</v>
      </c>
      <c r="AF120" s="228">
        <f>('11.销售及回款表'!AG218+'11.销售及回款表'!AG223)*'2.税率表'!$D$19</f>
        <v>0</v>
      </c>
      <c r="AG120" s="171">
        <f>('11.销售及回款表'!AH218+'11.销售及回款表'!AH223)*'2.税率表'!$D$19</f>
        <v>0</v>
      </c>
      <c r="AH120" s="171">
        <f>('11.销售及回款表'!AI218+'11.销售及回款表'!AI223)*'2.税率表'!$D$19</f>
        <v>0</v>
      </c>
      <c r="AI120" s="229">
        <f>('11.销售及回款表'!AJ218+'11.销售及回款表'!AJ223)*'2.税率表'!$D$19</f>
        <v>0</v>
      </c>
      <c r="AJ120" s="228">
        <f>('11.销售及回款表'!AK218+'11.销售及回款表'!AK223)*'2.税率表'!$D$19</f>
        <v>0</v>
      </c>
      <c r="AK120" s="171">
        <f>('11.销售及回款表'!AL218+'11.销售及回款表'!AL223)*'2.税率表'!$D$19</f>
        <v>0</v>
      </c>
      <c r="AL120" s="171">
        <f>('11.销售及回款表'!AM218+'11.销售及回款表'!AM223)*'2.税率表'!$D$19</f>
        <v>0</v>
      </c>
      <c r="AM120" s="229">
        <f>('11.销售及回款表'!AN218+'11.销售及回款表'!AN223)*'2.税率表'!$D$19</f>
        <v>0</v>
      </c>
      <c r="AN120" s="228">
        <f>('11.销售及回款表'!AO218+'11.销售及回款表'!AO223)*'2.税率表'!$D$19</f>
        <v>0</v>
      </c>
      <c r="AO120" s="171">
        <f>('11.销售及回款表'!AP218+'11.销售及回款表'!AP223)*'2.税率表'!$D$19</f>
        <v>0</v>
      </c>
      <c r="AP120" s="171">
        <f>('11.销售及回款表'!AQ218+'11.销售及回款表'!AQ223)*'2.税率表'!$D$19</f>
        <v>0</v>
      </c>
      <c r="AQ120" s="229">
        <f>('11.销售及回款表'!AR218+'11.销售及回款表'!AR223)*'2.税率表'!$D$19</f>
        <v>0</v>
      </c>
      <c r="AR120" s="228">
        <f>('11.销售及回款表'!AS218+'11.销售及回款表'!AS223)*'2.税率表'!$D$19</f>
        <v>0</v>
      </c>
      <c r="AS120" s="171">
        <f>('11.销售及回款表'!AT218+'11.销售及回款表'!AT223)*'2.税率表'!$D$19</f>
        <v>0</v>
      </c>
      <c r="AT120" s="171">
        <f>('11.销售及回款表'!AU218+'11.销售及回款表'!AU223)*'2.税率表'!$D$19</f>
        <v>0</v>
      </c>
      <c r="AU120" s="229">
        <f>('11.销售及回款表'!AV218+'11.销售及回款表'!AV223)*'2.税率表'!$D$19</f>
        <v>0</v>
      </c>
    </row>
    <row r="121" spans="1:48" s="75" customFormat="1" ht="17.25" customHeight="1">
      <c r="A121" s="225" t="s">
        <v>22</v>
      </c>
      <c r="B121" s="226" t="s">
        <v>615</v>
      </c>
      <c r="C121" s="227">
        <f t="shared" si="98"/>
        <v>0</v>
      </c>
      <c r="D121" s="228">
        <f>('11.销售及回款表'!E288+'11.销售及回款表'!E293)*'2.税率表'!$D$19</f>
        <v>0</v>
      </c>
      <c r="E121" s="171">
        <f>('11.销售及回款表'!F288+'11.销售及回款表'!F293)*'2.税率表'!$D$19</f>
        <v>0</v>
      </c>
      <c r="F121" s="171">
        <f>('11.销售及回款表'!G288+'11.销售及回款表'!G293)*'2.税率表'!$D$19</f>
        <v>0</v>
      </c>
      <c r="G121" s="229">
        <f>('11.销售及回款表'!H288+'11.销售及回款表'!H293)*'2.税率表'!$D$19</f>
        <v>0</v>
      </c>
      <c r="H121" s="228">
        <f>('11.销售及回款表'!I288+'11.销售及回款表'!I293)*'2.税率表'!$D$19</f>
        <v>0</v>
      </c>
      <c r="I121" s="171">
        <f>('11.销售及回款表'!J288+'11.销售及回款表'!J293)*'2.税率表'!$D$19</f>
        <v>0</v>
      </c>
      <c r="J121" s="171">
        <f>('11.销售及回款表'!K288+'11.销售及回款表'!K293)*'2.税率表'!$D$19</f>
        <v>0</v>
      </c>
      <c r="K121" s="229">
        <f>('11.销售及回款表'!L288+'11.销售及回款表'!L293)*'2.税率表'!$D$19</f>
        <v>0</v>
      </c>
      <c r="L121" s="228">
        <f>('11.销售及回款表'!M288+'11.销售及回款表'!M293)*'2.税率表'!$D$19</f>
        <v>0</v>
      </c>
      <c r="M121" s="171">
        <f>('11.销售及回款表'!N288+'11.销售及回款表'!N293)*'2.税率表'!$D$19</f>
        <v>0</v>
      </c>
      <c r="N121" s="171">
        <f>('11.销售及回款表'!O288+'11.销售及回款表'!O293)*'2.税率表'!$D$19</f>
        <v>0</v>
      </c>
      <c r="O121" s="229">
        <f>('11.销售及回款表'!P288+'11.销售及回款表'!P293)*'2.税率表'!$D$19</f>
        <v>0</v>
      </c>
      <c r="P121" s="228">
        <f>('11.销售及回款表'!Q288+'11.销售及回款表'!Q293)*'2.税率表'!$D$19</f>
        <v>0</v>
      </c>
      <c r="Q121" s="171">
        <f>('11.销售及回款表'!R288+'11.销售及回款表'!R293)*'2.税率表'!$D$19</f>
        <v>0</v>
      </c>
      <c r="R121" s="171">
        <f>('11.销售及回款表'!S288+'11.销售及回款表'!S293)*'2.税率表'!$D$19</f>
        <v>0</v>
      </c>
      <c r="S121" s="229">
        <f>('11.销售及回款表'!T288+'11.销售及回款表'!T293)*'2.税率表'!$D$19</f>
        <v>0</v>
      </c>
      <c r="T121" s="228">
        <f>('11.销售及回款表'!U288+'11.销售及回款表'!U293)*'2.税率表'!$D$19</f>
        <v>0</v>
      </c>
      <c r="U121" s="171">
        <f>('11.销售及回款表'!V288+'11.销售及回款表'!V293)*'2.税率表'!$D$19</f>
        <v>0</v>
      </c>
      <c r="V121" s="171">
        <f>('11.销售及回款表'!W288+'11.销售及回款表'!W293)*'2.税率表'!$D$19</f>
        <v>0</v>
      </c>
      <c r="W121" s="229">
        <f>('11.销售及回款表'!X288+'11.销售及回款表'!X293)*'2.税率表'!$D$19</f>
        <v>0</v>
      </c>
      <c r="X121" s="228">
        <f>('11.销售及回款表'!Y288+'11.销售及回款表'!Y293)*'2.税率表'!$D$19</f>
        <v>0</v>
      </c>
      <c r="Y121" s="171">
        <f>('11.销售及回款表'!Z288+'11.销售及回款表'!Z293)*'2.税率表'!$D$19</f>
        <v>0</v>
      </c>
      <c r="Z121" s="171">
        <f>('11.销售及回款表'!AA288+'11.销售及回款表'!AA293)*'2.税率表'!$D$19</f>
        <v>0</v>
      </c>
      <c r="AA121" s="229">
        <f>('11.销售及回款表'!AB288+'11.销售及回款表'!AB293)*'2.税率表'!$D$19</f>
        <v>0</v>
      </c>
      <c r="AB121" s="228">
        <f>('11.销售及回款表'!AC288+'11.销售及回款表'!AC293)*'2.税率表'!$D$19</f>
        <v>0</v>
      </c>
      <c r="AC121" s="171">
        <f>('11.销售及回款表'!AD288+'11.销售及回款表'!AD293)*'2.税率表'!$D$19</f>
        <v>0</v>
      </c>
      <c r="AD121" s="171">
        <f>('11.销售及回款表'!AE288+'11.销售及回款表'!AE293)*'2.税率表'!$D$19</f>
        <v>0</v>
      </c>
      <c r="AE121" s="229">
        <f>('11.销售及回款表'!AF288+'11.销售及回款表'!AF293)*'2.税率表'!$D$19</f>
        <v>0</v>
      </c>
      <c r="AF121" s="228">
        <f>('11.销售及回款表'!AG288+'11.销售及回款表'!AG293)*'2.税率表'!$D$19</f>
        <v>0</v>
      </c>
      <c r="AG121" s="171">
        <f>('11.销售及回款表'!AH288+'11.销售及回款表'!AH293)*'2.税率表'!$D$19</f>
        <v>0</v>
      </c>
      <c r="AH121" s="171">
        <f>('11.销售及回款表'!AI288+'11.销售及回款表'!AI293)*'2.税率表'!$D$19</f>
        <v>0</v>
      </c>
      <c r="AI121" s="229">
        <f>('11.销售及回款表'!AJ288+'11.销售及回款表'!AJ293)*'2.税率表'!$D$19</f>
        <v>0</v>
      </c>
      <c r="AJ121" s="228">
        <f>('11.销售及回款表'!AK288+'11.销售及回款表'!AK293)*'2.税率表'!$D$19</f>
        <v>0</v>
      </c>
      <c r="AK121" s="171">
        <f>('11.销售及回款表'!AL288+'11.销售及回款表'!AL293)*'2.税率表'!$D$19</f>
        <v>0</v>
      </c>
      <c r="AL121" s="171">
        <f>('11.销售及回款表'!AM288+'11.销售及回款表'!AM293)*'2.税率表'!$D$19</f>
        <v>0</v>
      </c>
      <c r="AM121" s="229">
        <f>('11.销售及回款表'!AN288+'11.销售及回款表'!AN293)*'2.税率表'!$D$19</f>
        <v>0</v>
      </c>
      <c r="AN121" s="228">
        <f>('11.销售及回款表'!AO288+'11.销售及回款表'!AO293)*'2.税率表'!$D$19</f>
        <v>0</v>
      </c>
      <c r="AO121" s="171">
        <f>('11.销售及回款表'!AP288+'11.销售及回款表'!AP293)*'2.税率表'!$D$19</f>
        <v>0</v>
      </c>
      <c r="AP121" s="171">
        <f>('11.销售及回款表'!AQ288+'11.销售及回款表'!AQ293)*'2.税率表'!$D$19</f>
        <v>0</v>
      </c>
      <c r="AQ121" s="229">
        <f>('11.销售及回款表'!AR288+'11.销售及回款表'!AR293)*'2.税率表'!$D$19</f>
        <v>0</v>
      </c>
      <c r="AR121" s="228">
        <f>('11.销售及回款表'!AS288+'11.销售及回款表'!AS293)*'2.税率表'!$D$19</f>
        <v>0</v>
      </c>
      <c r="AS121" s="171">
        <f>('11.销售及回款表'!AT288+'11.销售及回款表'!AT293)*'2.税率表'!$D$19</f>
        <v>0</v>
      </c>
      <c r="AT121" s="171">
        <f>('11.销售及回款表'!AU288+'11.销售及回款表'!AU293)*'2.税率表'!$D$19</f>
        <v>0</v>
      </c>
      <c r="AU121" s="229">
        <f>('11.销售及回款表'!AV288+'11.销售及回款表'!AV293)*'2.税率表'!$D$19</f>
        <v>0</v>
      </c>
    </row>
    <row r="122" spans="1:48" s="75" customFormat="1" ht="17.25" customHeight="1">
      <c r="A122" s="225" t="s">
        <v>23</v>
      </c>
      <c r="B122" s="226" t="s">
        <v>615</v>
      </c>
      <c r="C122" s="227">
        <f t="shared" si="98"/>
        <v>0</v>
      </c>
      <c r="D122" s="228">
        <f>('11.销售及回款表'!E358+'11.销售及回款表'!E363)*'2.税率表'!$D$19</f>
        <v>0</v>
      </c>
      <c r="E122" s="171">
        <f>('11.销售及回款表'!F358+'11.销售及回款表'!F363)*'2.税率表'!$D$19</f>
        <v>0</v>
      </c>
      <c r="F122" s="171">
        <f>('11.销售及回款表'!G358+'11.销售及回款表'!G363)*'2.税率表'!$D$19</f>
        <v>0</v>
      </c>
      <c r="G122" s="229">
        <f>('11.销售及回款表'!H358+'11.销售及回款表'!H363)*'2.税率表'!$D$19</f>
        <v>0</v>
      </c>
      <c r="H122" s="228">
        <f>('11.销售及回款表'!I358+'11.销售及回款表'!I363)*'2.税率表'!$D$19</f>
        <v>0</v>
      </c>
      <c r="I122" s="171">
        <f>('11.销售及回款表'!J358+'11.销售及回款表'!J363)*'2.税率表'!$D$19</f>
        <v>0</v>
      </c>
      <c r="J122" s="171">
        <f>('11.销售及回款表'!K358+'11.销售及回款表'!K363)*'2.税率表'!$D$19</f>
        <v>0</v>
      </c>
      <c r="K122" s="229">
        <f>('11.销售及回款表'!L358+'11.销售及回款表'!L363)*'2.税率表'!$D$19</f>
        <v>0</v>
      </c>
      <c r="L122" s="228">
        <f>('11.销售及回款表'!M358+'11.销售及回款表'!M363)*'2.税率表'!$D$19</f>
        <v>0</v>
      </c>
      <c r="M122" s="171">
        <f>('11.销售及回款表'!N358+'11.销售及回款表'!N363)*'2.税率表'!$D$19</f>
        <v>0</v>
      </c>
      <c r="N122" s="171">
        <f>('11.销售及回款表'!O358+'11.销售及回款表'!O363)*'2.税率表'!$D$19</f>
        <v>0</v>
      </c>
      <c r="O122" s="229">
        <f>('11.销售及回款表'!P358+'11.销售及回款表'!P363)*'2.税率表'!$D$19</f>
        <v>0</v>
      </c>
      <c r="P122" s="228">
        <f>('11.销售及回款表'!Q358+'11.销售及回款表'!Q363)*'2.税率表'!$D$19</f>
        <v>0</v>
      </c>
      <c r="Q122" s="171">
        <f>('11.销售及回款表'!R358+'11.销售及回款表'!R363)*'2.税率表'!$D$19</f>
        <v>0</v>
      </c>
      <c r="R122" s="171">
        <f>('11.销售及回款表'!S358+'11.销售及回款表'!S363)*'2.税率表'!$D$19</f>
        <v>0</v>
      </c>
      <c r="S122" s="229">
        <f>('11.销售及回款表'!T358+'11.销售及回款表'!T363)*'2.税率表'!$D$19</f>
        <v>0</v>
      </c>
      <c r="T122" s="228">
        <f>('11.销售及回款表'!U358+'11.销售及回款表'!U363)*'2.税率表'!$D$19</f>
        <v>0</v>
      </c>
      <c r="U122" s="171">
        <f>('11.销售及回款表'!V358+'11.销售及回款表'!V363)*'2.税率表'!$D$19</f>
        <v>0</v>
      </c>
      <c r="V122" s="171">
        <f>('11.销售及回款表'!W358+'11.销售及回款表'!W363)*'2.税率表'!$D$19</f>
        <v>0</v>
      </c>
      <c r="W122" s="229">
        <f>('11.销售及回款表'!X358+'11.销售及回款表'!X363)*'2.税率表'!$D$19</f>
        <v>0</v>
      </c>
      <c r="X122" s="228">
        <f>('11.销售及回款表'!Y358+'11.销售及回款表'!Y363)*'2.税率表'!$D$19</f>
        <v>0</v>
      </c>
      <c r="Y122" s="171">
        <f>('11.销售及回款表'!Z358+'11.销售及回款表'!Z363)*'2.税率表'!$D$19</f>
        <v>0</v>
      </c>
      <c r="Z122" s="171">
        <f>('11.销售及回款表'!AA358+'11.销售及回款表'!AA363)*'2.税率表'!$D$19</f>
        <v>0</v>
      </c>
      <c r="AA122" s="229">
        <f>('11.销售及回款表'!AB358+'11.销售及回款表'!AB363)*'2.税率表'!$D$19</f>
        <v>0</v>
      </c>
      <c r="AB122" s="228">
        <f>('11.销售及回款表'!AC358+'11.销售及回款表'!AC363)*'2.税率表'!$D$19</f>
        <v>0</v>
      </c>
      <c r="AC122" s="171">
        <f>('11.销售及回款表'!AD358+'11.销售及回款表'!AD363)*'2.税率表'!$D$19</f>
        <v>0</v>
      </c>
      <c r="AD122" s="171">
        <f>('11.销售及回款表'!AE358+'11.销售及回款表'!AE363)*'2.税率表'!$D$19</f>
        <v>0</v>
      </c>
      <c r="AE122" s="229">
        <f>('11.销售及回款表'!AF358+'11.销售及回款表'!AF363)*'2.税率表'!$D$19</f>
        <v>0</v>
      </c>
      <c r="AF122" s="228">
        <f>('11.销售及回款表'!AG358+'11.销售及回款表'!AG363)*'2.税率表'!$D$19</f>
        <v>0</v>
      </c>
      <c r="AG122" s="171">
        <f>('11.销售及回款表'!AH358+'11.销售及回款表'!AH363)*'2.税率表'!$D$19</f>
        <v>0</v>
      </c>
      <c r="AH122" s="171">
        <f>('11.销售及回款表'!AI358+'11.销售及回款表'!AI363)*'2.税率表'!$D$19</f>
        <v>0</v>
      </c>
      <c r="AI122" s="229">
        <f>('11.销售及回款表'!AJ358+'11.销售及回款表'!AJ363)*'2.税率表'!$D$19</f>
        <v>0</v>
      </c>
      <c r="AJ122" s="228">
        <f>('11.销售及回款表'!AK358+'11.销售及回款表'!AK363)*'2.税率表'!$D$19</f>
        <v>0</v>
      </c>
      <c r="AK122" s="171">
        <f>('11.销售及回款表'!AL358+'11.销售及回款表'!AL363)*'2.税率表'!$D$19</f>
        <v>0</v>
      </c>
      <c r="AL122" s="171">
        <f>('11.销售及回款表'!AM358+'11.销售及回款表'!AM363)*'2.税率表'!$D$19</f>
        <v>0</v>
      </c>
      <c r="AM122" s="229">
        <f>('11.销售及回款表'!AN358+'11.销售及回款表'!AN363)*'2.税率表'!$D$19</f>
        <v>0</v>
      </c>
      <c r="AN122" s="228">
        <f>('11.销售及回款表'!AO358+'11.销售及回款表'!AO363)*'2.税率表'!$D$19</f>
        <v>0</v>
      </c>
      <c r="AO122" s="171">
        <f>('11.销售及回款表'!AP358+'11.销售及回款表'!AP363)*'2.税率表'!$D$19</f>
        <v>0</v>
      </c>
      <c r="AP122" s="171">
        <f>('11.销售及回款表'!AQ358+'11.销售及回款表'!AQ363)*'2.税率表'!$D$19</f>
        <v>0</v>
      </c>
      <c r="AQ122" s="229">
        <f>('11.销售及回款表'!AR358+'11.销售及回款表'!AR363)*'2.税率表'!$D$19</f>
        <v>0</v>
      </c>
      <c r="AR122" s="228">
        <f>('11.销售及回款表'!AS358+'11.销售及回款表'!AS363)*'2.税率表'!$D$19</f>
        <v>0</v>
      </c>
      <c r="AS122" s="171">
        <f>('11.销售及回款表'!AT358+'11.销售及回款表'!AT363)*'2.税率表'!$D$19</f>
        <v>0</v>
      </c>
      <c r="AT122" s="171">
        <f>('11.销售及回款表'!AU358+'11.销售及回款表'!AU363)*'2.税率表'!$D$19</f>
        <v>0</v>
      </c>
      <c r="AU122" s="229">
        <f>('11.销售及回款表'!AV358+'11.销售及回款表'!AV363)*'2.税率表'!$D$19</f>
        <v>0</v>
      </c>
    </row>
    <row r="123" spans="1:48" s="75" customFormat="1" ht="17.25" customHeight="1">
      <c r="A123" s="225" t="s">
        <v>24</v>
      </c>
      <c r="B123" s="226" t="s">
        <v>615</v>
      </c>
      <c r="C123" s="227">
        <f t="shared" si="98"/>
        <v>0</v>
      </c>
      <c r="D123" s="228">
        <f>('11.销售及回款表'!E428+'11.销售及回款表'!E433)*'2.税率表'!$D$19</f>
        <v>0</v>
      </c>
      <c r="E123" s="171">
        <f>('11.销售及回款表'!F428+'11.销售及回款表'!F433)*'2.税率表'!$D$19</f>
        <v>0</v>
      </c>
      <c r="F123" s="171">
        <f>('11.销售及回款表'!G428+'11.销售及回款表'!G433)*'2.税率表'!$D$19</f>
        <v>0</v>
      </c>
      <c r="G123" s="229">
        <f>('11.销售及回款表'!H428+'11.销售及回款表'!H433)*'2.税率表'!$D$19</f>
        <v>0</v>
      </c>
      <c r="H123" s="228">
        <f>('11.销售及回款表'!I428+'11.销售及回款表'!I433)*'2.税率表'!$D$19</f>
        <v>0</v>
      </c>
      <c r="I123" s="171">
        <f>('11.销售及回款表'!J428+'11.销售及回款表'!J433)*'2.税率表'!$D$19</f>
        <v>0</v>
      </c>
      <c r="J123" s="171">
        <f>('11.销售及回款表'!K428+'11.销售及回款表'!K433)*'2.税率表'!$D$19</f>
        <v>0</v>
      </c>
      <c r="K123" s="229">
        <f>('11.销售及回款表'!L428+'11.销售及回款表'!L433)*'2.税率表'!$D$19</f>
        <v>0</v>
      </c>
      <c r="L123" s="228">
        <f>('11.销售及回款表'!M428+'11.销售及回款表'!M433)*'2.税率表'!$D$19</f>
        <v>0</v>
      </c>
      <c r="M123" s="171">
        <f>('11.销售及回款表'!N428+'11.销售及回款表'!N433)*'2.税率表'!$D$19</f>
        <v>0</v>
      </c>
      <c r="N123" s="171">
        <f>('11.销售及回款表'!O428+'11.销售及回款表'!O433)*'2.税率表'!$D$19</f>
        <v>0</v>
      </c>
      <c r="O123" s="229">
        <f>('11.销售及回款表'!P428+'11.销售及回款表'!P433)*'2.税率表'!$D$19</f>
        <v>0</v>
      </c>
      <c r="P123" s="228">
        <f>('11.销售及回款表'!Q428+'11.销售及回款表'!Q433)*'2.税率表'!$D$19</f>
        <v>0</v>
      </c>
      <c r="Q123" s="171">
        <f>('11.销售及回款表'!R428+'11.销售及回款表'!R433)*'2.税率表'!$D$19</f>
        <v>0</v>
      </c>
      <c r="R123" s="171">
        <f>('11.销售及回款表'!S428+'11.销售及回款表'!S433)*'2.税率表'!$D$19</f>
        <v>0</v>
      </c>
      <c r="S123" s="229">
        <f>('11.销售及回款表'!T428+'11.销售及回款表'!T433)*'2.税率表'!$D$19</f>
        <v>0</v>
      </c>
      <c r="T123" s="228">
        <f>('11.销售及回款表'!U428+'11.销售及回款表'!U433)*'2.税率表'!$D$19</f>
        <v>0</v>
      </c>
      <c r="U123" s="171">
        <f>('11.销售及回款表'!V428+'11.销售及回款表'!V433)*'2.税率表'!$D$19</f>
        <v>0</v>
      </c>
      <c r="V123" s="171">
        <f>('11.销售及回款表'!W428+'11.销售及回款表'!W433)*'2.税率表'!$D$19</f>
        <v>0</v>
      </c>
      <c r="W123" s="229">
        <f>('11.销售及回款表'!X428+'11.销售及回款表'!X433)*'2.税率表'!$D$19</f>
        <v>0</v>
      </c>
      <c r="X123" s="228">
        <f>('11.销售及回款表'!Y428+'11.销售及回款表'!Y433)*'2.税率表'!$D$19</f>
        <v>0</v>
      </c>
      <c r="Y123" s="171">
        <f>('11.销售及回款表'!Z428+'11.销售及回款表'!Z433)*'2.税率表'!$D$19</f>
        <v>0</v>
      </c>
      <c r="Z123" s="171">
        <f>('11.销售及回款表'!AA428+'11.销售及回款表'!AA433)*'2.税率表'!$D$19</f>
        <v>0</v>
      </c>
      <c r="AA123" s="229">
        <f>('11.销售及回款表'!AB428+'11.销售及回款表'!AB433)*'2.税率表'!$D$19</f>
        <v>0</v>
      </c>
      <c r="AB123" s="228">
        <f>('11.销售及回款表'!AC428+'11.销售及回款表'!AC433)*'2.税率表'!$D$19</f>
        <v>0</v>
      </c>
      <c r="AC123" s="171">
        <f>('11.销售及回款表'!AD428+'11.销售及回款表'!AD433)*'2.税率表'!$D$19</f>
        <v>0</v>
      </c>
      <c r="AD123" s="171">
        <f>('11.销售及回款表'!AE428+'11.销售及回款表'!AE433)*'2.税率表'!$D$19</f>
        <v>0</v>
      </c>
      <c r="AE123" s="229">
        <f>('11.销售及回款表'!AF428+'11.销售及回款表'!AF433)*'2.税率表'!$D$19</f>
        <v>0</v>
      </c>
      <c r="AF123" s="228">
        <f>('11.销售及回款表'!AG428+'11.销售及回款表'!AG433)*'2.税率表'!$D$19</f>
        <v>0</v>
      </c>
      <c r="AG123" s="171">
        <f>('11.销售及回款表'!AH428+'11.销售及回款表'!AH433)*'2.税率表'!$D$19</f>
        <v>0</v>
      </c>
      <c r="AH123" s="171">
        <f>('11.销售及回款表'!AI428+'11.销售及回款表'!AI433)*'2.税率表'!$D$19</f>
        <v>0</v>
      </c>
      <c r="AI123" s="229">
        <f>('11.销售及回款表'!AJ428+'11.销售及回款表'!AJ433)*'2.税率表'!$D$19</f>
        <v>0</v>
      </c>
      <c r="AJ123" s="228">
        <f>('11.销售及回款表'!AK428+'11.销售及回款表'!AK433)*'2.税率表'!$D$19</f>
        <v>0</v>
      </c>
      <c r="AK123" s="171">
        <f>('11.销售及回款表'!AL428+'11.销售及回款表'!AL433)*'2.税率表'!$D$19</f>
        <v>0</v>
      </c>
      <c r="AL123" s="171">
        <f>('11.销售及回款表'!AM428+'11.销售及回款表'!AM433)*'2.税率表'!$D$19</f>
        <v>0</v>
      </c>
      <c r="AM123" s="229">
        <f>('11.销售及回款表'!AN428+'11.销售及回款表'!AN433)*'2.税率表'!$D$19</f>
        <v>0</v>
      </c>
      <c r="AN123" s="228">
        <f>('11.销售及回款表'!AO428+'11.销售及回款表'!AO433)*'2.税率表'!$D$19</f>
        <v>0</v>
      </c>
      <c r="AO123" s="171">
        <f>('11.销售及回款表'!AP428+'11.销售及回款表'!AP433)*'2.税率表'!$D$19</f>
        <v>0</v>
      </c>
      <c r="AP123" s="171">
        <f>('11.销售及回款表'!AQ428+'11.销售及回款表'!AQ433)*'2.税率表'!$D$19</f>
        <v>0</v>
      </c>
      <c r="AQ123" s="229">
        <f>('11.销售及回款表'!AR428+'11.销售及回款表'!AR433)*'2.税率表'!$D$19</f>
        <v>0</v>
      </c>
      <c r="AR123" s="228">
        <f>('11.销售及回款表'!AS428+'11.销售及回款表'!AS433)*'2.税率表'!$D$19</f>
        <v>0</v>
      </c>
      <c r="AS123" s="171">
        <f>('11.销售及回款表'!AT428+'11.销售及回款表'!AT433)*'2.税率表'!$D$19</f>
        <v>0</v>
      </c>
      <c r="AT123" s="171">
        <f>('11.销售及回款表'!AU428+'11.销售及回款表'!AU433)*'2.税率表'!$D$19</f>
        <v>0</v>
      </c>
      <c r="AU123" s="229">
        <f>('11.销售及回款表'!AV428+'11.销售及回款表'!AV433)*'2.税率表'!$D$19</f>
        <v>0</v>
      </c>
    </row>
    <row r="125" spans="1:48">
      <c r="A125" s="141" t="s">
        <v>616</v>
      </c>
    </row>
    <row r="126" spans="1:48" s="75" customFormat="1" ht="18" customHeight="1">
      <c r="A126" s="1872" t="str">
        <f>A116</f>
        <v>分期</v>
      </c>
      <c r="B126" s="1872" t="str">
        <f>B116</f>
        <v>产品类型</v>
      </c>
      <c r="C126" s="1872" t="str">
        <f t="shared" ref="C126:H126" si="99">C116</f>
        <v>合计</v>
      </c>
      <c r="D126" s="1869">
        <f t="shared" si="99"/>
        <v>2018</v>
      </c>
      <c r="E126" s="1869"/>
      <c r="F126" s="1869"/>
      <c r="G126" s="1869"/>
      <c r="H126" s="1869">
        <f t="shared" si="99"/>
        <v>2019</v>
      </c>
      <c r="I126" s="1869"/>
      <c r="J126" s="1869"/>
      <c r="K126" s="1869"/>
      <c r="L126" s="1869">
        <f>L116</f>
        <v>2020</v>
      </c>
      <c r="M126" s="1869"/>
      <c r="N126" s="1869"/>
      <c r="O126" s="1869"/>
      <c r="P126" s="1869">
        <f>P116</f>
        <v>2021</v>
      </c>
      <c r="Q126" s="1869"/>
      <c r="R126" s="1869"/>
      <c r="S126" s="1869"/>
      <c r="T126" s="1869">
        <f>T116</f>
        <v>2022</v>
      </c>
      <c r="U126" s="1869"/>
      <c r="V126" s="1869"/>
      <c r="W126" s="1869"/>
      <c r="X126" s="1869">
        <f>X116</f>
        <v>2023</v>
      </c>
      <c r="Y126" s="1869"/>
      <c r="Z126" s="1869"/>
      <c r="AA126" s="1869"/>
      <c r="AB126" s="1869">
        <f>AB116</f>
        <v>2024</v>
      </c>
      <c r="AC126" s="1869"/>
      <c r="AD126" s="1869"/>
      <c r="AE126" s="1869"/>
      <c r="AF126" s="1869">
        <f>AF116</f>
        <v>2025</v>
      </c>
      <c r="AG126" s="1869"/>
      <c r="AH126" s="1869"/>
      <c r="AI126" s="1869"/>
      <c r="AJ126" s="1869">
        <f>AJ116</f>
        <v>2026</v>
      </c>
      <c r="AK126" s="1869"/>
      <c r="AL126" s="1869"/>
      <c r="AM126" s="1869"/>
      <c r="AN126" s="1869">
        <f>AN116</f>
        <v>2027</v>
      </c>
      <c r="AO126" s="1869"/>
      <c r="AP126" s="1869"/>
      <c r="AQ126" s="1869"/>
      <c r="AR126" s="1869">
        <f>AR116</f>
        <v>2028</v>
      </c>
      <c r="AS126" s="1869"/>
      <c r="AT126" s="1869"/>
      <c r="AU126" s="1869"/>
    </row>
    <row r="127" spans="1:48" s="75" customFormat="1" hidden="1">
      <c r="A127" s="1872"/>
      <c r="B127" s="1872"/>
      <c r="C127" s="1872"/>
      <c r="D127" s="230">
        <v>1</v>
      </c>
      <c r="E127" s="230">
        <v>2</v>
      </c>
      <c r="F127" s="230">
        <v>3</v>
      </c>
      <c r="G127" s="230">
        <v>4</v>
      </c>
      <c r="H127" s="230">
        <v>5</v>
      </c>
      <c r="I127" s="230">
        <v>6</v>
      </c>
      <c r="J127" s="230">
        <v>7</v>
      </c>
      <c r="K127" s="230">
        <v>8</v>
      </c>
      <c r="L127" s="230">
        <v>9</v>
      </c>
      <c r="M127" s="230">
        <v>10</v>
      </c>
      <c r="N127" s="230">
        <v>11</v>
      </c>
      <c r="O127" s="230">
        <v>12</v>
      </c>
      <c r="P127" s="230">
        <v>13</v>
      </c>
      <c r="Q127" s="230">
        <v>14</v>
      </c>
      <c r="R127" s="230">
        <v>15</v>
      </c>
      <c r="S127" s="230">
        <v>16</v>
      </c>
      <c r="T127" s="230">
        <v>17</v>
      </c>
      <c r="U127" s="230">
        <v>18</v>
      </c>
      <c r="V127" s="230">
        <v>19</v>
      </c>
      <c r="W127" s="230">
        <v>20</v>
      </c>
      <c r="X127" s="230">
        <v>21</v>
      </c>
      <c r="Y127" s="230">
        <v>22</v>
      </c>
      <c r="Z127" s="230">
        <v>23</v>
      </c>
      <c r="AA127" s="230">
        <v>24</v>
      </c>
      <c r="AB127" s="230">
        <v>25</v>
      </c>
      <c r="AC127" s="230">
        <v>26</v>
      </c>
      <c r="AD127" s="230">
        <v>27</v>
      </c>
      <c r="AE127" s="230">
        <v>28</v>
      </c>
      <c r="AF127" s="230">
        <v>29</v>
      </c>
      <c r="AG127" s="230">
        <v>30</v>
      </c>
      <c r="AH127" s="230">
        <v>31</v>
      </c>
      <c r="AI127" s="230">
        <v>32</v>
      </c>
      <c r="AJ127" s="230">
        <v>33</v>
      </c>
      <c r="AK127" s="230">
        <v>34</v>
      </c>
      <c r="AL127" s="230">
        <v>35</v>
      </c>
      <c r="AM127" s="230">
        <v>36</v>
      </c>
      <c r="AN127" s="230">
        <v>37</v>
      </c>
      <c r="AO127" s="230">
        <v>38</v>
      </c>
      <c r="AP127" s="230">
        <v>39</v>
      </c>
      <c r="AQ127" s="230">
        <v>40</v>
      </c>
      <c r="AR127" s="230">
        <v>41</v>
      </c>
      <c r="AS127" s="230">
        <v>42</v>
      </c>
      <c r="AT127" s="230">
        <v>43</v>
      </c>
      <c r="AU127" s="230">
        <v>44</v>
      </c>
      <c r="AV127" s="236" t="s">
        <v>617</v>
      </c>
    </row>
    <row r="128" spans="1:48" s="75" customFormat="1" ht="18" customHeight="1">
      <c r="A128" s="1872"/>
      <c r="B128" s="1872"/>
      <c r="C128" s="1872"/>
      <c r="D128" s="231">
        <f t="shared" ref="D128:AU128" si="100">D117</f>
        <v>1</v>
      </c>
      <c r="E128" s="231">
        <f t="shared" si="100"/>
        <v>2</v>
      </c>
      <c r="F128" s="231">
        <f t="shared" si="100"/>
        <v>3</v>
      </c>
      <c r="G128" s="231">
        <f t="shared" si="100"/>
        <v>4</v>
      </c>
      <c r="H128" s="222">
        <f t="shared" si="100"/>
        <v>1</v>
      </c>
      <c r="I128" s="223">
        <f t="shared" si="100"/>
        <v>2</v>
      </c>
      <c r="J128" s="223">
        <f t="shared" si="100"/>
        <v>3</v>
      </c>
      <c r="K128" s="224">
        <f t="shared" si="100"/>
        <v>4</v>
      </c>
      <c r="L128" s="222">
        <f t="shared" si="100"/>
        <v>1</v>
      </c>
      <c r="M128" s="223">
        <f t="shared" si="100"/>
        <v>2</v>
      </c>
      <c r="N128" s="223">
        <f t="shared" si="100"/>
        <v>3</v>
      </c>
      <c r="O128" s="224">
        <f t="shared" si="100"/>
        <v>4</v>
      </c>
      <c r="P128" s="222">
        <f t="shared" si="100"/>
        <v>1</v>
      </c>
      <c r="Q128" s="223">
        <f t="shared" si="100"/>
        <v>2</v>
      </c>
      <c r="R128" s="223">
        <f t="shared" si="100"/>
        <v>3</v>
      </c>
      <c r="S128" s="224">
        <f t="shared" si="100"/>
        <v>4</v>
      </c>
      <c r="T128" s="222">
        <f t="shared" si="100"/>
        <v>1</v>
      </c>
      <c r="U128" s="223">
        <f t="shared" si="100"/>
        <v>2</v>
      </c>
      <c r="V128" s="223">
        <f t="shared" si="100"/>
        <v>3</v>
      </c>
      <c r="W128" s="224">
        <f t="shared" si="100"/>
        <v>4</v>
      </c>
      <c r="X128" s="222">
        <f t="shared" si="100"/>
        <v>1</v>
      </c>
      <c r="Y128" s="223">
        <f t="shared" si="100"/>
        <v>2</v>
      </c>
      <c r="Z128" s="223">
        <f t="shared" si="100"/>
        <v>3</v>
      </c>
      <c r="AA128" s="224">
        <f t="shared" si="100"/>
        <v>4</v>
      </c>
      <c r="AB128" s="222">
        <f t="shared" si="100"/>
        <v>1</v>
      </c>
      <c r="AC128" s="223">
        <f t="shared" si="100"/>
        <v>2</v>
      </c>
      <c r="AD128" s="223">
        <f t="shared" si="100"/>
        <v>3</v>
      </c>
      <c r="AE128" s="224">
        <f t="shared" si="100"/>
        <v>4</v>
      </c>
      <c r="AF128" s="222">
        <f t="shared" si="100"/>
        <v>1</v>
      </c>
      <c r="AG128" s="223">
        <f t="shared" si="100"/>
        <v>2</v>
      </c>
      <c r="AH128" s="223">
        <f t="shared" si="100"/>
        <v>3</v>
      </c>
      <c r="AI128" s="224">
        <f t="shared" si="100"/>
        <v>4</v>
      </c>
      <c r="AJ128" s="222">
        <f t="shared" si="100"/>
        <v>1</v>
      </c>
      <c r="AK128" s="223">
        <f t="shared" si="100"/>
        <v>2</v>
      </c>
      <c r="AL128" s="223">
        <f t="shared" si="100"/>
        <v>3</v>
      </c>
      <c r="AM128" s="224">
        <f t="shared" si="100"/>
        <v>4</v>
      </c>
      <c r="AN128" s="222">
        <f t="shared" si="100"/>
        <v>1</v>
      </c>
      <c r="AO128" s="223">
        <f t="shared" si="100"/>
        <v>2</v>
      </c>
      <c r="AP128" s="223">
        <f t="shared" si="100"/>
        <v>3</v>
      </c>
      <c r="AQ128" s="224">
        <f t="shared" si="100"/>
        <v>4</v>
      </c>
      <c r="AR128" s="222">
        <f t="shared" si="100"/>
        <v>1</v>
      </c>
      <c r="AS128" s="223">
        <f t="shared" si="100"/>
        <v>2</v>
      </c>
      <c r="AT128" s="223">
        <f t="shared" si="100"/>
        <v>3</v>
      </c>
      <c r="AU128" s="224">
        <f t="shared" si="100"/>
        <v>4</v>
      </c>
    </row>
    <row r="129" spans="1:48" s="75" customFormat="1" ht="18" customHeight="1">
      <c r="A129" s="225" t="s">
        <v>19</v>
      </c>
      <c r="B129" s="237" t="str">
        <f t="shared" ref="B129:B134" si="101">B118</f>
        <v>所有产品</v>
      </c>
      <c r="C129" s="227">
        <f ca="1">MAX(C20,C21)-C118</f>
        <v>5137.1626907704276</v>
      </c>
      <c r="D129" s="238">
        <f t="shared" ref="D129:S134" si="102">IF($AV129+3=D$127,$C129,0)</f>
        <v>0</v>
      </c>
      <c r="E129" s="239">
        <f t="shared" si="102"/>
        <v>0</v>
      </c>
      <c r="F129" s="239">
        <f t="shared" si="102"/>
        <v>0</v>
      </c>
      <c r="G129" s="240">
        <f t="shared" si="102"/>
        <v>0</v>
      </c>
      <c r="H129" s="238">
        <f t="shared" si="102"/>
        <v>0</v>
      </c>
      <c r="I129" s="239">
        <f t="shared" si="102"/>
        <v>0</v>
      </c>
      <c r="J129" s="239">
        <f t="shared" si="102"/>
        <v>0</v>
      </c>
      <c r="K129" s="240">
        <f t="shared" si="102"/>
        <v>0</v>
      </c>
      <c r="L129" s="238">
        <f t="shared" si="102"/>
        <v>0</v>
      </c>
      <c r="M129" s="239">
        <f t="shared" si="102"/>
        <v>0</v>
      </c>
      <c r="N129" s="239">
        <f t="shared" si="102"/>
        <v>0</v>
      </c>
      <c r="O129" s="240">
        <f t="shared" ca="1" si="102"/>
        <v>5137.1626907704276</v>
      </c>
      <c r="P129" s="238">
        <f t="shared" si="102"/>
        <v>0</v>
      </c>
      <c r="Q129" s="239">
        <f t="shared" si="102"/>
        <v>0</v>
      </c>
      <c r="R129" s="239">
        <f t="shared" si="102"/>
        <v>0</v>
      </c>
      <c r="S129" s="240">
        <f t="shared" si="102"/>
        <v>0</v>
      </c>
      <c r="T129" s="238">
        <f t="shared" ref="T129:AU134" si="103">IF($AV129+3=T$127,$C129,0)</f>
        <v>0</v>
      </c>
      <c r="U129" s="239">
        <f t="shared" si="103"/>
        <v>0</v>
      </c>
      <c r="V129" s="239">
        <f t="shared" si="103"/>
        <v>0</v>
      </c>
      <c r="W129" s="240">
        <f t="shared" si="103"/>
        <v>0</v>
      </c>
      <c r="X129" s="238">
        <f t="shared" si="103"/>
        <v>0</v>
      </c>
      <c r="Y129" s="239">
        <f t="shared" si="103"/>
        <v>0</v>
      </c>
      <c r="Z129" s="239">
        <f t="shared" si="103"/>
        <v>0</v>
      </c>
      <c r="AA129" s="240">
        <f t="shared" si="103"/>
        <v>0</v>
      </c>
      <c r="AB129" s="238">
        <f t="shared" si="103"/>
        <v>0</v>
      </c>
      <c r="AC129" s="239">
        <f t="shared" si="103"/>
        <v>0</v>
      </c>
      <c r="AD129" s="239">
        <f t="shared" si="103"/>
        <v>0</v>
      </c>
      <c r="AE129" s="240">
        <f t="shared" si="103"/>
        <v>0</v>
      </c>
      <c r="AF129" s="238">
        <f t="shared" si="103"/>
        <v>0</v>
      </c>
      <c r="AG129" s="239">
        <f t="shared" si="103"/>
        <v>0</v>
      </c>
      <c r="AH129" s="239">
        <f t="shared" si="103"/>
        <v>0</v>
      </c>
      <c r="AI129" s="240">
        <f t="shared" si="103"/>
        <v>0</v>
      </c>
      <c r="AJ129" s="238">
        <f t="shared" si="103"/>
        <v>0</v>
      </c>
      <c r="AK129" s="239">
        <f t="shared" si="103"/>
        <v>0</v>
      </c>
      <c r="AL129" s="239">
        <f t="shared" si="103"/>
        <v>0</v>
      </c>
      <c r="AM129" s="240">
        <f t="shared" si="103"/>
        <v>0</v>
      </c>
      <c r="AN129" s="238">
        <f t="shared" si="103"/>
        <v>0</v>
      </c>
      <c r="AO129" s="239">
        <f t="shared" si="103"/>
        <v>0</v>
      </c>
      <c r="AP129" s="239">
        <f t="shared" si="103"/>
        <v>0</v>
      </c>
      <c r="AQ129" s="240">
        <f t="shared" si="103"/>
        <v>0</v>
      </c>
      <c r="AR129" s="238">
        <f t="shared" si="103"/>
        <v>0</v>
      </c>
      <c r="AS129" s="239">
        <f t="shared" si="103"/>
        <v>0</v>
      </c>
      <c r="AT129" s="239">
        <f t="shared" si="103"/>
        <v>0</v>
      </c>
      <c r="AU129" s="240">
        <f t="shared" si="103"/>
        <v>0</v>
      </c>
      <c r="AV129" s="255">
        <f>IF(ISERROR(MATCH('1.参数设置'!$C10,$D$126:$AU$126,0)),0,MATCH('1.参数设置'!$C10,$D$126:$AU$126,0))</f>
        <v>9</v>
      </c>
    </row>
    <row r="130" spans="1:48" s="75" customFormat="1" ht="18" customHeight="1">
      <c r="A130" s="225" t="s">
        <v>20</v>
      </c>
      <c r="B130" s="237" t="str">
        <f t="shared" si="101"/>
        <v>所有产品</v>
      </c>
      <c r="C130" s="227">
        <f ca="1">MAX(C38,C39)-C119</f>
        <v>0</v>
      </c>
      <c r="D130" s="238">
        <f t="shared" si="102"/>
        <v>0</v>
      </c>
      <c r="E130" s="239">
        <f t="shared" si="102"/>
        <v>0</v>
      </c>
      <c r="F130" s="239">
        <f t="shared" ca="1" si="102"/>
        <v>0</v>
      </c>
      <c r="G130" s="240">
        <f t="shared" si="102"/>
        <v>0</v>
      </c>
      <c r="H130" s="238">
        <f t="shared" si="102"/>
        <v>0</v>
      </c>
      <c r="I130" s="239">
        <f t="shared" si="102"/>
        <v>0</v>
      </c>
      <c r="J130" s="239">
        <f t="shared" si="102"/>
        <v>0</v>
      </c>
      <c r="K130" s="240">
        <f t="shared" si="102"/>
        <v>0</v>
      </c>
      <c r="L130" s="238">
        <f t="shared" si="102"/>
        <v>0</v>
      </c>
      <c r="M130" s="239">
        <f t="shared" si="102"/>
        <v>0</v>
      </c>
      <c r="N130" s="239">
        <f t="shared" si="102"/>
        <v>0</v>
      </c>
      <c r="O130" s="240">
        <f t="shared" si="102"/>
        <v>0</v>
      </c>
      <c r="P130" s="238">
        <f t="shared" si="102"/>
        <v>0</v>
      </c>
      <c r="Q130" s="239">
        <f t="shared" si="102"/>
        <v>0</v>
      </c>
      <c r="R130" s="239">
        <f t="shared" si="102"/>
        <v>0</v>
      </c>
      <c r="S130" s="240">
        <f t="shared" si="102"/>
        <v>0</v>
      </c>
      <c r="T130" s="238">
        <f t="shared" si="103"/>
        <v>0</v>
      </c>
      <c r="U130" s="239">
        <f t="shared" si="103"/>
        <v>0</v>
      </c>
      <c r="V130" s="239">
        <f t="shared" si="103"/>
        <v>0</v>
      </c>
      <c r="W130" s="240">
        <f t="shared" si="103"/>
        <v>0</v>
      </c>
      <c r="X130" s="238">
        <f t="shared" si="103"/>
        <v>0</v>
      </c>
      <c r="Y130" s="239">
        <f t="shared" si="103"/>
        <v>0</v>
      </c>
      <c r="Z130" s="239">
        <f t="shared" si="103"/>
        <v>0</v>
      </c>
      <c r="AA130" s="240">
        <f t="shared" si="103"/>
        <v>0</v>
      </c>
      <c r="AB130" s="238">
        <f t="shared" si="103"/>
        <v>0</v>
      </c>
      <c r="AC130" s="239">
        <f t="shared" si="103"/>
        <v>0</v>
      </c>
      <c r="AD130" s="239">
        <f t="shared" si="103"/>
        <v>0</v>
      </c>
      <c r="AE130" s="240">
        <f t="shared" si="103"/>
        <v>0</v>
      </c>
      <c r="AF130" s="238">
        <f t="shared" si="103"/>
        <v>0</v>
      </c>
      <c r="AG130" s="239">
        <f t="shared" si="103"/>
        <v>0</v>
      </c>
      <c r="AH130" s="239">
        <f t="shared" si="103"/>
        <v>0</v>
      </c>
      <c r="AI130" s="240">
        <f t="shared" si="103"/>
        <v>0</v>
      </c>
      <c r="AJ130" s="238">
        <f t="shared" si="103"/>
        <v>0</v>
      </c>
      <c r="AK130" s="239">
        <f t="shared" si="103"/>
        <v>0</v>
      </c>
      <c r="AL130" s="239">
        <f t="shared" si="103"/>
        <v>0</v>
      </c>
      <c r="AM130" s="240">
        <f t="shared" si="103"/>
        <v>0</v>
      </c>
      <c r="AN130" s="238">
        <f t="shared" si="103"/>
        <v>0</v>
      </c>
      <c r="AO130" s="239">
        <f t="shared" si="103"/>
        <v>0</v>
      </c>
      <c r="AP130" s="239">
        <f t="shared" si="103"/>
        <v>0</v>
      </c>
      <c r="AQ130" s="240">
        <f t="shared" si="103"/>
        <v>0</v>
      </c>
      <c r="AR130" s="238">
        <f t="shared" si="103"/>
        <v>0</v>
      </c>
      <c r="AS130" s="239">
        <f t="shared" si="103"/>
        <v>0</v>
      </c>
      <c r="AT130" s="239">
        <f t="shared" si="103"/>
        <v>0</v>
      </c>
      <c r="AU130" s="240">
        <f t="shared" si="103"/>
        <v>0</v>
      </c>
      <c r="AV130" s="255">
        <f>IF(ISERROR(MATCH('1.参数设置'!$C11,$D$126:$AU$126,0)),0,MATCH('1.参数设置'!$C11,$D$126:$AU$126,0))</f>
        <v>0</v>
      </c>
    </row>
    <row r="131" spans="1:48" s="75" customFormat="1" ht="18" customHeight="1">
      <c r="A131" s="225" t="s">
        <v>21</v>
      </c>
      <c r="B131" s="237" t="str">
        <f t="shared" si="101"/>
        <v>所有产品</v>
      </c>
      <c r="C131" s="227">
        <f ca="1">MAX(C56,C57)-C120</f>
        <v>0</v>
      </c>
      <c r="D131" s="238">
        <f t="shared" si="102"/>
        <v>0</v>
      </c>
      <c r="E131" s="239">
        <f t="shared" si="102"/>
        <v>0</v>
      </c>
      <c r="F131" s="239">
        <f t="shared" ca="1" si="102"/>
        <v>0</v>
      </c>
      <c r="G131" s="240">
        <f t="shared" si="102"/>
        <v>0</v>
      </c>
      <c r="H131" s="238">
        <f t="shared" si="102"/>
        <v>0</v>
      </c>
      <c r="I131" s="239">
        <f t="shared" si="102"/>
        <v>0</v>
      </c>
      <c r="J131" s="239">
        <f t="shared" si="102"/>
        <v>0</v>
      </c>
      <c r="K131" s="240">
        <f t="shared" si="102"/>
        <v>0</v>
      </c>
      <c r="L131" s="238">
        <f t="shared" si="102"/>
        <v>0</v>
      </c>
      <c r="M131" s="239">
        <f t="shared" si="102"/>
        <v>0</v>
      </c>
      <c r="N131" s="239">
        <f t="shared" si="102"/>
        <v>0</v>
      </c>
      <c r="O131" s="240">
        <f t="shared" si="102"/>
        <v>0</v>
      </c>
      <c r="P131" s="238">
        <f t="shared" si="102"/>
        <v>0</v>
      </c>
      <c r="Q131" s="239">
        <f t="shared" si="102"/>
        <v>0</v>
      </c>
      <c r="R131" s="239">
        <f t="shared" si="102"/>
        <v>0</v>
      </c>
      <c r="S131" s="240">
        <f t="shared" si="102"/>
        <v>0</v>
      </c>
      <c r="T131" s="238">
        <f t="shared" si="103"/>
        <v>0</v>
      </c>
      <c r="U131" s="239">
        <f t="shared" si="103"/>
        <v>0</v>
      </c>
      <c r="V131" s="239">
        <f t="shared" si="103"/>
        <v>0</v>
      </c>
      <c r="W131" s="240">
        <f t="shared" si="103"/>
        <v>0</v>
      </c>
      <c r="X131" s="238">
        <f t="shared" si="103"/>
        <v>0</v>
      </c>
      <c r="Y131" s="239">
        <f t="shared" si="103"/>
        <v>0</v>
      </c>
      <c r="Z131" s="239">
        <f t="shared" si="103"/>
        <v>0</v>
      </c>
      <c r="AA131" s="240">
        <f t="shared" si="103"/>
        <v>0</v>
      </c>
      <c r="AB131" s="238">
        <f t="shared" si="103"/>
        <v>0</v>
      </c>
      <c r="AC131" s="239">
        <f t="shared" si="103"/>
        <v>0</v>
      </c>
      <c r="AD131" s="239">
        <f t="shared" si="103"/>
        <v>0</v>
      </c>
      <c r="AE131" s="240">
        <f t="shared" si="103"/>
        <v>0</v>
      </c>
      <c r="AF131" s="238">
        <f t="shared" si="103"/>
        <v>0</v>
      </c>
      <c r="AG131" s="239">
        <f t="shared" si="103"/>
        <v>0</v>
      </c>
      <c r="AH131" s="239">
        <f t="shared" si="103"/>
        <v>0</v>
      </c>
      <c r="AI131" s="240">
        <f t="shared" si="103"/>
        <v>0</v>
      </c>
      <c r="AJ131" s="238">
        <f t="shared" si="103"/>
        <v>0</v>
      </c>
      <c r="AK131" s="239">
        <f t="shared" si="103"/>
        <v>0</v>
      </c>
      <c r="AL131" s="239">
        <f t="shared" si="103"/>
        <v>0</v>
      </c>
      <c r="AM131" s="240">
        <f t="shared" si="103"/>
        <v>0</v>
      </c>
      <c r="AN131" s="238">
        <f t="shared" si="103"/>
        <v>0</v>
      </c>
      <c r="AO131" s="239">
        <f t="shared" si="103"/>
        <v>0</v>
      </c>
      <c r="AP131" s="239">
        <f t="shared" si="103"/>
        <v>0</v>
      </c>
      <c r="AQ131" s="240">
        <f t="shared" si="103"/>
        <v>0</v>
      </c>
      <c r="AR131" s="238">
        <f t="shared" si="103"/>
        <v>0</v>
      </c>
      <c r="AS131" s="239">
        <f t="shared" si="103"/>
        <v>0</v>
      </c>
      <c r="AT131" s="239">
        <f t="shared" si="103"/>
        <v>0</v>
      </c>
      <c r="AU131" s="240">
        <f t="shared" si="103"/>
        <v>0</v>
      </c>
      <c r="AV131" s="255">
        <f>IF(ISERROR(MATCH('1.参数设置'!C12,$D$126:$AU$126,0)),0,MATCH('1.参数设置'!C12,$D$126:$AU$126,0))</f>
        <v>0</v>
      </c>
    </row>
    <row r="132" spans="1:48" s="75" customFormat="1" ht="18" customHeight="1">
      <c r="A132" s="225" t="s">
        <v>22</v>
      </c>
      <c r="B132" s="237" t="str">
        <f t="shared" si="101"/>
        <v>所有产品</v>
      </c>
      <c r="C132" s="227">
        <f ca="1">MAX(C74,C75)-C121</f>
        <v>0</v>
      </c>
      <c r="D132" s="238">
        <f t="shared" si="102"/>
        <v>0</v>
      </c>
      <c r="E132" s="239">
        <f t="shared" si="102"/>
        <v>0</v>
      </c>
      <c r="F132" s="239">
        <f t="shared" ca="1" si="102"/>
        <v>0</v>
      </c>
      <c r="G132" s="240">
        <f t="shared" si="102"/>
        <v>0</v>
      </c>
      <c r="H132" s="238">
        <f t="shared" si="102"/>
        <v>0</v>
      </c>
      <c r="I132" s="239">
        <f t="shared" si="102"/>
        <v>0</v>
      </c>
      <c r="J132" s="239">
        <f t="shared" si="102"/>
        <v>0</v>
      </c>
      <c r="K132" s="240">
        <f t="shared" si="102"/>
        <v>0</v>
      </c>
      <c r="L132" s="238">
        <f t="shared" si="102"/>
        <v>0</v>
      </c>
      <c r="M132" s="239">
        <f t="shared" si="102"/>
        <v>0</v>
      </c>
      <c r="N132" s="239">
        <f t="shared" si="102"/>
        <v>0</v>
      </c>
      <c r="O132" s="240">
        <f t="shared" si="102"/>
        <v>0</v>
      </c>
      <c r="P132" s="238">
        <f t="shared" si="102"/>
        <v>0</v>
      </c>
      <c r="Q132" s="239">
        <f t="shared" si="102"/>
        <v>0</v>
      </c>
      <c r="R132" s="239">
        <f t="shared" si="102"/>
        <v>0</v>
      </c>
      <c r="S132" s="240">
        <f t="shared" si="102"/>
        <v>0</v>
      </c>
      <c r="T132" s="238">
        <f t="shared" si="103"/>
        <v>0</v>
      </c>
      <c r="U132" s="239">
        <f t="shared" si="103"/>
        <v>0</v>
      </c>
      <c r="V132" s="239">
        <f t="shared" si="103"/>
        <v>0</v>
      </c>
      <c r="W132" s="240">
        <f t="shared" si="103"/>
        <v>0</v>
      </c>
      <c r="X132" s="238">
        <f t="shared" si="103"/>
        <v>0</v>
      </c>
      <c r="Y132" s="239">
        <f t="shared" si="103"/>
        <v>0</v>
      </c>
      <c r="Z132" s="239">
        <f t="shared" si="103"/>
        <v>0</v>
      </c>
      <c r="AA132" s="240">
        <f t="shared" si="103"/>
        <v>0</v>
      </c>
      <c r="AB132" s="238">
        <f t="shared" si="103"/>
        <v>0</v>
      </c>
      <c r="AC132" s="239">
        <f t="shared" si="103"/>
        <v>0</v>
      </c>
      <c r="AD132" s="239">
        <f t="shared" si="103"/>
        <v>0</v>
      </c>
      <c r="AE132" s="240">
        <f t="shared" si="103"/>
        <v>0</v>
      </c>
      <c r="AF132" s="238">
        <f t="shared" si="103"/>
        <v>0</v>
      </c>
      <c r="AG132" s="239">
        <f t="shared" si="103"/>
        <v>0</v>
      </c>
      <c r="AH132" s="239">
        <f t="shared" si="103"/>
        <v>0</v>
      </c>
      <c r="AI132" s="240">
        <f t="shared" si="103"/>
        <v>0</v>
      </c>
      <c r="AJ132" s="238">
        <f t="shared" si="103"/>
        <v>0</v>
      </c>
      <c r="AK132" s="239">
        <f t="shared" si="103"/>
        <v>0</v>
      </c>
      <c r="AL132" s="239">
        <f t="shared" si="103"/>
        <v>0</v>
      </c>
      <c r="AM132" s="240">
        <f t="shared" si="103"/>
        <v>0</v>
      </c>
      <c r="AN132" s="238">
        <f t="shared" si="103"/>
        <v>0</v>
      </c>
      <c r="AO132" s="239">
        <f t="shared" si="103"/>
        <v>0</v>
      </c>
      <c r="AP132" s="239">
        <f t="shared" si="103"/>
        <v>0</v>
      </c>
      <c r="AQ132" s="240">
        <f t="shared" si="103"/>
        <v>0</v>
      </c>
      <c r="AR132" s="238">
        <f t="shared" si="103"/>
        <v>0</v>
      </c>
      <c r="AS132" s="239">
        <f t="shared" si="103"/>
        <v>0</v>
      </c>
      <c r="AT132" s="239">
        <f t="shared" si="103"/>
        <v>0</v>
      </c>
      <c r="AU132" s="240">
        <f t="shared" si="103"/>
        <v>0</v>
      </c>
      <c r="AV132" s="255">
        <f>IF(ISERROR(MATCH('1.参数设置'!$F10,$D$126:$AU$126,0)),0,MATCH('1.参数设置'!$F10,$D$126:$AU$126,0))</f>
        <v>0</v>
      </c>
    </row>
    <row r="133" spans="1:48" s="75" customFormat="1" ht="18" customHeight="1">
      <c r="A133" s="225" t="s">
        <v>23</v>
      </c>
      <c r="B133" s="237" t="str">
        <f t="shared" si="101"/>
        <v>所有产品</v>
      </c>
      <c r="C133" s="227">
        <f ca="1">MAX(C92,C93)-C122</f>
        <v>0</v>
      </c>
      <c r="D133" s="238">
        <f t="shared" si="102"/>
        <v>0</v>
      </c>
      <c r="E133" s="239">
        <f t="shared" si="102"/>
        <v>0</v>
      </c>
      <c r="F133" s="239">
        <f t="shared" ca="1" si="102"/>
        <v>0</v>
      </c>
      <c r="G133" s="240">
        <f t="shared" si="102"/>
        <v>0</v>
      </c>
      <c r="H133" s="238">
        <f t="shared" si="102"/>
        <v>0</v>
      </c>
      <c r="I133" s="239">
        <f t="shared" si="102"/>
        <v>0</v>
      </c>
      <c r="J133" s="239">
        <f t="shared" si="102"/>
        <v>0</v>
      </c>
      <c r="K133" s="240">
        <f t="shared" si="102"/>
        <v>0</v>
      </c>
      <c r="L133" s="238">
        <f t="shared" si="102"/>
        <v>0</v>
      </c>
      <c r="M133" s="239">
        <f t="shared" si="102"/>
        <v>0</v>
      </c>
      <c r="N133" s="239">
        <f t="shared" si="102"/>
        <v>0</v>
      </c>
      <c r="O133" s="240">
        <f t="shared" si="102"/>
        <v>0</v>
      </c>
      <c r="P133" s="238">
        <f t="shared" si="102"/>
        <v>0</v>
      </c>
      <c r="Q133" s="239">
        <f t="shared" si="102"/>
        <v>0</v>
      </c>
      <c r="R133" s="239">
        <f t="shared" si="102"/>
        <v>0</v>
      </c>
      <c r="S133" s="240">
        <f t="shared" si="102"/>
        <v>0</v>
      </c>
      <c r="T133" s="238">
        <f t="shared" si="103"/>
        <v>0</v>
      </c>
      <c r="U133" s="239">
        <f t="shared" si="103"/>
        <v>0</v>
      </c>
      <c r="V133" s="239">
        <f t="shared" si="103"/>
        <v>0</v>
      </c>
      <c r="W133" s="240">
        <f t="shared" si="103"/>
        <v>0</v>
      </c>
      <c r="X133" s="238">
        <f t="shared" si="103"/>
        <v>0</v>
      </c>
      <c r="Y133" s="239">
        <f t="shared" si="103"/>
        <v>0</v>
      </c>
      <c r="Z133" s="239">
        <f t="shared" si="103"/>
        <v>0</v>
      </c>
      <c r="AA133" s="240">
        <f t="shared" si="103"/>
        <v>0</v>
      </c>
      <c r="AB133" s="238">
        <f t="shared" si="103"/>
        <v>0</v>
      </c>
      <c r="AC133" s="239">
        <f t="shared" si="103"/>
        <v>0</v>
      </c>
      <c r="AD133" s="239">
        <f t="shared" si="103"/>
        <v>0</v>
      </c>
      <c r="AE133" s="240">
        <f t="shared" si="103"/>
        <v>0</v>
      </c>
      <c r="AF133" s="238">
        <f t="shared" si="103"/>
        <v>0</v>
      </c>
      <c r="AG133" s="239">
        <f t="shared" si="103"/>
        <v>0</v>
      </c>
      <c r="AH133" s="239">
        <f t="shared" si="103"/>
        <v>0</v>
      </c>
      <c r="AI133" s="240">
        <f t="shared" si="103"/>
        <v>0</v>
      </c>
      <c r="AJ133" s="238">
        <f t="shared" si="103"/>
        <v>0</v>
      </c>
      <c r="AK133" s="239">
        <f t="shared" si="103"/>
        <v>0</v>
      </c>
      <c r="AL133" s="239">
        <f t="shared" si="103"/>
        <v>0</v>
      </c>
      <c r="AM133" s="240">
        <f t="shared" si="103"/>
        <v>0</v>
      </c>
      <c r="AN133" s="238">
        <f t="shared" si="103"/>
        <v>0</v>
      </c>
      <c r="AO133" s="239">
        <f t="shared" si="103"/>
        <v>0</v>
      </c>
      <c r="AP133" s="239">
        <f t="shared" si="103"/>
        <v>0</v>
      </c>
      <c r="AQ133" s="240">
        <f t="shared" si="103"/>
        <v>0</v>
      </c>
      <c r="AR133" s="238">
        <f t="shared" si="103"/>
        <v>0</v>
      </c>
      <c r="AS133" s="239">
        <f t="shared" si="103"/>
        <v>0</v>
      </c>
      <c r="AT133" s="239">
        <f t="shared" si="103"/>
        <v>0</v>
      </c>
      <c r="AU133" s="240">
        <f t="shared" si="103"/>
        <v>0</v>
      </c>
      <c r="AV133" s="255">
        <f>IF(ISERROR(MATCH('1.参数设置'!$F11,$D$126:$AU$126,0)),0,MATCH('1.参数设置'!$F11,$D$126:$AU$126,0))</f>
        <v>0</v>
      </c>
    </row>
    <row r="134" spans="1:48" s="75" customFormat="1" ht="18" customHeight="1">
      <c r="A134" s="225" t="s">
        <v>24</v>
      </c>
      <c r="B134" s="237" t="str">
        <f t="shared" si="101"/>
        <v>所有产品</v>
      </c>
      <c r="C134" s="227">
        <f ca="1">MAX(C110,C111)-C123</f>
        <v>0</v>
      </c>
      <c r="D134" s="238">
        <f t="shared" si="102"/>
        <v>0</v>
      </c>
      <c r="E134" s="239">
        <f t="shared" si="102"/>
        <v>0</v>
      </c>
      <c r="F134" s="239">
        <f t="shared" ca="1" si="102"/>
        <v>0</v>
      </c>
      <c r="G134" s="240">
        <f t="shared" si="102"/>
        <v>0</v>
      </c>
      <c r="H134" s="238">
        <f t="shared" si="102"/>
        <v>0</v>
      </c>
      <c r="I134" s="239">
        <f t="shared" si="102"/>
        <v>0</v>
      </c>
      <c r="J134" s="239">
        <f t="shared" si="102"/>
        <v>0</v>
      </c>
      <c r="K134" s="240">
        <f t="shared" si="102"/>
        <v>0</v>
      </c>
      <c r="L134" s="238">
        <f t="shared" si="102"/>
        <v>0</v>
      </c>
      <c r="M134" s="239">
        <f t="shared" si="102"/>
        <v>0</v>
      </c>
      <c r="N134" s="239">
        <f t="shared" si="102"/>
        <v>0</v>
      </c>
      <c r="O134" s="240">
        <f t="shared" si="102"/>
        <v>0</v>
      </c>
      <c r="P134" s="238">
        <f t="shared" si="102"/>
        <v>0</v>
      </c>
      <c r="Q134" s="239">
        <f t="shared" si="102"/>
        <v>0</v>
      </c>
      <c r="R134" s="239">
        <f t="shared" si="102"/>
        <v>0</v>
      </c>
      <c r="S134" s="240">
        <f t="shared" si="102"/>
        <v>0</v>
      </c>
      <c r="T134" s="238">
        <f t="shared" si="103"/>
        <v>0</v>
      </c>
      <c r="U134" s="239">
        <f t="shared" si="103"/>
        <v>0</v>
      </c>
      <c r="V134" s="239">
        <f t="shared" si="103"/>
        <v>0</v>
      </c>
      <c r="W134" s="240">
        <f t="shared" si="103"/>
        <v>0</v>
      </c>
      <c r="X134" s="238">
        <f t="shared" si="103"/>
        <v>0</v>
      </c>
      <c r="Y134" s="239">
        <f t="shared" si="103"/>
        <v>0</v>
      </c>
      <c r="Z134" s="239">
        <f t="shared" si="103"/>
        <v>0</v>
      </c>
      <c r="AA134" s="240">
        <f t="shared" si="103"/>
        <v>0</v>
      </c>
      <c r="AB134" s="238">
        <f t="shared" si="103"/>
        <v>0</v>
      </c>
      <c r="AC134" s="239">
        <f t="shared" si="103"/>
        <v>0</v>
      </c>
      <c r="AD134" s="239">
        <f t="shared" si="103"/>
        <v>0</v>
      </c>
      <c r="AE134" s="240">
        <f t="shared" si="103"/>
        <v>0</v>
      </c>
      <c r="AF134" s="238">
        <f t="shared" si="103"/>
        <v>0</v>
      </c>
      <c r="AG134" s="239">
        <f t="shared" si="103"/>
        <v>0</v>
      </c>
      <c r="AH134" s="239">
        <f t="shared" si="103"/>
        <v>0</v>
      </c>
      <c r="AI134" s="240">
        <f t="shared" si="103"/>
        <v>0</v>
      </c>
      <c r="AJ134" s="238">
        <f t="shared" si="103"/>
        <v>0</v>
      </c>
      <c r="AK134" s="239">
        <f t="shared" si="103"/>
        <v>0</v>
      </c>
      <c r="AL134" s="239">
        <f t="shared" si="103"/>
        <v>0</v>
      </c>
      <c r="AM134" s="240">
        <f t="shared" si="103"/>
        <v>0</v>
      </c>
      <c r="AN134" s="238">
        <f t="shared" si="103"/>
        <v>0</v>
      </c>
      <c r="AO134" s="239">
        <f t="shared" si="103"/>
        <v>0</v>
      </c>
      <c r="AP134" s="239">
        <f t="shared" si="103"/>
        <v>0</v>
      </c>
      <c r="AQ134" s="240">
        <f t="shared" si="103"/>
        <v>0</v>
      </c>
      <c r="AR134" s="238">
        <f t="shared" si="103"/>
        <v>0</v>
      </c>
      <c r="AS134" s="239">
        <f t="shared" si="103"/>
        <v>0</v>
      </c>
      <c r="AT134" s="239">
        <f t="shared" si="103"/>
        <v>0</v>
      </c>
      <c r="AU134" s="240">
        <f t="shared" si="103"/>
        <v>0</v>
      </c>
      <c r="AV134" s="255">
        <f>IF(ISERROR(MATCH('1.参数设置'!$F12,$D$126:$AU$126,0)),0,MATCH('1.参数设置'!$F12,$D$126:$AU$126,0))</f>
        <v>0</v>
      </c>
    </row>
    <row r="135" spans="1:48" ht="14.25" customHeight="1">
      <c r="B135" s="241" t="s">
        <v>553</v>
      </c>
      <c r="C135" s="242">
        <f ca="1">SUM(C118:C123,C129:C134)-'7.现金流量表'!C17-'7.现金流量表'!C23</f>
        <v>-2374.1188148763449</v>
      </c>
    </row>
  </sheetData>
  <sheetProtection sheet="1" objects="1" scenarios="1"/>
  <protectedRanges>
    <protectedRange sqref="D5:O5 D23:O23 D41:O41 D59:O59 D77:O77 D95:O95" name="区域1_1"/>
  </protectedRanges>
  <mergeCells count="40">
    <mergeCell ref="C116:C117"/>
    <mergeCell ref="C126:C128"/>
    <mergeCell ref="A97:A111"/>
    <mergeCell ref="A116:A117"/>
    <mergeCell ref="A126:A128"/>
    <mergeCell ref="B116:B117"/>
    <mergeCell ref="B126:B128"/>
    <mergeCell ref="A7:A21"/>
    <mergeCell ref="A25:A39"/>
    <mergeCell ref="A43:A57"/>
    <mergeCell ref="A61:A75"/>
    <mergeCell ref="A79:A93"/>
    <mergeCell ref="AN116:AQ116"/>
    <mergeCell ref="AR116:AU116"/>
    <mergeCell ref="D126:G126"/>
    <mergeCell ref="H126:K126"/>
    <mergeCell ref="L126:O126"/>
    <mergeCell ref="P126:S126"/>
    <mergeCell ref="T126:W126"/>
    <mergeCell ref="X126:AA126"/>
    <mergeCell ref="AB126:AE126"/>
    <mergeCell ref="AF126:AI126"/>
    <mergeCell ref="AJ126:AM126"/>
    <mergeCell ref="AN126:AQ126"/>
    <mergeCell ref="AR126:AU126"/>
    <mergeCell ref="T116:W116"/>
    <mergeCell ref="X116:AA116"/>
    <mergeCell ref="AB116:AE116"/>
    <mergeCell ref="AF116:AI116"/>
    <mergeCell ref="AJ116:AM116"/>
    <mergeCell ref="P95:Q95"/>
    <mergeCell ref="D116:G116"/>
    <mergeCell ref="H116:K116"/>
    <mergeCell ref="L116:O116"/>
    <mergeCell ref="P116:S116"/>
    <mergeCell ref="P5:Q5"/>
    <mergeCell ref="P23:Q23"/>
    <mergeCell ref="P41:Q41"/>
    <mergeCell ref="P59:Q59"/>
    <mergeCell ref="P77:Q77"/>
  </mergeCells>
  <phoneticPr fontId="102" type="noConversion"/>
  <dataValidations count="2">
    <dataValidation type="list" allowBlank="1" showInputMessage="1" showErrorMessage="1" sqref="D5:O5 D23:O23 D41:O41 D59:O59 D77:O77 D95:O95">
      <formula1>"普,非普,其他"</formula1>
    </dataValidation>
    <dataValidation type="list" allowBlank="1" showInputMessage="1" showErrorMessage="1" sqref="R5 R23 R41 R59 R77 R95">
      <formula1>"合并清算,两分法,三分法"</formula1>
    </dataValidation>
  </dataValidations>
  <hyperlinks>
    <hyperlink ref="D1" location="目录!A1" display="返回目录"/>
  </hyperlinks>
  <pageMargins left="0.69930555555555596" right="0.69930555555555596"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summaryRight="0"/>
  </sheetPr>
  <dimension ref="B1:M215"/>
  <sheetViews>
    <sheetView showGridLines="0" workbookViewId="0">
      <pane xSplit="3" ySplit="5" topLeftCell="D174" activePane="bottomRight" state="frozen"/>
      <selection pane="topRight"/>
      <selection pane="bottomLeft"/>
      <selection pane="bottomRight" activeCell="D203" sqref="D203"/>
    </sheetView>
  </sheetViews>
  <sheetFormatPr defaultColWidth="9" defaultRowHeight="12.75" outlineLevelRow="1"/>
  <cols>
    <col min="1" max="1" width="4.125" style="77" customWidth="1"/>
    <col min="2" max="2" width="18.375" style="77" customWidth="1"/>
    <col min="3" max="3" width="13.375" style="77" customWidth="1"/>
    <col min="4" max="4" width="9.25" style="77" customWidth="1"/>
    <col min="5" max="16384" width="9" style="77"/>
  </cols>
  <sheetData>
    <row r="1" spans="2:13" ht="18.75">
      <c r="B1" s="79" t="s">
        <v>618</v>
      </c>
      <c r="D1" s="80" t="s">
        <v>117</v>
      </c>
    </row>
    <row r="3" spans="2:13">
      <c r="B3" s="81" t="s">
        <v>118</v>
      </c>
    </row>
    <row r="4" spans="2:13">
      <c r="B4" s="82" t="s">
        <v>619</v>
      </c>
    </row>
    <row r="5" spans="2:13" s="74" customFormat="1" ht="14.25" customHeight="1">
      <c r="B5" s="84" t="s">
        <v>620</v>
      </c>
      <c r="C5" s="84" t="s">
        <v>251</v>
      </c>
      <c r="D5" s="84" t="s">
        <v>19</v>
      </c>
      <c r="E5" s="84" t="s">
        <v>20</v>
      </c>
      <c r="F5" s="84" t="s">
        <v>21</v>
      </c>
      <c r="G5" s="84" t="s">
        <v>22</v>
      </c>
      <c r="H5" s="84" t="s">
        <v>23</v>
      </c>
      <c r="I5" s="84" t="s">
        <v>24</v>
      </c>
    </row>
    <row r="6" spans="2:13" s="75" customFormat="1">
      <c r="B6" s="100" t="s">
        <v>621</v>
      </c>
      <c r="C6" s="101">
        <f t="shared" ref="C6:C19" si="0">SUM(D6:I6)</f>
        <v>86476.466817331602</v>
      </c>
      <c r="D6" s="101">
        <f>Sheet3!C7</f>
        <v>86476.466817331602</v>
      </c>
      <c r="E6" s="101">
        <f>Sheet3!C25</f>
        <v>0</v>
      </c>
      <c r="F6" s="101">
        <f>Sheet3!C43</f>
        <v>0</v>
      </c>
      <c r="G6" s="101">
        <f>Sheet3!C61</f>
        <v>0</v>
      </c>
      <c r="H6" s="101">
        <f>Sheet3!C79</f>
        <v>0</v>
      </c>
      <c r="I6" s="101">
        <f>Sheet3!C97</f>
        <v>0</v>
      </c>
      <c r="J6" s="93"/>
      <c r="K6" s="77"/>
      <c r="L6" s="77"/>
      <c r="M6" s="77"/>
    </row>
    <row r="7" spans="2:13" s="75" customFormat="1" outlineLevel="1">
      <c r="B7" s="88" t="str">
        <f>'8.项目规划指标表'!B$5</f>
        <v>高层</v>
      </c>
      <c r="C7" s="89">
        <f t="shared" si="0"/>
        <v>62075.128394133324</v>
      </c>
      <c r="D7" s="89">
        <f>Sheet3!$D$7</f>
        <v>62075.128394133324</v>
      </c>
      <c r="E7" s="89">
        <f>Sheet3!$D$25</f>
        <v>0</v>
      </c>
      <c r="F7" s="89">
        <f>Sheet3!$D$43</f>
        <v>0</v>
      </c>
      <c r="G7" s="89">
        <f>Sheet3!$D$61</f>
        <v>0</v>
      </c>
      <c r="H7" s="89">
        <f>Sheet3!$D$79</f>
        <v>0</v>
      </c>
      <c r="I7" s="89">
        <f>Sheet3!$D$97</f>
        <v>0</v>
      </c>
      <c r="J7" s="93"/>
      <c r="K7" s="77"/>
      <c r="L7" s="77"/>
      <c r="M7" s="77"/>
    </row>
    <row r="8" spans="2:13" s="75" customFormat="1" outlineLevel="1">
      <c r="B8" s="88" t="str">
        <f>'8.项目规划指标表'!B$6</f>
        <v>商铺</v>
      </c>
      <c r="C8" s="89">
        <f t="shared" si="0"/>
        <v>22232.227045661788</v>
      </c>
      <c r="D8" s="89">
        <f>Sheet3!$E$7</f>
        <v>22232.227045661788</v>
      </c>
      <c r="E8" s="89">
        <f>Sheet3!$E$25</f>
        <v>0</v>
      </c>
      <c r="F8" s="89">
        <f>Sheet3!$E$43</f>
        <v>0</v>
      </c>
      <c r="G8" s="89">
        <f>Sheet3!$E$61</f>
        <v>0</v>
      </c>
      <c r="H8" s="89">
        <f>Sheet3!$E$79</f>
        <v>0</v>
      </c>
      <c r="I8" s="89">
        <f>Sheet3!$E$97</f>
        <v>0</v>
      </c>
      <c r="J8" s="77"/>
      <c r="K8" s="77"/>
      <c r="L8" s="77"/>
      <c r="M8" s="77"/>
    </row>
    <row r="9" spans="2:13" s="75" customFormat="1" outlineLevel="1">
      <c r="B9" s="88" t="str">
        <f>'8.项目规划指标表'!B$7</f>
        <v>回迁商业</v>
      </c>
      <c r="C9" s="89">
        <f t="shared" si="0"/>
        <v>0</v>
      </c>
      <c r="D9" s="89">
        <f>Sheet3!$F$7</f>
        <v>0</v>
      </c>
      <c r="E9" s="89">
        <f>Sheet3!$F$25</f>
        <v>0</v>
      </c>
      <c r="F9" s="89">
        <f>Sheet3!$F$43</f>
        <v>0</v>
      </c>
      <c r="G9" s="89">
        <f>Sheet3!$F$61</f>
        <v>0</v>
      </c>
      <c r="H9" s="89">
        <f>Sheet3!$F$79</f>
        <v>0</v>
      </c>
      <c r="I9" s="89">
        <f>Sheet3!$F$97</f>
        <v>0</v>
      </c>
      <c r="J9" s="77"/>
      <c r="K9" s="77"/>
      <c r="L9" s="77"/>
      <c r="M9" s="77"/>
    </row>
    <row r="10" spans="2:13" s="75" customFormat="1" outlineLevel="1">
      <c r="B10" s="88">
        <f>'8.项目规划指标表'!B$8</f>
        <v>0</v>
      </c>
      <c r="C10" s="89">
        <f t="shared" si="0"/>
        <v>0</v>
      </c>
      <c r="D10" s="89">
        <f>Sheet3!$G$7</f>
        <v>0</v>
      </c>
      <c r="E10" s="89">
        <f>Sheet3!$G$25</f>
        <v>0</v>
      </c>
      <c r="F10" s="89">
        <f>Sheet3!$G$43</f>
        <v>0</v>
      </c>
      <c r="G10" s="89">
        <f>Sheet3!$G$61</f>
        <v>0</v>
      </c>
      <c r="H10" s="89">
        <f>Sheet3!$G$79</f>
        <v>0</v>
      </c>
      <c r="I10" s="89">
        <f>Sheet3!$G$97</f>
        <v>0</v>
      </c>
      <c r="J10" s="77"/>
      <c r="K10" s="77"/>
      <c r="L10" s="77"/>
      <c r="M10" s="77"/>
    </row>
    <row r="11" spans="2:13" s="75" customFormat="1" outlineLevel="1">
      <c r="B11" s="88">
        <f>'8.项目规划指标表'!B$9</f>
        <v>0</v>
      </c>
      <c r="C11" s="89">
        <f t="shared" si="0"/>
        <v>0</v>
      </c>
      <c r="D11" s="89">
        <f>Sheet3!$H$7</f>
        <v>0</v>
      </c>
      <c r="E11" s="89">
        <f>Sheet3!$H$25</f>
        <v>0</v>
      </c>
      <c r="F11" s="89">
        <f>Sheet3!$H$43</f>
        <v>0</v>
      </c>
      <c r="G11" s="89">
        <f>Sheet3!$H$61</f>
        <v>0</v>
      </c>
      <c r="H11" s="89">
        <f>Sheet3!$H$79</f>
        <v>0</v>
      </c>
      <c r="I11" s="89">
        <f>Sheet3!$H$97</f>
        <v>0</v>
      </c>
      <c r="J11" s="77"/>
      <c r="K11" s="77"/>
      <c r="L11" s="77"/>
      <c r="M11" s="77"/>
    </row>
    <row r="12" spans="2:13" s="75" customFormat="1" outlineLevel="1">
      <c r="B12" s="88">
        <f>'8.项目规划指标表'!B$10</f>
        <v>0</v>
      </c>
      <c r="C12" s="89">
        <f t="shared" si="0"/>
        <v>0</v>
      </c>
      <c r="D12" s="89">
        <f>Sheet3!$I$7</f>
        <v>0</v>
      </c>
      <c r="E12" s="89">
        <f>Sheet3!$I$25</f>
        <v>0</v>
      </c>
      <c r="F12" s="89">
        <f>Sheet3!$I$43</f>
        <v>0</v>
      </c>
      <c r="G12" s="89">
        <f>Sheet3!$I$61</f>
        <v>0</v>
      </c>
      <c r="H12" s="89">
        <f>Sheet3!$I$79</f>
        <v>0</v>
      </c>
      <c r="I12" s="89">
        <f>Sheet3!$I$97</f>
        <v>0</v>
      </c>
      <c r="J12" s="77"/>
      <c r="K12" s="77"/>
      <c r="L12" s="77"/>
      <c r="M12" s="77"/>
    </row>
    <row r="13" spans="2:13" s="75" customFormat="1" outlineLevel="1">
      <c r="B13" s="88">
        <f>'8.项目规划指标表'!B$11</f>
        <v>0</v>
      </c>
      <c r="C13" s="89">
        <f t="shared" si="0"/>
        <v>0</v>
      </c>
      <c r="D13" s="89">
        <f>Sheet3!$J$7</f>
        <v>0</v>
      </c>
      <c r="E13" s="89">
        <f>Sheet3!$J$25</f>
        <v>0</v>
      </c>
      <c r="F13" s="89">
        <f>Sheet3!$J$43</f>
        <v>0</v>
      </c>
      <c r="G13" s="89">
        <f>Sheet3!$J$61</f>
        <v>0</v>
      </c>
      <c r="H13" s="89">
        <f>Sheet3!$J$79</f>
        <v>0</v>
      </c>
      <c r="I13" s="89">
        <f>Sheet3!$J$97</f>
        <v>0</v>
      </c>
      <c r="J13" s="77"/>
      <c r="K13" s="77"/>
      <c r="L13" s="77"/>
      <c r="M13" s="77"/>
    </row>
    <row r="14" spans="2:13" s="75" customFormat="1" outlineLevel="1">
      <c r="B14" s="88">
        <f>'8.项目规划指标表'!B$12</f>
        <v>0</v>
      </c>
      <c r="C14" s="89">
        <f t="shared" si="0"/>
        <v>0</v>
      </c>
      <c r="D14" s="89">
        <f>Sheet3!$K$7</f>
        <v>0</v>
      </c>
      <c r="E14" s="89">
        <f>Sheet3!$K$25</f>
        <v>0</v>
      </c>
      <c r="F14" s="89">
        <f>Sheet3!$K$43</f>
        <v>0</v>
      </c>
      <c r="G14" s="89">
        <f>Sheet3!$K$61</f>
        <v>0</v>
      </c>
      <c r="H14" s="89">
        <f>Sheet3!$K$79</f>
        <v>0</v>
      </c>
      <c r="I14" s="89">
        <f>Sheet3!$K$97</f>
        <v>0</v>
      </c>
      <c r="J14" s="77"/>
      <c r="K14" s="77"/>
      <c r="L14" s="77"/>
      <c r="M14" s="77"/>
    </row>
    <row r="15" spans="2:13" s="75" customFormat="1" outlineLevel="1">
      <c r="B15" s="88">
        <f>'8.项目规划指标表'!B$13</f>
        <v>0</v>
      </c>
      <c r="C15" s="89">
        <f t="shared" si="0"/>
        <v>0</v>
      </c>
      <c r="D15" s="89">
        <f>Sheet3!$L$7</f>
        <v>0</v>
      </c>
      <c r="E15" s="89">
        <f>Sheet3!$L$25</f>
        <v>0</v>
      </c>
      <c r="F15" s="89">
        <f>Sheet3!$L$43</f>
        <v>0</v>
      </c>
      <c r="G15" s="89">
        <f>Sheet3!$L$61</f>
        <v>0</v>
      </c>
      <c r="H15" s="89">
        <f>Sheet3!$L$79</f>
        <v>0</v>
      </c>
      <c r="I15" s="89">
        <f>Sheet3!$L$97</f>
        <v>0</v>
      </c>
      <c r="J15" s="77"/>
      <c r="K15" s="77"/>
      <c r="L15" s="77"/>
      <c r="M15" s="77"/>
    </row>
    <row r="16" spans="2:13" s="75" customFormat="1" outlineLevel="1">
      <c r="B16" s="88" t="str">
        <f>'8.项目规划指标表'!B$14</f>
        <v>自持物业</v>
      </c>
      <c r="C16" s="89"/>
      <c r="D16" s="89"/>
      <c r="E16" s="89"/>
      <c r="F16" s="89"/>
      <c r="G16" s="89"/>
      <c r="H16" s="89"/>
      <c r="I16" s="89"/>
      <c r="J16" s="77"/>
      <c r="K16" s="77"/>
      <c r="L16" s="77"/>
      <c r="M16" s="77"/>
    </row>
    <row r="17" spans="2:13" s="75" customFormat="1" outlineLevel="1">
      <c r="B17" s="88" t="str">
        <f>'8.项目规划指标表'!B$18</f>
        <v>有产权车库(个)</v>
      </c>
      <c r="C17" s="89">
        <f t="shared" si="0"/>
        <v>2169.1113775364888</v>
      </c>
      <c r="D17" s="89">
        <f>Sheet3!$N$7</f>
        <v>2169.1113775364888</v>
      </c>
      <c r="E17" s="89">
        <f>Sheet3!$N$25</f>
        <v>0</v>
      </c>
      <c r="F17" s="89">
        <f>Sheet3!$N$43</f>
        <v>0</v>
      </c>
      <c r="G17" s="89">
        <f>Sheet3!$N$61</f>
        <v>0</v>
      </c>
      <c r="H17" s="89">
        <f>Sheet3!$N$79</f>
        <v>0</v>
      </c>
      <c r="I17" s="89">
        <f>Sheet3!$N$97</f>
        <v>0</v>
      </c>
      <c r="J17" s="77"/>
      <c r="K17" s="77"/>
      <c r="L17" s="77"/>
      <c r="M17" s="77"/>
    </row>
    <row r="18" spans="2:13" s="75" customFormat="1" outlineLevel="1">
      <c r="B18" s="88" t="str">
        <f>'8.项目规划指标表'!B$19</f>
        <v>无产权车库(个)</v>
      </c>
      <c r="C18" s="89">
        <f t="shared" si="0"/>
        <v>0</v>
      </c>
      <c r="D18" s="89">
        <f>Sheet3!$O$7</f>
        <v>0</v>
      </c>
      <c r="E18" s="89">
        <f>Sheet3!$O$25</f>
        <v>0</v>
      </c>
      <c r="F18" s="89">
        <f>Sheet3!$O$43</f>
        <v>0</v>
      </c>
      <c r="G18" s="89">
        <f>Sheet3!$O$61</f>
        <v>0</v>
      </c>
      <c r="H18" s="89">
        <f>Sheet3!$O$79</f>
        <v>0</v>
      </c>
      <c r="I18" s="89">
        <f>Sheet3!$O$97</f>
        <v>0</v>
      </c>
      <c r="J18" s="77"/>
      <c r="K18" s="77"/>
      <c r="L18" s="77"/>
      <c r="M18" s="77"/>
    </row>
    <row r="19" spans="2:13" s="75" customFormat="1">
      <c r="B19" s="100" t="s">
        <v>622</v>
      </c>
      <c r="C19" s="101">
        <f t="shared" si="0"/>
        <v>48807.364431961112</v>
      </c>
      <c r="D19" s="101">
        <f>'15.土地增值税'!$C8+'15.土地增值税'!$C9+'15.土地增值税'!$C141</f>
        <v>48807.364431961112</v>
      </c>
      <c r="E19" s="101">
        <f>'15.土地增值税'!$C26+'15.土地增值税'!$C27+'15.土地增值税'!$C142</f>
        <v>0</v>
      </c>
      <c r="F19" s="101">
        <f>'15.土地增值税'!$C44+'15.土地增值税'!$C45+'15.土地增值税'!$C143</f>
        <v>0</v>
      </c>
      <c r="G19" s="101">
        <f>'15.土地增值税'!$C62+'15.土地增值税'!$C63+'15.土地增值税'!$C144</f>
        <v>0</v>
      </c>
      <c r="H19" s="101">
        <f>'15.土地增值税'!$C80+'15.土地增值税'!$C81+'15.土地增值税'!$C145</f>
        <v>0</v>
      </c>
      <c r="I19" s="101">
        <f>'15.土地增值税'!$C98+'15.土地增值税'!$C99+'15.土地增值税'!$C146</f>
        <v>0</v>
      </c>
      <c r="J19" s="93"/>
      <c r="K19" s="77"/>
      <c r="L19" s="77"/>
      <c r="M19" s="77"/>
    </row>
    <row r="20" spans="2:13" s="75" customFormat="1" ht="12" customHeight="1" outlineLevel="1">
      <c r="B20" s="88" t="str">
        <f>'8.项目规划指标表'!B$5</f>
        <v>高层</v>
      </c>
      <c r="C20" s="89">
        <f t="shared" ref="C20:C84" si="1">SUM(D20:I20)</f>
        <v>37510.9836793293</v>
      </c>
      <c r="D20" s="89">
        <f>'12.土地成本表'!K72+'13.建安成本表'!E214</f>
        <v>37510.9836793293</v>
      </c>
      <c r="E20" s="89">
        <f>'12.土地成本表'!L72+'13.建安成本表'!H214</f>
        <v>0</v>
      </c>
      <c r="F20" s="89">
        <f>'12.土地成本表'!M72+'13.建安成本表'!K214</f>
        <v>0</v>
      </c>
      <c r="G20" s="89">
        <f>'12.土地成本表'!N72+'13.建安成本表'!N214</f>
        <v>0</v>
      </c>
      <c r="H20" s="89">
        <f>'12.土地成本表'!O72+'13.建安成本表'!Q214</f>
        <v>0</v>
      </c>
      <c r="I20" s="89">
        <f>'12.土地成本表'!I25-'12.土地成本表'!P25+'12.土地成本表'!P72+'13.建安成本表'!T214</f>
        <v>0</v>
      </c>
      <c r="J20" s="93"/>
      <c r="K20" s="81"/>
      <c r="L20" s="77"/>
      <c r="M20" s="77"/>
    </row>
    <row r="21" spans="2:13" s="75" customFormat="1" outlineLevel="1">
      <c r="B21" s="88" t="str">
        <f>'8.项目规划指标表'!B$6</f>
        <v>商铺</v>
      </c>
      <c r="C21" s="89">
        <f t="shared" si="1"/>
        <v>8870.1298464300671</v>
      </c>
      <c r="D21" s="89">
        <f>'12.土地成本表'!K73+'13.建安成本表'!E215</f>
        <v>8870.1298464300671</v>
      </c>
      <c r="E21" s="89">
        <f>'12.土地成本表'!L73+'13.建安成本表'!H215</f>
        <v>0</v>
      </c>
      <c r="F21" s="89">
        <f>'12.土地成本表'!M73+'13.建安成本表'!K215</f>
        <v>0</v>
      </c>
      <c r="G21" s="89">
        <f>'12.土地成本表'!N73+'13.建安成本表'!N215</f>
        <v>0</v>
      </c>
      <c r="H21" s="89">
        <f>'12.土地成本表'!O73+'13.建安成本表'!Q215</f>
        <v>0</v>
      </c>
      <c r="I21" s="89">
        <f>'12.土地成本表'!I26-'12.土地成本表'!P26+'12.土地成本表'!P73+'13.建安成本表'!T215</f>
        <v>0</v>
      </c>
      <c r="J21" s="93"/>
      <c r="K21" s="81"/>
      <c r="L21" s="77"/>
      <c r="M21" s="77"/>
    </row>
    <row r="22" spans="2:13" s="75" customFormat="1" outlineLevel="1">
      <c r="B22" s="88" t="str">
        <f>'8.项目规划指标表'!B$7</f>
        <v>回迁商业</v>
      </c>
      <c r="C22" s="89">
        <f t="shared" si="1"/>
        <v>0</v>
      </c>
      <c r="D22" s="89">
        <f>'12.土地成本表'!K74+'13.建安成本表'!E216</f>
        <v>0</v>
      </c>
      <c r="E22" s="89">
        <f>'12.土地成本表'!L74+'13.建安成本表'!H216</f>
        <v>0</v>
      </c>
      <c r="F22" s="89">
        <f>'12.土地成本表'!M74+'13.建安成本表'!K216</f>
        <v>0</v>
      </c>
      <c r="G22" s="89">
        <f>'12.土地成本表'!N74+'13.建安成本表'!N216</f>
        <v>0</v>
      </c>
      <c r="H22" s="89">
        <f>'12.土地成本表'!O74+'13.建安成本表'!Q216</f>
        <v>0</v>
      </c>
      <c r="I22" s="89">
        <f>'12.土地成本表'!I27-'12.土地成本表'!P27+'12.土地成本表'!P74+'13.建安成本表'!T216</f>
        <v>0</v>
      </c>
      <c r="J22" s="93"/>
      <c r="K22" s="81"/>
      <c r="L22" s="77"/>
      <c r="M22" s="77"/>
    </row>
    <row r="23" spans="2:13" s="75" customFormat="1" outlineLevel="1">
      <c r="B23" s="88">
        <f>'8.项目规划指标表'!B$8</f>
        <v>0</v>
      </c>
      <c r="C23" s="89">
        <f t="shared" si="1"/>
        <v>0</v>
      </c>
      <c r="D23" s="89">
        <f>'12.土地成本表'!K75+'13.建安成本表'!E217</f>
        <v>0</v>
      </c>
      <c r="E23" s="89">
        <f>'12.土地成本表'!L75+'13.建安成本表'!H217</f>
        <v>0</v>
      </c>
      <c r="F23" s="89">
        <f>'12.土地成本表'!M75+'13.建安成本表'!K217</f>
        <v>0</v>
      </c>
      <c r="G23" s="89">
        <f>'12.土地成本表'!N75+'13.建安成本表'!N217</f>
        <v>0</v>
      </c>
      <c r="H23" s="89">
        <f>'12.土地成本表'!O75+'13.建安成本表'!Q217</f>
        <v>0</v>
      </c>
      <c r="I23" s="89">
        <f>'12.土地成本表'!I28-'12.土地成本表'!P28+'12.土地成本表'!P75+'13.建安成本表'!T217</f>
        <v>0</v>
      </c>
      <c r="J23" s="93"/>
      <c r="K23" s="77"/>
      <c r="L23" s="77"/>
      <c r="M23" s="77"/>
    </row>
    <row r="24" spans="2:13" s="75" customFormat="1" outlineLevel="1">
      <c r="B24" s="88">
        <f>'8.项目规划指标表'!B$9</f>
        <v>0</v>
      </c>
      <c r="C24" s="89">
        <f t="shared" si="1"/>
        <v>0</v>
      </c>
      <c r="D24" s="89">
        <f>'12.土地成本表'!K76+'13.建安成本表'!E218</f>
        <v>0</v>
      </c>
      <c r="E24" s="89">
        <f>'12.土地成本表'!L76+'13.建安成本表'!H218</f>
        <v>0</v>
      </c>
      <c r="F24" s="89">
        <f>'12.土地成本表'!M76+'13.建安成本表'!K218</f>
        <v>0</v>
      </c>
      <c r="G24" s="89">
        <f>'12.土地成本表'!N76+'13.建安成本表'!N218</f>
        <v>0</v>
      </c>
      <c r="H24" s="89">
        <f>'12.土地成本表'!O76+'13.建安成本表'!Q218</f>
        <v>0</v>
      </c>
      <c r="I24" s="89">
        <f>'12.土地成本表'!I29-'12.土地成本表'!P29+'12.土地成本表'!P76+'13.建安成本表'!T218</f>
        <v>0</v>
      </c>
      <c r="J24" s="93"/>
      <c r="K24" s="77"/>
      <c r="L24" s="77"/>
      <c r="M24" s="77"/>
    </row>
    <row r="25" spans="2:13" s="75" customFormat="1" outlineLevel="1">
      <c r="B25" s="88">
        <f>'8.项目规划指标表'!B$10</f>
        <v>0</v>
      </c>
      <c r="C25" s="89">
        <f t="shared" si="1"/>
        <v>0</v>
      </c>
      <c r="D25" s="89">
        <f>'12.土地成本表'!K77+'13.建安成本表'!E219</f>
        <v>0</v>
      </c>
      <c r="E25" s="89">
        <f>'12.土地成本表'!L77+'13.建安成本表'!H219</f>
        <v>0</v>
      </c>
      <c r="F25" s="89">
        <f>'12.土地成本表'!M77+'13.建安成本表'!K219</f>
        <v>0</v>
      </c>
      <c r="G25" s="89">
        <f>'12.土地成本表'!N77+'13.建安成本表'!N219</f>
        <v>0</v>
      </c>
      <c r="H25" s="89">
        <f>'12.土地成本表'!O77+'13.建安成本表'!Q219</f>
        <v>0</v>
      </c>
      <c r="I25" s="89">
        <f>'12.土地成本表'!I30-'12.土地成本表'!P30+'12.土地成本表'!P77+'13.建安成本表'!T219</f>
        <v>0</v>
      </c>
      <c r="J25" s="93"/>
      <c r="K25" s="77"/>
      <c r="L25" s="77"/>
      <c r="M25" s="77"/>
    </row>
    <row r="26" spans="2:13" s="75" customFormat="1" outlineLevel="1">
      <c r="B26" s="88">
        <f>'8.项目规划指标表'!B$11</f>
        <v>0</v>
      </c>
      <c r="C26" s="89">
        <f t="shared" si="1"/>
        <v>0</v>
      </c>
      <c r="D26" s="89">
        <f>'12.土地成本表'!K78+'13.建安成本表'!E220</f>
        <v>0</v>
      </c>
      <c r="E26" s="89">
        <f>'12.土地成本表'!L78+'13.建安成本表'!H220</f>
        <v>0</v>
      </c>
      <c r="F26" s="89">
        <f>'12.土地成本表'!M78+'13.建安成本表'!K220</f>
        <v>0</v>
      </c>
      <c r="G26" s="89">
        <f>'12.土地成本表'!N78+'13.建安成本表'!N220</f>
        <v>0</v>
      </c>
      <c r="H26" s="89">
        <f>'12.土地成本表'!O78+'13.建安成本表'!Q220</f>
        <v>0</v>
      </c>
      <c r="I26" s="89">
        <f>'12.土地成本表'!I31-'12.土地成本表'!P31+'12.土地成本表'!P78+'13.建安成本表'!T220</f>
        <v>0</v>
      </c>
      <c r="J26" s="93"/>
      <c r="K26" s="77"/>
      <c r="L26" s="77"/>
      <c r="M26" s="77"/>
    </row>
    <row r="27" spans="2:13" s="75" customFormat="1" outlineLevel="1">
      <c r="B27" s="88">
        <f>'8.项目规划指标表'!B$12</f>
        <v>0</v>
      </c>
      <c r="C27" s="89">
        <f t="shared" si="1"/>
        <v>0</v>
      </c>
      <c r="D27" s="89">
        <f>'12.土地成本表'!K79+'13.建安成本表'!E221</f>
        <v>0</v>
      </c>
      <c r="E27" s="89">
        <f>'12.土地成本表'!L79+'13.建安成本表'!H221</f>
        <v>0</v>
      </c>
      <c r="F27" s="89">
        <f>'12.土地成本表'!M79+'13.建安成本表'!K221</f>
        <v>0</v>
      </c>
      <c r="G27" s="89">
        <f>'12.土地成本表'!N79+'13.建安成本表'!N221</f>
        <v>0</v>
      </c>
      <c r="H27" s="89">
        <f>'12.土地成本表'!O79+'13.建安成本表'!Q221</f>
        <v>0</v>
      </c>
      <c r="I27" s="89">
        <f>'12.土地成本表'!I32-'12.土地成本表'!P32+'12.土地成本表'!P79+'13.建安成本表'!T221</f>
        <v>0</v>
      </c>
      <c r="J27" s="93"/>
      <c r="K27" s="77"/>
      <c r="L27" s="77"/>
      <c r="M27" s="77"/>
    </row>
    <row r="28" spans="2:13" s="75" customFormat="1" outlineLevel="1">
      <c r="B28" s="88">
        <f>'8.项目规划指标表'!B$13</f>
        <v>0</v>
      </c>
      <c r="C28" s="89">
        <f t="shared" si="1"/>
        <v>0</v>
      </c>
      <c r="D28" s="89">
        <f>'12.土地成本表'!K80+'13.建安成本表'!E222</f>
        <v>0</v>
      </c>
      <c r="E28" s="89">
        <f>'12.土地成本表'!L80+'13.建安成本表'!H222</f>
        <v>0</v>
      </c>
      <c r="F28" s="89">
        <f>'12.土地成本表'!M80+'13.建安成本表'!K222</f>
        <v>0</v>
      </c>
      <c r="G28" s="89">
        <f>'12.土地成本表'!N80+'13.建安成本表'!N222</f>
        <v>0</v>
      </c>
      <c r="H28" s="89">
        <f>'12.土地成本表'!O80+'13.建安成本表'!Q222</f>
        <v>0</v>
      </c>
      <c r="I28" s="89">
        <f>'12.土地成本表'!I33-'12.土地成本表'!P33+'12.土地成本表'!P80+'13.建安成本表'!T222</f>
        <v>0</v>
      </c>
      <c r="J28" s="93"/>
      <c r="K28" s="77"/>
      <c r="L28" s="77"/>
      <c r="M28" s="77"/>
    </row>
    <row r="29" spans="2:13" s="75" customFormat="1" outlineLevel="1">
      <c r="B29" s="88" t="str">
        <f>'8.项目规划指标表'!B$14</f>
        <v>自持物业</v>
      </c>
      <c r="C29" s="89"/>
      <c r="D29" s="89"/>
      <c r="E29" s="89"/>
      <c r="F29" s="89"/>
      <c r="G29" s="89"/>
      <c r="H29" s="89"/>
      <c r="I29" s="89"/>
      <c r="J29" s="93"/>
      <c r="K29" s="77"/>
      <c r="L29" s="77"/>
      <c r="M29" s="77"/>
    </row>
    <row r="30" spans="2:13" s="75" customFormat="1" outlineLevel="1">
      <c r="B30" s="88" t="str">
        <f>'8.项目规划指标表'!B$18</f>
        <v>有产权车库(个)</v>
      </c>
      <c r="C30" s="89">
        <f t="shared" si="1"/>
        <v>1697.8157243835692</v>
      </c>
      <c r="D30" s="89">
        <f>'13.建安成本表'!E224</f>
        <v>1697.8157243835692</v>
      </c>
      <c r="E30" s="89">
        <f>'13.建安成本表'!H224</f>
        <v>0</v>
      </c>
      <c r="F30" s="89">
        <f>'13.建安成本表'!K224</f>
        <v>0</v>
      </c>
      <c r="G30" s="89">
        <f>'13.建安成本表'!N224</f>
        <v>0</v>
      </c>
      <c r="H30" s="89">
        <f>'13.建安成本表'!Q224</f>
        <v>0</v>
      </c>
      <c r="I30" s="89">
        <f>'12.土地成本表'!I35-'12.土地成本表'!P35+'13.建安成本表'!T224</f>
        <v>0</v>
      </c>
      <c r="J30" s="93"/>
      <c r="K30" s="77"/>
      <c r="L30" s="77"/>
      <c r="M30" s="77"/>
    </row>
    <row r="31" spans="2:13" s="75" customFormat="1" outlineLevel="1">
      <c r="B31" s="88" t="str">
        <f>'8.项目规划指标表'!B$19</f>
        <v>无产权车库(个)</v>
      </c>
      <c r="C31" s="89">
        <f t="shared" si="1"/>
        <v>0</v>
      </c>
      <c r="D31" s="89">
        <f>'13.建安成本表'!E225</f>
        <v>0</v>
      </c>
      <c r="E31" s="89">
        <f>'13.建安成本表'!H225</f>
        <v>0</v>
      </c>
      <c r="F31" s="89">
        <f>'13.建安成本表'!K225</f>
        <v>0</v>
      </c>
      <c r="G31" s="89">
        <f>'13.建安成本表'!N225</f>
        <v>0</v>
      </c>
      <c r="H31" s="89">
        <f>'13.建安成本表'!Q225</f>
        <v>0</v>
      </c>
      <c r="I31" s="89">
        <f>'12.土地成本表'!I36-'12.土地成本表'!P36+'13.建安成本表'!T225</f>
        <v>0</v>
      </c>
      <c r="J31" s="93"/>
      <c r="K31" s="77"/>
      <c r="L31" s="77"/>
      <c r="M31" s="77"/>
    </row>
    <row r="32" spans="2:13" s="75" customFormat="1">
      <c r="B32" s="100" t="s">
        <v>581</v>
      </c>
      <c r="C32" s="101">
        <f t="shared" si="1"/>
        <v>557.31218406316918</v>
      </c>
      <c r="D32" s="101">
        <f>'14.增值税计算表'!D355+'14.增值税计算表'!D366</f>
        <v>557.31218406316918</v>
      </c>
      <c r="E32" s="101">
        <f>'14.增值税计算表'!D356+'14.增值税计算表'!D367</f>
        <v>0</v>
      </c>
      <c r="F32" s="101">
        <f>'14.增值税计算表'!D357+'14.增值税计算表'!D368</f>
        <v>0</v>
      </c>
      <c r="G32" s="101">
        <f>'14.增值税计算表'!D358+'14.增值税计算表'!D369</f>
        <v>0</v>
      </c>
      <c r="H32" s="101">
        <f>'14.增值税计算表'!D359+'14.增值税计算表'!D370</f>
        <v>0</v>
      </c>
      <c r="I32" s="101">
        <f>'14.增值税计算表'!D360+'14.增值税计算表'!D371</f>
        <v>0</v>
      </c>
      <c r="J32" s="93">
        <f>SUM(C33:C44)-C32</f>
        <v>0</v>
      </c>
      <c r="K32" s="77"/>
      <c r="L32" s="77"/>
      <c r="M32" s="77"/>
    </row>
    <row r="33" spans="2:13" s="75" customFormat="1" ht="12" customHeight="1" outlineLevel="1">
      <c r="B33" s="88" t="str">
        <f>'8.项目规划指标表'!B$5</f>
        <v>高层</v>
      </c>
      <c r="C33" s="89">
        <f t="shared" si="1"/>
        <v>482.72702400621483</v>
      </c>
      <c r="D33" s="89">
        <f>'14.增值税计算表'!D34*('2.税率表'!$D$13+'2.税率表'!$D$14+'2.税率表'!$D$17)+'14.增值税计算表'!E418</f>
        <v>482.72702400621483</v>
      </c>
      <c r="E33" s="89">
        <f>'14.增值税计算表'!$D47*('2.税率表'!$D$13+'2.税率表'!$D$14+'2.税率表'!$D$17)+'14.增值税计算表'!$E419</f>
        <v>0</v>
      </c>
      <c r="F33" s="89">
        <f>'14.增值税计算表'!$D60*('2.税率表'!$D$13+'2.税率表'!$D$14+'2.税率表'!$D$17)+'14.增值税计算表'!$E420</f>
        <v>0</v>
      </c>
      <c r="G33" s="89">
        <f>'14.增值税计算表'!$D73*('2.税率表'!$D$13+'2.税率表'!$D$14+'2.税率表'!$D$17)+'14.增值税计算表'!$E$421</f>
        <v>0</v>
      </c>
      <c r="H33" s="89">
        <f>'14.增值税计算表'!$D86*('2.税率表'!$D$13+'2.税率表'!$D$14+'2.税率表'!$D$17)+'14.增值税计算表'!$E$422</f>
        <v>0</v>
      </c>
      <c r="I33" s="89">
        <f>'14.增值税计算表'!$D99*('2.税率表'!$D$13+'2.税率表'!$D$14+'2.税率表'!$D$17)+'14.增值税计算表'!$E$423</f>
        <v>0</v>
      </c>
      <c r="J33" s="93"/>
      <c r="K33" s="77"/>
      <c r="L33" s="77"/>
      <c r="M33" s="77"/>
    </row>
    <row r="34" spans="2:13" s="75" customFormat="1" outlineLevel="1">
      <c r="B34" s="88" t="str">
        <f>'8.项目规划指标表'!B$6</f>
        <v>商铺</v>
      </c>
      <c r="C34" s="89">
        <f t="shared" si="1"/>
        <v>48.399687890536072</v>
      </c>
      <c r="D34" s="89">
        <f>'14.增值税计算表'!D35*('2.税率表'!$D$13+'2.税率表'!$D$14+'2.税率表'!$D$17)+'14.增值税计算表'!F418</f>
        <v>48.399687890536072</v>
      </c>
      <c r="E34" s="89">
        <f>'14.增值税计算表'!D48*('2.税率表'!$D$13+'2.税率表'!$D$14+'2.税率表'!$D$17)+'14.增值税计算表'!$F419</f>
        <v>0</v>
      </c>
      <c r="F34" s="89">
        <f>'14.增值税计算表'!D61*('2.税率表'!$D$13+'2.税率表'!$D$14+'2.税率表'!$D$17)+'14.增值税计算表'!$F420</f>
        <v>0</v>
      </c>
      <c r="G34" s="89">
        <f>'14.增值税计算表'!$D74*('2.税率表'!$D$13+'2.税率表'!$D$14+'2.税率表'!$D$17)+'14.增值税计算表'!$F$421</f>
        <v>0</v>
      </c>
      <c r="H34" s="89">
        <f>'14.增值税计算表'!$D87*('2.税率表'!$D$13+'2.税率表'!$D$14+'2.税率表'!$D$17)+'14.增值税计算表'!$F$422</f>
        <v>0</v>
      </c>
      <c r="I34" s="89">
        <f>'14.增值税计算表'!$D100*('2.税率表'!$D$13+'2.税率表'!$D$14+'2.税率表'!$D$17)+'14.增值税计算表'!$F$423</f>
        <v>0</v>
      </c>
      <c r="J34" s="93"/>
      <c r="K34" s="77"/>
      <c r="L34" s="77"/>
      <c r="M34" s="77"/>
    </row>
    <row r="35" spans="2:13" s="75" customFormat="1" outlineLevel="1">
      <c r="B35" s="88" t="str">
        <f>'8.项目规划指标表'!B$7</f>
        <v>回迁商业</v>
      </c>
      <c r="C35" s="89">
        <f t="shared" si="1"/>
        <v>0</v>
      </c>
      <c r="D35" s="89">
        <f>'14.增值税计算表'!D36*('2.税率表'!$D$13+'2.税率表'!$D$14+'2.税率表'!$D$17)+'14.增值税计算表'!G418</f>
        <v>0</v>
      </c>
      <c r="E35" s="89">
        <f>'14.增值税计算表'!D49*('2.税率表'!$D$13+'2.税率表'!$D$14+'2.税率表'!$D$17)+'14.增值税计算表'!$G419</f>
        <v>0</v>
      </c>
      <c r="F35" s="89">
        <f>'14.增值税计算表'!D62*('2.税率表'!$D$13+'2.税率表'!$D$14+'2.税率表'!$D$17)+'14.增值税计算表'!$G420</f>
        <v>0</v>
      </c>
      <c r="G35" s="89">
        <f>'14.增值税计算表'!$D75*('2.税率表'!$D$13+'2.税率表'!$D$14+'2.税率表'!$D$17)+'14.增值税计算表'!$G$421</f>
        <v>0</v>
      </c>
      <c r="H35" s="89">
        <f>'14.增值税计算表'!$D88*('2.税率表'!$D$13+'2.税率表'!$D$14+'2.税率表'!$D$17)+'14.增值税计算表'!$G$422</f>
        <v>0</v>
      </c>
      <c r="I35" s="89">
        <f>'14.增值税计算表'!$D101*('2.税率表'!$D$13+'2.税率表'!$D$14+'2.税率表'!$D$17)+'14.增值税计算表'!$G$423</f>
        <v>0</v>
      </c>
      <c r="J35" s="93"/>
      <c r="K35" s="77"/>
      <c r="L35" s="77"/>
      <c r="M35" s="77"/>
    </row>
    <row r="36" spans="2:13" s="75" customFormat="1" outlineLevel="1">
      <c r="B36" s="88">
        <f>'8.项目规划指标表'!B$8</f>
        <v>0</v>
      </c>
      <c r="C36" s="89">
        <f t="shared" si="1"/>
        <v>0</v>
      </c>
      <c r="D36" s="89">
        <f>'14.增值税计算表'!D37*('2.税率表'!$D$13+'2.税率表'!$D$14+'2.税率表'!$D$17)+'14.增值税计算表'!H418</f>
        <v>0</v>
      </c>
      <c r="E36" s="89">
        <f>'14.增值税计算表'!D50*('2.税率表'!$D$13+'2.税率表'!$D$14+'2.税率表'!$D$17)+'14.增值税计算表'!$H419</f>
        <v>0</v>
      </c>
      <c r="F36" s="89">
        <f>'14.增值税计算表'!D63*('2.税率表'!$D$13+'2.税率表'!$D$14+'2.税率表'!$D$17)+'14.增值税计算表'!$H420</f>
        <v>0</v>
      </c>
      <c r="G36" s="89">
        <f>'14.增值税计算表'!$D76*('2.税率表'!$D$13+'2.税率表'!$D$14+'2.税率表'!$D$17)+'14.增值税计算表'!$H$421</f>
        <v>0</v>
      </c>
      <c r="H36" s="89">
        <f>'14.增值税计算表'!$D89*('2.税率表'!$D$13+'2.税率表'!$D$14+'2.税率表'!$D$17)+'14.增值税计算表'!$H$422</f>
        <v>0</v>
      </c>
      <c r="I36" s="89">
        <f>'14.增值税计算表'!$D102*('2.税率表'!$D$13+'2.税率表'!$D$14+'2.税率表'!$D$17)+'14.增值税计算表'!$H$423</f>
        <v>0</v>
      </c>
      <c r="J36" s="93"/>
      <c r="K36" s="77"/>
      <c r="L36" s="77"/>
      <c r="M36" s="77"/>
    </row>
    <row r="37" spans="2:13" s="75" customFormat="1" outlineLevel="1">
      <c r="B37" s="88">
        <f>'8.项目规划指标表'!B$9</f>
        <v>0</v>
      </c>
      <c r="C37" s="89">
        <f t="shared" si="1"/>
        <v>0</v>
      </c>
      <c r="D37" s="89">
        <f>'14.增值税计算表'!D38*('2.税率表'!$D$13+'2.税率表'!$D$14+'2.税率表'!$D$17)+'14.增值税计算表'!I418</f>
        <v>0</v>
      </c>
      <c r="E37" s="89">
        <f>'14.增值税计算表'!D51*('2.税率表'!$D$13+'2.税率表'!$D$14+'2.税率表'!$D$17)+'14.增值税计算表'!$I419</f>
        <v>0</v>
      </c>
      <c r="F37" s="89">
        <f>'14.增值税计算表'!D64*('2.税率表'!$D$13+'2.税率表'!$D$14+'2.税率表'!$D$17)+'14.增值税计算表'!$I420</f>
        <v>0</v>
      </c>
      <c r="G37" s="89">
        <f>'14.增值税计算表'!$D77*('2.税率表'!$D$13+'2.税率表'!$D$14+'2.税率表'!$D$17)+'14.增值税计算表'!$I$421</f>
        <v>0</v>
      </c>
      <c r="H37" s="89">
        <f>'14.增值税计算表'!$D90*('2.税率表'!$D$13+'2.税率表'!$D$14+'2.税率表'!$D$17)+'14.增值税计算表'!$I$422</f>
        <v>0</v>
      </c>
      <c r="I37" s="89">
        <f>'14.增值税计算表'!$D103*('2.税率表'!$D$13+'2.税率表'!$D$14+'2.税率表'!$D$17)+'14.增值税计算表'!$I$423</f>
        <v>0</v>
      </c>
      <c r="J37" s="93"/>
      <c r="K37" s="77"/>
      <c r="L37" s="77"/>
      <c r="M37" s="77"/>
    </row>
    <row r="38" spans="2:13" s="75" customFormat="1" outlineLevel="1">
      <c r="B38" s="88">
        <f>'8.项目规划指标表'!B$10</f>
        <v>0</v>
      </c>
      <c r="C38" s="89">
        <f t="shared" si="1"/>
        <v>0</v>
      </c>
      <c r="D38" s="89">
        <f>'14.增值税计算表'!D39*('2.税率表'!$D$13+'2.税率表'!$D$14+'2.税率表'!$D$17)+'14.增值税计算表'!J418</f>
        <v>0</v>
      </c>
      <c r="E38" s="89">
        <f>'14.增值税计算表'!D52*('2.税率表'!$D$13+'2.税率表'!$D$14+'2.税率表'!$D$17)+'14.增值税计算表'!$J419</f>
        <v>0</v>
      </c>
      <c r="F38" s="89">
        <f>'14.增值税计算表'!D65*('2.税率表'!$D$13+'2.税率表'!$D$14+'2.税率表'!$D$17)+'14.增值税计算表'!$J420</f>
        <v>0</v>
      </c>
      <c r="G38" s="89">
        <f>'14.增值税计算表'!$D78*('2.税率表'!$D$13+'2.税率表'!$D$14+'2.税率表'!$D$17)+'14.增值税计算表'!$J$421</f>
        <v>0</v>
      </c>
      <c r="H38" s="89">
        <f>'14.增值税计算表'!$D91*('2.税率表'!$D$13+'2.税率表'!$D$14+'2.税率表'!$D$17)+'14.增值税计算表'!$J$422</f>
        <v>0</v>
      </c>
      <c r="I38" s="89">
        <f>'14.增值税计算表'!$D104*('2.税率表'!$D$13+'2.税率表'!$D$14+'2.税率表'!$D$17)+'14.增值税计算表'!$J$423</f>
        <v>0</v>
      </c>
      <c r="J38" s="93"/>
      <c r="K38" s="77"/>
      <c r="L38" s="77"/>
      <c r="M38" s="77"/>
    </row>
    <row r="39" spans="2:13" s="75" customFormat="1" outlineLevel="1">
      <c r="B39" s="88">
        <f>'8.项目规划指标表'!B$11</f>
        <v>0</v>
      </c>
      <c r="C39" s="89">
        <f t="shared" si="1"/>
        <v>0</v>
      </c>
      <c r="D39" s="89">
        <f>'14.增值税计算表'!D40*('2.税率表'!$D$13+'2.税率表'!$D$14+'2.税率表'!$D$17)+'14.增值税计算表'!K418</f>
        <v>0</v>
      </c>
      <c r="E39" s="89">
        <f>'14.增值税计算表'!D53*('2.税率表'!$D$13+'2.税率表'!$D$14+'2.税率表'!$D$17)+'14.增值税计算表'!$K419</f>
        <v>0</v>
      </c>
      <c r="F39" s="89">
        <f>'14.增值税计算表'!D66*('2.税率表'!$D$13+'2.税率表'!$D$14+'2.税率表'!$D$17)+'14.增值税计算表'!$K420</f>
        <v>0</v>
      </c>
      <c r="G39" s="89">
        <f>'14.增值税计算表'!$D79*('2.税率表'!$D$13+'2.税率表'!$D$14+'2.税率表'!$D$17)+'14.增值税计算表'!$K$421</f>
        <v>0</v>
      </c>
      <c r="H39" s="89">
        <f>'14.增值税计算表'!$D92*('2.税率表'!$D$13+'2.税率表'!$D$14+'2.税率表'!$D$17)+'14.增值税计算表'!$K$422</f>
        <v>0</v>
      </c>
      <c r="I39" s="89">
        <f>'14.增值税计算表'!$D105*('2.税率表'!$D$13+'2.税率表'!$D$14+'2.税率表'!$D$17)+'14.增值税计算表'!$K$423</f>
        <v>0</v>
      </c>
      <c r="J39" s="93"/>
      <c r="K39" s="77"/>
      <c r="L39" s="77"/>
      <c r="M39" s="77"/>
    </row>
    <row r="40" spans="2:13" s="75" customFormat="1" outlineLevel="1">
      <c r="B40" s="88">
        <f>'8.项目规划指标表'!B$12</f>
        <v>0</v>
      </c>
      <c r="C40" s="89">
        <f t="shared" si="1"/>
        <v>0</v>
      </c>
      <c r="D40" s="89">
        <f>'14.增值税计算表'!D41*('2.税率表'!$D$13+'2.税率表'!$D$14+'2.税率表'!$D$17)+'14.增值税计算表'!L418</f>
        <v>0</v>
      </c>
      <c r="E40" s="89">
        <f>'14.增值税计算表'!D54*('2.税率表'!$D$13+'2.税率表'!$D$14+'2.税率表'!$D$17)+'14.增值税计算表'!$L419</f>
        <v>0</v>
      </c>
      <c r="F40" s="89">
        <f>'14.增值税计算表'!D67*('2.税率表'!$D$13+'2.税率表'!$D$14+'2.税率表'!$D$17)+'14.增值税计算表'!$L420</f>
        <v>0</v>
      </c>
      <c r="G40" s="89">
        <f>'14.增值税计算表'!$D80*('2.税率表'!$D$13+'2.税率表'!$D$14+'2.税率表'!$D$17)+'14.增值税计算表'!$L$421</f>
        <v>0</v>
      </c>
      <c r="H40" s="89">
        <f>'14.增值税计算表'!$D93*('2.税率表'!$D$13+'2.税率表'!$D$14+'2.税率表'!$D$17)+'14.增值税计算表'!$L$422</f>
        <v>0</v>
      </c>
      <c r="I40" s="89">
        <f>'14.增值税计算表'!$D106*('2.税率表'!$D$13+'2.税率表'!$D$14+'2.税率表'!$D$17)+'14.增值税计算表'!$L$423</f>
        <v>0</v>
      </c>
      <c r="J40" s="93"/>
      <c r="K40" s="77"/>
      <c r="L40" s="77"/>
      <c r="M40" s="77"/>
    </row>
    <row r="41" spans="2:13" s="75" customFormat="1" outlineLevel="1">
      <c r="B41" s="88">
        <f>'8.项目规划指标表'!B$13</f>
        <v>0</v>
      </c>
      <c r="C41" s="89">
        <f t="shared" si="1"/>
        <v>0</v>
      </c>
      <c r="D41" s="89">
        <f>'14.增值税计算表'!D42*('2.税率表'!$D$13+'2.税率表'!$D$14+'2.税率表'!$D$17)+'14.增值税计算表'!M418</f>
        <v>0</v>
      </c>
      <c r="E41" s="89">
        <f>'14.增值税计算表'!D55*('2.税率表'!$D$13+'2.税率表'!$D$14+'2.税率表'!$D$17)+'14.增值税计算表'!$M419</f>
        <v>0</v>
      </c>
      <c r="F41" s="89">
        <f>'14.增值税计算表'!D68*('2.税率表'!$D$13+'2.税率表'!$D$14+'2.税率表'!$D$17)+'14.增值税计算表'!$M420</f>
        <v>0</v>
      </c>
      <c r="G41" s="89">
        <f>'14.增值税计算表'!$D81*('2.税率表'!$D$13+'2.税率表'!$D$14+'2.税率表'!$D$17)+'14.增值税计算表'!$M$421</f>
        <v>0</v>
      </c>
      <c r="H41" s="89">
        <f>'14.增值税计算表'!$D94*('2.税率表'!$D$13+'2.税率表'!$D$14+'2.税率表'!$D$17)+'14.增值税计算表'!$M$422</f>
        <v>0</v>
      </c>
      <c r="I41" s="89">
        <f>'14.增值税计算表'!$D107*('2.税率表'!$D$13+'2.税率表'!$D$14+'2.税率表'!$D$17)+'14.增值税计算表'!$M$423</f>
        <v>0</v>
      </c>
      <c r="J41" s="93"/>
      <c r="K41" s="77"/>
      <c r="L41" s="77"/>
      <c r="M41" s="77"/>
    </row>
    <row r="42" spans="2:13" s="75" customFormat="1" outlineLevel="1">
      <c r="B42" s="88" t="str">
        <f>'8.项目规划指标表'!B$14</f>
        <v>自持物业</v>
      </c>
      <c r="C42" s="89"/>
      <c r="D42" s="89"/>
      <c r="E42" s="89"/>
      <c r="F42" s="89"/>
      <c r="G42" s="89"/>
      <c r="H42" s="89"/>
      <c r="I42" s="89"/>
      <c r="J42" s="93"/>
      <c r="K42" s="77"/>
      <c r="L42" s="77"/>
      <c r="M42" s="77"/>
    </row>
    <row r="43" spans="2:13" s="75" customFormat="1" outlineLevel="1">
      <c r="B43" s="88" t="str">
        <f>'8.项目规划指标表'!B$18</f>
        <v>有产权车库(个)</v>
      </c>
      <c r="C43" s="89">
        <f t="shared" si="1"/>
        <v>26.185472166418233</v>
      </c>
      <c r="D43" s="89">
        <f>'14.增值税计算表'!D44*('2.税率表'!$D$13+'2.税率表'!$D$14+'2.税率表'!$D$17)+'14.增值税计算表'!O418</f>
        <v>26.185472166418233</v>
      </c>
      <c r="E43" s="89">
        <f>'14.增值税计算表'!D57*('2.税率表'!$D$13+'2.税率表'!$D$14+'2.税率表'!$D$17)+'14.增值税计算表'!$O419</f>
        <v>0</v>
      </c>
      <c r="F43" s="89">
        <f>'14.增值税计算表'!D70*('2.税率表'!$D$13+'2.税率表'!$D$14+'2.税率表'!$D$17)+'14.增值税计算表'!$O420</f>
        <v>0</v>
      </c>
      <c r="G43" s="89">
        <f>'14.增值税计算表'!$D83*('2.税率表'!$D$13+'2.税率表'!$D$14+'2.税率表'!$D$17)+'14.增值税计算表'!$O$421</f>
        <v>0</v>
      </c>
      <c r="H43" s="89">
        <f>'14.增值税计算表'!$D96*('2.税率表'!$D$13+'2.税率表'!$D$14+'2.税率表'!$D$17)+'14.增值税计算表'!$O$422</f>
        <v>0</v>
      </c>
      <c r="I43" s="89">
        <f>'14.增值税计算表'!$D109*('2.税率表'!$D$13+'2.税率表'!$D$14+'2.税率表'!$D$17)+'14.增值税计算表'!$O$423</f>
        <v>0</v>
      </c>
      <c r="J43" s="93"/>
      <c r="K43" s="77"/>
      <c r="L43" s="77"/>
      <c r="M43" s="77"/>
    </row>
    <row r="44" spans="2:13" s="75" customFormat="1" outlineLevel="1">
      <c r="B44" s="88" t="str">
        <f>'8.项目规划指标表'!B$19</f>
        <v>无产权车库(个)</v>
      </c>
      <c r="C44" s="89">
        <f t="shared" si="1"/>
        <v>0</v>
      </c>
      <c r="D44" s="89">
        <f>'14.增值税计算表'!D45*('2.税率表'!$D$13+'2.税率表'!$D$14+'2.税率表'!$D$17)+'14.增值税计算表'!P418</f>
        <v>0</v>
      </c>
      <c r="E44" s="89">
        <f>'14.增值税计算表'!D58*('2.税率表'!$D$13+'2.税率表'!$D$14+'2.税率表'!$D$17)+'14.增值税计算表'!$P419</f>
        <v>0</v>
      </c>
      <c r="F44" s="89">
        <f>'14.增值税计算表'!D71*('2.税率表'!$D$13+'2.税率表'!$D$14+'2.税率表'!$D$17)+'14.增值税计算表'!$P420</f>
        <v>0</v>
      </c>
      <c r="G44" s="89">
        <f>'14.增值税计算表'!$D84*('2.税率表'!$D$13+'2.税率表'!$D$14+'2.税率表'!$D$17)+'14.增值税计算表'!$P$421</f>
        <v>0</v>
      </c>
      <c r="H44" s="89">
        <f>'14.增值税计算表'!$D97*('2.税率表'!$D$13+'2.税率表'!$D$14+'2.税率表'!$D$17)+'14.增值税计算表'!$P$422</f>
        <v>0</v>
      </c>
      <c r="I44" s="89">
        <f>'14.增值税计算表'!$D110*('2.税率表'!$D$13+'2.税率表'!$D$14+'2.税率表'!$D$17)+'14.增值税计算表'!$P$423</f>
        <v>0</v>
      </c>
      <c r="J44" s="93"/>
      <c r="K44" s="77"/>
      <c r="L44" s="77"/>
      <c r="M44" s="77"/>
    </row>
    <row r="45" spans="2:13" s="75" customFormat="1">
      <c r="B45" s="100" t="s">
        <v>602</v>
      </c>
      <c r="C45" s="101">
        <f t="shared" si="1"/>
        <v>47.994439083619042</v>
      </c>
      <c r="D45" s="101">
        <f>D6*1.11*('2.税率表'!$D$15+'2.税率表'!$D$16+'2.税率表'!$D$18)</f>
        <v>47.994439083619042</v>
      </c>
      <c r="E45" s="101">
        <f>E6*1.11*('2.税率表'!$D$15+'2.税率表'!$D$16+'2.税率表'!$D$18)</f>
        <v>0</v>
      </c>
      <c r="F45" s="101">
        <f>F6*1.11*('2.税率表'!$D$15+'2.税率表'!$D$16+'2.税率表'!$D$18)</f>
        <v>0</v>
      </c>
      <c r="G45" s="101">
        <f>G6*1.11*('2.税率表'!$D$15+'2.税率表'!$D$16+'2.税率表'!$D$18)</f>
        <v>0</v>
      </c>
      <c r="H45" s="101">
        <f>H6*1.11*('2.税率表'!$D$15+'2.税率表'!$D$16+'2.税率表'!$D$18)</f>
        <v>0</v>
      </c>
      <c r="I45" s="101">
        <f>I6*1.11*('2.税率表'!$D$15+'2.税率表'!$D$16+'2.税率表'!$D$18)</f>
        <v>0</v>
      </c>
      <c r="J45" s="93">
        <f>SUM(C46:C57)-C45</f>
        <v>0</v>
      </c>
      <c r="K45" s="77"/>
      <c r="L45" s="77"/>
      <c r="M45" s="77"/>
    </row>
    <row r="46" spans="2:13" s="75" customFormat="1" ht="12" customHeight="1" outlineLevel="1">
      <c r="B46" s="88" t="str">
        <f>'8.项目规划指标表'!B$5</f>
        <v>高层</v>
      </c>
      <c r="C46" s="89">
        <f t="shared" si="1"/>
        <v>34.451696258744001</v>
      </c>
      <c r="D46" s="89">
        <f>D7*1.11*('2.税率表'!$D$15+'2.税率表'!$D$16+'2.税率表'!$D$18)</f>
        <v>34.451696258744001</v>
      </c>
      <c r="E46" s="89">
        <f>E7*1.11*('2.税率表'!$D$15+'2.税率表'!$D$16+'2.税率表'!$D$18)</f>
        <v>0</v>
      </c>
      <c r="F46" s="89">
        <f>F7*1.11*('2.税率表'!$D$15+'2.税率表'!$D$16+'2.税率表'!$D$18)</f>
        <v>0</v>
      </c>
      <c r="G46" s="89">
        <f>G7*1.11*('2.税率表'!$D$15+'2.税率表'!$D$16+'2.税率表'!$D$18)</f>
        <v>0</v>
      </c>
      <c r="H46" s="89">
        <f>H7*1.11*('2.税率表'!$D$15+'2.税率表'!$D$16+'2.税率表'!$D$18)</f>
        <v>0</v>
      </c>
      <c r="I46" s="89">
        <f>I7*1.11*('2.税率表'!$D$15+'2.税率表'!$D$16+'2.税率表'!$D$18)</f>
        <v>0</v>
      </c>
      <c r="J46" s="93"/>
      <c r="K46" s="77"/>
      <c r="L46" s="77"/>
      <c r="M46" s="77"/>
    </row>
    <row r="47" spans="2:13" s="75" customFormat="1" outlineLevel="1">
      <c r="B47" s="88" t="str">
        <f>'8.项目规划指标表'!B$6</f>
        <v>商铺</v>
      </c>
      <c r="C47" s="89">
        <f t="shared" si="1"/>
        <v>12.338886010342295</v>
      </c>
      <c r="D47" s="89">
        <f>D8*1.11*('2.税率表'!$D$15+'2.税率表'!$D$16+'2.税率表'!$D$18)</f>
        <v>12.338886010342295</v>
      </c>
      <c r="E47" s="89">
        <f>E8*1.11*('2.税率表'!$D$15+'2.税率表'!$D$16+'2.税率表'!$D$18)</f>
        <v>0</v>
      </c>
      <c r="F47" s="89">
        <f>F8*1.11*('2.税率表'!$D$15+'2.税率表'!$D$16+'2.税率表'!$D$18)</f>
        <v>0</v>
      </c>
      <c r="G47" s="89">
        <f>G8*1.11*('2.税率表'!$D$15+'2.税率表'!$D$16+'2.税率表'!$D$18)</f>
        <v>0</v>
      </c>
      <c r="H47" s="89">
        <f>H8*1.11*('2.税率表'!$D$15+'2.税率表'!$D$16+'2.税率表'!$D$18)</f>
        <v>0</v>
      </c>
      <c r="I47" s="89">
        <f>I8*1.11*('2.税率表'!$D$15+'2.税率表'!$D$16+'2.税率表'!$D$18)</f>
        <v>0</v>
      </c>
      <c r="J47" s="93"/>
      <c r="K47" s="77"/>
      <c r="L47" s="77"/>
      <c r="M47" s="77"/>
    </row>
    <row r="48" spans="2:13" s="75" customFormat="1" outlineLevel="1">
      <c r="B48" s="88" t="str">
        <f>'8.项目规划指标表'!B$7</f>
        <v>回迁商业</v>
      </c>
      <c r="C48" s="89">
        <f t="shared" si="1"/>
        <v>0</v>
      </c>
      <c r="D48" s="89">
        <f>D9*1.11*('2.税率表'!$D$15+'2.税率表'!$D$16+'2.税率表'!$D$18)</f>
        <v>0</v>
      </c>
      <c r="E48" s="89">
        <f>E9*1.11*('2.税率表'!$D$15+'2.税率表'!$D$16+'2.税率表'!$D$18)</f>
        <v>0</v>
      </c>
      <c r="F48" s="89">
        <f>F9*1.11*('2.税率表'!$D$15+'2.税率表'!$D$16+'2.税率表'!$D$18)</f>
        <v>0</v>
      </c>
      <c r="G48" s="89">
        <f>G9*1.11*('2.税率表'!$D$15+'2.税率表'!$D$16+'2.税率表'!$D$18)</f>
        <v>0</v>
      </c>
      <c r="H48" s="89">
        <f>H9*1.11*('2.税率表'!$D$15+'2.税率表'!$D$16+'2.税率表'!$D$18)</f>
        <v>0</v>
      </c>
      <c r="I48" s="89">
        <f>I9*1.11*('2.税率表'!$D$15+'2.税率表'!$D$16+'2.税率表'!$D$18)</f>
        <v>0</v>
      </c>
      <c r="J48" s="93"/>
      <c r="K48" s="77"/>
      <c r="L48" s="77"/>
      <c r="M48" s="77"/>
    </row>
    <row r="49" spans="2:13" s="75" customFormat="1" outlineLevel="1">
      <c r="B49" s="88">
        <f>'8.项目规划指标表'!B$8</f>
        <v>0</v>
      </c>
      <c r="C49" s="89">
        <f t="shared" si="1"/>
        <v>0</v>
      </c>
      <c r="D49" s="89">
        <f>D10*1.11*('2.税率表'!$D$15+'2.税率表'!$D$16+'2.税率表'!$D$18)</f>
        <v>0</v>
      </c>
      <c r="E49" s="89">
        <f>E10*1.11*('2.税率表'!$D$15+'2.税率表'!$D$16+'2.税率表'!$D$18)</f>
        <v>0</v>
      </c>
      <c r="F49" s="89">
        <f>F10*1.11*('2.税率表'!$D$15+'2.税率表'!$D$16+'2.税率表'!$D$18)</f>
        <v>0</v>
      </c>
      <c r="G49" s="89">
        <f>G10*1.11*('2.税率表'!$D$15+'2.税率表'!$D$16+'2.税率表'!$D$18)</f>
        <v>0</v>
      </c>
      <c r="H49" s="89">
        <f>H10*1.11*('2.税率表'!$D$15+'2.税率表'!$D$16+'2.税率表'!$D$18)</f>
        <v>0</v>
      </c>
      <c r="I49" s="89">
        <f>I10*1.11*('2.税率表'!$D$15+'2.税率表'!$D$16+'2.税率表'!$D$18)</f>
        <v>0</v>
      </c>
      <c r="J49" s="93"/>
      <c r="K49" s="77"/>
      <c r="L49" s="77"/>
      <c r="M49" s="77"/>
    </row>
    <row r="50" spans="2:13" s="75" customFormat="1" outlineLevel="1">
      <c r="B50" s="88">
        <f>'8.项目规划指标表'!B$9</f>
        <v>0</v>
      </c>
      <c r="C50" s="89">
        <f t="shared" si="1"/>
        <v>0</v>
      </c>
      <c r="D50" s="89">
        <f>D11*1.11*('2.税率表'!$D$15+'2.税率表'!$D$16+'2.税率表'!$D$18)</f>
        <v>0</v>
      </c>
      <c r="E50" s="89">
        <f>E11*1.11*('2.税率表'!$D$15+'2.税率表'!$D$16+'2.税率表'!$D$18)</f>
        <v>0</v>
      </c>
      <c r="F50" s="89">
        <f>F11*1.11*('2.税率表'!$D$15+'2.税率表'!$D$16+'2.税率表'!$D$18)</f>
        <v>0</v>
      </c>
      <c r="G50" s="89">
        <f>G11*1.11*('2.税率表'!$D$15+'2.税率表'!$D$16+'2.税率表'!$D$18)</f>
        <v>0</v>
      </c>
      <c r="H50" s="89">
        <f>H11*1.11*('2.税率表'!$D$15+'2.税率表'!$D$16+'2.税率表'!$D$18)</f>
        <v>0</v>
      </c>
      <c r="I50" s="89">
        <f>I11*1.11*('2.税率表'!$D$15+'2.税率表'!$D$16+'2.税率表'!$D$18)</f>
        <v>0</v>
      </c>
      <c r="J50" s="93"/>
      <c r="K50" s="77"/>
      <c r="L50" s="77"/>
      <c r="M50" s="77"/>
    </row>
    <row r="51" spans="2:13" s="75" customFormat="1" outlineLevel="1">
      <c r="B51" s="88">
        <f>'8.项目规划指标表'!B$10</f>
        <v>0</v>
      </c>
      <c r="C51" s="89">
        <f t="shared" si="1"/>
        <v>0</v>
      </c>
      <c r="D51" s="89">
        <f>D12*1.11*('2.税率表'!$D$15+'2.税率表'!$D$16+'2.税率表'!$D$18)</f>
        <v>0</v>
      </c>
      <c r="E51" s="89">
        <f>E12*1.11*('2.税率表'!$D$15+'2.税率表'!$D$16+'2.税率表'!$D$18)</f>
        <v>0</v>
      </c>
      <c r="F51" s="89">
        <f>F12*1.11*('2.税率表'!$D$15+'2.税率表'!$D$16+'2.税率表'!$D$18)</f>
        <v>0</v>
      </c>
      <c r="G51" s="89">
        <f>G12*1.11*('2.税率表'!$D$15+'2.税率表'!$D$16+'2.税率表'!$D$18)</f>
        <v>0</v>
      </c>
      <c r="H51" s="89">
        <f>H12*1.11*('2.税率表'!$D$15+'2.税率表'!$D$16+'2.税率表'!$D$18)</f>
        <v>0</v>
      </c>
      <c r="I51" s="89">
        <f>I12*1.11*('2.税率表'!$D$15+'2.税率表'!$D$16+'2.税率表'!$D$18)</f>
        <v>0</v>
      </c>
      <c r="J51" s="93"/>
      <c r="K51" s="77"/>
      <c r="L51" s="77"/>
      <c r="M51" s="77"/>
    </row>
    <row r="52" spans="2:13" s="75" customFormat="1" outlineLevel="1">
      <c r="B52" s="88">
        <f>'8.项目规划指标表'!B$11</f>
        <v>0</v>
      </c>
      <c r="C52" s="89">
        <f t="shared" si="1"/>
        <v>0</v>
      </c>
      <c r="D52" s="89">
        <f>D13*1.11*('2.税率表'!$D$15+'2.税率表'!$D$16+'2.税率表'!$D$18)</f>
        <v>0</v>
      </c>
      <c r="E52" s="89">
        <f>E13*1.11*('2.税率表'!$D$15+'2.税率表'!$D$16+'2.税率表'!$D$18)</f>
        <v>0</v>
      </c>
      <c r="F52" s="89">
        <f>F13*1.11*('2.税率表'!$D$15+'2.税率表'!$D$16+'2.税率表'!$D$18)</f>
        <v>0</v>
      </c>
      <c r="G52" s="89">
        <f>G13*1.11*('2.税率表'!$D$15+'2.税率表'!$D$16+'2.税率表'!$D$18)</f>
        <v>0</v>
      </c>
      <c r="H52" s="89">
        <f>H13*1.11*('2.税率表'!$D$15+'2.税率表'!$D$16+'2.税率表'!$D$18)</f>
        <v>0</v>
      </c>
      <c r="I52" s="89">
        <f>I13*1.11*('2.税率表'!$D$15+'2.税率表'!$D$16+'2.税率表'!$D$18)</f>
        <v>0</v>
      </c>
      <c r="J52" s="93"/>
      <c r="K52" s="77"/>
      <c r="L52" s="77"/>
      <c r="M52" s="77"/>
    </row>
    <row r="53" spans="2:13" s="75" customFormat="1" outlineLevel="1">
      <c r="B53" s="88">
        <f>'8.项目规划指标表'!B$12</f>
        <v>0</v>
      </c>
      <c r="C53" s="89">
        <f t="shared" si="1"/>
        <v>0</v>
      </c>
      <c r="D53" s="89">
        <f>D14*1.11*('2.税率表'!$D$15+'2.税率表'!$D$16+'2.税率表'!$D$18)</f>
        <v>0</v>
      </c>
      <c r="E53" s="89">
        <f>E14*1.11*('2.税率表'!$D$15+'2.税率表'!$D$16+'2.税率表'!$D$18)</f>
        <v>0</v>
      </c>
      <c r="F53" s="89">
        <f>F14*1.11*('2.税率表'!$D$15+'2.税率表'!$D$16+'2.税率表'!$D$18)</f>
        <v>0</v>
      </c>
      <c r="G53" s="89">
        <f>G14*1.11*('2.税率表'!$D$15+'2.税率表'!$D$16+'2.税率表'!$D$18)</f>
        <v>0</v>
      </c>
      <c r="H53" s="89">
        <f>H14*1.11*('2.税率表'!$D$15+'2.税率表'!$D$16+'2.税率表'!$D$18)</f>
        <v>0</v>
      </c>
      <c r="I53" s="89">
        <f>I14*1.11*('2.税率表'!$D$15+'2.税率表'!$D$16+'2.税率表'!$D$18)</f>
        <v>0</v>
      </c>
      <c r="J53" s="93"/>
      <c r="K53" s="77"/>
      <c r="L53" s="77"/>
      <c r="M53" s="77"/>
    </row>
    <row r="54" spans="2:13" s="75" customFormat="1" outlineLevel="1">
      <c r="B54" s="88">
        <f>'8.项目规划指标表'!B$13</f>
        <v>0</v>
      </c>
      <c r="C54" s="89">
        <f t="shared" si="1"/>
        <v>0</v>
      </c>
      <c r="D54" s="89">
        <f>D15*1.11*('2.税率表'!$D$15+'2.税率表'!$D$16+'2.税率表'!$D$18)</f>
        <v>0</v>
      </c>
      <c r="E54" s="89">
        <f>E15*1.11*('2.税率表'!$D$15+'2.税率表'!$D$16+'2.税率表'!$D$18)</f>
        <v>0</v>
      </c>
      <c r="F54" s="89">
        <f>F15*1.11*('2.税率表'!$D$15+'2.税率表'!$D$16+'2.税率表'!$D$18)</f>
        <v>0</v>
      </c>
      <c r="G54" s="89">
        <f>G15*1.11*('2.税率表'!$D$15+'2.税率表'!$D$16+'2.税率表'!$D$18)</f>
        <v>0</v>
      </c>
      <c r="H54" s="89">
        <f>H15*1.11*('2.税率表'!$D$15+'2.税率表'!$D$16+'2.税率表'!$D$18)</f>
        <v>0</v>
      </c>
      <c r="I54" s="89">
        <f>I15*1.11*('2.税率表'!$D$15+'2.税率表'!$D$16+'2.税率表'!$D$18)</f>
        <v>0</v>
      </c>
      <c r="J54" s="93"/>
      <c r="K54" s="77"/>
      <c r="L54" s="77"/>
      <c r="M54" s="77"/>
    </row>
    <row r="55" spans="2:13" s="75" customFormat="1" outlineLevel="1">
      <c r="B55" s="88" t="str">
        <f>'8.项目规划指标表'!B$14</f>
        <v>自持物业</v>
      </c>
      <c r="C55" s="89"/>
      <c r="D55" s="89"/>
      <c r="E55" s="89"/>
      <c r="F55" s="89"/>
      <c r="G55" s="89"/>
      <c r="H55" s="89"/>
      <c r="I55" s="89"/>
      <c r="J55" s="93"/>
      <c r="K55" s="77"/>
      <c r="L55" s="77"/>
      <c r="M55" s="77"/>
    </row>
    <row r="56" spans="2:13" s="75" customFormat="1" outlineLevel="1">
      <c r="B56" s="88" t="str">
        <f>'8.项目规划指标表'!B$18</f>
        <v>有产权车库(个)</v>
      </c>
      <c r="C56" s="89">
        <f t="shared" si="1"/>
        <v>1.2038568145327513</v>
      </c>
      <c r="D56" s="89">
        <f>D17*1.11*('2.税率表'!$D$15+'2.税率表'!$D$16+'2.税率表'!$D$18)</f>
        <v>1.2038568145327513</v>
      </c>
      <c r="E56" s="89">
        <f>E17*1.11*('2.税率表'!$D$15+'2.税率表'!$D$16+'2.税率表'!$D$18)</f>
        <v>0</v>
      </c>
      <c r="F56" s="89">
        <f>F17*1.11*('2.税率表'!$D$15+'2.税率表'!$D$16+'2.税率表'!$D$18)</f>
        <v>0</v>
      </c>
      <c r="G56" s="89">
        <f>G17*1.11*('2.税率表'!$D$15+'2.税率表'!$D$16+'2.税率表'!$D$18)</f>
        <v>0</v>
      </c>
      <c r="H56" s="89">
        <f>H17*1.11*('2.税率表'!$D$15+'2.税率表'!$D$16+'2.税率表'!$D$18)</f>
        <v>0</v>
      </c>
      <c r="I56" s="89">
        <f>I17*1.11*('2.税率表'!$D$15+'2.税率表'!$D$16+'2.税率表'!$D$18)</f>
        <v>0</v>
      </c>
      <c r="J56" s="93"/>
      <c r="K56" s="77"/>
      <c r="L56" s="77"/>
      <c r="M56" s="77"/>
    </row>
    <row r="57" spans="2:13" s="75" customFormat="1" outlineLevel="1">
      <c r="B57" s="88" t="str">
        <f>'8.项目规划指标表'!B$19</f>
        <v>无产权车库(个)</v>
      </c>
      <c r="C57" s="89">
        <f t="shared" si="1"/>
        <v>0</v>
      </c>
      <c r="D57" s="89">
        <f>D18*1.11*('2.税率表'!$D$15+'2.税率表'!$D$16+'2.税率表'!$D$18)</f>
        <v>0</v>
      </c>
      <c r="E57" s="89">
        <f>E18*1.11*('2.税率表'!$D$15+'2.税率表'!$D$16+'2.税率表'!$D$18)</f>
        <v>0</v>
      </c>
      <c r="F57" s="89">
        <f>F18*1.11*('2.税率表'!$D$15+'2.税率表'!$D$16+'2.税率表'!$D$18)</f>
        <v>0</v>
      </c>
      <c r="G57" s="89">
        <f>G18*1.11*('2.税率表'!$D$15+'2.税率表'!$D$16+'2.税率表'!$D$18)</f>
        <v>0</v>
      </c>
      <c r="H57" s="89">
        <f>H18*1.11*('2.税率表'!$D$15+'2.税率表'!$D$16+'2.税率表'!$D$18)</f>
        <v>0</v>
      </c>
      <c r="I57" s="89">
        <f>I18*1.11*('2.税率表'!$D$15+'2.税率表'!$D$16+'2.税率表'!$D$18)</f>
        <v>0</v>
      </c>
      <c r="J57" s="93"/>
      <c r="K57" s="77"/>
      <c r="L57" s="77"/>
      <c r="M57" s="77"/>
    </row>
    <row r="58" spans="2:13" s="75" customFormat="1">
      <c r="B58" s="100" t="s">
        <v>377</v>
      </c>
      <c r="C58" s="101">
        <f t="shared" ca="1" si="1"/>
        <v>7149.0265899704282</v>
      </c>
      <c r="D58" s="101">
        <f ca="1">Sheet3!$C21</f>
        <v>7149.0265899704282</v>
      </c>
      <c r="E58" s="101">
        <f ca="1">Sheet3!$C39</f>
        <v>0</v>
      </c>
      <c r="F58" s="101">
        <f ca="1">Sheet3!$C57</f>
        <v>0</v>
      </c>
      <c r="G58" s="101">
        <f ca="1">Sheet3!$C75</f>
        <v>0</v>
      </c>
      <c r="H58" s="101">
        <f ca="1">Sheet3!$C93</f>
        <v>0</v>
      </c>
      <c r="I58" s="101">
        <f ca="1">Sheet3!$C111</f>
        <v>0</v>
      </c>
      <c r="J58" s="93">
        <f ca="1">SUM(C59:C70)-C58</f>
        <v>0</v>
      </c>
      <c r="K58" s="77"/>
      <c r="L58" s="77"/>
      <c r="M58" s="77"/>
    </row>
    <row r="59" spans="2:13" s="75" customFormat="1" ht="12" customHeight="1" outlineLevel="1">
      <c r="B59" s="88" t="str">
        <f>'8.项目规划指标表'!B$5</f>
        <v>高层</v>
      </c>
      <c r="C59" s="89">
        <f t="shared" ca="1" si="1"/>
        <v>3744.9989569173499</v>
      </c>
      <c r="D59" s="89">
        <f ca="1">Sheet3!$D$21</f>
        <v>3744.9989569173499</v>
      </c>
      <c r="E59" s="89">
        <f ca="1">Sheet3!$D$39</f>
        <v>0</v>
      </c>
      <c r="F59" s="89">
        <f ca="1">Sheet3!$D$57</f>
        <v>0</v>
      </c>
      <c r="G59" s="89">
        <f ca="1">Sheet3!$D$75</f>
        <v>0</v>
      </c>
      <c r="H59" s="89">
        <f ca="1">Sheet3!$D$93</f>
        <v>0</v>
      </c>
      <c r="I59" s="89">
        <f ca="1">Sheet3!$D$111</f>
        <v>0</v>
      </c>
      <c r="J59" s="93"/>
      <c r="K59" s="77"/>
      <c r="L59" s="77"/>
      <c r="M59" s="77"/>
    </row>
    <row r="60" spans="2:13" s="75" customFormat="1" outlineLevel="1">
      <c r="B60" s="88" t="str">
        <f>'8.项目规划指标表'!B$6</f>
        <v>商铺</v>
      </c>
      <c r="C60" s="89">
        <f t="shared" ca="1" si="1"/>
        <v>3101.4329581116267</v>
      </c>
      <c r="D60" s="89">
        <f ca="1">Sheet3!$E$21</f>
        <v>3101.4329581116267</v>
      </c>
      <c r="E60" s="89">
        <f ca="1">Sheet3!$E$39</f>
        <v>0</v>
      </c>
      <c r="F60" s="89">
        <f ca="1">Sheet3!$E$57</f>
        <v>0</v>
      </c>
      <c r="G60" s="89">
        <f ca="1">Sheet3!$E$75</f>
        <v>0</v>
      </c>
      <c r="H60" s="89">
        <f ca="1">Sheet3!$E$93</f>
        <v>0</v>
      </c>
      <c r="I60" s="89">
        <f ca="1">Sheet3!$E$111</f>
        <v>0</v>
      </c>
      <c r="J60" s="93"/>
      <c r="K60" s="77"/>
      <c r="L60" s="77"/>
      <c r="M60" s="77"/>
    </row>
    <row r="61" spans="2:13" s="75" customFormat="1" outlineLevel="1">
      <c r="B61" s="88" t="str">
        <f>'8.项目规划指标表'!B$7</f>
        <v>回迁商业</v>
      </c>
      <c r="C61" s="89">
        <f t="shared" ca="1" si="1"/>
        <v>0</v>
      </c>
      <c r="D61" s="89">
        <f>Sheet3!$F$21</f>
        <v>0</v>
      </c>
      <c r="E61" s="89">
        <f ca="1">Sheet3!$F$39</f>
        <v>0</v>
      </c>
      <c r="F61" s="89">
        <f ca="1">Sheet3!$F$57</f>
        <v>0</v>
      </c>
      <c r="G61" s="89">
        <f ca="1">Sheet3!$F$75</f>
        <v>0</v>
      </c>
      <c r="H61" s="89">
        <f ca="1">Sheet3!$F$93</f>
        <v>0</v>
      </c>
      <c r="I61" s="89">
        <f ca="1">Sheet3!$F$111</f>
        <v>0</v>
      </c>
      <c r="J61" s="93"/>
      <c r="K61" s="77"/>
      <c r="L61" s="77"/>
      <c r="M61" s="77"/>
    </row>
    <row r="62" spans="2:13" s="75" customFormat="1" outlineLevel="1">
      <c r="B62" s="88">
        <f>'8.项目规划指标表'!B$8</f>
        <v>0</v>
      </c>
      <c r="C62" s="89">
        <f t="shared" ca="1" si="1"/>
        <v>0</v>
      </c>
      <c r="D62" s="89">
        <f>Sheet3!$G$21</f>
        <v>0</v>
      </c>
      <c r="E62" s="89">
        <f ca="1">Sheet3!$G$39</f>
        <v>0</v>
      </c>
      <c r="F62" s="89">
        <f ca="1">Sheet3!$G$57</f>
        <v>0</v>
      </c>
      <c r="G62" s="89">
        <f ca="1">Sheet3!$G$75</f>
        <v>0</v>
      </c>
      <c r="H62" s="89">
        <f ca="1">Sheet3!$G$93</f>
        <v>0</v>
      </c>
      <c r="I62" s="89">
        <f ca="1">Sheet3!$G$111</f>
        <v>0</v>
      </c>
      <c r="J62" s="93"/>
      <c r="K62" s="77"/>
      <c r="L62" s="77"/>
      <c r="M62" s="77"/>
    </row>
    <row r="63" spans="2:13" s="75" customFormat="1" outlineLevel="1">
      <c r="B63" s="88">
        <f>'8.项目规划指标表'!B$9</f>
        <v>0</v>
      </c>
      <c r="C63" s="89">
        <f t="shared" ca="1" si="1"/>
        <v>0</v>
      </c>
      <c r="D63" s="89">
        <f>Sheet3!$H$21</f>
        <v>0</v>
      </c>
      <c r="E63" s="89">
        <f ca="1">Sheet3!$H$39</f>
        <v>0</v>
      </c>
      <c r="F63" s="89">
        <f ca="1">Sheet3!$H$57</f>
        <v>0</v>
      </c>
      <c r="G63" s="89">
        <f ca="1">Sheet3!$H$75</f>
        <v>0</v>
      </c>
      <c r="H63" s="89">
        <f ca="1">Sheet3!$H$93</f>
        <v>0</v>
      </c>
      <c r="I63" s="89">
        <f ca="1">Sheet3!$H$111</f>
        <v>0</v>
      </c>
      <c r="J63" s="93"/>
      <c r="K63" s="77"/>
      <c r="L63" s="77"/>
      <c r="M63" s="77"/>
    </row>
    <row r="64" spans="2:13" s="75" customFormat="1" outlineLevel="1">
      <c r="B64" s="88">
        <f>'8.项目规划指标表'!B$10</f>
        <v>0</v>
      </c>
      <c r="C64" s="89">
        <f t="shared" ca="1" si="1"/>
        <v>0</v>
      </c>
      <c r="D64" s="89">
        <f>Sheet3!$I$21</f>
        <v>0</v>
      </c>
      <c r="E64" s="89">
        <f ca="1">Sheet3!$I$39</f>
        <v>0</v>
      </c>
      <c r="F64" s="89">
        <f ca="1">Sheet3!$I$57</f>
        <v>0</v>
      </c>
      <c r="G64" s="89">
        <f ca="1">Sheet3!$I$75</f>
        <v>0</v>
      </c>
      <c r="H64" s="89">
        <f ca="1">Sheet3!$I$93</f>
        <v>0</v>
      </c>
      <c r="I64" s="89">
        <f ca="1">Sheet3!$I$111</f>
        <v>0</v>
      </c>
      <c r="J64" s="93"/>
      <c r="K64" s="77"/>
      <c r="L64" s="77"/>
      <c r="M64" s="77"/>
    </row>
    <row r="65" spans="2:13" s="75" customFormat="1" outlineLevel="1">
      <c r="B65" s="88">
        <f>'8.项目规划指标表'!B$11</f>
        <v>0</v>
      </c>
      <c r="C65" s="89">
        <f t="shared" ca="1" si="1"/>
        <v>0</v>
      </c>
      <c r="D65" s="89">
        <f>Sheet3!$J$21</f>
        <v>0</v>
      </c>
      <c r="E65" s="89">
        <f ca="1">Sheet3!$J$39</f>
        <v>0</v>
      </c>
      <c r="F65" s="89">
        <f ca="1">Sheet3!$J$57</f>
        <v>0</v>
      </c>
      <c r="G65" s="89">
        <f ca="1">Sheet3!$J$75</f>
        <v>0</v>
      </c>
      <c r="H65" s="89">
        <f ca="1">Sheet3!$J$93</f>
        <v>0</v>
      </c>
      <c r="I65" s="89">
        <f ca="1">Sheet3!$J$111</f>
        <v>0</v>
      </c>
      <c r="J65" s="93"/>
      <c r="K65" s="77"/>
      <c r="L65" s="77"/>
      <c r="M65" s="77"/>
    </row>
    <row r="66" spans="2:13" s="75" customFormat="1" outlineLevel="1">
      <c r="B66" s="88">
        <f>'8.项目规划指标表'!B$12</f>
        <v>0</v>
      </c>
      <c r="C66" s="89">
        <f t="shared" ca="1" si="1"/>
        <v>0</v>
      </c>
      <c r="D66" s="89">
        <f>Sheet3!$K$21</f>
        <v>0</v>
      </c>
      <c r="E66" s="89">
        <f ca="1">Sheet3!$K$39</f>
        <v>0</v>
      </c>
      <c r="F66" s="89">
        <f ca="1">Sheet3!$K$57</f>
        <v>0</v>
      </c>
      <c r="G66" s="89">
        <f ca="1">Sheet3!$K$75</f>
        <v>0</v>
      </c>
      <c r="H66" s="89">
        <f ca="1">Sheet3!$K$93</f>
        <v>0</v>
      </c>
      <c r="I66" s="89">
        <f ca="1">Sheet3!$K$111</f>
        <v>0</v>
      </c>
      <c r="J66" s="93"/>
      <c r="K66" s="77"/>
      <c r="L66" s="77"/>
      <c r="M66" s="77"/>
    </row>
    <row r="67" spans="2:13" s="75" customFormat="1" outlineLevel="1">
      <c r="B67" s="88">
        <f>'8.项目规划指标表'!B$13</f>
        <v>0</v>
      </c>
      <c r="C67" s="89">
        <f t="shared" ca="1" si="1"/>
        <v>0</v>
      </c>
      <c r="D67" s="89">
        <f>Sheet3!$L$21</f>
        <v>0</v>
      </c>
      <c r="E67" s="89">
        <f ca="1">Sheet3!$L$39</f>
        <v>0</v>
      </c>
      <c r="F67" s="89">
        <f ca="1">Sheet3!$L$57</f>
        <v>0</v>
      </c>
      <c r="G67" s="89">
        <f ca="1">Sheet3!$L$75</f>
        <v>0</v>
      </c>
      <c r="H67" s="89">
        <f ca="1">Sheet3!$L$93</f>
        <v>0</v>
      </c>
      <c r="I67" s="89">
        <f ca="1">Sheet3!$L$111</f>
        <v>0</v>
      </c>
      <c r="J67" s="93"/>
      <c r="K67" s="77"/>
      <c r="L67" s="77"/>
      <c r="M67" s="77"/>
    </row>
    <row r="68" spans="2:13" s="75" customFormat="1" outlineLevel="1">
      <c r="B68" s="88" t="str">
        <f>'8.项目规划指标表'!B$14</f>
        <v>自持物业</v>
      </c>
      <c r="C68" s="89"/>
      <c r="D68" s="89"/>
      <c r="E68" s="89"/>
      <c r="F68" s="89"/>
      <c r="G68" s="89"/>
      <c r="H68" s="89"/>
      <c r="I68" s="89"/>
      <c r="J68" s="93"/>
      <c r="K68" s="77"/>
      <c r="L68" s="77"/>
      <c r="M68" s="77"/>
    </row>
    <row r="69" spans="2:13" s="75" customFormat="1" outlineLevel="1">
      <c r="B69" s="88" t="str">
        <f>'8.项目规划指标表'!B$18</f>
        <v>有产权车库(个)</v>
      </c>
      <c r="C69" s="89">
        <f t="shared" ca="1" si="1"/>
        <v>302.59467494145161</v>
      </c>
      <c r="D69" s="89">
        <f ca="1">Sheet3!$N$21</f>
        <v>302.59467494145161</v>
      </c>
      <c r="E69" s="89">
        <f ca="1">Sheet3!$N$39</f>
        <v>0</v>
      </c>
      <c r="F69" s="89">
        <f ca="1">Sheet3!$N$57</f>
        <v>0</v>
      </c>
      <c r="G69" s="89">
        <f ca="1">Sheet3!$N$75</f>
        <v>0</v>
      </c>
      <c r="H69" s="89">
        <f ca="1">Sheet3!$N$93</f>
        <v>0</v>
      </c>
      <c r="I69" s="89">
        <f ca="1">Sheet3!$N$111</f>
        <v>0</v>
      </c>
      <c r="J69" s="93"/>
      <c r="K69" s="77"/>
      <c r="L69" s="77"/>
      <c r="M69" s="77"/>
    </row>
    <row r="70" spans="2:13" s="75" customFormat="1" outlineLevel="1">
      <c r="B70" s="88" t="str">
        <f>'8.项目规划指标表'!B$19</f>
        <v>无产权车库(个)</v>
      </c>
      <c r="C70" s="89">
        <f t="shared" ca="1" si="1"/>
        <v>0</v>
      </c>
      <c r="D70" s="89">
        <f>Sheet3!$O$21</f>
        <v>0</v>
      </c>
      <c r="E70" s="89">
        <f ca="1">Sheet3!$O$39</f>
        <v>0</v>
      </c>
      <c r="F70" s="89">
        <f ca="1">Sheet3!$O$57</f>
        <v>0</v>
      </c>
      <c r="G70" s="89">
        <f ca="1">Sheet3!$O$75</f>
        <v>0</v>
      </c>
      <c r="H70" s="89">
        <f ca="1">Sheet3!$O$93</f>
        <v>0</v>
      </c>
      <c r="I70" s="89">
        <f ca="1">Sheet3!$O$111</f>
        <v>0</v>
      </c>
      <c r="J70" s="93"/>
      <c r="K70" s="77"/>
      <c r="L70" s="77"/>
      <c r="M70" s="77"/>
    </row>
    <row r="71" spans="2:13" s="75" customFormat="1">
      <c r="B71" s="100" t="s">
        <v>583</v>
      </c>
      <c r="C71" s="101">
        <f t="shared" si="1"/>
        <v>1919.7775633447618</v>
      </c>
      <c r="D71" s="101">
        <f>'1.参数设置'!$E$5*D$6*1.11</f>
        <v>1919.7775633447618</v>
      </c>
      <c r="E71" s="101">
        <f>'1.参数设置'!$E$5*E$6*1.11</f>
        <v>0</v>
      </c>
      <c r="F71" s="101">
        <f>'1.参数设置'!$E$5*F$6*1.11</f>
        <v>0</v>
      </c>
      <c r="G71" s="101">
        <f>'1.参数设置'!$E$5*G$6*1.11</f>
        <v>0</v>
      </c>
      <c r="H71" s="101">
        <f>'1.参数设置'!$E$5*H$6*1.11</f>
        <v>0</v>
      </c>
      <c r="I71" s="101">
        <f>'1.参数设置'!$E$5*I$6*1.11</f>
        <v>0</v>
      </c>
      <c r="J71" s="93">
        <f>SUM(C72:C83)-C71</f>
        <v>0</v>
      </c>
      <c r="K71" s="77"/>
      <c r="L71" s="77"/>
      <c r="M71" s="77"/>
    </row>
    <row r="72" spans="2:13" s="75" customFormat="1" ht="12" customHeight="1" outlineLevel="1">
      <c r="B72" s="88" t="str">
        <f>'8.项目规划指标表'!B$5</f>
        <v>高层</v>
      </c>
      <c r="C72" s="89">
        <f t="shared" si="1"/>
        <v>1378.06785034976</v>
      </c>
      <c r="D72" s="89">
        <f>'1.参数设置'!$E$5*D7*1.11</f>
        <v>1378.06785034976</v>
      </c>
      <c r="E72" s="89">
        <f>'1.参数设置'!$E$5*E7*1.11</f>
        <v>0</v>
      </c>
      <c r="F72" s="89">
        <f>'1.参数设置'!$E$5*F7*1.11</f>
        <v>0</v>
      </c>
      <c r="G72" s="89">
        <f>'1.参数设置'!$E$5*G7*1.11</f>
        <v>0</v>
      </c>
      <c r="H72" s="89">
        <f>'1.参数设置'!$E$5*H7*1.11</f>
        <v>0</v>
      </c>
      <c r="I72" s="89">
        <f>'1.参数设置'!$E$5*I7*1.11</f>
        <v>0</v>
      </c>
      <c r="J72" s="93"/>
      <c r="K72" s="77"/>
      <c r="L72" s="77"/>
      <c r="M72" s="77"/>
    </row>
    <row r="73" spans="2:13" s="75" customFormat="1" outlineLevel="1">
      <c r="B73" s="88" t="str">
        <f>'8.项目规划指标表'!B$6</f>
        <v>商铺</v>
      </c>
      <c r="C73" s="89">
        <f t="shared" si="1"/>
        <v>493.55544041369171</v>
      </c>
      <c r="D73" s="89">
        <f>'1.参数设置'!$E$5*D8*1.11</f>
        <v>493.55544041369171</v>
      </c>
      <c r="E73" s="89">
        <f>'1.参数设置'!$E$5*E8*1.11</f>
        <v>0</v>
      </c>
      <c r="F73" s="89">
        <f>'1.参数设置'!$E$5*F8*1.11</f>
        <v>0</v>
      </c>
      <c r="G73" s="89">
        <f>'1.参数设置'!$E$5*G8*1.11</f>
        <v>0</v>
      </c>
      <c r="H73" s="89">
        <f>'1.参数设置'!$E$5*H8*1.11</f>
        <v>0</v>
      </c>
      <c r="I73" s="89">
        <f>'1.参数设置'!$E$5*I8*1.11</f>
        <v>0</v>
      </c>
      <c r="J73" s="93"/>
      <c r="K73" s="77"/>
      <c r="L73" s="77"/>
      <c r="M73" s="77"/>
    </row>
    <row r="74" spans="2:13" s="75" customFormat="1" outlineLevel="1">
      <c r="B74" s="88" t="str">
        <f>'8.项目规划指标表'!B$7</f>
        <v>回迁商业</v>
      </c>
      <c r="C74" s="89">
        <f t="shared" si="1"/>
        <v>0</v>
      </c>
      <c r="D74" s="89">
        <f>'1.参数设置'!$E$5*D9*1.11</f>
        <v>0</v>
      </c>
      <c r="E74" s="89">
        <f>'1.参数设置'!$E$5*E9*1.11</f>
        <v>0</v>
      </c>
      <c r="F74" s="89">
        <f>'1.参数设置'!$E$5*F9*1.11</f>
        <v>0</v>
      </c>
      <c r="G74" s="89">
        <f>'1.参数设置'!$E$5*G9*1.11</f>
        <v>0</v>
      </c>
      <c r="H74" s="89">
        <f>'1.参数设置'!$E$5*H9*1.11</f>
        <v>0</v>
      </c>
      <c r="I74" s="89">
        <f>'1.参数设置'!$E$5*I9*1.11</f>
        <v>0</v>
      </c>
      <c r="J74" s="93"/>
      <c r="K74" s="77"/>
      <c r="L74" s="77"/>
      <c r="M74" s="77"/>
    </row>
    <row r="75" spans="2:13" s="75" customFormat="1" outlineLevel="1">
      <c r="B75" s="88">
        <f>'8.项目规划指标表'!B$8</f>
        <v>0</v>
      </c>
      <c r="C75" s="89">
        <f t="shared" si="1"/>
        <v>0</v>
      </c>
      <c r="D75" s="89">
        <f>'1.参数设置'!$E$5*D10*1.11</f>
        <v>0</v>
      </c>
      <c r="E75" s="89">
        <f>'1.参数设置'!$E$5*E10*1.11</f>
        <v>0</v>
      </c>
      <c r="F75" s="89">
        <f>'1.参数设置'!$E$5*F10*1.11</f>
        <v>0</v>
      </c>
      <c r="G75" s="89">
        <f>'1.参数设置'!$E$5*G10*1.11</f>
        <v>0</v>
      </c>
      <c r="H75" s="89">
        <f>'1.参数设置'!$E$5*H10*1.11</f>
        <v>0</v>
      </c>
      <c r="I75" s="89">
        <f>'1.参数设置'!$E$5*I10*1.11</f>
        <v>0</v>
      </c>
      <c r="J75" s="93"/>
      <c r="K75" s="77"/>
      <c r="L75" s="77"/>
      <c r="M75" s="77"/>
    </row>
    <row r="76" spans="2:13" s="75" customFormat="1" outlineLevel="1">
      <c r="B76" s="88">
        <f>'8.项目规划指标表'!B$9</f>
        <v>0</v>
      </c>
      <c r="C76" s="89">
        <f t="shared" si="1"/>
        <v>0</v>
      </c>
      <c r="D76" s="89">
        <f>'1.参数设置'!$E$5*D11*1.11</f>
        <v>0</v>
      </c>
      <c r="E76" s="89">
        <f>'1.参数设置'!$E$5*E11*1.11</f>
        <v>0</v>
      </c>
      <c r="F76" s="89">
        <f>'1.参数设置'!$E$5*F11*1.11</f>
        <v>0</v>
      </c>
      <c r="G76" s="89">
        <f>'1.参数设置'!$E$5*G11*1.11</f>
        <v>0</v>
      </c>
      <c r="H76" s="89">
        <f>'1.参数设置'!$E$5*H11*1.11</f>
        <v>0</v>
      </c>
      <c r="I76" s="89">
        <f>'1.参数设置'!$E$5*I11*1.11</f>
        <v>0</v>
      </c>
      <c r="J76" s="93"/>
      <c r="K76" s="77"/>
      <c r="L76" s="77"/>
      <c r="M76" s="77"/>
    </row>
    <row r="77" spans="2:13" s="75" customFormat="1" outlineLevel="1">
      <c r="B77" s="88">
        <f>'8.项目规划指标表'!B$10</f>
        <v>0</v>
      </c>
      <c r="C77" s="89">
        <f t="shared" si="1"/>
        <v>0</v>
      </c>
      <c r="D77" s="89">
        <f>'1.参数设置'!$E$5*D12*1.11</f>
        <v>0</v>
      </c>
      <c r="E77" s="89">
        <f>'1.参数设置'!$E$5*E12*1.11</f>
        <v>0</v>
      </c>
      <c r="F77" s="89">
        <f>'1.参数设置'!$E$5*F12*1.11</f>
        <v>0</v>
      </c>
      <c r="G77" s="89">
        <f>'1.参数设置'!$E$5*G12*1.11</f>
        <v>0</v>
      </c>
      <c r="H77" s="89">
        <f>'1.参数设置'!$E$5*H12*1.11</f>
        <v>0</v>
      </c>
      <c r="I77" s="89">
        <f>'1.参数设置'!$E$5*I12*1.11</f>
        <v>0</v>
      </c>
      <c r="J77" s="93"/>
      <c r="K77" s="77"/>
      <c r="L77" s="77"/>
      <c r="M77" s="77"/>
    </row>
    <row r="78" spans="2:13" s="75" customFormat="1" outlineLevel="1">
      <c r="B78" s="88">
        <f>'8.项目规划指标表'!B$11</f>
        <v>0</v>
      </c>
      <c r="C78" s="89">
        <f t="shared" si="1"/>
        <v>0</v>
      </c>
      <c r="D78" s="89">
        <f>'1.参数设置'!$E$5*D13*1.11</f>
        <v>0</v>
      </c>
      <c r="E78" s="89">
        <f>'1.参数设置'!$E$5*E13*1.11</f>
        <v>0</v>
      </c>
      <c r="F78" s="89">
        <f>'1.参数设置'!$E$5*F13*1.11</f>
        <v>0</v>
      </c>
      <c r="G78" s="89">
        <f>'1.参数设置'!$E$5*G13*1.11</f>
        <v>0</v>
      </c>
      <c r="H78" s="89">
        <f>'1.参数设置'!$E$5*H13*1.11</f>
        <v>0</v>
      </c>
      <c r="I78" s="89">
        <f>'1.参数设置'!$E$5*I13*1.11</f>
        <v>0</v>
      </c>
      <c r="J78" s="93"/>
      <c r="K78" s="77"/>
      <c r="L78" s="77"/>
      <c r="M78" s="77"/>
    </row>
    <row r="79" spans="2:13" s="75" customFormat="1" outlineLevel="1">
      <c r="B79" s="88">
        <f>'8.项目规划指标表'!B$12</f>
        <v>0</v>
      </c>
      <c r="C79" s="89">
        <f t="shared" si="1"/>
        <v>0</v>
      </c>
      <c r="D79" s="89">
        <f>'1.参数设置'!$E$5*D14*1.11</f>
        <v>0</v>
      </c>
      <c r="E79" s="89">
        <f>'1.参数设置'!$E$5*E14*1.11</f>
        <v>0</v>
      </c>
      <c r="F79" s="89">
        <f>'1.参数设置'!$E$5*F14*1.11</f>
        <v>0</v>
      </c>
      <c r="G79" s="89">
        <f>'1.参数设置'!$E$5*G14*1.11</f>
        <v>0</v>
      </c>
      <c r="H79" s="89">
        <f>'1.参数设置'!$E$5*H14*1.11</f>
        <v>0</v>
      </c>
      <c r="I79" s="89">
        <f>'1.参数设置'!$E$5*I14*1.11</f>
        <v>0</v>
      </c>
      <c r="J79" s="93"/>
      <c r="K79" s="77"/>
      <c r="L79" s="77"/>
      <c r="M79" s="77"/>
    </row>
    <row r="80" spans="2:13" s="75" customFormat="1" outlineLevel="1">
      <c r="B80" s="88">
        <f>'8.项目规划指标表'!B$13</f>
        <v>0</v>
      </c>
      <c r="C80" s="89">
        <f t="shared" si="1"/>
        <v>0</v>
      </c>
      <c r="D80" s="89">
        <f>'1.参数设置'!$E$5*D15*1.11</f>
        <v>0</v>
      </c>
      <c r="E80" s="89">
        <f>'1.参数设置'!$E$5*E15*1.11</f>
        <v>0</v>
      </c>
      <c r="F80" s="89">
        <f>'1.参数设置'!$E$5*F15*1.11</f>
        <v>0</v>
      </c>
      <c r="G80" s="89">
        <f>'1.参数设置'!$E$5*G15*1.11</f>
        <v>0</v>
      </c>
      <c r="H80" s="89">
        <f>'1.参数设置'!$E$5*H15*1.11</f>
        <v>0</v>
      </c>
      <c r="I80" s="89">
        <f>'1.参数设置'!$E$5*I15*1.11</f>
        <v>0</v>
      </c>
      <c r="J80" s="93"/>
      <c r="K80" s="77"/>
      <c r="L80" s="77"/>
      <c r="M80" s="77"/>
    </row>
    <row r="81" spans="2:13" s="75" customFormat="1" outlineLevel="1">
      <c r="B81" s="88" t="str">
        <f>'8.项目规划指标表'!B$14</f>
        <v>自持物业</v>
      </c>
      <c r="C81" s="89"/>
      <c r="D81" s="89"/>
      <c r="E81" s="89"/>
      <c r="F81" s="89"/>
      <c r="G81" s="89"/>
      <c r="H81" s="89"/>
      <c r="I81" s="89"/>
      <c r="J81" s="93"/>
      <c r="K81" s="77"/>
      <c r="L81" s="77"/>
      <c r="M81" s="77"/>
    </row>
    <row r="82" spans="2:13" s="75" customFormat="1" outlineLevel="1">
      <c r="B82" s="88" t="str">
        <f>'8.项目规划指标表'!B$18</f>
        <v>有产权车库(个)</v>
      </c>
      <c r="C82" s="89">
        <f t="shared" si="1"/>
        <v>48.15427258131006</v>
      </c>
      <c r="D82" s="89">
        <f>'1.参数设置'!$E$5*D17*1.11</f>
        <v>48.15427258131006</v>
      </c>
      <c r="E82" s="89">
        <f>'1.参数设置'!$E$5*E17*1.11</f>
        <v>0</v>
      </c>
      <c r="F82" s="89">
        <f>'1.参数设置'!$E$5*F17*1.11</f>
        <v>0</v>
      </c>
      <c r="G82" s="89">
        <f>'1.参数设置'!$E$5*G17*1.11</f>
        <v>0</v>
      </c>
      <c r="H82" s="89">
        <f>'1.参数设置'!$E$5*H17*1.11</f>
        <v>0</v>
      </c>
      <c r="I82" s="89">
        <f>'1.参数设置'!$E$5*I17*1.11</f>
        <v>0</v>
      </c>
      <c r="J82" s="93"/>
      <c r="K82" s="77"/>
      <c r="L82" s="77"/>
      <c r="M82" s="77"/>
    </row>
    <row r="83" spans="2:13" s="75" customFormat="1" outlineLevel="1">
      <c r="B83" s="88" t="str">
        <f>'8.项目规划指标表'!B$19</f>
        <v>无产权车库(个)</v>
      </c>
      <c r="C83" s="89">
        <f t="shared" si="1"/>
        <v>0</v>
      </c>
      <c r="D83" s="89">
        <f>'1.参数设置'!$E$5*D18*1.11</f>
        <v>0</v>
      </c>
      <c r="E83" s="89">
        <f>'1.参数设置'!$E$5*E18*1.11</f>
        <v>0</v>
      </c>
      <c r="F83" s="89">
        <f>'1.参数设置'!$E$5*F18*1.11</f>
        <v>0</v>
      </c>
      <c r="G83" s="89">
        <f>'1.参数设置'!$E$5*G18*1.11</f>
        <v>0</v>
      </c>
      <c r="H83" s="89">
        <f>'1.参数设置'!$E$5*H18*1.11</f>
        <v>0</v>
      </c>
      <c r="I83" s="89">
        <f>'1.参数设置'!$E$5*I18*1.11</f>
        <v>0</v>
      </c>
      <c r="J83" s="93"/>
      <c r="K83" s="77"/>
      <c r="L83" s="77"/>
      <c r="M83" s="77"/>
    </row>
    <row r="84" spans="2:13" s="75" customFormat="1">
      <c r="B84" s="100" t="s">
        <v>623</v>
      </c>
      <c r="C84" s="101">
        <f t="shared" si="1"/>
        <v>2399.7219541809523</v>
      </c>
      <c r="D84" s="101">
        <f>'1.参数设置'!$C$5*D$6*1.11</f>
        <v>2399.7219541809523</v>
      </c>
      <c r="E84" s="101">
        <f>'1.参数设置'!$C$5*E$6*1.11</f>
        <v>0</v>
      </c>
      <c r="F84" s="101">
        <f>'1.参数设置'!$C$5*F$6*1.11</f>
        <v>0</v>
      </c>
      <c r="G84" s="101">
        <f>'1.参数设置'!$C$5*G$6*1.11</f>
        <v>0</v>
      </c>
      <c r="H84" s="101">
        <f>'1.参数设置'!$C$5*H$6*1.11</f>
        <v>0</v>
      </c>
      <c r="I84" s="101">
        <f>'1.参数设置'!$C$5*I$6*1.11</f>
        <v>0</v>
      </c>
      <c r="J84" s="93">
        <f>SUM(C85:C96)-C84</f>
        <v>0</v>
      </c>
      <c r="K84" s="77"/>
      <c r="L84" s="77"/>
      <c r="M84" s="77"/>
    </row>
    <row r="85" spans="2:13" s="75" customFormat="1" ht="12" customHeight="1" outlineLevel="1">
      <c r="B85" s="88" t="str">
        <f>'8.项目规划指标表'!B$5</f>
        <v>高层</v>
      </c>
      <c r="C85" s="89">
        <f t="shared" ref="C85:C147" si="2">SUM(D85:I85)</f>
        <v>1722.5848129372</v>
      </c>
      <c r="D85" s="89">
        <f>'1.参数设置'!$C$5*D7*1.11</f>
        <v>1722.5848129372</v>
      </c>
      <c r="E85" s="89">
        <f>'1.参数设置'!$C$5*E7*1.11</f>
        <v>0</v>
      </c>
      <c r="F85" s="89">
        <f>'1.参数设置'!$C$5*F7*1.11</f>
        <v>0</v>
      </c>
      <c r="G85" s="89">
        <f>'1.参数设置'!$C$5*G7*1.11</f>
        <v>0</v>
      </c>
      <c r="H85" s="89">
        <f>'1.参数设置'!$C$5*H7*1.11</f>
        <v>0</v>
      </c>
      <c r="I85" s="89">
        <f>'1.参数设置'!$C$5*I7*1.11</f>
        <v>0</v>
      </c>
      <c r="J85" s="93"/>
      <c r="K85" s="77"/>
      <c r="L85" s="77"/>
      <c r="M85" s="77"/>
    </row>
    <row r="86" spans="2:13" s="75" customFormat="1" outlineLevel="1">
      <c r="B86" s="88" t="str">
        <f>'8.项目规划指标表'!B$6</f>
        <v>商铺</v>
      </c>
      <c r="C86" s="89">
        <f t="shared" si="2"/>
        <v>616.9443005171147</v>
      </c>
      <c r="D86" s="89">
        <f>'1.参数设置'!$C$5*D8*1.11</f>
        <v>616.9443005171147</v>
      </c>
      <c r="E86" s="89">
        <f>'1.参数设置'!$C$5*E8*1.11</f>
        <v>0</v>
      </c>
      <c r="F86" s="89">
        <f>'1.参数设置'!$C$5*F8*1.11</f>
        <v>0</v>
      </c>
      <c r="G86" s="89">
        <f>'1.参数设置'!$C$5*G8*1.11</f>
        <v>0</v>
      </c>
      <c r="H86" s="89">
        <f>'1.参数设置'!$C$5*H8*1.11</f>
        <v>0</v>
      </c>
      <c r="I86" s="89">
        <f>'1.参数设置'!$C$5*I8*1.11</f>
        <v>0</v>
      </c>
      <c r="J86" s="93"/>
      <c r="K86" s="77"/>
      <c r="L86" s="77"/>
      <c r="M86" s="77"/>
    </row>
    <row r="87" spans="2:13" s="75" customFormat="1" outlineLevel="1">
      <c r="B87" s="88" t="str">
        <f>'8.项目规划指标表'!B$7</f>
        <v>回迁商业</v>
      </c>
      <c r="C87" s="89">
        <f t="shared" si="2"/>
        <v>0</v>
      </c>
      <c r="D87" s="89">
        <f>'1.参数设置'!$C$5*D9*1.11</f>
        <v>0</v>
      </c>
      <c r="E87" s="89">
        <f>'1.参数设置'!$C$5*E9*1.11</f>
        <v>0</v>
      </c>
      <c r="F87" s="89">
        <f>'1.参数设置'!$C$5*F9*1.11</f>
        <v>0</v>
      </c>
      <c r="G87" s="89">
        <f>'1.参数设置'!$C$5*G9*1.11</f>
        <v>0</v>
      </c>
      <c r="H87" s="89">
        <f>'1.参数设置'!$C$5*H9*1.11</f>
        <v>0</v>
      </c>
      <c r="I87" s="89">
        <f>'1.参数设置'!$C$5*I9*1.11</f>
        <v>0</v>
      </c>
      <c r="J87" s="93"/>
      <c r="K87" s="77"/>
      <c r="L87" s="77"/>
      <c r="M87" s="77"/>
    </row>
    <row r="88" spans="2:13" s="75" customFormat="1" outlineLevel="1">
      <c r="B88" s="88">
        <f>'8.项目规划指标表'!B$8</f>
        <v>0</v>
      </c>
      <c r="C88" s="89">
        <f t="shared" si="2"/>
        <v>0</v>
      </c>
      <c r="D88" s="89">
        <f>'1.参数设置'!$C$5*D10*1.11</f>
        <v>0</v>
      </c>
      <c r="E88" s="89">
        <f>'1.参数设置'!$C$5*E10*1.11</f>
        <v>0</v>
      </c>
      <c r="F88" s="89">
        <f>'1.参数设置'!$C$5*F10*1.11</f>
        <v>0</v>
      </c>
      <c r="G88" s="89">
        <f>'1.参数设置'!$C$5*G10*1.11</f>
        <v>0</v>
      </c>
      <c r="H88" s="89">
        <f>'1.参数设置'!$C$5*H10*1.11</f>
        <v>0</v>
      </c>
      <c r="I88" s="89">
        <f>'1.参数设置'!$C$5*I10*1.11</f>
        <v>0</v>
      </c>
      <c r="J88" s="93"/>
      <c r="K88" s="77"/>
      <c r="L88" s="77"/>
      <c r="M88" s="77"/>
    </row>
    <row r="89" spans="2:13" s="75" customFormat="1" outlineLevel="1">
      <c r="B89" s="88">
        <f>'8.项目规划指标表'!B$9</f>
        <v>0</v>
      </c>
      <c r="C89" s="89">
        <f t="shared" si="2"/>
        <v>0</v>
      </c>
      <c r="D89" s="89">
        <f>'1.参数设置'!$C$5*D11*1.11</f>
        <v>0</v>
      </c>
      <c r="E89" s="89">
        <f>'1.参数设置'!$C$5*E11*1.11</f>
        <v>0</v>
      </c>
      <c r="F89" s="89">
        <f>'1.参数设置'!$C$5*F11*1.11</f>
        <v>0</v>
      </c>
      <c r="G89" s="89">
        <f>'1.参数设置'!$C$5*G11*1.11</f>
        <v>0</v>
      </c>
      <c r="H89" s="89">
        <f>'1.参数设置'!$C$5*H11*1.11</f>
        <v>0</v>
      </c>
      <c r="I89" s="89">
        <f>'1.参数设置'!$C$5*I11*1.11</f>
        <v>0</v>
      </c>
      <c r="J89" s="93"/>
      <c r="K89" s="77"/>
      <c r="L89" s="77"/>
      <c r="M89" s="77"/>
    </row>
    <row r="90" spans="2:13" s="75" customFormat="1" outlineLevel="1">
      <c r="B90" s="88">
        <f>'8.项目规划指标表'!B$10</f>
        <v>0</v>
      </c>
      <c r="C90" s="89">
        <f t="shared" si="2"/>
        <v>0</v>
      </c>
      <c r="D90" s="89">
        <f>'1.参数设置'!$C$5*D12*1.11</f>
        <v>0</v>
      </c>
      <c r="E90" s="89">
        <f>'1.参数设置'!$C$5*E12*1.11</f>
        <v>0</v>
      </c>
      <c r="F90" s="89">
        <f>'1.参数设置'!$C$5*F12*1.11</f>
        <v>0</v>
      </c>
      <c r="G90" s="89">
        <f>'1.参数设置'!$C$5*G12*1.11</f>
        <v>0</v>
      </c>
      <c r="H90" s="89">
        <f>'1.参数设置'!$C$5*H12*1.11</f>
        <v>0</v>
      </c>
      <c r="I90" s="89">
        <f>'1.参数设置'!$C$5*I12*1.11</f>
        <v>0</v>
      </c>
      <c r="J90" s="93"/>
      <c r="K90" s="77"/>
      <c r="L90" s="77"/>
      <c r="M90" s="77"/>
    </row>
    <row r="91" spans="2:13" s="75" customFormat="1" outlineLevel="1">
      <c r="B91" s="88">
        <f>'8.项目规划指标表'!B$11</f>
        <v>0</v>
      </c>
      <c r="C91" s="89">
        <f t="shared" si="2"/>
        <v>0</v>
      </c>
      <c r="D91" s="89">
        <f>'1.参数设置'!$C$5*D13*1.11</f>
        <v>0</v>
      </c>
      <c r="E91" s="89">
        <f>'1.参数设置'!$C$5*E13*1.11</f>
        <v>0</v>
      </c>
      <c r="F91" s="89">
        <f>'1.参数设置'!$C$5*F13*1.11</f>
        <v>0</v>
      </c>
      <c r="G91" s="89">
        <f>'1.参数设置'!$C$5*G13*1.11</f>
        <v>0</v>
      </c>
      <c r="H91" s="89">
        <f>'1.参数设置'!$C$5*H13*1.11</f>
        <v>0</v>
      </c>
      <c r="I91" s="89">
        <f>'1.参数设置'!$C$5*I13*1.11</f>
        <v>0</v>
      </c>
      <c r="J91" s="93"/>
      <c r="K91" s="77"/>
      <c r="L91" s="77"/>
      <c r="M91" s="77"/>
    </row>
    <row r="92" spans="2:13" s="75" customFormat="1" outlineLevel="1">
      <c r="B92" s="88">
        <f>'8.项目规划指标表'!B$12</f>
        <v>0</v>
      </c>
      <c r="C92" s="89">
        <f t="shared" si="2"/>
        <v>0</v>
      </c>
      <c r="D92" s="89">
        <f>'1.参数设置'!$C$5*D14*1.11</f>
        <v>0</v>
      </c>
      <c r="E92" s="89">
        <f>'1.参数设置'!$C$5*E14*1.11</f>
        <v>0</v>
      </c>
      <c r="F92" s="89">
        <f>'1.参数设置'!$C$5*F14*1.11</f>
        <v>0</v>
      </c>
      <c r="G92" s="89">
        <f>'1.参数设置'!$C$5*G14*1.11</f>
        <v>0</v>
      </c>
      <c r="H92" s="89">
        <f>'1.参数设置'!$C$5*H14*1.11</f>
        <v>0</v>
      </c>
      <c r="I92" s="89">
        <f>'1.参数设置'!$C$5*I14*1.11</f>
        <v>0</v>
      </c>
      <c r="J92" s="93"/>
      <c r="K92" s="77"/>
      <c r="L92" s="77"/>
      <c r="M92" s="77"/>
    </row>
    <row r="93" spans="2:13" s="75" customFormat="1" outlineLevel="1">
      <c r="B93" s="88">
        <f>'8.项目规划指标表'!B$13</f>
        <v>0</v>
      </c>
      <c r="C93" s="89">
        <f t="shared" si="2"/>
        <v>0</v>
      </c>
      <c r="D93" s="89">
        <f>'1.参数设置'!$C$5*D15*1.11</f>
        <v>0</v>
      </c>
      <c r="E93" s="89">
        <f>'1.参数设置'!$C$5*E15*1.11</f>
        <v>0</v>
      </c>
      <c r="F93" s="89">
        <f>'1.参数设置'!$C$5*F15*1.11</f>
        <v>0</v>
      </c>
      <c r="G93" s="89">
        <f>'1.参数设置'!$C$5*G15*1.11</f>
        <v>0</v>
      </c>
      <c r="H93" s="89">
        <f>'1.参数设置'!$C$5*H15*1.11</f>
        <v>0</v>
      </c>
      <c r="I93" s="89">
        <f>'1.参数设置'!$C$5*I15*1.11</f>
        <v>0</v>
      </c>
      <c r="J93" s="93"/>
      <c r="K93" s="77"/>
      <c r="L93" s="77"/>
      <c r="M93" s="77"/>
    </row>
    <row r="94" spans="2:13" s="75" customFormat="1" outlineLevel="1">
      <c r="B94" s="88" t="str">
        <f>'8.项目规划指标表'!B$14</f>
        <v>自持物业</v>
      </c>
      <c r="C94" s="89"/>
      <c r="D94" s="89"/>
      <c r="E94" s="89"/>
      <c r="F94" s="89"/>
      <c r="G94" s="89"/>
      <c r="H94" s="89"/>
      <c r="I94" s="89"/>
      <c r="J94" s="93"/>
      <c r="K94" s="77"/>
      <c r="L94" s="77"/>
      <c r="M94" s="77"/>
    </row>
    <row r="95" spans="2:13" s="75" customFormat="1" outlineLevel="1">
      <c r="B95" s="88" t="str">
        <f>'8.项目规划指标表'!B$18</f>
        <v>有产权车库(个)</v>
      </c>
      <c r="C95" s="89">
        <f t="shared" si="2"/>
        <v>60.19284072663757</v>
      </c>
      <c r="D95" s="89">
        <f>'1.参数设置'!$C$5*D17*1.11</f>
        <v>60.19284072663757</v>
      </c>
      <c r="E95" s="89">
        <f>'1.参数设置'!$C$5*E17*1.11</f>
        <v>0</v>
      </c>
      <c r="F95" s="89">
        <f>'1.参数设置'!$C$5*F17*1.11</f>
        <v>0</v>
      </c>
      <c r="G95" s="89">
        <f>'1.参数设置'!$C$5*G17*1.11</f>
        <v>0</v>
      </c>
      <c r="H95" s="89">
        <f>'1.参数设置'!$C$5*H17*1.11</f>
        <v>0</v>
      </c>
      <c r="I95" s="89">
        <f>'1.参数设置'!$C$5*I17*1.11</f>
        <v>0</v>
      </c>
      <c r="J95" s="93"/>
      <c r="K95" s="77"/>
      <c r="L95" s="77"/>
      <c r="M95" s="77"/>
    </row>
    <row r="96" spans="2:13" s="75" customFormat="1" outlineLevel="1">
      <c r="B96" s="88" t="str">
        <f>'8.项目规划指标表'!B$19</f>
        <v>无产权车库(个)</v>
      </c>
      <c r="C96" s="89">
        <f t="shared" si="2"/>
        <v>0</v>
      </c>
      <c r="D96" s="89">
        <f>'1.参数设置'!$C$5*D18*1.11</f>
        <v>0</v>
      </c>
      <c r="E96" s="89">
        <f>'1.参数设置'!$C$5*E18*1.11</f>
        <v>0</v>
      </c>
      <c r="F96" s="89">
        <f>'1.参数设置'!$C$5*F18*1.11</f>
        <v>0</v>
      </c>
      <c r="G96" s="89">
        <f>'1.参数设置'!$C$5*G18*1.11</f>
        <v>0</v>
      </c>
      <c r="H96" s="89">
        <f>'1.参数设置'!$C$5*H18*1.11</f>
        <v>0</v>
      </c>
      <c r="I96" s="89">
        <f>'1.参数设置'!$C$5*I18*1.11</f>
        <v>0</v>
      </c>
      <c r="J96" s="93"/>
      <c r="K96" s="77"/>
      <c r="L96" s="77"/>
      <c r="M96" s="77"/>
    </row>
    <row r="97" spans="2:13" s="75" customFormat="1">
      <c r="B97" s="100" t="s">
        <v>373</v>
      </c>
      <c r="C97" s="101">
        <f t="shared" ca="1" si="2"/>
        <v>901.5</v>
      </c>
      <c r="D97" s="101">
        <f ca="1">'17.财务费用测算表'!$C30</f>
        <v>901.5</v>
      </c>
      <c r="E97" s="101">
        <f ca="1">'17.财务费用测算表'!$C31</f>
        <v>0</v>
      </c>
      <c r="F97" s="101">
        <f ca="1">'17.财务费用测算表'!$C32</f>
        <v>0</v>
      </c>
      <c r="G97" s="101">
        <f ca="1">'17.财务费用测算表'!$C33</f>
        <v>0</v>
      </c>
      <c r="H97" s="101">
        <f ca="1">'17.财务费用测算表'!$C34</f>
        <v>0</v>
      </c>
      <c r="I97" s="101">
        <f ca="1">'17.财务费用测算表'!$C35</f>
        <v>0</v>
      </c>
      <c r="J97" s="93">
        <f ca="1">SUM(C98:C109)-C97</f>
        <v>0</v>
      </c>
      <c r="K97" s="77"/>
      <c r="L97" s="77"/>
      <c r="M97" s="77"/>
    </row>
    <row r="98" spans="2:13" s="75" customFormat="1" ht="12" customHeight="1" outlineLevel="1">
      <c r="B98" s="88" t="str">
        <f>'8.项目规划指标表'!B$5</f>
        <v>高层</v>
      </c>
      <c r="C98" s="89">
        <f t="shared" ca="1" si="2"/>
        <v>786.4312016661313</v>
      </c>
      <c r="D98" s="89">
        <f ca="1">'17.财务费用测算表'!$D$30</f>
        <v>786.4312016661313</v>
      </c>
      <c r="E98" s="89">
        <f ca="1">'17.财务费用测算表'!$D$31</f>
        <v>0</v>
      </c>
      <c r="F98" s="89">
        <f ca="1">'17.财务费用测算表'!$D$32</f>
        <v>0</v>
      </c>
      <c r="G98" s="89">
        <f ca="1">'17.财务费用测算表'!$D$33</f>
        <v>0</v>
      </c>
      <c r="H98" s="89">
        <f ca="1">'17.财务费用测算表'!$D$34</f>
        <v>0</v>
      </c>
      <c r="I98" s="89">
        <f ca="1">'17.财务费用测算表'!$D$35</f>
        <v>0</v>
      </c>
      <c r="J98" s="93"/>
      <c r="K98" s="77"/>
      <c r="L98" s="77"/>
      <c r="M98" s="77"/>
    </row>
    <row r="99" spans="2:13" s="75" customFormat="1" outlineLevel="1">
      <c r="B99" s="88" t="str">
        <f>'8.项目规划指标表'!B$6</f>
        <v>商铺</v>
      </c>
      <c r="C99" s="89">
        <f t="shared" ca="1" si="2"/>
        <v>61.074823354538523</v>
      </c>
      <c r="D99" s="89">
        <f ca="1">'17.财务费用测算表'!$E$30</f>
        <v>61.074823354538523</v>
      </c>
      <c r="E99" s="89">
        <f ca="1">'17.财务费用测算表'!$E$31</f>
        <v>0</v>
      </c>
      <c r="F99" s="89">
        <f ca="1">'17.财务费用测算表'!$E$32</f>
        <v>0</v>
      </c>
      <c r="G99" s="89">
        <f ca="1">'17.财务费用测算表'!$E$33</f>
        <v>0</v>
      </c>
      <c r="H99" s="89">
        <f ca="1">'17.财务费用测算表'!$E$34</f>
        <v>0</v>
      </c>
      <c r="I99" s="89">
        <f ca="1">'17.财务费用测算表'!$E$35</f>
        <v>0</v>
      </c>
      <c r="J99" s="93"/>
      <c r="K99" s="77"/>
      <c r="L99" s="77"/>
      <c r="M99" s="77"/>
    </row>
    <row r="100" spans="2:13" s="75" customFormat="1" outlineLevel="1">
      <c r="B100" s="88" t="str">
        <f>'8.项目规划指标表'!B$7</f>
        <v>回迁商业</v>
      </c>
      <c r="C100" s="89">
        <f t="shared" si="2"/>
        <v>0</v>
      </c>
      <c r="D100" s="89">
        <f>'17.财务费用测算表'!$F$30</f>
        <v>0</v>
      </c>
      <c r="E100" s="89">
        <f>'17.财务费用测算表'!$F$31</f>
        <v>0</v>
      </c>
      <c r="F100" s="89">
        <f>'17.财务费用测算表'!$F$32</f>
        <v>0</v>
      </c>
      <c r="G100" s="89">
        <f>'17.财务费用测算表'!$F$33</f>
        <v>0</v>
      </c>
      <c r="H100" s="89">
        <f>'17.财务费用测算表'!$F$34</f>
        <v>0</v>
      </c>
      <c r="I100" s="89">
        <f>'17.财务费用测算表'!$F$35</f>
        <v>0</v>
      </c>
      <c r="J100" s="93"/>
      <c r="K100" s="77"/>
      <c r="L100" s="77"/>
      <c r="M100" s="77"/>
    </row>
    <row r="101" spans="2:13" s="75" customFormat="1" outlineLevel="1">
      <c r="B101" s="88">
        <f>'8.项目规划指标表'!B$8</f>
        <v>0</v>
      </c>
      <c r="C101" s="89">
        <f t="shared" ca="1" si="2"/>
        <v>0</v>
      </c>
      <c r="D101" s="89">
        <f ca="1">'17.财务费用测算表'!$G$30</f>
        <v>0</v>
      </c>
      <c r="E101" s="89">
        <f ca="1">'17.财务费用测算表'!$G$31</f>
        <v>0</v>
      </c>
      <c r="F101" s="89">
        <f ca="1">'17.财务费用测算表'!$G$32</f>
        <v>0</v>
      </c>
      <c r="G101" s="89">
        <f ca="1">'17.财务费用测算表'!$G$33</f>
        <v>0</v>
      </c>
      <c r="H101" s="89">
        <f ca="1">'17.财务费用测算表'!$G$34</f>
        <v>0</v>
      </c>
      <c r="I101" s="89">
        <f ca="1">'17.财务费用测算表'!$G$35</f>
        <v>0</v>
      </c>
      <c r="J101" s="93"/>
      <c r="K101" s="77"/>
      <c r="L101" s="77"/>
      <c r="M101" s="77"/>
    </row>
    <row r="102" spans="2:13" s="75" customFormat="1" outlineLevel="1">
      <c r="B102" s="88">
        <f>'8.项目规划指标表'!B$9</f>
        <v>0</v>
      </c>
      <c r="C102" s="89">
        <f t="shared" ca="1" si="2"/>
        <v>0</v>
      </c>
      <c r="D102" s="89">
        <f ca="1">'17.财务费用测算表'!$H$30</f>
        <v>0</v>
      </c>
      <c r="E102" s="89">
        <f ca="1">'17.财务费用测算表'!$H$31</f>
        <v>0</v>
      </c>
      <c r="F102" s="89">
        <f ca="1">'17.财务费用测算表'!$H$32</f>
        <v>0</v>
      </c>
      <c r="G102" s="89">
        <f ca="1">'17.财务费用测算表'!$H$33</f>
        <v>0</v>
      </c>
      <c r="H102" s="89">
        <f ca="1">'17.财务费用测算表'!$H$34</f>
        <v>0</v>
      </c>
      <c r="I102" s="89">
        <f ca="1">'17.财务费用测算表'!$H$35</f>
        <v>0</v>
      </c>
      <c r="J102" s="93"/>
      <c r="K102" s="77"/>
      <c r="L102" s="77"/>
      <c r="M102" s="77"/>
    </row>
    <row r="103" spans="2:13" s="75" customFormat="1" outlineLevel="1">
      <c r="B103" s="88">
        <f>'8.项目规划指标表'!B$10</f>
        <v>0</v>
      </c>
      <c r="C103" s="89">
        <f t="shared" ca="1" si="2"/>
        <v>0</v>
      </c>
      <c r="D103" s="89">
        <f ca="1">'17.财务费用测算表'!$I$30</f>
        <v>0</v>
      </c>
      <c r="E103" s="89">
        <f ca="1">'17.财务费用测算表'!$I$31</f>
        <v>0</v>
      </c>
      <c r="F103" s="89">
        <f ca="1">'17.财务费用测算表'!$I$32</f>
        <v>0</v>
      </c>
      <c r="G103" s="89">
        <f ca="1">'17.财务费用测算表'!$I$33</f>
        <v>0</v>
      </c>
      <c r="H103" s="89">
        <f ca="1">'17.财务费用测算表'!$I$34</f>
        <v>0</v>
      </c>
      <c r="I103" s="89">
        <f ca="1">'17.财务费用测算表'!$I$35</f>
        <v>0</v>
      </c>
      <c r="J103" s="93"/>
      <c r="K103" s="77"/>
      <c r="L103" s="77"/>
      <c r="M103" s="77"/>
    </row>
    <row r="104" spans="2:13" s="75" customFormat="1" outlineLevel="1">
      <c r="B104" s="88">
        <f>'8.项目规划指标表'!B$11</f>
        <v>0</v>
      </c>
      <c r="C104" s="89">
        <f t="shared" ca="1" si="2"/>
        <v>0</v>
      </c>
      <c r="D104" s="89">
        <f ca="1">'17.财务费用测算表'!$J$30</f>
        <v>0</v>
      </c>
      <c r="E104" s="89">
        <f ca="1">'17.财务费用测算表'!$J$31</f>
        <v>0</v>
      </c>
      <c r="F104" s="89">
        <f ca="1">'17.财务费用测算表'!$J$32</f>
        <v>0</v>
      </c>
      <c r="G104" s="89">
        <f ca="1">'17.财务费用测算表'!$J$33</f>
        <v>0</v>
      </c>
      <c r="H104" s="89">
        <f ca="1">'17.财务费用测算表'!$J$34</f>
        <v>0</v>
      </c>
      <c r="I104" s="89">
        <f ca="1">'17.财务费用测算表'!$J$35</f>
        <v>0</v>
      </c>
      <c r="J104" s="93"/>
      <c r="K104" s="77"/>
      <c r="L104" s="77"/>
      <c r="M104" s="77"/>
    </row>
    <row r="105" spans="2:13" s="75" customFormat="1" outlineLevel="1">
      <c r="B105" s="88">
        <f>'8.项目规划指标表'!B$12</f>
        <v>0</v>
      </c>
      <c r="C105" s="89">
        <f t="shared" ca="1" si="2"/>
        <v>0</v>
      </c>
      <c r="D105" s="89">
        <f ca="1">'17.财务费用测算表'!$K$30</f>
        <v>0</v>
      </c>
      <c r="E105" s="89">
        <f ca="1">'17.财务费用测算表'!$K$31</f>
        <v>0</v>
      </c>
      <c r="F105" s="89">
        <f ca="1">'17.财务费用测算表'!$K$32</f>
        <v>0</v>
      </c>
      <c r="G105" s="89">
        <f ca="1">'17.财务费用测算表'!$K$33</f>
        <v>0</v>
      </c>
      <c r="H105" s="89">
        <f ca="1">'17.财务费用测算表'!$K$34</f>
        <v>0</v>
      </c>
      <c r="I105" s="89">
        <f ca="1">'17.财务费用测算表'!$K$35</f>
        <v>0</v>
      </c>
      <c r="J105" s="93"/>
      <c r="K105" s="77"/>
      <c r="L105" s="77"/>
      <c r="M105" s="77"/>
    </row>
    <row r="106" spans="2:13" s="75" customFormat="1" outlineLevel="1">
      <c r="B106" s="88">
        <f>'8.项目规划指标表'!B$13</f>
        <v>0</v>
      </c>
      <c r="C106" s="89">
        <f t="shared" ca="1" si="2"/>
        <v>0</v>
      </c>
      <c r="D106" s="89">
        <f ca="1">'17.财务费用测算表'!$L$30</f>
        <v>0</v>
      </c>
      <c r="E106" s="89">
        <f ca="1">'17.财务费用测算表'!$L$31</f>
        <v>0</v>
      </c>
      <c r="F106" s="89">
        <f ca="1">'17.财务费用测算表'!$L$32</f>
        <v>0</v>
      </c>
      <c r="G106" s="89">
        <f ca="1">'17.财务费用测算表'!$L$33</f>
        <v>0</v>
      </c>
      <c r="H106" s="89">
        <f ca="1">'17.财务费用测算表'!$L$34</f>
        <v>0</v>
      </c>
      <c r="I106" s="89">
        <f ca="1">'17.财务费用测算表'!$L$35</f>
        <v>0</v>
      </c>
      <c r="J106" s="93"/>
      <c r="K106" s="77"/>
      <c r="L106" s="77"/>
      <c r="M106" s="77"/>
    </row>
    <row r="107" spans="2:13" s="75" customFormat="1" outlineLevel="1">
      <c r="B107" s="88" t="str">
        <f>'8.项目规划指标表'!B$14</f>
        <v>自持物业</v>
      </c>
      <c r="C107" s="89"/>
      <c r="D107" s="89"/>
      <c r="E107" s="89"/>
      <c r="F107" s="89"/>
      <c r="G107" s="89"/>
      <c r="H107" s="89"/>
      <c r="I107" s="89"/>
      <c r="J107" s="93"/>
      <c r="K107" s="77"/>
      <c r="L107" s="77"/>
      <c r="M107" s="77"/>
    </row>
    <row r="108" spans="2:13" s="75" customFormat="1" outlineLevel="1">
      <c r="B108" s="88" t="str">
        <f>'8.项目规划指标表'!B$18</f>
        <v>有产权车库(个)</v>
      </c>
      <c r="C108" s="89">
        <f t="shared" ca="1" si="2"/>
        <v>53.993974979330268</v>
      </c>
      <c r="D108" s="89">
        <f ca="1">'17.财务费用测算表'!$N$30</f>
        <v>53.993974979330268</v>
      </c>
      <c r="E108" s="89">
        <f ca="1">'17.财务费用测算表'!$N$31</f>
        <v>0</v>
      </c>
      <c r="F108" s="89">
        <f ca="1">'17.财务费用测算表'!$N$32</f>
        <v>0</v>
      </c>
      <c r="G108" s="89">
        <f ca="1">'17.财务费用测算表'!$N$33</f>
        <v>0</v>
      </c>
      <c r="H108" s="89">
        <f ca="1">'17.财务费用测算表'!$N$34</f>
        <v>0</v>
      </c>
      <c r="I108" s="89">
        <f ca="1">'17.财务费用测算表'!$N$35</f>
        <v>0</v>
      </c>
      <c r="J108" s="93"/>
      <c r="K108" s="77"/>
      <c r="L108" s="77"/>
      <c r="M108" s="77"/>
    </row>
    <row r="109" spans="2:13" s="75" customFormat="1" outlineLevel="1">
      <c r="B109" s="88" t="str">
        <f>'8.项目规划指标表'!B$19</f>
        <v>无产权车库(个)</v>
      </c>
      <c r="C109" s="89">
        <f t="shared" ca="1" si="2"/>
        <v>0</v>
      </c>
      <c r="D109" s="89">
        <f ca="1">'17.财务费用测算表'!$O$30</f>
        <v>0</v>
      </c>
      <c r="E109" s="89">
        <f ca="1">'17.财务费用测算表'!$O$31</f>
        <v>0</v>
      </c>
      <c r="F109" s="89">
        <f ca="1">'17.财务费用测算表'!$O$32</f>
        <v>0</v>
      </c>
      <c r="G109" s="89">
        <f ca="1">'17.财务费用测算表'!$O$33</f>
        <v>0</v>
      </c>
      <c r="H109" s="89">
        <f ca="1">'17.财务费用测算表'!$O$34</f>
        <v>0</v>
      </c>
      <c r="I109" s="89">
        <f ca="1">'17.财务费用测算表'!$O$35</f>
        <v>0</v>
      </c>
      <c r="J109" s="93"/>
      <c r="K109" s="77"/>
      <c r="L109" s="77"/>
      <c r="M109" s="77"/>
    </row>
    <row r="110" spans="2:13" s="75" customFormat="1">
      <c r="B110" s="226" t="s">
        <v>624</v>
      </c>
      <c r="C110" s="89">
        <f t="shared" si="2"/>
        <v>0</v>
      </c>
      <c r="D110" s="1104"/>
      <c r="E110" s="1104"/>
      <c r="F110" s="1104"/>
      <c r="G110" s="1104"/>
      <c r="H110" s="1104"/>
      <c r="I110" s="1104"/>
      <c r="J110" s="77"/>
      <c r="K110" s="77"/>
      <c r="L110" s="77"/>
      <c r="M110" s="77"/>
    </row>
    <row r="111" spans="2:13" s="75" customFormat="1" ht="12" customHeight="1" outlineLevel="1">
      <c r="B111" s="88" t="str">
        <f>'8.项目规划指标表'!B$5</f>
        <v>高层</v>
      </c>
      <c r="C111" s="89">
        <f t="shared" si="2"/>
        <v>0</v>
      </c>
      <c r="D111" s="89"/>
      <c r="E111" s="89"/>
      <c r="F111" s="89"/>
      <c r="G111" s="89"/>
      <c r="H111" s="89"/>
      <c r="I111" s="89"/>
      <c r="J111" s="93"/>
      <c r="K111" s="77"/>
      <c r="L111" s="77"/>
      <c r="M111" s="77"/>
    </row>
    <row r="112" spans="2:13" s="75" customFormat="1" outlineLevel="1">
      <c r="B112" s="88" t="str">
        <f>'8.项目规划指标表'!B$6</f>
        <v>商铺</v>
      </c>
      <c r="C112" s="89">
        <f t="shared" si="2"/>
        <v>0</v>
      </c>
      <c r="D112" s="89"/>
      <c r="E112" s="89"/>
      <c r="F112" s="89"/>
      <c r="G112" s="89"/>
      <c r="H112" s="89"/>
      <c r="I112" s="89"/>
      <c r="J112" s="93"/>
      <c r="K112" s="77"/>
      <c r="L112" s="77"/>
      <c r="M112" s="77"/>
    </row>
    <row r="113" spans="2:13" s="75" customFormat="1" outlineLevel="1">
      <c r="B113" s="88" t="str">
        <f>'8.项目规划指标表'!B$7</f>
        <v>回迁商业</v>
      </c>
      <c r="C113" s="89">
        <f t="shared" si="2"/>
        <v>0</v>
      </c>
      <c r="D113" s="89"/>
      <c r="E113" s="89"/>
      <c r="F113" s="89"/>
      <c r="G113" s="89"/>
      <c r="H113" s="89"/>
      <c r="I113" s="89"/>
      <c r="J113" s="93"/>
      <c r="K113" s="77"/>
      <c r="L113" s="77"/>
      <c r="M113" s="77"/>
    </row>
    <row r="114" spans="2:13" s="75" customFormat="1" outlineLevel="1">
      <c r="B114" s="88">
        <f>'8.项目规划指标表'!B$8</f>
        <v>0</v>
      </c>
      <c r="C114" s="89">
        <f t="shared" si="2"/>
        <v>0</v>
      </c>
      <c r="D114" s="89"/>
      <c r="E114" s="89"/>
      <c r="F114" s="89"/>
      <c r="G114" s="89"/>
      <c r="H114" s="89"/>
      <c r="I114" s="89"/>
      <c r="J114" s="93"/>
      <c r="K114" s="77"/>
      <c r="L114" s="77"/>
      <c r="M114" s="77"/>
    </row>
    <row r="115" spans="2:13" s="75" customFormat="1" outlineLevel="1">
      <c r="B115" s="88">
        <f>'8.项目规划指标表'!B$9</f>
        <v>0</v>
      </c>
      <c r="C115" s="89">
        <f t="shared" si="2"/>
        <v>0</v>
      </c>
      <c r="D115" s="89"/>
      <c r="E115" s="89"/>
      <c r="F115" s="89"/>
      <c r="G115" s="89"/>
      <c r="H115" s="89"/>
      <c r="I115" s="89"/>
      <c r="J115" s="93"/>
      <c r="K115" s="77"/>
      <c r="L115" s="77"/>
      <c r="M115" s="77"/>
    </row>
    <row r="116" spans="2:13" s="75" customFormat="1" outlineLevel="1">
      <c r="B116" s="88">
        <f>'8.项目规划指标表'!B$10</f>
        <v>0</v>
      </c>
      <c r="C116" s="89">
        <f t="shared" si="2"/>
        <v>0</v>
      </c>
      <c r="D116" s="89"/>
      <c r="E116" s="89"/>
      <c r="F116" s="89"/>
      <c r="G116" s="89"/>
      <c r="H116" s="89"/>
      <c r="I116" s="89"/>
      <c r="J116" s="93"/>
      <c r="K116" s="77"/>
      <c r="L116" s="77"/>
      <c r="M116" s="77"/>
    </row>
    <row r="117" spans="2:13" s="75" customFormat="1" outlineLevel="1">
      <c r="B117" s="88">
        <f>'8.项目规划指标表'!B$11</f>
        <v>0</v>
      </c>
      <c r="C117" s="89">
        <f t="shared" si="2"/>
        <v>0</v>
      </c>
      <c r="D117" s="89"/>
      <c r="E117" s="89"/>
      <c r="F117" s="89"/>
      <c r="G117" s="89"/>
      <c r="H117" s="89"/>
      <c r="I117" s="89"/>
      <c r="J117" s="93"/>
      <c r="K117" s="77"/>
      <c r="L117" s="77"/>
      <c r="M117" s="77"/>
    </row>
    <row r="118" spans="2:13" s="75" customFormat="1" outlineLevel="1">
      <c r="B118" s="88">
        <f>'8.项目规划指标表'!B$12</f>
        <v>0</v>
      </c>
      <c r="C118" s="89">
        <f t="shared" si="2"/>
        <v>0</v>
      </c>
      <c r="D118" s="89"/>
      <c r="E118" s="89"/>
      <c r="F118" s="89"/>
      <c r="G118" s="89"/>
      <c r="H118" s="89"/>
      <c r="I118" s="89"/>
      <c r="J118" s="93"/>
      <c r="K118" s="77"/>
      <c r="L118" s="77"/>
      <c r="M118" s="77"/>
    </row>
    <row r="119" spans="2:13" s="75" customFormat="1" outlineLevel="1">
      <c r="B119" s="88">
        <f>'8.项目规划指标表'!B$13</f>
        <v>0</v>
      </c>
      <c r="C119" s="89">
        <f t="shared" si="2"/>
        <v>0</v>
      </c>
      <c r="D119" s="89"/>
      <c r="E119" s="89"/>
      <c r="F119" s="89"/>
      <c r="G119" s="89"/>
      <c r="H119" s="89"/>
      <c r="I119" s="89"/>
      <c r="J119" s="93"/>
      <c r="K119" s="77"/>
      <c r="L119" s="77"/>
      <c r="M119" s="77"/>
    </row>
    <row r="120" spans="2:13" s="75" customFormat="1" outlineLevel="1">
      <c r="B120" s="88" t="str">
        <f>'8.项目规划指标表'!B$14</f>
        <v>自持物业</v>
      </c>
      <c r="C120" s="89"/>
      <c r="D120" s="89"/>
      <c r="E120" s="89"/>
      <c r="F120" s="89"/>
      <c r="G120" s="89"/>
      <c r="H120" s="89"/>
      <c r="I120" s="89"/>
      <c r="J120" s="93"/>
      <c r="K120" s="77"/>
      <c r="L120" s="77"/>
      <c r="M120" s="77"/>
    </row>
    <row r="121" spans="2:13" s="75" customFormat="1" outlineLevel="1">
      <c r="B121" s="88" t="str">
        <f>'8.项目规划指标表'!B$18</f>
        <v>有产权车库(个)</v>
      </c>
      <c r="C121" s="89">
        <f t="shared" si="2"/>
        <v>0</v>
      </c>
      <c r="D121" s="89"/>
      <c r="E121" s="89"/>
      <c r="F121" s="89"/>
      <c r="G121" s="89"/>
      <c r="H121" s="89"/>
      <c r="I121" s="89"/>
      <c r="J121" s="93"/>
      <c r="K121" s="77"/>
      <c r="L121" s="77"/>
      <c r="M121" s="77"/>
    </row>
    <row r="122" spans="2:13" s="75" customFormat="1" outlineLevel="1">
      <c r="B122" s="88" t="str">
        <f>'8.项目规划指标表'!B$19</f>
        <v>无产权车库(个)</v>
      </c>
      <c r="C122" s="89">
        <f t="shared" si="2"/>
        <v>0</v>
      </c>
      <c r="D122" s="89"/>
      <c r="E122" s="89"/>
      <c r="F122" s="89"/>
      <c r="G122" s="89"/>
      <c r="H122" s="89"/>
      <c r="I122" s="89"/>
      <c r="J122" s="93"/>
      <c r="K122" s="77"/>
      <c r="L122" s="77"/>
      <c r="M122" s="77"/>
    </row>
    <row r="123" spans="2:13" s="75" customFormat="1">
      <c r="B123" s="100" t="s">
        <v>625</v>
      </c>
      <c r="C123" s="101">
        <f t="shared" ca="1" si="2"/>
        <v>24693.769654727552</v>
      </c>
      <c r="D123" s="101">
        <f t="shared" ref="D123:I123" ca="1" si="3">D6-D19-D32-D58-D71-D84-D97-D110-D45</f>
        <v>24693.769654727552</v>
      </c>
      <c r="E123" s="101">
        <f t="shared" ca="1" si="3"/>
        <v>0</v>
      </c>
      <c r="F123" s="101">
        <f t="shared" ca="1" si="3"/>
        <v>0</v>
      </c>
      <c r="G123" s="101">
        <f t="shared" ca="1" si="3"/>
        <v>0</v>
      </c>
      <c r="H123" s="101">
        <f t="shared" ca="1" si="3"/>
        <v>0</v>
      </c>
      <c r="I123" s="101">
        <f t="shared" ca="1" si="3"/>
        <v>0</v>
      </c>
      <c r="J123" s="93">
        <f ca="1">SUM(C124:C135)-C123</f>
        <v>728.43518181818945</v>
      </c>
      <c r="K123" s="77"/>
      <c r="L123" s="77"/>
      <c r="M123" s="77"/>
    </row>
    <row r="124" spans="2:13" s="75" customFormat="1" ht="12" customHeight="1" outlineLevel="1">
      <c r="B124" s="88" t="str">
        <f>'8.项目规划指标表'!B$5</f>
        <v>高层</v>
      </c>
      <c r="C124" s="89">
        <f t="shared" ca="1" si="2"/>
        <v>16414.883172668629</v>
      </c>
      <c r="D124" s="89">
        <f t="shared" ref="D124:I124" ca="1" si="4">D7-D20-D33-D46-D59-D72-D85-D98</f>
        <v>16414.883172668629</v>
      </c>
      <c r="E124" s="89">
        <f t="shared" ca="1" si="4"/>
        <v>0</v>
      </c>
      <c r="F124" s="89">
        <f t="shared" ca="1" si="4"/>
        <v>0</v>
      </c>
      <c r="G124" s="89">
        <f t="shared" ca="1" si="4"/>
        <v>0</v>
      </c>
      <c r="H124" s="89">
        <f t="shared" ca="1" si="4"/>
        <v>0</v>
      </c>
      <c r="I124" s="89">
        <f t="shared" ca="1" si="4"/>
        <v>0</v>
      </c>
      <c r="J124" s="93"/>
      <c r="K124" s="77"/>
      <c r="L124" s="77"/>
      <c r="M124" s="77"/>
    </row>
    <row r="125" spans="2:13" s="75" customFormat="1" outlineLevel="1">
      <c r="B125" s="88" t="str">
        <f>'8.项目规划指标表'!B$6</f>
        <v>商铺</v>
      </c>
      <c r="C125" s="89">
        <f t="shared" ca="1" si="2"/>
        <v>9028.3511029338715</v>
      </c>
      <c r="D125" s="89">
        <f t="shared" ref="D125:D135" ca="1" si="5">D8-D21-D34-D47-D60-D73-D86-D99</f>
        <v>9028.3511029338715</v>
      </c>
      <c r="E125" s="89">
        <f t="shared" ref="E125:I135" ca="1" si="6">E8-E21-E34-E47-E60-E73-E86-E99</f>
        <v>0</v>
      </c>
      <c r="F125" s="89">
        <f t="shared" ca="1" si="6"/>
        <v>0</v>
      </c>
      <c r="G125" s="89">
        <f t="shared" ca="1" si="6"/>
        <v>0</v>
      </c>
      <c r="H125" s="89">
        <f t="shared" ca="1" si="6"/>
        <v>0</v>
      </c>
      <c r="I125" s="89">
        <f t="shared" ca="1" si="6"/>
        <v>0</v>
      </c>
      <c r="J125" s="93"/>
      <c r="K125" s="77"/>
      <c r="L125" s="77"/>
      <c r="M125" s="77"/>
    </row>
    <row r="126" spans="2:13" s="75" customFormat="1" outlineLevel="1">
      <c r="B126" s="88" t="str">
        <f>'8.项目规划指标表'!B$7</f>
        <v>回迁商业</v>
      </c>
      <c r="C126" s="89">
        <f t="shared" ca="1" si="2"/>
        <v>0</v>
      </c>
      <c r="D126" s="89">
        <f t="shared" si="5"/>
        <v>0</v>
      </c>
      <c r="E126" s="89">
        <f t="shared" ca="1" si="6"/>
        <v>0</v>
      </c>
      <c r="F126" s="89">
        <f t="shared" ca="1" si="6"/>
        <v>0</v>
      </c>
      <c r="G126" s="89">
        <f t="shared" ca="1" si="6"/>
        <v>0</v>
      </c>
      <c r="H126" s="89">
        <f t="shared" ca="1" si="6"/>
        <v>0</v>
      </c>
      <c r="I126" s="89">
        <f t="shared" ca="1" si="6"/>
        <v>0</v>
      </c>
      <c r="J126" s="93"/>
      <c r="K126" s="77"/>
      <c r="L126" s="77"/>
      <c r="M126" s="77"/>
    </row>
    <row r="127" spans="2:13" s="75" customFormat="1" outlineLevel="1">
      <c r="B127" s="88">
        <f>'8.项目规划指标表'!B$8</f>
        <v>0</v>
      </c>
      <c r="C127" s="89">
        <f t="shared" ca="1" si="2"/>
        <v>0</v>
      </c>
      <c r="D127" s="89">
        <f t="shared" ca="1" si="5"/>
        <v>0</v>
      </c>
      <c r="E127" s="89">
        <f t="shared" ca="1" si="6"/>
        <v>0</v>
      </c>
      <c r="F127" s="89">
        <f t="shared" ca="1" si="6"/>
        <v>0</v>
      </c>
      <c r="G127" s="89">
        <f t="shared" ca="1" si="6"/>
        <v>0</v>
      </c>
      <c r="H127" s="89">
        <f t="shared" ca="1" si="6"/>
        <v>0</v>
      </c>
      <c r="I127" s="89">
        <f t="shared" ca="1" si="6"/>
        <v>0</v>
      </c>
      <c r="J127" s="93"/>
      <c r="K127" s="77"/>
      <c r="L127" s="77"/>
      <c r="M127" s="77"/>
    </row>
    <row r="128" spans="2:13" s="75" customFormat="1" outlineLevel="1">
      <c r="B128" s="88">
        <f>'8.项目规划指标表'!B$9</f>
        <v>0</v>
      </c>
      <c r="C128" s="89">
        <f t="shared" ca="1" si="2"/>
        <v>0</v>
      </c>
      <c r="D128" s="89">
        <f t="shared" ca="1" si="5"/>
        <v>0</v>
      </c>
      <c r="E128" s="89">
        <f t="shared" ca="1" si="6"/>
        <v>0</v>
      </c>
      <c r="F128" s="89">
        <f t="shared" ca="1" si="6"/>
        <v>0</v>
      </c>
      <c r="G128" s="89">
        <f t="shared" ca="1" si="6"/>
        <v>0</v>
      </c>
      <c r="H128" s="89">
        <f t="shared" ca="1" si="6"/>
        <v>0</v>
      </c>
      <c r="I128" s="89">
        <f t="shared" ca="1" si="6"/>
        <v>0</v>
      </c>
      <c r="J128" s="93"/>
      <c r="K128" s="77"/>
      <c r="L128" s="77"/>
      <c r="M128" s="77"/>
    </row>
    <row r="129" spans="2:13" s="75" customFormat="1" outlineLevel="1">
      <c r="B129" s="88">
        <f>'8.项目规划指标表'!B$10</f>
        <v>0</v>
      </c>
      <c r="C129" s="89">
        <f t="shared" ca="1" si="2"/>
        <v>0</v>
      </c>
      <c r="D129" s="89">
        <f t="shared" ca="1" si="5"/>
        <v>0</v>
      </c>
      <c r="E129" s="89">
        <f t="shared" ca="1" si="6"/>
        <v>0</v>
      </c>
      <c r="F129" s="89">
        <f t="shared" ca="1" si="6"/>
        <v>0</v>
      </c>
      <c r="G129" s="89">
        <f t="shared" ca="1" si="6"/>
        <v>0</v>
      </c>
      <c r="H129" s="89">
        <f t="shared" ca="1" si="6"/>
        <v>0</v>
      </c>
      <c r="I129" s="89">
        <f t="shared" ca="1" si="6"/>
        <v>0</v>
      </c>
      <c r="J129" s="93"/>
      <c r="K129" s="77"/>
      <c r="L129" s="77"/>
      <c r="M129" s="77"/>
    </row>
    <row r="130" spans="2:13" s="75" customFormat="1" outlineLevel="1">
      <c r="B130" s="88">
        <f>'8.项目规划指标表'!B$11</f>
        <v>0</v>
      </c>
      <c r="C130" s="89">
        <f t="shared" ca="1" si="2"/>
        <v>0</v>
      </c>
      <c r="D130" s="89">
        <f t="shared" ca="1" si="5"/>
        <v>0</v>
      </c>
      <c r="E130" s="89">
        <f t="shared" ca="1" si="6"/>
        <v>0</v>
      </c>
      <c r="F130" s="89">
        <f t="shared" ca="1" si="6"/>
        <v>0</v>
      </c>
      <c r="G130" s="89">
        <f t="shared" ca="1" si="6"/>
        <v>0</v>
      </c>
      <c r="H130" s="89">
        <f t="shared" ca="1" si="6"/>
        <v>0</v>
      </c>
      <c r="I130" s="89">
        <f t="shared" ca="1" si="6"/>
        <v>0</v>
      </c>
      <c r="J130" s="93"/>
      <c r="K130" s="77"/>
      <c r="L130" s="77"/>
      <c r="M130" s="77"/>
    </row>
    <row r="131" spans="2:13" s="75" customFormat="1" outlineLevel="1">
      <c r="B131" s="88">
        <f>'8.项目规划指标表'!B$12</f>
        <v>0</v>
      </c>
      <c r="C131" s="89">
        <f t="shared" ca="1" si="2"/>
        <v>0</v>
      </c>
      <c r="D131" s="89">
        <f t="shared" ca="1" si="5"/>
        <v>0</v>
      </c>
      <c r="E131" s="89">
        <f t="shared" ca="1" si="6"/>
        <v>0</v>
      </c>
      <c r="F131" s="89">
        <f t="shared" ca="1" si="6"/>
        <v>0</v>
      </c>
      <c r="G131" s="89">
        <f t="shared" ca="1" si="6"/>
        <v>0</v>
      </c>
      <c r="H131" s="89">
        <f t="shared" ca="1" si="6"/>
        <v>0</v>
      </c>
      <c r="I131" s="89">
        <f t="shared" ca="1" si="6"/>
        <v>0</v>
      </c>
      <c r="J131" s="93"/>
      <c r="K131" s="77"/>
      <c r="L131" s="77"/>
      <c r="M131" s="77"/>
    </row>
    <row r="132" spans="2:13" s="75" customFormat="1" outlineLevel="1">
      <c r="B132" s="88">
        <f>'8.项目规划指标表'!B$13</f>
        <v>0</v>
      </c>
      <c r="C132" s="89">
        <f t="shared" ca="1" si="2"/>
        <v>0</v>
      </c>
      <c r="D132" s="89">
        <f t="shared" ca="1" si="5"/>
        <v>0</v>
      </c>
      <c r="E132" s="89">
        <f t="shared" ca="1" si="6"/>
        <v>0</v>
      </c>
      <c r="F132" s="89">
        <f t="shared" ca="1" si="6"/>
        <v>0</v>
      </c>
      <c r="G132" s="89">
        <f t="shared" ca="1" si="6"/>
        <v>0</v>
      </c>
      <c r="H132" s="89">
        <f t="shared" ca="1" si="6"/>
        <v>0</v>
      </c>
      <c r="I132" s="89">
        <f t="shared" ca="1" si="6"/>
        <v>0</v>
      </c>
      <c r="J132" s="93"/>
      <c r="K132" s="77"/>
      <c r="L132" s="77"/>
      <c r="M132" s="77"/>
    </row>
    <row r="133" spans="2:13" s="75" customFormat="1" outlineLevel="1">
      <c r="B133" s="88" t="str">
        <f>'8.项目规划指标表'!B$14</f>
        <v>自持物业</v>
      </c>
      <c r="C133" s="89"/>
      <c r="D133" s="89"/>
      <c r="E133" s="89"/>
      <c r="F133" s="89"/>
      <c r="G133" s="89"/>
      <c r="H133" s="89"/>
      <c r="I133" s="89"/>
      <c r="J133" s="93"/>
      <c r="K133" s="77"/>
      <c r="L133" s="77"/>
      <c r="M133" s="77"/>
    </row>
    <row r="134" spans="2:13" s="75" customFormat="1" outlineLevel="1">
      <c r="B134" s="88" t="str">
        <f>'8.项目规划指标表'!B$18</f>
        <v>有产权车库(个)</v>
      </c>
      <c r="C134" s="89">
        <f t="shared" ca="1" si="2"/>
        <v>-21.029439056760857</v>
      </c>
      <c r="D134" s="89">
        <f t="shared" ca="1" si="5"/>
        <v>-21.029439056760857</v>
      </c>
      <c r="E134" s="89">
        <f t="shared" ca="1" si="6"/>
        <v>0</v>
      </c>
      <c r="F134" s="89">
        <f t="shared" ca="1" si="6"/>
        <v>0</v>
      </c>
      <c r="G134" s="89">
        <f t="shared" ca="1" si="6"/>
        <v>0</v>
      </c>
      <c r="H134" s="89">
        <f t="shared" ca="1" si="6"/>
        <v>0</v>
      </c>
      <c r="I134" s="89">
        <f t="shared" ca="1" si="6"/>
        <v>0</v>
      </c>
      <c r="J134" s="93"/>
      <c r="K134" s="77"/>
      <c r="L134" s="77"/>
      <c r="M134" s="77"/>
    </row>
    <row r="135" spans="2:13" s="75" customFormat="1" outlineLevel="1">
      <c r="B135" s="88" t="str">
        <f>'8.项目规划指标表'!B$19</f>
        <v>无产权车库(个)</v>
      </c>
      <c r="C135" s="89">
        <f t="shared" ca="1" si="2"/>
        <v>0</v>
      </c>
      <c r="D135" s="89">
        <f t="shared" ca="1" si="5"/>
        <v>0</v>
      </c>
      <c r="E135" s="89">
        <f t="shared" ca="1" si="6"/>
        <v>0</v>
      </c>
      <c r="F135" s="89">
        <f t="shared" ca="1" si="6"/>
        <v>0</v>
      </c>
      <c r="G135" s="89">
        <f t="shared" ca="1" si="6"/>
        <v>0</v>
      </c>
      <c r="H135" s="89">
        <f t="shared" ca="1" si="6"/>
        <v>0</v>
      </c>
      <c r="I135" s="89">
        <f t="shared" ca="1" si="6"/>
        <v>0</v>
      </c>
      <c r="J135" s="93"/>
      <c r="K135" s="77"/>
      <c r="L135" s="77"/>
      <c r="M135" s="77"/>
    </row>
    <row r="136" spans="2:13" s="75" customFormat="1">
      <c r="B136" s="100" t="s">
        <v>626</v>
      </c>
      <c r="C136" s="101">
        <f t="shared" ca="1" si="2"/>
        <v>504.00000000000188</v>
      </c>
      <c r="D136" s="101">
        <f t="shared" ref="D136:G136" ca="1" si="7">SUM(D137:D148)</f>
        <v>504.00000000000188</v>
      </c>
      <c r="E136" s="101">
        <f t="shared" ca="1" si="7"/>
        <v>0</v>
      </c>
      <c r="F136" s="101">
        <f t="shared" ca="1" si="7"/>
        <v>0</v>
      </c>
      <c r="G136" s="101">
        <f t="shared" ca="1" si="7"/>
        <v>0</v>
      </c>
      <c r="H136" s="101">
        <f t="shared" ref="H136:I136" ca="1" si="8">SUM(H137:H148)</f>
        <v>0</v>
      </c>
      <c r="I136" s="101">
        <f t="shared" ca="1" si="8"/>
        <v>0</v>
      </c>
      <c r="J136" s="93">
        <f ca="1">SUM(C137:C148)-C136</f>
        <v>0</v>
      </c>
      <c r="K136" s="77"/>
      <c r="L136" s="77"/>
      <c r="M136" s="77"/>
    </row>
    <row r="137" spans="2:13" s="75" customFormat="1" ht="12" customHeight="1" outlineLevel="1">
      <c r="B137" s="88" t="str">
        <f>'8.项目规划指标表'!B$5</f>
        <v>高层</v>
      </c>
      <c r="C137" s="89">
        <f t="shared" ca="1" si="2"/>
        <v>385.77265616454565</v>
      </c>
      <c r="D137" s="89">
        <f t="shared" ref="D137:I137" ca="1" si="9">D150+D163+D176</f>
        <v>385.77265616454565</v>
      </c>
      <c r="E137" s="89">
        <f t="shared" ca="1" si="9"/>
        <v>0</v>
      </c>
      <c r="F137" s="89">
        <f t="shared" ca="1" si="9"/>
        <v>0</v>
      </c>
      <c r="G137" s="89">
        <f t="shared" ca="1" si="9"/>
        <v>0</v>
      </c>
      <c r="H137" s="89">
        <f t="shared" ca="1" si="9"/>
        <v>0</v>
      </c>
      <c r="I137" s="89">
        <f t="shared" ca="1" si="9"/>
        <v>0</v>
      </c>
      <c r="J137" s="93"/>
      <c r="K137" s="77"/>
      <c r="L137" s="77"/>
      <c r="M137" s="77"/>
    </row>
    <row r="138" spans="2:13" s="75" customFormat="1" outlineLevel="1">
      <c r="B138" s="88" t="str">
        <f>'8.项目规划指标表'!B$6</f>
        <v>商铺</v>
      </c>
      <c r="C138" s="89">
        <f t="shared" ca="1" si="2"/>
        <v>102.4154643073994</v>
      </c>
      <c r="D138" s="89">
        <f t="shared" ref="D138:D148" ca="1" si="10">D151+D164+D177</f>
        <v>102.4154643073994</v>
      </c>
      <c r="E138" s="89">
        <f t="shared" ref="E138:I148" ca="1" si="11">E151+E164+E177</f>
        <v>0</v>
      </c>
      <c r="F138" s="89">
        <f t="shared" ca="1" si="11"/>
        <v>0</v>
      </c>
      <c r="G138" s="89">
        <f t="shared" ca="1" si="11"/>
        <v>0</v>
      </c>
      <c r="H138" s="89">
        <f t="shared" ca="1" si="11"/>
        <v>0</v>
      </c>
      <c r="I138" s="89">
        <f t="shared" ca="1" si="11"/>
        <v>0</v>
      </c>
      <c r="J138" s="93"/>
      <c r="K138" s="77"/>
      <c r="L138" s="77"/>
      <c r="M138" s="77"/>
    </row>
    <row r="139" spans="2:13" s="75" customFormat="1" outlineLevel="1">
      <c r="B139" s="88" t="str">
        <f>'8.项目规划指标表'!B$7</f>
        <v>回迁商业</v>
      </c>
      <c r="C139" s="89">
        <f t="shared" ca="1" si="2"/>
        <v>0</v>
      </c>
      <c r="D139" s="89">
        <f t="shared" ca="1" si="10"/>
        <v>0</v>
      </c>
      <c r="E139" s="89">
        <f t="shared" ca="1" si="11"/>
        <v>0</v>
      </c>
      <c r="F139" s="89">
        <f t="shared" ca="1" si="11"/>
        <v>0</v>
      </c>
      <c r="G139" s="89">
        <f t="shared" ca="1" si="11"/>
        <v>0</v>
      </c>
      <c r="H139" s="89">
        <f t="shared" ca="1" si="11"/>
        <v>0</v>
      </c>
      <c r="I139" s="89">
        <f t="shared" ca="1" si="11"/>
        <v>0</v>
      </c>
      <c r="J139" s="93"/>
      <c r="K139" s="77"/>
      <c r="L139" s="77"/>
      <c r="M139" s="77"/>
    </row>
    <row r="140" spans="2:13" s="75" customFormat="1" outlineLevel="1">
      <c r="B140" s="88">
        <f>'8.项目规划指标表'!B$8</f>
        <v>0</v>
      </c>
      <c r="C140" s="89">
        <f t="shared" ca="1" si="2"/>
        <v>0</v>
      </c>
      <c r="D140" s="89">
        <f t="shared" ca="1" si="10"/>
        <v>0</v>
      </c>
      <c r="E140" s="89">
        <f t="shared" ca="1" si="11"/>
        <v>0</v>
      </c>
      <c r="F140" s="89">
        <f t="shared" ca="1" si="11"/>
        <v>0</v>
      </c>
      <c r="G140" s="89">
        <f t="shared" ca="1" si="11"/>
        <v>0</v>
      </c>
      <c r="H140" s="89">
        <f t="shared" ca="1" si="11"/>
        <v>0</v>
      </c>
      <c r="I140" s="89">
        <f t="shared" ca="1" si="11"/>
        <v>0</v>
      </c>
      <c r="J140" s="93"/>
      <c r="K140" s="77"/>
      <c r="L140" s="77"/>
      <c r="M140" s="77"/>
    </row>
    <row r="141" spans="2:13" s="75" customFormat="1" outlineLevel="1">
      <c r="B141" s="88">
        <f>'8.项目规划指标表'!B$9</f>
        <v>0</v>
      </c>
      <c r="C141" s="89">
        <f t="shared" ca="1" si="2"/>
        <v>0</v>
      </c>
      <c r="D141" s="89">
        <f t="shared" ca="1" si="10"/>
        <v>0</v>
      </c>
      <c r="E141" s="89">
        <f t="shared" ca="1" si="11"/>
        <v>0</v>
      </c>
      <c r="F141" s="89">
        <f t="shared" ca="1" si="11"/>
        <v>0</v>
      </c>
      <c r="G141" s="89">
        <f t="shared" ca="1" si="11"/>
        <v>0</v>
      </c>
      <c r="H141" s="89">
        <f t="shared" ca="1" si="11"/>
        <v>0</v>
      </c>
      <c r="I141" s="89">
        <f t="shared" ca="1" si="11"/>
        <v>0</v>
      </c>
      <c r="J141" s="93"/>
      <c r="K141" s="77"/>
      <c r="L141" s="77"/>
      <c r="M141" s="77"/>
    </row>
    <row r="142" spans="2:13" s="75" customFormat="1" outlineLevel="1">
      <c r="B142" s="88">
        <f>'8.项目规划指标表'!B$10</f>
        <v>0</v>
      </c>
      <c r="C142" s="89">
        <f t="shared" ca="1" si="2"/>
        <v>0</v>
      </c>
      <c r="D142" s="89">
        <f t="shared" ca="1" si="10"/>
        <v>0</v>
      </c>
      <c r="E142" s="89">
        <f t="shared" ca="1" si="11"/>
        <v>0</v>
      </c>
      <c r="F142" s="89">
        <f t="shared" ca="1" si="11"/>
        <v>0</v>
      </c>
      <c r="G142" s="89">
        <f t="shared" ca="1" si="11"/>
        <v>0</v>
      </c>
      <c r="H142" s="89">
        <f t="shared" ca="1" si="11"/>
        <v>0</v>
      </c>
      <c r="I142" s="89">
        <f t="shared" ca="1" si="11"/>
        <v>0</v>
      </c>
      <c r="J142" s="93"/>
      <c r="K142" s="77"/>
      <c r="L142" s="77"/>
      <c r="M142" s="77"/>
    </row>
    <row r="143" spans="2:13" s="75" customFormat="1" outlineLevel="1">
      <c r="B143" s="88">
        <f>'8.项目规划指标表'!B$11</f>
        <v>0</v>
      </c>
      <c r="C143" s="89">
        <f t="shared" ca="1" si="2"/>
        <v>0</v>
      </c>
      <c r="D143" s="89">
        <f t="shared" ca="1" si="10"/>
        <v>0</v>
      </c>
      <c r="E143" s="89">
        <f t="shared" ca="1" si="11"/>
        <v>0</v>
      </c>
      <c r="F143" s="89">
        <f t="shared" ca="1" si="11"/>
        <v>0</v>
      </c>
      <c r="G143" s="89">
        <f t="shared" ca="1" si="11"/>
        <v>0</v>
      </c>
      <c r="H143" s="89">
        <f t="shared" ca="1" si="11"/>
        <v>0</v>
      </c>
      <c r="I143" s="89">
        <f t="shared" ca="1" si="11"/>
        <v>0</v>
      </c>
      <c r="J143" s="93"/>
      <c r="K143" s="77"/>
      <c r="L143" s="77"/>
      <c r="M143" s="77"/>
    </row>
    <row r="144" spans="2:13" s="75" customFormat="1" outlineLevel="1">
      <c r="B144" s="88">
        <f>'8.项目规划指标表'!B$12</f>
        <v>0</v>
      </c>
      <c r="C144" s="89">
        <f t="shared" ca="1" si="2"/>
        <v>0</v>
      </c>
      <c r="D144" s="89">
        <f t="shared" ca="1" si="10"/>
        <v>0</v>
      </c>
      <c r="E144" s="89">
        <f t="shared" ca="1" si="11"/>
        <v>0</v>
      </c>
      <c r="F144" s="89">
        <f t="shared" ca="1" si="11"/>
        <v>0</v>
      </c>
      <c r="G144" s="89">
        <f t="shared" ca="1" si="11"/>
        <v>0</v>
      </c>
      <c r="H144" s="89">
        <f t="shared" ca="1" si="11"/>
        <v>0</v>
      </c>
      <c r="I144" s="89">
        <f t="shared" ca="1" si="11"/>
        <v>0</v>
      </c>
      <c r="J144" s="93"/>
      <c r="K144" s="77"/>
      <c r="L144" s="77"/>
      <c r="M144" s="77"/>
    </row>
    <row r="145" spans="2:13" s="75" customFormat="1" outlineLevel="1">
      <c r="B145" s="88">
        <f>'8.项目规划指标表'!B$13</f>
        <v>0</v>
      </c>
      <c r="C145" s="89">
        <f t="shared" ca="1" si="2"/>
        <v>0</v>
      </c>
      <c r="D145" s="89">
        <f t="shared" ca="1" si="10"/>
        <v>0</v>
      </c>
      <c r="E145" s="89">
        <f t="shared" ca="1" si="11"/>
        <v>0</v>
      </c>
      <c r="F145" s="89">
        <f t="shared" ca="1" si="11"/>
        <v>0</v>
      </c>
      <c r="G145" s="89">
        <f t="shared" ca="1" si="11"/>
        <v>0</v>
      </c>
      <c r="H145" s="89">
        <f t="shared" ca="1" si="11"/>
        <v>0</v>
      </c>
      <c r="I145" s="89">
        <f t="shared" ca="1" si="11"/>
        <v>0</v>
      </c>
      <c r="J145" s="93"/>
      <c r="K145" s="77"/>
      <c r="L145" s="77"/>
      <c r="M145" s="77"/>
    </row>
    <row r="146" spans="2:13" s="75" customFormat="1" outlineLevel="1">
      <c r="B146" s="88" t="str">
        <f>'8.项目规划指标表'!B$14</f>
        <v>自持物业</v>
      </c>
      <c r="C146" s="89"/>
      <c r="D146" s="89"/>
      <c r="E146" s="89"/>
      <c r="F146" s="89"/>
      <c r="G146" s="89"/>
      <c r="H146" s="89"/>
      <c r="I146" s="89"/>
      <c r="J146" s="93"/>
      <c r="K146" s="77"/>
      <c r="L146" s="77"/>
      <c r="M146" s="77"/>
    </row>
    <row r="147" spans="2:13" s="75" customFormat="1" outlineLevel="1">
      <c r="B147" s="88" t="str">
        <f>'8.项目规划指标表'!B$18</f>
        <v>有产权车库(个)</v>
      </c>
      <c r="C147" s="89">
        <f t="shared" ca="1" si="2"/>
        <v>15.811879528056783</v>
      </c>
      <c r="D147" s="89">
        <f t="shared" ca="1" si="10"/>
        <v>15.811879528056783</v>
      </c>
      <c r="E147" s="89">
        <f t="shared" ca="1" si="11"/>
        <v>0</v>
      </c>
      <c r="F147" s="89">
        <f t="shared" ca="1" si="11"/>
        <v>0</v>
      </c>
      <c r="G147" s="89">
        <f t="shared" ca="1" si="11"/>
        <v>0</v>
      </c>
      <c r="H147" s="89">
        <f t="shared" ca="1" si="11"/>
        <v>0</v>
      </c>
      <c r="I147" s="89">
        <f t="shared" ca="1" si="11"/>
        <v>0</v>
      </c>
      <c r="J147" s="93"/>
      <c r="K147" s="77"/>
      <c r="L147" s="77"/>
      <c r="M147" s="77"/>
    </row>
    <row r="148" spans="2:13" s="75" customFormat="1" outlineLevel="1">
      <c r="B148" s="88" t="str">
        <f>'8.项目规划指标表'!B$19</f>
        <v>无产权车库(个)</v>
      </c>
      <c r="C148" s="89">
        <f t="shared" ref="C148:C211" ca="1" si="12">SUM(D148:I148)</f>
        <v>0</v>
      </c>
      <c r="D148" s="89">
        <f t="shared" ca="1" si="10"/>
        <v>0</v>
      </c>
      <c r="E148" s="89">
        <f t="shared" ca="1" si="11"/>
        <v>0</v>
      </c>
      <c r="F148" s="89">
        <f t="shared" ca="1" si="11"/>
        <v>0</v>
      </c>
      <c r="G148" s="89">
        <f t="shared" ca="1" si="11"/>
        <v>0</v>
      </c>
      <c r="H148" s="89">
        <f t="shared" ca="1" si="11"/>
        <v>0</v>
      </c>
      <c r="I148" s="89">
        <f t="shared" ca="1" si="11"/>
        <v>0</v>
      </c>
      <c r="J148" s="93"/>
      <c r="K148" s="77"/>
      <c r="L148" s="77"/>
      <c r="M148" s="77"/>
    </row>
    <row r="149" spans="2:13" s="75" customFormat="1" ht="14.25" customHeight="1">
      <c r="B149" s="1105" t="s">
        <v>627</v>
      </c>
      <c r="C149" s="1106">
        <f t="shared" si="12"/>
        <v>240.00000000000364</v>
      </c>
      <c r="D149" s="1106">
        <f>'12.土地成本表'!D37-'12.土地成本表'!K37</f>
        <v>240.00000000000364</v>
      </c>
      <c r="E149" s="1106">
        <f>'12.土地成本表'!E37-'12.土地成本表'!L37</f>
        <v>0</v>
      </c>
      <c r="F149" s="1106">
        <f>'12.土地成本表'!F37-'12.土地成本表'!M37</f>
        <v>0</v>
      </c>
      <c r="G149" s="1106">
        <f>'12.土地成本表'!G37-'12.土地成本表'!N37</f>
        <v>0</v>
      </c>
      <c r="H149" s="1106">
        <f>'12.土地成本表'!H37-'12.土地成本表'!O37</f>
        <v>0</v>
      </c>
      <c r="I149" s="1106">
        <f>'12.土地成本表'!I37-'12.土地成本表'!P37</f>
        <v>0</v>
      </c>
      <c r="J149" s="93">
        <f>SUM(C150:C161)-C149</f>
        <v>-1.8189894035458565E-12</v>
      </c>
      <c r="K149" s="77"/>
      <c r="L149" s="77"/>
      <c r="M149" s="77"/>
    </row>
    <row r="150" spans="2:13" s="75" customFormat="1" ht="12" customHeight="1" outlineLevel="1">
      <c r="B150" s="88" t="str">
        <f>'8.项目规划指标表'!B$5</f>
        <v>高层</v>
      </c>
      <c r="C150" s="89">
        <f t="shared" si="12"/>
        <v>155.4700080892726</v>
      </c>
      <c r="D150" s="89">
        <f>'12.土地成本表'!R25</f>
        <v>155.4700080892726</v>
      </c>
      <c r="E150" s="89">
        <f>'12.土地成本表'!S25</f>
        <v>0</v>
      </c>
      <c r="F150" s="89">
        <f>'12.土地成本表'!T25</f>
        <v>0</v>
      </c>
      <c r="G150" s="89">
        <f>'12.土地成本表'!U25</f>
        <v>0</v>
      </c>
      <c r="H150" s="89">
        <f>'12.土地成本表'!V25</f>
        <v>0</v>
      </c>
      <c r="I150" s="89">
        <f>'12.土地成本表'!W25</f>
        <v>0</v>
      </c>
      <c r="J150" s="93"/>
      <c r="K150" s="77"/>
      <c r="L150" s="77"/>
      <c r="M150" s="77"/>
    </row>
    <row r="151" spans="2:13" s="75" customFormat="1" outlineLevel="1">
      <c r="B151" s="88" t="str">
        <f>'8.项目规划指标表'!B$6</f>
        <v>商铺</v>
      </c>
      <c r="C151" s="89">
        <f t="shared" si="12"/>
        <v>84.529991910729223</v>
      </c>
      <c r="D151" s="89">
        <f>'12.土地成本表'!R26</f>
        <v>84.529991910729223</v>
      </c>
      <c r="E151" s="89">
        <f>'12.土地成本表'!S26</f>
        <v>0</v>
      </c>
      <c r="F151" s="89">
        <f>'12.土地成本表'!T26</f>
        <v>0</v>
      </c>
      <c r="G151" s="89">
        <f>'12.土地成本表'!U26</f>
        <v>0</v>
      </c>
      <c r="H151" s="89">
        <f>'12.土地成本表'!V26</f>
        <v>0</v>
      </c>
      <c r="I151" s="89">
        <f>'12.土地成本表'!W26</f>
        <v>0</v>
      </c>
      <c r="J151" s="93"/>
      <c r="K151" s="77"/>
      <c r="L151" s="77"/>
      <c r="M151" s="77"/>
    </row>
    <row r="152" spans="2:13" s="75" customFormat="1" outlineLevel="1">
      <c r="B152" s="88" t="str">
        <f>'8.项目规划指标表'!B$7</f>
        <v>回迁商业</v>
      </c>
      <c r="C152" s="89">
        <f t="shared" si="12"/>
        <v>0</v>
      </c>
      <c r="D152" s="89">
        <f>'12.土地成本表'!R27</f>
        <v>0</v>
      </c>
      <c r="E152" s="89">
        <f>'12.土地成本表'!S27</f>
        <v>0</v>
      </c>
      <c r="F152" s="89">
        <f>'12.土地成本表'!T27</f>
        <v>0</v>
      </c>
      <c r="G152" s="89">
        <f>'12.土地成本表'!U27</f>
        <v>0</v>
      </c>
      <c r="H152" s="89">
        <f>'12.土地成本表'!V27</f>
        <v>0</v>
      </c>
      <c r="I152" s="89">
        <f>'12.土地成本表'!W27</f>
        <v>0</v>
      </c>
      <c r="J152" s="93"/>
      <c r="K152" s="77"/>
      <c r="L152" s="77"/>
      <c r="M152" s="77"/>
    </row>
    <row r="153" spans="2:13" s="75" customFormat="1" outlineLevel="1">
      <c r="B153" s="88">
        <f>'8.项目规划指标表'!B$8</f>
        <v>0</v>
      </c>
      <c r="C153" s="89">
        <f t="shared" si="12"/>
        <v>0</v>
      </c>
      <c r="D153" s="89">
        <f>'12.土地成本表'!R28</f>
        <v>0</v>
      </c>
      <c r="E153" s="89">
        <f>'12.土地成本表'!S28</f>
        <v>0</v>
      </c>
      <c r="F153" s="89">
        <f>'12.土地成本表'!T28</f>
        <v>0</v>
      </c>
      <c r="G153" s="89">
        <f>'12.土地成本表'!U28</f>
        <v>0</v>
      </c>
      <c r="H153" s="89">
        <f>'12.土地成本表'!V28</f>
        <v>0</v>
      </c>
      <c r="I153" s="89">
        <f>'12.土地成本表'!W28</f>
        <v>0</v>
      </c>
      <c r="J153" s="93"/>
      <c r="K153" s="77"/>
      <c r="L153" s="77"/>
      <c r="M153" s="77"/>
    </row>
    <row r="154" spans="2:13" s="75" customFormat="1" outlineLevel="1">
      <c r="B154" s="88">
        <f>'8.项目规划指标表'!B$9</f>
        <v>0</v>
      </c>
      <c r="C154" s="89">
        <f t="shared" si="12"/>
        <v>0</v>
      </c>
      <c r="D154" s="89">
        <f>'12.土地成本表'!R29</f>
        <v>0</v>
      </c>
      <c r="E154" s="89">
        <f>'12.土地成本表'!S29</f>
        <v>0</v>
      </c>
      <c r="F154" s="89">
        <f>'12.土地成本表'!T29</f>
        <v>0</v>
      </c>
      <c r="G154" s="89">
        <f>'12.土地成本表'!U29</f>
        <v>0</v>
      </c>
      <c r="H154" s="89">
        <f>'12.土地成本表'!V29</f>
        <v>0</v>
      </c>
      <c r="I154" s="89">
        <f>'12.土地成本表'!W29</f>
        <v>0</v>
      </c>
      <c r="J154" s="93"/>
      <c r="K154" s="77"/>
      <c r="L154" s="77"/>
      <c r="M154" s="77"/>
    </row>
    <row r="155" spans="2:13" s="75" customFormat="1" outlineLevel="1">
      <c r="B155" s="88">
        <f>'8.项目规划指标表'!B$10</f>
        <v>0</v>
      </c>
      <c r="C155" s="89">
        <f t="shared" si="12"/>
        <v>0</v>
      </c>
      <c r="D155" s="89">
        <f>'12.土地成本表'!R30</f>
        <v>0</v>
      </c>
      <c r="E155" s="89">
        <f>'12.土地成本表'!S30</f>
        <v>0</v>
      </c>
      <c r="F155" s="89">
        <f>'12.土地成本表'!T30</f>
        <v>0</v>
      </c>
      <c r="G155" s="89">
        <f>'12.土地成本表'!U30</f>
        <v>0</v>
      </c>
      <c r="H155" s="89">
        <f>'12.土地成本表'!V30</f>
        <v>0</v>
      </c>
      <c r="I155" s="89">
        <f>'12.土地成本表'!W30</f>
        <v>0</v>
      </c>
      <c r="J155" s="93"/>
      <c r="K155" s="77"/>
      <c r="L155" s="77"/>
      <c r="M155" s="77"/>
    </row>
    <row r="156" spans="2:13" s="75" customFormat="1" outlineLevel="1">
      <c r="B156" s="88">
        <f>'8.项目规划指标表'!B$11</f>
        <v>0</v>
      </c>
      <c r="C156" s="89">
        <f t="shared" si="12"/>
        <v>0</v>
      </c>
      <c r="D156" s="89">
        <f>'12.土地成本表'!R31</f>
        <v>0</v>
      </c>
      <c r="E156" s="89">
        <f>'12.土地成本表'!S31</f>
        <v>0</v>
      </c>
      <c r="F156" s="89">
        <f>'12.土地成本表'!T31</f>
        <v>0</v>
      </c>
      <c r="G156" s="89">
        <f>'12.土地成本表'!U31</f>
        <v>0</v>
      </c>
      <c r="H156" s="89">
        <f>'12.土地成本表'!V31</f>
        <v>0</v>
      </c>
      <c r="I156" s="89">
        <f>'12.土地成本表'!W31</f>
        <v>0</v>
      </c>
      <c r="J156" s="93"/>
      <c r="K156" s="77"/>
      <c r="L156" s="77"/>
      <c r="M156" s="77"/>
    </row>
    <row r="157" spans="2:13" s="75" customFormat="1" outlineLevel="1">
      <c r="B157" s="88">
        <f>'8.项目规划指标表'!B$12</f>
        <v>0</v>
      </c>
      <c r="C157" s="89">
        <f t="shared" si="12"/>
        <v>0</v>
      </c>
      <c r="D157" s="89">
        <f>'12.土地成本表'!R32</f>
        <v>0</v>
      </c>
      <c r="E157" s="89">
        <f>'12.土地成本表'!S32</f>
        <v>0</v>
      </c>
      <c r="F157" s="89">
        <f>'12.土地成本表'!T32</f>
        <v>0</v>
      </c>
      <c r="G157" s="89">
        <f>'12.土地成本表'!U32</f>
        <v>0</v>
      </c>
      <c r="H157" s="89">
        <f>'12.土地成本表'!V32</f>
        <v>0</v>
      </c>
      <c r="I157" s="89">
        <f>'12.土地成本表'!W32</f>
        <v>0</v>
      </c>
      <c r="J157" s="93"/>
      <c r="K157" s="77"/>
      <c r="L157" s="77"/>
      <c r="M157" s="77"/>
    </row>
    <row r="158" spans="2:13" s="75" customFormat="1" outlineLevel="1">
      <c r="B158" s="88">
        <f>'8.项目规划指标表'!B$13</f>
        <v>0</v>
      </c>
      <c r="C158" s="89">
        <f t="shared" si="12"/>
        <v>0</v>
      </c>
      <c r="D158" s="89">
        <f>'12.土地成本表'!R33</f>
        <v>0</v>
      </c>
      <c r="E158" s="89">
        <f>'12.土地成本表'!S33</f>
        <v>0</v>
      </c>
      <c r="F158" s="89">
        <f>'12.土地成本表'!T33</f>
        <v>0</v>
      </c>
      <c r="G158" s="89">
        <f>'12.土地成本表'!U33</f>
        <v>0</v>
      </c>
      <c r="H158" s="89">
        <f>'12.土地成本表'!V33</f>
        <v>0</v>
      </c>
      <c r="I158" s="89">
        <f>'12.土地成本表'!W33</f>
        <v>0</v>
      </c>
      <c r="J158" s="93"/>
      <c r="K158" s="77"/>
      <c r="L158" s="77"/>
      <c r="M158" s="77"/>
    </row>
    <row r="159" spans="2:13" s="75" customFormat="1" outlineLevel="1">
      <c r="B159" s="88" t="str">
        <f>'8.项目规划指标表'!B$14</f>
        <v>自持物业</v>
      </c>
      <c r="C159" s="89"/>
      <c r="D159" s="89"/>
      <c r="E159" s="89"/>
      <c r="F159" s="89"/>
      <c r="G159" s="89"/>
      <c r="H159" s="89"/>
      <c r="I159" s="89"/>
      <c r="J159" s="93"/>
      <c r="K159" s="77"/>
      <c r="L159" s="77"/>
      <c r="M159" s="77"/>
    </row>
    <row r="160" spans="2:13" s="75" customFormat="1" outlineLevel="1">
      <c r="B160" s="88" t="str">
        <f>'8.项目规划指标表'!B$18</f>
        <v>有产权车库(个)</v>
      </c>
      <c r="C160" s="89">
        <f t="shared" si="12"/>
        <v>0</v>
      </c>
      <c r="D160" s="89">
        <v>0</v>
      </c>
      <c r="E160" s="89">
        <v>0</v>
      </c>
      <c r="F160" s="89">
        <v>0</v>
      </c>
      <c r="G160" s="89">
        <v>0</v>
      </c>
      <c r="H160" s="89">
        <v>0</v>
      </c>
      <c r="I160" s="89">
        <v>0</v>
      </c>
      <c r="J160" s="93"/>
      <c r="K160" s="77"/>
      <c r="L160" s="77"/>
      <c r="M160" s="77"/>
    </row>
    <row r="161" spans="2:13" s="75" customFormat="1" outlineLevel="1">
      <c r="B161" s="88" t="str">
        <f>'8.项目规划指标表'!B$19</f>
        <v>无产权车库(个)</v>
      </c>
      <c r="C161" s="89">
        <f t="shared" si="12"/>
        <v>0</v>
      </c>
      <c r="D161" s="89">
        <v>0</v>
      </c>
      <c r="E161" s="89">
        <v>0</v>
      </c>
      <c r="F161" s="89">
        <v>0</v>
      </c>
      <c r="G161" s="89">
        <v>0</v>
      </c>
      <c r="H161" s="89">
        <v>0</v>
      </c>
      <c r="I161" s="89">
        <v>0</v>
      </c>
      <c r="J161" s="93"/>
      <c r="K161" s="77"/>
      <c r="L161" s="77"/>
      <c r="M161" s="77"/>
    </row>
    <row r="162" spans="2:13" s="75" customFormat="1" ht="14.25" customHeight="1">
      <c r="B162" s="1105" t="s">
        <v>628</v>
      </c>
      <c r="C162" s="1106">
        <f t="shared" ca="1" si="12"/>
        <v>264</v>
      </c>
      <c r="D162" s="1106">
        <f ca="1">'17.财务费用测算表'!C30-'17.财务费用测算表'!C51</f>
        <v>264</v>
      </c>
      <c r="E162" s="1106">
        <f ca="1">'17.财务费用测算表'!C31-'17.财务费用测算表'!C52</f>
        <v>0</v>
      </c>
      <c r="F162" s="1106">
        <f ca="1">'17.财务费用测算表'!C32-'17.财务费用测算表'!C53</f>
        <v>0</v>
      </c>
      <c r="G162" s="1106">
        <f ca="1">'17.财务费用测算表'!C33-'17.财务费用测算表'!C54</f>
        <v>0</v>
      </c>
      <c r="H162" s="1106">
        <f ca="1">'17.财务费用测算表'!C34-'17.财务费用测算表'!C55</f>
        <v>0</v>
      </c>
      <c r="I162" s="1106">
        <f ca="1">'17.财务费用测算表'!C35-'17.财务费用测算表'!C56</f>
        <v>0</v>
      </c>
      <c r="J162" s="93">
        <f ca="1">SUM(C163:C174)-C162</f>
        <v>0</v>
      </c>
      <c r="K162" s="77"/>
      <c r="L162" s="77"/>
      <c r="M162" s="77"/>
    </row>
    <row r="163" spans="2:13" s="75" customFormat="1" ht="12" customHeight="1" outlineLevel="1">
      <c r="B163" s="88" t="str">
        <f>'8.项目规划指标表'!B$5</f>
        <v>高层</v>
      </c>
      <c r="C163" s="89">
        <f t="shared" ca="1" si="12"/>
        <v>230.30264807527305</v>
      </c>
      <c r="D163" s="89">
        <f ca="1">IFERROR($D$162*D98/$D$97,0)</f>
        <v>230.30264807527305</v>
      </c>
      <c r="E163" s="89">
        <f t="shared" ref="E163:I163" ca="1" si="13">IFERROR(E$162*E98/E$97,0)</f>
        <v>0</v>
      </c>
      <c r="F163" s="89">
        <f t="shared" ca="1" si="13"/>
        <v>0</v>
      </c>
      <c r="G163" s="89">
        <f t="shared" ca="1" si="13"/>
        <v>0</v>
      </c>
      <c r="H163" s="89">
        <f t="shared" ca="1" si="13"/>
        <v>0</v>
      </c>
      <c r="I163" s="89">
        <f t="shared" ca="1" si="13"/>
        <v>0</v>
      </c>
      <c r="J163" s="93"/>
      <c r="K163" s="77"/>
      <c r="L163" s="77"/>
      <c r="M163" s="77"/>
    </row>
    <row r="164" spans="2:13" s="75" customFormat="1" outlineLevel="1">
      <c r="B164" s="88" t="str">
        <f>'8.项目规划指标表'!B$6</f>
        <v>商铺</v>
      </c>
      <c r="C164" s="89">
        <f t="shared" ca="1" si="12"/>
        <v>17.885472396670181</v>
      </c>
      <c r="D164" s="89">
        <f t="shared" ref="D164:D174" ca="1" si="14">IFERROR($D$162*D99/$D$97,0)</f>
        <v>17.885472396670181</v>
      </c>
      <c r="E164" s="89">
        <f t="shared" ref="E164:F174" ca="1" si="15">IFERROR(E$162*E99/E$97,0)</f>
        <v>0</v>
      </c>
      <c r="F164" s="89">
        <f t="shared" ca="1" si="15"/>
        <v>0</v>
      </c>
      <c r="G164" s="89">
        <f t="shared" ref="G164:I174" ca="1" si="16">IFERROR(G$162*G99/G$97,0)</f>
        <v>0</v>
      </c>
      <c r="H164" s="89">
        <f t="shared" ca="1" si="16"/>
        <v>0</v>
      </c>
      <c r="I164" s="89">
        <f t="shared" ca="1" si="16"/>
        <v>0</v>
      </c>
      <c r="J164" s="93"/>
      <c r="K164" s="77"/>
      <c r="L164" s="77"/>
      <c r="M164" s="77"/>
    </row>
    <row r="165" spans="2:13" s="75" customFormat="1" outlineLevel="1">
      <c r="B165" s="88" t="str">
        <f>'8.项目规划指标表'!B$7</f>
        <v>回迁商业</v>
      </c>
      <c r="C165" s="89">
        <f t="shared" ca="1" si="12"/>
        <v>0</v>
      </c>
      <c r="D165" s="89">
        <f t="shared" ca="1" si="14"/>
        <v>0</v>
      </c>
      <c r="E165" s="89">
        <f t="shared" ca="1" si="15"/>
        <v>0</v>
      </c>
      <c r="F165" s="89">
        <f t="shared" ca="1" si="15"/>
        <v>0</v>
      </c>
      <c r="G165" s="89">
        <f t="shared" ca="1" si="16"/>
        <v>0</v>
      </c>
      <c r="H165" s="89">
        <f t="shared" ca="1" si="16"/>
        <v>0</v>
      </c>
      <c r="I165" s="89">
        <f t="shared" ca="1" si="16"/>
        <v>0</v>
      </c>
      <c r="J165" s="93"/>
      <c r="K165" s="77"/>
      <c r="L165" s="77"/>
      <c r="M165" s="77"/>
    </row>
    <row r="166" spans="2:13" s="75" customFormat="1" outlineLevel="1">
      <c r="B166" s="88">
        <f>'8.项目规划指标表'!B$8</f>
        <v>0</v>
      </c>
      <c r="C166" s="89">
        <f t="shared" ca="1" si="12"/>
        <v>0</v>
      </c>
      <c r="D166" s="89">
        <f t="shared" ca="1" si="14"/>
        <v>0</v>
      </c>
      <c r="E166" s="89">
        <f t="shared" ca="1" si="15"/>
        <v>0</v>
      </c>
      <c r="F166" s="89">
        <f t="shared" ca="1" si="15"/>
        <v>0</v>
      </c>
      <c r="G166" s="89">
        <f t="shared" ca="1" si="16"/>
        <v>0</v>
      </c>
      <c r="H166" s="89">
        <f t="shared" ca="1" si="16"/>
        <v>0</v>
      </c>
      <c r="I166" s="89">
        <f t="shared" ca="1" si="16"/>
        <v>0</v>
      </c>
      <c r="J166" s="93"/>
      <c r="K166" s="77"/>
      <c r="L166" s="77"/>
      <c r="M166" s="77"/>
    </row>
    <row r="167" spans="2:13" s="75" customFormat="1" outlineLevel="1">
      <c r="B167" s="88">
        <f>'8.项目规划指标表'!B$9</f>
        <v>0</v>
      </c>
      <c r="C167" s="89">
        <f t="shared" ca="1" si="12"/>
        <v>0</v>
      </c>
      <c r="D167" s="89">
        <f t="shared" ca="1" si="14"/>
        <v>0</v>
      </c>
      <c r="E167" s="89">
        <f t="shared" ca="1" si="15"/>
        <v>0</v>
      </c>
      <c r="F167" s="89">
        <f t="shared" ca="1" si="15"/>
        <v>0</v>
      </c>
      <c r="G167" s="89">
        <f t="shared" ca="1" si="16"/>
        <v>0</v>
      </c>
      <c r="H167" s="89">
        <f t="shared" ca="1" si="16"/>
        <v>0</v>
      </c>
      <c r="I167" s="89">
        <f t="shared" ca="1" si="16"/>
        <v>0</v>
      </c>
      <c r="J167" s="93"/>
      <c r="K167" s="77"/>
      <c r="L167" s="77"/>
      <c r="M167" s="77"/>
    </row>
    <row r="168" spans="2:13" s="75" customFormat="1" outlineLevel="1">
      <c r="B168" s="88">
        <f>'8.项目规划指标表'!B$10</f>
        <v>0</v>
      </c>
      <c r="C168" s="89">
        <f t="shared" ca="1" si="12"/>
        <v>0</v>
      </c>
      <c r="D168" s="89">
        <f t="shared" ca="1" si="14"/>
        <v>0</v>
      </c>
      <c r="E168" s="89">
        <f t="shared" ca="1" si="15"/>
        <v>0</v>
      </c>
      <c r="F168" s="89">
        <f t="shared" ca="1" si="15"/>
        <v>0</v>
      </c>
      <c r="G168" s="89">
        <f t="shared" ca="1" si="16"/>
        <v>0</v>
      </c>
      <c r="H168" s="89">
        <f t="shared" ca="1" si="16"/>
        <v>0</v>
      </c>
      <c r="I168" s="89">
        <f t="shared" ca="1" si="16"/>
        <v>0</v>
      </c>
      <c r="J168" s="93"/>
      <c r="K168" s="77"/>
      <c r="L168" s="77"/>
      <c r="M168" s="77"/>
    </row>
    <row r="169" spans="2:13" s="75" customFormat="1" outlineLevel="1">
      <c r="B169" s="88">
        <f>'8.项目规划指标表'!B$11</f>
        <v>0</v>
      </c>
      <c r="C169" s="89">
        <f t="shared" ca="1" si="12"/>
        <v>0</v>
      </c>
      <c r="D169" s="89">
        <f t="shared" ca="1" si="14"/>
        <v>0</v>
      </c>
      <c r="E169" s="89">
        <f t="shared" ca="1" si="15"/>
        <v>0</v>
      </c>
      <c r="F169" s="89">
        <f t="shared" ca="1" si="15"/>
        <v>0</v>
      </c>
      <c r="G169" s="89">
        <f t="shared" ca="1" si="16"/>
        <v>0</v>
      </c>
      <c r="H169" s="89">
        <f t="shared" ca="1" si="16"/>
        <v>0</v>
      </c>
      <c r="I169" s="89">
        <f t="shared" ca="1" si="16"/>
        <v>0</v>
      </c>
      <c r="J169" s="93"/>
      <c r="K169" s="77"/>
      <c r="L169" s="77"/>
      <c r="M169" s="77"/>
    </row>
    <row r="170" spans="2:13" s="75" customFormat="1" outlineLevel="1">
      <c r="B170" s="88">
        <f>'8.项目规划指标表'!B$12</f>
        <v>0</v>
      </c>
      <c r="C170" s="89">
        <f t="shared" ca="1" si="12"/>
        <v>0</v>
      </c>
      <c r="D170" s="89">
        <f t="shared" ca="1" si="14"/>
        <v>0</v>
      </c>
      <c r="E170" s="89">
        <f t="shared" ca="1" si="15"/>
        <v>0</v>
      </c>
      <c r="F170" s="89">
        <f t="shared" ca="1" si="15"/>
        <v>0</v>
      </c>
      <c r="G170" s="89">
        <f t="shared" ca="1" si="16"/>
        <v>0</v>
      </c>
      <c r="H170" s="89">
        <f t="shared" ca="1" si="16"/>
        <v>0</v>
      </c>
      <c r="I170" s="89">
        <f t="shared" ca="1" si="16"/>
        <v>0</v>
      </c>
      <c r="J170" s="93"/>
      <c r="K170" s="77"/>
      <c r="L170" s="77"/>
      <c r="M170" s="77"/>
    </row>
    <row r="171" spans="2:13" s="75" customFormat="1" outlineLevel="1">
      <c r="B171" s="88">
        <f>'8.项目规划指标表'!B$13</f>
        <v>0</v>
      </c>
      <c r="C171" s="89">
        <f t="shared" ca="1" si="12"/>
        <v>0</v>
      </c>
      <c r="D171" s="89">
        <f t="shared" ca="1" si="14"/>
        <v>0</v>
      </c>
      <c r="E171" s="89">
        <f t="shared" ca="1" si="15"/>
        <v>0</v>
      </c>
      <c r="F171" s="89">
        <f t="shared" ca="1" si="15"/>
        <v>0</v>
      </c>
      <c r="G171" s="89">
        <f t="shared" ca="1" si="16"/>
        <v>0</v>
      </c>
      <c r="H171" s="89">
        <f t="shared" ca="1" si="16"/>
        <v>0</v>
      </c>
      <c r="I171" s="89">
        <f t="shared" ca="1" si="16"/>
        <v>0</v>
      </c>
      <c r="J171" s="93"/>
      <c r="K171" s="77"/>
      <c r="L171" s="77"/>
      <c r="M171" s="77"/>
    </row>
    <row r="172" spans="2:13" s="75" customFormat="1" outlineLevel="1">
      <c r="B172" s="88" t="str">
        <f>'8.项目规划指标表'!B$14</f>
        <v>自持物业</v>
      </c>
      <c r="C172" s="89"/>
      <c r="D172" s="89"/>
      <c r="E172" s="89"/>
      <c r="F172" s="89"/>
      <c r="G172" s="89"/>
      <c r="H172" s="89"/>
      <c r="I172" s="89"/>
      <c r="J172" s="93"/>
      <c r="K172" s="77"/>
      <c r="L172" s="77"/>
      <c r="M172" s="77"/>
    </row>
    <row r="173" spans="2:13" s="75" customFormat="1" outlineLevel="1">
      <c r="B173" s="88" t="str">
        <f>'8.项目规划指标表'!B$18</f>
        <v>有产权车库(个)</v>
      </c>
      <c r="C173" s="89">
        <f t="shared" ca="1" si="12"/>
        <v>15.811879528056783</v>
      </c>
      <c r="D173" s="89">
        <f t="shared" ca="1" si="14"/>
        <v>15.811879528056783</v>
      </c>
      <c r="E173" s="89">
        <f t="shared" ca="1" si="15"/>
        <v>0</v>
      </c>
      <c r="F173" s="89">
        <f t="shared" ca="1" si="15"/>
        <v>0</v>
      </c>
      <c r="G173" s="89">
        <f t="shared" ca="1" si="16"/>
        <v>0</v>
      </c>
      <c r="H173" s="89">
        <f t="shared" ca="1" si="16"/>
        <v>0</v>
      </c>
      <c r="I173" s="89">
        <f t="shared" ca="1" si="16"/>
        <v>0</v>
      </c>
      <c r="J173" s="93"/>
      <c r="K173" s="77"/>
      <c r="L173" s="77"/>
      <c r="M173" s="77"/>
    </row>
    <row r="174" spans="2:13" s="75" customFormat="1" outlineLevel="1">
      <c r="B174" s="88" t="str">
        <f>'8.项目规划指标表'!B$19</f>
        <v>无产权车库(个)</v>
      </c>
      <c r="C174" s="89">
        <f t="shared" ca="1" si="12"/>
        <v>0</v>
      </c>
      <c r="D174" s="89">
        <f t="shared" ca="1" si="14"/>
        <v>0</v>
      </c>
      <c r="E174" s="89">
        <f t="shared" ca="1" si="15"/>
        <v>0</v>
      </c>
      <c r="F174" s="89">
        <f t="shared" ca="1" si="15"/>
        <v>0</v>
      </c>
      <c r="G174" s="89">
        <f t="shared" ca="1" si="16"/>
        <v>0</v>
      </c>
      <c r="H174" s="89">
        <f t="shared" ca="1" si="16"/>
        <v>0</v>
      </c>
      <c r="I174" s="89">
        <f t="shared" ca="1" si="16"/>
        <v>0</v>
      </c>
      <c r="J174" s="93"/>
      <c r="K174" s="77"/>
      <c r="L174" s="77"/>
      <c r="M174" s="77"/>
    </row>
    <row r="175" spans="2:13" s="75" customFormat="1" ht="14.25" customHeight="1">
      <c r="B175" s="1107" t="s">
        <v>164</v>
      </c>
      <c r="C175" s="89">
        <f t="shared" si="12"/>
        <v>0</v>
      </c>
      <c r="D175" s="1104"/>
      <c r="E175" s="1104"/>
      <c r="F175" s="1104"/>
      <c r="G175" s="1104"/>
      <c r="H175" s="1104"/>
      <c r="I175" s="1104"/>
      <c r="J175" s="93">
        <f>SUM(C176:C187)-C175</f>
        <v>0</v>
      </c>
      <c r="K175" s="77"/>
      <c r="L175" s="77"/>
      <c r="M175" s="77"/>
    </row>
    <row r="176" spans="2:13" s="75" customFormat="1" ht="12" customHeight="1" outlineLevel="1">
      <c r="B176" s="88" t="str">
        <f>'8.项目规划指标表'!B$5</f>
        <v>高层</v>
      </c>
      <c r="C176" s="89">
        <f t="shared" si="12"/>
        <v>0</v>
      </c>
      <c r="D176" s="89"/>
      <c r="E176" s="89"/>
      <c r="F176" s="89"/>
      <c r="G176" s="89"/>
      <c r="H176" s="89"/>
      <c r="I176" s="89"/>
      <c r="J176" s="93"/>
      <c r="K176" s="77"/>
      <c r="L176" s="77"/>
      <c r="M176" s="77"/>
    </row>
    <row r="177" spans="2:13" s="75" customFormat="1" outlineLevel="1">
      <c r="B177" s="88" t="str">
        <f>'8.项目规划指标表'!B$6</f>
        <v>商铺</v>
      </c>
      <c r="C177" s="89">
        <f t="shared" si="12"/>
        <v>0</v>
      </c>
      <c r="D177" s="89"/>
      <c r="E177" s="89"/>
      <c r="F177" s="89"/>
      <c r="G177" s="89"/>
      <c r="H177" s="89"/>
      <c r="I177" s="89"/>
      <c r="J177" s="93"/>
      <c r="K177" s="77"/>
      <c r="L177" s="77"/>
      <c r="M177" s="77"/>
    </row>
    <row r="178" spans="2:13" s="75" customFormat="1" outlineLevel="1">
      <c r="B178" s="88" t="str">
        <f>'8.项目规划指标表'!B$7</f>
        <v>回迁商业</v>
      </c>
      <c r="C178" s="89">
        <f t="shared" si="12"/>
        <v>0</v>
      </c>
      <c r="D178" s="89"/>
      <c r="E178" s="89"/>
      <c r="F178" s="89"/>
      <c r="G178" s="89"/>
      <c r="H178" s="89"/>
      <c r="I178" s="89"/>
      <c r="J178" s="93"/>
      <c r="K178" s="77"/>
      <c r="L178" s="77"/>
      <c r="M178" s="77"/>
    </row>
    <row r="179" spans="2:13" s="75" customFormat="1" outlineLevel="1">
      <c r="B179" s="88">
        <f>'8.项目规划指标表'!B$8</f>
        <v>0</v>
      </c>
      <c r="C179" s="89">
        <f t="shared" si="12"/>
        <v>0</v>
      </c>
      <c r="D179" s="89"/>
      <c r="E179" s="89"/>
      <c r="F179" s="89"/>
      <c r="G179" s="89"/>
      <c r="H179" s="89"/>
      <c r="I179" s="89"/>
      <c r="J179" s="93"/>
      <c r="K179" s="77"/>
      <c r="L179" s="77"/>
      <c r="M179" s="77"/>
    </row>
    <row r="180" spans="2:13" s="75" customFormat="1" outlineLevel="1">
      <c r="B180" s="88">
        <f>'8.项目规划指标表'!B$9</f>
        <v>0</v>
      </c>
      <c r="C180" s="89">
        <f t="shared" si="12"/>
        <v>0</v>
      </c>
      <c r="D180" s="89"/>
      <c r="E180" s="89"/>
      <c r="F180" s="89"/>
      <c r="G180" s="89"/>
      <c r="H180" s="89"/>
      <c r="I180" s="89"/>
      <c r="J180" s="93"/>
      <c r="K180" s="77"/>
      <c r="L180" s="77"/>
      <c r="M180" s="77"/>
    </row>
    <row r="181" spans="2:13" s="75" customFormat="1" outlineLevel="1">
      <c r="B181" s="88">
        <f>'8.项目规划指标表'!B$10</f>
        <v>0</v>
      </c>
      <c r="C181" s="89">
        <f t="shared" si="12"/>
        <v>0</v>
      </c>
      <c r="D181" s="89"/>
      <c r="E181" s="89"/>
      <c r="F181" s="89"/>
      <c r="G181" s="89"/>
      <c r="H181" s="89"/>
      <c r="I181" s="89"/>
      <c r="J181" s="93"/>
      <c r="K181" s="77"/>
      <c r="L181" s="77"/>
      <c r="M181" s="77"/>
    </row>
    <row r="182" spans="2:13" s="75" customFormat="1" outlineLevel="1">
      <c r="B182" s="88">
        <f>'8.项目规划指标表'!B$11</f>
        <v>0</v>
      </c>
      <c r="C182" s="89">
        <f t="shared" si="12"/>
        <v>0</v>
      </c>
      <c r="D182" s="89"/>
      <c r="E182" s="89"/>
      <c r="F182" s="89"/>
      <c r="G182" s="89"/>
      <c r="H182" s="89"/>
      <c r="I182" s="89"/>
      <c r="J182" s="93"/>
      <c r="K182" s="77"/>
      <c r="L182" s="77"/>
      <c r="M182" s="77"/>
    </row>
    <row r="183" spans="2:13" s="75" customFormat="1" outlineLevel="1">
      <c r="B183" s="88">
        <f>'8.项目规划指标表'!B$12</f>
        <v>0</v>
      </c>
      <c r="C183" s="89">
        <f t="shared" si="12"/>
        <v>0</v>
      </c>
      <c r="D183" s="89"/>
      <c r="E183" s="89"/>
      <c r="F183" s="89"/>
      <c r="G183" s="89"/>
      <c r="H183" s="89"/>
      <c r="I183" s="89"/>
      <c r="J183" s="93"/>
      <c r="K183" s="77"/>
      <c r="L183" s="77"/>
      <c r="M183" s="77"/>
    </row>
    <row r="184" spans="2:13" s="75" customFormat="1" outlineLevel="1">
      <c r="B184" s="88">
        <f>'8.项目规划指标表'!B$13</f>
        <v>0</v>
      </c>
      <c r="C184" s="89">
        <f t="shared" si="12"/>
        <v>0</v>
      </c>
      <c r="D184" s="89"/>
      <c r="E184" s="89"/>
      <c r="F184" s="89"/>
      <c r="G184" s="89"/>
      <c r="H184" s="89"/>
      <c r="I184" s="89"/>
      <c r="J184" s="93"/>
      <c r="K184" s="77"/>
      <c r="L184" s="77"/>
      <c r="M184" s="77"/>
    </row>
    <row r="185" spans="2:13" s="75" customFormat="1" outlineLevel="1">
      <c r="B185" s="88" t="str">
        <f>'8.项目规划指标表'!B$14</f>
        <v>自持物业</v>
      </c>
      <c r="C185" s="89">
        <f t="shared" si="12"/>
        <v>0</v>
      </c>
      <c r="D185" s="89"/>
      <c r="E185" s="89"/>
      <c r="F185" s="89"/>
      <c r="G185" s="89"/>
      <c r="H185" s="89"/>
      <c r="I185" s="89"/>
      <c r="J185" s="93"/>
      <c r="K185" s="77"/>
      <c r="L185" s="77"/>
      <c r="M185" s="77"/>
    </row>
    <row r="186" spans="2:13" s="75" customFormat="1" outlineLevel="1">
      <c r="B186" s="88" t="str">
        <f>'8.项目规划指标表'!B$18</f>
        <v>有产权车库(个)</v>
      </c>
      <c r="C186" s="89">
        <f t="shared" si="12"/>
        <v>0</v>
      </c>
      <c r="D186" s="89"/>
      <c r="E186" s="89"/>
      <c r="F186" s="89"/>
      <c r="G186" s="89"/>
      <c r="H186" s="89"/>
      <c r="I186" s="89"/>
      <c r="J186" s="93"/>
      <c r="K186" s="77"/>
      <c r="L186" s="77"/>
      <c r="M186" s="77"/>
    </row>
    <row r="187" spans="2:13" s="75" customFormat="1" outlineLevel="1">
      <c r="B187" s="88" t="str">
        <f>'8.项目规划指标表'!B$19</f>
        <v>无产权车库(个)</v>
      </c>
      <c r="C187" s="89">
        <f t="shared" si="12"/>
        <v>0</v>
      </c>
      <c r="D187" s="89"/>
      <c r="E187" s="89"/>
      <c r="F187" s="89"/>
      <c r="G187" s="89"/>
      <c r="H187" s="89"/>
      <c r="I187" s="89"/>
      <c r="J187" s="93"/>
      <c r="K187" s="77"/>
      <c r="L187" s="77"/>
      <c r="M187" s="77"/>
    </row>
    <row r="188" spans="2:13" s="75" customFormat="1" ht="14.25" customHeight="1">
      <c r="B188" s="100" t="s">
        <v>225</v>
      </c>
      <c r="C188" s="101">
        <f t="shared" ca="1" si="12"/>
        <v>25926.204836545745</v>
      </c>
      <c r="D188" s="109">
        <f ca="1">SUM(D189:D200)</f>
        <v>25926.204836545745</v>
      </c>
      <c r="E188" s="109">
        <f t="shared" ref="E188:I200" ca="1" si="17">E123+E136</f>
        <v>0</v>
      </c>
      <c r="F188" s="109">
        <f t="shared" ca="1" si="17"/>
        <v>0</v>
      </c>
      <c r="G188" s="109">
        <f ca="1">G123+G136</f>
        <v>0</v>
      </c>
      <c r="H188" s="109">
        <f t="shared" ca="1" si="17"/>
        <v>0</v>
      </c>
      <c r="I188" s="109">
        <f t="shared" ca="1" si="17"/>
        <v>0</v>
      </c>
      <c r="J188" s="93">
        <f ca="1">SUM(C189:C200)-C188</f>
        <v>0</v>
      </c>
      <c r="K188" s="77"/>
      <c r="L188" s="77"/>
      <c r="M188" s="77"/>
    </row>
    <row r="189" spans="2:13" s="75" customFormat="1" ht="12" customHeight="1" outlineLevel="1">
      <c r="B189" s="88" t="str">
        <f>'8.项目规划指标表'!B$5</f>
        <v>高层</v>
      </c>
      <c r="C189" s="89">
        <f t="shared" ca="1" si="12"/>
        <v>16800.655828833176</v>
      </c>
      <c r="D189" s="89">
        <f ca="1">D124+D137</f>
        <v>16800.655828833176</v>
      </c>
      <c r="E189" s="89">
        <f t="shared" ca="1" si="17"/>
        <v>0</v>
      </c>
      <c r="F189" s="89">
        <f t="shared" ca="1" si="17"/>
        <v>0</v>
      </c>
      <c r="G189" s="89">
        <f t="shared" ca="1" si="17"/>
        <v>0</v>
      </c>
      <c r="H189" s="89">
        <f t="shared" ca="1" si="17"/>
        <v>0</v>
      </c>
      <c r="I189" s="89">
        <f t="shared" ca="1" si="17"/>
        <v>0</v>
      </c>
      <c r="J189" s="93"/>
      <c r="K189" s="77"/>
      <c r="L189" s="77"/>
      <c r="M189" s="77"/>
    </row>
    <row r="190" spans="2:13" s="75" customFormat="1" outlineLevel="1">
      <c r="B190" s="88" t="str">
        <f>'8.项目规划指标表'!B$6</f>
        <v>商铺</v>
      </c>
      <c r="C190" s="89">
        <f t="shared" ca="1" si="12"/>
        <v>9130.7665672412713</v>
      </c>
      <c r="D190" s="89">
        <f t="shared" ref="D190:D200" ca="1" si="18">D125+D138</f>
        <v>9130.7665672412713</v>
      </c>
      <c r="E190" s="89">
        <f t="shared" ca="1" si="17"/>
        <v>0</v>
      </c>
      <c r="F190" s="89">
        <f t="shared" ca="1" si="17"/>
        <v>0</v>
      </c>
      <c r="G190" s="89">
        <f t="shared" ca="1" si="17"/>
        <v>0</v>
      </c>
      <c r="H190" s="89">
        <f t="shared" ca="1" si="17"/>
        <v>0</v>
      </c>
      <c r="I190" s="89">
        <f t="shared" ca="1" si="17"/>
        <v>0</v>
      </c>
      <c r="J190" s="93"/>
      <c r="K190" s="77"/>
      <c r="L190" s="77"/>
      <c r="M190" s="77"/>
    </row>
    <row r="191" spans="2:13" s="75" customFormat="1" outlineLevel="1">
      <c r="B191" s="88" t="str">
        <f>'8.项目规划指标表'!B$7</f>
        <v>回迁商业</v>
      </c>
      <c r="C191" s="89">
        <f t="shared" ca="1" si="12"/>
        <v>0</v>
      </c>
      <c r="D191" s="89">
        <f t="shared" ca="1" si="18"/>
        <v>0</v>
      </c>
      <c r="E191" s="89">
        <f t="shared" ca="1" si="17"/>
        <v>0</v>
      </c>
      <c r="F191" s="89">
        <f t="shared" ca="1" si="17"/>
        <v>0</v>
      </c>
      <c r="G191" s="89">
        <f t="shared" ca="1" si="17"/>
        <v>0</v>
      </c>
      <c r="H191" s="89">
        <f t="shared" ca="1" si="17"/>
        <v>0</v>
      </c>
      <c r="I191" s="89">
        <f t="shared" ca="1" si="17"/>
        <v>0</v>
      </c>
      <c r="J191" s="93"/>
      <c r="K191" s="77"/>
      <c r="L191" s="77"/>
      <c r="M191" s="77"/>
    </row>
    <row r="192" spans="2:13" s="75" customFormat="1" outlineLevel="1">
      <c r="B192" s="88">
        <f>'8.项目规划指标表'!B$8</f>
        <v>0</v>
      </c>
      <c r="C192" s="89">
        <f t="shared" ca="1" si="12"/>
        <v>0</v>
      </c>
      <c r="D192" s="89">
        <f t="shared" ca="1" si="18"/>
        <v>0</v>
      </c>
      <c r="E192" s="89">
        <f t="shared" ca="1" si="17"/>
        <v>0</v>
      </c>
      <c r="F192" s="89">
        <f t="shared" ca="1" si="17"/>
        <v>0</v>
      </c>
      <c r="G192" s="89">
        <f t="shared" ca="1" si="17"/>
        <v>0</v>
      </c>
      <c r="H192" s="89">
        <f t="shared" ca="1" si="17"/>
        <v>0</v>
      </c>
      <c r="I192" s="89">
        <f t="shared" ca="1" si="17"/>
        <v>0</v>
      </c>
      <c r="J192" s="93"/>
      <c r="K192" s="77"/>
      <c r="L192" s="77"/>
      <c r="M192" s="77"/>
    </row>
    <row r="193" spans="2:13" s="75" customFormat="1" outlineLevel="1">
      <c r="B193" s="88">
        <f>'8.项目规划指标表'!B$9</f>
        <v>0</v>
      </c>
      <c r="C193" s="89">
        <f t="shared" ca="1" si="12"/>
        <v>0</v>
      </c>
      <c r="D193" s="89">
        <f t="shared" ca="1" si="18"/>
        <v>0</v>
      </c>
      <c r="E193" s="89">
        <f t="shared" ca="1" si="17"/>
        <v>0</v>
      </c>
      <c r="F193" s="89">
        <f t="shared" ca="1" si="17"/>
        <v>0</v>
      </c>
      <c r="G193" s="89">
        <f t="shared" ca="1" si="17"/>
        <v>0</v>
      </c>
      <c r="H193" s="89">
        <f t="shared" ca="1" si="17"/>
        <v>0</v>
      </c>
      <c r="I193" s="89">
        <f t="shared" ca="1" si="17"/>
        <v>0</v>
      </c>
      <c r="J193" s="93"/>
      <c r="K193" s="77"/>
      <c r="L193" s="77"/>
      <c r="M193" s="77"/>
    </row>
    <row r="194" spans="2:13" s="75" customFormat="1" outlineLevel="1">
      <c r="B194" s="88">
        <f>'8.项目规划指标表'!B$10</f>
        <v>0</v>
      </c>
      <c r="C194" s="89">
        <f t="shared" ca="1" si="12"/>
        <v>0</v>
      </c>
      <c r="D194" s="89">
        <f t="shared" ca="1" si="18"/>
        <v>0</v>
      </c>
      <c r="E194" s="89">
        <f t="shared" ca="1" si="17"/>
        <v>0</v>
      </c>
      <c r="F194" s="89">
        <f t="shared" ca="1" si="17"/>
        <v>0</v>
      </c>
      <c r="G194" s="89">
        <f t="shared" ca="1" si="17"/>
        <v>0</v>
      </c>
      <c r="H194" s="89">
        <f t="shared" ca="1" si="17"/>
        <v>0</v>
      </c>
      <c r="I194" s="89">
        <f t="shared" ca="1" si="17"/>
        <v>0</v>
      </c>
      <c r="J194" s="93"/>
      <c r="K194" s="77"/>
      <c r="L194" s="77"/>
      <c r="M194" s="77"/>
    </row>
    <row r="195" spans="2:13" s="75" customFormat="1" outlineLevel="1">
      <c r="B195" s="88">
        <f>'8.项目规划指标表'!B$11</f>
        <v>0</v>
      </c>
      <c r="C195" s="89">
        <f t="shared" ca="1" si="12"/>
        <v>0</v>
      </c>
      <c r="D195" s="89">
        <f t="shared" ca="1" si="18"/>
        <v>0</v>
      </c>
      <c r="E195" s="89">
        <f t="shared" ca="1" si="17"/>
        <v>0</v>
      </c>
      <c r="F195" s="89">
        <f t="shared" ca="1" si="17"/>
        <v>0</v>
      </c>
      <c r="G195" s="89">
        <f t="shared" ca="1" si="17"/>
        <v>0</v>
      </c>
      <c r="H195" s="89">
        <f t="shared" ca="1" si="17"/>
        <v>0</v>
      </c>
      <c r="I195" s="89">
        <f t="shared" ca="1" si="17"/>
        <v>0</v>
      </c>
      <c r="J195" s="93"/>
      <c r="K195" s="77"/>
      <c r="L195" s="77"/>
      <c r="M195" s="77"/>
    </row>
    <row r="196" spans="2:13" s="75" customFormat="1" outlineLevel="1">
      <c r="B196" s="88">
        <f>'8.项目规划指标表'!B$12</f>
        <v>0</v>
      </c>
      <c r="C196" s="89">
        <f t="shared" ca="1" si="12"/>
        <v>0</v>
      </c>
      <c r="D196" s="89">
        <f t="shared" ca="1" si="18"/>
        <v>0</v>
      </c>
      <c r="E196" s="89">
        <f t="shared" ca="1" si="17"/>
        <v>0</v>
      </c>
      <c r="F196" s="89">
        <f t="shared" ca="1" si="17"/>
        <v>0</v>
      </c>
      <c r="G196" s="89">
        <f t="shared" ca="1" si="17"/>
        <v>0</v>
      </c>
      <c r="H196" s="89">
        <f t="shared" ca="1" si="17"/>
        <v>0</v>
      </c>
      <c r="I196" s="89">
        <f t="shared" ca="1" si="17"/>
        <v>0</v>
      </c>
      <c r="J196" s="93"/>
      <c r="K196" s="77"/>
      <c r="L196" s="77"/>
      <c r="M196" s="77"/>
    </row>
    <row r="197" spans="2:13" s="75" customFormat="1" outlineLevel="1">
      <c r="B197" s="88">
        <f>'8.项目规划指标表'!B$13</f>
        <v>0</v>
      </c>
      <c r="C197" s="89">
        <f t="shared" ca="1" si="12"/>
        <v>0</v>
      </c>
      <c r="D197" s="89">
        <f t="shared" ca="1" si="18"/>
        <v>0</v>
      </c>
      <c r="E197" s="89">
        <f t="shared" ca="1" si="17"/>
        <v>0</v>
      </c>
      <c r="F197" s="89">
        <f t="shared" ca="1" si="17"/>
        <v>0</v>
      </c>
      <c r="G197" s="89">
        <f t="shared" ca="1" si="17"/>
        <v>0</v>
      </c>
      <c r="H197" s="89">
        <f t="shared" ca="1" si="17"/>
        <v>0</v>
      </c>
      <c r="I197" s="89">
        <f t="shared" ca="1" si="17"/>
        <v>0</v>
      </c>
      <c r="J197" s="93"/>
      <c r="K197" s="77"/>
      <c r="L197" s="77"/>
      <c r="M197" s="77"/>
    </row>
    <row r="198" spans="2:13" s="75" customFormat="1" outlineLevel="1">
      <c r="B198" s="88" t="str">
        <f>'8.项目规划指标表'!B$14</f>
        <v>自持物业</v>
      </c>
      <c r="C198" s="89">
        <f t="shared" si="12"/>
        <v>0</v>
      </c>
      <c r="D198" s="89"/>
      <c r="E198" s="89"/>
      <c r="F198" s="89"/>
      <c r="G198" s="89"/>
      <c r="H198" s="89"/>
      <c r="I198" s="89"/>
      <c r="J198" s="93"/>
      <c r="K198" s="77"/>
      <c r="L198" s="77"/>
      <c r="M198" s="77"/>
    </row>
    <row r="199" spans="2:13" s="75" customFormat="1" outlineLevel="1">
      <c r="B199" s="88" t="str">
        <f>'8.项目规划指标表'!B$18</f>
        <v>有产权车库(个)</v>
      </c>
      <c r="C199" s="89">
        <f t="shared" ca="1" si="12"/>
        <v>-5.2175595287040739</v>
      </c>
      <c r="D199" s="89">
        <f t="shared" ca="1" si="18"/>
        <v>-5.2175595287040739</v>
      </c>
      <c r="E199" s="89">
        <f ca="1">E134+E147</f>
        <v>0</v>
      </c>
      <c r="F199" s="89">
        <f t="shared" ca="1" si="17"/>
        <v>0</v>
      </c>
      <c r="G199" s="89">
        <f t="shared" ca="1" si="17"/>
        <v>0</v>
      </c>
      <c r="H199" s="89">
        <f t="shared" ca="1" si="17"/>
        <v>0</v>
      </c>
      <c r="I199" s="89">
        <f t="shared" ca="1" si="17"/>
        <v>0</v>
      </c>
      <c r="J199" s="93"/>
      <c r="K199" s="77"/>
      <c r="L199" s="77"/>
      <c r="M199" s="77"/>
    </row>
    <row r="200" spans="2:13" s="75" customFormat="1" outlineLevel="1">
      <c r="B200" s="88" t="str">
        <f>'8.项目规划指标表'!B$19</f>
        <v>无产权车库(个)</v>
      </c>
      <c r="C200" s="89">
        <f t="shared" ca="1" si="12"/>
        <v>0</v>
      </c>
      <c r="D200" s="89">
        <f t="shared" ca="1" si="18"/>
        <v>0</v>
      </c>
      <c r="E200" s="89">
        <f t="shared" ca="1" si="17"/>
        <v>0</v>
      </c>
      <c r="F200" s="89">
        <f t="shared" ca="1" si="17"/>
        <v>0</v>
      </c>
      <c r="G200" s="89">
        <f t="shared" ca="1" si="17"/>
        <v>0</v>
      </c>
      <c r="H200" s="89">
        <f t="shared" ca="1" si="17"/>
        <v>0</v>
      </c>
      <c r="I200" s="89">
        <f t="shared" ca="1" si="17"/>
        <v>0</v>
      </c>
      <c r="J200" s="93"/>
      <c r="K200" s="77"/>
      <c r="L200" s="77"/>
      <c r="M200" s="77"/>
    </row>
    <row r="201" spans="2:13" s="75" customFormat="1" ht="14.25" customHeight="1">
      <c r="B201" s="100" t="s">
        <v>609</v>
      </c>
      <c r="C201" s="101">
        <f t="shared" ca="1" si="12"/>
        <v>6481.5512091364362</v>
      </c>
      <c r="D201" s="101">
        <f ca="1">IF(($C$188&gt;0),D188*'2.税率表'!$D$4,0)</f>
        <v>6481.5512091364362</v>
      </c>
      <c r="E201" s="101">
        <f ca="1">IF(($C$188&gt;0),E188*'2.税率表'!$D$4,0)</f>
        <v>0</v>
      </c>
      <c r="F201" s="101">
        <f ca="1">IF(($C$188&gt;0),F188*'2.税率表'!$D$4,0)</f>
        <v>0</v>
      </c>
      <c r="G201" s="101">
        <f ca="1">IF(($C$188&gt;0),G188*'2.税率表'!$D$4,0)</f>
        <v>0</v>
      </c>
      <c r="H201" s="101">
        <f ca="1">IF(($C$188&gt;0),H188*'2.税率表'!$D$4,0)</f>
        <v>0</v>
      </c>
      <c r="I201" s="101">
        <f ca="1">IF(($C$188&gt;0),I188*'2.税率表'!$D$4,0)</f>
        <v>0</v>
      </c>
      <c r="J201" s="93">
        <f ca="1">SUM(C202:C213)-C201</f>
        <v>0</v>
      </c>
      <c r="K201" s="77"/>
      <c r="L201" s="77"/>
      <c r="M201" s="77"/>
    </row>
    <row r="202" spans="2:13" s="75" customFormat="1" ht="12" customHeight="1" outlineLevel="1">
      <c r="B202" s="88" t="str">
        <f>'8.项目规划指标表'!B$5</f>
        <v>高层</v>
      </c>
      <c r="C202" s="89">
        <f t="shared" ca="1" si="12"/>
        <v>4200.1639572082941</v>
      </c>
      <c r="D202" s="89">
        <f ca="1">IF(($C$188&gt;0),D189*'2.税率表'!$D$4,0)</f>
        <v>4200.1639572082941</v>
      </c>
      <c r="E202" s="89">
        <f ca="1">IF(($C$188&gt;0),E189*'2.税率表'!$D$4,0)</f>
        <v>0</v>
      </c>
      <c r="F202" s="89">
        <f ca="1">IF(($C$188&gt;0),F189*'2.税率表'!$D$4,0)</f>
        <v>0</v>
      </c>
      <c r="G202" s="89">
        <f ca="1">IF(($C$188&gt;0),G189*'2.税率表'!$D$4,0)</f>
        <v>0</v>
      </c>
      <c r="H202" s="89">
        <f ca="1">IF(($C$188&gt;0),H189*'2.税率表'!$D$4,0)</f>
        <v>0</v>
      </c>
      <c r="I202" s="89">
        <f ca="1">IF(($C$188&gt;0),I189*'2.税率表'!$D$4,0)</f>
        <v>0</v>
      </c>
      <c r="J202" s="93"/>
      <c r="K202" s="77"/>
      <c r="L202" s="77"/>
      <c r="M202" s="77"/>
    </row>
    <row r="203" spans="2:13" s="75" customFormat="1" outlineLevel="1">
      <c r="B203" s="88" t="str">
        <f>'8.项目规划指标表'!B$6</f>
        <v>商铺</v>
      </c>
      <c r="C203" s="89">
        <f t="shared" ca="1" si="12"/>
        <v>2282.6916418103178</v>
      </c>
      <c r="D203" s="89">
        <f ca="1">IF(($C$188&gt;0),D190*'2.税率表'!$D$4,0)</f>
        <v>2282.6916418103178</v>
      </c>
      <c r="E203" s="89">
        <f ca="1">IF(($C$188&gt;0),E190*'2.税率表'!$D$4,0)</f>
        <v>0</v>
      </c>
      <c r="F203" s="89">
        <f ca="1">IF(($C$188&gt;0),F190*'2.税率表'!$D$4,0)</f>
        <v>0</v>
      </c>
      <c r="G203" s="89">
        <f ca="1">IF(($C$188&gt;0),G190*'2.税率表'!$D$4,0)</f>
        <v>0</v>
      </c>
      <c r="H203" s="89">
        <f ca="1">IF(($C$188&gt;0),H190*'2.税率表'!$D$4,0)</f>
        <v>0</v>
      </c>
      <c r="I203" s="89">
        <f ca="1">IF(($C$188&gt;0),I190*'2.税率表'!$D$4,0)</f>
        <v>0</v>
      </c>
      <c r="J203" s="93"/>
      <c r="K203" s="77"/>
      <c r="L203" s="77"/>
      <c r="M203" s="77"/>
    </row>
    <row r="204" spans="2:13" s="75" customFormat="1" outlineLevel="1">
      <c r="B204" s="88" t="str">
        <f>'8.项目规划指标表'!B$7</f>
        <v>回迁商业</v>
      </c>
      <c r="C204" s="89">
        <f t="shared" ca="1" si="12"/>
        <v>0</v>
      </c>
      <c r="D204" s="89">
        <f ca="1">IF(($C$188&gt;0),D191*'2.税率表'!$D$4,0)</f>
        <v>0</v>
      </c>
      <c r="E204" s="89">
        <f ca="1">IF(($C$188&gt;0),E191*'2.税率表'!$D$4,0)</f>
        <v>0</v>
      </c>
      <c r="F204" s="89">
        <f ca="1">IF(($C$188&gt;0),F191*'2.税率表'!$D$4,0)</f>
        <v>0</v>
      </c>
      <c r="G204" s="89">
        <f ca="1">IF(($C$188&gt;0),G191*'2.税率表'!$D$4,0)</f>
        <v>0</v>
      </c>
      <c r="H204" s="89">
        <f ca="1">IF(($C$188&gt;0),H191*'2.税率表'!$D$4,0)</f>
        <v>0</v>
      </c>
      <c r="I204" s="89">
        <f ca="1">IF(($C$188&gt;0),I191*'2.税率表'!$D$4,0)</f>
        <v>0</v>
      </c>
      <c r="J204" s="93"/>
      <c r="K204" s="77"/>
      <c r="L204" s="77"/>
      <c r="M204" s="77"/>
    </row>
    <row r="205" spans="2:13" s="75" customFormat="1" outlineLevel="1">
      <c r="B205" s="88">
        <f>'8.项目规划指标表'!B$8</f>
        <v>0</v>
      </c>
      <c r="C205" s="89">
        <f t="shared" ca="1" si="12"/>
        <v>0</v>
      </c>
      <c r="D205" s="89">
        <f ca="1">IF(($C$188&gt;0),D192*'2.税率表'!$D$4,0)</f>
        <v>0</v>
      </c>
      <c r="E205" s="89">
        <f ca="1">IF(($C$188&gt;0),E192*'2.税率表'!$D$4,0)</f>
        <v>0</v>
      </c>
      <c r="F205" s="89">
        <f ca="1">IF(($C$188&gt;0),F192*'2.税率表'!$D$4,0)</f>
        <v>0</v>
      </c>
      <c r="G205" s="89">
        <f ca="1">IF(($C$188&gt;0),G192*'2.税率表'!$D$4,0)</f>
        <v>0</v>
      </c>
      <c r="H205" s="89">
        <f ca="1">IF(($C$188&gt;0),H192*'2.税率表'!$D$4,0)</f>
        <v>0</v>
      </c>
      <c r="I205" s="89">
        <f ca="1">IF(($C$188&gt;0),I192*'2.税率表'!$D$4,0)</f>
        <v>0</v>
      </c>
      <c r="J205" s="93"/>
      <c r="K205" s="77"/>
      <c r="L205" s="77"/>
      <c r="M205" s="77"/>
    </row>
    <row r="206" spans="2:13" s="75" customFormat="1" outlineLevel="1">
      <c r="B206" s="88">
        <f>'8.项目规划指标表'!B$9</f>
        <v>0</v>
      </c>
      <c r="C206" s="89">
        <f t="shared" ca="1" si="12"/>
        <v>0</v>
      </c>
      <c r="D206" s="89">
        <f ca="1">IF(($C$188&gt;0),D193*'2.税率表'!$D$4,0)</f>
        <v>0</v>
      </c>
      <c r="E206" s="89">
        <f ca="1">IF(($C$188&gt;0),E193*'2.税率表'!$D$4,0)</f>
        <v>0</v>
      </c>
      <c r="F206" s="89">
        <f ca="1">IF(($C$188&gt;0),F193*'2.税率表'!$D$4,0)</f>
        <v>0</v>
      </c>
      <c r="G206" s="89">
        <f ca="1">IF(($C$188&gt;0),G193*'2.税率表'!$D$4,0)</f>
        <v>0</v>
      </c>
      <c r="H206" s="89">
        <f ca="1">IF(($C$188&gt;0),H193*'2.税率表'!$D$4,0)</f>
        <v>0</v>
      </c>
      <c r="I206" s="89">
        <f ca="1">IF(($C$188&gt;0),I193*'2.税率表'!$D$4,0)</f>
        <v>0</v>
      </c>
      <c r="J206" s="93"/>
      <c r="K206" s="77"/>
      <c r="L206" s="77"/>
      <c r="M206" s="77"/>
    </row>
    <row r="207" spans="2:13" s="75" customFormat="1" outlineLevel="1">
      <c r="B207" s="88">
        <f>'8.项目规划指标表'!B$10</f>
        <v>0</v>
      </c>
      <c r="C207" s="89">
        <f t="shared" ca="1" si="12"/>
        <v>0</v>
      </c>
      <c r="D207" s="89">
        <f ca="1">IF(($C$188&gt;0),D194*'2.税率表'!$D$4,0)</f>
        <v>0</v>
      </c>
      <c r="E207" s="89">
        <f ca="1">IF(($C$188&gt;0),E194*'2.税率表'!$D$4,0)</f>
        <v>0</v>
      </c>
      <c r="F207" s="89">
        <f ca="1">IF(($C$188&gt;0),F194*'2.税率表'!$D$4,0)</f>
        <v>0</v>
      </c>
      <c r="G207" s="89">
        <f ca="1">IF(($C$188&gt;0),G194*'2.税率表'!$D$4,0)</f>
        <v>0</v>
      </c>
      <c r="H207" s="89">
        <f ca="1">IF(($C$188&gt;0),H194*'2.税率表'!$D$4,0)</f>
        <v>0</v>
      </c>
      <c r="I207" s="89">
        <f ca="1">IF(($C$188&gt;0),I194*'2.税率表'!$D$4,0)</f>
        <v>0</v>
      </c>
      <c r="J207" s="93"/>
      <c r="K207" s="77"/>
      <c r="L207" s="77"/>
      <c r="M207" s="77"/>
    </row>
    <row r="208" spans="2:13" s="75" customFormat="1" outlineLevel="1">
      <c r="B208" s="88">
        <f>'8.项目规划指标表'!B$11</f>
        <v>0</v>
      </c>
      <c r="C208" s="89">
        <f t="shared" ca="1" si="12"/>
        <v>0</v>
      </c>
      <c r="D208" s="89">
        <f ca="1">IF(($C$188&gt;0),D195*'2.税率表'!$D$4,0)</f>
        <v>0</v>
      </c>
      <c r="E208" s="89">
        <f ca="1">IF(($C$188&gt;0),E195*'2.税率表'!$D$4,0)</f>
        <v>0</v>
      </c>
      <c r="F208" s="89">
        <f ca="1">IF(($C$188&gt;0),F195*'2.税率表'!$D$4,0)</f>
        <v>0</v>
      </c>
      <c r="G208" s="89">
        <f ca="1">IF(($C$188&gt;0),G195*'2.税率表'!$D$4,0)</f>
        <v>0</v>
      </c>
      <c r="H208" s="89">
        <f ca="1">IF(($C$188&gt;0),H195*'2.税率表'!$D$4,0)</f>
        <v>0</v>
      </c>
      <c r="I208" s="89">
        <f ca="1">IF(($C$188&gt;0),I195*'2.税率表'!$D$4,0)</f>
        <v>0</v>
      </c>
      <c r="J208" s="93"/>
      <c r="K208" s="77"/>
      <c r="L208" s="77"/>
      <c r="M208" s="77"/>
    </row>
    <row r="209" spans="2:13" s="75" customFormat="1" outlineLevel="1">
      <c r="B209" s="88">
        <f>'8.项目规划指标表'!B$12</f>
        <v>0</v>
      </c>
      <c r="C209" s="89">
        <f t="shared" ca="1" si="12"/>
        <v>0</v>
      </c>
      <c r="D209" s="89">
        <f ca="1">IF(($C$188&gt;0),D196*'2.税率表'!$D$4,0)</f>
        <v>0</v>
      </c>
      <c r="E209" s="89">
        <f ca="1">IF(($C$188&gt;0),E196*'2.税率表'!$D$4,0)</f>
        <v>0</v>
      </c>
      <c r="F209" s="89">
        <f ca="1">IF(($C$188&gt;0),F196*'2.税率表'!$D$4,0)</f>
        <v>0</v>
      </c>
      <c r="G209" s="89">
        <f ca="1">IF(($C$188&gt;0),G196*'2.税率表'!$D$4,0)</f>
        <v>0</v>
      </c>
      <c r="H209" s="89">
        <f ca="1">IF(($C$188&gt;0),H196*'2.税率表'!$D$4,0)</f>
        <v>0</v>
      </c>
      <c r="I209" s="89">
        <f ca="1">IF(($C$188&gt;0),I196*'2.税率表'!$D$4,0)</f>
        <v>0</v>
      </c>
      <c r="J209" s="93"/>
      <c r="K209" s="77"/>
      <c r="L209" s="77"/>
      <c r="M209" s="77"/>
    </row>
    <row r="210" spans="2:13" s="75" customFormat="1" outlineLevel="1">
      <c r="B210" s="88">
        <f>'8.项目规划指标表'!B$13</f>
        <v>0</v>
      </c>
      <c r="C210" s="89">
        <f t="shared" ca="1" si="12"/>
        <v>0</v>
      </c>
      <c r="D210" s="89">
        <f ca="1">IF(($C$188&gt;0),D197*'2.税率表'!$D$4,0)</f>
        <v>0</v>
      </c>
      <c r="E210" s="89">
        <f ca="1">IF(($C$188&gt;0),E197*'2.税率表'!$D$4,0)</f>
        <v>0</v>
      </c>
      <c r="F210" s="89">
        <f ca="1">IF(($C$188&gt;0),F197*'2.税率表'!$D$4,0)</f>
        <v>0</v>
      </c>
      <c r="G210" s="89">
        <f ca="1">IF(($C$188&gt;0),G197*'2.税率表'!$D$4,0)</f>
        <v>0</v>
      </c>
      <c r="H210" s="89">
        <f ca="1">IF(($C$188&gt;0),H197*'2.税率表'!$D$4,0)</f>
        <v>0</v>
      </c>
      <c r="I210" s="89">
        <f ca="1">IF(($C$188&gt;0),I197*'2.税率表'!$D$4,0)</f>
        <v>0</v>
      </c>
      <c r="J210" s="93"/>
      <c r="K210" s="77"/>
      <c r="L210" s="77"/>
      <c r="M210" s="77"/>
    </row>
    <row r="211" spans="2:13" s="75" customFormat="1" outlineLevel="1">
      <c r="B211" s="88" t="str">
        <f>'8.项目规划指标表'!B$14</f>
        <v>自持物业</v>
      </c>
      <c r="C211" s="89">
        <f t="shared" si="12"/>
        <v>0</v>
      </c>
      <c r="D211" s="89"/>
      <c r="E211" s="89"/>
      <c r="F211" s="89"/>
      <c r="G211" s="89"/>
      <c r="H211" s="89"/>
      <c r="I211" s="89"/>
      <c r="J211" s="93"/>
      <c r="K211" s="77"/>
      <c r="L211" s="77"/>
      <c r="M211" s="77"/>
    </row>
    <row r="212" spans="2:13" s="75" customFormat="1" outlineLevel="1">
      <c r="B212" s="88" t="str">
        <f>'8.项目规划指标表'!B$18</f>
        <v>有产权车库(个)</v>
      </c>
      <c r="C212" s="89">
        <f t="shared" ref="C212:C213" ca="1" si="19">SUM(D212:I212)</f>
        <v>-1.3043898821760185</v>
      </c>
      <c r="D212" s="89">
        <f ca="1">IF(($C$188&gt;0),D199*'2.税率表'!$D$4,0)</f>
        <v>-1.3043898821760185</v>
      </c>
      <c r="E212" s="89">
        <f ca="1">IF(($C$188&gt;0),E199*'2.税率表'!$D$4,0)</f>
        <v>0</v>
      </c>
      <c r="F212" s="89">
        <f ca="1">IF(($C$188&gt;0),F199*'2.税率表'!$D$4,0)</f>
        <v>0</v>
      </c>
      <c r="G212" s="89">
        <f ca="1">IF(($C$188&gt;0),G199*'2.税率表'!$D$4,0)</f>
        <v>0</v>
      </c>
      <c r="H212" s="89">
        <f ca="1">IF(($C$188&gt;0),H199*'2.税率表'!$D$4,0)</f>
        <v>0</v>
      </c>
      <c r="I212" s="89">
        <f ca="1">IF(($C$188&gt;0),I199*'2.税率表'!$D$4,0)</f>
        <v>0</v>
      </c>
      <c r="J212" s="93"/>
      <c r="K212" s="77"/>
      <c r="L212" s="77"/>
      <c r="M212" s="77"/>
    </row>
    <row r="213" spans="2:13" s="75" customFormat="1" outlineLevel="1">
      <c r="B213" s="88" t="str">
        <f>'8.项目规划指标表'!B$19</f>
        <v>无产权车库(个)</v>
      </c>
      <c r="C213" s="89">
        <f t="shared" ca="1" si="19"/>
        <v>0</v>
      </c>
      <c r="D213" s="89">
        <f ca="1">IF(($C$188&gt;0),D200*'2.税率表'!$D$4,0)</f>
        <v>0</v>
      </c>
      <c r="E213" s="89">
        <f ca="1">IF(($C$188&gt;0),E200*'2.税率表'!$D$4,0)</f>
        <v>0</v>
      </c>
      <c r="F213" s="89">
        <f ca="1">IF(($C$188&gt;0),F200*'2.税率表'!$D$4,0)</f>
        <v>0</v>
      </c>
      <c r="G213" s="89">
        <f ca="1">IF(($C$188&gt;0),G200*'2.税率表'!$D$4,0)</f>
        <v>0</v>
      </c>
      <c r="H213" s="89">
        <f ca="1">IF(($C$188&gt;0),H200*'2.税率表'!$D$4,0)</f>
        <v>0</v>
      </c>
      <c r="I213" s="89">
        <f ca="1">IF(($C$188&gt;0),I200*'2.税率表'!$D$4,0)</f>
        <v>0</v>
      </c>
      <c r="J213" s="93"/>
      <c r="K213" s="77"/>
      <c r="L213" s="77"/>
      <c r="M213" s="77"/>
    </row>
    <row r="214" spans="2:13" s="76" customFormat="1">
      <c r="B214" s="111" t="s">
        <v>553</v>
      </c>
      <c r="C214" s="112">
        <f>C32-'14.增值税计算表'!D354-'14.增值税计算表'!D365</f>
        <v>0</v>
      </c>
      <c r="D214" s="113">
        <f t="shared" ref="D214:I214" ca="1" si="20">IFERROR((D6-D19-D97-D32+D149)/D6,0)</f>
        <v>0.42150531286509446</v>
      </c>
      <c r="E214" s="113">
        <f t="shared" ca="1" si="20"/>
        <v>0</v>
      </c>
      <c r="F214" s="113">
        <f t="shared" ca="1" si="20"/>
        <v>0</v>
      </c>
      <c r="G214" s="113">
        <f t="shared" ca="1" si="20"/>
        <v>0</v>
      </c>
      <c r="H214" s="113">
        <f t="shared" ca="1" si="20"/>
        <v>0</v>
      </c>
      <c r="I214" s="113">
        <f t="shared" ca="1" si="20"/>
        <v>0</v>
      </c>
    </row>
    <row r="215" spans="2:13">
      <c r="D215" s="1108"/>
      <c r="E215" s="690"/>
      <c r="F215" s="690"/>
      <c r="G215" s="690"/>
      <c r="H215" s="690"/>
      <c r="I215" s="690"/>
    </row>
  </sheetData>
  <phoneticPr fontId="102" type="noConversion"/>
  <hyperlinks>
    <hyperlink ref="D1" location="目录!A1" display="返回目录"/>
  </hyperlinks>
  <pageMargins left="0.69930555555555596" right="0.69930555555555596"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outlinePr summaryBelow="0" summaryRight="0"/>
  </sheetPr>
  <dimension ref="A1:S150"/>
  <sheetViews>
    <sheetView showGridLines="0" workbookViewId="0">
      <pane xSplit="2" ySplit="4" topLeftCell="D84" activePane="bottomRight" state="frozen"/>
      <selection pane="topRight"/>
      <selection pane="bottomLeft"/>
      <selection pane="bottomRight" activeCell="K99" sqref="K99"/>
    </sheetView>
  </sheetViews>
  <sheetFormatPr defaultColWidth="9" defaultRowHeight="12.75" outlineLevelRow="2"/>
  <cols>
    <col min="1" max="1" width="2.25" style="425" customWidth="1"/>
    <col min="2" max="2" width="30.875" style="425" customWidth="1"/>
    <col min="3" max="5" width="10.625" style="425" customWidth="1"/>
    <col min="6" max="6" width="10.625" style="426" customWidth="1"/>
    <col min="7" max="7" width="10.75" style="426" customWidth="1"/>
    <col min="8" max="8" width="10.5" style="426" customWidth="1"/>
    <col min="9" max="11" width="10.125" style="426" customWidth="1"/>
    <col min="12" max="12" width="9" style="426"/>
    <col min="13" max="13" width="11" style="426" customWidth="1"/>
    <col min="14" max="16384" width="9" style="426"/>
  </cols>
  <sheetData>
    <row r="1" spans="1:12" ht="22.5">
      <c r="A1" s="576"/>
      <c r="B1" s="977" t="str">
        <f>"项目"&amp;'1.参数设置'!E4&amp;"综合指标表"</f>
        <v>项目拿地阶段综合指标表</v>
      </c>
      <c r="C1" s="576"/>
      <c r="D1" s="353" t="s">
        <v>117</v>
      </c>
      <c r="E1" s="576"/>
      <c r="F1" s="576"/>
      <c r="G1" s="576"/>
      <c r="H1" s="576"/>
      <c r="I1" s="576"/>
      <c r="J1" s="576"/>
      <c r="K1" s="576"/>
      <c r="L1" s="78"/>
    </row>
    <row r="2" spans="1:12">
      <c r="A2" s="85"/>
      <c r="B2" s="428" t="s">
        <v>533</v>
      </c>
      <c r="C2" s="978"/>
      <c r="D2" s="978"/>
      <c r="E2" s="978"/>
      <c r="F2" s="429" t="s">
        <v>629</v>
      </c>
      <c r="G2" s="1873">
        <f>'1.参数设置'!E2</f>
        <v>43210</v>
      </c>
      <c r="H2" s="1873"/>
      <c r="I2" s="426">
        <f ca="1">'5.分产品利润表'!P$10+'5.分产品利润表'!P$13+'5.分产品利润表'!P$14+'5.分产品利润表'!P$15</f>
        <v>15018.186375941921</v>
      </c>
      <c r="J2" s="426">
        <f ca="1">'5.分产品利润表'!B$10+'5.分产品利润表'!B$13+'5.分产品利润表'!B$14+'5.分产品利润表'!B$15</f>
        <v>15703.876027021633</v>
      </c>
      <c r="K2" s="78"/>
      <c r="L2" s="78"/>
    </row>
    <row r="3" spans="1:12" ht="17.25" customHeight="1">
      <c r="A3" s="979"/>
      <c r="B3" s="980" t="s">
        <v>630</v>
      </c>
      <c r="C3" s="334" t="s">
        <v>631</v>
      </c>
      <c r="D3" s="334" t="s">
        <v>632</v>
      </c>
      <c r="E3" s="334" t="s">
        <v>633</v>
      </c>
      <c r="F3" s="981" t="s">
        <v>634</v>
      </c>
      <c r="G3" s="334" t="s">
        <v>19</v>
      </c>
      <c r="H3" s="982" t="s">
        <v>20</v>
      </c>
      <c r="I3" s="982" t="s">
        <v>21</v>
      </c>
      <c r="J3" s="334" t="s">
        <v>22</v>
      </c>
      <c r="K3" s="334" t="s">
        <v>23</v>
      </c>
      <c r="L3" s="334" t="s">
        <v>24</v>
      </c>
    </row>
    <row r="4" spans="1:12" ht="14.25">
      <c r="A4" s="983"/>
      <c r="B4" s="984" t="s">
        <v>8</v>
      </c>
      <c r="C4" s="1874"/>
      <c r="D4" s="1874"/>
      <c r="E4" s="1874"/>
      <c r="F4" s="1874"/>
      <c r="G4" s="1874"/>
      <c r="H4" s="1874"/>
      <c r="I4" s="1874"/>
      <c r="J4" s="1874"/>
      <c r="K4" s="1874"/>
      <c r="L4" s="1874"/>
    </row>
    <row r="5" spans="1:12" ht="14.25">
      <c r="A5" s="985"/>
      <c r="B5" s="986" t="s">
        <v>635</v>
      </c>
      <c r="C5" s="987">
        <f>F5</f>
        <v>0</v>
      </c>
      <c r="D5" s="988"/>
      <c r="E5" s="989"/>
      <c r="F5" s="990">
        <f>'7.现金流量表'!D64</f>
        <v>0</v>
      </c>
      <c r="G5" s="991"/>
      <c r="H5" s="992"/>
      <c r="I5" s="992"/>
      <c r="J5" s="992"/>
      <c r="K5" s="992"/>
      <c r="L5" s="1051"/>
    </row>
    <row r="6" spans="1:12" ht="14.25">
      <c r="A6" s="985"/>
      <c r="B6" s="986" t="s">
        <v>636</v>
      </c>
      <c r="C6" s="987">
        <f ca="1">F6</f>
        <v>9300</v>
      </c>
      <c r="D6" s="988"/>
      <c r="E6" s="989"/>
      <c r="F6" s="990">
        <f ca="1">'7.现金流量表'!D65</f>
        <v>9300</v>
      </c>
      <c r="G6" s="991"/>
      <c r="H6" s="992"/>
      <c r="I6" s="992"/>
      <c r="J6" s="992"/>
      <c r="K6" s="992"/>
      <c r="L6" s="1051"/>
    </row>
    <row r="7" spans="1:12" ht="14.25" hidden="1">
      <c r="A7" s="985"/>
      <c r="B7" s="986" t="s">
        <v>637</v>
      </c>
      <c r="C7" s="987">
        <f ca="1">C10/SUM('5.分产品利润表'!B7,'5.分产品利润表'!B8,'5.分产品利润表'!B10,'5.分产品利润表'!B13,'5.分产品利润表'!B14,'5.分产品利润表'!B15,'5.分产品利润表'!B16,'5.分产品利润表'!B17,'5.分产品利润表'!B18,'5.分产品利润表'!B19)</f>
        <v>0.25959823678349397</v>
      </c>
      <c r="D7" s="988"/>
      <c r="E7" s="989"/>
      <c r="F7" s="990">
        <f ca="1">C10/SUM('5.分产品利润表'!B7,'5.分产品利润表'!B8,'5.分产品利润表'!B10,'5.分产品利润表'!B13,'5.分产品利润表'!B14,'5.分产品利润表'!B15,'5.分产品利润表'!B16,'5.分产品利润表'!B17,'5.分产品利润表'!B18,'5.分产品利润表'!B19)</f>
        <v>0.25959823678349397</v>
      </c>
      <c r="G7" s="993">
        <f ca="1">IFERROR(G24/SUM('5.分产品利润表'!O7:O8,'5.分产品利润表'!O10:O19),0)</f>
        <v>0.24266393789734098</v>
      </c>
      <c r="H7" s="994">
        <f ca="1">IFERROR(H24/SUM('5.分产品利润表'!AB7:AB8,'5.分产品利润表'!AB10:AB19),0)</f>
        <v>0</v>
      </c>
      <c r="I7" s="994">
        <f ca="1">IFERROR(I24/SUM('5.分产品利润表'!AO7:AO8,'5.分产品利润表'!AO10:AO19),0)</f>
        <v>0</v>
      </c>
      <c r="J7" s="994">
        <f ca="1">IFERROR(J24/SUM('5.分产品利润表'!BB7:BB8,'5.分产品利润表'!BB10:BB19),0)</f>
        <v>0</v>
      </c>
      <c r="K7" s="994">
        <f ca="1">IFERROR(K24/BOUM('5.分产品利润表'!BO7:BO8,'5.分产品利润表'!BO10:BO19),0)</f>
        <v>0</v>
      </c>
      <c r="L7" s="1052">
        <f ca="1">IFERROR(L24/BOUM('5.分产品利润表'!CB7:CB8,'5.分产品利润表'!CB10:CB19),0)</f>
        <v>0</v>
      </c>
    </row>
    <row r="8" spans="1:12" ht="14.25" hidden="1">
      <c r="A8" s="985"/>
      <c r="B8" s="986" t="s">
        <v>638</v>
      </c>
      <c r="C8" s="995"/>
      <c r="D8" s="988"/>
      <c r="E8" s="989"/>
      <c r="F8" s="996"/>
      <c r="G8" s="997"/>
      <c r="H8" s="998"/>
      <c r="I8" s="998"/>
      <c r="J8" s="998"/>
      <c r="K8" s="998"/>
      <c r="L8" s="1053"/>
    </row>
    <row r="9" spans="1:12" ht="14.25">
      <c r="A9" s="985"/>
      <c r="B9" s="986" t="s">
        <v>639</v>
      </c>
      <c r="C9" s="999">
        <f t="shared" ref="C9:C12" si="0">SUM(D9:F9)</f>
        <v>0</v>
      </c>
      <c r="D9" s="1000"/>
      <c r="E9" s="1001"/>
      <c r="F9" s="1002" t="str">
        <f>'7.现金流量表'!D66</f>
        <v>累计资本金投入回正时间点</v>
      </c>
      <c r="G9" s="991"/>
      <c r="H9" s="992"/>
      <c r="I9" s="992"/>
      <c r="J9" s="992"/>
      <c r="K9" s="992"/>
      <c r="L9" s="1051"/>
    </row>
    <row r="10" spans="1:12" ht="14.25">
      <c r="A10" s="985"/>
      <c r="B10" s="1003" t="s">
        <v>640</v>
      </c>
      <c r="C10" s="1004">
        <f t="shared" ca="1" si="0"/>
        <v>20731.861383609437</v>
      </c>
      <c r="D10" s="1005"/>
      <c r="E10" s="1006"/>
      <c r="F10" s="1007">
        <f ca="1">'5.分产品利润表'!B20</f>
        <v>20731.861383609437</v>
      </c>
      <c r="G10" s="1008">
        <f ca="1">'5.分产品利润表'!O20</f>
        <v>20731.861383609437</v>
      </c>
      <c r="H10" s="1009">
        <f ca="1">'5.分产品利润表'!AB20</f>
        <v>0</v>
      </c>
      <c r="I10" s="1009">
        <f ca="1">'5.分产品利润表'!AO20</f>
        <v>0</v>
      </c>
      <c r="J10" s="1009">
        <f ca="1">'5.分产品利润表'!BB20</f>
        <v>0</v>
      </c>
      <c r="K10" s="1009">
        <f ca="1">'5.分产品利润表'!BO20</f>
        <v>0</v>
      </c>
      <c r="L10" s="1054">
        <f ca="1">'5.分产品利润表'!CB20</f>
        <v>0</v>
      </c>
    </row>
    <row r="11" spans="1:12" ht="14.25">
      <c r="A11" s="985"/>
      <c r="B11" s="1010" t="s">
        <v>454</v>
      </c>
      <c r="C11" s="1011">
        <f>SUM(C12:C23)</f>
        <v>100593.19495999999</v>
      </c>
      <c r="D11" s="1012">
        <f>SUM(D12:D23)</f>
        <v>0</v>
      </c>
      <c r="E11" s="1013">
        <f>SUM(E12:E23)</f>
        <v>0</v>
      </c>
      <c r="F11" s="1007">
        <f>SUM(G11:L11)</f>
        <v>100593.19495999999</v>
      </c>
      <c r="G11" s="1012">
        <f t="shared" ref="G11:L11" si="1">SUM(G12:G23)</f>
        <v>100593.19495999999</v>
      </c>
      <c r="H11" s="1014">
        <f t="shared" si="1"/>
        <v>0</v>
      </c>
      <c r="I11" s="1014">
        <f t="shared" si="1"/>
        <v>0</v>
      </c>
      <c r="J11" s="1014">
        <f t="shared" si="1"/>
        <v>0</v>
      </c>
      <c r="K11" s="1014">
        <f t="shared" si="1"/>
        <v>0</v>
      </c>
      <c r="L11" s="1013">
        <f t="shared" si="1"/>
        <v>0</v>
      </c>
    </row>
    <row r="12" spans="1:12" ht="14.25" customHeight="1" outlineLevel="1">
      <c r="A12" s="985"/>
      <c r="B12" s="1015" t="str">
        <f>'8.项目规划指标表'!B5</f>
        <v>高层</v>
      </c>
      <c r="C12" s="1016">
        <f t="shared" si="0"/>
        <v>87130.794959999999</v>
      </c>
      <c r="D12" s="1005"/>
      <c r="E12" s="1006"/>
      <c r="F12" s="1007">
        <f>SUM(G12:L12)</f>
        <v>87130.794959999999</v>
      </c>
      <c r="G12" s="1008">
        <f>'5.分产品利润表'!P$6</f>
        <v>87130.794959999999</v>
      </c>
      <c r="H12" s="1009">
        <f>'5.分产品利润表'!AC$6</f>
        <v>0</v>
      </c>
      <c r="I12" s="1009">
        <f>'5.分产品利润表'!AP$6</f>
        <v>0</v>
      </c>
      <c r="J12" s="1009">
        <f>'5.分产品利润表'!BC$6</f>
        <v>0</v>
      </c>
      <c r="K12" s="1009">
        <f>'5.分产品利润表'!BP$6</f>
        <v>0</v>
      </c>
      <c r="L12" s="1054">
        <f>'5.分产品利润表'!CC$6</f>
        <v>0</v>
      </c>
    </row>
    <row r="13" spans="1:12" ht="14.25" outlineLevel="1">
      <c r="A13" s="985"/>
      <c r="B13" s="1015" t="str">
        <f>'8.项目规划指标表'!B6</f>
        <v>商铺</v>
      </c>
      <c r="C13" s="1016">
        <f t="shared" ref="C13:C23" si="2">SUM(D13:F13)</f>
        <v>8736</v>
      </c>
      <c r="D13" s="1005"/>
      <c r="E13" s="1006"/>
      <c r="F13" s="1007">
        <f t="shared" ref="F13:F25" si="3">SUM(G13:L13)</f>
        <v>8736</v>
      </c>
      <c r="G13" s="1008">
        <f>'5.分产品利润表'!Q$6</f>
        <v>8736</v>
      </c>
      <c r="H13" s="1009">
        <f>'5.分产品利润表'!AD$6</f>
        <v>0</v>
      </c>
      <c r="I13" s="1009">
        <f>'5.分产品利润表'!AQ$6</f>
        <v>0</v>
      </c>
      <c r="J13" s="1009">
        <f>'5.分产品利润表'!BD$6</f>
        <v>0</v>
      </c>
      <c r="K13" s="1009">
        <f>'5.分产品利润表'!BQ$6</f>
        <v>0</v>
      </c>
      <c r="L13" s="1054">
        <f>'5.分产品利润表'!CD$6</f>
        <v>0</v>
      </c>
    </row>
    <row r="14" spans="1:12" ht="14.25" outlineLevel="1">
      <c r="A14" s="985"/>
      <c r="B14" s="1015" t="str">
        <f>'8.项目规划指标表'!B7</f>
        <v>回迁商业</v>
      </c>
      <c r="C14" s="1016">
        <f t="shared" si="2"/>
        <v>0</v>
      </c>
      <c r="D14" s="1005"/>
      <c r="E14" s="1006"/>
      <c r="F14" s="1007">
        <f t="shared" si="3"/>
        <v>0</v>
      </c>
      <c r="G14" s="1008">
        <f>'5.分产品利润表'!R$6</f>
        <v>0</v>
      </c>
      <c r="H14" s="1009">
        <f>'5.分产品利润表'!AE$6</f>
        <v>0</v>
      </c>
      <c r="I14" s="1009">
        <f>'5.分产品利润表'!AR$6</f>
        <v>0</v>
      </c>
      <c r="J14" s="1009">
        <f>'5.分产品利润表'!BE$6</f>
        <v>0</v>
      </c>
      <c r="K14" s="1009">
        <f>'5.分产品利润表'!BR$6</f>
        <v>0</v>
      </c>
      <c r="L14" s="1054">
        <f>'5.分产品利润表'!CE$6</f>
        <v>0</v>
      </c>
    </row>
    <row r="15" spans="1:12" ht="14.25" outlineLevel="1">
      <c r="A15" s="985"/>
      <c r="B15" s="1015">
        <f>'8.项目规划指标表'!B8</f>
        <v>0</v>
      </c>
      <c r="C15" s="1016">
        <f t="shared" si="2"/>
        <v>0</v>
      </c>
      <c r="D15" s="1005"/>
      <c r="E15" s="1006"/>
      <c r="F15" s="1007">
        <f t="shared" si="3"/>
        <v>0</v>
      </c>
      <c r="G15" s="1008">
        <f>'5.分产品利润表'!S$6</f>
        <v>0</v>
      </c>
      <c r="H15" s="1009">
        <f>'5.分产品利润表'!AF$6</f>
        <v>0</v>
      </c>
      <c r="I15" s="1009">
        <f>'5.分产品利润表'!AS$6</f>
        <v>0</v>
      </c>
      <c r="J15" s="1009">
        <f>'5.分产品利润表'!BF$6</f>
        <v>0</v>
      </c>
      <c r="K15" s="1009">
        <f>'5.分产品利润表'!BS$6</f>
        <v>0</v>
      </c>
      <c r="L15" s="1054">
        <f>'5.分产品利润表'!CF$6</f>
        <v>0</v>
      </c>
    </row>
    <row r="16" spans="1:12" ht="14.25" outlineLevel="1">
      <c r="A16" s="985"/>
      <c r="B16" s="1015">
        <f>'8.项目规划指标表'!B9</f>
        <v>0</v>
      </c>
      <c r="C16" s="1016">
        <f t="shared" si="2"/>
        <v>0</v>
      </c>
      <c r="D16" s="1005"/>
      <c r="E16" s="1006"/>
      <c r="F16" s="1007">
        <f t="shared" si="3"/>
        <v>0</v>
      </c>
      <c r="G16" s="1008">
        <f>'5.分产品利润表'!T$6</f>
        <v>0</v>
      </c>
      <c r="H16" s="1009">
        <f>'5.分产品利润表'!AG$6</f>
        <v>0</v>
      </c>
      <c r="I16" s="1009">
        <f>'5.分产品利润表'!AT$6</f>
        <v>0</v>
      </c>
      <c r="J16" s="1009">
        <f>'5.分产品利润表'!BG$6</f>
        <v>0</v>
      </c>
      <c r="K16" s="1009">
        <f>'5.分产品利润表'!BT$6</f>
        <v>0</v>
      </c>
      <c r="L16" s="1054">
        <f>'5.分产品利润表'!CG$6</f>
        <v>0</v>
      </c>
    </row>
    <row r="17" spans="1:12" ht="14.25" outlineLevel="1">
      <c r="A17" s="985"/>
      <c r="B17" s="1015">
        <f>'8.项目规划指标表'!B10</f>
        <v>0</v>
      </c>
      <c r="C17" s="1016">
        <f t="shared" si="2"/>
        <v>0</v>
      </c>
      <c r="D17" s="1005"/>
      <c r="E17" s="1006"/>
      <c r="F17" s="1007">
        <f t="shared" si="3"/>
        <v>0</v>
      </c>
      <c r="G17" s="1008">
        <f>'5.分产品利润表'!U$6</f>
        <v>0</v>
      </c>
      <c r="H17" s="1009">
        <f>'5.分产品利润表'!AH$6</f>
        <v>0</v>
      </c>
      <c r="I17" s="1009">
        <f>'5.分产品利润表'!AU$6</f>
        <v>0</v>
      </c>
      <c r="J17" s="1009">
        <f>'5.分产品利润表'!BH$6</f>
        <v>0</v>
      </c>
      <c r="K17" s="1009">
        <f>'5.分产品利润表'!BU$6</f>
        <v>0</v>
      </c>
      <c r="L17" s="1054">
        <f>'5.分产品利润表'!CH$6</f>
        <v>0</v>
      </c>
    </row>
    <row r="18" spans="1:12" ht="14.25" outlineLevel="1">
      <c r="A18" s="985"/>
      <c r="B18" s="1015">
        <f>'8.项目规划指标表'!B11</f>
        <v>0</v>
      </c>
      <c r="C18" s="1016">
        <f t="shared" si="2"/>
        <v>0</v>
      </c>
      <c r="D18" s="1005"/>
      <c r="E18" s="1006"/>
      <c r="F18" s="1007">
        <f t="shared" si="3"/>
        <v>0</v>
      </c>
      <c r="G18" s="1008">
        <f>'5.分产品利润表'!V$6</f>
        <v>0</v>
      </c>
      <c r="H18" s="1009">
        <f>'5.分产品利润表'!AI$6</f>
        <v>0</v>
      </c>
      <c r="I18" s="1009">
        <f>'5.分产品利润表'!AV$6</f>
        <v>0</v>
      </c>
      <c r="J18" s="1009">
        <f>'5.分产品利润表'!BI$6</f>
        <v>0</v>
      </c>
      <c r="K18" s="1009">
        <f>'5.分产品利润表'!BV$6</f>
        <v>0</v>
      </c>
      <c r="L18" s="1054">
        <f>'5.分产品利润表'!CI$6</f>
        <v>0</v>
      </c>
    </row>
    <row r="19" spans="1:12" ht="14.25" outlineLevel="1">
      <c r="A19" s="985"/>
      <c r="B19" s="1015">
        <f>'8.项目规划指标表'!B12</f>
        <v>0</v>
      </c>
      <c r="C19" s="1016">
        <f t="shared" si="2"/>
        <v>0</v>
      </c>
      <c r="D19" s="1005"/>
      <c r="E19" s="1006"/>
      <c r="F19" s="1007">
        <f t="shared" si="3"/>
        <v>0</v>
      </c>
      <c r="G19" s="1008">
        <f>'5.分产品利润表'!W$6</f>
        <v>0</v>
      </c>
      <c r="H19" s="1009">
        <f>'5.分产品利润表'!AJ$6</f>
        <v>0</v>
      </c>
      <c r="I19" s="1009">
        <f>'5.分产品利润表'!AW$6</f>
        <v>0</v>
      </c>
      <c r="J19" s="1009">
        <f>'5.分产品利润表'!BJ$6</f>
        <v>0</v>
      </c>
      <c r="K19" s="1009">
        <f>'5.分产品利润表'!BW$6</f>
        <v>0</v>
      </c>
      <c r="L19" s="1054">
        <f>'5.分产品利润表'!CJ$6</f>
        <v>0</v>
      </c>
    </row>
    <row r="20" spans="1:12" ht="14.25" outlineLevel="1">
      <c r="A20" s="985"/>
      <c r="B20" s="1015">
        <f>'8.项目规划指标表'!B13</f>
        <v>0</v>
      </c>
      <c r="C20" s="1016">
        <f t="shared" si="2"/>
        <v>0</v>
      </c>
      <c r="D20" s="1005"/>
      <c r="E20" s="1006"/>
      <c r="F20" s="1007">
        <f t="shared" si="3"/>
        <v>0</v>
      </c>
      <c r="G20" s="1008">
        <f>'5.分产品利润表'!X$6</f>
        <v>0</v>
      </c>
      <c r="H20" s="1009">
        <f>'5.分产品利润表'!AK$6</f>
        <v>0</v>
      </c>
      <c r="I20" s="1009">
        <f>'5.分产品利润表'!AX$6</f>
        <v>0</v>
      </c>
      <c r="J20" s="1009">
        <f>'5.分产品利润表'!BK$6</f>
        <v>0</v>
      </c>
      <c r="K20" s="1009">
        <f>'5.分产品利润表'!BX$6</f>
        <v>0</v>
      </c>
      <c r="L20" s="1054">
        <f>'5.分产品利润表'!CK$6</f>
        <v>0</v>
      </c>
    </row>
    <row r="21" spans="1:12" ht="14.25" outlineLevel="1">
      <c r="A21" s="985"/>
      <c r="B21" s="1015" t="str">
        <f>'8.项目规划指标表'!B14</f>
        <v>自持物业</v>
      </c>
      <c r="C21" s="1016">
        <f t="shared" si="2"/>
        <v>0</v>
      </c>
      <c r="D21" s="1005"/>
      <c r="E21" s="1006"/>
      <c r="F21" s="1007">
        <f t="shared" si="3"/>
        <v>0</v>
      </c>
      <c r="G21" s="1008">
        <f>'5.分产品利润表'!Y$6</f>
        <v>0</v>
      </c>
      <c r="H21" s="1009">
        <f>'5.分产品利润表'!AL$6</f>
        <v>0</v>
      </c>
      <c r="I21" s="1009">
        <f>'5.分产品利润表'!AY$6</f>
        <v>0</v>
      </c>
      <c r="J21" s="1009">
        <f>'5.分产品利润表'!BL$6</f>
        <v>0</v>
      </c>
      <c r="K21" s="1009">
        <f>'5.分产品利润表'!BY$6</f>
        <v>0</v>
      </c>
      <c r="L21" s="1054">
        <f>'5.分产品利润表'!CL$6</f>
        <v>0</v>
      </c>
    </row>
    <row r="22" spans="1:12" ht="14.25" outlineLevel="1">
      <c r="A22" s="985"/>
      <c r="B22" s="1015" t="str">
        <f>'8.项目规划指标表'!B18</f>
        <v>有产权车库(个)</v>
      </c>
      <c r="C22" s="1016">
        <f t="shared" si="2"/>
        <v>4726.3999999999996</v>
      </c>
      <c r="D22" s="1005"/>
      <c r="E22" s="1006"/>
      <c r="F22" s="1007">
        <f t="shared" si="3"/>
        <v>4726.3999999999996</v>
      </c>
      <c r="G22" s="1008">
        <f>'5.分产品利润表'!Z$6</f>
        <v>4726.3999999999996</v>
      </c>
      <c r="H22" s="1009">
        <f>'5.分产品利润表'!AM$6</f>
        <v>0</v>
      </c>
      <c r="I22" s="1009">
        <f>'5.分产品利润表'!AZ$6</f>
        <v>0</v>
      </c>
      <c r="J22" s="1009">
        <f>'5.分产品利润表'!BM$6</f>
        <v>0</v>
      </c>
      <c r="K22" s="1009">
        <f>'5.分产品利润表'!BZ$6</f>
        <v>0</v>
      </c>
      <c r="L22" s="1054">
        <f>'5.分产品利润表'!CM$6</f>
        <v>0</v>
      </c>
    </row>
    <row r="23" spans="1:12" ht="14.25" outlineLevel="1">
      <c r="A23" s="985"/>
      <c r="B23" s="1015" t="str">
        <f>'8.项目规划指标表'!B19</f>
        <v>无产权车库(个)</v>
      </c>
      <c r="C23" s="1016">
        <f t="shared" si="2"/>
        <v>0</v>
      </c>
      <c r="D23" s="1005"/>
      <c r="E23" s="1006"/>
      <c r="F23" s="1007">
        <f t="shared" si="3"/>
        <v>0</v>
      </c>
      <c r="G23" s="1008">
        <f>'5.分产品利润表'!AA$6</f>
        <v>0</v>
      </c>
      <c r="H23" s="1009">
        <f>'5.分产品利润表'!AN$6</f>
        <v>0</v>
      </c>
      <c r="I23" s="1009">
        <f>'5.分产品利润表'!BA$6</f>
        <v>0</v>
      </c>
      <c r="J23" s="1009">
        <f>'5.分产品利润表'!BN$6</f>
        <v>0</v>
      </c>
      <c r="K23" s="1009">
        <f>'5.分产品利润表'!CA$6</f>
        <v>0</v>
      </c>
      <c r="L23" s="1054">
        <f>'5.分产品利润表'!CN$6</f>
        <v>0</v>
      </c>
    </row>
    <row r="24" spans="1:12" ht="14.25">
      <c r="A24" s="985"/>
      <c r="B24" s="1010" t="s">
        <v>641</v>
      </c>
      <c r="C24" s="1011">
        <f ca="1">SUM(C25:C36)</f>
        <v>20731.861383609437</v>
      </c>
      <c r="D24" s="1012">
        <f>SUM(D25:D36)</f>
        <v>0</v>
      </c>
      <c r="E24" s="1013">
        <f>SUM(E25:E36)</f>
        <v>0</v>
      </c>
      <c r="F24" s="1007">
        <f t="shared" ca="1" si="3"/>
        <v>20731.861383609437</v>
      </c>
      <c r="G24" s="1012">
        <f t="shared" ref="G24:L24" ca="1" si="4">SUM(G25:G36)</f>
        <v>20731.861383609437</v>
      </c>
      <c r="H24" s="1014">
        <f t="shared" ca="1" si="4"/>
        <v>0</v>
      </c>
      <c r="I24" s="1014">
        <f t="shared" ca="1" si="4"/>
        <v>0</v>
      </c>
      <c r="J24" s="1014">
        <f t="shared" ca="1" si="4"/>
        <v>0</v>
      </c>
      <c r="K24" s="1014">
        <f t="shared" ca="1" si="4"/>
        <v>0</v>
      </c>
      <c r="L24" s="1013">
        <f t="shared" ca="1" si="4"/>
        <v>0</v>
      </c>
    </row>
    <row r="25" spans="1:12" ht="14.25" outlineLevel="1">
      <c r="A25" s="985"/>
      <c r="B25" s="1015" t="str">
        <f>'8.项目规划指标表'!B5</f>
        <v>高层</v>
      </c>
      <c r="C25" s="1016">
        <f ca="1">SUM(D25:F25)</f>
        <v>20110.113175562554</v>
      </c>
      <c r="D25" s="1017"/>
      <c r="E25" s="1018"/>
      <c r="F25" s="1007">
        <f t="shared" ca="1" si="3"/>
        <v>20110.113175562554</v>
      </c>
      <c r="G25" s="1008">
        <f ca="1">'5.分产品利润表'!P$20</f>
        <v>20110.113175562554</v>
      </c>
      <c r="H25" s="1009">
        <f ca="1">'5.分产品利润表'!AC$20</f>
        <v>0</v>
      </c>
      <c r="I25" s="1009">
        <f ca="1">'5.分产品利润表'!AP$20</f>
        <v>0</v>
      </c>
      <c r="J25" s="1009">
        <f ca="1">'5.分产品利润表'!BC$20</f>
        <v>0</v>
      </c>
      <c r="K25" s="1009">
        <f ca="1">'5.分产品利润表'!BP$20</f>
        <v>0</v>
      </c>
      <c r="L25" s="1054">
        <f ca="1">'5.分产品利润表'!CC$20</f>
        <v>0</v>
      </c>
    </row>
    <row r="26" spans="1:12" ht="14.25" outlineLevel="1">
      <c r="A26" s="985"/>
      <c r="B26" s="1015" t="str">
        <f>'8.项目规划指标表'!B6</f>
        <v>商铺</v>
      </c>
      <c r="C26" s="1016">
        <f t="shared" ref="C26:C36" ca="1" si="5">SUM(D26:F26)</f>
        <v>-1102.0594979695686</v>
      </c>
      <c r="D26" s="1017"/>
      <c r="E26" s="1018"/>
      <c r="F26" s="1007">
        <f t="shared" ref="F26:F36" ca="1" si="6">SUM(G26:L26)</f>
        <v>-1102.0594979695686</v>
      </c>
      <c r="G26" s="1008">
        <f ca="1">'5.分产品利润表'!Q$20</f>
        <v>-1102.0594979695686</v>
      </c>
      <c r="H26" s="1009">
        <f ca="1">'5.分产品利润表'!AD$20</f>
        <v>0</v>
      </c>
      <c r="I26" s="1009">
        <f ca="1">'5.分产品利润表'!AQ$20</f>
        <v>0</v>
      </c>
      <c r="J26" s="1009">
        <f ca="1">'5.分产品利润表'!BD$20</f>
        <v>0</v>
      </c>
      <c r="K26" s="1009">
        <f ca="1">'5.分产品利润表'!BQ$20</f>
        <v>0</v>
      </c>
      <c r="L26" s="1054">
        <f ca="1">'5.分产品利润表'!CD$20</f>
        <v>0</v>
      </c>
    </row>
    <row r="27" spans="1:12" ht="14.25" outlineLevel="1">
      <c r="A27" s="985"/>
      <c r="B27" s="1015" t="str">
        <f>'8.项目规划指标表'!B7</f>
        <v>回迁商业</v>
      </c>
      <c r="C27" s="1016">
        <f t="shared" ca="1" si="5"/>
        <v>0</v>
      </c>
      <c r="D27" s="1017"/>
      <c r="E27" s="1018"/>
      <c r="F27" s="1007">
        <f t="shared" ca="1" si="6"/>
        <v>0</v>
      </c>
      <c r="G27" s="1008">
        <f ca="1">'5.分产品利润表'!R$20</f>
        <v>0</v>
      </c>
      <c r="H27" s="1009">
        <f ca="1">'5.分产品利润表'!AE$20</f>
        <v>0</v>
      </c>
      <c r="I27" s="1009">
        <f ca="1">'5.分产品利润表'!AR$20</f>
        <v>0</v>
      </c>
      <c r="J27" s="1009">
        <f ca="1">'5.分产品利润表'!BE$20</f>
        <v>0</v>
      </c>
      <c r="K27" s="1009">
        <f ca="1">'5.分产品利润表'!BR$20</f>
        <v>0</v>
      </c>
      <c r="L27" s="1054">
        <f ca="1">'5.分产品利润表'!CE$20</f>
        <v>0</v>
      </c>
    </row>
    <row r="28" spans="1:12" ht="14.25" outlineLevel="1">
      <c r="A28" s="985"/>
      <c r="B28" s="1015">
        <f>'8.项目规划指标表'!B8</f>
        <v>0</v>
      </c>
      <c r="C28" s="1016">
        <f t="shared" ca="1" si="5"/>
        <v>0</v>
      </c>
      <c r="D28" s="1017"/>
      <c r="E28" s="1018"/>
      <c r="F28" s="1007">
        <f t="shared" ca="1" si="6"/>
        <v>0</v>
      </c>
      <c r="G28" s="1008">
        <f ca="1">'5.分产品利润表'!S$20</f>
        <v>0</v>
      </c>
      <c r="H28" s="1009">
        <f ca="1">'5.分产品利润表'!AF$20</f>
        <v>0</v>
      </c>
      <c r="I28" s="1009">
        <f ca="1">'5.分产品利润表'!AS$20</f>
        <v>0</v>
      </c>
      <c r="J28" s="1009">
        <f ca="1">'5.分产品利润表'!BF$20</f>
        <v>0</v>
      </c>
      <c r="K28" s="1009">
        <f ca="1">'5.分产品利润表'!BS$20</f>
        <v>0</v>
      </c>
      <c r="L28" s="1054">
        <f ca="1">'5.分产品利润表'!CF$20</f>
        <v>0</v>
      </c>
    </row>
    <row r="29" spans="1:12" ht="14.25" outlineLevel="1">
      <c r="A29" s="985"/>
      <c r="B29" s="1015">
        <f>'8.项目规划指标表'!B9</f>
        <v>0</v>
      </c>
      <c r="C29" s="1016">
        <f t="shared" ca="1" si="5"/>
        <v>0</v>
      </c>
      <c r="D29" s="1017"/>
      <c r="E29" s="1018"/>
      <c r="F29" s="1007">
        <f t="shared" ca="1" si="6"/>
        <v>0</v>
      </c>
      <c r="G29" s="1008">
        <f ca="1">'5.分产品利润表'!T$20</f>
        <v>0</v>
      </c>
      <c r="H29" s="1009">
        <f ca="1">'5.分产品利润表'!AG$20</f>
        <v>0</v>
      </c>
      <c r="I29" s="1009">
        <f ca="1">'5.分产品利润表'!AT$20</f>
        <v>0</v>
      </c>
      <c r="J29" s="1009">
        <f ca="1">'5.分产品利润表'!BG$20</f>
        <v>0</v>
      </c>
      <c r="K29" s="1009">
        <f ca="1">'5.分产品利润表'!BT$20</f>
        <v>0</v>
      </c>
      <c r="L29" s="1054">
        <f ca="1">'5.分产品利润表'!CG$20</f>
        <v>0</v>
      </c>
    </row>
    <row r="30" spans="1:12" ht="14.25" outlineLevel="1">
      <c r="A30" s="985"/>
      <c r="B30" s="1015">
        <f>'8.项目规划指标表'!B10</f>
        <v>0</v>
      </c>
      <c r="C30" s="1016">
        <f t="shared" ca="1" si="5"/>
        <v>0</v>
      </c>
      <c r="D30" s="1017"/>
      <c r="E30" s="1018"/>
      <c r="F30" s="1007">
        <f t="shared" ca="1" si="6"/>
        <v>0</v>
      </c>
      <c r="G30" s="1008">
        <f ca="1">'5.分产品利润表'!U$20</f>
        <v>0</v>
      </c>
      <c r="H30" s="1009">
        <f ca="1">'5.分产品利润表'!AH$20</f>
        <v>0</v>
      </c>
      <c r="I30" s="1009">
        <f ca="1">'5.分产品利润表'!AU$20</f>
        <v>0</v>
      </c>
      <c r="J30" s="1009">
        <f ca="1">'5.分产品利润表'!BH$20</f>
        <v>0</v>
      </c>
      <c r="K30" s="1009">
        <f ca="1">'5.分产品利润表'!BU$20</f>
        <v>0</v>
      </c>
      <c r="L30" s="1054">
        <f ca="1">'5.分产品利润表'!CH$20</f>
        <v>0</v>
      </c>
    </row>
    <row r="31" spans="1:12" ht="14.25" outlineLevel="1">
      <c r="A31" s="985"/>
      <c r="B31" s="1015">
        <f>'8.项目规划指标表'!B11</f>
        <v>0</v>
      </c>
      <c r="C31" s="1016">
        <f t="shared" ca="1" si="5"/>
        <v>0</v>
      </c>
      <c r="D31" s="1017"/>
      <c r="E31" s="1018"/>
      <c r="F31" s="1007">
        <f t="shared" ca="1" si="6"/>
        <v>0</v>
      </c>
      <c r="G31" s="1008">
        <f ca="1">'5.分产品利润表'!V$20</f>
        <v>0</v>
      </c>
      <c r="H31" s="1009">
        <f ca="1">'5.分产品利润表'!AI$20</f>
        <v>0</v>
      </c>
      <c r="I31" s="1009">
        <f ca="1">'5.分产品利润表'!AV$20</f>
        <v>0</v>
      </c>
      <c r="J31" s="1009">
        <f ca="1">'5.分产品利润表'!BI$20</f>
        <v>0</v>
      </c>
      <c r="K31" s="1009">
        <f ca="1">'5.分产品利润表'!BV$20</f>
        <v>0</v>
      </c>
      <c r="L31" s="1054">
        <f ca="1">'5.分产品利润表'!CI$20</f>
        <v>0</v>
      </c>
    </row>
    <row r="32" spans="1:12" ht="14.25" outlineLevel="1">
      <c r="A32" s="985"/>
      <c r="B32" s="1015">
        <f>'8.项目规划指标表'!B12</f>
        <v>0</v>
      </c>
      <c r="C32" s="1016">
        <f t="shared" ca="1" si="5"/>
        <v>0</v>
      </c>
      <c r="D32" s="1017"/>
      <c r="E32" s="1018"/>
      <c r="F32" s="1007">
        <f t="shared" ca="1" si="6"/>
        <v>0</v>
      </c>
      <c r="G32" s="1008">
        <f ca="1">'5.分产品利润表'!W$20</f>
        <v>0</v>
      </c>
      <c r="H32" s="1009">
        <f ca="1">'5.分产品利润表'!AJ$20</f>
        <v>0</v>
      </c>
      <c r="I32" s="1009">
        <f ca="1">'5.分产品利润表'!AW$20</f>
        <v>0</v>
      </c>
      <c r="J32" s="1009">
        <f ca="1">'5.分产品利润表'!BJ$20</f>
        <v>0</v>
      </c>
      <c r="K32" s="1009">
        <f ca="1">'5.分产品利润表'!BW$20</f>
        <v>0</v>
      </c>
      <c r="L32" s="1054">
        <f ca="1">'5.分产品利润表'!CJ$20</f>
        <v>0</v>
      </c>
    </row>
    <row r="33" spans="1:12" ht="14.25" outlineLevel="1">
      <c r="A33" s="985"/>
      <c r="B33" s="1015">
        <f>'8.项目规划指标表'!B13</f>
        <v>0</v>
      </c>
      <c r="C33" s="1016">
        <f t="shared" ca="1" si="5"/>
        <v>0</v>
      </c>
      <c r="D33" s="1017"/>
      <c r="E33" s="1018"/>
      <c r="F33" s="1007">
        <f t="shared" ca="1" si="6"/>
        <v>0</v>
      </c>
      <c r="G33" s="1008">
        <f ca="1">'5.分产品利润表'!X$20</f>
        <v>0</v>
      </c>
      <c r="H33" s="1009">
        <f ca="1">'5.分产品利润表'!AK$20</f>
        <v>0</v>
      </c>
      <c r="I33" s="1009">
        <f ca="1">'5.分产品利润表'!AX$20</f>
        <v>0</v>
      </c>
      <c r="J33" s="1009">
        <f ca="1">'5.分产品利润表'!BK$20</f>
        <v>0</v>
      </c>
      <c r="K33" s="1009">
        <f ca="1">'5.分产品利润表'!BX$20</f>
        <v>0</v>
      </c>
      <c r="L33" s="1054">
        <f ca="1">'5.分产品利润表'!CK$20</f>
        <v>0</v>
      </c>
    </row>
    <row r="34" spans="1:12" ht="14.25" outlineLevel="1">
      <c r="A34" s="985"/>
      <c r="B34" s="1015" t="str">
        <f>'8.项目规划指标表'!B14</f>
        <v>自持物业</v>
      </c>
      <c r="C34" s="1016">
        <f t="shared" si="5"/>
        <v>0</v>
      </c>
      <c r="D34" s="1017"/>
      <c r="E34" s="1018"/>
      <c r="F34" s="1007">
        <f t="shared" si="6"/>
        <v>0</v>
      </c>
      <c r="G34" s="1008">
        <f>'5.分产品利润表'!Y$20</f>
        <v>0</v>
      </c>
      <c r="H34" s="1009">
        <f>'5.分产品利润表'!AL$20</f>
        <v>0</v>
      </c>
      <c r="I34" s="1009">
        <f>'5.分产品利润表'!AY$20</f>
        <v>0</v>
      </c>
      <c r="J34" s="1009">
        <f>'5.分产品利润表'!BL$20</f>
        <v>0</v>
      </c>
      <c r="K34" s="1009">
        <f>'5.分产品利润表'!BY$20</f>
        <v>0</v>
      </c>
      <c r="L34" s="1054">
        <f>'5.分产品利润表'!CL$20</f>
        <v>0</v>
      </c>
    </row>
    <row r="35" spans="1:12" ht="14.25" outlineLevel="1">
      <c r="A35" s="985"/>
      <c r="B35" s="1015" t="str">
        <f>'8.项目规划指标表'!B18</f>
        <v>有产权车库(个)</v>
      </c>
      <c r="C35" s="1016">
        <f t="shared" ca="1" si="5"/>
        <v>1723.8077060164524</v>
      </c>
      <c r="D35" s="1017"/>
      <c r="E35" s="1018"/>
      <c r="F35" s="1007">
        <f t="shared" ca="1" si="6"/>
        <v>1723.8077060164524</v>
      </c>
      <c r="G35" s="1008">
        <f ca="1">'5.分产品利润表'!Z$20</f>
        <v>1723.8077060164524</v>
      </c>
      <c r="H35" s="1009">
        <f ca="1">'5.分产品利润表'!AM$20</f>
        <v>0</v>
      </c>
      <c r="I35" s="1009">
        <f ca="1">'5.分产品利润表'!AZ$20</f>
        <v>0</v>
      </c>
      <c r="J35" s="1009">
        <f ca="1">'5.分产品利润表'!BM$20</f>
        <v>0</v>
      </c>
      <c r="K35" s="1009">
        <f ca="1">'5.分产品利润表'!BZ$20</f>
        <v>0</v>
      </c>
      <c r="L35" s="1054">
        <f ca="1">'5.分产品利润表'!CM$20</f>
        <v>0</v>
      </c>
    </row>
    <row r="36" spans="1:12" ht="14.25" outlineLevel="1">
      <c r="A36" s="985"/>
      <c r="B36" s="1015" t="str">
        <f>'8.项目规划指标表'!B19</f>
        <v>无产权车库(个)</v>
      </c>
      <c r="C36" s="1016">
        <f t="shared" ca="1" si="5"/>
        <v>0</v>
      </c>
      <c r="D36" s="1017"/>
      <c r="E36" s="1018"/>
      <c r="F36" s="1007">
        <f t="shared" ca="1" si="6"/>
        <v>0</v>
      </c>
      <c r="G36" s="1008">
        <f ca="1">'5.分产品利润表'!AA$20</f>
        <v>0</v>
      </c>
      <c r="H36" s="1009">
        <f ca="1">'5.分产品利润表'!AN$20</f>
        <v>0</v>
      </c>
      <c r="I36" s="1009">
        <f ca="1">'5.分产品利润表'!BA$20</f>
        <v>0</v>
      </c>
      <c r="J36" s="1009">
        <f ca="1">'5.分产品利润表'!BN$20</f>
        <v>0</v>
      </c>
      <c r="K36" s="1009">
        <f ca="1">'5.分产品利润表'!CA$20</f>
        <v>0</v>
      </c>
      <c r="L36" s="1054">
        <f ca="1">'5.分产品利润表'!CN$20</f>
        <v>0</v>
      </c>
    </row>
    <row r="37" spans="1:12" ht="14.25">
      <c r="A37" s="985"/>
      <c r="B37" s="1019" t="s">
        <v>642</v>
      </c>
      <c r="C37" s="1020">
        <f t="shared" ref="C37:L38" ca="1" si="7">IFERROR(C24/C11,0)</f>
        <v>0.20609606238129011</v>
      </c>
      <c r="D37" s="1021">
        <f t="shared" si="7"/>
        <v>0</v>
      </c>
      <c r="E37" s="1022">
        <f t="shared" si="7"/>
        <v>0</v>
      </c>
      <c r="F37" s="1023">
        <f t="shared" ca="1" si="7"/>
        <v>0.20609606238129011</v>
      </c>
      <c r="G37" s="1021">
        <f t="shared" ca="1" si="7"/>
        <v>0.20609606238129011</v>
      </c>
      <c r="H37" s="1024">
        <f t="shared" ca="1" si="7"/>
        <v>0</v>
      </c>
      <c r="I37" s="1024">
        <f t="shared" ca="1" si="7"/>
        <v>0</v>
      </c>
      <c r="J37" s="1024">
        <f t="shared" ca="1" si="7"/>
        <v>0</v>
      </c>
      <c r="K37" s="1024">
        <f t="shared" ca="1" si="7"/>
        <v>0</v>
      </c>
      <c r="L37" s="1022">
        <f t="shared" ca="1" si="7"/>
        <v>0</v>
      </c>
    </row>
    <row r="38" spans="1:12" ht="14.25" outlineLevel="1">
      <c r="A38" s="985"/>
      <c r="B38" s="1015" t="str">
        <f>'8.项目规划指标表'!B5</f>
        <v>高层</v>
      </c>
      <c r="C38" s="1025">
        <f ca="1">IFERROR(C25/C12,0)</f>
        <v>0.23080373804456511</v>
      </c>
      <c r="D38" s="1026">
        <f t="shared" si="7"/>
        <v>0</v>
      </c>
      <c r="E38" s="1027">
        <f t="shared" si="7"/>
        <v>0</v>
      </c>
      <c r="F38" s="990">
        <f t="shared" ca="1" si="7"/>
        <v>0.23080373804456511</v>
      </c>
      <c r="G38" s="1026">
        <f t="shared" ca="1" si="7"/>
        <v>0.23080373804456511</v>
      </c>
      <c r="H38" s="1028">
        <f t="shared" ca="1" si="7"/>
        <v>0</v>
      </c>
      <c r="I38" s="1028">
        <f t="shared" ca="1" si="7"/>
        <v>0</v>
      </c>
      <c r="J38" s="1028">
        <f t="shared" ca="1" si="7"/>
        <v>0</v>
      </c>
      <c r="K38" s="1028">
        <f t="shared" ca="1" si="7"/>
        <v>0</v>
      </c>
      <c r="L38" s="1027">
        <f t="shared" ref="L38:L48" ca="1" si="8">IFERROR(L25/L12,0)</f>
        <v>0</v>
      </c>
    </row>
    <row r="39" spans="1:12" ht="14.25" outlineLevel="1">
      <c r="A39" s="985"/>
      <c r="B39" s="1015" t="str">
        <f>'8.项目规划指标表'!B6</f>
        <v>商铺</v>
      </c>
      <c r="C39" s="1025">
        <f t="shared" ref="C39:C48" ca="1" si="9">IFERROR(C26/C13,0)</f>
        <v>-0.12615149930970337</v>
      </c>
      <c r="D39" s="1026">
        <f t="shared" ref="D39:K39" si="10">IFERROR(D26/D13,0)</f>
        <v>0</v>
      </c>
      <c r="E39" s="1027">
        <f t="shared" si="10"/>
        <v>0</v>
      </c>
      <c r="F39" s="990">
        <f t="shared" ca="1" si="10"/>
        <v>-0.12615149930970337</v>
      </c>
      <c r="G39" s="1026">
        <f t="shared" ca="1" si="10"/>
        <v>-0.12615149930970337</v>
      </c>
      <c r="H39" s="1028">
        <f t="shared" ca="1" si="10"/>
        <v>0</v>
      </c>
      <c r="I39" s="1028">
        <f t="shared" ca="1" si="10"/>
        <v>0</v>
      </c>
      <c r="J39" s="1028">
        <f t="shared" ca="1" si="10"/>
        <v>0</v>
      </c>
      <c r="K39" s="1028">
        <f t="shared" ca="1" si="10"/>
        <v>0</v>
      </c>
      <c r="L39" s="1027">
        <f t="shared" ca="1" si="8"/>
        <v>0</v>
      </c>
    </row>
    <row r="40" spans="1:12" ht="14.25" outlineLevel="1">
      <c r="A40" s="985"/>
      <c r="B40" s="1015" t="str">
        <f>'8.项目规划指标表'!B7</f>
        <v>回迁商业</v>
      </c>
      <c r="C40" s="1025">
        <f t="shared" ca="1" si="9"/>
        <v>0</v>
      </c>
      <c r="D40" s="1026">
        <f t="shared" ref="D40:K40" si="11">IFERROR(D27/D14,0)</f>
        <v>0</v>
      </c>
      <c r="E40" s="1027">
        <f t="shared" si="11"/>
        <v>0</v>
      </c>
      <c r="F40" s="990">
        <f t="shared" ca="1" si="11"/>
        <v>0</v>
      </c>
      <c r="G40" s="1026">
        <f t="shared" ca="1" si="11"/>
        <v>0</v>
      </c>
      <c r="H40" s="1028">
        <f t="shared" ca="1" si="11"/>
        <v>0</v>
      </c>
      <c r="I40" s="1028">
        <f t="shared" ca="1" si="11"/>
        <v>0</v>
      </c>
      <c r="J40" s="1028">
        <f t="shared" ca="1" si="11"/>
        <v>0</v>
      </c>
      <c r="K40" s="1028">
        <f t="shared" ca="1" si="11"/>
        <v>0</v>
      </c>
      <c r="L40" s="1027">
        <f t="shared" ca="1" si="8"/>
        <v>0</v>
      </c>
    </row>
    <row r="41" spans="1:12" ht="14.25" outlineLevel="1">
      <c r="A41" s="985"/>
      <c r="B41" s="1015">
        <f>'8.项目规划指标表'!B8</f>
        <v>0</v>
      </c>
      <c r="C41" s="1025">
        <f t="shared" ca="1" si="9"/>
        <v>0</v>
      </c>
      <c r="D41" s="1026">
        <f t="shared" ref="D41:K41" si="12">IFERROR(D28/D15,0)</f>
        <v>0</v>
      </c>
      <c r="E41" s="1027">
        <f t="shared" si="12"/>
        <v>0</v>
      </c>
      <c r="F41" s="990">
        <f t="shared" ca="1" si="12"/>
        <v>0</v>
      </c>
      <c r="G41" s="1026">
        <f t="shared" ca="1" si="12"/>
        <v>0</v>
      </c>
      <c r="H41" s="1028">
        <f t="shared" ca="1" si="12"/>
        <v>0</v>
      </c>
      <c r="I41" s="1028">
        <f t="shared" ca="1" si="12"/>
        <v>0</v>
      </c>
      <c r="J41" s="1028">
        <f t="shared" ca="1" si="12"/>
        <v>0</v>
      </c>
      <c r="K41" s="1028">
        <f t="shared" ca="1" si="12"/>
        <v>0</v>
      </c>
      <c r="L41" s="1027">
        <f t="shared" ca="1" si="8"/>
        <v>0</v>
      </c>
    </row>
    <row r="42" spans="1:12" ht="14.25" outlineLevel="1">
      <c r="A42" s="985"/>
      <c r="B42" s="1015">
        <f>'8.项目规划指标表'!B9</f>
        <v>0</v>
      </c>
      <c r="C42" s="1025">
        <f t="shared" ca="1" si="9"/>
        <v>0</v>
      </c>
      <c r="D42" s="1026">
        <f t="shared" ref="D42:K42" si="13">IFERROR(D29/D16,0)</f>
        <v>0</v>
      </c>
      <c r="E42" s="1027">
        <f t="shared" si="13"/>
        <v>0</v>
      </c>
      <c r="F42" s="990">
        <f t="shared" ca="1" si="13"/>
        <v>0</v>
      </c>
      <c r="G42" s="1026">
        <f t="shared" ca="1" si="13"/>
        <v>0</v>
      </c>
      <c r="H42" s="1028">
        <f t="shared" ca="1" si="13"/>
        <v>0</v>
      </c>
      <c r="I42" s="1028">
        <f t="shared" ca="1" si="13"/>
        <v>0</v>
      </c>
      <c r="J42" s="1028">
        <f t="shared" ca="1" si="13"/>
        <v>0</v>
      </c>
      <c r="K42" s="1028">
        <f t="shared" ca="1" si="13"/>
        <v>0</v>
      </c>
      <c r="L42" s="1027">
        <f t="shared" ca="1" si="8"/>
        <v>0</v>
      </c>
    </row>
    <row r="43" spans="1:12" ht="14.25" outlineLevel="1">
      <c r="A43" s="985"/>
      <c r="B43" s="1015">
        <f>'8.项目规划指标表'!B10</f>
        <v>0</v>
      </c>
      <c r="C43" s="1025">
        <f t="shared" ca="1" si="9"/>
        <v>0</v>
      </c>
      <c r="D43" s="1026">
        <f t="shared" ref="D43:K43" si="14">IFERROR(D30/D17,0)</f>
        <v>0</v>
      </c>
      <c r="E43" s="1027">
        <f t="shared" si="14"/>
        <v>0</v>
      </c>
      <c r="F43" s="990">
        <f t="shared" ca="1" si="14"/>
        <v>0</v>
      </c>
      <c r="G43" s="1026">
        <f t="shared" ca="1" si="14"/>
        <v>0</v>
      </c>
      <c r="H43" s="1028">
        <f t="shared" ca="1" si="14"/>
        <v>0</v>
      </c>
      <c r="I43" s="1028">
        <f t="shared" ca="1" si="14"/>
        <v>0</v>
      </c>
      <c r="J43" s="1028">
        <f t="shared" ca="1" si="14"/>
        <v>0</v>
      </c>
      <c r="K43" s="1028">
        <f t="shared" ca="1" si="14"/>
        <v>0</v>
      </c>
      <c r="L43" s="1027">
        <f t="shared" ca="1" si="8"/>
        <v>0</v>
      </c>
    </row>
    <row r="44" spans="1:12" ht="14.25" outlineLevel="1">
      <c r="A44" s="985"/>
      <c r="B44" s="1015">
        <f>'8.项目规划指标表'!B11</f>
        <v>0</v>
      </c>
      <c r="C44" s="1025">
        <f t="shared" ca="1" si="9"/>
        <v>0</v>
      </c>
      <c r="D44" s="1026">
        <f t="shared" ref="D44:K44" si="15">IFERROR(D31/D18,0)</f>
        <v>0</v>
      </c>
      <c r="E44" s="1027">
        <f t="shared" si="15"/>
        <v>0</v>
      </c>
      <c r="F44" s="990">
        <f t="shared" ca="1" si="15"/>
        <v>0</v>
      </c>
      <c r="G44" s="1026">
        <f t="shared" ca="1" si="15"/>
        <v>0</v>
      </c>
      <c r="H44" s="1028">
        <f t="shared" ca="1" si="15"/>
        <v>0</v>
      </c>
      <c r="I44" s="1028">
        <f t="shared" ca="1" si="15"/>
        <v>0</v>
      </c>
      <c r="J44" s="1028">
        <f t="shared" ca="1" si="15"/>
        <v>0</v>
      </c>
      <c r="K44" s="1028">
        <f t="shared" ca="1" si="15"/>
        <v>0</v>
      </c>
      <c r="L44" s="1027">
        <f t="shared" ca="1" si="8"/>
        <v>0</v>
      </c>
    </row>
    <row r="45" spans="1:12" ht="14.25" outlineLevel="1">
      <c r="A45" s="985"/>
      <c r="B45" s="1015">
        <f>'8.项目规划指标表'!B12</f>
        <v>0</v>
      </c>
      <c r="C45" s="1025">
        <f t="shared" ca="1" si="9"/>
        <v>0</v>
      </c>
      <c r="D45" s="1026">
        <f t="shared" ref="D45:K45" si="16">IFERROR(D32/D19,0)</f>
        <v>0</v>
      </c>
      <c r="E45" s="1027">
        <f t="shared" si="16"/>
        <v>0</v>
      </c>
      <c r="F45" s="990">
        <f t="shared" ca="1" si="16"/>
        <v>0</v>
      </c>
      <c r="G45" s="1026">
        <f t="shared" ca="1" si="16"/>
        <v>0</v>
      </c>
      <c r="H45" s="1028">
        <f t="shared" ca="1" si="16"/>
        <v>0</v>
      </c>
      <c r="I45" s="1028">
        <f t="shared" ca="1" si="16"/>
        <v>0</v>
      </c>
      <c r="J45" s="1028">
        <f t="shared" ca="1" si="16"/>
        <v>0</v>
      </c>
      <c r="K45" s="1028">
        <f t="shared" ca="1" si="16"/>
        <v>0</v>
      </c>
      <c r="L45" s="1027">
        <f t="shared" ca="1" si="8"/>
        <v>0</v>
      </c>
    </row>
    <row r="46" spans="1:12" ht="14.25" outlineLevel="1">
      <c r="A46" s="985"/>
      <c r="B46" s="1015">
        <f>'8.项目规划指标表'!B13</f>
        <v>0</v>
      </c>
      <c r="C46" s="1025">
        <f t="shared" ca="1" si="9"/>
        <v>0</v>
      </c>
      <c r="D46" s="1026">
        <f t="shared" ref="D46:K46" si="17">IFERROR(D33/D20,0)</f>
        <v>0</v>
      </c>
      <c r="E46" s="1027">
        <f t="shared" si="17"/>
        <v>0</v>
      </c>
      <c r="F46" s="990">
        <f t="shared" ca="1" si="17"/>
        <v>0</v>
      </c>
      <c r="G46" s="1026">
        <f t="shared" ca="1" si="17"/>
        <v>0</v>
      </c>
      <c r="H46" s="1028">
        <f t="shared" ca="1" si="17"/>
        <v>0</v>
      </c>
      <c r="I46" s="1028">
        <f t="shared" ca="1" si="17"/>
        <v>0</v>
      </c>
      <c r="J46" s="1028">
        <f t="shared" ca="1" si="17"/>
        <v>0</v>
      </c>
      <c r="K46" s="1028">
        <f t="shared" ca="1" si="17"/>
        <v>0</v>
      </c>
      <c r="L46" s="1027">
        <f t="shared" ca="1" si="8"/>
        <v>0</v>
      </c>
    </row>
    <row r="47" spans="1:12" ht="14.25" outlineLevel="1">
      <c r="A47" s="985"/>
      <c r="B47" s="1015" t="str">
        <f>'8.项目规划指标表'!B14</f>
        <v>自持物业</v>
      </c>
      <c r="C47" s="1025">
        <f t="shared" si="9"/>
        <v>0</v>
      </c>
      <c r="D47" s="1026">
        <f t="shared" ref="D47:K47" si="18">IFERROR(D34/D21,0)</f>
        <v>0</v>
      </c>
      <c r="E47" s="1027">
        <f t="shared" si="18"/>
        <v>0</v>
      </c>
      <c r="F47" s="990">
        <f t="shared" si="18"/>
        <v>0</v>
      </c>
      <c r="G47" s="1026">
        <f t="shared" si="18"/>
        <v>0</v>
      </c>
      <c r="H47" s="1028">
        <f t="shared" si="18"/>
        <v>0</v>
      </c>
      <c r="I47" s="1028">
        <f t="shared" si="18"/>
        <v>0</v>
      </c>
      <c r="J47" s="1028">
        <f t="shared" si="18"/>
        <v>0</v>
      </c>
      <c r="K47" s="1028">
        <f t="shared" si="18"/>
        <v>0</v>
      </c>
      <c r="L47" s="1027">
        <f t="shared" si="8"/>
        <v>0</v>
      </c>
    </row>
    <row r="48" spans="1:12" ht="14.25" outlineLevel="1">
      <c r="A48" s="985"/>
      <c r="B48" s="1015" t="str">
        <f>'8.项目规划指标表'!B15</f>
        <v>无产权公共配套</v>
      </c>
      <c r="C48" s="1025">
        <f t="shared" ca="1" si="9"/>
        <v>0.36471896285046812</v>
      </c>
      <c r="D48" s="1026">
        <f t="shared" ref="D48:K48" si="19">IFERROR(D35/D22,0)</f>
        <v>0</v>
      </c>
      <c r="E48" s="1027">
        <f t="shared" si="19"/>
        <v>0</v>
      </c>
      <c r="F48" s="990">
        <f t="shared" ca="1" si="19"/>
        <v>0.36471896285046812</v>
      </c>
      <c r="G48" s="1026">
        <f t="shared" ca="1" si="19"/>
        <v>0.36471896285046812</v>
      </c>
      <c r="H48" s="1028">
        <f t="shared" ca="1" si="19"/>
        <v>0</v>
      </c>
      <c r="I48" s="1028">
        <f t="shared" ca="1" si="19"/>
        <v>0</v>
      </c>
      <c r="J48" s="1028">
        <f t="shared" ca="1" si="19"/>
        <v>0</v>
      </c>
      <c r="K48" s="1028">
        <f t="shared" ca="1" si="19"/>
        <v>0</v>
      </c>
      <c r="L48" s="1027">
        <f t="shared" ca="1" si="8"/>
        <v>0</v>
      </c>
    </row>
    <row r="49" spans="1:12" s="976" customFormat="1" ht="14.25" outlineLevel="1">
      <c r="A49" s="1029"/>
      <c r="B49" s="1030"/>
      <c r="C49" s="1031"/>
      <c r="D49" s="1031"/>
      <c r="E49" s="1031"/>
      <c r="F49" s="1031"/>
      <c r="G49" s="1031"/>
      <c r="H49" s="1031"/>
      <c r="I49" s="1031"/>
      <c r="J49" s="1031"/>
      <c r="K49" s="1031"/>
      <c r="L49" s="1031"/>
    </row>
    <row r="50" spans="1:12">
      <c r="A50" s="1032"/>
      <c r="B50" s="1033" t="s">
        <v>10</v>
      </c>
      <c r="C50" s="1875"/>
      <c r="D50" s="1875"/>
      <c r="E50" s="1875"/>
      <c r="F50" s="1875"/>
      <c r="G50" s="1875"/>
      <c r="H50" s="1875"/>
      <c r="I50" s="1875"/>
      <c r="J50" s="1875"/>
      <c r="K50" s="1875"/>
      <c r="L50" s="1875"/>
    </row>
    <row r="51" spans="1:12" ht="14.25">
      <c r="A51" s="1034"/>
      <c r="B51" s="986" t="s">
        <v>643</v>
      </c>
      <c r="C51" s="999">
        <f>SUM(D51:F51)</f>
        <v>0</v>
      </c>
      <c r="D51" s="1000"/>
      <c r="E51" s="1001"/>
      <c r="F51" s="1002">
        <f>MAX('7.现金流量表'!E67:BF67)</f>
        <v>0</v>
      </c>
      <c r="G51" s="991"/>
      <c r="H51" s="992"/>
      <c r="I51" s="992"/>
      <c r="J51" s="992"/>
      <c r="K51" s="992"/>
      <c r="L51" s="1051"/>
    </row>
    <row r="52" spans="1:12" ht="14.25">
      <c r="A52" s="1035"/>
      <c r="B52" s="986" t="s">
        <v>644</v>
      </c>
      <c r="C52" s="999">
        <f t="shared" ref="C52:C54" ca="1" si="20">F52</f>
        <v>-21671.355534965784</v>
      </c>
      <c r="D52" s="1000"/>
      <c r="E52" s="1001"/>
      <c r="F52" s="1002">
        <f ca="1">MIN('7.现金流量表'!E29:H29,'7.现金流量表'!J29:M29,'7.现金流量表'!O29:R29,'7.现金流量表'!T29:W29,'7.现金流量表'!Y29:AB29,'7.现金流量表'!AD29:AG29,'7.现金流量表'!AI29:AL29,'7.现金流量表'!AN29:AQ29,'7.现金流量表'!AS29:AV29,'7.现金流量表'!AX29:BA29,'7.现金流量表'!BC29:BF29)</f>
        <v>-21671.355534965784</v>
      </c>
      <c r="G52" s="991"/>
      <c r="H52" s="992"/>
      <c r="I52" s="992"/>
      <c r="J52" s="992"/>
      <c r="K52" s="992"/>
      <c r="L52" s="1051"/>
    </row>
    <row r="53" spans="1:12" ht="14.25">
      <c r="A53" s="1035"/>
      <c r="B53" s="986" t="s">
        <v>645</v>
      </c>
      <c r="C53" s="1025">
        <f t="shared" ca="1" si="20"/>
        <v>0.22648148810944949</v>
      </c>
      <c r="D53" s="1036"/>
      <c r="E53" s="1037"/>
      <c r="F53" s="990">
        <f ca="1">'5.分产品利润表'!B28</f>
        <v>0.22648148810944949</v>
      </c>
      <c r="G53" s="1026">
        <f ca="1">'5.分产品利润表'!O$28</f>
        <v>0.22648148810944946</v>
      </c>
      <c r="H53" s="1028">
        <f>'5.分产品利润表'!AB$28</f>
        <v>0</v>
      </c>
      <c r="I53" s="1028">
        <f>'5.分产品利润表'!AO$28</f>
        <v>0</v>
      </c>
      <c r="J53" s="1028">
        <f>'5.分产品利润表'!BB$28</f>
        <v>0</v>
      </c>
      <c r="K53" s="1028">
        <f>'5.分产品利润表'!BO$28</f>
        <v>0</v>
      </c>
      <c r="L53" s="1027">
        <f>'5.分产品利润表'!CB$28</f>
        <v>0</v>
      </c>
    </row>
    <row r="54" spans="1:12" ht="14.25">
      <c r="A54" s="1035"/>
      <c r="B54" s="1010" t="s">
        <v>646</v>
      </c>
      <c r="C54" s="1038">
        <f t="shared" si="20"/>
        <v>16047.337623033145</v>
      </c>
      <c r="D54" s="1039"/>
      <c r="E54" s="1040"/>
      <c r="F54" s="1041">
        <f>IFERROR(SUM('5.分产品利润表'!C6:L6)/SUM('5.分产品利润表'!C34:L34)*10000,0)</f>
        <v>16047.337623033145</v>
      </c>
      <c r="G54" s="1042">
        <f>IFERROR(SUM('5.分产品利润表'!P6:Y6)/SUM('5.分产品利润表'!P34:Y34)*10000,0)</f>
        <v>16047.337623033145</v>
      </c>
      <c r="H54" s="1043">
        <f>IFERROR(SUM('5.分产品利润表'!AC6:AL6)/SUM('5.分产品利润表'!AC34:AL34)*10000,0)</f>
        <v>0</v>
      </c>
      <c r="I54" s="1043">
        <f>IFERROR(SUM('5.分产品利润表'!AP6:AY6)/SUM('5.分产品利润表'!AP34:AY34)*10000,0)</f>
        <v>0</v>
      </c>
      <c r="J54" s="1043">
        <f>IFERROR(SUM('5.分产品利润表'!BC6:BL6)/SUM('5.分产品利润表'!BC34:BL34)*10000,0)</f>
        <v>0</v>
      </c>
      <c r="K54" s="1043">
        <f>IFERROR(SUM('5.分产品利润表'!BP6:BY6)/SUM('5.分产品利润表'!BP34:BY34)*10000,0)</f>
        <v>0</v>
      </c>
      <c r="L54" s="1055">
        <f>IFERROR(SUM('5.分产品利润表'!CC6:CL6)/SUM('5.分产品利润表'!CC34:CL34)*10000,0)</f>
        <v>0</v>
      </c>
    </row>
    <row r="55" spans="1:12" ht="14.25" outlineLevel="1">
      <c r="A55" s="1035"/>
      <c r="B55" s="1044" t="str">
        <f>'8.项目规划指标表'!B5</f>
        <v>高层</v>
      </c>
      <c r="C55" s="1045">
        <f t="shared" ref="C55:C67" si="21">F55</f>
        <v>15531.335999999999</v>
      </c>
      <c r="D55" s="1046"/>
      <c r="E55" s="1047"/>
      <c r="F55" s="1048">
        <f>IFERROR('5.分产品利润表'!C$6/'5.分产品利润表'!C$34*10000,0)</f>
        <v>15531.335999999999</v>
      </c>
      <c r="G55" s="1049">
        <f>'5.分产品利润表'!$C45</f>
        <v>15531.335999999999</v>
      </c>
      <c r="H55" s="1050">
        <f>'5.分产品利润表'!$C47</f>
        <v>0</v>
      </c>
      <c r="I55" s="1050">
        <f>'5.分产品利润表'!$C49</f>
        <v>0</v>
      </c>
      <c r="J55" s="1050">
        <f>'5.分产品利润表'!$C51</f>
        <v>0</v>
      </c>
      <c r="K55" s="1050">
        <f>'5.分产品利润表'!$C53</f>
        <v>0</v>
      </c>
      <c r="L55" s="1056">
        <f>'5.分产品利润表'!$C55</f>
        <v>0</v>
      </c>
    </row>
    <row r="56" spans="1:12" ht="14.25" outlineLevel="1">
      <c r="A56" s="1035"/>
      <c r="B56" s="1044" t="str">
        <f>'8.项目规划指标表'!B6</f>
        <v>商铺</v>
      </c>
      <c r="C56" s="1045">
        <f t="shared" si="21"/>
        <v>24000</v>
      </c>
      <c r="D56" s="1046"/>
      <c r="E56" s="1047"/>
      <c r="F56" s="1048">
        <f>IFERROR('5.分产品利润表'!D$6/'5.分产品利润表'!D$34*10000,0)</f>
        <v>24000</v>
      </c>
      <c r="G56" s="1049">
        <f>'5.分产品利润表'!$D45</f>
        <v>24000</v>
      </c>
      <c r="H56" s="1050">
        <f>'5.分产品利润表'!$D47</f>
        <v>0</v>
      </c>
      <c r="I56" s="1050">
        <f>'5.分产品利润表'!$D49</f>
        <v>0</v>
      </c>
      <c r="J56" s="1050">
        <f>'5.分产品利润表'!$D51</f>
        <v>0</v>
      </c>
      <c r="K56" s="1050">
        <f>'5.分产品利润表'!$D53</f>
        <v>0</v>
      </c>
      <c r="L56" s="1056">
        <f>'5.分产品利润表'!$D55</f>
        <v>0</v>
      </c>
    </row>
    <row r="57" spans="1:12" ht="14.25" outlineLevel="1">
      <c r="A57" s="1035"/>
      <c r="B57" s="1044" t="str">
        <f>'8.项目规划指标表'!B7</f>
        <v>回迁商业</v>
      </c>
      <c r="C57" s="1045">
        <f t="shared" si="21"/>
        <v>0</v>
      </c>
      <c r="D57" s="1046"/>
      <c r="E57" s="1047"/>
      <c r="F57" s="1048">
        <f>IFERROR('5.分产品利润表'!E$6/'5.分产品利润表'!E$34*10000,0)</f>
        <v>0</v>
      </c>
      <c r="G57" s="1049">
        <f>'5.分产品利润表'!$E45</f>
        <v>0</v>
      </c>
      <c r="H57" s="1050">
        <f>'5.分产品利润表'!$E47</f>
        <v>0</v>
      </c>
      <c r="I57" s="1050">
        <f>'5.分产品利润表'!$E49</f>
        <v>0</v>
      </c>
      <c r="J57" s="1050">
        <f>'5.分产品利润表'!$E51</f>
        <v>0</v>
      </c>
      <c r="K57" s="1050">
        <f>'5.分产品利润表'!$E53</f>
        <v>0</v>
      </c>
      <c r="L57" s="1056">
        <f>'5.分产品利润表'!$E55</f>
        <v>0</v>
      </c>
    </row>
    <row r="58" spans="1:12" ht="14.25" outlineLevel="1">
      <c r="A58" s="1035"/>
      <c r="B58" s="1044">
        <f>'8.项目规划指标表'!B8</f>
        <v>0</v>
      </c>
      <c r="C58" s="1045">
        <f t="shared" si="21"/>
        <v>0</v>
      </c>
      <c r="D58" s="1046"/>
      <c r="E58" s="1047"/>
      <c r="F58" s="1048">
        <f>IFERROR('5.分产品利润表'!F$6/'5.分产品利润表'!F$34*10000,0)</f>
        <v>0</v>
      </c>
      <c r="G58" s="1049">
        <f>'5.分产品利润表'!$F45</f>
        <v>0</v>
      </c>
      <c r="H58" s="1050">
        <f>'5.分产品利润表'!$F47</f>
        <v>0</v>
      </c>
      <c r="I58" s="1050">
        <f>'5.分产品利润表'!$F49</f>
        <v>0</v>
      </c>
      <c r="J58" s="1050">
        <f>'5.分产品利润表'!$F51</f>
        <v>0</v>
      </c>
      <c r="K58" s="1050">
        <f>'5.分产品利润表'!$F53</f>
        <v>0</v>
      </c>
      <c r="L58" s="1056">
        <f>'5.分产品利润表'!$F55</f>
        <v>0</v>
      </c>
    </row>
    <row r="59" spans="1:12" ht="14.25" outlineLevel="1">
      <c r="A59" s="1035"/>
      <c r="B59" s="1044">
        <f>'8.项目规划指标表'!B9</f>
        <v>0</v>
      </c>
      <c r="C59" s="1045">
        <f t="shared" si="21"/>
        <v>0</v>
      </c>
      <c r="D59" s="1046"/>
      <c r="E59" s="1047"/>
      <c r="F59" s="1048">
        <f>IFERROR('5.分产品利润表'!G$6/'5.分产品利润表'!G$34*10000,0)</f>
        <v>0</v>
      </c>
      <c r="G59" s="1049">
        <f>'5.分产品利润表'!$G45</f>
        <v>0</v>
      </c>
      <c r="H59" s="1050">
        <f>'5.分产品利润表'!$G47</f>
        <v>0</v>
      </c>
      <c r="I59" s="1050">
        <f>'5.分产品利润表'!$G49</f>
        <v>0</v>
      </c>
      <c r="J59" s="1050">
        <f>'5.分产品利润表'!$G51</f>
        <v>0</v>
      </c>
      <c r="K59" s="1050">
        <f>'5.分产品利润表'!$G53</f>
        <v>0</v>
      </c>
      <c r="L59" s="1056">
        <f>'5.分产品利润表'!$G55</f>
        <v>0</v>
      </c>
    </row>
    <row r="60" spans="1:12" ht="14.25" outlineLevel="1">
      <c r="A60" s="1035"/>
      <c r="B60" s="1044">
        <f>'8.项目规划指标表'!B10</f>
        <v>0</v>
      </c>
      <c r="C60" s="1045">
        <f t="shared" si="21"/>
        <v>0</v>
      </c>
      <c r="D60" s="1046"/>
      <c r="E60" s="1047"/>
      <c r="F60" s="1048">
        <f>IFERROR('5.分产品利润表'!H$6/'5.分产品利润表'!H$34*10000,0)</f>
        <v>0</v>
      </c>
      <c r="G60" s="1049">
        <f>'5.分产品利润表'!$H45</f>
        <v>0</v>
      </c>
      <c r="H60" s="1050">
        <f>'5.分产品利润表'!$H47</f>
        <v>0</v>
      </c>
      <c r="I60" s="1050">
        <f>'5.分产品利润表'!$H49</f>
        <v>0</v>
      </c>
      <c r="J60" s="1050">
        <f>'5.分产品利润表'!$H51</f>
        <v>0</v>
      </c>
      <c r="K60" s="1050">
        <f>'5.分产品利润表'!$H53</f>
        <v>0</v>
      </c>
      <c r="L60" s="1056">
        <f>'5.分产品利润表'!$H55</f>
        <v>0</v>
      </c>
    </row>
    <row r="61" spans="1:12" ht="14.25" outlineLevel="1">
      <c r="A61" s="1035"/>
      <c r="B61" s="1044">
        <f>'8.项目规划指标表'!B11</f>
        <v>0</v>
      </c>
      <c r="C61" s="1045">
        <f t="shared" si="21"/>
        <v>0</v>
      </c>
      <c r="D61" s="1046"/>
      <c r="E61" s="1047"/>
      <c r="F61" s="1048">
        <f>IFERROR('5.分产品利润表'!I$6/'5.分产品利润表'!I$34*10000,0)</f>
        <v>0</v>
      </c>
      <c r="G61" s="1049">
        <f>'5.分产品利润表'!$I45</f>
        <v>0</v>
      </c>
      <c r="H61" s="1050">
        <f>'5.分产品利润表'!$I47</f>
        <v>0</v>
      </c>
      <c r="I61" s="1050">
        <f>'5.分产品利润表'!$I49</f>
        <v>0</v>
      </c>
      <c r="J61" s="1050">
        <f>'5.分产品利润表'!$I51</f>
        <v>0</v>
      </c>
      <c r="K61" s="1050">
        <f>'5.分产品利润表'!$I53</f>
        <v>0</v>
      </c>
      <c r="L61" s="1056">
        <f>'5.分产品利润表'!$I55</f>
        <v>0</v>
      </c>
    </row>
    <row r="62" spans="1:12" ht="14.25" outlineLevel="1">
      <c r="A62" s="1035"/>
      <c r="B62" s="1044">
        <f>'8.项目规划指标表'!B12</f>
        <v>0</v>
      </c>
      <c r="C62" s="1045">
        <f t="shared" si="21"/>
        <v>0</v>
      </c>
      <c r="D62" s="1046"/>
      <c r="E62" s="1047"/>
      <c r="F62" s="1048">
        <f>IFERROR('5.分产品利润表'!J$6/'5.分产品利润表'!J$34*10000,0)</f>
        <v>0</v>
      </c>
      <c r="G62" s="1049">
        <f>'5.分产品利润表'!$J45</f>
        <v>0</v>
      </c>
      <c r="H62" s="1050">
        <f>'5.分产品利润表'!$J47</f>
        <v>0</v>
      </c>
      <c r="I62" s="1050">
        <f>'5.分产品利润表'!$J49</f>
        <v>0</v>
      </c>
      <c r="J62" s="1050">
        <f>'5.分产品利润表'!$J51</f>
        <v>0</v>
      </c>
      <c r="K62" s="1050">
        <f>'5.分产品利润表'!$J53</f>
        <v>0</v>
      </c>
      <c r="L62" s="1056">
        <f>'5.分产品利润表'!$J55</f>
        <v>0</v>
      </c>
    </row>
    <row r="63" spans="1:12" ht="14.25" outlineLevel="1">
      <c r="A63" s="1035"/>
      <c r="B63" s="1044">
        <f>'8.项目规划指标表'!B13</f>
        <v>0</v>
      </c>
      <c r="C63" s="1045">
        <f t="shared" si="21"/>
        <v>0</v>
      </c>
      <c r="D63" s="1046"/>
      <c r="E63" s="1047"/>
      <c r="F63" s="1048">
        <f>IFERROR('5.分产品利润表'!K$6/'5.分产品利润表'!K$34*10000,0)</f>
        <v>0</v>
      </c>
      <c r="G63" s="1049">
        <f>'5.分产品利润表'!$K45</f>
        <v>0</v>
      </c>
      <c r="H63" s="1050">
        <f>'5.分产品利润表'!$K47</f>
        <v>0</v>
      </c>
      <c r="I63" s="1050">
        <f>'5.分产品利润表'!$K49</f>
        <v>0</v>
      </c>
      <c r="J63" s="1050">
        <f>'5.分产品利润表'!$K51</f>
        <v>0</v>
      </c>
      <c r="K63" s="1050">
        <f>'5.分产品利润表'!$K53</f>
        <v>0</v>
      </c>
      <c r="L63" s="1056">
        <f>'5.分产品利润表'!$K55</f>
        <v>0</v>
      </c>
    </row>
    <row r="64" spans="1:12" ht="14.25" outlineLevel="1">
      <c r="A64" s="1035"/>
      <c r="B64" s="1044" t="str">
        <f>'8.项目规划指标表'!B14</f>
        <v>自持物业</v>
      </c>
      <c r="C64" s="1045">
        <f t="shared" si="21"/>
        <v>0</v>
      </c>
      <c r="D64" s="1046"/>
      <c r="E64" s="1047"/>
      <c r="F64" s="1048">
        <f>IFERROR('5.分产品利润表'!L$6/'5.分产品利润表'!L$34*10000,0)</f>
        <v>0</v>
      </c>
      <c r="G64" s="1049">
        <f>'5.分产品利润表'!$L45</f>
        <v>0</v>
      </c>
      <c r="H64" s="1050">
        <f>'5.分产品利润表'!$L47</f>
        <v>0</v>
      </c>
      <c r="I64" s="1050">
        <f>'5.分产品利润表'!$L49</f>
        <v>0</v>
      </c>
      <c r="J64" s="1050">
        <f>'5.分产品利润表'!$L51</f>
        <v>0</v>
      </c>
      <c r="K64" s="1050">
        <f>'5.分产品利润表'!$L53</f>
        <v>0</v>
      </c>
      <c r="L64" s="1056">
        <f>'5.分产品利润表'!$L55</f>
        <v>0</v>
      </c>
    </row>
    <row r="65" spans="1:18" ht="14.25" outlineLevel="1">
      <c r="A65" s="1035"/>
      <c r="B65" s="1044" t="str">
        <f>'8.项目规划指标表'!B18</f>
        <v>有产权车库(个)</v>
      </c>
      <c r="C65" s="1045">
        <f t="shared" si="21"/>
        <v>112000</v>
      </c>
      <c r="D65" s="1046"/>
      <c r="E65" s="1047"/>
      <c r="F65" s="1048">
        <f>IFERROR('5.分产品利润表'!M$6/'8.项目规划指标表'!E18*10000,0)</f>
        <v>112000</v>
      </c>
      <c r="G65" s="1049">
        <f>'5.分产品利润表'!$M45</f>
        <v>112000</v>
      </c>
      <c r="H65" s="1050">
        <f>'5.分产品利润表'!$M47</f>
        <v>0</v>
      </c>
      <c r="I65" s="1050">
        <f>'5.分产品利润表'!$M49</f>
        <v>0</v>
      </c>
      <c r="J65" s="1050">
        <f>'5.分产品利润表'!$M51</f>
        <v>0</v>
      </c>
      <c r="K65" s="1050">
        <f>'5.分产品利润表'!$M53</f>
        <v>0</v>
      </c>
      <c r="L65" s="1056">
        <f>'5.分产品利润表'!$M55</f>
        <v>0</v>
      </c>
    </row>
    <row r="66" spans="1:18" ht="14.25" outlineLevel="1">
      <c r="A66" s="1035"/>
      <c r="B66" s="1044" t="str">
        <f>'8.项目规划指标表'!B19</f>
        <v>无产权车库(个)</v>
      </c>
      <c r="C66" s="1045">
        <f t="shared" si="21"/>
        <v>0</v>
      </c>
      <c r="D66" s="1046"/>
      <c r="E66" s="1047"/>
      <c r="F66" s="1048">
        <f>IFERROR('5.分产品利润表'!N$6/'5.分产品利润表'!N$34*10000,0)</f>
        <v>0</v>
      </c>
      <c r="G66" s="1049">
        <f>'5.分产品利润表'!$N45</f>
        <v>0</v>
      </c>
      <c r="H66" s="1050">
        <f>'5.分产品利润表'!$N47</f>
        <v>0</v>
      </c>
      <c r="I66" s="1050">
        <f>'5.分产品利润表'!$N49</f>
        <v>0</v>
      </c>
      <c r="J66" s="1050">
        <f>'5.分产品利润表'!$N51</f>
        <v>0</v>
      </c>
      <c r="K66" s="1050">
        <f>'5.分产品利润表'!$N53</f>
        <v>0</v>
      </c>
      <c r="L66" s="1056">
        <f>'5.分产品利润表'!$N55</f>
        <v>0</v>
      </c>
    </row>
    <row r="67" spans="1:18" ht="15" customHeight="1">
      <c r="A67" s="1035"/>
      <c r="B67" s="1057" t="s">
        <v>647</v>
      </c>
      <c r="C67" s="1038">
        <f t="shared" ca="1" si="21"/>
        <v>11446.599683818811</v>
      </c>
      <c r="D67" s="1039"/>
      <c r="E67" s="1040"/>
      <c r="F67" s="1058">
        <f t="shared" ref="F67:L67" ca="1" si="22">SUM(F80,F93,F106,F119)</f>
        <v>11446.599683818811</v>
      </c>
      <c r="G67" s="1042">
        <f t="shared" ca="1" si="22"/>
        <v>11446.599683818811</v>
      </c>
      <c r="H67" s="1043">
        <f t="shared" ca="1" si="22"/>
        <v>0</v>
      </c>
      <c r="I67" s="1043">
        <f t="shared" ca="1" si="22"/>
        <v>0</v>
      </c>
      <c r="J67" s="1043">
        <f t="shared" ca="1" si="22"/>
        <v>0</v>
      </c>
      <c r="K67" s="1043">
        <f t="shared" ca="1" si="22"/>
        <v>0</v>
      </c>
      <c r="L67" s="1055">
        <f t="shared" ca="1" si="22"/>
        <v>0</v>
      </c>
    </row>
    <row r="68" spans="1:18" ht="14.25" outlineLevel="2">
      <c r="A68" s="1035"/>
      <c r="B68" s="1044" t="str">
        <f>B55</f>
        <v>高层</v>
      </c>
      <c r="C68" s="1045">
        <f t="shared" ref="C68:C81" ca="1" si="23">F68</f>
        <v>10728.827066047845</v>
      </c>
      <c r="D68" s="1046"/>
      <c r="E68" s="1047"/>
      <c r="F68" s="1058">
        <f t="shared" ref="F68:F79" ca="1" si="24">SUM(F81,F94,F107,F120)</f>
        <v>10728.827066047845</v>
      </c>
      <c r="G68" s="1049">
        <f t="shared" ref="G68:L68" ca="1" si="25">SUM(G81,G94,G107,G120)</f>
        <v>10728.827066047845</v>
      </c>
      <c r="H68" s="1050">
        <f t="shared" ca="1" si="25"/>
        <v>0</v>
      </c>
      <c r="I68" s="1050">
        <f t="shared" ca="1" si="25"/>
        <v>0</v>
      </c>
      <c r="J68" s="1050">
        <f t="shared" ca="1" si="25"/>
        <v>0</v>
      </c>
      <c r="K68" s="1050">
        <f t="shared" ca="1" si="25"/>
        <v>0</v>
      </c>
      <c r="L68" s="1056">
        <f t="shared" ca="1" si="25"/>
        <v>0</v>
      </c>
    </row>
    <row r="69" spans="1:18" ht="14.25" outlineLevel="2">
      <c r="A69" s="1035"/>
      <c r="B69" s="1044" t="str">
        <f t="shared" ref="B69:B79" si="26">B56</f>
        <v>商铺</v>
      </c>
      <c r="C69" s="1045">
        <f t="shared" ca="1" si="23"/>
        <v>27943.060922683955</v>
      </c>
      <c r="D69" s="1046"/>
      <c r="E69" s="1047"/>
      <c r="F69" s="1058">
        <f t="shared" ca="1" si="24"/>
        <v>27943.060922683955</v>
      </c>
      <c r="G69" s="1049">
        <f t="shared" ref="G69:G79" ca="1" si="27">SUM(G82,G95,G108,G121)</f>
        <v>27943.060922683955</v>
      </c>
      <c r="H69" s="1050">
        <f t="shared" ref="H69:L79" ca="1" si="28">SUM(H82,H95,H108,H121)</f>
        <v>0</v>
      </c>
      <c r="I69" s="1050">
        <f t="shared" ca="1" si="28"/>
        <v>0</v>
      </c>
      <c r="J69" s="1050">
        <f t="shared" ca="1" si="28"/>
        <v>0</v>
      </c>
      <c r="K69" s="1050">
        <f t="shared" ca="1" si="28"/>
        <v>0</v>
      </c>
      <c r="L69" s="1056">
        <f t="shared" ca="1" si="28"/>
        <v>0</v>
      </c>
    </row>
    <row r="70" spans="1:18" ht="14.25" outlineLevel="2">
      <c r="A70" s="1035"/>
      <c r="B70" s="1044" t="str">
        <f t="shared" si="26"/>
        <v>回迁商业</v>
      </c>
      <c r="C70" s="1045">
        <f t="shared" ca="1" si="23"/>
        <v>0</v>
      </c>
      <c r="D70" s="1046"/>
      <c r="E70" s="1047"/>
      <c r="F70" s="1058">
        <f t="shared" ca="1" si="24"/>
        <v>0</v>
      </c>
      <c r="G70" s="1049">
        <f t="shared" si="27"/>
        <v>0</v>
      </c>
      <c r="H70" s="1050">
        <f t="shared" ca="1" si="28"/>
        <v>0</v>
      </c>
      <c r="I70" s="1050">
        <f t="shared" ca="1" si="28"/>
        <v>0</v>
      </c>
      <c r="J70" s="1050">
        <f t="shared" ca="1" si="28"/>
        <v>0</v>
      </c>
      <c r="K70" s="1050">
        <f t="shared" ca="1" si="28"/>
        <v>0</v>
      </c>
      <c r="L70" s="1056">
        <f t="shared" ca="1" si="28"/>
        <v>0</v>
      </c>
    </row>
    <row r="71" spans="1:18" ht="14.25" outlineLevel="2">
      <c r="A71" s="1035"/>
      <c r="B71" s="1044">
        <f t="shared" si="26"/>
        <v>0</v>
      </c>
      <c r="C71" s="1045">
        <f t="shared" ca="1" si="23"/>
        <v>0</v>
      </c>
      <c r="D71" s="1046"/>
      <c r="E71" s="1047"/>
      <c r="F71" s="1058">
        <f t="shared" ca="1" si="24"/>
        <v>0</v>
      </c>
      <c r="G71" s="1049">
        <f t="shared" ca="1" si="27"/>
        <v>0</v>
      </c>
      <c r="H71" s="1050">
        <f t="shared" ca="1" si="28"/>
        <v>0</v>
      </c>
      <c r="I71" s="1050">
        <f t="shared" ca="1" si="28"/>
        <v>0</v>
      </c>
      <c r="J71" s="1050">
        <f t="shared" ca="1" si="28"/>
        <v>0</v>
      </c>
      <c r="K71" s="1050">
        <f t="shared" ca="1" si="28"/>
        <v>0</v>
      </c>
      <c r="L71" s="1056">
        <f t="shared" ca="1" si="28"/>
        <v>0</v>
      </c>
    </row>
    <row r="72" spans="1:18" ht="14.25" outlineLevel="2">
      <c r="A72" s="1035"/>
      <c r="B72" s="1044">
        <f t="shared" si="26"/>
        <v>0</v>
      </c>
      <c r="C72" s="1045">
        <f t="shared" ca="1" si="23"/>
        <v>0</v>
      </c>
      <c r="D72" s="1046"/>
      <c r="E72" s="1047"/>
      <c r="F72" s="1058">
        <f t="shared" ca="1" si="24"/>
        <v>0</v>
      </c>
      <c r="G72" s="1049">
        <f t="shared" ca="1" si="27"/>
        <v>0</v>
      </c>
      <c r="H72" s="1050">
        <f t="shared" ca="1" si="28"/>
        <v>0</v>
      </c>
      <c r="I72" s="1050">
        <f t="shared" ca="1" si="28"/>
        <v>0</v>
      </c>
      <c r="J72" s="1050">
        <f t="shared" ca="1" si="28"/>
        <v>0</v>
      </c>
      <c r="K72" s="1050">
        <f t="shared" ca="1" si="28"/>
        <v>0</v>
      </c>
      <c r="L72" s="1056">
        <f t="shared" ca="1" si="28"/>
        <v>0</v>
      </c>
    </row>
    <row r="73" spans="1:18" ht="14.25" outlineLevel="2">
      <c r="A73" s="1035"/>
      <c r="B73" s="1044">
        <f t="shared" si="26"/>
        <v>0</v>
      </c>
      <c r="C73" s="1045">
        <f t="shared" ca="1" si="23"/>
        <v>0</v>
      </c>
      <c r="D73" s="1046"/>
      <c r="E73" s="1047"/>
      <c r="F73" s="1058">
        <f t="shared" ca="1" si="24"/>
        <v>0</v>
      </c>
      <c r="G73" s="1049">
        <f t="shared" ca="1" si="27"/>
        <v>0</v>
      </c>
      <c r="H73" s="1050">
        <f t="shared" ca="1" si="28"/>
        <v>0</v>
      </c>
      <c r="I73" s="1050">
        <f t="shared" ca="1" si="28"/>
        <v>0</v>
      </c>
      <c r="J73" s="1050">
        <f t="shared" ca="1" si="28"/>
        <v>0</v>
      </c>
      <c r="K73" s="1050">
        <f t="shared" ca="1" si="28"/>
        <v>0</v>
      </c>
      <c r="L73" s="1056">
        <f t="shared" ca="1" si="28"/>
        <v>0</v>
      </c>
    </row>
    <row r="74" spans="1:18" ht="14.25" outlineLevel="2">
      <c r="A74" s="1035"/>
      <c r="B74" s="1044">
        <f t="shared" si="26"/>
        <v>0</v>
      </c>
      <c r="C74" s="1045">
        <f t="shared" ca="1" si="23"/>
        <v>0</v>
      </c>
      <c r="D74" s="1046"/>
      <c r="E74" s="1047"/>
      <c r="F74" s="1058">
        <f t="shared" ca="1" si="24"/>
        <v>0</v>
      </c>
      <c r="G74" s="1049">
        <f t="shared" ca="1" si="27"/>
        <v>0</v>
      </c>
      <c r="H74" s="1050">
        <f t="shared" ca="1" si="28"/>
        <v>0</v>
      </c>
      <c r="I74" s="1050">
        <f t="shared" ca="1" si="28"/>
        <v>0</v>
      </c>
      <c r="J74" s="1050">
        <f t="shared" ca="1" si="28"/>
        <v>0</v>
      </c>
      <c r="K74" s="1050">
        <f t="shared" ca="1" si="28"/>
        <v>0</v>
      </c>
      <c r="L74" s="1056">
        <f t="shared" ca="1" si="28"/>
        <v>0</v>
      </c>
    </row>
    <row r="75" spans="1:18" ht="14.25" outlineLevel="2">
      <c r="A75" s="1035"/>
      <c r="B75" s="1044">
        <f t="shared" si="26"/>
        <v>0</v>
      </c>
      <c r="C75" s="1045">
        <f t="shared" ca="1" si="23"/>
        <v>0</v>
      </c>
      <c r="D75" s="1046"/>
      <c r="E75" s="1047"/>
      <c r="F75" s="1058">
        <f t="shared" ca="1" si="24"/>
        <v>0</v>
      </c>
      <c r="G75" s="1049">
        <f t="shared" ca="1" si="27"/>
        <v>0</v>
      </c>
      <c r="H75" s="1050">
        <f t="shared" ca="1" si="28"/>
        <v>0</v>
      </c>
      <c r="I75" s="1050">
        <f t="shared" ca="1" si="28"/>
        <v>0</v>
      </c>
      <c r="J75" s="1050">
        <f t="shared" ca="1" si="28"/>
        <v>0</v>
      </c>
      <c r="K75" s="1050">
        <f t="shared" ca="1" si="28"/>
        <v>0</v>
      </c>
      <c r="L75" s="1056">
        <f t="shared" ca="1" si="28"/>
        <v>0</v>
      </c>
    </row>
    <row r="76" spans="1:18" ht="14.25" outlineLevel="2">
      <c r="A76" s="1035"/>
      <c r="B76" s="1044">
        <f t="shared" si="26"/>
        <v>0</v>
      </c>
      <c r="C76" s="1045">
        <f t="shared" ca="1" si="23"/>
        <v>0</v>
      </c>
      <c r="D76" s="1046"/>
      <c r="E76" s="1047"/>
      <c r="F76" s="1058">
        <f t="shared" ca="1" si="24"/>
        <v>0</v>
      </c>
      <c r="G76" s="1049">
        <f t="shared" ca="1" si="27"/>
        <v>0</v>
      </c>
      <c r="H76" s="1050">
        <f t="shared" ca="1" si="28"/>
        <v>0</v>
      </c>
      <c r="I76" s="1050">
        <f t="shared" ca="1" si="28"/>
        <v>0</v>
      </c>
      <c r="J76" s="1050">
        <f t="shared" ca="1" si="28"/>
        <v>0</v>
      </c>
      <c r="K76" s="1050">
        <f t="shared" ca="1" si="28"/>
        <v>0</v>
      </c>
      <c r="L76" s="1056">
        <f t="shared" ca="1" si="28"/>
        <v>0</v>
      </c>
    </row>
    <row r="77" spans="1:18" ht="14.25" outlineLevel="2">
      <c r="A77" s="1035"/>
      <c r="B77" s="1044" t="str">
        <f t="shared" si="26"/>
        <v>自持物业</v>
      </c>
      <c r="C77" s="1045">
        <f t="shared" ca="1" si="23"/>
        <v>0</v>
      </c>
      <c r="D77" s="1046"/>
      <c r="E77" s="1047"/>
      <c r="F77" s="1058">
        <f t="shared" ca="1" si="24"/>
        <v>0</v>
      </c>
      <c r="G77" s="1049">
        <f t="shared" ca="1" si="27"/>
        <v>0</v>
      </c>
      <c r="H77" s="1050">
        <f t="shared" ca="1" si="28"/>
        <v>0</v>
      </c>
      <c r="I77" s="1050">
        <f t="shared" ca="1" si="28"/>
        <v>0</v>
      </c>
      <c r="J77" s="1050">
        <f t="shared" ca="1" si="28"/>
        <v>0</v>
      </c>
      <c r="K77" s="1050">
        <f t="shared" ca="1" si="28"/>
        <v>0</v>
      </c>
      <c r="L77" s="1056">
        <f t="shared" ca="1" si="28"/>
        <v>0</v>
      </c>
    </row>
    <row r="78" spans="1:18" ht="14.25" outlineLevel="2">
      <c r="A78" s="1035"/>
      <c r="B78" s="1044" t="str">
        <f t="shared" si="26"/>
        <v>有产权车库(个)</v>
      </c>
      <c r="C78" s="1045">
        <f t="shared" ca="1" si="23"/>
        <v>56667.482428707721</v>
      </c>
      <c r="D78" s="1046"/>
      <c r="E78" s="1047"/>
      <c r="F78" s="1058">
        <f t="shared" ca="1" si="24"/>
        <v>56667.482428707721</v>
      </c>
      <c r="G78" s="1049">
        <f t="shared" ca="1" si="27"/>
        <v>57410.405184882577</v>
      </c>
      <c r="H78" s="1050">
        <f t="shared" ca="1" si="28"/>
        <v>0</v>
      </c>
      <c r="I78" s="1050">
        <f t="shared" ca="1" si="28"/>
        <v>0</v>
      </c>
      <c r="J78" s="1050">
        <f t="shared" ca="1" si="28"/>
        <v>0</v>
      </c>
      <c r="K78" s="1050">
        <f t="shared" ca="1" si="28"/>
        <v>0</v>
      </c>
      <c r="L78" s="1056">
        <f t="shared" ca="1" si="28"/>
        <v>0</v>
      </c>
    </row>
    <row r="79" spans="1:18" ht="14.25" outlineLevel="2">
      <c r="A79" s="1035"/>
      <c r="B79" s="1044" t="str">
        <f t="shared" si="26"/>
        <v>无产权车库(个)</v>
      </c>
      <c r="C79" s="1045">
        <f t="shared" ca="1" si="23"/>
        <v>0</v>
      </c>
      <c r="D79" s="1046"/>
      <c r="E79" s="1047"/>
      <c r="F79" s="1058">
        <f t="shared" ca="1" si="24"/>
        <v>0</v>
      </c>
      <c r="G79" s="1049">
        <f t="shared" ca="1" si="27"/>
        <v>0</v>
      </c>
      <c r="H79" s="1050">
        <f t="shared" ca="1" si="28"/>
        <v>0</v>
      </c>
      <c r="I79" s="1050">
        <f t="shared" ca="1" si="28"/>
        <v>0</v>
      </c>
      <c r="J79" s="1050">
        <f t="shared" ca="1" si="28"/>
        <v>0</v>
      </c>
      <c r="K79" s="1050">
        <f t="shared" ca="1" si="28"/>
        <v>0</v>
      </c>
      <c r="L79" s="1056">
        <f t="shared" ca="1" si="28"/>
        <v>0</v>
      </c>
    </row>
    <row r="80" spans="1:18" ht="14.25" outlineLevel="1">
      <c r="A80" s="1035"/>
      <c r="B80" s="1059" t="s">
        <v>648</v>
      </c>
      <c r="C80" s="1060">
        <f t="shared" si="23"/>
        <v>3424.8596108077982</v>
      </c>
      <c r="D80" s="1061"/>
      <c r="E80" s="1062"/>
      <c r="F80" s="1058">
        <f>'12.土地成本表'!C52</f>
        <v>3424.8596108077982</v>
      </c>
      <c r="G80" s="1042">
        <f>'12.土地成本表'!D52</f>
        <v>3424.8596108077982</v>
      </c>
      <c r="H80" s="1043">
        <f>'12.土地成本表'!E52</f>
        <v>0</v>
      </c>
      <c r="I80" s="1043">
        <f>'12.土地成本表'!F52</f>
        <v>0</v>
      </c>
      <c r="J80" s="1043">
        <f>'12.土地成本表'!G52</f>
        <v>0</v>
      </c>
      <c r="K80" s="1043">
        <f>'12.土地成本表'!H52</f>
        <v>0</v>
      </c>
      <c r="L80" s="1055">
        <f>'12.土地成本表'!I52</f>
        <v>0</v>
      </c>
      <c r="M80" s="424">
        <f>SUM(M81:M92)</f>
        <v>20460.111314965787</v>
      </c>
      <c r="N80" s="424">
        <f t="shared" ref="N80:R80" si="29">SUM(N81:N92)</f>
        <v>0</v>
      </c>
      <c r="O80" s="424">
        <f t="shared" si="29"/>
        <v>0</v>
      </c>
      <c r="P80" s="424">
        <f t="shared" si="29"/>
        <v>0</v>
      </c>
      <c r="Q80" s="424">
        <f t="shared" si="29"/>
        <v>0</v>
      </c>
      <c r="R80" s="424">
        <f t="shared" si="29"/>
        <v>0</v>
      </c>
    </row>
    <row r="81" spans="1:19" ht="14.25" outlineLevel="2">
      <c r="A81" s="1035"/>
      <c r="B81" s="1063" t="str">
        <f>'8.项目规划指标表'!B5</f>
        <v>高层</v>
      </c>
      <c r="C81" s="1045">
        <f t="shared" si="23"/>
        <v>2362.5472902890087</v>
      </c>
      <c r="D81" s="1046"/>
      <c r="E81" s="1047"/>
      <c r="F81" s="1058">
        <f>'12.土地成本表'!C42</f>
        <v>2362.5472902890087</v>
      </c>
      <c r="G81" s="1049">
        <f>'12.土地成本表'!D42</f>
        <v>2362.5472902890087</v>
      </c>
      <c r="H81" s="1050">
        <f>'12.土地成本表'!E42</f>
        <v>0</v>
      </c>
      <c r="I81" s="1050">
        <f>'12.土地成本表'!F42</f>
        <v>0</v>
      </c>
      <c r="J81" s="1050">
        <f>'12.土地成本表'!G42</f>
        <v>0</v>
      </c>
      <c r="K81" s="1050">
        <f>'12.土地成本表'!H42</f>
        <v>0</v>
      </c>
      <c r="L81" s="1056">
        <f>'12.土地成本表'!I42</f>
        <v>0</v>
      </c>
      <c r="M81" s="424">
        <f>G81*'8.项目规划指标表'!I5/10000</f>
        <v>13253.890298521339</v>
      </c>
      <c r="N81" s="424">
        <f>H81*'8.项目规划指标表'!M5/10000</f>
        <v>0</v>
      </c>
      <c r="O81" s="1065">
        <f>I81*'8.项目规划指标表'!Q5/10000</f>
        <v>0</v>
      </c>
      <c r="P81" s="424">
        <f>J81*'8.项目规划指标表'!U5/10000</f>
        <v>0</v>
      </c>
      <c r="Q81" s="424">
        <f>K81*'8.项目规划指标表'!Y5/10000</f>
        <v>0</v>
      </c>
      <c r="R81" s="424">
        <f>L81*'8.项目规划指标表'!AC5/10000</f>
        <v>0</v>
      </c>
      <c r="S81" s="424">
        <f>SUM(M81:R81)</f>
        <v>13253.890298521339</v>
      </c>
    </row>
    <row r="82" spans="1:19" ht="14.25" outlineLevel="2">
      <c r="A82" s="1035"/>
      <c r="B82" s="1063" t="str">
        <f>'8.项目规划指标表'!B6</f>
        <v>商铺</v>
      </c>
      <c r="C82" s="1045">
        <f t="shared" ref="C82:C131" si="30">F82</f>
        <v>19797.310484737493</v>
      </c>
      <c r="D82" s="1046"/>
      <c r="E82" s="1047"/>
      <c r="F82" s="1058">
        <f>'12.土地成本表'!C43</f>
        <v>19797.310484737493</v>
      </c>
      <c r="G82" s="1049">
        <f>'12.土地成本表'!D43</f>
        <v>19797.310484737493</v>
      </c>
      <c r="H82" s="1050">
        <f>'12.土地成本表'!E43</f>
        <v>0</v>
      </c>
      <c r="I82" s="1050">
        <f>'12.土地成本表'!F43</f>
        <v>0</v>
      </c>
      <c r="J82" s="1050">
        <f>'12.土地成本表'!G43</f>
        <v>0</v>
      </c>
      <c r="K82" s="1050">
        <f>'12.土地成本表'!H43</f>
        <v>0</v>
      </c>
      <c r="L82" s="1056">
        <f>'12.土地成本表'!I43</f>
        <v>0</v>
      </c>
      <c r="M82" s="424">
        <f>G82*'8.项目规划指标表'!I6/10000</f>
        <v>7206.2210164444477</v>
      </c>
      <c r="N82" s="424">
        <f>H82*'8.项目规划指标表'!M6/10000</f>
        <v>0</v>
      </c>
      <c r="O82" s="1065">
        <f>I82*'8.项目规划指标表'!Q6/10000</f>
        <v>0</v>
      </c>
      <c r="P82" s="424">
        <f>J82*'8.项目规划指标表'!U6/10000</f>
        <v>0</v>
      </c>
      <c r="Q82" s="424">
        <f>K82*'8.项目规划指标表'!Y6/10000</f>
        <v>0</v>
      </c>
      <c r="R82" s="424">
        <f>L82*'8.项目规划指标表'!AC6/10000</f>
        <v>0</v>
      </c>
      <c r="S82" s="424">
        <f t="shared" ref="S82:S91" si="31">SUM(M82:R82)</f>
        <v>7206.2210164444477</v>
      </c>
    </row>
    <row r="83" spans="1:19" ht="14.25" outlineLevel="2">
      <c r="A83" s="1035"/>
      <c r="B83" s="1063" t="str">
        <f>'8.项目规划指标表'!B7</f>
        <v>回迁商业</v>
      </c>
      <c r="C83" s="1045">
        <f t="shared" si="30"/>
        <v>0</v>
      </c>
      <c r="D83" s="1046"/>
      <c r="E83" s="1047"/>
      <c r="F83" s="1058">
        <f>'12.土地成本表'!C44</f>
        <v>0</v>
      </c>
      <c r="G83" s="1049">
        <f>'12.土地成本表'!D44</f>
        <v>0</v>
      </c>
      <c r="H83" s="1050">
        <f>'12.土地成本表'!E44</f>
        <v>0</v>
      </c>
      <c r="I83" s="1050">
        <f>'12.土地成本表'!F44</f>
        <v>0</v>
      </c>
      <c r="J83" s="1050">
        <f>'12.土地成本表'!G44</f>
        <v>0</v>
      </c>
      <c r="K83" s="1050">
        <f>'12.土地成本表'!H44</f>
        <v>0</v>
      </c>
      <c r="L83" s="1056">
        <f>'12.土地成本表'!I44</f>
        <v>0</v>
      </c>
      <c r="M83" s="424">
        <f>G83*'8.项目规划指标表'!I7/10000</f>
        <v>0</v>
      </c>
      <c r="N83" s="424">
        <f>H83*'8.项目规划指标表'!M7/10000</f>
        <v>0</v>
      </c>
      <c r="O83" s="1065">
        <f>I83*'8.项目规划指标表'!Q7/10000</f>
        <v>0</v>
      </c>
      <c r="P83" s="424">
        <f>J83*'8.项目规划指标表'!U7/10000</f>
        <v>0</v>
      </c>
      <c r="Q83" s="424">
        <f>K83*'8.项目规划指标表'!Y7/10000</f>
        <v>0</v>
      </c>
      <c r="R83" s="424">
        <f>L83*'8.项目规划指标表'!AC7/10000</f>
        <v>0</v>
      </c>
      <c r="S83" s="424">
        <f t="shared" si="31"/>
        <v>0</v>
      </c>
    </row>
    <row r="84" spans="1:19" ht="14.25" outlineLevel="2">
      <c r="A84" s="1035"/>
      <c r="B84" s="1063">
        <f>'8.项目规划指标表'!B8</f>
        <v>0</v>
      </c>
      <c r="C84" s="1045">
        <f t="shared" si="30"/>
        <v>0</v>
      </c>
      <c r="D84" s="1046"/>
      <c r="E84" s="1047"/>
      <c r="F84" s="1058">
        <f>'12.土地成本表'!C45</f>
        <v>0</v>
      </c>
      <c r="G84" s="1049">
        <f>'12.土地成本表'!D45</f>
        <v>0</v>
      </c>
      <c r="H84" s="1050">
        <f>'12.土地成本表'!E45</f>
        <v>0</v>
      </c>
      <c r="I84" s="1050">
        <f>'12.土地成本表'!F45</f>
        <v>0</v>
      </c>
      <c r="J84" s="1050">
        <f>'12.土地成本表'!G45</f>
        <v>0</v>
      </c>
      <c r="K84" s="1050">
        <f>'12.土地成本表'!H45</f>
        <v>0</v>
      </c>
      <c r="L84" s="1056">
        <f>'12.土地成本表'!I45</f>
        <v>0</v>
      </c>
      <c r="M84" s="424">
        <f>G84*'8.项目规划指标表'!I8/10000</f>
        <v>0</v>
      </c>
      <c r="N84" s="424">
        <f>H84*'8.项目规划指标表'!M8/10000</f>
        <v>0</v>
      </c>
      <c r="O84" s="1065">
        <f>I84*'8.项目规划指标表'!Q8/10000</f>
        <v>0</v>
      </c>
      <c r="P84" s="424">
        <f>J84*'8.项目规划指标表'!U8/10000</f>
        <v>0</v>
      </c>
      <c r="Q84" s="424">
        <f>K84*'8.项目规划指标表'!Y8/10000</f>
        <v>0</v>
      </c>
      <c r="R84" s="424">
        <f>L84*'8.项目规划指标表'!AC8/10000</f>
        <v>0</v>
      </c>
      <c r="S84" s="424">
        <f t="shared" si="31"/>
        <v>0</v>
      </c>
    </row>
    <row r="85" spans="1:19" ht="14.25" outlineLevel="2">
      <c r="A85" s="1035"/>
      <c r="B85" s="1063">
        <f>'8.项目规划指标表'!B9</f>
        <v>0</v>
      </c>
      <c r="C85" s="1045">
        <f t="shared" si="30"/>
        <v>0</v>
      </c>
      <c r="D85" s="1046"/>
      <c r="E85" s="1047"/>
      <c r="F85" s="1058">
        <f>'12.土地成本表'!C46</f>
        <v>0</v>
      </c>
      <c r="G85" s="1049">
        <f>'12.土地成本表'!D46</f>
        <v>0</v>
      </c>
      <c r="H85" s="1050">
        <f>'12.土地成本表'!E46</f>
        <v>0</v>
      </c>
      <c r="I85" s="1050">
        <f>'12.土地成本表'!F46</f>
        <v>0</v>
      </c>
      <c r="J85" s="1050">
        <f>'12.土地成本表'!G46</f>
        <v>0</v>
      </c>
      <c r="K85" s="1050">
        <f>'12.土地成本表'!H46</f>
        <v>0</v>
      </c>
      <c r="L85" s="1056">
        <f>'12.土地成本表'!I46</f>
        <v>0</v>
      </c>
      <c r="M85" s="424">
        <f>G85*'8.项目规划指标表'!I9/10000</f>
        <v>0</v>
      </c>
      <c r="N85" s="424">
        <f>H85*'8.项目规划指标表'!M9/10000</f>
        <v>0</v>
      </c>
      <c r="O85" s="1065">
        <f>I85*'8.项目规划指标表'!Q9/10000</f>
        <v>0</v>
      </c>
      <c r="P85" s="424">
        <f>J85*'8.项目规划指标表'!U9/10000</f>
        <v>0</v>
      </c>
      <c r="Q85" s="424">
        <f>K85*'8.项目规划指标表'!Y9/10000</f>
        <v>0</v>
      </c>
      <c r="R85" s="424">
        <f>L85*'8.项目规划指标表'!AC9/10000</f>
        <v>0</v>
      </c>
      <c r="S85" s="424">
        <f t="shared" si="31"/>
        <v>0</v>
      </c>
    </row>
    <row r="86" spans="1:19" ht="14.25" outlineLevel="2">
      <c r="A86" s="1035"/>
      <c r="B86" s="1063">
        <f>'8.项目规划指标表'!B10</f>
        <v>0</v>
      </c>
      <c r="C86" s="1045">
        <f t="shared" si="30"/>
        <v>0</v>
      </c>
      <c r="D86" s="1046"/>
      <c r="E86" s="1047"/>
      <c r="F86" s="1058">
        <f>'12.土地成本表'!C47</f>
        <v>0</v>
      </c>
      <c r="G86" s="1049">
        <f>'12.土地成本表'!D47</f>
        <v>0</v>
      </c>
      <c r="H86" s="1050">
        <f>'12.土地成本表'!E47</f>
        <v>0</v>
      </c>
      <c r="I86" s="1050">
        <f>'12.土地成本表'!F47</f>
        <v>0</v>
      </c>
      <c r="J86" s="1050">
        <f>'12.土地成本表'!G47</f>
        <v>0</v>
      </c>
      <c r="K86" s="1050">
        <f>'12.土地成本表'!H47</f>
        <v>0</v>
      </c>
      <c r="L86" s="1056">
        <f>'12.土地成本表'!I47</f>
        <v>0</v>
      </c>
      <c r="M86" s="424">
        <f>G86*'8.项目规划指标表'!I10/10000</f>
        <v>0</v>
      </c>
      <c r="N86" s="424">
        <f>H86*'8.项目规划指标表'!M10/10000</f>
        <v>0</v>
      </c>
      <c r="O86" s="1065">
        <f>I86*'8.项目规划指标表'!Q10/10000</f>
        <v>0</v>
      </c>
      <c r="P86" s="424">
        <f>J86*'8.项目规划指标表'!U10/10000</f>
        <v>0</v>
      </c>
      <c r="Q86" s="424">
        <f>K86*'8.项目规划指标表'!Y10/10000</f>
        <v>0</v>
      </c>
      <c r="R86" s="424">
        <f>L86*'8.项目规划指标表'!AC10/10000</f>
        <v>0</v>
      </c>
      <c r="S86" s="424">
        <f t="shared" si="31"/>
        <v>0</v>
      </c>
    </row>
    <row r="87" spans="1:19" ht="14.25" outlineLevel="2">
      <c r="A87" s="1035"/>
      <c r="B87" s="1063">
        <f>'8.项目规划指标表'!B11</f>
        <v>0</v>
      </c>
      <c r="C87" s="1045">
        <f t="shared" si="30"/>
        <v>0</v>
      </c>
      <c r="D87" s="1046"/>
      <c r="E87" s="1047"/>
      <c r="F87" s="1058">
        <f>'12.土地成本表'!C48</f>
        <v>0</v>
      </c>
      <c r="G87" s="1049">
        <f>'12.土地成本表'!D48</f>
        <v>0</v>
      </c>
      <c r="H87" s="1050">
        <f>'12.土地成本表'!E48</f>
        <v>0</v>
      </c>
      <c r="I87" s="1050">
        <f>'12.土地成本表'!F48</f>
        <v>0</v>
      </c>
      <c r="J87" s="1050">
        <f>'12.土地成本表'!G48</f>
        <v>0</v>
      </c>
      <c r="K87" s="1050">
        <f>'12.土地成本表'!H48</f>
        <v>0</v>
      </c>
      <c r="L87" s="1056">
        <f>'12.土地成本表'!I48</f>
        <v>0</v>
      </c>
      <c r="M87" s="424">
        <f>G87*'8.项目规划指标表'!I11/10000</f>
        <v>0</v>
      </c>
      <c r="N87" s="424">
        <f>H87*'8.项目规划指标表'!M11/10000</f>
        <v>0</v>
      </c>
      <c r="O87" s="1065">
        <f>I87*'8.项目规划指标表'!Q11/10000</f>
        <v>0</v>
      </c>
      <c r="P87" s="424">
        <f>J87*'8.项目规划指标表'!U11/10000</f>
        <v>0</v>
      </c>
      <c r="Q87" s="424">
        <f>K87*'8.项目规划指标表'!Y11/10000</f>
        <v>0</v>
      </c>
      <c r="R87" s="424">
        <f>L87*'8.项目规划指标表'!AC11/10000</f>
        <v>0</v>
      </c>
      <c r="S87" s="424">
        <f t="shared" si="31"/>
        <v>0</v>
      </c>
    </row>
    <row r="88" spans="1:19" ht="14.25" outlineLevel="2">
      <c r="A88" s="1035"/>
      <c r="B88" s="1063">
        <f>'8.项目规划指标表'!B12</f>
        <v>0</v>
      </c>
      <c r="C88" s="1045">
        <f t="shared" si="30"/>
        <v>0</v>
      </c>
      <c r="D88" s="1046"/>
      <c r="E88" s="1047"/>
      <c r="F88" s="1058">
        <f>'12.土地成本表'!C49</f>
        <v>0</v>
      </c>
      <c r="G88" s="1049">
        <f>'12.土地成本表'!D49</f>
        <v>0</v>
      </c>
      <c r="H88" s="1050">
        <f>'12.土地成本表'!E49</f>
        <v>0</v>
      </c>
      <c r="I88" s="1050">
        <f>'12.土地成本表'!F49</f>
        <v>0</v>
      </c>
      <c r="J88" s="1050">
        <f>'12.土地成本表'!G49</f>
        <v>0</v>
      </c>
      <c r="K88" s="1050">
        <f>'12.土地成本表'!H49</f>
        <v>0</v>
      </c>
      <c r="L88" s="1056">
        <f>'12.土地成本表'!I49</f>
        <v>0</v>
      </c>
      <c r="M88" s="424">
        <f>G88*'8.项目规划指标表'!I12/10000</f>
        <v>0</v>
      </c>
      <c r="N88" s="424">
        <f>H88*'8.项目规划指标表'!M12/10000</f>
        <v>0</v>
      </c>
      <c r="O88" s="1065">
        <f>I88*'8.项目规划指标表'!Q12/10000</f>
        <v>0</v>
      </c>
      <c r="P88" s="424">
        <f>J88*'8.项目规划指标表'!U12/10000</f>
        <v>0</v>
      </c>
      <c r="Q88" s="424">
        <f>K88*'8.项目规划指标表'!Y12/10000</f>
        <v>0</v>
      </c>
      <c r="R88" s="424">
        <f>L88*'8.项目规划指标表'!AC12/10000</f>
        <v>0</v>
      </c>
      <c r="S88" s="424">
        <f t="shared" si="31"/>
        <v>0</v>
      </c>
    </row>
    <row r="89" spans="1:19" ht="14.25" outlineLevel="2">
      <c r="A89" s="1035"/>
      <c r="B89" s="1063">
        <f>'8.项目规划指标表'!B13</f>
        <v>0</v>
      </c>
      <c r="C89" s="1045">
        <f t="shared" si="30"/>
        <v>0</v>
      </c>
      <c r="D89" s="1046"/>
      <c r="E89" s="1047"/>
      <c r="F89" s="1058">
        <f>'12.土地成本表'!C50</f>
        <v>0</v>
      </c>
      <c r="G89" s="1049">
        <f>'12.土地成本表'!D50</f>
        <v>0</v>
      </c>
      <c r="H89" s="1050">
        <f>'12.土地成本表'!E50</f>
        <v>0</v>
      </c>
      <c r="I89" s="1050">
        <f>'12.土地成本表'!F50</f>
        <v>0</v>
      </c>
      <c r="J89" s="1050">
        <f>'12.土地成本表'!G50</f>
        <v>0</v>
      </c>
      <c r="K89" s="1050">
        <f>'12.土地成本表'!H50</f>
        <v>0</v>
      </c>
      <c r="L89" s="1056">
        <f>'12.土地成本表'!I50</f>
        <v>0</v>
      </c>
      <c r="M89" s="424">
        <f>G89*'8.项目规划指标表'!I13/10000</f>
        <v>0</v>
      </c>
      <c r="N89" s="424">
        <f>H89*'8.项目规划指标表'!M13/10000</f>
        <v>0</v>
      </c>
      <c r="O89" s="1065">
        <f>I89*'8.项目规划指标表'!Q13/10000</f>
        <v>0</v>
      </c>
      <c r="P89" s="424">
        <f>J89*'8.项目规划指标表'!U13/10000</f>
        <v>0</v>
      </c>
      <c r="Q89" s="424">
        <f>K89*'8.项目规划指标表'!Y13/10000</f>
        <v>0</v>
      </c>
      <c r="R89" s="424">
        <f>L89*'8.项目规划指标表'!AC13/10000</f>
        <v>0</v>
      </c>
      <c r="S89" s="424">
        <f t="shared" si="31"/>
        <v>0</v>
      </c>
    </row>
    <row r="90" spans="1:19" ht="14.25" outlineLevel="2">
      <c r="A90" s="1035"/>
      <c r="B90" s="1063" t="str">
        <f>'8.项目规划指标表'!B14</f>
        <v>自持物业</v>
      </c>
      <c r="C90" s="1045">
        <f t="shared" si="30"/>
        <v>0</v>
      </c>
      <c r="D90" s="1046"/>
      <c r="E90" s="1047"/>
      <c r="F90" s="1058">
        <f>'12.土地成本表'!C51</f>
        <v>0</v>
      </c>
      <c r="G90" s="1049">
        <f>'12.土地成本表'!D51</f>
        <v>0</v>
      </c>
      <c r="H90" s="1050">
        <f>'12.土地成本表'!E51</f>
        <v>0</v>
      </c>
      <c r="I90" s="1050">
        <f>'12.土地成本表'!F51</f>
        <v>0</v>
      </c>
      <c r="J90" s="1050">
        <f>'12.土地成本表'!G51</f>
        <v>0</v>
      </c>
      <c r="K90" s="1050">
        <f>'12.土地成本表'!H51</f>
        <v>0</v>
      </c>
      <c r="L90" s="1056">
        <f>'12.土地成本表'!I51</f>
        <v>0</v>
      </c>
      <c r="M90" s="424">
        <f>G90*'8.项目规划指标表'!I14/10000</f>
        <v>0</v>
      </c>
      <c r="N90" s="424">
        <f>H90*'8.项目规划指标表'!M14/10000</f>
        <v>0</v>
      </c>
      <c r="O90" s="1065">
        <f>I90*'8.项目规划指标表'!Q14/10000</f>
        <v>0</v>
      </c>
      <c r="P90" s="424">
        <f>J90*'8.项目规划指标表'!U14/10000</f>
        <v>0</v>
      </c>
      <c r="Q90" s="424">
        <f>K90*'8.项目规划指标表'!Y14/10000</f>
        <v>0</v>
      </c>
      <c r="R90" s="424">
        <f>L90*'8.项目规划指标表'!AC14/10000</f>
        <v>0</v>
      </c>
      <c r="S90" s="424">
        <f t="shared" si="31"/>
        <v>0</v>
      </c>
    </row>
    <row r="91" spans="1:19" ht="14.25" outlineLevel="2">
      <c r="A91" s="1035"/>
      <c r="B91" s="1063" t="str">
        <f>'8.项目规划指标表'!B18</f>
        <v>有产权车库(个)</v>
      </c>
      <c r="C91" s="1045">
        <f t="shared" si="30"/>
        <v>0</v>
      </c>
      <c r="D91" s="1046"/>
      <c r="E91" s="1047"/>
      <c r="F91" s="1058">
        <v>0</v>
      </c>
      <c r="G91" s="1049">
        <v>0</v>
      </c>
      <c r="H91" s="1050">
        <v>0</v>
      </c>
      <c r="I91" s="1050">
        <v>0</v>
      </c>
      <c r="J91" s="1050">
        <v>0</v>
      </c>
      <c r="K91" s="1050">
        <v>0</v>
      </c>
      <c r="L91" s="1056">
        <v>0</v>
      </c>
      <c r="M91" s="424">
        <f>G91*'8.项目规划指标表'!I15/10000</f>
        <v>0</v>
      </c>
      <c r="N91" s="424">
        <f>H91*'8.项目规划指标表'!M15/10000</f>
        <v>0</v>
      </c>
      <c r="O91" s="1065">
        <f>I91*'8.项目规划指标表'!Q15/10000</f>
        <v>0</v>
      </c>
      <c r="P91" s="424">
        <f>J91*'8.项目规划指标表'!U15/10000</f>
        <v>0</v>
      </c>
      <c r="Q91" s="424">
        <f>K91*'8.项目规划指标表'!Y15/10000</f>
        <v>0</v>
      </c>
      <c r="R91" s="424">
        <f>L91*'8.项目规划指标表'!AC15/10000</f>
        <v>0</v>
      </c>
      <c r="S91" s="424">
        <f t="shared" si="31"/>
        <v>0</v>
      </c>
    </row>
    <row r="92" spans="1:19" ht="14.25" outlineLevel="2">
      <c r="A92" s="1035"/>
      <c r="B92" s="1063" t="str">
        <f>'8.项目规划指标表'!B19</f>
        <v>无产权车库(个)</v>
      </c>
      <c r="C92" s="1045">
        <f t="shared" si="30"/>
        <v>0</v>
      </c>
      <c r="D92" s="1046"/>
      <c r="E92" s="1047"/>
      <c r="F92" s="1058">
        <v>0</v>
      </c>
      <c r="G92" s="1049">
        <v>0</v>
      </c>
      <c r="H92" s="1050">
        <v>0</v>
      </c>
      <c r="I92" s="1050">
        <v>0</v>
      </c>
      <c r="J92" s="1050">
        <v>0</v>
      </c>
      <c r="K92" s="1050">
        <v>0</v>
      </c>
      <c r="L92" s="1056">
        <v>0</v>
      </c>
    </row>
    <row r="93" spans="1:19" ht="14.25" outlineLevel="1">
      <c r="A93" s="1035"/>
      <c r="B93" s="1059" t="s">
        <v>649</v>
      </c>
      <c r="C93" s="1060">
        <f t="shared" si="30"/>
        <v>4781.917026952442</v>
      </c>
      <c r="D93" s="1061"/>
      <c r="E93" s="1062"/>
      <c r="F93" s="1058">
        <f>IFERROR('5.分产品利润表'!B8/'8.项目规划指标表'!D22*10000,0)</f>
        <v>4781.917026952442</v>
      </c>
      <c r="G93" s="1042">
        <f>IFERROR('13.建安成本表'!E179/('8.项目规划指标表'!I16+'8.项目规划指标表'!H21)*10000,0)</f>
        <v>4781.917026952442</v>
      </c>
      <c r="H93" s="1043">
        <f>IFERROR('13.建安成本表'!H179/('8.项目规划指标表'!M16+'8.项目规划指标表'!L21)*10000,0)</f>
        <v>0</v>
      </c>
      <c r="I93" s="1043">
        <f>IFERROR('13.建安成本表'!K179/('8.项目规划指标表'!Q16+'8.项目规划指标表'!P21)*10000,0)</f>
        <v>0</v>
      </c>
      <c r="J93" s="1043">
        <f>IFERROR('13.建安成本表'!N179/('8.项目规划指标表'!U16+'8.项目规划指标表'!T21)*10000,0)</f>
        <v>0</v>
      </c>
      <c r="K93" s="1043">
        <f>IFERROR('13.建安成本表'!Q179/('8.项目规划指标表'!Y16+'8.项目规划指标表'!X21)*10000,0)</f>
        <v>0</v>
      </c>
      <c r="L93" s="1055">
        <f>IFERROR('13.建安成本表'!T179/('8.项目规划指标表'!AC16+'8.项目规划指标表'!AB21)*10000,0)</f>
        <v>0</v>
      </c>
      <c r="M93" s="424">
        <f>SUM(M94:M106)</f>
        <v>31190.531999999999</v>
      </c>
      <c r="N93" s="424">
        <f t="shared" ref="N93:R93" si="32">SUM(N94:N106)</f>
        <v>0</v>
      </c>
      <c r="O93" s="424">
        <f t="shared" si="32"/>
        <v>0</v>
      </c>
      <c r="P93" s="424">
        <f t="shared" si="32"/>
        <v>0</v>
      </c>
      <c r="Q93" s="424">
        <f t="shared" si="32"/>
        <v>0</v>
      </c>
      <c r="R93" s="424">
        <f t="shared" si="32"/>
        <v>0</v>
      </c>
      <c r="S93" s="424"/>
    </row>
    <row r="94" spans="1:19" ht="14.25" outlineLevel="2">
      <c r="A94" s="1035"/>
      <c r="B94" s="1063" t="str">
        <f>B81</f>
        <v>高层</v>
      </c>
      <c r="C94" s="1045">
        <f t="shared" si="30"/>
        <v>4850.1472711584711</v>
      </c>
      <c r="D94" s="1046"/>
      <c r="E94" s="1047"/>
      <c r="F94" s="1058">
        <f>IFERROR('5.分产品利润表'!C$8/'8.项目规划指标表'!E5*10000,0)</f>
        <v>4850.1472711584711</v>
      </c>
      <c r="G94" s="1049">
        <f>IFERROR('13.建安成本表'!E180/'8.项目规划指标表'!I5*10000,0)</f>
        <v>4850.1472711584711</v>
      </c>
      <c r="H94" s="1050">
        <f>IFERROR('13.建安成本表'!H180/'8.项目规划指标表'!M5*10000,0)</f>
        <v>0</v>
      </c>
      <c r="I94" s="1050">
        <f>IFERROR('13.建安成本表'!K180/'8.项目规划指标表'!Q5*10000,0)</f>
        <v>0</v>
      </c>
      <c r="J94" s="1050">
        <f>IFERROR('13.建安成本表'!N180/'8.项目规划指标表'!U5*10000,0)</f>
        <v>0</v>
      </c>
      <c r="K94" s="1050">
        <f>IFERROR('13.建安成本表'!Q180/'8.项目规划指标表'!Y5*10000,0)</f>
        <v>0</v>
      </c>
      <c r="L94" s="1056">
        <f>IFERROR('13.建安成本表'!T180/'8.项目规划指标表'!AC5*10000,0)</f>
        <v>0</v>
      </c>
      <c r="M94" s="424">
        <f>G94*'8.项目规划指标表'!I5/10000</f>
        <v>27209.326191199023</v>
      </c>
      <c r="N94" s="424">
        <f>H94*'8.项目规划指标表'!M5/10000</f>
        <v>0</v>
      </c>
      <c r="O94" s="424">
        <f>I94*'8.项目规划指标表'!Q5/10000</f>
        <v>0</v>
      </c>
      <c r="P94" s="424">
        <f>J94*'8.项目规划指标表'!U5/10000</f>
        <v>0</v>
      </c>
      <c r="Q94" s="424">
        <f>K94*'8.项目规划指标表'!Y5/10000</f>
        <v>0</v>
      </c>
      <c r="R94" s="424">
        <f>L94*'8.项目规划指标表'!AC5/10000</f>
        <v>0</v>
      </c>
      <c r="S94" s="424">
        <f>SUM(M94:R94)</f>
        <v>27209.326191199023</v>
      </c>
    </row>
    <row r="95" spans="1:19" ht="14.25" outlineLevel="2">
      <c r="A95" s="1035"/>
      <c r="B95" s="1063" t="str">
        <f t="shared" ref="B95:B105" si="33">B82</f>
        <v>商铺</v>
      </c>
      <c r="C95" s="1045">
        <f t="shared" si="30"/>
        <v>5805.2093648378504</v>
      </c>
      <c r="D95" s="1046"/>
      <c r="E95" s="1047"/>
      <c r="F95" s="1058">
        <f>IFERROR('5.分产品利润表'!D$8/'8.项目规划指标表'!E6*10000,0)</f>
        <v>5805.2093648378504</v>
      </c>
      <c r="G95" s="1049">
        <f>IFERROR('13.建安成本表'!E181/'8.项目规划指标表'!I6*10000,0)</f>
        <v>5805.2093648378504</v>
      </c>
      <c r="H95" s="1050">
        <f>IFERROR('13.建安成本表'!H181/'8.项目规划指标表'!M6*10000,0)</f>
        <v>0</v>
      </c>
      <c r="I95" s="1050">
        <f>IFERROR('13.建安成本表'!K181/'8.项目规划指标表'!Q6*10000,0)</f>
        <v>0</v>
      </c>
      <c r="J95" s="1050">
        <f>IFERROR('13.建安成本表'!N181/'8.项目规划指标表'!U6*10000,0)</f>
        <v>0</v>
      </c>
      <c r="K95" s="1050">
        <f>IFERROR('13.建安成本表'!Q181/'8.项目规划指标表'!Y6*10000,0)</f>
        <v>0</v>
      </c>
      <c r="L95" s="1056">
        <f>IFERROR('13.建安成本表'!T181/'8.项目规划指标表'!AC6*10000,0)</f>
        <v>0</v>
      </c>
      <c r="M95" s="424">
        <f>G95*'8.项目规划指标表'!I6/10000</f>
        <v>2113.0962088009774</v>
      </c>
      <c r="N95" s="424">
        <f>H95*'8.项目规划指标表'!M6/10000</f>
        <v>0</v>
      </c>
      <c r="O95" s="424">
        <f>I95*'8.项目规划指标表'!Q6/10000</f>
        <v>0</v>
      </c>
      <c r="P95" s="424">
        <f>J95*'8.项目规划指标表'!U6/10000</f>
        <v>0</v>
      </c>
      <c r="Q95" s="424">
        <f>K95*'8.项目规划指标表'!Y6/10000</f>
        <v>0</v>
      </c>
      <c r="R95" s="424">
        <f>L95*'8.项目规划指标表'!AC6/10000</f>
        <v>0</v>
      </c>
      <c r="S95" s="424">
        <f t="shared" ref="S95:S104" si="34">SUM(M95:R95)</f>
        <v>2113.0962088009774</v>
      </c>
    </row>
    <row r="96" spans="1:19" ht="14.25" outlineLevel="2">
      <c r="A96" s="1035"/>
      <c r="B96" s="1063" t="str">
        <f t="shared" si="33"/>
        <v>回迁商业</v>
      </c>
      <c r="C96" s="1045">
        <f t="shared" si="30"/>
        <v>0</v>
      </c>
      <c r="D96" s="1046"/>
      <c r="E96" s="1047"/>
      <c r="F96" s="1058">
        <f>IFERROR('5.分产品利润表'!E$8/'8.项目规划指标表'!E7*10000,0)</f>
        <v>0</v>
      </c>
      <c r="G96" s="1049">
        <f>IFERROR('13.建安成本表'!E182/'8.项目规划指标表'!I7*10000,0)</f>
        <v>0</v>
      </c>
      <c r="H96" s="1050">
        <f>IFERROR('13.建安成本表'!H182/'8.项目规划指标表'!M7*10000,0)</f>
        <v>0</v>
      </c>
      <c r="I96" s="1050">
        <f>IFERROR('13.建安成本表'!K182/'8.项目规划指标表'!Q7*10000,0)</f>
        <v>0</v>
      </c>
      <c r="J96" s="1050">
        <f>IFERROR('13.建安成本表'!N182/'8.项目规划指标表'!U7*10000,0)</f>
        <v>0</v>
      </c>
      <c r="K96" s="1050">
        <f>IFERROR('13.建安成本表'!Q182/'8.项目规划指标表'!Y7*10000,0)</f>
        <v>0</v>
      </c>
      <c r="L96" s="1056">
        <f>IFERROR('13.建安成本表'!T182/'8.项目规划指标表'!AC7*10000,0)</f>
        <v>0</v>
      </c>
      <c r="M96" s="424">
        <f>G96*'8.项目规划指标表'!I7/10000</f>
        <v>0</v>
      </c>
      <c r="N96" s="424">
        <f>H96*'8.项目规划指标表'!M7/10000</f>
        <v>0</v>
      </c>
      <c r="O96" s="424">
        <f>I96*'8.项目规划指标表'!Q7/10000</f>
        <v>0</v>
      </c>
      <c r="P96" s="424">
        <f>J96*'8.项目规划指标表'!U7/10000</f>
        <v>0</v>
      </c>
      <c r="Q96" s="424">
        <f>K96*'8.项目规划指标表'!Y7/10000</f>
        <v>0</v>
      </c>
      <c r="R96" s="424">
        <f>L96*'8.项目规划指标表'!AC7/10000</f>
        <v>0</v>
      </c>
      <c r="S96" s="424">
        <f t="shared" si="34"/>
        <v>0</v>
      </c>
    </row>
    <row r="97" spans="1:19" ht="14.25" outlineLevel="2">
      <c r="A97" s="1035"/>
      <c r="B97" s="1063">
        <f t="shared" si="33"/>
        <v>0</v>
      </c>
      <c r="C97" s="1045">
        <f t="shared" si="30"/>
        <v>0</v>
      </c>
      <c r="D97" s="1046"/>
      <c r="E97" s="1047"/>
      <c r="F97" s="1058">
        <f>IFERROR('5.分产品利润表'!F$8/'8.项目规划指标表'!E8*10000,0)</f>
        <v>0</v>
      </c>
      <c r="G97" s="1049">
        <f>IFERROR('13.建安成本表'!E183/'8.项目规划指标表'!I8*10000,0)</f>
        <v>0</v>
      </c>
      <c r="H97" s="1050">
        <f>IFERROR('13.建安成本表'!H183/'8.项目规划指标表'!M8*10000,0)</f>
        <v>0</v>
      </c>
      <c r="I97" s="1050">
        <f>IFERROR('13.建安成本表'!K183/'8.项目规划指标表'!Q8*10000,0)</f>
        <v>0</v>
      </c>
      <c r="J97" s="1050">
        <f>IFERROR('13.建安成本表'!N183/'8.项目规划指标表'!U8*10000,0)</f>
        <v>0</v>
      </c>
      <c r="K97" s="1050">
        <f>IFERROR('13.建安成本表'!Q183/'8.项目规划指标表'!Y8*10000,0)</f>
        <v>0</v>
      </c>
      <c r="L97" s="1056">
        <f>IFERROR('13.建安成本表'!T183/'8.项目规划指标表'!AC8*10000,0)</f>
        <v>0</v>
      </c>
      <c r="M97" s="424">
        <f>G97*'8.项目规划指标表'!I8/10000</f>
        <v>0</v>
      </c>
      <c r="N97" s="424">
        <f>H97*'8.项目规划指标表'!M8/10000</f>
        <v>0</v>
      </c>
      <c r="O97" s="424">
        <f>I97*'8.项目规划指标表'!Q8/10000</f>
        <v>0</v>
      </c>
      <c r="P97" s="424">
        <f>J97*'8.项目规划指标表'!U8/10000</f>
        <v>0</v>
      </c>
      <c r="Q97" s="424">
        <f>K97*'8.项目规划指标表'!Y8/10000</f>
        <v>0</v>
      </c>
      <c r="R97" s="424">
        <f>L97*'8.项目规划指标表'!AC8/10000</f>
        <v>0</v>
      </c>
      <c r="S97" s="424">
        <f t="shared" si="34"/>
        <v>0</v>
      </c>
    </row>
    <row r="98" spans="1:19" ht="14.25" outlineLevel="2">
      <c r="A98" s="1035"/>
      <c r="B98" s="1063">
        <f t="shared" si="33"/>
        <v>0</v>
      </c>
      <c r="C98" s="1045">
        <f t="shared" si="30"/>
        <v>0</v>
      </c>
      <c r="D98" s="1046"/>
      <c r="E98" s="1047"/>
      <c r="F98" s="1058">
        <f>IFERROR('5.分产品利润表'!G$8/'8.项目规划指标表'!E9*10000,0)</f>
        <v>0</v>
      </c>
      <c r="G98" s="1049">
        <f>IFERROR('13.建安成本表'!E184/'8.项目规划指标表'!I9*10000,0)</f>
        <v>0</v>
      </c>
      <c r="H98" s="1050">
        <f>IFERROR('13.建安成本表'!H184/'8.项目规划指标表'!M9*10000,0)</f>
        <v>0</v>
      </c>
      <c r="I98" s="1050">
        <f>IFERROR('13.建安成本表'!K184/'8.项目规划指标表'!Q9*10000,0)</f>
        <v>0</v>
      </c>
      <c r="J98" s="1050">
        <f>IFERROR('13.建安成本表'!N184/'8.项目规划指标表'!U9*10000,0)</f>
        <v>0</v>
      </c>
      <c r="K98" s="1050">
        <f>IFERROR('13.建安成本表'!Q184/'8.项目规划指标表'!Y9*10000,0)</f>
        <v>0</v>
      </c>
      <c r="L98" s="1056">
        <f>IFERROR('13.建安成本表'!T184/'8.项目规划指标表'!AC9*10000,0)</f>
        <v>0</v>
      </c>
      <c r="M98" s="424">
        <f>G98*'8.项目规划指标表'!I9/10000</f>
        <v>0</v>
      </c>
      <c r="N98" s="424">
        <f>H98*'8.项目规划指标表'!M9/10000</f>
        <v>0</v>
      </c>
      <c r="O98" s="424">
        <f>I98*'8.项目规划指标表'!Q9/10000</f>
        <v>0</v>
      </c>
      <c r="P98" s="424">
        <f>J98*'8.项目规划指标表'!U9/10000</f>
        <v>0</v>
      </c>
      <c r="Q98" s="424">
        <f>K98*'8.项目规划指标表'!Y9/10000</f>
        <v>0</v>
      </c>
      <c r="R98" s="424">
        <f>L98*'8.项目规划指标表'!AC9/10000</f>
        <v>0</v>
      </c>
      <c r="S98" s="424">
        <f t="shared" si="34"/>
        <v>0</v>
      </c>
    </row>
    <row r="99" spans="1:19" ht="14.25" outlineLevel="2">
      <c r="A99" s="1035"/>
      <c r="B99" s="1063">
        <f t="shared" si="33"/>
        <v>0</v>
      </c>
      <c r="C99" s="1045">
        <f t="shared" si="30"/>
        <v>0</v>
      </c>
      <c r="D99" s="1046"/>
      <c r="E99" s="1047"/>
      <c r="F99" s="1058">
        <f>IFERROR('5.分产品利润表'!H$8/'8.项目规划指标表'!E10*10000,0)</f>
        <v>0</v>
      </c>
      <c r="G99" s="1049">
        <f>IFERROR('13.建安成本表'!E185/'8.项目规划指标表'!I10*10000,0)</f>
        <v>0</v>
      </c>
      <c r="H99" s="1050">
        <f>IFERROR('13.建安成本表'!H185/'8.项目规划指标表'!M10*10000,0)</f>
        <v>0</v>
      </c>
      <c r="I99" s="1050">
        <f>IFERROR('13.建安成本表'!K185/'8.项目规划指标表'!Q10*10000,0)</f>
        <v>0</v>
      </c>
      <c r="J99" s="1050">
        <f>IFERROR('13.建安成本表'!N185/'8.项目规划指标表'!U10*10000,0)</f>
        <v>0</v>
      </c>
      <c r="K99" s="1050">
        <f>IFERROR('13.建安成本表'!Q185/'8.项目规划指标表'!Y10*10000,0)</f>
        <v>0</v>
      </c>
      <c r="L99" s="1056">
        <f>IFERROR('13.建安成本表'!T185/'8.项目规划指标表'!AC10*10000,0)</f>
        <v>0</v>
      </c>
      <c r="M99" s="424">
        <f>G99*'8.项目规划指标表'!I10/10000</f>
        <v>0</v>
      </c>
      <c r="N99" s="424">
        <f>H99*'8.项目规划指标表'!M10/10000</f>
        <v>0</v>
      </c>
      <c r="O99" s="424">
        <f>I99*'8.项目规划指标表'!Q10/10000</f>
        <v>0</v>
      </c>
      <c r="P99" s="424">
        <f>J99*'8.项目规划指标表'!U10/10000</f>
        <v>0</v>
      </c>
      <c r="Q99" s="424">
        <f>K99*'8.项目规划指标表'!Y10/10000</f>
        <v>0</v>
      </c>
      <c r="R99" s="424">
        <f>L99*'8.项目规划指标表'!AC10/10000</f>
        <v>0</v>
      </c>
      <c r="S99" s="424">
        <f t="shared" si="34"/>
        <v>0</v>
      </c>
    </row>
    <row r="100" spans="1:19" ht="14.25" outlineLevel="2">
      <c r="A100" s="1035"/>
      <c r="B100" s="1063">
        <f t="shared" si="33"/>
        <v>0</v>
      </c>
      <c r="C100" s="1045">
        <f t="shared" si="30"/>
        <v>0</v>
      </c>
      <c r="D100" s="1046"/>
      <c r="E100" s="1047"/>
      <c r="F100" s="1058">
        <f>IFERROR('5.分产品利润表'!I$8/'8.项目规划指标表'!E11*10000,0)</f>
        <v>0</v>
      </c>
      <c r="G100" s="1049">
        <f>IFERROR('13.建安成本表'!E186/'8.项目规划指标表'!I11*10000,0)</f>
        <v>0</v>
      </c>
      <c r="H100" s="1050">
        <f>IFERROR('13.建安成本表'!H186/'8.项目规划指标表'!M11*10000,0)</f>
        <v>0</v>
      </c>
      <c r="I100" s="1050">
        <f>IFERROR('13.建安成本表'!K186/'8.项目规划指标表'!Q11*10000,0)</f>
        <v>0</v>
      </c>
      <c r="J100" s="1050">
        <f>IFERROR('13.建安成本表'!N186/'8.项目规划指标表'!U11*10000,0)</f>
        <v>0</v>
      </c>
      <c r="K100" s="1050">
        <f>IFERROR('13.建安成本表'!Q186/'8.项目规划指标表'!Y11*10000,0)</f>
        <v>0</v>
      </c>
      <c r="L100" s="1056">
        <f>IFERROR('13.建安成本表'!T186/'8.项目规划指标表'!AC11*10000,0)</f>
        <v>0</v>
      </c>
      <c r="M100" s="424">
        <f>G100*'8.项目规划指标表'!I11/10000</f>
        <v>0</v>
      </c>
      <c r="N100" s="424">
        <f>H100*'8.项目规划指标表'!M11/10000</f>
        <v>0</v>
      </c>
      <c r="O100" s="424">
        <f>I100*'8.项目规划指标表'!Q11/10000</f>
        <v>0</v>
      </c>
      <c r="P100" s="424">
        <f>J100*'8.项目规划指标表'!U11/10000</f>
        <v>0</v>
      </c>
      <c r="Q100" s="424">
        <f>K100*'8.项目规划指标表'!Y11/10000</f>
        <v>0</v>
      </c>
      <c r="R100" s="424">
        <f>L100*'8.项目规划指标表'!AC11/10000</f>
        <v>0</v>
      </c>
      <c r="S100" s="424">
        <f t="shared" si="34"/>
        <v>0</v>
      </c>
    </row>
    <row r="101" spans="1:19" ht="14.25" outlineLevel="2">
      <c r="A101" s="1035"/>
      <c r="B101" s="1063">
        <f t="shared" si="33"/>
        <v>0</v>
      </c>
      <c r="C101" s="1045">
        <f t="shared" si="30"/>
        <v>0</v>
      </c>
      <c r="D101" s="1046"/>
      <c r="E101" s="1047"/>
      <c r="F101" s="1058">
        <f>IFERROR('5.分产品利润表'!J$8/'8.项目规划指标表'!E12*10000,0)</f>
        <v>0</v>
      </c>
      <c r="G101" s="1049">
        <f>IFERROR('13.建安成本表'!E187/'8.项目规划指标表'!I12*10000,0)</f>
        <v>0</v>
      </c>
      <c r="H101" s="1050">
        <f>IFERROR('13.建安成本表'!H187/'8.项目规划指标表'!M12*10000,0)</f>
        <v>0</v>
      </c>
      <c r="I101" s="1050">
        <f>IFERROR('13.建安成本表'!K187/'8.项目规划指标表'!Q12*10000,0)</f>
        <v>0</v>
      </c>
      <c r="J101" s="1050">
        <f>IFERROR('13.建安成本表'!N187/'8.项目规划指标表'!U12*10000,0)</f>
        <v>0</v>
      </c>
      <c r="K101" s="1050">
        <f>IFERROR('13.建安成本表'!Q187/'8.项目规划指标表'!Y12*10000,0)</f>
        <v>0</v>
      </c>
      <c r="L101" s="1056">
        <f>IFERROR('13.建安成本表'!T187/'8.项目规划指标表'!AC12*10000,0)</f>
        <v>0</v>
      </c>
      <c r="M101" s="424">
        <f>G101*'8.项目规划指标表'!I12/10000</f>
        <v>0</v>
      </c>
      <c r="N101" s="424">
        <f>H101*'8.项目规划指标表'!M12/10000</f>
        <v>0</v>
      </c>
      <c r="O101" s="424">
        <f>I101*'8.项目规划指标表'!Q12/10000</f>
        <v>0</v>
      </c>
      <c r="P101" s="424">
        <f>J101*'8.项目规划指标表'!U12/10000</f>
        <v>0</v>
      </c>
      <c r="Q101" s="424">
        <f>K101*'8.项目规划指标表'!Y12/10000</f>
        <v>0</v>
      </c>
      <c r="R101" s="424">
        <f>L101*'8.项目规划指标表'!AC12/10000</f>
        <v>0</v>
      </c>
      <c r="S101" s="424">
        <f t="shared" si="34"/>
        <v>0</v>
      </c>
    </row>
    <row r="102" spans="1:19" ht="14.25" outlineLevel="2">
      <c r="A102" s="1035"/>
      <c r="B102" s="1063">
        <f t="shared" si="33"/>
        <v>0</v>
      </c>
      <c r="C102" s="1045">
        <f t="shared" si="30"/>
        <v>0</v>
      </c>
      <c r="D102" s="1046"/>
      <c r="E102" s="1047"/>
      <c r="F102" s="1058">
        <f>IFERROR('5.分产品利润表'!K$8/'8.项目规划指标表'!E13*10000,0)</f>
        <v>0</v>
      </c>
      <c r="G102" s="1049">
        <f>IFERROR('13.建安成本表'!E188/'8.项目规划指标表'!I13*10000,0)</f>
        <v>0</v>
      </c>
      <c r="H102" s="1050">
        <f>IFERROR('13.建安成本表'!H188/'8.项目规划指标表'!M13*10000,0)</f>
        <v>0</v>
      </c>
      <c r="I102" s="1050">
        <f>IFERROR('13.建安成本表'!K188/'8.项目规划指标表'!Q13*10000,0)</f>
        <v>0</v>
      </c>
      <c r="J102" s="1050">
        <f>IFERROR('13.建安成本表'!N188/'8.项目规划指标表'!U13*10000,0)</f>
        <v>0</v>
      </c>
      <c r="K102" s="1050">
        <f>IFERROR('13.建安成本表'!Q188/'8.项目规划指标表'!Y13*10000,0)</f>
        <v>0</v>
      </c>
      <c r="L102" s="1056">
        <f>IFERROR('13.建安成本表'!T188/'8.项目规划指标表'!AC13*10000,0)</f>
        <v>0</v>
      </c>
      <c r="M102" s="424">
        <f>G102*'8.项目规划指标表'!I13/10000</f>
        <v>0</v>
      </c>
      <c r="N102" s="424">
        <f>H102*'8.项目规划指标表'!M13/10000</f>
        <v>0</v>
      </c>
      <c r="O102" s="424">
        <f>I102*'8.项目规划指标表'!Q13/10000</f>
        <v>0</v>
      </c>
      <c r="P102" s="424">
        <f>J102*'8.项目规划指标表'!U13/10000</f>
        <v>0</v>
      </c>
      <c r="Q102" s="424">
        <f>K102*'8.项目规划指标表'!Y13/10000</f>
        <v>0</v>
      </c>
      <c r="R102" s="424">
        <f>L102*'8.项目规划指标表'!AC13/10000</f>
        <v>0</v>
      </c>
      <c r="S102" s="424">
        <f t="shared" si="34"/>
        <v>0</v>
      </c>
    </row>
    <row r="103" spans="1:19" ht="14.25" outlineLevel="2">
      <c r="A103" s="1035"/>
      <c r="B103" s="1063" t="str">
        <f t="shared" si="33"/>
        <v>自持物业</v>
      </c>
      <c r="C103" s="1045">
        <f t="shared" si="30"/>
        <v>0</v>
      </c>
      <c r="D103" s="1046"/>
      <c r="E103" s="1047"/>
      <c r="F103" s="1058">
        <f>IFERROR('5.分产品利润表'!L$8/'8.项目规划指标表'!E14*10000,0)</f>
        <v>0</v>
      </c>
      <c r="G103" s="1049">
        <f>IFERROR('13.建安成本表'!E189/'8.项目规划指标表'!I14*10000,0)</f>
        <v>0</v>
      </c>
      <c r="H103" s="1050">
        <f>IFERROR('13.建安成本表'!H189/'8.项目规划指标表'!M14*10000,0)</f>
        <v>0</v>
      </c>
      <c r="I103" s="1050">
        <f>IFERROR('13.建安成本表'!K189/'8.项目规划指标表'!Q14*10000,0)</f>
        <v>0</v>
      </c>
      <c r="J103" s="1050">
        <f>IFERROR('13.建安成本表'!N189/'8.项目规划指标表'!U14*10000,0)</f>
        <v>0</v>
      </c>
      <c r="K103" s="1050">
        <f>IFERROR('13.建安成本表'!Q189/'8.项目规划指标表'!Y14*10000,0)</f>
        <v>0</v>
      </c>
      <c r="L103" s="1056">
        <f>IFERROR('13.建安成本表'!T189/'8.项目规划指标表'!AC14*10000,0)</f>
        <v>0</v>
      </c>
      <c r="M103" s="424">
        <f>G103*'8.项目规划指标表'!I14/10000</f>
        <v>0</v>
      </c>
      <c r="N103" s="424">
        <f>H103*'8.项目规划指标表'!M14/10000</f>
        <v>0</v>
      </c>
      <c r="O103" s="424">
        <f>I103*'8.项目规划指标表'!Q14/10000</f>
        <v>0</v>
      </c>
      <c r="P103" s="424">
        <f>J103*'8.项目规划指标表'!U14/10000</f>
        <v>0</v>
      </c>
      <c r="Q103" s="424">
        <f>K103*'8.项目规划指标表'!Y14/10000</f>
        <v>0</v>
      </c>
      <c r="R103" s="424">
        <f>L103*'8.项目规划指标表'!AC14/10000</f>
        <v>0</v>
      </c>
      <c r="S103" s="424">
        <f t="shared" si="34"/>
        <v>0</v>
      </c>
    </row>
    <row r="104" spans="1:19" ht="14.25" outlineLevel="2">
      <c r="A104" s="1035"/>
      <c r="B104" s="1063" t="str">
        <f t="shared" si="33"/>
        <v>有产权车库(个)</v>
      </c>
      <c r="C104" s="1045">
        <f t="shared" si="30"/>
        <v>44268</v>
      </c>
      <c r="D104" s="1046"/>
      <c r="E104" s="1047"/>
      <c r="F104" s="1058">
        <f>IFERROR('5.分产品利润表'!M$8/'8.项目规划指标表'!E18*10000,0)</f>
        <v>44268</v>
      </c>
      <c r="G104" s="1049">
        <f>IFERROR('13.建安成本表'!E190/'8.项目规划指标表'!I18*10000,0)</f>
        <v>44268</v>
      </c>
      <c r="H104" s="1050">
        <f>IFERROR('13.建安成本表'!H190/'8.项目规划指标表'!M18*10000,0)</f>
        <v>0</v>
      </c>
      <c r="I104" s="1050">
        <f>IFERROR('13.建安成本表'!K190/'8.项目规划指标表'!Q18*10000,0)</f>
        <v>0</v>
      </c>
      <c r="J104" s="1050">
        <f>IFERROR('13.建安成本表'!N190/'8.项目规划指标表'!U18*10000,0)</f>
        <v>0</v>
      </c>
      <c r="K104" s="1050">
        <f>IFERROR('13.建安成本表'!Q190/'8.项目规划指标表'!Y18*10000,0)</f>
        <v>0</v>
      </c>
      <c r="L104" s="1056">
        <f>IFERROR('13.建安成本表'!T190/'8.项目规划指标表'!AC18*10000,0)</f>
        <v>0</v>
      </c>
      <c r="M104" s="1065">
        <f>G104*'8.项目规划指标表'!I18/10000</f>
        <v>1868.1096</v>
      </c>
      <c r="N104" s="424">
        <f>H104*'8.项目规划指标表'!M18/10000</f>
        <v>0</v>
      </c>
      <c r="O104" s="424">
        <f>I104*'8.项目规划指标表'!Q18/10000</f>
        <v>0</v>
      </c>
      <c r="P104" s="424">
        <f>J104*'8.项目规划指标表'!U18/10000</f>
        <v>0</v>
      </c>
      <c r="Q104" s="424">
        <f>K104*'8.项目规划指标表'!Y18/10000</f>
        <v>0</v>
      </c>
      <c r="R104" s="424">
        <f>L104*'8.项目规划指标表'!AC18/10000</f>
        <v>0</v>
      </c>
      <c r="S104" s="424">
        <f t="shared" si="34"/>
        <v>1868.1096</v>
      </c>
    </row>
    <row r="105" spans="1:19" ht="14.25" outlineLevel="2">
      <c r="A105" s="1035"/>
      <c r="B105" s="1063" t="str">
        <f t="shared" si="33"/>
        <v>无产权车库(个)</v>
      </c>
      <c r="C105" s="1045">
        <f t="shared" si="30"/>
        <v>0</v>
      </c>
      <c r="D105" s="1046"/>
      <c r="E105" s="1047"/>
      <c r="F105" s="1058">
        <f>IFERROR('5.分产品利润表'!N$8/'8.项目规划指标表'!E19*10000,0)</f>
        <v>0</v>
      </c>
      <c r="G105" s="1049">
        <f>IFERROR('13.建安成本表'!E191/'8.项目规划指标表'!I19*10000,0)</f>
        <v>0</v>
      </c>
      <c r="H105" s="1050">
        <f>IFERROR('13.建安成本表'!H191/'8.项目规划指标表'!M19*10000,0)</f>
        <v>0</v>
      </c>
      <c r="I105" s="1050">
        <f>IFERROR('13.建安成本表'!K191/'8.项目规划指标表'!Q19*10000,0)</f>
        <v>0</v>
      </c>
      <c r="J105" s="1050">
        <f>IFERROR('13.建安成本表'!N191/'8.项目规划指标表'!U19*10000,0)</f>
        <v>0</v>
      </c>
      <c r="K105" s="1050">
        <f>IFERROR('13.建安成本表'!Q191/'8.项目规划指标表'!Y19*10000,0)</f>
        <v>0</v>
      </c>
      <c r="L105" s="1056">
        <f>IFERROR('13.建安成本表'!T191/'8.项目规划指标表'!AC19*10000,0)</f>
        <v>0</v>
      </c>
    </row>
    <row r="106" spans="1:19" ht="14.25" outlineLevel="1">
      <c r="A106" s="1035"/>
      <c r="B106" s="1059" t="s">
        <v>650</v>
      </c>
      <c r="C106" s="1060">
        <f t="shared" ca="1" si="30"/>
        <v>832.21319308251316</v>
      </c>
      <c r="D106" s="1061"/>
      <c r="E106" s="1062"/>
      <c r="F106" s="1058">
        <f ca="1">IFERROR(F11*('1.参数设置'!$C$5+'1.参数设置'!$E$5)/'8.项目规划指标表'!D22*10000+'17.财务费用测算表'!C46,0)</f>
        <v>832.21319308251316</v>
      </c>
      <c r="G106" s="1042">
        <f ca="1">IFERROR(G11*('1.参数设置'!$C$5+'1.参数设置'!$E$5)/'8.项目规划指标表'!H22*10000+'17.财务费用测算表'!C40,0)</f>
        <v>832.21319308251316</v>
      </c>
      <c r="H106" s="1064">
        <f ca="1">IFERROR(H11*('1.参数设置'!$C$5+'1.参数设置'!$E$5)/'8.项目规划指标表'!L22*10000+'17.财务费用测算表'!C41,0)</f>
        <v>0</v>
      </c>
      <c r="I106" s="1064">
        <f ca="1">IFERROR(I11*('1.参数设置'!$C$5+'1.参数设置'!$E$5)/'8.项目规划指标表'!P22*10000+'17.财务费用测算表'!C42,0)</f>
        <v>0</v>
      </c>
      <c r="J106" s="1064">
        <f ca="1">IFERROR(J11*('1.参数设置'!$C$5+'1.参数设置'!$E$5)/'8.项目规划指标表'!T22*10000+'17.财务费用测算表'!C43,0)</f>
        <v>0</v>
      </c>
      <c r="K106" s="1064">
        <f ca="1">IFERROR(K11*('1.参数设置'!$C$5+'1.参数设置'!$E$5)/'8.项目规划指标表'!X22*10000+'17.财务费用测算表'!C44,0)</f>
        <v>0</v>
      </c>
      <c r="L106" s="1040">
        <f ca="1">IFERROR(L11*('1.参数设置'!$C$5+'1.参数设置'!$E$5)/'8.项目规划指标表'!AB22*10000+'17.财务费用测算表'!C45,0)</f>
        <v>0</v>
      </c>
    </row>
    <row r="107" spans="1:19" ht="14.25" outlineLevel="2">
      <c r="A107" s="1035"/>
      <c r="B107" s="1063" t="str">
        <f>B94</f>
        <v>高层</v>
      </c>
      <c r="C107" s="1045">
        <f t="shared" ca="1" si="30"/>
        <v>839.09393491374885</v>
      </c>
      <c r="D107" s="1046"/>
      <c r="E107" s="1047"/>
      <c r="F107" s="1058">
        <f ca="1">F55*'1.参数设置'!$C$5+F55*'1.参数设置'!$E$5+'17.财务费用测算表'!D$46</f>
        <v>839.09393491374885</v>
      </c>
      <c r="G107" s="1049">
        <f ca="1">G55*'1.参数设置'!$C$5+G55*'1.参数设置'!$E$5+'17.财务费用测算表'!D$40</f>
        <v>839.09393491374885</v>
      </c>
      <c r="H107" s="1050">
        <f ca="1">H55*'1.参数设置'!$C$5+H55*'1.参数设置'!$E$5+'17.财务费用测算表'!D$41</f>
        <v>0</v>
      </c>
      <c r="I107" s="1050">
        <f ca="1">I55*'1.参数设置'!$C$5+I55*'1.参数设置'!$E$5+'17.财务费用测算表'!D$42</f>
        <v>0</v>
      </c>
      <c r="J107" s="1050">
        <f ca="1">J55*'1.参数设置'!$C$5+J55*'1.参数设置'!$E$5+'17.财务费用测算表'!D$43</f>
        <v>0</v>
      </c>
      <c r="K107" s="1050">
        <f ca="1">K55*'1.参数设置'!$C$5+K55*'1.参数设置'!$E$5+'17.财务费用测算表'!D$44</f>
        <v>0</v>
      </c>
      <c r="L107" s="1056">
        <f ca="1">L55*'1.参数设置'!$C$5+L55*'1.参数设置'!$E$5+'17.财务费用测算表'!D$45</f>
        <v>0</v>
      </c>
    </row>
    <row r="108" spans="1:19" ht="14.25" outlineLevel="2">
      <c r="A108" s="1035"/>
      <c r="B108" s="1063" t="str">
        <f t="shared" ref="B108:B118" si="35">B95</f>
        <v>商铺</v>
      </c>
      <c r="C108" s="1045">
        <f t="shared" ca="1" si="30"/>
        <v>1247.7879762487323</v>
      </c>
      <c r="D108" s="1046"/>
      <c r="E108" s="1047"/>
      <c r="F108" s="1058">
        <f ca="1">F56*'1.参数设置'!$C$5+F56*'1.参数设置'!$E$5+'17.财务费用测算表'!E$46</f>
        <v>1247.7879762487323</v>
      </c>
      <c r="G108" s="1049">
        <f ca="1">G56*'1.参数设置'!$C$5+G56*'1.参数设置'!$E$5+'17.财务费用测算表'!E$40</f>
        <v>1247.7879762487323</v>
      </c>
      <c r="H108" s="1050">
        <f ca="1">H56*'1.参数设置'!$C$5+H56*'1.参数设置'!$E$5+'17.财务费用测算表'!E$41</f>
        <v>0</v>
      </c>
      <c r="I108" s="1050">
        <f ca="1">I56*'1.参数设置'!$C$5+I56*'1.参数设置'!$E$5+'17.财务费用测算表'!E$42</f>
        <v>0</v>
      </c>
      <c r="J108" s="1050">
        <f ca="1">J56*'1.参数设置'!$C$5+J56*'1.参数设置'!$E$5+'17.财务费用测算表'!E$43</f>
        <v>0</v>
      </c>
      <c r="K108" s="1050">
        <f ca="1">K56*'1.参数设置'!$C$5+K56*'1.参数设置'!$E$5+'17.财务费用测算表'!E$44</f>
        <v>0</v>
      </c>
      <c r="L108" s="1056">
        <f ca="1">L56*'1.参数设置'!$C$5+L56*'1.参数设置'!$E$5+'17.财务费用测算表'!E$45</f>
        <v>0</v>
      </c>
    </row>
    <row r="109" spans="1:19" ht="14.25" outlineLevel="2">
      <c r="A109" s="1035"/>
      <c r="B109" s="1063" t="str">
        <f t="shared" si="35"/>
        <v>回迁商业</v>
      </c>
      <c r="C109" s="1045">
        <f t="shared" si="30"/>
        <v>0</v>
      </c>
      <c r="D109" s="1046"/>
      <c r="E109" s="1047"/>
      <c r="F109" s="1058">
        <f>F57*'1.参数设置'!$C$5+F57*'1.参数设置'!$E$5+'17.财务费用测算表'!F$46</f>
        <v>0</v>
      </c>
      <c r="G109" s="1049">
        <f>G57*'1.参数设置'!$C$5+G57*'1.参数设置'!$E$5+'17.财务费用测算表'!F$40</f>
        <v>0</v>
      </c>
      <c r="H109" s="1050">
        <f>H57*'1.参数设置'!$C$5+H57*'1.参数设置'!$E$5+'17.财务费用测算表'!F$41</f>
        <v>0</v>
      </c>
      <c r="I109" s="1050">
        <f>I57*'1.参数设置'!$C$5+I57*'1.参数设置'!$E$5+'17.财务费用测算表'!F$42</f>
        <v>0</v>
      </c>
      <c r="J109" s="1050">
        <f>J57*'1.参数设置'!$C$5+J57*'1.参数设置'!$E$5+'17.财务费用测算表'!F$43</f>
        <v>0</v>
      </c>
      <c r="K109" s="1050">
        <f>K57*'1.参数设置'!$C$5+K57*'1.参数设置'!$E$5+'17.财务费用测算表'!F$44</f>
        <v>0</v>
      </c>
      <c r="L109" s="1056">
        <f>L57*'1.参数设置'!$C$5+L57*'1.参数设置'!$E$5+'17.财务费用测算表'!F$45</f>
        <v>0</v>
      </c>
    </row>
    <row r="110" spans="1:19" ht="14.25" outlineLevel="2">
      <c r="A110" s="1035"/>
      <c r="B110" s="1063">
        <f t="shared" si="35"/>
        <v>0</v>
      </c>
      <c r="C110" s="1045">
        <f t="shared" ca="1" si="30"/>
        <v>0</v>
      </c>
      <c r="D110" s="1046"/>
      <c r="E110" s="1047"/>
      <c r="F110" s="1058">
        <f ca="1">F58*'1.参数设置'!$C$5+F58*'1.参数设置'!$E$5+'17.财务费用测算表'!G$46</f>
        <v>0</v>
      </c>
      <c r="G110" s="1049">
        <f ca="1">G58*'1.参数设置'!$C$5+G58*'1.参数设置'!$E$5+'17.财务费用测算表'!G$40</f>
        <v>0</v>
      </c>
      <c r="H110" s="1050">
        <f ca="1">H58*'1.参数设置'!$C$5+H58*'1.参数设置'!$E$5+'17.财务费用测算表'!G$41</f>
        <v>0</v>
      </c>
      <c r="I110" s="1050">
        <f ca="1">I58*'1.参数设置'!$C$5+I58*'1.参数设置'!$E$5+'17.财务费用测算表'!G$42</f>
        <v>0</v>
      </c>
      <c r="J110" s="1050">
        <f ca="1">J58*'1.参数设置'!$C$5+J58*'1.参数设置'!$E$5+'17.财务费用测算表'!G$43</f>
        <v>0</v>
      </c>
      <c r="K110" s="1050">
        <f ca="1">K58*'1.参数设置'!$C$5+K58*'1.参数设置'!$E$5+'17.财务费用测算表'!G$44</f>
        <v>0</v>
      </c>
      <c r="L110" s="1056">
        <f ca="1">L58*'1.参数设置'!$C$5+L58*'1.参数设置'!$E$5+'17.财务费用测算表'!G$45</f>
        <v>0</v>
      </c>
    </row>
    <row r="111" spans="1:19" ht="14.25" outlineLevel="2">
      <c r="A111" s="1035"/>
      <c r="B111" s="1063">
        <f t="shared" si="35"/>
        <v>0</v>
      </c>
      <c r="C111" s="1045">
        <f t="shared" ca="1" si="30"/>
        <v>0</v>
      </c>
      <c r="D111" s="1046"/>
      <c r="E111" s="1047"/>
      <c r="F111" s="1058">
        <f ca="1">F59*'1.参数设置'!$C$5+F59*'1.参数设置'!$E$5+'17.财务费用测算表'!H$46</f>
        <v>0</v>
      </c>
      <c r="G111" s="1049">
        <f ca="1">G59*'1.参数设置'!$C$5+G59*'1.参数设置'!$E$5+'17.财务费用测算表'!H$40</f>
        <v>0</v>
      </c>
      <c r="H111" s="1050">
        <f ca="1">H59*'1.参数设置'!$C$5+H59*'1.参数设置'!$E$5+'17.财务费用测算表'!H$41</f>
        <v>0</v>
      </c>
      <c r="I111" s="1050">
        <f ca="1">I59*'1.参数设置'!$C$5+I59*'1.参数设置'!$E$5+'17.财务费用测算表'!H$42</f>
        <v>0</v>
      </c>
      <c r="J111" s="1050">
        <f ca="1">J59*'1.参数设置'!$C$5+J59*'1.参数设置'!$E$5+'17.财务费用测算表'!H$43</f>
        <v>0</v>
      </c>
      <c r="K111" s="1050">
        <f ca="1">K59*'1.参数设置'!$C$5+K59*'1.参数设置'!$E$5+'17.财务费用测算表'!H$44</f>
        <v>0</v>
      </c>
      <c r="L111" s="1056">
        <f ca="1">L59*'1.参数设置'!$C$5+L59*'1.参数设置'!$E$5+'17.财务费用测算表'!H$45</f>
        <v>0</v>
      </c>
    </row>
    <row r="112" spans="1:19" ht="14.25" outlineLevel="2">
      <c r="A112" s="1035"/>
      <c r="B112" s="1063">
        <f t="shared" si="35"/>
        <v>0</v>
      </c>
      <c r="C112" s="1045">
        <f t="shared" ca="1" si="30"/>
        <v>0</v>
      </c>
      <c r="D112" s="1046"/>
      <c r="E112" s="1047"/>
      <c r="F112" s="1058">
        <f ca="1">F60*'1.参数设置'!$C$5+F60*'1.参数设置'!$E$5+'17.财务费用测算表'!I$46</f>
        <v>0</v>
      </c>
      <c r="G112" s="1049">
        <f ca="1">G60*'1.参数设置'!$C$5+G60*'1.参数设置'!$E$5+'17.财务费用测算表'!I$40</f>
        <v>0</v>
      </c>
      <c r="H112" s="1050">
        <f ca="1">H60*'1.参数设置'!$C$5+H60*'1.参数设置'!$E$5+'17.财务费用测算表'!I$41</f>
        <v>0</v>
      </c>
      <c r="I112" s="1050">
        <f ca="1">I60*'1.参数设置'!$C$5+I60*'1.参数设置'!$E$5+'17.财务费用测算表'!I$42</f>
        <v>0</v>
      </c>
      <c r="J112" s="1050">
        <f ca="1">J60*'1.参数设置'!$C$5+J60*'1.参数设置'!$E$5+'17.财务费用测算表'!I$43</f>
        <v>0</v>
      </c>
      <c r="K112" s="1050">
        <f ca="1">K60*'1.参数设置'!$C$5+K60*'1.参数设置'!$E$5+'17.财务费用测算表'!I$44</f>
        <v>0</v>
      </c>
      <c r="L112" s="1056">
        <f ca="1">L60*'1.参数设置'!$C$5+L60*'1.参数设置'!$E$5+'17.财务费用测算表'!I$45</f>
        <v>0</v>
      </c>
    </row>
    <row r="113" spans="1:12" ht="14.25" outlineLevel="2">
      <c r="A113" s="1035"/>
      <c r="B113" s="1063">
        <f t="shared" si="35"/>
        <v>0</v>
      </c>
      <c r="C113" s="1045">
        <f t="shared" ca="1" si="30"/>
        <v>0</v>
      </c>
      <c r="D113" s="1046"/>
      <c r="E113" s="1047"/>
      <c r="F113" s="1058">
        <f ca="1">F61*'1.参数设置'!$C$5+F61*'1.参数设置'!$E$5+'17.财务费用测算表'!J$46</f>
        <v>0</v>
      </c>
      <c r="G113" s="1049">
        <f ca="1">G61*'1.参数设置'!$C$5+G61*'1.参数设置'!$E$5+'17.财务费用测算表'!J$40</f>
        <v>0</v>
      </c>
      <c r="H113" s="1050">
        <f ca="1">H61*'1.参数设置'!$C$5+H61*'1.参数设置'!$E$5+'17.财务费用测算表'!J$41</f>
        <v>0</v>
      </c>
      <c r="I113" s="1050">
        <f ca="1">I61*'1.参数设置'!$C$5+I61*'1.参数设置'!$E$5+'17.财务费用测算表'!J$42</f>
        <v>0</v>
      </c>
      <c r="J113" s="1050">
        <f ca="1">J61*'1.参数设置'!$C$5+J61*'1.参数设置'!$E$5+'17.财务费用测算表'!J$43</f>
        <v>0</v>
      </c>
      <c r="K113" s="1050">
        <f ca="1">K61*'1.参数设置'!$C$5+K61*'1.参数设置'!$E$5+'17.财务费用测算表'!J$44</f>
        <v>0</v>
      </c>
      <c r="L113" s="1056">
        <f ca="1">L61*'1.参数设置'!$C$5+L61*'1.参数设置'!$E$5+'17.财务费用测算表'!J$45</f>
        <v>0</v>
      </c>
    </row>
    <row r="114" spans="1:12" ht="14.25" outlineLevel="2">
      <c r="A114" s="1035"/>
      <c r="B114" s="1063">
        <f t="shared" si="35"/>
        <v>0</v>
      </c>
      <c r="C114" s="1045">
        <f t="shared" ca="1" si="30"/>
        <v>0</v>
      </c>
      <c r="D114" s="1046"/>
      <c r="E114" s="1047"/>
      <c r="F114" s="1058">
        <f ca="1">F62*'1.参数设置'!$C$5+F62*'1.参数设置'!$E$5+'17.财务费用测算表'!K$46</f>
        <v>0</v>
      </c>
      <c r="G114" s="1049">
        <f ca="1">G62*'1.参数设置'!$C$5+G62*'1.参数设置'!$E$5+'17.财务费用测算表'!K$40</f>
        <v>0</v>
      </c>
      <c r="H114" s="1050">
        <f ca="1">H62*'1.参数设置'!$C$5+H62*'1.参数设置'!$E$5+'17.财务费用测算表'!K$41</f>
        <v>0</v>
      </c>
      <c r="I114" s="1050">
        <f ca="1">I62*'1.参数设置'!$C$5+I62*'1.参数设置'!$E$5+'17.财务费用测算表'!K$42</f>
        <v>0</v>
      </c>
      <c r="J114" s="1050">
        <f ca="1">J62*'1.参数设置'!$C$5+J62*'1.参数设置'!$E$5+'17.财务费用测算表'!K$43</f>
        <v>0</v>
      </c>
      <c r="K114" s="1050">
        <f ca="1">K62*'1.参数设置'!$C$5+K62*'1.参数设置'!$E$5+'17.财务费用测算表'!K$44</f>
        <v>0</v>
      </c>
      <c r="L114" s="1056">
        <f ca="1">L62*'1.参数设置'!$C$5+L62*'1.参数设置'!$E$5+'17.财务费用测算表'!K$45</f>
        <v>0</v>
      </c>
    </row>
    <row r="115" spans="1:12" ht="14.25" outlineLevel="2">
      <c r="A115" s="1035"/>
      <c r="B115" s="1063">
        <f t="shared" si="35"/>
        <v>0</v>
      </c>
      <c r="C115" s="1045">
        <f t="shared" ca="1" si="30"/>
        <v>0</v>
      </c>
      <c r="D115" s="1046"/>
      <c r="E115" s="1047"/>
      <c r="F115" s="1058">
        <f ca="1">F63*'1.参数设置'!$C$5+F63*'1.参数设置'!$E$5+'17.财务费用测算表'!L$46</f>
        <v>0</v>
      </c>
      <c r="G115" s="1049">
        <f ca="1">G63*'1.参数设置'!$C$5+G63*'1.参数设置'!$E$5+'17.财务费用测算表'!L$40</f>
        <v>0</v>
      </c>
      <c r="H115" s="1050">
        <f ca="1">H63*'1.参数设置'!$C$5+H63*'1.参数设置'!$E$5+'17.财务费用测算表'!L$41</f>
        <v>0</v>
      </c>
      <c r="I115" s="1050">
        <f ca="1">I63*'1.参数设置'!$C$5+I63*'1.参数设置'!$E$5+'17.财务费用测算表'!L$42</f>
        <v>0</v>
      </c>
      <c r="J115" s="1050">
        <f ca="1">J63*'1.参数设置'!$C$5+J63*'1.参数设置'!$E$5+'17.财务费用测算表'!L$43</f>
        <v>0</v>
      </c>
      <c r="K115" s="1050">
        <f ca="1">K63*'1.参数设置'!$C$5+K63*'1.参数设置'!$E$5+'17.财务费用测算表'!L$44</f>
        <v>0</v>
      </c>
      <c r="L115" s="1056">
        <f ca="1">L63*'1.参数设置'!$C$5+L63*'1.参数设置'!$E$5+'17.财务费用测算表'!L$45</f>
        <v>0</v>
      </c>
    </row>
    <row r="116" spans="1:12" ht="14.25" outlineLevel="2">
      <c r="A116" s="1035"/>
      <c r="B116" s="1063" t="str">
        <f t="shared" si="35"/>
        <v>自持物业</v>
      </c>
      <c r="C116" s="1045">
        <f t="shared" ca="1" si="30"/>
        <v>0</v>
      </c>
      <c r="D116" s="1046"/>
      <c r="E116" s="1047"/>
      <c r="F116" s="1058">
        <f ca="1">F64*'1.参数设置'!$C$5+F64*'1.参数设置'!$E$5+'17.财务费用测算表'!M$46</f>
        <v>0</v>
      </c>
      <c r="G116" s="1049">
        <f ca="1">G64*'1.参数设置'!$C$5+G64*'1.参数设置'!$E$5+'17.财务费用测算表'!M$40</f>
        <v>0</v>
      </c>
      <c r="H116" s="1050">
        <f ca="1">H64*'1.参数设置'!$C$5+H64*'1.参数设置'!$E$5+'17.财务费用测算表'!M$41</f>
        <v>0</v>
      </c>
      <c r="I116" s="1050">
        <f ca="1">I64*'1.参数设置'!$C$5+I64*'1.参数设置'!$E$5+'17.财务费用测算表'!M$42</f>
        <v>0</v>
      </c>
      <c r="J116" s="1050">
        <f ca="1">J64*'1.参数设置'!$C$5+J64*'1.参数设置'!$E$5+'17.财务费用测算表'!M$43</f>
        <v>0</v>
      </c>
      <c r="K116" s="1050">
        <f ca="1">K64*'1.参数设置'!$C$5+K64*'1.参数设置'!$E$5+'17.财务费用测算表'!M$44</f>
        <v>0</v>
      </c>
      <c r="L116" s="1056">
        <f ca="1">L64*'1.参数设置'!$C$5+L64*'1.参数设置'!$E$5+'17.财务费用测算表'!M$45</f>
        <v>0</v>
      </c>
    </row>
    <row r="117" spans="1:12" ht="14.25" outlineLevel="2">
      <c r="A117" s="1035"/>
      <c r="B117" s="1063" t="str">
        <f t="shared" si="35"/>
        <v>有产权车库(个)</v>
      </c>
      <c r="C117" s="1045">
        <f t="shared" ca="1" si="30"/>
        <v>5576.5553239040619</v>
      </c>
      <c r="D117" s="1046"/>
      <c r="E117" s="1047"/>
      <c r="F117" s="1058">
        <f ca="1">IFERROR(F65*'1.参数设置'!$C$5+F65*'1.参数设置'!$E$5+'17.财务费用测算表'!N46*('8.项目规划指标表'!H18/'8.项目规划指标表'!I18),0)</f>
        <v>5576.5553239040619</v>
      </c>
      <c r="G117" s="1049">
        <f ca="1">IFERROR(G65*'1.参数设置'!$C$5+G65*'1.参数设置'!$E$5+'17.财务费用测算表'!N40*('8.项目规划指标表'!G18/'8.项目规划指标表'!I18),0)</f>
        <v>6319.4780800789167</v>
      </c>
      <c r="H117" s="1050">
        <f ca="1">IFERROR(H65*'1.参数设置'!$C$5+H65*'1.参数设置'!$E$5+'17.财务费用测算表'!N41*('8.项目规划指标表'!K18/'8.项目规划指标表'!M18),0)</f>
        <v>0</v>
      </c>
      <c r="I117" s="1050">
        <f ca="1">IFERROR(I65*'1.参数设置'!$C$5+I65*'1.参数设置'!$E$5+'17.财务费用测算表'!N42*('8.项目规划指标表'!O18/'8.项目规划指标表'!Q18),0)</f>
        <v>0</v>
      </c>
      <c r="J117" s="1050">
        <f ca="1">IFERROR(J65*'1.参数设置'!$C$5+J65*'1.参数设置'!$E$5+'17.财务费用测算表'!N43*('8.项目规划指标表'!S18/'8.项目规划指标表'!U18),0)</f>
        <v>0</v>
      </c>
      <c r="K117" s="1050">
        <f ca="1">IFERROR(K65*'1.参数设置'!$C$5+K65*'1.参数设置'!$E$5+'17.财务费用测算表'!N44*('8.项目规划指标表'!W18/'8.项目规划指标表'!Y18),0)</f>
        <v>0</v>
      </c>
      <c r="L117" s="1056">
        <f ca="1">IFERROR(L65*'1.参数设置'!$C$5+L65*'1.参数设置'!$E$5+'17.财务费用测算表'!N45*('8.项目规划指标表'!AA18/'8.项目规划指标表'!AC18),0)</f>
        <v>0</v>
      </c>
    </row>
    <row r="118" spans="1:12" ht="14.25" outlineLevel="2">
      <c r="A118" s="1035"/>
      <c r="B118" s="1063" t="str">
        <f t="shared" si="35"/>
        <v>无产权车库(个)</v>
      </c>
      <c r="C118" s="1045">
        <f t="shared" si="30"/>
        <v>0</v>
      </c>
      <c r="D118" s="1046"/>
      <c r="E118" s="1047"/>
      <c r="F118" s="1058">
        <f>IFERROR(F66*'1.参数设置'!$C$5+F66*'1.参数设置'!$E$5+'17.财务费用测算表'!N47*('8.项目规划指标表'!H19/'8.项目规划指标表'!I19),0)</f>
        <v>0</v>
      </c>
      <c r="G118" s="1049">
        <f ca="1">IFERROR(G66*'1.参数设置'!$C$5+G66*'1.参数设置'!$E$5+'17.财务费用测算表'!O40*('8.项目规划指标表'!H19/'8.项目规划指标表'!I19),0)</f>
        <v>0</v>
      </c>
      <c r="H118" s="1050">
        <f ca="1">IFERROR(H66*'1.参数设置'!$C$5+H66*'1.参数设置'!$E$5+'17.财务费用测算表'!O40*('8.项目规划指标表'!L19/'8.项目规划指标表'!M19),0)</f>
        <v>0</v>
      </c>
      <c r="I118" s="1050">
        <f ca="1">IFERROR(I66*'1.参数设置'!$C$5+I66*'1.参数设置'!$E$5+'17.财务费用测算表'!O40*('8.项目规划指标表'!P19/'8.项目规划指标表'!Q19),0)</f>
        <v>0</v>
      </c>
      <c r="J118" s="1050">
        <f ca="1">IFERROR(J66*'1.参数设置'!$C$5+J66*'1.参数设置'!$E$5+'17.财务费用测算表'!O40*('8.项目规划指标表'!T19/'8.项目规划指标表'!U19),0)</f>
        <v>0</v>
      </c>
      <c r="K118" s="1050">
        <f ca="1">IFERROR(K66*'1.参数设置'!$C$5+K66*'1.参数设置'!$E$5+'17.财务费用测算表'!O40*('8.项目规划指标表'!X19/'8.项目规划指标表'!Y19),0)</f>
        <v>0</v>
      </c>
      <c r="L118" s="1056">
        <f ca="1">IFERROR(L66*'1.参数设置'!$C$5+L66*'1.参数设置'!$E$5+'17.财务费用测算表'!O40*('8.项目规划指标表'!AB19/'8.项目规划指标表'!AC19),0)</f>
        <v>0</v>
      </c>
    </row>
    <row r="119" spans="1:12" ht="14.25" outlineLevel="1">
      <c r="A119" s="1035"/>
      <c r="B119" s="1059" t="s">
        <v>651</v>
      </c>
      <c r="C119" s="1060">
        <f t="shared" ca="1" si="30"/>
        <v>2407.6098529760575</v>
      </c>
      <c r="D119" s="1061"/>
      <c r="E119" s="1062"/>
      <c r="F119" s="1058">
        <f ca="1">IFERROR(('5.分产品利润表'!B10+'5.分产品利润表'!B13+'5.分产品利润表'!B14+'5.分产品利润表'!B15)/'8.项目规划指标表'!D22*10000,0)</f>
        <v>2407.6098529760575</v>
      </c>
      <c r="G119" s="1042">
        <f ca="1">IFERROR(('5.分产品利润表'!O10+'5.分产品利润表'!O13+'5.分产品利润表'!O14+'5.分产品利润表'!O15)/'5.分产品利润表'!O34*10000,0)</f>
        <v>2407.6098529760575</v>
      </c>
      <c r="H119" s="1043">
        <f ca="1">IFERROR(('5.分产品利润表'!AB10+'5.分产品利润表'!AB13+'5.分产品利润表'!AB14+'5.分产品利润表'!AB15)/'5.分产品利润表'!AB34*10000,0)</f>
        <v>0</v>
      </c>
      <c r="I119" s="1043">
        <f ca="1">IFERROR(('5.分产品利润表'!AO10+'5.分产品利润表'!AO13+'5.分产品利润表'!AO14+'5.分产品利润表'!AO15)/'5.分产品利润表'!AO34*10000,0)</f>
        <v>0</v>
      </c>
      <c r="J119" s="1043">
        <f ca="1">IFERROR(('5.分产品利润表'!BB10+'5.分产品利润表'!BB13+'5.分产品利润表'!BB14+'5.分产品利润表'!BB15)/'5.分产品利润表'!BB34*10000,0)</f>
        <v>0</v>
      </c>
      <c r="K119" s="1043">
        <f ca="1">IFERROR(('5.分产品利润表'!BO10+'5.分产品利润表'!BO13+'5.分产品利润表'!BO14+'5.分产品利润表'!BO15)/'5.分产品利润表'!BO34*10000,0)</f>
        <v>0</v>
      </c>
      <c r="L119" s="1055">
        <f ca="1">IFERROR(('5.分产品利润表'!CB10+'5.分产品利润表'!CB13+'5.分产品利润表'!CB14+'5.分产品利润表'!CB15)/'5.分产品利润表'!CB34*10000,0)</f>
        <v>0</v>
      </c>
    </row>
    <row r="120" spans="1:12" ht="14.25" outlineLevel="2">
      <c r="A120" s="1035"/>
      <c r="B120" s="1063" t="str">
        <f>B107</f>
        <v>高层</v>
      </c>
      <c r="C120" s="1045">
        <f t="shared" ca="1" si="30"/>
        <v>2677.0385696866165</v>
      </c>
      <c r="D120" s="1046"/>
      <c r="E120" s="1047"/>
      <c r="F120" s="1058">
        <f ca="1">IFERROR(('5.分产品利润表'!C$10+'5.分产品利润表'!C$13+'5.分产品利润表'!C$14+'5.分产品利润表'!C$15)/'8.项目规划指标表'!E5*10000,0)</f>
        <v>2677.0385696866165</v>
      </c>
      <c r="G120" s="1049">
        <f ca="1">IFERROR(('5.分产品利润表'!P$10+'5.分产品利润表'!P$13+'5.分产品利润表'!P$14+'5.分产品利润表'!P$15)/'8.项目规划指标表'!I5*10000,0)</f>
        <v>2677.0385696866165</v>
      </c>
      <c r="H120" s="1050">
        <f ca="1">IFERROR(('5.分产品利润表'!AC$10+'5.分产品利润表'!AC$13+'5.分产品利润表'!AC$14+'5.分产品利润表'!AC$15)/'8.项目规划指标表'!M5*10000,0)</f>
        <v>0</v>
      </c>
      <c r="I120" s="1050">
        <f ca="1">IFERROR(('5.分产品利润表'!AP$10+'5.分产品利润表'!AP$13+'5.分产品利润表'!AP$14+'5.分产品利润表'!AP$15)/'8.项目规划指标表'!Q5*10000,0)</f>
        <v>0</v>
      </c>
      <c r="J120" s="1050">
        <f ca="1">IFERROR(('5.分产品利润表'!BC$10+'5.分产品利润表'!BC$13+'5.分产品利润表'!BC$14+'5.分产品利润表'!BC$15)/'8.项目规划指标表'!U5*10000,0)</f>
        <v>0</v>
      </c>
      <c r="K120" s="1050">
        <f ca="1">IFERROR(('5.分产品利润表'!BP$10+'5.分产品利润表'!BP$13+'5.分产品利润表'!BP$14+'5.分产品利润表'!BP$15)/'8.项目规划指标表'!Y5*10000,0)</f>
        <v>0</v>
      </c>
      <c r="L120" s="1056">
        <f ca="1">IFERROR(('5.分产品利润表'!CC$10+'5.分产品利润表'!CC$13+'5.分产品利润表'!CC$14+'5.分产品利润表'!CC$15)/'8.项目规划指标表'!AC5*10000,0)</f>
        <v>0</v>
      </c>
    </row>
    <row r="121" spans="1:12" ht="14.25" outlineLevel="2">
      <c r="A121" s="1035"/>
      <c r="B121" s="1063" t="str">
        <f t="shared" ref="B121:B131" si="36">B108</f>
        <v>商铺</v>
      </c>
      <c r="C121" s="1045">
        <f t="shared" ca="1" si="30"/>
        <v>1092.7530968598796</v>
      </c>
      <c r="D121" s="1046"/>
      <c r="E121" s="1047"/>
      <c r="F121" s="1058">
        <f ca="1">IFERROR(('5.分产品利润表'!D$10+'5.分产品利润表'!D$13+'5.分产品利润表'!D$14+'5.分产品利润表'!D$15)/'8.项目规划指标表'!E6*10000,0)</f>
        <v>1092.7530968598796</v>
      </c>
      <c r="G121" s="1049">
        <f ca="1">IFERROR(('5.分产品利润表'!Q$10+'5.分产品利润表'!Q$13+'5.分产品利润表'!Q$14+'5.分产品利润表'!Q$15)/'8.项目规划指标表'!I6*10000,0)</f>
        <v>1092.7530968598796</v>
      </c>
      <c r="H121" s="1050">
        <f ca="1">IFERROR(('5.分产品利润表'!AD$10+'5.分产品利润表'!AD$13+'5.分产品利润表'!AD$14+'5.分产品利润表'!AD$15)/'8.项目规划指标表'!M6*10000,0)</f>
        <v>0</v>
      </c>
      <c r="I121" s="1050">
        <f ca="1">IFERROR(('5.分产品利润表'!AQ$10+'5.分产品利润表'!AQ$13+'5.分产品利润表'!AQ$14+'5.分产品利润表'!AQ$15)/'8.项目规划指标表'!Q6*10000,0)</f>
        <v>0</v>
      </c>
      <c r="J121" s="1050">
        <f ca="1">IFERROR(('5.分产品利润表'!BD$10+'5.分产品利润表'!BD$13+'5.分产品利润表'!BD$14+'5.分产品利润表'!BD$15)/'8.项目规划指标表'!U6*10000,0)</f>
        <v>0</v>
      </c>
      <c r="K121" s="1050">
        <f ca="1">IFERROR(('5.分产品利润表'!BQ$10+'5.分产品利润表'!BQ$13+'5.分产品利润表'!BQ$14+'5.分产品利润表'!BQ$15)/'8.项目规划指标表'!Y6*10000,0)</f>
        <v>0</v>
      </c>
      <c r="L121" s="1056">
        <f ca="1">IFERROR(('5.分产品利润表'!CD$10+'5.分产品利润表'!CD$13+'5.分产品利润表'!CD$14+'5.分产品利润表'!CD$15)/'8.项目规划指标表'!AC6*10000,0)</f>
        <v>0</v>
      </c>
    </row>
    <row r="122" spans="1:12" ht="14.25" outlineLevel="2">
      <c r="A122" s="1035"/>
      <c r="B122" s="1063" t="str">
        <f t="shared" si="36"/>
        <v>回迁商业</v>
      </c>
      <c r="C122" s="1045">
        <f t="shared" ca="1" si="30"/>
        <v>0</v>
      </c>
      <c r="D122" s="1046"/>
      <c r="E122" s="1047"/>
      <c r="F122" s="1058">
        <f ca="1">IFERROR(('5.分产品利润表'!E$10+'5.分产品利润表'!E$13+'5.分产品利润表'!E$14+'5.分产品利润表'!E$15)/'8.项目规划指标表'!E7*10000,0)</f>
        <v>0</v>
      </c>
      <c r="G122" s="1049">
        <f>IFERROR(('5.分产品利润表'!R$10+'5.分产品利润表'!R$13+'5.分产品利润表'!R$14+'5.分产品利润表'!R$15)/'8.项目规划指标表'!I7*10000,0)</f>
        <v>0</v>
      </c>
      <c r="H122" s="1050">
        <f ca="1">IFERROR(('5.分产品利润表'!AE$10+'5.分产品利润表'!AE$13+'5.分产品利润表'!AE$14+'5.分产品利润表'!AE$15)/'8.项目规划指标表'!M7*10000,0)</f>
        <v>0</v>
      </c>
      <c r="I122" s="1050">
        <f ca="1">IFERROR(('5.分产品利润表'!AR$10+'5.分产品利润表'!AR$13+'5.分产品利润表'!AR$14+'5.分产品利润表'!AR$15)/'8.项目规划指标表'!Q7*10000,0)</f>
        <v>0</v>
      </c>
      <c r="J122" s="1050">
        <f ca="1">IFERROR(('5.分产品利润表'!BE$10+'5.分产品利润表'!BE$13+'5.分产品利润表'!BE$14+'5.分产品利润表'!BE$15)/'8.项目规划指标表'!U7*10000,0)</f>
        <v>0</v>
      </c>
      <c r="K122" s="1050">
        <f ca="1">IFERROR(('5.分产品利润表'!BR$10+'5.分产品利润表'!BR$13+'5.分产品利润表'!BR$14+'5.分产品利润表'!BR$15)/'8.项目规划指标表'!Y7*10000,0)</f>
        <v>0</v>
      </c>
      <c r="L122" s="1056">
        <f ca="1">IFERROR(('5.分产品利润表'!CE$10+'5.分产品利润表'!CE$13+'5.分产品利润表'!CE$14+'5.分产品利润表'!CE$15)/'8.项目规划指标表'!AC7*10000,0)</f>
        <v>0</v>
      </c>
    </row>
    <row r="123" spans="1:12" ht="14.25" outlineLevel="2">
      <c r="A123" s="1035"/>
      <c r="B123" s="1063">
        <f t="shared" si="36"/>
        <v>0</v>
      </c>
      <c r="C123" s="1045">
        <f t="shared" ca="1" si="30"/>
        <v>0</v>
      </c>
      <c r="D123" s="1046"/>
      <c r="E123" s="1047"/>
      <c r="F123" s="1058">
        <f ca="1">IFERROR(('5.分产品利润表'!F$10+'5.分产品利润表'!F$13+'5.分产品利润表'!F$14+'5.分产品利润表'!F$15)/'8.项目规划指标表'!E8*10000,0)</f>
        <v>0</v>
      </c>
      <c r="G123" s="1049">
        <f>IFERROR(('5.分产品利润表'!S$10+'5.分产品利润表'!S$13+'5.分产品利润表'!S$14+'5.分产品利润表'!S$15)/'8.项目规划指标表'!I8*10000,0)</f>
        <v>0</v>
      </c>
      <c r="H123" s="1050">
        <f ca="1">IFERROR(('5.分产品利润表'!AF$10+'5.分产品利润表'!AF$13+'5.分产品利润表'!AF$14+'5.分产品利润表'!AF$15)/'8.项目规划指标表'!M8*10000,0)</f>
        <v>0</v>
      </c>
      <c r="I123" s="1050">
        <f ca="1">IFERROR(('5.分产品利润表'!AS$10+'5.分产品利润表'!AS$13+'5.分产品利润表'!AS$14+'5.分产品利润表'!AS$15)/'8.项目规划指标表'!Q8*10000,0)</f>
        <v>0</v>
      </c>
      <c r="J123" s="1050">
        <f ca="1">IFERROR(('5.分产品利润表'!BF$10+'5.分产品利润表'!BF$13+'5.分产品利润表'!BF$14+'5.分产品利润表'!BF$15)/'8.项目规划指标表'!U8*10000,0)</f>
        <v>0</v>
      </c>
      <c r="K123" s="1050">
        <f ca="1">IFERROR(('5.分产品利润表'!BS$10+'5.分产品利润表'!BS$13+'5.分产品利润表'!BS$14+'5.分产品利润表'!BS$15)/'8.项目规划指标表'!Y8*10000,0)</f>
        <v>0</v>
      </c>
      <c r="L123" s="1056">
        <f ca="1">IFERROR(('5.分产品利润表'!CF$10+'5.分产品利润表'!CF$13+'5.分产品利润表'!CF$14+'5.分产品利润表'!CF$15)/'8.项目规划指标表'!AC8*10000,0)</f>
        <v>0</v>
      </c>
    </row>
    <row r="124" spans="1:12" ht="14.25" outlineLevel="2">
      <c r="A124" s="1035"/>
      <c r="B124" s="1063">
        <f t="shared" si="36"/>
        <v>0</v>
      </c>
      <c r="C124" s="1045">
        <f t="shared" ca="1" si="30"/>
        <v>0</v>
      </c>
      <c r="D124" s="1046"/>
      <c r="E124" s="1047"/>
      <c r="F124" s="1058">
        <f ca="1">IFERROR(('5.分产品利润表'!G$10+'5.分产品利润表'!G$13+'5.分产品利润表'!G$14+'5.分产品利润表'!G$15)/'8.项目规划指标表'!E9*10000,0)</f>
        <v>0</v>
      </c>
      <c r="G124" s="1049">
        <f>IFERROR(('5.分产品利润表'!T$10+'5.分产品利润表'!T$13+'5.分产品利润表'!T$14+'5.分产品利润表'!T$15)/'8.项目规划指标表'!I9*10000,0)</f>
        <v>0</v>
      </c>
      <c r="H124" s="1050">
        <f ca="1">IFERROR(('5.分产品利润表'!AG$10+'5.分产品利润表'!AG$13+'5.分产品利润表'!AG$14+'5.分产品利润表'!AG$15)/'8.项目规划指标表'!M9*10000,0)</f>
        <v>0</v>
      </c>
      <c r="I124" s="1050">
        <f ca="1">IFERROR(('5.分产品利润表'!AT$10+'5.分产品利润表'!AT$13+'5.分产品利润表'!AT$14+'5.分产品利润表'!AT$15)/'8.项目规划指标表'!Q9*10000,0)</f>
        <v>0</v>
      </c>
      <c r="J124" s="1050">
        <f ca="1">IFERROR(('5.分产品利润表'!BG$10+'5.分产品利润表'!BG$13+'5.分产品利润表'!BG$14+'5.分产品利润表'!BG$15)/'8.项目规划指标表'!U9*10000,0)</f>
        <v>0</v>
      </c>
      <c r="K124" s="1050">
        <f ca="1">IFERROR(('5.分产品利润表'!BT$10+'5.分产品利润表'!BT$13+'5.分产品利润表'!BT$14+'5.分产品利润表'!BT$15)/'8.项目规划指标表'!Y9*10000,0)</f>
        <v>0</v>
      </c>
      <c r="L124" s="1056">
        <f ca="1">IFERROR(('5.分产品利润表'!CG$10+'5.分产品利润表'!CG$13+'5.分产品利润表'!CG$14+'5.分产品利润表'!CG$15)/'8.项目规划指标表'!AC9*10000,0)</f>
        <v>0</v>
      </c>
    </row>
    <row r="125" spans="1:12" ht="14.25" outlineLevel="2">
      <c r="A125" s="1035"/>
      <c r="B125" s="1063">
        <f t="shared" si="36"/>
        <v>0</v>
      </c>
      <c r="C125" s="1045">
        <f t="shared" ca="1" si="30"/>
        <v>0</v>
      </c>
      <c r="D125" s="1046"/>
      <c r="E125" s="1047"/>
      <c r="F125" s="1058">
        <f ca="1">IFERROR(('5.分产品利润表'!H$10+'5.分产品利润表'!H$13+'5.分产品利润表'!H$14+'5.分产品利润表'!H$15)/'8.项目规划指标表'!E10*10000,0)</f>
        <v>0</v>
      </c>
      <c r="G125" s="1049">
        <f>IFERROR(('5.分产品利润表'!U$10+'5.分产品利润表'!U$13+'5.分产品利润表'!U$14+'5.分产品利润表'!U$15)/'8.项目规划指标表'!I10*10000,0)</f>
        <v>0</v>
      </c>
      <c r="H125" s="1050">
        <f ca="1">IFERROR(('5.分产品利润表'!AH$10+'5.分产品利润表'!AH$13+'5.分产品利润表'!AH$14+'5.分产品利润表'!AH$15)/'8.项目规划指标表'!M10*10000,0)</f>
        <v>0</v>
      </c>
      <c r="I125" s="1050">
        <f ca="1">IFERROR(('5.分产品利润表'!AU$10+'5.分产品利润表'!AU$13+'5.分产品利润表'!AU$14+'5.分产品利润表'!AU$15)/'8.项目规划指标表'!Q10*10000,0)</f>
        <v>0</v>
      </c>
      <c r="J125" s="1050">
        <f ca="1">IFERROR(('5.分产品利润表'!BH$10+'5.分产品利润表'!BH$13+'5.分产品利润表'!BH$14+'5.分产品利润表'!BH$15)/'8.项目规划指标表'!U10*10000,0)</f>
        <v>0</v>
      </c>
      <c r="K125" s="1050">
        <f ca="1">IFERROR(('5.分产品利润表'!BU$10+'5.分产品利润表'!BU$13+'5.分产品利润表'!BU$14+'5.分产品利润表'!BU$15)/'8.项目规划指标表'!Y10*10000,0)</f>
        <v>0</v>
      </c>
      <c r="L125" s="1056">
        <f ca="1">IFERROR(('5.分产品利润表'!CH$10+'5.分产品利润表'!CH$13+'5.分产品利润表'!CH$14+'5.分产品利润表'!CH$15)/'8.项目规划指标表'!AC10*10000,0)</f>
        <v>0</v>
      </c>
    </row>
    <row r="126" spans="1:12" ht="14.25" outlineLevel="2">
      <c r="A126" s="1035"/>
      <c r="B126" s="1063">
        <f t="shared" si="36"/>
        <v>0</v>
      </c>
      <c r="C126" s="1045">
        <f t="shared" ca="1" si="30"/>
        <v>0</v>
      </c>
      <c r="D126" s="1046"/>
      <c r="E126" s="1047"/>
      <c r="F126" s="1058">
        <f ca="1">IFERROR(('5.分产品利润表'!I$10+'5.分产品利润表'!I$13+'5.分产品利润表'!I$14+'5.分产品利润表'!I$15)/'8.项目规划指标表'!E11*10000,0)</f>
        <v>0</v>
      </c>
      <c r="G126" s="1049">
        <f>IFERROR(('5.分产品利润表'!V$10+'5.分产品利润表'!V$13+'5.分产品利润表'!V$14+'5.分产品利润表'!V$15)/'8.项目规划指标表'!I11*10000,0)</f>
        <v>0</v>
      </c>
      <c r="H126" s="1050">
        <f ca="1">IFERROR(('5.分产品利润表'!AI$10+'5.分产品利润表'!AI$13+'5.分产品利润表'!AI$14+'5.分产品利润表'!AI$15)/'8.项目规划指标表'!M11*10000,0)</f>
        <v>0</v>
      </c>
      <c r="I126" s="1050">
        <f ca="1">IFERROR(('5.分产品利润表'!AV$10+'5.分产品利润表'!AV$13+'5.分产品利润表'!AV$14+'5.分产品利润表'!AV$15)/'8.项目规划指标表'!Q11*10000,0)</f>
        <v>0</v>
      </c>
      <c r="J126" s="1050">
        <f ca="1">IFERROR(('5.分产品利润表'!BI$10+'5.分产品利润表'!BI$13+'5.分产品利润表'!BI$14+'5.分产品利润表'!BI$15)/'8.项目规划指标表'!U11*10000,0)</f>
        <v>0</v>
      </c>
      <c r="K126" s="1050">
        <f ca="1">IFERROR(('5.分产品利润表'!BV$10+'5.分产品利润表'!BV$13+'5.分产品利润表'!BV$14+'5.分产品利润表'!BV$15)/'8.项目规划指标表'!Y11*10000,0)</f>
        <v>0</v>
      </c>
      <c r="L126" s="1056">
        <f ca="1">IFERROR(('5.分产品利润表'!CI$10+'5.分产品利润表'!CI$13+'5.分产品利润表'!CI$14+'5.分产品利润表'!CI$15)/'8.项目规划指标表'!AC11*10000,0)</f>
        <v>0</v>
      </c>
    </row>
    <row r="127" spans="1:12" ht="14.25" outlineLevel="2">
      <c r="A127" s="1035"/>
      <c r="B127" s="1063">
        <f t="shared" si="36"/>
        <v>0</v>
      </c>
      <c r="C127" s="1045">
        <f t="shared" ca="1" si="30"/>
        <v>0</v>
      </c>
      <c r="D127" s="1046"/>
      <c r="E127" s="1047"/>
      <c r="F127" s="1058">
        <f ca="1">IFERROR(('5.分产品利润表'!J$10+'5.分产品利润表'!J$13+'5.分产品利润表'!J$14+'5.分产品利润表'!J$15)/'8.项目规划指标表'!E12*10000,0)</f>
        <v>0</v>
      </c>
      <c r="G127" s="1049">
        <f>IFERROR(('5.分产品利润表'!W$10+'5.分产品利润表'!W$13+'5.分产品利润表'!W$14+'5.分产品利润表'!W$15)/'8.项目规划指标表'!I12*10000,0)</f>
        <v>0</v>
      </c>
      <c r="H127" s="1050">
        <f ca="1">IFERROR(('5.分产品利润表'!AJ$10+'5.分产品利润表'!AJ$13+'5.分产品利润表'!AJ$14+'5.分产品利润表'!AJ$15)/'8.项目规划指标表'!M12*10000,0)</f>
        <v>0</v>
      </c>
      <c r="I127" s="1050">
        <f ca="1">IFERROR(('5.分产品利润表'!AW$10+'5.分产品利润表'!AW$13+'5.分产品利润表'!AW$14+'5.分产品利润表'!AW$15)/'8.项目规划指标表'!Q12*10000,0)</f>
        <v>0</v>
      </c>
      <c r="J127" s="1050">
        <f ca="1">IFERROR(('5.分产品利润表'!BJ$10+'5.分产品利润表'!BJ$13+'5.分产品利润表'!BJ$14+'5.分产品利润表'!BJ$15)/'8.项目规划指标表'!U12*10000,0)</f>
        <v>0</v>
      </c>
      <c r="K127" s="1050">
        <f ca="1">IFERROR(('5.分产品利润表'!BW$10+'5.分产品利润表'!BW$13+'5.分产品利润表'!BW$14+'5.分产品利润表'!BW$15)/'8.项目规划指标表'!Y12*10000,0)</f>
        <v>0</v>
      </c>
      <c r="L127" s="1056">
        <f ca="1">IFERROR(('5.分产品利润表'!CJ$10+'5.分产品利润表'!CJ$13+'5.分产品利润表'!CJ$14+'5.分产品利润表'!CJ$15)/'8.项目规划指标表'!AC12*10000,0)</f>
        <v>0</v>
      </c>
    </row>
    <row r="128" spans="1:12" ht="14.25" outlineLevel="2">
      <c r="A128" s="1035"/>
      <c r="B128" s="1063">
        <f t="shared" si="36"/>
        <v>0</v>
      </c>
      <c r="C128" s="1045">
        <f t="shared" ca="1" si="30"/>
        <v>0</v>
      </c>
      <c r="D128" s="1046"/>
      <c r="E128" s="1047"/>
      <c r="F128" s="1058">
        <f ca="1">IFERROR(('5.分产品利润表'!K$10+'5.分产品利润表'!K$13+'5.分产品利润表'!K$14+'5.分产品利润表'!K$15)/'8.项目规划指标表'!E13*10000,0)</f>
        <v>0</v>
      </c>
      <c r="G128" s="1049">
        <f>IFERROR(('5.分产品利润表'!X$10+'5.分产品利润表'!X$13+'5.分产品利润表'!X$14+'5.分产品利润表'!X$15)/'8.项目规划指标表'!I13*10000,0)</f>
        <v>0</v>
      </c>
      <c r="H128" s="1050">
        <f ca="1">IFERROR(('5.分产品利润表'!AK$10+'5.分产品利润表'!AK$13+'5.分产品利润表'!AK$14+'5.分产品利润表'!AK$15)/'8.项目规划指标表'!M13*10000,0)</f>
        <v>0</v>
      </c>
      <c r="I128" s="1050">
        <f ca="1">IFERROR(('5.分产品利润表'!AX$10+'5.分产品利润表'!AX$13+'5.分产品利润表'!AX$14+'5.分产品利润表'!AX$15)/'8.项目规划指标表'!Q13*10000,0)</f>
        <v>0</v>
      </c>
      <c r="J128" s="1050">
        <f ca="1">IFERROR(('5.分产品利润表'!BK$10+'5.分产品利润表'!BK$13+'5.分产品利润表'!BK$14+'5.分产品利润表'!BK$15)/'8.项目规划指标表'!U13*10000,0)</f>
        <v>0</v>
      </c>
      <c r="K128" s="1050">
        <f ca="1">IFERROR(('5.分产品利润表'!BX$10+'5.分产品利润表'!BX$13+'5.分产品利润表'!BX$14+'5.分产品利润表'!BX$15)/'8.项目规划指标表'!Y13*10000,0)</f>
        <v>0</v>
      </c>
      <c r="L128" s="1056">
        <f ca="1">IFERROR(('5.分产品利润表'!CK$10+'5.分产品利润表'!CK$13+'5.分产品利润表'!CK$14+'5.分产品利润表'!CK$15)/'8.项目规划指标表'!AC13*10000,0)</f>
        <v>0</v>
      </c>
    </row>
    <row r="129" spans="1:12" ht="14.25" outlineLevel="2">
      <c r="A129" s="1035"/>
      <c r="B129" s="1063" t="str">
        <f t="shared" si="36"/>
        <v>自持物业</v>
      </c>
      <c r="C129" s="1045">
        <f t="shared" si="30"/>
        <v>0</v>
      </c>
      <c r="D129" s="1046"/>
      <c r="E129" s="1047"/>
      <c r="F129" s="1058">
        <f>IFERROR(('5.分产品利润表'!L$10+'5.分产品利润表'!L$13+'5.分产品利润表'!L$14+'5.分产品利润表'!L$15)/'8.项目规划指标表'!E14*10000,0)</f>
        <v>0</v>
      </c>
      <c r="G129" s="1049">
        <f>IFERROR(('5.分产品利润表'!Y$10+'5.分产品利润表'!Y$13+'5.分产品利润表'!Y$14+'5.分产品利润表'!Y$15)/'8.项目规划指标表'!I14*10000,0)</f>
        <v>0</v>
      </c>
      <c r="H129" s="1050">
        <f>IFERROR(('5.分产品利润表'!AL$10+'5.分产品利润表'!AL$13+'5.分产品利润表'!AL$14+'5.分产品利润表'!AL$15)/'8.项目规划指标表'!M14*10000,0)</f>
        <v>0</v>
      </c>
      <c r="I129" s="1050">
        <f>IFERROR(('5.分产品利润表'!AY$10+'5.分产品利润表'!AY$13+'5.分产品利润表'!AY$14+'5.分产品利润表'!AY$15)/'8.项目规划指标表'!Q14*10000,0)</f>
        <v>0</v>
      </c>
      <c r="J129" s="1050">
        <f>IFERROR(('5.分产品利润表'!BL$10+'5.分产品利润表'!BL$13+'5.分产品利润表'!BL$14+'5.分产品利润表'!BL$15)/'8.项目规划指标表'!U14*10000,0)</f>
        <v>0</v>
      </c>
      <c r="K129" s="1050">
        <f>IFERROR(('5.分产品利润表'!BY$10+'5.分产品利润表'!BY$13+'5.分产品利润表'!BY$14+'5.分产品利润表'!BY$15)/'8.项目规划指标表'!Y14*10000,0)</f>
        <v>0</v>
      </c>
      <c r="L129" s="1056">
        <f>IFERROR(('5.分产品利润表'!CL$10+'5.分产品利润表'!CL$13+'5.分产品利润表'!CL$14+'5.分产品利润表'!CL$15)/'8.项目规划指标表'!AC14*10000,0)</f>
        <v>0</v>
      </c>
    </row>
    <row r="130" spans="1:12" ht="14.25" outlineLevel="2">
      <c r="A130" s="1035"/>
      <c r="B130" s="1063" t="str">
        <f t="shared" si="36"/>
        <v>有产权车库(个)</v>
      </c>
      <c r="C130" s="1045">
        <f t="shared" ca="1" si="30"/>
        <v>6822.9271048036635</v>
      </c>
      <c r="D130" s="1046"/>
      <c r="E130" s="1047"/>
      <c r="F130" s="1058">
        <f ca="1">IFERROR(('5.分产品利润表'!M$10+'5.分产品利润表'!M$13+'5.分产品利润表'!M$14+'5.分产品利润表'!M$15)/'8.项目规划指标表'!E18*10000,0)</f>
        <v>6822.9271048036635</v>
      </c>
      <c r="G130" s="1049">
        <f ca="1">IFERROR(('5.分产品利润表'!Z$10+'5.分产品利润表'!Z$13+'5.分产品利润表'!Z$14+'5.分产品利润表'!Z$15)/'8.项目规划指标表'!I18*10000,0)</f>
        <v>6822.9271048036635</v>
      </c>
      <c r="H130" s="1050">
        <f ca="1">IFERROR(('5.分产品利润表'!AM$10+'5.分产品利润表'!AM$13+'5.分产品利润表'!AM$14+'5.分产品利润表'!AM$15)/'8.项目规划指标表'!M18*10000,0)</f>
        <v>0</v>
      </c>
      <c r="I130" s="1050">
        <f ca="1">IFERROR(('5.分产品利润表'!AZ$10+'5.分产品利润表'!AZ$13+'5.分产品利润表'!AZ$14+'5.分产品利润表'!AZ$15)/'8.项目规划指标表'!Q18*10000,0)</f>
        <v>0</v>
      </c>
      <c r="J130" s="1050">
        <f ca="1">IFERROR(('5.分产品利润表'!BM$10+'5.分产品利润表'!BM$13+'5.分产品利润表'!BM$14+'5.分产品利润表'!BM$15)/'8.项目规划指标表'!U18*10000,0)</f>
        <v>0</v>
      </c>
      <c r="K130" s="1050">
        <f ca="1">IFERROR(('5.分产品利润表'!BZ$10+'5.分产品利润表'!BZ$13+'5.分产品利润表'!BZ$14+'5.分产品利润表'!BZ$15)/'8.项目规划指标表'!Y18*10000,0)</f>
        <v>0</v>
      </c>
      <c r="L130" s="1056">
        <f ca="1">IFERROR(('5.分产品利润表'!CM$10+'5.分产品利润表'!CM$13+'5.分产品利润表'!CM$14+'5.分产品利润表'!CM$15)/'8.项目规划指标表'!AC18*10000,0)</f>
        <v>0</v>
      </c>
    </row>
    <row r="131" spans="1:12" ht="14.25" outlineLevel="2">
      <c r="A131" s="1035"/>
      <c r="B131" s="1063" t="str">
        <f t="shared" si="36"/>
        <v>无产权车库(个)</v>
      </c>
      <c r="C131" s="1045">
        <f t="shared" ca="1" si="30"/>
        <v>0</v>
      </c>
      <c r="D131" s="1046"/>
      <c r="E131" s="1047"/>
      <c r="F131" s="1058">
        <f ca="1">IFERROR(('5.分产品利润表'!N$10+'5.分产品利润表'!N$13+'5.分产品利润表'!N$14+'5.分产品利润表'!N$15)/'8.项目规划指标表'!E19*10000,0)</f>
        <v>0</v>
      </c>
      <c r="G131" s="1049">
        <f>IFERROR(('5.分产品利润表'!AA$10+'5.分产品利润表'!AA$13+'5.分产品利润表'!AA$14+'5.分产品利润表'!AA$15)/'8.项目规划指标表'!I19*10000,0)</f>
        <v>0</v>
      </c>
      <c r="H131" s="1050">
        <f ca="1">IFERROR(('5.分产品利润表'!AN$10+'5.分产品利润表'!AN$13+'5.分产品利润表'!AN$14+'5.分产品利润表'!AN$15)/'8.项目规划指标表'!M19*10000,0)</f>
        <v>0</v>
      </c>
      <c r="I131" s="1050">
        <f ca="1">IFERROR(('5.分产品利润表'!BA$10+'5.分产品利润表'!BA$13+'5.分产品利润表'!BA$14+'5.分产品利润表'!BA$15)/'8.项目规划指标表'!Q19*10000,0)</f>
        <v>0</v>
      </c>
      <c r="J131" s="1050">
        <f ca="1">IFERROR(('5.分产品利润表'!BN$10+'5.分产品利润表'!BN$13+'5.分产品利润表'!BN$14+'5.分产品利润表'!BN$15)/'8.项目规划指标表'!U19*10000,0)</f>
        <v>0</v>
      </c>
      <c r="K131" s="1050">
        <f ca="1">IFERROR(('5.分产品利润表'!CA$10+'5.分产品利润表'!CA$13+'5.分产品利润表'!CA$14+'5.分产品利润表'!CA$15)/'8.项目规划指标表'!Y19*10000,0)</f>
        <v>0</v>
      </c>
      <c r="L131" s="1056">
        <f ca="1">IFERROR(('5.分产品利润表'!CN$10+'5.分产品利润表'!CN$13+'5.分产品利润表'!CN$14+'5.分产品利润表'!CN$15)/'8.项目规划指标表'!AC19*10000,0)</f>
        <v>0</v>
      </c>
    </row>
    <row r="132" spans="1:12" ht="14.25" outlineLevel="2">
      <c r="A132" s="985"/>
      <c r="B132" s="1066"/>
      <c r="C132" s="1067"/>
      <c r="D132" s="1068"/>
      <c r="E132" s="1068"/>
      <c r="F132" s="1067"/>
      <c r="G132" s="1067"/>
      <c r="H132" s="1067"/>
      <c r="I132" s="1067"/>
      <c r="J132" s="1067"/>
      <c r="K132" s="1067"/>
      <c r="L132" s="1067"/>
    </row>
    <row r="133" spans="1:12" ht="18.75" customHeight="1">
      <c r="A133" s="979"/>
      <c r="B133" s="1033" t="s">
        <v>652</v>
      </c>
      <c r="C133" s="1875"/>
      <c r="D133" s="1875"/>
      <c r="E133" s="1875"/>
      <c r="F133" s="1875"/>
      <c r="G133" s="1875"/>
      <c r="H133" s="1875"/>
      <c r="I133" s="1875"/>
      <c r="J133" s="1875"/>
      <c r="K133" s="1875"/>
      <c r="L133" s="1875"/>
    </row>
    <row r="134" spans="1:12" ht="16.5" customHeight="1">
      <c r="A134" s="1069"/>
      <c r="B134" s="986" t="s">
        <v>653</v>
      </c>
      <c r="C134" s="987">
        <f>F134</f>
        <v>4.4999999999999998E-2</v>
      </c>
      <c r="D134" s="1070"/>
      <c r="E134" s="1071"/>
      <c r="F134" s="990">
        <f>'1.参数设置'!C5+'1.参数设置'!E5</f>
        <v>4.4999999999999998E-2</v>
      </c>
      <c r="G134" s="991"/>
      <c r="H134" s="992"/>
      <c r="I134" s="992"/>
      <c r="J134" s="992"/>
      <c r="K134" s="992"/>
      <c r="L134" s="1051"/>
    </row>
    <row r="135" spans="1:12" ht="16.5" customHeight="1">
      <c r="A135" s="1069"/>
      <c r="B135" s="986" t="s">
        <v>654</v>
      </c>
      <c r="C135" s="1072">
        <f>F135</f>
        <v>8.5000000000000006E-2</v>
      </c>
      <c r="D135" s="1073"/>
      <c r="E135" s="1074"/>
      <c r="F135" s="1075">
        <f>'17.财务费用测算表'!D19</f>
        <v>8.5000000000000006E-2</v>
      </c>
      <c r="G135" s="1076">
        <f t="shared" ref="G135:L135" si="37">F135</f>
        <v>8.5000000000000006E-2</v>
      </c>
      <c r="H135" s="1077">
        <f t="shared" si="37"/>
        <v>8.5000000000000006E-2</v>
      </c>
      <c r="I135" s="1077">
        <f t="shared" si="37"/>
        <v>8.5000000000000006E-2</v>
      </c>
      <c r="J135" s="1077">
        <f t="shared" si="37"/>
        <v>8.5000000000000006E-2</v>
      </c>
      <c r="K135" s="1077">
        <f t="shared" si="37"/>
        <v>8.5000000000000006E-2</v>
      </c>
      <c r="L135" s="1102">
        <f t="shared" si="37"/>
        <v>8.5000000000000006E-2</v>
      </c>
    </row>
    <row r="136" spans="1:12" ht="16.5" customHeight="1">
      <c r="A136" s="1069"/>
      <c r="B136" s="986" t="s">
        <v>655</v>
      </c>
      <c r="C136" s="1078">
        <f t="shared" ref="C136:C140" si="38">E136+F136+D136</f>
        <v>27000</v>
      </c>
      <c r="D136" s="1079"/>
      <c r="E136" s="1080"/>
      <c r="F136" s="1081">
        <f>'17.财务费用测算表'!C8</f>
        <v>27000</v>
      </c>
      <c r="G136" s="991"/>
      <c r="H136" s="992"/>
      <c r="I136" s="992"/>
      <c r="J136" s="992"/>
      <c r="K136" s="992"/>
      <c r="L136" s="1051"/>
    </row>
    <row r="137" spans="1:12" ht="16.5" customHeight="1">
      <c r="A137" s="1069"/>
      <c r="B137" s="986" t="s">
        <v>656</v>
      </c>
      <c r="C137" s="1078">
        <f t="shared" si="38"/>
        <v>25847.699999999997</v>
      </c>
      <c r="D137" s="1079"/>
      <c r="E137" s="1080"/>
      <c r="F137" s="1081">
        <f t="shared" ref="F137:F140" si="39">SUM(G137:K137)</f>
        <v>25847.699999999997</v>
      </c>
      <c r="G137" s="1082">
        <f>'8.项目规划指标表'!G16</f>
        <v>25847.699999999997</v>
      </c>
      <c r="H137" s="1083">
        <f>'8.项目规划指标表'!K16</f>
        <v>0</v>
      </c>
      <c r="I137" s="1083">
        <f>'8.项目规划指标表'!O16</f>
        <v>0</v>
      </c>
      <c r="J137" s="1083">
        <f>'8.项目规划指标表'!S16</f>
        <v>0</v>
      </c>
      <c r="K137" s="1083">
        <f>'8.项目规划指标表'!W16</f>
        <v>0</v>
      </c>
      <c r="L137" s="1103">
        <f>'8.项目规划指标表'!AA16</f>
        <v>0</v>
      </c>
    </row>
    <row r="138" spans="1:12" ht="16.5" customHeight="1">
      <c r="A138" s="1069"/>
      <c r="B138" s="986" t="s">
        <v>657</v>
      </c>
      <c r="C138" s="1078">
        <f>D138+E138+F138</f>
        <v>81954</v>
      </c>
      <c r="D138" s="1079"/>
      <c r="E138" s="1080"/>
      <c r="F138" s="1081">
        <f t="shared" si="39"/>
        <v>81954</v>
      </c>
      <c r="G138" s="1082">
        <f>'8.项目规划指标表'!G22</f>
        <v>81954</v>
      </c>
      <c r="H138" s="1083">
        <f>'8.项目规划指标表'!K22</f>
        <v>0</v>
      </c>
      <c r="I138" s="1083">
        <f>'8.项目规划指标表'!O22</f>
        <v>0</v>
      </c>
      <c r="J138" s="1083">
        <f>'8.项目规划指标表'!S22</f>
        <v>0</v>
      </c>
      <c r="K138" s="1083">
        <f>'8.项目规划指标表'!W22</f>
        <v>0</v>
      </c>
      <c r="L138" s="1103">
        <f>'8.项目规划指标表'!AA22</f>
        <v>0</v>
      </c>
    </row>
    <row r="139" spans="1:12" ht="16.5" customHeight="1">
      <c r="A139" s="1069"/>
      <c r="B139" s="986" t="s">
        <v>658</v>
      </c>
      <c r="C139" s="1078">
        <f>D139+E139+F139</f>
        <v>64615</v>
      </c>
      <c r="D139" s="1079"/>
      <c r="E139" s="1080"/>
      <c r="F139" s="1081">
        <f t="shared" si="39"/>
        <v>64615</v>
      </c>
      <c r="G139" s="1082">
        <f>'8.项目规划指标表'!H16</f>
        <v>64615</v>
      </c>
      <c r="H139" s="1083">
        <f>'8.项目规划指标表'!L16</f>
        <v>0</v>
      </c>
      <c r="I139" s="1083">
        <f>'8.项目规划指标表'!P16</f>
        <v>0</v>
      </c>
      <c r="J139" s="1083">
        <f>'8.项目规划指标表'!T16</f>
        <v>0</v>
      </c>
      <c r="K139" s="1083">
        <f>'8.项目规划指标表'!X16</f>
        <v>0</v>
      </c>
      <c r="L139" s="1103">
        <f>'8.项目规划指标表'!AB16</f>
        <v>0</v>
      </c>
    </row>
    <row r="140" spans="1:12" ht="16.5" customHeight="1">
      <c r="A140" s="1069"/>
      <c r="B140" s="986" t="s">
        <v>659</v>
      </c>
      <c r="C140" s="1078">
        <f t="shared" si="38"/>
        <v>59740</v>
      </c>
      <c r="D140" s="1079"/>
      <c r="E140" s="1080"/>
      <c r="F140" s="1081">
        <f t="shared" si="39"/>
        <v>59740</v>
      </c>
      <c r="G140" s="1082">
        <f>'8.项目规划指标表'!I16</f>
        <v>59740</v>
      </c>
      <c r="H140" s="1083">
        <f>'8.项目规划指标表'!M16</f>
        <v>0</v>
      </c>
      <c r="I140" s="1083">
        <f>'8.项目规划指标表'!Q16</f>
        <v>0</v>
      </c>
      <c r="J140" s="1083">
        <f>'8.项目规划指标表'!U16</f>
        <v>0</v>
      </c>
      <c r="K140" s="1083">
        <f>'8.项目规划指标表'!Y16</f>
        <v>0</v>
      </c>
      <c r="L140" s="1103">
        <f>'8.项目规划指标表'!AC16</f>
        <v>0</v>
      </c>
    </row>
    <row r="141" spans="1:12" ht="16.5" customHeight="1">
      <c r="A141" s="1069"/>
      <c r="B141" s="986" t="s">
        <v>660</v>
      </c>
      <c r="C141" s="1084">
        <f>IF(C138=0,0,C140/C138)</f>
        <v>0.72894550601556973</v>
      </c>
      <c r="D141" s="1085">
        <f t="shared" ref="D141:L141" si="40">IF(D138=0,0,D140/D138)</f>
        <v>0</v>
      </c>
      <c r="E141" s="1086">
        <f t="shared" si="40"/>
        <v>0</v>
      </c>
      <c r="F141" s="1087">
        <f t="shared" si="40"/>
        <v>0.72894550601556973</v>
      </c>
      <c r="G141" s="1085">
        <f t="shared" si="40"/>
        <v>0.72894550601556973</v>
      </c>
      <c r="H141" s="1088">
        <f t="shared" si="40"/>
        <v>0</v>
      </c>
      <c r="I141" s="1088">
        <f t="shared" si="40"/>
        <v>0</v>
      </c>
      <c r="J141" s="1088">
        <f t="shared" si="40"/>
        <v>0</v>
      </c>
      <c r="K141" s="1088">
        <f t="shared" si="40"/>
        <v>0</v>
      </c>
      <c r="L141" s="1086">
        <f t="shared" si="40"/>
        <v>0</v>
      </c>
    </row>
    <row r="142" spans="1:12" ht="16.5" customHeight="1">
      <c r="A142" s="1089"/>
      <c r="B142" s="986" t="s">
        <v>257</v>
      </c>
      <c r="C142" s="1090">
        <f>IF(C137=0,0,C139/C137)</f>
        <v>2.4998355753123103</v>
      </c>
      <c r="D142" s="1091">
        <f>IF(D137=0,0,D138/D137)</f>
        <v>0</v>
      </c>
      <c r="E142" s="1092">
        <f>IF(E137=0,0,E138/E137)</f>
        <v>0</v>
      </c>
      <c r="F142" s="1093">
        <f t="shared" ref="F142:L142" si="41">IF(F137=0,0,F139/F137)</f>
        <v>2.4998355753123103</v>
      </c>
      <c r="G142" s="1091">
        <f t="shared" si="41"/>
        <v>2.4998355753123103</v>
      </c>
      <c r="H142" s="1094">
        <f t="shared" si="41"/>
        <v>0</v>
      </c>
      <c r="I142" s="1094">
        <f t="shared" si="41"/>
        <v>0</v>
      </c>
      <c r="J142" s="1094">
        <f t="shared" si="41"/>
        <v>0</v>
      </c>
      <c r="K142" s="1094">
        <f t="shared" si="41"/>
        <v>0</v>
      </c>
      <c r="L142" s="1092">
        <f t="shared" si="41"/>
        <v>0</v>
      </c>
    </row>
    <row r="143" spans="1:12" ht="16.5" customHeight="1">
      <c r="A143" s="1089"/>
      <c r="B143" s="986" t="s">
        <v>661</v>
      </c>
      <c r="C143" s="1078">
        <f>E143+F143+D143</f>
        <v>609</v>
      </c>
      <c r="D143" s="1876"/>
      <c r="E143" s="1877"/>
      <c r="F143" s="1081">
        <f>SUM(G143:K143)</f>
        <v>609</v>
      </c>
      <c r="G143" s="1082">
        <f>'8.项目规划指标表'!I21</f>
        <v>609</v>
      </c>
      <c r="H143" s="1083">
        <f>'8.项目规划指标表'!M21</f>
        <v>0</v>
      </c>
      <c r="I143" s="1083">
        <f>'8.项目规划指标表'!Q21</f>
        <v>0</v>
      </c>
      <c r="J143" s="1083">
        <f>'8.项目规划指标表'!U21</f>
        <v>0</v>
      </c>
      <c r="K143" s="1083">
        <f>'8.项目规划指标表'!Y21</f>
        <v>0</v>
      </c>
      <c r="L143" s="1103">
        <f>'8.项目规划指标表'!AC21</f>
        <v>0</v>
      </c>
    </row>
    <row r="144" spans="1:12" ht="16.5" customHeight="1">
      <c r="A144" s="1089"/>
      <c r="B144" s="986" t="s">
        <v>662</v>
      </c>
      <c r="C144" s="1090">
        <f>E144+F144+D144</f>
        <v>112000</v>
      </c>
      <c r="D144" s="1095"/>
      <c r="E144" s="1096"/>
      <c r="F144" s="1093">
        <f>'11.销售及回款表'!D10</f>
        <v>112000</v>
      </c>
      <c r="G144" s="1091">
        <f>'11.销售及回款表'!D80</f>
        <v>112000</v>
      </c>
      <c r="H144" s="1094">
        <f>'11.销售及回款表'!D150</f>
        <v>0</v>
      </c>
      <c r="I144" s="1094">
        <f>'11.销售及回款表'!D220</f>
        <v>0</v>
      </c>
      <c r="J144" s="1094">
        <f>'11.销售及回款表'!D290</f>
        <v>0</v>
      </c>
      <c r="K144" s="1094">
        <f>'11.销售及回款表'!D360</f>
        <v>0</v>
      </c>
      <c r="L144" s="1092">
        <f>'11.销售及回款表'!D430</f>
        <v>0</v>
      </c>
    </row>
    <row r="145" spans="1:12">
      <c r="A145" s="1097"/>
      <c r="B145" s="1097"/>
      <c r="C145" s="1097"/>
      <c r="D145" s="1097"/>
      <c r="E145" s="1097"/>
      <c r="F145" s="351"/>
      <c r="G145" s="351"/>
      <c r="H145" s="351"/>
      <c r="I145" s="351"/>
      <c r="J145" s="351"/>
      <c r="K145" s="351"/>
      <c r="L145" s="78"/>
    </row>
    <row r="146" spans="1:12">
      <c r="A146" s="85"/>
      <c r="B146" s="85"/>
      <c r="C146" s="85"/>
      <c r="D146" s="85"/>
      <c r="E146" s="85"/>
      <c r="F146" s="1098"/>
      <c r="G146" s="78"/>
      <c r="H146" s="78"/>
      <c r="I146" s="78"/>
      <c r="J146" s="78"/>
      <c r="K146" s="78"/>
      <c r="L146" s="78"/>
    </row>
    <row r="147" spans="1:12">
      <c r="A147" s="85"/>
      <c r="B147" s="85"/>
      <c r="C147" s="85"/>
      <c r="D147" s="85"/>
      <c r="E147" s="85"/>
      <c r="F147" s="78"/>
      <c r="G147" s="1099"/>
      <c r="H147" s="78"/>
      <c r="I147" s="78"/>
      <c r="J147" s="78"/>
      <c r="K147" s="78"/>
      <c r="L147" s="78"/>
    </row>
    <row r="148" spans="1:12">
      <c r="A148" s="85"/>
      <c r="B148" s="85"/>
      <c r="C148" s="85"/>
      <c r="D148" s="85"/>
      <c r="E148" s="85"/>
      <c r="F148" s="78"/>
      <c r="G148" s="1100"/>
      <c r="H148" s="78"/>
      <c r="I148" s="78"/>
      <c r="J148" s="78"/>
      <c r="K148" s="78"/>
      <c r="L148" s="78"/>
    </row>
    <row r="149" spans="1:12">
      <c r="A149" s="85"/>
      <c r="B149" s="85"/>
      <c r="C149" s="85"/>
      <c r="D149" s="85"/>
      <c r="E149" s="85"/>
      <c r="F149" s="78"/>
      <c r="G149" s="78"/>
      <c r="H149" s="1101"/>
      <c r="I149" s="78"/>
      <c r="J149" s="78"/>
      <c r="K149" s="78"/>
      <c r="L149" s="78"/>
    </row>
    <row r="150" spans="1:12">
      <c r="A150" s="85"/>
      <c r="B150" s="85"/>
      <c r="C150" s="85"/>
      <c r="D150" s="85"/>
      <c r="E150" s="85"/>
      <c r="F150" s="78"/>
      <c r="G150" s="92"/>
      <c r="H150" s="78"/>
      <c r="I150" s="78"/>
      <c r="J150" s="78"/>
      <c r="K150" s="78"/>
      <c r="L150" s="78"/>
    </row>
  </sheetData>
  <sheetProtection password="D9A8" sheet="1" objects="1" scenarios="1"/>
  <mergeCells count="5">
    <mergeCell ref="G2:H2"/>
    <mergeCell ref="C4:L4"/>
    <mergeCell ref="C50:L50"/>
    <mergeCell ref="C133:L133"/>
    <mergeCell ref="D143:E143"/>
  </mergeCells>
  <phoneticPr fontId="102" type="noConversion"/>
  <conditionalFormatting sqref="F44:F47">
    <cfRule type="cellIs" dxfId="111" priority="1" stopIfTrue="1" operator="equal">
      <formula>0</formula>
    </cfRule>
  </conditionalFormatting>
  <hyperlinks>
    <hyperlink ref="D1" location="目录!A1" display="返回目录"/>
  </hyperlinks>
  <pageMargins left="0.69930555555555596" right="0.69930555555555596"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outlinePr summaryBelow="0" summaryRight="0"/>
  </sheetPr>
  <dimension ref="A1:CN56"/>
  <sheetViews>
    <sheetView showGridLines="0" workbookViewId="0">
      <pane xSplit="1" ySplit="5" topLeftCell="B22" activePane="bottomRight" state="frozen"/>
      <selection pane="topRight"/>
      <selection pane="bottomLeft"/>
      <selection pane="bottomRight" activeCell="I15" sqref="I15"/>
    </sheetView>
  </sheetViews>
  <sheetFormatPr defaultColWidth="9" defaultRowHeight="12.75" outlineLevelRow="1" outlineLevelCol="1"/>
  <cols>
    <col min="1" max="1" width="14.875" style="77" customWidth="1"/>
    <col min="2" max="2" width="9.625" style="77" customWidth="1"/>
    <col min="3" max="14" width="9.125" style="77" customWidth="1" outlineLevel="1"/>
    <col min="15" max="15" width="9.625" style="77" customWidth="1"/>
    <col min="16" max="27" width="9" style="77" customWidth="1" outlineLevel="1"/>
    <col min="28" max="28" width="9" style="77"/>
    <col min="29" max="40" width="9" style="77" customWidth="1" outlineLevel="1"/>
    <col min="41" max="41" width="9" style="77"/>
    <col min="42" max="53" width="9" style="77" customWidth="1" outlineLevel="1"/>
    <col min="54" max="54" width="9" style="77"/>
    <col min="55" max="66" width="9" style="77" customWidth="1" outlineLevel="1"/>
    <col min="67" max="67" width="9" style="77"/>
    <col min="68" max="77" width="9" style="77" customWidth="1" outlineLevel="1"/>
    <col min="78" max="79" width="8.875" style="77" customWidth="1" outlineLevel="1"/>
    <col min="80" max="80" width="9" style="77"/>
    <col min="81" max="92" width="9" style="77" customWidth="1" outlineLevel="1"/>
    <col min="93" max="16384" width="9" style="77"/>
  </cols>
  <sheetData>
    <row r="1" spans="1:92" ht="18.75">
      <c r="A1" s="79" t="s">
        <v>663</v>
      </c>
      <c r="B1" s="79"/>
      <c r="D1" s="80" t="s">
        <v>117</v>
      </c>
    </row>
    <row r="2" spans="1:92">
      <c r="P2" s="690"/>
      <c r="Q2" s="690"/>
      <c r="R2" s="690"/>
      <c r="S2" s="690"/>
      <c r="T2" s="690"/>
      <c r="U2" s="690"/>
      <c r="V2" s="690"/>
      <c r="W2" s="690"/>
      <c r="X2" s="690"/>
      <c r="Y2" s="690"/>
      <c r="Z2" s="690"/>
      <c r="AA2" s="690"/>
    </row>
    <row r="3" spans="1:92" ht="14.25" customHeight="1">
      <c r="A3" s="81" t="s">
        <v>118</v>
      </c>
      <c r="B3" s="81"/>
      <c r="BC3" s="823">
        <f>BC9-BC10</f>
        <v>0</v>
      </c>
    </row>
    <row r="4" spans="1:92" ht="16.5" customHeight="1">
      <c r="A4" s="1860" t="s">
        <v>569</v>
      </c>
      <c r="B4" s="1857" t="s">
        <v>570</v>
      </c>
      <c r="C4" s="1857"/>
      <c r="D4" s="1857"/>
      <c r="E4" s="1857"/>
      <c r="F4" s="1857"/>
      <c r="G4" s="1857"/>
      <c r="H4" s="1857"/>
      <c r="I4" s="1857"/>
      <c r="J4" s="1857"/>
      <c r="K4" s="1857"/>
      <c r="L4" s="1857"/>
      <c r="M4" s="1857"/>
      <c r="N4" s="1858"/>
      <c r="O4" s="1856" t="s">
        <v>19</v>
      </c>
      <c r="P4" s="1857"/>
      <c r="Q4" s="1857"/>
      <c r="R4" s="1857"/>
      <c r="S4" s="1857"/>
      <c r="T4" s="1857"/>
      <c r="U4" s="1857"/>
      <c r="V4" s="1857"/>
      <c r="W4" s="1857"/>
      <c r="X4" s="1857"/>
      <c r="Y4" s="1857"/>
      <c r="Z4" s="1857"/>
      <c r="AA4" s="1858"/>
      <c r="AB4" s="1856" t="s">
        <v>20</v>
      </c>
      <c r="AC4" s="1857"/>
      <c r="AD4" s="1857"/>
      <c r="AE4" s="1857"/>
      <c r="AF4" s="1857"/>
      <c r="AG4" s="1857"/>
      <c r="AH4" s="1857"/>
      <c r="AI4" s="1857"/>
      <c r="AJ4" s="1857"/>
      <c r="AK4" s="1857"/>
      <c r="AL4" s="1857"/>
      <c r="AM4" s="1857"/>
      <c r="AN4" s="1858"/>
      <c r="AO4" s="1856" t="s">
        <v>21</v>
      </c>
      <c r="AP4" s="1857"/>
      <c r="AQ4" s="1857"/>
      <c r="AR4" s="1857"/>
      <c r="AS4" s="1857"/>
      <c r="AT4" s="1857"/>
      <c r="AU4" s="1857"/>
      <c r="AV4" s="1857"/>
      <c r="AW4" s="1857"/>
      <c r="AX4" s="1857"/>
      <c r="AY4" s="1857"/>
      <c r="AZ4" s="1857"/>
      <c r="BA4" s="1858"/>
      <c r="BB4" s="1856" t="s">
        <v>22</v>
      </c>
      <c r="BC4" s="1857"/>
      <c r="BD4" s="1857"/>
      <c r="BE4" s="1857"/>
      <c r="BF4" s="1857"/>
      <c r="BG4" s="1857"/>
      <c r="BH4" s="1857"/>
      <c r="BI4" s="1857"/>
      <c r="BJ4" s="1857"/>
      <c r="BK4" s="1857"/>
      <c r="BL4" s="1857"/>
      <c r="BM4" s="1857"/>
      <c r="BN4" s="1858"/>
      <c r="BO4" s="1856" t="s">
        <v>23</v>
      </c>
      <c r="BP4" s="1857"/>
      <c r="BQ4" s="1857"/>
      <c r="BR4" s="1857"/>
      <c r="BS4" s="1857"/>
      <c r="BT4" s="1857"/>
      <c r="BU4" s="1857"/>
      <c r="BV4" s="1857"/>
      <c r="BW4" s="1857"/>
      <c r="BX4" s="1857"/>
      <c r="BY4" s="1857"/>
      <c r="BZ4" s="1857"/>
      <c r="CA4" s="1859"/>
      <c r="CB4" s="1856" t="s">
        <v>24</v>
      </c>
      <c r="CC4" s="1857"/>
      <c r="CD4" s="1857"/>
      <c r="CE4" s="1857"/>
      <c r="CF4" s="1857"/>
      <c r="CG4" s="1857"/>
      <c r="CH4" s="1857"/>
      <c r="CI4" s="1857"/>
      <c r="CJ4" s="1857"/>
      <c r="CK4" s="1857"/>
      <c r="CL4" s="1857"/>
      <c r="CM4" s="1857"/>
      <c r="CN4" s="1859"/>
    </row>
    <row r="5" spans="1:92" s="74" customFormat="1" ht="16.5" customHeight="1">
      <c r="A5" s="1861"/>
      <c r="B5" s="860" t="s">
        <v>571</v>
      </c>
      <c r="C5" s="860" t="str">
        <f>'8.项目规划指标表'!$B5</f>
        <v>高层</v>
      </c>
      <c r="D5" s="860" t="str">
        <f>'8.项目规划指标表'!$B6</f>
        <v>商铺</v>
      </c>
      <c r="E5" s="860" t="str">
        <f>'8.项目规划指标表'!$B7</f>
        <v>回迁商业</v>
      </c>
      <c r="F5" s="860">
        <f>'8.项目规划指标表'!$B8</f>
        <v>0</v>
      </c>
      <c r="G5" s="860">
        <f>'8.项目规划指标表'!$B9</f>
        <v>0</v>
      </c>
      <c r="H5" s="860">
        <f>'8.项目规划指标表'!$B10</f>
        <v>0</v>
      </c>
      <c r="I5" s="860">
        <f>'8.项目规划指标表'!$B11</f>
        <v>0</v>
      </c>
      <c r="J5" s="860">
        <f>'8.项目规划指标表'!$B12</f>
        <v>0</v>
      </c>
      <c r="K5" s="860">
        <f>'8.项目规划指标表'!$B13</f>
        <v>0</v>
      </c>
      <c r="L5" s="860" t="str">
        <f>'8.项目规划指标表'!$B14</f>
        <v>自持物业</v>
      </c>
      <c r="M5" s="920" t="str">
        <f>'8.项目规划指标表'!$B18</f>
        <v>有产权车库(个)</v>
      </c>
      <c r="N5" s="921" t="str">
        <f>'8.项目规划指标表'!$B19</f>
        <v>无产权车库(个)</v>
      </c>
      <c r="O5" s="922" t="s">
        <v>572</v>
      </c>
      <c r="P5" s="860" t="str">
        <f>'8.项目规划指标表'!$B5</f>
        <v>高层</v>
      </c>
      <c r="Q5" s="860" t="str">
        <f>'8.项目规划指标表'!$B6</f>
        <v>商铺</v>
      </c>
      <c r="R5" s="860" t="str">
        <f>'8.项目规划指标表'!$B7</f>
        <v>回迁商业</v>
      </c>
      <c r="S5" s="860">
        <f>'8.项目规划指标表'!$B8</f>
        <v>0</v>
      </c>
      <c r="T5" s="860">
        <f>'8.项目规划指标表'!$B9</f>
        <v>0</v>
      </c>
      <c r="U5" s="860">
        <f>'8.项目规划指标表'!$B10</f>
        <v>0</v>
      </c>
      <c r="V5" s="860">
        <f>'8.项目规划指标表'!$B11</f>
        <v>0</v>
      </c>
      <c r="W5" s="860">
        <f>'8.项目规划指标表'!$B12</f>
        <v>0</v>
      </c>
      <c r="X5" s="860">
        <f>'8.项目规划指标表'!$B13</f>
        <v>0</v>
      </c>
      <c r="Y5" s="860" t="str">
        <f>'8.项目规划指标表'!$B14</f>
        <v>自持物业</v>
      </c>
      <c r="Z5" s="920" t="str">
        <f>'8.项目规划指标表'!$B18</f>
        <v>有产权车库(个)</v>
      </c>
      <c r="AA5" s="921" t="str">
        <f>'8.项目规划指标表'!$B19</f>
        <v>无产权车库(个)</v>
      </c>
      <c r="AB5" s="859" t="s">
        <v>573</v>
      </c>
      <c r="AC5" s="860" t="str">
        <f>'8.项目规划指标表'!$B5</f>
        <v>高层</v>
      </c>
      <c r="AD5" s="860" t="str">
        <f>'8.项目规划指标表'!$B6</f>
        <v>商铺</v>
      </c>
      <c r="AE5" s="860" t="str">
        <f>'8.项目规划指标表'!$B7</f>
        <v>回迁商业</v>
      </c>
      <c r="AF5" s="860">
        <f>'8.项目规划指标表'!$B8</f>
        <v>0</v>
      </c>
      <c r="AG5" s="860">
        <f>'8.项目规划指标表'!$B9</f>
        <v>0</v>
      </c>
      <c r="AH5" s="860">
        <f>'8.项目规划指标表'!$B10</f>
        <v>0</v>
      </c>
      <c r="AI5" s="860">
        <f>'8.项目规划指标表'!$B11</f>
        <v>0</v>
      </c>
      <c r="AJ5" s="860">
        <f>'8.项目规划指标表'!$B12</f>
        <v>0</v>
      </c>
      <c r="AK5" s="860">
        <f>'8.项目规划指标表'!$B13</f>
        <v>0</v>
      </c>
      <c r="AL5" s="860" t="str">
        <f>'8.项目规划指标表'!$B14</f>
        <v>自持物业</v>
      </c>
      <c r="AM5" s="920" t="str">
        <f>'8.项目规划指标表'!$B18</f>
        <v>有产权车库(个)</v>
      </c>
      <c r="AN5" s="921" t="str">
        <f>'8.项目规划指标表'!$B19</f>
        <v>无产权车库(个)</v>
      </c>
      <c r="AO5" s="859" t="s">
        <v>574</v>
      </c>
      <c r="AP5" s="860" t="str">
        <f>'8.项目规划指标表'!$B5</f>
        <v>高层</v>
      </c>
      <c r="AQ5" s="860" t="str">
        <f>'8.项目规划指标表'!$B6</f>
        <v>商铺</v>
      </c>
      <c r="AR5" s="860" t="str">
        <f>'8.项目规划指标表'!$B7</f>
        <v>回迁商业</v>
      </c>
      <c r="AS5" s="860">
        <f>'8.项目规划指标表'!$B8</f>
        <v>0</v>
      </c>
      <c r="AT5" s="860">
        <f>'8.项目规划指标表'!$B9</f>
        <v>0</v>
      </c>
      <c r="AU5" s="860">
        <f>'8.项目规划指标表'!$B10</f>
        <v>0</v>
      </c>
      <c r="AV5" s="860">
        <f>'8.项目规划指标表'!$B11</f>
        <v>0</v>
      </c>
      <c r="AW5" s="860">
        <f>'8.项目规划指标表'!$B12</f>
        <v>0</v>
      </c>
      <c r="AX5" s="860">
        <f>'8.项目规划指标表'!$B13</f>
        <v>0</v>
      </c>
      <c r="AY5" s="860" t="str">
        <f>'8.项目规划指标表'!$B14</f>
        <v>自持物业</v>
      </c>
      <c r="AZ5" s="920" t="str">
        <f>'8.项目规划指标表'!$B18</f>
        <v>有产权车库(个)</v>
      </c>
      <c r="BA5" s="921" t="str">
        <f>'8.项目规划指标表'!$B19</f>
        <v>无产权车库(个)</v>
      </c>
      <c r="BB5" s="859" t="s">
        <v>575</v>
      </c>
      <c r="BC5" s="860" t="str">
        <f>'8.项目规划指标表'!$B5</f>
        <v>高层</v>
      </c>
      <c r="BD5" s="860" t="str">
        <f>'8.项目规划指标表'!$B6</f>
        <v>商铺</v>
      </c>
      <c r="BE5" s="860" t="str">
        <f>'8.项目规划指标表'!$B7</f>
        <v>回迁商业</v>
      </c>
      <c r="BF5" s="860">
        <f>'8.项目规划指标表'!$B8</f>
        <v>0</v>
      </c>
      <c r="BG5" s="860">
        <f>'8.项目规划指标表'!$B9</f>
        <v>0</v>
      </c>
      <c r="BH5" s="860">
        <f>'8.项目规划指标表'!$B10</f>
        <v>0</v>
      </c>
      <c r="BI5" s="860">
        <f>'8.项目规划指标表'!$B11</f>
        <v>0</v>
      </c>
      <c r="BJ5" s="860">
        <f>'8.项目规划指标表'!$B12</f>
        <v>0</v>
      </c>
      <c r="BK5" s="860">
        <f>'8.项目规划指标表'!$B13</f>
        <v>0</v>
      </c>
      <c r="BL5" s="860" t="str">
        <f>'8.项目规划指标表'!$B14</f>
        <v>自持物业</v>
      </c>
      <c r="BM5" s="920" t="str">
        <f>'8.项目规划指标表'!$B18</f>
        <v>有产权车库(个)</v>
      </c>
      <c r="BN5" s="921" t="str">
        <f>'8.项目规划指标表'!$B19</f>
        <v>无产权车库(个)</v>
      </c>
      <c r="BO5" s="859" t="s">
        <v>576</v>
      </c>
      <c r="BP5" s="860" t="str">
        <f>'8.项目规划指标表'!$B5</f>
        <v>高层</v>
      </c>
      <c r="BQ5" s="860" t="str">
        <f>'8.项目规划指标表'!$B6</f>
        <v>商铺</v>
      </c>
      <c r="BR5" s="860" t="str">
        <f>'8.项目规划指标表'!$B7</f>
        <v>回迁商业</v>
      </c>
      <c r="BS5" s="860">
        <f>'8.项目规划指标表'!$B8</f>
        <v>0</v>
      </c>
      <c r="BT5" s="860">
        <f>'8.项目规划指标表'!$B9</f>
        <v>0</v>
      </c>
      <c r="BU5" s="860">
        <f>'8.项目规划指标表'!$B10</f>
        <v>0</v>
      </c>
      <c r="BV5" s="860">
        <f>'8.项目规划指标表'!$B11</f>
        <v>0</v>
      </c>
      <c r="BW5" s="860">
        <f>'8.项目规划指标表'!$B12</f>
        <v>0</v>
      </c>
      <c r="BX5" s="860">
        <f>'8.项目规划指标表'!$B13</f>
        <v>0</v>
      </c>
      <c r="BY5" s="860" t="str">
        <f>'8.项目规划指标表'!$B14</f>
        <v>自持物业</v>
      </c>
      <c r="BZ5" s="920" t="str">
        <f>'8.项目规划指标表'!$B18</f>
        <v>有产权车库(个)</v>
      </c>
      <c r="CA5" s="921" t="str">
        <f>'8.项目规划指标表'!$B19</f>
        <v>无产权车库(个)</v>
      </c>
      <c r="CB5" s="859" t="s">
        <v>577</v>
      </c>
      <c r="CC5" s="860" t="str">
        <f>'8.项目规划指标表'!$B5</f>
        <v>高层</v>
      </c>
      <c r="CD5" s="860" t="str">
        <f>'8.项目规划指标表'!$B6</f>
        <v>商铺</v>
      </c>
      <c r="CE5" s="860" t="str">
        <f>'8.项目规划指标表'!$B7</f>
        <v>回迁商业</v>
      </c>
      <c r="CF5" s="860">
        <f>'8.项目规划指标表'!$B8</f>
        <v>0</v>
      </c>
      <c r="CG5" s="860">
        <f>'8.项目规划指标表'!$B9</f>
        <v>0</v>
      </c>
      <c r="CH5" s="860">
        <f>'8.项目规划指标表'!$B10</f>
        <v>0</v>
      </c>
      <c r="CI5" s="860">
        <f>'8.项目规划指标表'!$B11</f>
        <v>0</v>
      </c>
      <c r="CJ5" s="860">
        <f>'8.项目规划指标表'!$B12</f>
        <v>0</v>
      </c>
      <c r="CK5" s="860">
        <f>'8.项目规划指标表'!$B13</f>
        <v>0</v>
      </c>
      <c r="CL5" s="860" t="str">
        <f>'8.项目规划指标表'!$B14</f>
        <v>自持物业</v>
      </c>
      <c r="CM5" s="920" t="str">
        <f>'8.项目规划指标表'!$B18</f>
        <v>有产权车库(个)</v>
      </c>
      <c r="CN5" s="973" t="str">
        <f>'8.项目规划指标表'!$B19</f>
        <v>无产权车库(个)</v>
      </c>
    </row>
    <row r="6" spans="1:92" ht="18" customHeight="1">
      <c r="A6" s="897" t="s">
        <v>468</v>
      </c>
      <c r="B6" s="870">
        <f t="shared" ref="B6:B11" si="0">SUM(C6:N6)</f>
        <v>100593.19495999999</v>
      </c>
      <c r="C6" s="870">
        <f t="shared" ref="C6:N11" si="1">SUM(P6,AC6,AP6,BC6,BP6,CC6)</f>
        <v>87130.794959999999</v>
      </c>
      <c r="D6" s="870">
        <f t="shared" si="1"/>
        <v>8736</v>
      </c>
      <c r="E6" s="870">
        <f t="shared" si="1"/>
        <v>0</v>
      </c>
      <c r="F6" s="870">
        <f t="shared" si="1"/>
        <v>0</v>
      </c>
      <c r="G6" s="870">
        <f t="shared" si="1"/>
        <v>0</v>
      </c>
      <c r="H6" s="870">
        <f t="shared" si="1"/>
        <v>0</v>
      </c>
      <c r="I6" s="870">
        <f t="shared" si="1"/>
        <v>0</v>
      </c>
      <c r="J6" s="870">
        <f t="shared" si="1"/>
        <v>0</v>
      </c>
      <c r="K6" s="870">
        <f>SUM(X6,AK6,AX6,BK6,BX6,CK6)</f>
        <v>0</v>
      </c>
      <c r="L6" s="870"/>
      <c r="M6" s="870">
        <f t="shared" si="1"/>
        <v>4726.3999999999996</v>
      </c>
      <c r="N6" s="923">
        <f t="shared" si="1"/>
        <v>0</v>
      </c>
      <c r="O6" s="871">
        <f>SUM(P6:AA6)</f>
        <v>100593.19495999999</v>
      </c>
      <c r="P6" s="872">
        <f>'11.销售及回款表'!$D88</f>
        <v>87130.794959999999</v>
      </c>
      <c r="Q6" s="872">
        <f>'11.销售及回款表'!$D93</f>
        <v>8736</v>
      </c>
      <c r="R6" s="872">
        <f>'11.销售及回款表'!$D98</f>
        <v>0</v>
      </c>
      <c r="S6" s="872">
        <f>'11.销售及回款表'!$D103</f>
        <v>0</v>
      </c>
      <c r="T6" s="872">
        <f>'11.销售及回款表'!$D108</f>
        <v>0</v>
      </c>
      <c r="U6" s="872">
        <f>'11.销售及回款表'!$D113</f>
        <v>0</v>
      </c>
      <c r="V6" s="872">
        <f>'11.销售及回款表'!$D118</f>
        <v>0</v>
      </c>
      <c r="W6" s="872">
        <f>'11.销售及回款表'!$D123</f>
        <v>0</v>
      </c>
      <c r="X6" s="872">
        <f>'11.销售及回款表'!$D128</f>
        <v>0</v>
      </c>
      <c r="Y6" s="925"/>
      <c r="Z6" s="872">
        <f>'11.销售及回款表'!$D138</f>
        <v>4726.3999999999996</v>
      </c>
      <c r="AA6" s="951">
        <f>'11.销售及回款表'!$D143</f>
        <v>0</v>
      </c>
      <c r="AB6" s="952">
        <f>SUM(AC6:AN6)</f>
        <v>0</v>
      </c>
      <c r="AC6" s="872">
        <f>'11.销售及回款表'!$D158</f>
        <v>0</v>
      </c>
      <c r="AD6" s="872">
        <f>'11.销售及回款表'!$D163</f>
        <v>0</v>
      </c>
      <c r="AE6" s="872">
        <f>'11.销售及回款表'!$D168</f>
        <v>0</v>
      </c>
      <c r="AF6" s="872">
        <f>'11.销售及回款表'!$D173</f>
        <v>0</v>
      </c>
      <c r="AG6" s="872">
        <f>'11.销售及回款表'!$D178</f>
        <v>0</v>
      </c>
      <c r="AH6" s="872">
        <f>'11.销售及回款表'!$D183</f>
        <v>0</v>
      </c>
      <c r="AI6" s="872">
        <f>'11.销售及回款表'!$D188</f>
        <v>0</v>
      </c>
      <c r="AJ6" s="872">
        <f>'11.销售及回款表'!$D193</f>
        <v>0</v>
      </c>
      <c r="AK6" s="872">
        <f>'11.销售及回款表'!$D198</f>
        <v>0</v>
      </c>
      <c r="AL6" s="872"/>
      <c r="AM6" s="872">
        <f>'11.销售及回款表'!$D208</f>
        <v>0</v>
      </c>
      <c r="AN6" s="951">
        <f>'11.销售及回款表'!$D213</f>
        <v>0</v>
      </c>
      <c r="AO6" s="952">
        <f>SUM(AP6:BA6)</f>
        <v>0</v>
      </c>
      <c r="AP6" s="872">
        <f>'11.销售及回款表'!$D228</f>
        <v>0</v>
      </c>
      <c r="AQ6" s="872">
        <f>'11.销售及回款表'!$D233</f>
        <v>0</v>
      </c>
      <c r="AR6" s="872">
        <f>'11.销售及回款表'!$D238</f>
        <v>0</v>
      </c>
      <c r="AS6" s="872">
        <f>'11.销售及回款表'!$D243</f>
        <v>0</v>
      </c>
      <c r="AT6" s="872">
        <f>'11.销售及回款表'!$D248</f>
        <v>0</v>
      </c>
      <c r="AU6" s="872">
        <f>'11.销售及回款表'!$D253</f>
        <v>0</v>
      </c>
      <c r="AV6" s="872">
        <f>'11.销售及回款表'!$D258</f>
        <v>0</v>
      </c>
      <c r="AW6" s="872">
        <f>'11.销售及回款表'!$D263</f>
        <v>0</v>
      </c>
      <c r="AX6" s="872">
        <f>'11.销售及回款表'!$D268</f>
        <v>0</v>
      </c>
      <c r="AY6" s="872"/>
      <c r="AZ6" s="872">
        <f>'11.销售及回款表'!$D278</f>
        <v>0</v>
      </c>
      <c r="BA6" s="951">
        <f>'11.销售及回款表'!$D283</f>
        <v>0</v>
      </c>
      <c r="BB6" s="952">
        <f>SUM(BC6:BN6)</f>
        <v>0</v>
      </c>
      <c r="BC6" s="872">
        <f>'11.销售及回款表'!$D298</f>
        <v>0</v>
      </c>
      <c r="BD6" s="872">
        <f>'11.销售及回款表'!$D303</f>
        <v>0</v>
      </c>
      <c r="BE6" s="872">
        <f>'11.销售及回款表'!$D308</f>
        <v>0</v>
      </c>
      <c r="BF6" s="872">
        <f>'11.销售及回款表'!$D313</f>
        <v>0</v>
      </c>
      <c r="BG6" s="872">
        <f>'11.销售及回款表'!$D318</f>
        <v>0</v>
      </c>
      <c r="BH6" s="872">
        <f>'11.销售及回款表'!$D323</f>
        <v>0</v>
      </c>
      <c r="BI6" s="872">
        <f>'11.销售及回款表'!$D328</f>
        <v>0</v>
      </c>
      <c r="BJ6" s="872">
        <f>'11.销售及回款表'!$D333</f>
        <v>0</v>
      </c>
      <c r="BK6" s="872">
        <f>'11.销售及回款表'!$D338</f>
        <v>0</v>
      </c>
      <c r="BL6" s="872"/>
      <c r="BM6" s="872">
        <f>'11.销售及回款表'!$D348</f>
        <v>0</v>
      </c>
      <c r="BN6" s="951">
        <f>'11.销售及回款表'!$D353</f>
        <v>0</v>
      </c>
      <c r="BO6" s="952">
        <f>SUM(BP6:CA6)</f>
        <v>0</v>
      </c>
      <c r="BP6" s="872">
        <f>'11.销售及回款表'!$D368</f>
        <v>0</v>
      </c>
      <c r="BQ6" s="872">
        <f>'11.销售及回款表'!$D373</f>
        <v>0</v>
      </c>
      <c r="BR6" s="872">
        <f>'11.销售及回款表'!$D378</f>
        <v>0</v>
      </c>
      <c r="BS6" s="872">
        <f>'11.销售及回款表'!$D383</f>
        <v>0</v>
      </c>
      <c r="BT6" s="872">
        <f>'11.销售及回款表'!$D388</f>
        <v>0</v>
      </c>
      <c r="BU6" s="872">
        <f>'11.销售及回款表'!$D393</f>
        <v>0</v>
      </c>
      <c r="BV6" s="872">
        <f>'11.销售及回款表'!$D398</f>
        <v>0</v>
      </c>
      <c r="BW6" s="872">
        <f>'11.销售及回款表'!$D403</f>
        <v>0</v>
      </c>
      <c r="BX6" s="872">
        <f>'11.销售及回款表'!$D408</f>
        <v>0</v>
      </c>
      <c r="BY6" s="872"/>
      <c r="BZ6" s="872">
        <f>'11.销售及回款表'!$D418</f>
        <v>0</v>
      </c>
      <c r="CA6" s="963">
        <f>'11.销售及回款表'!$D423</f>
        <v>0</v>
      </c>
      <c r="CB6" s="952">
        <f>SUM(CC6:CN6)</f>
        <v>0</v>
      </c>
      <c r="CC6" s="872">
        <f>'11.销售及回款表'!$D438</f>
        <v>0</v>
      </c>
      <c r="CD6" s="872">
        <f>'11.销售及回款表'!$D443</f>
        <v>0</v>
      </c>
      <c r="CE6" s="872">
        <f>'11.销售及回款表'!$D448</f>
        <v>0</v>
      </c>
      <c r="CF6" s="872">
        <f>'11.销售及回款表'!$D453</f>
        <v>0</v>
      </c>
      <c r="CG6" s="872">
        <f>'11.销售及回款表'!$D458</f>
        <v>0</v>
      </c>
      <c r="CH6" s="872">
        <f>'11.销售及回款表'!$D463</f>
        <v>0</v>
      </c>
      <c r="CI6" s="872">
        <f>'11.销售及回款表'!$D468</f>
        <v>0</v>
      </c>
      <c r="CJ6" s="872">
        <f>'11.销售及回款表'!$D473</f>
        <v>0</v>
      </c>
      <c r="CK6" s="872">
        <f>'11.销售及回款表'!$D478</f>
        <v>0</v>
      </c>
      <c r="CL6" s="872"/>
      <c r="CM6" s="872">
        <f>'11.销售及回款表'!$D488</f>
        <v>0</v>
      </c>
      <c r="CN6" s="963">
        <f>'11.销售及回款表'!$D493</f>
        <v>0</v>
      </c>
    </row>
    <row r="7" spans="1:92" ht="18" customHeight="1">
      <c r="A7" s="897" t="s">
        <v>368</v>
      </c>
      <c r="B7" s="870">
        <f t="shared" si="0"/>
        <v>20460.111314965787</v>
      </c>
      <c r="C7" s="870">
        <f t="shared" si="1"/>
        <v>13253.890298521339</v>
      </c>
      <c r="D7" s="870">
        <f t="shared" si="1"/>
        <v>7206.2210164444468</v>
      </c>
      <c r="E7" s="870">
        <f t="shared" si="1"/>
        <v>0</v>
      </c>
      <c r="F7" s="870">
        <f t="shared" si="1"/>
        <v>0</v>
      </c>
      <c r="G7" s="870">
        <f t="shared" si="1"/>
        <v>0</v>
      </c>
      <c r="H7" s="870">
        <f t="shared" si="1"/>
        <v>0</v>
      </c>
      <c r="I7" s="870">
        <f t="shared" si="1"/>
        <v>0</v>
      </c>
      <c r="J7" s="870">
        <f t="shared" si="1"/>
        <v>0</v>
      </c>
      <c r="K7" s="870">
        <f t="shared" si="1"/>
        <v>0</v>
      </c>
      <c r="L7" s="870">
        <f>SUM(Y7,AL7,AY7,BL7,BY7,CL7)</f>
        <v>0</v>
      </c>
      <c r="M7" s="870">
        <f t="shared" si="1"/>
        <v>0</v>
      </c>
      <c r="N7" s="923">
        <f t="shared" si="1"/>
        <v>0</v>
      </c>
      <c r="O7" s="871">
        <f t="shared" ref="O7:O18" si="2">SUM(P7:AA7)</f>
        <v>20460.111314965787</v>
      </c>
      <c r="P7" s="870">
        <f t="array" ref="P7:Y7">TRANSPOSE('12.土地成本表'!D25:I34)</f>
        <v>13253.890298521339</v>
      </c>
      <c r="Q7" s="870">
        <v>7206.2210164444468</v>
      </c>
      <c r="R7" s="870">
        <v>0</v>
      </c>
      <c r="S7" s="870">
        <v>0</v>
      </c>
      <c r="T7" s="870">
        <v>0</v>
      </c>
      <c r="U7" s="870">
        <v>0</v>
      </c>
      <c r="V7" s="870">
        <v>0</v>
      </c>
      <c r="W7" s="870">
        <v>0</v>
      </c>
      <c r="X7" s="870">
        <v>0</v>
      </c>
      <c r="Y7" s="870">
        <v>0</v>
      </c>
      <c r="Z7" s="870">
        <f>0</f>
        <v>0</v>
      </c>
      <c r="AA7" s="923">
        <f>0</f>
        <v>0</v>
      </c>
      <c r="AB7" s="952">
        <f t="shared" ref="AB7:AB18" si="3">SUM(AC7:AN7)</f>
        <v>0</v>
      </c>
      <c r="AC7" s="870">
        <f t="array" ref="AC7:AL7">TRANSPOSE('12.土地成本表'!E25:E34)</f>
        <v>0</v>
      </c>
      <c r="AD7" s="870">
        <v>0</v>
      </c>
      <c r="AE7" s="870">
        <v>0</v>
      </c>
      <c r="AF7" s="870">
        <v>0</v>
      </c>
      <c r="AG7" s="870">
        <v>0</v>
      </c>
      <c r="AH7" s="870">
        <v>0</v>
      </c>
      <c r="AI7" s="870">
        <v>0</v>
      </c>
      <c r="AJ7" s="870">
        <v>0</v>
      </c>
      <c r="AK7" s="870">
        <v>0</v>
      </c>
      <c r="AL7" s="870">
        <v>0</v>
      </c>
      <c r="AM7" s="870">
        <f>0</f>
        <v>0</v>
      </c>
      <c r="AN7" s="923">
        <f>0</f>
        <v>0</v>
      </c>
      <c r="AO7" s="952">
        <f t="shared" ref="AO7:AO18" si="4">SUM(AP7:BA7)</f>
        <v>0</v>
      </c>
      <c r="AP7" s="870">
        <f t="array" ref="AP7:AY7">TRANSPOSE('12.土地成本表'!F25:F34)</f>
        <v>0</v>
      </c>
      <c r="AQ7" s="870">
        <v>0</v>
      </c>
      <c r="AR7" s="870">
        <v>0</v>
      </c>
      <c r="AS7" s="870">
        <v>0</v>
      </c>
      <c r="AT7" s="870">
        <v>0</v>
      </c>
      <c r="AU7" s="870">
        <v>0</v>
      </c>
      <c r="AV7" s="870">
        <v>0</v>
      </c>
      <c r="AW7" s="870">
        <v>0</v>
      </c>
      <c r="AX7" s="870">
        <v>0</v>
      </c>
      <c r="AY7" s="870">
        <v>0</v>
      </c>
      <c r="AZ7" s="870">
        <f>0</f>
        <v>0</v>
      </c>
      <c r="BA7" s="923">
        <f>0</f>
        <v>0</v>
      </c>
      <c r="BB7" s="952">
        <f t="shared" ref="BB7:BB18" si="5">SUM(BC7:BN7)</f>
        <v>0</v>
      </c>
      <c r="BC7" s="870">
        <f t="array" ref="BC7:BL7">TRANSPOSE('12.土地成本表'!G25:G34)</f>
        <v>0</v>
      </c>
      <c r="BD7" s="870">
        <v>0</v>
      </c>
      <c r="BE7" s="870">
        <v>0</v>
      </c>
      <c r="BF7" s="870">
        <v>0</v>
      </c>
      <c r="BG7" s="870">
        <v>0</v>
      </c>
      <c r="BH7" s="870">
        <v>0</v>
      </c>
      <c r="BI7" s="870">
        <v>0</v>
      </c>
      <c r="BJ7" s="870">
        <v>0</v>
      </c>
      <c r="BK7" s="870">
        <v>0</v>
      </c>
      <c r="BL7" s="870">
        <v>0</v>
      </c>
      <c r="BM7" s="870"/>
      <c r="BN7" s="923"/>
      <c r="BO7" s="952">
        <f t="shared" ref="BO7:BO18" si="6">SUM(BP7:CA7)</f>
        <v>0</v>
      </c>
      <c r="BP7" s="870">
        <f t="array" ref="BP7:BY7">TRANSPOSE('12.土地成本表'!H25:H34)</f>
        <v>0</v>
      </c>
      <c r="BQ7" s="870">
        <v>0</v>
      </c>
      <c r="BR7" s="870">
        <v>0</v>
      </c>
      <c r="BS7" s="870">
        <v>0</v>
      </c>
      <c r="BT7" s="870">
        <v>0</v>
      </c>
      <c r="BU7" s="870">
        <v>0</v>
      </c>
      <c r="BV7" s="870">
        <v>0</v>
      </c>
      <c r="BW7" s="870">
        <v>0</v>
      </c>
      <c r="BX7" s="870">
        <v>0</v>
      </c>
      <c r="BY7" s="870">
        <v>0</v>
      </c>
      <c r="BZ7" s="870">
        <f>0</f>
        <v>0</v>
      </c>
      <c r="CA7" s="964">
        <f>0</f>
        <v>0</v>
      </c>
      <c r="CB7" s="952">
        <f t="shared" ref="CB7:CB18" si="7">SUM(CC7:CN7)</f>
        <v>0</v>
      </c>
      <c r="CC7" s="870">
        <f t="array" ref="CC7:CL7">TRANSPOSE('12.土地成本表'!I25:I34)</f>
        <v>0</v>
      </c>
      <c r="CD7" s="870">
        <v>0</v>
      </c>
      <c r="CE7" s="870">
        <v>0</v>
      </c>
      <c r="CF7" s="870">
        <v>0</v>
      </c>
      <c r="CG7" s="870">
        <v>0</v>
      </c>
      <c r="CH7" s="870">
        <v>0</v>
      </c>
      <c r="CI7" s="870">
        <v>0</v>
      </c>
      <c r="CJ7" s="870">
        <v>0</v>
      </c>
      <c r="CK7" s="870">
        <v>0</v>
      </c>
      <c r="CL7" s="870">
        <v>0</v>
      </c>
      <c r="CM7" s="870">
        <f>0</f>
        <v>0</v>
      </c>
      <c r="CN7" s="964">
        <f>0</f>
        <v>0</v>
      </c>
    </row>
    <row r="8" spans="1:92" ht="18" customHeight="1">
      <c r="A8" s="897" t="s">
        <v>578</v>
      </c>
      <c r="B8" s="870">
        <f t="shared" si="0"/>
        <v>31190.531999999999</v>
      </c>
      <c r="C8" s="870">
        <f t="shared" si="1"/>
        <v>27209.326191199023</v>
      </c>
      <c r="D8" s="870">
        <f t="shared" si="1"/>
        <v>2113.0962088009774</v>
      </c>
      <c r="E8" s="870">
        <f t="shared" si="1"/>
        <v>0</v>
      </c>
      <c r="F8" s="870">
        <f t="shared" si="1"/>
        <v>0</v>
      </c>
      <c r="G8" s="870">
        <f t="shared" si="1"/>
        <v>0</v>
      </c>
      <c r="H8" s="870">
        <f t="shared" si="1"/>
        <v>0</v>
      </c>
      <c r="I8" s="870">
        <f t="shared" si="1"/>
        <v>0</v>
      </c>
      <c r="J8" s="870">
        <f t="shared" si="1"/>
        <v>0</v>
      </c>
      <c r="K8" s="870">
        <f t="shared" si="1"/>
        <v>0</v>
      </c>
      <c r="L8" s="870">
        <f>SUM(Y8,AL8,AY8,BL8,BY8,CL8)</f>
        <v>0</v>
      </c>
      <c r="M8" s="870">
        <f t="shared" si="1"/>
        <v>1868.1096</v>
      </c>
      <c r="N8" s="923">
        <f t="shared" si="1"/>
        <v>0</v>
      </c>
      <c r="O8" s="871">
        <f t="shared" si="2"/>
        <v>31190.531999999999</v>
      </c>
      <c r="P8" s="870">
        <f t="array" ref="P8:Z8">TRANSPOSE('13.建安成本表'!E180:E191)</f>
        <v>27209.326191199023</v>
      </c>
      <c r="Q8" s="870">
        <v>2113.0962088009774</v>
      </c>
      <c r="R8" s="870">
        <v>0</v>
      </c>
      <c r="S8" s="870">
        <v>0</v>
      </c>
      <c r="T8" s="870">
        <v>0</v>
      </c>
      <c r="U8" s="870">
        <v>0</v>
      </c>
      <c r="V8" s="870">
        <v>0</v>
      </c>
      <c r="W8" s="870">
        <v>0</v>
      </c>
      <c r="X8" s="870">
        <v>0</v>
      </c>
      <c r="Y8" s="870">
        <v>0</v>
      </c>
      <c r="Z8" s="870">
        <v>1868.1096</v>
      </c>
      <c r="AA8" s="923">
        <f>'13.建安成本表'!E191</f>
        <v>0</v>
      </c>
      <c r="AB8" s="952">
        <f t="shared" si="3"/>
        <v>0</v>
      </c>
      <c r="AC8" s="870">
        <f t="array" ref="AC8:AM8">TRANSPOSE('13.建安成本表'!H180:H191)</f>
        <v>0</v>
      </c>
      <c r="AD8" s="870">
        <v>0</v>
      </c>
      <c r="AE8" s="870">
        <v>0</v>
      </c>
      <c r="AF8" s="870">
        <v>0</v>
      </c>
      <c r="AG8" s="870">
        <v>0</v>
      </c>
      <c r="AH8" s="870">
        <v>0</v>
      </c>
      <c r="AI8" s="870">
        <v>0</v>
      </c>
      <c r="AJ8" s="870">
        <v>0</v>
      </c>
      <c r="AK8" s="870">
        <v>0</v>
      </c>
      <c r="AL8" s="870">
        <v>0</v>
      </c>
      <c r="AM8" s="870">
        <v>0</v>
      </c>
      <c r="AN8" s="923">
        <f>'13.建安成本表'!H191</f>
        <v>0</v>
      </c>
      <c r="AO8" s="952">
        <f t="shared" si="4"/>
        <v>0</v>
      </c>
      <c r="AP8" s="870">
        <f t="array" ref="AP8:AZ8">TRANSPOSE('13.建安成本表'!K180:K191)</f>
        <v>0</v>
      </c>
      <c r="AQ8" s="870">
        <v>0</v>
      </c>
      <c r="AR8" s="870">
        <v>0</v>
      </c>
      <c r="AS8" s="870">
        <v>0</v>
      </c>
      <c r="AT8" s="870">
        <v>0</v>
      </c>
      <c r="AU8" s="870">
        <v>0</v>
      </c>
      <c r="AV8" s="870">
        <v>0</v>
      </c>
      <c r="AW8" s="870">
        <v>0</v>
      </c>
      <c r="AX8" s="870">
        <v>0</v>
      </c>
      <c r="AY8" s="870">
        <v>0</v>
      </c>
      <c r="AZ8" s="870">
        <v>0</v>
      </c>
      <c r="BA8" s="923">
        <f>0</f>
        <v>0</v>
      </c>
      <c r="BB8" s="952">
        <f t="shared" si="5"/>
        <v>0</v>
      </c>
      <c r="BC8" s="870">
        <f t="array" ref="BC8:BM8">TRANSPOSE('13.建安成本表'!N180:N191)</f>
        <v>0</v>
      </c>
      <c r="BD8" s="870">
        <v>0</v>
      </c>
      <c r="BE8" s="870">
        <v>0</v>
      </c>
      <c r="BF8" s="870">
        <v>0</v>
      </c>
      <c r="BG8" s="870">
        <v>0</v>
      </c>
      <c r="BH8" s="870">
        <v>0</v>
      </c>
      <c r="BI8" s="870">
        <v>0</v>
      </c>
      <c r="BJ8" s="870">
        <v>0</v>
      </c>
      <c r="BK8" s="870">
        <v>0</v>
      </c>
      <c r="BL8" s="870">
        <v>0</v>
      </c>
      <c r="BM8" s="870">
        <v>0</v>
      </c>
      <c r="BN8" s="923">
        <f>'13.建安成本表'!N191</f>
        <v>0</v>
      </c>
      <c r="BO8" s="952">
        <f t="shared" si="6"/>
        <v>0</v>
      </c>
      <c r="BP8" s="870">
        <f t="array" ref="BP8:BZ8">TRANSPOSE('13.建安成本表'!Q180:Q191)</f>
        <v>0</v>
      </c>
      <c r="BQ8" s="870">
        <v>0</v>
      </c>
      <c r="BR8" s="870">
        <v>0</v>
      </c>
      <c r="BS8" s="870">
        <v>0</v>
      </c>
      <c r="BT8" s="870">
        <v>0</v>
      </c>
      <c r="BU8" s="870">
        <v>0</v>
      </c>
      <c r="BV8" s="870">
        <v>0</v>
      </c>
      <c r="BW8" s="870">
        <v>0</v>
      </c>
      <c r="BX8" s="870">
        <v>0</v>
      </c>
      <c r="BY8" s="870">
        <v>0</v>
      </c>
      <c r="BZ8" s="870">
        <v>0</v>
      </c>
      <c r="CA8" s="964">
        <f>'13.建安成本表'!Q191</f>
        <v>0</v>
      </c>
      <c r="CB8" s="952">
        <f t="shared" si="7"/>
        <v>0</v>
      </c>
      <c r="CC8" s="870">
        <f t="array" ref="CC8:CM8">TRANSPOSE('13.建安成本表'!T180:T191)</f>
        <v>0</v>
      </c>
      <c r="CD8" s="870">
        <v>0</v>
      </c>
      <c r="CE8" s="870">
        <v>0</v>
      </c>
      <c r="CF8" s="870">
        <v>0</v>
      </c>
      <c r="CG8" s="870">
        <v>0</v>
      </c>
      <c r="CH8" s="870">
        <v>0</v>
      </c>
      <c r="CI8" s="870">
        <v>0</v>
      </c>
      <c r="CJ8" s="870">
        <v>0</v>
      </c>
      <c r="CK8" s="870">
        <v>0</v>
      </c>
      <c r="CL8" s="870">
        <v>0</v>
      </c>
      <c r="CM8" s="870">
        <v>0</v>
      </c>
      <c r="CN8" s="964">
        <f>'13.建安成本表'!T191</f>
        <v>0</v>
      </c>
    </row>
    <row r="9" spans="1:92" ht="18" customHeight="1">
      <c r="A9" s="897" t="s">
        <v>208</v>
      </c>
      <c r="B9" s="870">
        <f t="shared" si="0"/>
        <v>48942.551645034211</v>
      </c>
      <c r="C9" s="870">
        <f t="shared" si="1"/>
        <v>46667.578470279637</v>
      </c>
      <c r="D9" s="870">
        <f t="shared" si="1"/>
        <v>-583.3172252454242</v>
      </c>
      <c r="E9" s="870">
        <f t="shared" si="1"/>
        <v>0</v>
      </c>
      <c r="F9" s="870">
        <f t="shared" si="1"/>
        <v>0</v>
      </c>
      <c r="G9" s="870">
        <f t="shared" si="1"/>
        <v>0</v>
      </c>
      <c r="H9" s="870">
        <f t="shared" si="1"/>
        <v>0</v>
      </c>
      <c r="I9" s="870">
        <f t="shared" si="1"/>
        <v>0</v>
      </c>
      <c r="J9" s="870">
        <f t="shared" si="1"/>
        <v>0</v>
      </c>
      <c r="K9" s="870">
        <f t="shared" si="1"/>
        <v>0</v>
      </c>
      <c r="L9" s="870"/>
      <c r="M9" s="870">
        <f t="shared" si="1"/>
        <v>2858.2903999999999</v>
      </c>
      <c r="N9" s="923">
        <f t="shared" si="1"/>
        <v>0</v>
      </c>
      <c r="O9" s="871">
        <f t="shared" si="2"/>
        <v>48942.551645034211</v>
      </c>
      <c r="P9" s="870">
        <f t="shared" ref="P9:AA9" si="8">P6-P7-P8</f>
        <v>46667.578470279637</v>
      </c>
      <c r="Q9" s="870">
        <f t="shared" si="8"/>
        <v>-583.3172252454242</v>
      </c>
      <c r="R9" s="870">
        <f t="shared" si="8"/>
        <v>0</v>
      </c>
      <c r="S9" s="870">
        <f t="shared" si="8"/>
        <v>0</v>
      </c>
      <c r="T9" s="870">
        <f t="shared" si="8"/>
        <v>0</v>
      </c>
      <c r="U9" s="870">
        <f t="shared" si="8"/>
        <v>0</v>
      </c>
      <c r="V9" s="870">
        <f t="shared" si="8"/>
        <v>0</v>
      </c>
      <c r="W9" s="870">
        <f t="shared" si="8"/>
        <v>0</v>
      </c>
      <c r="X9" s="870">
        <f t="shared" si="8"/>
        <v>0</v>
      </c>
      <c r="Y9" s="870"/>
      <c r="Z9" s="870">
        <f t="shared" si="8"/>
        <v>2858.2903999999999</v>
      </c>
      <c r="AA9" s="923">
        <f t="shared" si="8"/>
        <v>0</v>
      </c>
      <c r="AB9" s="871">
        <f t="shared" si="3"/>
        <v>0</v>
      </c>
      <c r="AC9" s="870">
        <f t="shared" ref="AC9:AN9" si="9">AC6-AC7-AC8</f>
        <v>0</v>
      </c>
      <c r="AD9" s="870">
        <f t="shared" si="9"/>
        <v>0</v>
      </c>
      <c r="AE9" s="870">
        <f t="shared" si="9"/>
        <v>0</v>
      </c>
      <c r="AF9" s="870">
        <f t="shared" si="9"/>
        <v>0</v>
      </c>
      <c r="AG9" s="870">
        <f t="shared" si="9"/>
        <v>0</v>
      </c>
      <c r="AH9" s="870">
        <f t="shared" si="9"/>
        <v>0</v>
      </c>
      <c r="AI9" s="870">
        <f t="shared" si="9"/>
        <v>0</v>
      </c>
      <c r="AJ9" s="870">
        <f t="shared" si="9"/>
        <v>0</v>
      </c>
      <c r="AK9" s="870">
        <f t="shared" si="9"/>
        <v>0</v>
      </c>
      <c r="AL9" s="870"/>
      <c r="AM9" s="870">
        <f t="shared" si="9"/>
        <v>0</v>
      </c>
      <c r="AN9" s="923">
        <f t="shared" si="9"/>
        <v>0</v>
      </c>
      <c r="AO9" s="871">
        <f t="shared" si="4"/>
        <v>0</v>
      </c>
      <c r="AP9" s="870">
        <f t="shared" ref="AP9:BA9" si="10">AP6-AP7-AP8</f>
        <v>0</v>
      </c>
      <c r="AQ9" s="870">
        <f t="shared" si="10"/>
        <v>0</v>
      </c>
      <c r="AR9" s="870">
        <f t="shared" si="10"/>
        <v>0</v>
      </c>
      <c r="AS9" s="870">
        <f t="shared" si="10"/>
        <v>0</v>
      </c>
      <c r="AT9" s="870">
        <f t="shared" si="10"/>
        <v>0</v>
      </c>
      <c r="AU9" s="870">
        <f t="shared" si="10"/>
        <v>0</v>
      </c>
      <c r="AV9" s="870">
        <f t="shared" si="10"/>
        <v>0</v>
      </c>
      <c r="AW9" s="870">
        <f t="shared" si="10"/>
        <v>0</v>
      </c>
      <c r="AX9" s="870">
        <f t="shared" si="10"/>
        <v>0</v>
      </c>
      <c r="AY9" s="870"/>
      <c r="AZ9" s="870">
        <f t="shared" si="10"/>
        <v>0</v>
      </c>
      <c r="BA9" s="923">
        <f t="shared" si="10"/>
        <v>0</v>
      </c>
      <c r="BB9" s="871">
        <f t="shared" si="5"/>
        <v>0</v>
      </c>
      <c r="BC9" s="870">
        <f>BC6-BC7-BC8</f>
        <v>0</v>
      </c>
      <c r="BD9" s="870">
        <f t="shared" ref="BD9:BN9" si="11">BD6-BD7-BD8</f>
        <v>0</v>
      </c>
      <c r="BE9" s="870">
        <f t="shared" si="11"/>
        <v>0</v>
      </c>
      <c r="BF9" s="870">
        <f t="shared" si="11"/>
        <v>0</v>
      </c>
      <c r="BG9" s="870">
        <f t="shared" si="11"/>
        <v>0</v>
      </c>
      <c r="BH9" s="870">
        <f t="shared" si="11"/>
        <v>0</v>
      </c>
      <c r="BI9" s="870">
        <f t="shared" si="11"/>
        <v>0</v>
      </c>
      <c r="BJ9" s="870">
        <f t="shared" si="11"/>
        <v>0</v>
      </c>
      <c r="BK9" s="870">
        <f t="shared" si="11"/>
        <v>0</v>
      </c>
      <c r="BL9" s="870"/>
      <c r="BM9" s="870">
        <f t="shared" si="11"/>
        <v>0</v>
      </c>
      <c r="BN9" s="923">
        <f t="shared" si="11"/>
        <v>0</v>
      </c>
      <c r="BO9" s="871">
        <f t="shared" si="6"/>
        <v>0</v>
      </c>
      <c r="BP9" s="870">
        <f t="shared" ref="BP9:CA9" si="12">BP6-BP7-BP8</f>
        <v>0</v>
      </c>
      <c r="BQ9" s="870">
        <f t="shared" si="12"/>
        <v>0</v>
      </c>
      <c r="BR9" s="870">
        <f t="shared" si="12"/>
        <v>0</v>
      </c>
      <c r="BS9" s="870">
        <f t="shared" si="12"/>
        <v>0</v>
      </c>
      <c r="BT9" s="870">
        <f t="shared" si="12"/>
        <v>0</v>
      </c>
      <c r="BU9" s="870">
        <f t="shared" si="12"/>
        <v>0</v>
      </c>
      <c r="BV9" s="870">
        <f t="shared" si="12"/>
        <v>0</v>
      </c>
      <c r="BW9" s="870">
        <f t="shared" si="12"/>
        <v>0</v>
      </c>
      <c r="BX9" s="870">
        <f t="shared" si="12"/>
        <v>0</v>
      </c>
      <c r="BY9" s="870"/>
      <c r="BZ9" s="870">
        <f t="shared" si="12"/>
        <v>0</v>
      </c>
      <c r="CA9" s="923">
        <f t="shared" si="12"/>
        <v>0</v>
      </c>
      <c r="CB9" s="871">
        <f t="shared" si="7"/>
        <v>0</v>
      </c>
      <c r="CC9" s="870">
        <f t="shared" ref="CC9:CN9" si="13">CC6-CC7-CC8</f>
        <v>0</v>
      </c>
      <c r="CD9" s="870">
        <f t="shared" si="13"/>
        <v>0</v>
      </c>
      <c r="CE9" s="870">
        <f t="shared" si="13"/>
        <v>0</v>
      </c>
      <c r="CF9" s="870">
        <f t="shared" si="13"/>
        <v>0</v>
      </c>
      <c r="CG9" s="870">
        <f t="shared" si="13"/>
        <v>0</v>
      </c>
      <c r="CH9" s="870">
        <f t="shared" si="13"/>
        <v>0</v>
      </c>
      <c r="CI9" s="870">
        <f t="shared" si="13"/>
        <v>0</v>
      </c>
      <c r="CJ9" s="870">
        <f t="shared" si="13"/>
        <v>0</v>
      </c>
      <c r="CK9" s="870">
        <f t="shared" si="13"/>
        <v>0</v>
      </c>
      <c r="CL9" s="870"/>
      <c r="CM9" s="870">
        <f t="shared" si="13"/>
        <v>0</v>
      </c>
      <c r="CN9" s="964">
        <f t="shared" si="13"/>
        <v>0</v>
      </c>
    </row>
    <row r="10" spans="1:92" s="247" customFormat="1" ht="18" customHeight="1">
      <c r="A10" s="897" t="s">
        <v>416</v>
      </c>
      <c r="B10" s="876">
        <f t="shared" si="0"/>
        <v>5573.1218406316902</v>
      </c>
      <c r="C10" s="876">
        <f t="shared" si="1"/>
        <v>4968.7485496089339</v>
      </c>
      <c r="D10" s="876">
        <f t="shared" si="1"/>
        <v>344.99443936646009</v>
      </c>
      <c r="E10" s="876">
        <f t="shared" si="1"/>
        <v>0</v>
      </c>
      <c r="F10" s="876">
        <f t="shared" si="1"/>
        <v>0</v>
      </c>
      <c r="G10" s="876">
        <f t="shared" si="1"/>
        <v>0</v>
      </c>
      <c r="H10" s="876">
        <f t="shared" si="1"/>
        <v>0</v>
      </c>
      <c r="I10" s="876">
        <f t="shared" si="1"/>
        <v>0</v>
      </c>
      <c r="J10" s="876">
        <f t="shared" si="1"/>
        <v>0</v>
      </c>
      <c r="K10" s="876">
        <f t="shared" si="1"/>
        <v>0</v>
      </c>
      <c r="L10" s="876">
        <f>SUM(Y10,AL10,AY10,BL10,BY10,CL10)</f>
        <v>0</v>
      </c>
      <c r="M10" s="876">
        <f t="shared" si="1"/>
        <v>259.37885165629638</v>
      </c>
      <c r="N10" s="924">
        <f t="shared" si="1"/>
        <v>0</v>
      </c>
      <c r="O10" s="875">
        <f t="shared" si="2"/>
        <v>5573.1218406316902</v>
      </c>
      <c r="P10" s="925">
        <f>SUM(P11:P12)</f>
        <v>4968.7485496089339</v>
      </c>
      <c r="Q10" s="925">
        <f t="shared" ref="Q10:CB10" si="14">SUM(Q11:Q12)</f>
        <v>344.99443936646009</v>
      </c>
      <c r="R10" s="925">
        <f t="shared" si="14"/>
        <v>0</v>
      </c>
      <c r="S10" s="925">
        <f t="shared" si="14"/>
        <v>0</v>
      </c>
      <c r="T10" s="925">
        <f t="shared" si="14"/>
        <v>0</v>
      </c>
      <c r="U10" s="925">
        <f t="shared" si="14"/>
        <v>0</v>
      </c>
      <c r="V10" s="925">
        <f t="shared" si="14"/>
        <v>0</v>
      </c>
      <c r="W10" s="925">
        <f t="shared" si="14"/>
        <v>0</v>
      </c>
      <c r="X10" s="925">
        <f t="shared" si="14"/>
        <v>0</v>
      </c>
      <c r="Y10" s="925">
        <f t="shared" si="14"/>
        <v>0</v>
      </c>
      <c r="Z10" s="925">
        <f t="shared" si="14"/>
        <v>259.37885165629638</v>
      </c>
      <c r="AA10" s="953">
        <f t="shared" si="14"/>
        <v>0</v>
      </c>
      <c r="AB10" s="954">
        <f t="shared" si="14"/>
        <v>0</v>
      </c>
      <c r="AC10" s="925">
        <f t="shared" si="14"/>
        <v>0</v>
      </c>
      <c r="AD10" s="925">
        <f t="shared" si="14"/>
        <v>0</v>
      </c>
      <c r="AE10" s="925">
        <f t="shared" si="14"/>
        <v>0</v>
      </c>
      <c r="AF10" s="925">
        <f t="shared" si="14"/>
        <v>0</v>
      </c>
      <c r="AG10" s="925">
        <f t="shared" si="14"/>
        <v>0</v>
      </c>
      <c r="AH10" s="925">
        <f t="shared" si="14"/>
        <v>0</v>
      </c>
      <c r="AI10" s="925">
        <f t="shared" si="14"/>
        <v>0</v>
      </c>
      <c r="AJ10" s="925">
        <f t="shared" si="14"/>
        <v>0</v>
      </c>
      <c r="AK10" s="925">
        <f t="shared" si="14"/>
        <v>0</v>
      </c>
      <c r="AL10" s="925">
        <f t="shared" si="14"/>
        <v>0</v>
      </c>
      <c r="AM10" s="925">
        <f t="shared" si="14"/>
        <v>0</v>
      </c>
      <c r="AN10" s="953">
        <f t="shared" si="14"/>
        <v>0</v>
      </c>
      <c r="AO10" s="954">
        <f t="shared" si="14"/>
        <v>0</v>
      </c>
      <c r="AP10" s="925">
        <f t="shared" si="14"/>
        <v>0</v>
      </c>
      <c r="AQ10" s="925">
        <f t="shared" si="14"/>
        <v>0</v>
      </c>
      <c r="AR10" s="925">
        <f t="shared" si="14"/>
        <v>0</v>
      </c>
      <c r="AS10" s="925">
        <f t="shared" si="14"/>
        <v>0</v>
      </c>
      <c r="AT10" s="925">
        <f t="shared" si="14"/>
        <v>0</v>
      </c>
      <c r="AU10" s="925">
        <f t="shared" si="14"/>
        <v>0</v>
      </c>
      <c r="AV10" s="925">
        <f t="shared" si="14"/>
        <v>0</v>
      </c>
      <c r="AW10" s="925">
        <f t="shared" si="14"/>
        <v>0</v>
      </c>
      <c r="AX10" s="925">
        <f t="shared" si="14"/>
        <v>0</v>
      </c>
      <c r="AY10" s="925">
        <f t="shared" si="14"/>
        <v>0</v>
      </c>
      <c r="AZ10" s="925">
        <f t="shared" si="14"/>
        <v>0</v>
      </c>
      <c r="BA10" s="953">
        <f t="shared" si="14"/>
        <v>0</v>
      </c>
      <c r="BB10" s="954">
        <f t="shared" si="14"/>
        <v>0</v>
      </c>
      <c r="BC10" s="925">
        <f t="shared" si="14"/>
        <v>0</v>
      </c>
      <c r="BD10" s="925">
        <f t="shared" si="14"/>
        <v>0</v>
      </c>
      <c r="BE10" s="925">
        <f t="shared" si="14"/>
        <v>0</v>
      </c>
      <c r="BF10" s="925">
        <f t="shared" si="14"/>
        <v>0</v>
      </c>
      <c r="BG10" s="925">
        <f t="shared" si="14"/>
        <v>0</v>
      </c>
      <c r="BH10" s="925">
        <f t="shared" si="14"/>
        <v>0</v>
      </c>
      <c r="BI10" s="925">
        <f t="shared" si="14"/>
        <v>0</v>
      </c>
      <c r="BJ10" s="925">
        <f t="shared" si="14"/>
        <v>0</v>
      </c>
      <c r="BK10" s="925">
        <f t="shared" si="14"/>
        <v>0</v>
      </c>
      <c r="BL10" s="925">
        <f t="shared" si="14"/>
        <v>0</v>
      </c>
      <c r="BM10" s="925">
        <f t="shared" si="14"/>
        <v>0</v>
      </c>
      <c r="BN10" s="953">
        <f t="shared" si="14"/>
        <v>0</v>
      </c>
      <c r="BO10" s="954">
        <f t="shared" si="14"/>
        <v>0</v>
      </c>
      <c r="BP10" s="925">
        <f t="shared" si="14"/>
        <v>0</v>
      </c>
      <c r="BQ10" s="925">
        <f t="shared" si="14"/>
        <v>0</v>
      </c>
      <c r="BR10" s="925">
        <f t="shared" si="14"/>
        <v>0</v>
      </c>
      <c r="BS10" s="925">
        <f t="shared" si="14"/>
        <v>0</v>
      </c>
      <c r="BT10" s="925">
        <f t="shared" si="14"/>
        <v>0</v>
      </c>
      <c r="BU10" s="925">
        <f t="shared" si="14"/>
        <v>0</v>
      </c>
      <c r="BV10" s="925">
        <f t="shared" si="14"/>
        <v>0</v>
      </c>
      <c r="BW10" s="925">
        <f t="shared" si="14"/>
        <v>0</v>
      </c>
      <c r="BX10" s="925">
        <f t="shared" si="14"/>
        <v>0</v>
      </c>
      <c r="BY10" s="925">
        <f t="shared" si="14"/>
        <v>0</v>
      </c>
      <c r="BZ10" s="925">
        <f t="shared" si="14"/>
        <v>0</v>
      </c>
      <c r="CA10" s="965">
        <f t="shared" si="14"/>
        <v>0</v>
      </c>
      <c r="CB10" s="954">
        <f t="shared" si="14"/>
        <v>0</v>
      </c>
      <c r="CC10" s="925">
        <f t="shared" ref="CC10:CN10" si="15">SUM(CC11:CC12)</f>
        <v>0</v>
      </c>
      <c r="CD10" s="925">
        <f t="shared" si="15"/>
        <v>0</v>
      </c>
      <c r="CE10" s="925">
        <f t="shared" si="15"/>
        <v>0</v>
      </c>
      <c r="CF10" s="925">
        <f t="shared" si="15"/>
        <v>0</v>
      </c>
      <c r="CG10" s="925">
        <f t="shared" si="15"/>
        <v>0</v>
      </c>
      <c r="CH10" s="925">
        <f t="shared" si="15"/>
        <v>0</v>
      </c>
      <c r="CI10" s="925">
        <f t="shared" si="15"/>
        <v>0</v>
      </c>
      <c r="CJ10" s="925">
        <f t="shared" si="15"/>
        <v>0</v>
      </c>
      <c r="CK10" s="925">
        <f t="shared" si="15"/>
        <v>0</v>
      </c>
      <c r="CL10" s="925"/>
      <c r="CM10" s="925">
        <f t="shared" si="15"/>
        <v>0</v>
      </c>
      <c r="CN10" s="965">
        <f t="shared" si="15"/>
        <v>0</v>
      </c>
    </row>
    <row r="11" spans="1:92" s="894" customFormat="1" ht="18" customHeight="1" outlineLevel="1">
      <c r="A11" s="897" t="s">
        <v>579</v>
      </c>
      <c r="B11" s="898">
        <f t="shared" si="0"/>
        <v>5573.1218406316902</v>
      </c>
      <c r="C11" s="898">
        <f t="shared" si="1"/>
        <v>4968.7485496089339</v>
      </c>
      <c r="D11" s="898">
        <f t="shared" si="1"/>
        <v>344.99443936646009</v>
      </c>
      <c r="E11" s="898">
        <f t="shared" si="1"/>
        <v>0</v>
      </c>
      <c r="F11" s="898">
        <f t="shared" si="1"/>
        <v>0</v>
      </c>
      <c r="G11" s="898">
        <f t="shared" si="1"/>
        <v>0</v>
      </c>
      <c r="H11" s="898">
        <f t="shared" si="1"/>
        <v>0</v>
      </c>
      <c r="I11" s="898">
        <f t="shared" si="1"/>
        <v>0</v>
      </c>
      <c r="J11" s="898">
        <f t="shared" si="1"/>
        <v>0</v>
      </c>
      <c r="K11" s="898">
        <f>SUM(X11,AK11,AX11,BK11,BX11,CK11)</f>
        <v>0</v>
      </c>
      <c r="L11" s="898">
        <f>SUM(Y11,AL11,AY11,BL11,BY11,CL11)</f>
        <v>0</v>
      </c>
      <c r="M11" s="898">
        <f t="shared" si="1"/>
        <v>259.37885165629638</v>
      </c>
      <c r="N11" s="926">
        <f t="shared" si="1"/>
        <v>0</v>
      </c>
      <c r="O11" s="927">
        <f t="shared" si="2"/>
        <v>5573.1218406316902</v>
      </c>
      <c r="P11" s="928">
        <f>IF('14.增值税计算表'!D21=0,'5.分产品利润表'!P6/1.1*0.03,IF((P6-'12.土地成本表'!$D57)/1.1*0.1-'13.建安成本表'!$E197=0,0,(P6-'12.土地成本表'!$D57)/1.1*0.1-'13.建安成本表'!$E197))</f>
        <v>4968.7485496089339</v>
      </c>
      <c r="Q11" s="928">
        <f>IF('14.增值税计算表'!D21=0,'5.分产品利润表'!Q6/1.1*0.03,IF((Q6-'12.土地成本表'!$D58)/1.1*0.1-'13.建安成本表'!$E198=0,0,(Q6-'12.土地成本表'!$D58)/1.1*0.1-'13.建安成本表'!$E198))</f>
        <v>344.99443936646009</v>
      </c>
      <c r="R11" s="928">
        <f>IF('14.增值税计算表'!D21=0,R6/1.1*0.03,IF((R6-'12.土地成本表'!$D59)/1.1*0.1-'13.建安成本表'!$E199=0,0,(R6-'12.土地成本表'!$D59)/1.1*0.1-'13.建安成本表'!$E199))</f>
        <v>0</v>
      </c>
      <c r="S11" s="928">
        <f>IF('14.增值税计算表'!D21=0,'5.分产品利润表'!S6/1.1*0.03,IF((S6-'12.土地成本表'!$D60)/1.1*0.1-'13.建安成本表'!$E200=0,0,(S6-'12.土地成本表'!$D60)/1.1*0.1-'13.建安成本表'!$E200))</f>
        <v>0</v>
      </c>
      <c r="T11" s="928">
        <f>IF('14.增值税计算表'!D21=0,'5.分产品利润表'!T6/1.1*0.03,IF((T6-'12.土地成本表'!$D61)/1.1*0.1-'13.建安成本表'!$E201=0,0,(T6-'12.土地成本表'!$D61)/1.1*0.1-'13.建安成本表'!$E201))</f>
        <v>0</v>
      </c>
      <c r="U11" s="928">
        <f>IF('14.增值税计算表'!D21=0,'5.分产品利润表'!U6/1.1*0.03,IF((U6-'12.土地成本表'!$D62)/1.1*0.1-'13.建安成本表'!$E202=0,0,(U6-'12.土地成本表'!$D62)/1.1*0.1-'13.建安成本表'!$E202))</f>
        <v>0</v>
      </c>
      <c r="V11" s="928">
        <f>IF('14.增值税计算表'!D21=0,'5.分产品利润表'!V6/1.1*0.03,IF((V6-'12.土地成本表'!$D63)/1.1*0.1-'13.建安成本表'!$E203=0,0,(V6-'12.土地成本表'!$D63)/1.1*0.1-'13.建安成本表'!$E203))</f>
        <v>0</v>
      </c>
      <c r="W11" s="928">
        <f>IF('14.增值税计算表'!D21=0,'5.分产品利润表'!W6/1.1*0.03,IF((W6-'12.土地成本表'!$D64)/1.1*0.1-'13.建安成本表'!$E204=0,0,(W6-'12.土地成本表'!$D64)/1.1*0.1-'13.建安成本表'!$E204))</f>
        <v>0</v>
      </c>
      <c r="X11" s="928">
        <f>IF('14.增值税计算表'!D21=0,'5.分产品利润表'!X6/1.1*0.03,IF((X6-'12.土地成本表'!$D65)/1.1*0.1-'13.建安成本表'!$E205=0,0,(X6-'12.土地成本表'!$D65)/1.1*0.1-'13.建安成本表'!$E205))</f>
        <v>0</v>
      </c>
      <c r="Y11" s="928">
        <f>-'13.建安成本表'!E206</f>
        <v>0</v>
      </c>
      <c r="Z11" s="928">
        <f>IF('14.增值税计算表'!D21=0,'5.分产品利润表'!Z6/1.1*0.03,IF(Z6/1.1*0.1-'13.建安成本表'!$E207=0,0,Z6/1.1*0.1-'13.建安成本表'!$E207))</f>
        <v>259.37885165629638</v>
      </c>
      <c r="AA11" s="955">
        <f>IF('14.增值税计算表'!D21=0,'5.分产品利润表'!AA6/1.1*0.03,IF(AA6/1.1*0.1-'13.建安成本表'!$E208=0,0,AA6/1.1*0.1-'13.建安成本表'!$E208))</f>
        <v>0</v>
      </c>
      <c r="AB11" s="956">
        <f t="shared" ref="AB11" si="16">SUM(AC11:AN11)</f>
        <v>0</v>
      </c>
      <c r="AC11" s="928">
        <f>IF('14.增值税计算表'!D22=0,'5.分产品利润表'!AC6/1.1*0.03,IF((AC6-'12.土地成本表'!$E57)/1.1*0.1-'13.建安成本表'!$H197=0,0,(AC6-'12.土地成本表'!$E57)/1.1*0.1-'13.建安成本表'!$H197))</f>
        <v>0</v>
      </c>
      <c r="AD11" s="928">
        <f>IF('14.增值税计算表'!D22=0,'5.分产品利润表'!AD6/1.1*0.03,IF((AD6-'12.土地成本表'!$E58)/1.1*0.1-'13.建安成本表'!$H198=0,0,(AD6-'12.土地成本表'!$E58)/1.1*0.1-'13.建安成本表'!$H198))</f>
        <v>0</v>
      </c>
      <c r="AE11" s="928">
        <f>IF('14.增值税计算表'!D22=0,'5.分产品利润表'!AE6/1.1*0.03,IF((AE6-'12.土地成本表'!$E59)/1.1*0.1-'13.建安成本表'!$H199=0,0,(AE6-'12.土地成本表'!$E59)/1.1*0.1-'13.建安成本表'!$H199))</f>
        <v>0</v>
      </c>
      <c r="AF11" s="928">
        <f>IF('14.增值税计算表'!D22=0,'5.分产品利润表'!AF6/1.1*0.03,IF((AF6-'12.土地成本表'!$E60)/1.1*0.1-'13.建安成本表'!$H200=0,0,(AF6-'12.土地成本表'!$E60)/1.1*0.1-'13.建安成本表'!$H200))</f>
        <v>0</v>
      </c>
      <c r="AG11" s="928">
        <f>IF('14.增值税计算表'!D22=0,'5.分产品利润表'!AG6/1.1*0.03,IF((AG6-'12.土地成本表'!$E61)/1.1*0.1-'13.建安成本表'!$H201=0,0,(AG6-'12.土地成本表'!$E61)/1.1*0.1-'13.建安成本表'!$H201))</f>
        <v>0</v>
      </c>
      <c r="AH11" s="928">
        <f>IF('14.增值税计算表'!D22=0,'5.分产品利润表'!AH6/1.1*0.03,IF((AH6-'12.土地成本表'!$E62)/1.1*0.1-'13.建安成本表'!$H202=0,0,(AH6-'12.土地成本表'!$E62)/1.1*0.1-'13.建安成本表'!$H202))</f>
        <v>0</v>
      </c>
      <c r="AI11" s="928">
        <f>IF('14.增值税计算表'!D22=0,'5.分产品利润表'!AI6/1.1*0.03,IF((AI6-'12.土地成本表'!$E63)/1.1*0.1-'13.建安成本表'!$H203=0,0,(AI6-'12.土地成本表'!$E63)/1.1*0.1-'13.建安成本表'!$H203))</f>
        <v>0</v>
      </c>
      <c r="AJ11" s="928">
        <f>IF('14.增值税计算表'!D22=0,'5.分产品利润表'!AJ6/1.1*0.03,IF((AJ6-'12.土地成本表'!$E64)/1.1*0.1-'13.建安成本表'!$H204=0,0,(AJ6-'12.土地成本表'!$E64)/1.1*0.1-'13.建安成本表'!$H204))</f>
        <v>0</v>
      </c>
      <c r="AK11" s="928">
        <f>IF('14.增值税计算表'!D22=0,'5.分产品利润表'!AK6/1.1*0.03,IF((AK6-'12.土地成本表'!$E65)/1.1*0.1-'13.建安成本表'!$H205=0,0,(AK6-'12.土地成本表'!$E65)/1.1*0.1-'13.建安成本表'!$H205))</f>
        <v>0</v>
      </c>
      <c r="AL11" s="928">
        <f>-'13.建安成本表'!H206</f>
        <v>0</v>
      </c>
      <c r="AM11" s="928">
        <f>IF('14.增值税计算表'!D22=0,'5.分产品利润表'!AM6/1.1*0.03,IF(AM6/1.1*0.1-'13.建安成本表'!$H207=0,0,AM6/1.1*0.1-'13.建安成本表'!$H207))</f>
        <v>0</v>
      </c>
      <c r="AN11" s="955">
        <f>IF('14.增值税计算表'!D22=0,'5.分产品利润表'!AN6/1.1*0.03,IF(AN6/1.1*0.1-'13.建安成本表'!$H208=0,0,AN6/1.1*0.1-'13.建安成本表'!$H208))</f>
        <v>0</v>
      </c>
      <c r="AO11" s="956">
        <f t="shared" ref="AO11" si="17">SUM(AP11:BA11)</f>
        <v>0</v>
      </c>
      <c r="AP11" s="928">
        <f>IF('14.增值税计算表'!D23=0,'5.分产品利润表'!AP6/1.1*0.03,IF((AP6-'12.土地成本表'!$F57)/1.1*0.1-'13.建安成本表'!$K197=0,0,(AP6-'12.土地成本表'!$F57)/1.1*0.1-'13.建安成本表'!$K197))</f>
        <v>0</v>
      </c>
      <c r="AQ11" s="928">
        <f>IF('14.增值税计算表'!D23=0,'5.分产品利润表'!AQ6/1.1*0.03,IF((AQ6-'12.土地成本表'!$F58)/1.1*0.1-'13.建安成本表'!$K198=0,0,(AQ6-'12.土地成本表'!$F58)/1.1*0.1-'13.建安成本表'!$K198))</f>
        <v>0</v>
      </c>
      <c r="AR11" s="928">
        <f>IF('14.增值税计算表'!D23=0,'5.分产品利润表'!AR6/1.1*0.03,IF((AR6-'12.土地成本表'!$F59)/1.1*0.1-'13.建安成本表'!$K199=0,0,(AR6-'12.土地成本表'!$F59)/1.1*0.1-'13.建安成本表'!$K199))</f>
        <v>0</v>
      </c>
      <c r="AS11" s="928">
        <f>IF('14.增值税计算表'!D23=0,'5.分产品利润表'!AS6/1.1*0.03,IF((AS6-'12.土地成本表'!$F60)/1.1*0.1-'13.建安成本表'!$K200=0,0,(AS6-'12.土地成本表'!$F60)/1.1*0.1-'13.建安成本表'!$K200))</f>
        <v>0</v>
      </c>
      <c r="AT11" s="928">
        <f>IF('14.增值税计算表'!D23=0,'5.分产品利润表'!AT6/1.1*0.03,IF((AT6-'12.土地成本表'!$F61)/1.1*0.1-'13.建安成本表'!$K201=0,0,(AT6-'12.土地成本表'!$F61)/1.1*0.1-'13.建安成本表'!$K201))</f>
        <v>0</v>
      </c>
      <c r="AU11" s="928">
        <f>IF('14.增值税计算表'!D23=0,'5.分产品利润表'!AU6/1.1*0.03,IF((AU6-'12.土地成本表'!$F62)/1.1*0.1-'13.建安成本表'!$K202=0,0,(AU6-'12.土地成本表'!$F62)/1.1*0.1-'13.建安成本表'!$K202))</f>
        <v>0</v>
      </c>
      <c r="AV11" s="928">
        <f>IF('14.增值税计算表'!D23=0,'5.分产品利润表'!AV6/1.1*0.03,IF((AV6-'12.土地成本表'!$F63)/1.1*0.1-'13.建安成本表'!$K203=0,0,(AV6-'12.土地成本表'!$F63)/1.1*0.1-'13.建安成本表'!$K203))</f>
        <v>0</v>
      </c>
      <c r="AW11" s="928">
        <f>IF('14.增值税计算表'!D23=0,'5.分产品利润表'!AW6/1.1*0.03,IF((AW6-'12.土地成本表'!$F64)/1.1*0.1-'13.建安成本表'!$K204=0,0,(AW6-'12.土地成本表'!$F64)/1.1*0.1-'13.建安成本表'!$K204))</f>
        <v>0</v>
      </c>
      <c r="AX11" s="928">
        <f>IF('14.增值税计算表'!D23=0,'5.分产品利润表'!AX6/1.1*0.03,IF((AX6-'12.土地成本表'!$F65)/1.1*0.1-'13.建安成本表'!$K205=0,0,(AX6-'12.土地成本表'!$F65)/1.1*0.1-'13.建安成本表'!$K205))</f>
        <v>0</v>
      </c>
      <c r="AY11" s="928">
        <f>-'13.建安成本表'!K206</f>
        <v>0</v>
      </c>
      <c r="AZ11" s="928">
        <f>IF('14.增值税计算表'!D23=0,'5.分产品利润表'!AZ6/1.1*0.03,IF(AZ6/1.1*0.1-'13.建安成本表'!$K207=0,0,AZ6/1.1*0.1-'13.建安成本表'!$K207))</f>
        <v>0</v>
      </c>
      <c r="BA11" s="955">
        <f>IF('14.增值税计算表'!D23=0,'5.分产品利润表'!BA6/1.1*0.03,IF(BA6/1.1*0.1-'13.建安成本表'!$K208=0,0,BA6/1.1*0.1-'13.建安成本表'!$K208))</f>
        <v>0</v>
      </c>
      <c r="BB11" s="956">
        <f t="shared" ref="BB11" si="18">SUM(BC11:BN11)</f>
        <v>0</v>
      </c>
      <c r="BC11" s="928">
        <f>IF('14.增值税计算表'!D24=0,'5.分产品利润表'!BC6/1.1*0.03,IF((BC6-'12.土地成本表'!$G57)/1.1*0.1-'13.建安成本表'!$N197=0,0,(BC6-'12.土地成本表'!$G57)/1.1*0.1-'13.建安成本表'!$N197))</f>
        <v>0</v>
      </c>
      <c r="BD11" s="928">
        <f>IF('14.增值税计算表'!D24=0,'5.分产品利润表'!BD6/1.1*0.03,IF((BD6-'12.土地成本表'!$G58)/1.1*0.1-'13.建安成本表'!$N198=0,0,(BD6-'12.土地成本表'!$G58)/1.1*0.1-'13.建安成本表'!$N198))</f>
        <v>0</v>
      </c>
      <c r="BE11" s="928">
        <f>IF('14.增值税计算表'!D24=0,'5.分产品利润表'!BE6/1.1*0.03,IF((BE6-'12.土地成本表'!$G59)/1.1*0.1-'13.建安成本表'!$N199=0,0,(BE6-'12.土地成本表'!$G59)/1.1*0.1-'13.建安成本表'!$N199))</f>
        <v>0</v>
      </c>
      <c r="BF11" s="928">
        <f>IF('14.增值税计算表'!D24=0,'5.分产品利润表'!BF6/1.1*0.03,IF((BF6-'12.土地成本表'!$G60)/1.1*0.1-'13.建安成本表'!$N200=0,0,(BF6-'12.土地成本表'!$G60)/1.1*0.1-'13.建安成本表'!$N200))</f>
        <v>0</v>
      </c>
      <c r="BG11" s="928">
        <f>IF('14.增值税计算表'!D24=0,'5.分产品利润表'!BG6/1.1*0.03,IF((BG6-'12.土地成本表'!$G61)/1.1*0.1-'13.建安成本表'!$N201=0,0,(BG6-'12.土地成本表'!$G61)/1.1*0.1-'13.建安成本表'!$N201))</f>
        <v>0</v>
      </c>
      <c r="BH11" s="928">
        <f>IF('14.增值税计算表'!D24=0,'5.分产品利润表'!BH6/1.1*0.03,IF((BH6-'12.土地成本表'!$G62)/1.1*0.1-'13.建安成本表'!$N202=0,0,(BH6-'12.土地成本表'!$G62)/1.1*0.1-'13.建安成本表'!$N202))</f>
        <v>0</v>
      </c>
      <c r="BI11" s="928">
        <f>IF('14.增值税计算表'!D24=0,'5.分产品利润表'!BI6/1.1*0.03,IF((BI6-'12.土地成本表'!$G63)/1.1*0.1-'13.建安成本表'!$N203=0,0,(BI6-'12.土地成本表'!$G63)/1.1*0.1-'13.建安成本表'!$N203))</f>
        <v>0</v>
      </c>
      <c r="BJ11" s="928">
        <f>IF('14.增值税计算表'!D24=0,'5.分产品利润表'!BJ6/1.1*0.03,IF((BJ6-'12.土地成本表'!$G64)/1.1*0.1-'13.建安成本表'!$N204=0,0,(BJ6-'12.土地成本表'!$G64)/1.1*0.1-'13.建安成本表'!$N204))</f>
        <v>0</v>
      </c>
      <c r="BK11" s="928">
        <f>IF('14.增值税计算表'!D24=0,'5.分产品利润表'!BK6/1.1*0.03,IF((BK6-'12.土地成本表'!$G65)/1.1*0.1-'13.建安成本表'!$N205=0,0,(BK6-'12.土地成本表'!$G65)/1.1*0.1-'13.建安成本表'!$N205))</f>
        <v>0</v>
      </c>
      <c r="BL11" s="928">
        <f>-'13.建安成本表'!N206</f>
        <v>0</v>
      </c>
      <c r="BM11" s="928">
        <f>IF('14.增值税计算表'!D24=0,'5.分产品利润表'!BM6/1.1*0.03,IF(BM6/1.1*0.1-'13.建安成本表'!$N207=0,0,BM6/1.1*0.1-'13.建安成本表'!$N207))</f>
        <v>0</v>
      </c>
      <c r="BN11" s="955">
        <f>IF('14.增值税计算表'!D24=0,'5.分产品利润表'!BN6/1.1*0.03,IF(BN6/1.1*0.1-'13.建安成本表'!$N208=0,0,BN6/1.1*0.1-'13.建安成本表'!$N208))</f>
        <v>0</v>
      </c>
      <c r="BO11" s="956">
        <f t="shared" ref="BO11" si="19">SUM(BP11:CA11)</f>
        <v>0</v>
      </c>
      <c r="BP11" s="928">
        <f>IF('14.增值税计算表'!D25=0,'5.分产品利润表'!BP6/1.1*0.03,IF((BP6-'12.土地成本表'!$H57)/1.1*0.1-'13.建安成本表'!$Q197=0,0,(BP6-'12.土地成本表'!$H57)/1.1*0.1-'13.建安成本表'!$Q197))</f>
        <v>0</v>
      </c>
      <c r="BQ11" s="928">
        <f>IF('14.增值税计算表'!D25=0,'5.分产品利润表'!BQ6/1.1*0.03,IF((BQ6-'12.土地成本表'!$H58)/1.1*0.1-'13.建安成本表'!$Q198=0,0,(BQ6-'12.土地成本表'!$H58)/1.1*0.1-'13.建安成本表'!$Q198))</f>
        <v>0</v>
      </c>
      <c r="BR11" s="928">
        <f>IF('14.增值税计算表'!D25=0,'5.分产品利润表'!BR6/1.1*0.03,IF((BR6-'12.土地成本表'!$H59)/1.1*0.1-'13.建安成本表'!$Q199=0,0,(BR6-'12.土地成本表'!$H59)/1.1*0.1-'13.建安成本表'!$Q199))</f>
        <v>0</v>
      </c>
      <c r="BS11" s="928">
        <f>IF('14.增值税计算表'!D25=0,'5.分产品利润表'!BS6/1.1*0.03,IF((BS6-'12.土地成本表'!$H60)/1.1*0.1-'13.建安成本表'!$Q200=0,0,(BS6-'12.土地成本表'!$H60)/1.1*0.1-'13.建安成本表'!$Q200))</f>
        <v>0</v>
      </c>
      <c r="BT11" s="928">
        <f>IF('14.增值税计算表'!D25=0,'5.分产品利润表'!BT6/1.1*0.03,IF((BT6-'12.土地成本表'!$H61)/1.1*0.1-'13.建安成本表'!$Q201=0,0,(BT6-'12.土地成本表'!$H61)/1.1*0.1-'13.建安成本表'!$Q201))</f>
        <v>0</v>
      </c>
      <c r="BU11" s="928">
        <f>IF('14.增值税计算表'!D25=0,'5.分产品利润表'!BU6/1.1*0.03,IF((BU6-'12.土地成本表'!$H62)/1.1*0.1-'13.建安成本表'!$Q202=0,0,(BU6-'12.土地成本表'!$H62)/1.1*0.1-'13.建安成本表'!$Q202))</f>
        <v>0</v>
      </c>
      <c r="BV11" s="928">
        <f>IF('14.增值税计算表'!D25=0,'5.分产品利润表'!BV6/1.1*0.03,IF((BV6-'12.土地成本表'!$H63)/1.1*0.1-'13.建安成本表'!$Q203=0,0,(BV6-'12.土地成本表'!$H63)/1.1*0.1-'13.建安成本表'!$Q203))</f>
        <v>0</v>
      </c>
      <c r="BW11" s="928">
        <f>IF('14.增值税计算表'!D25=0,'5.分产品利润表'!BW6/1.1*0.03,IF((BW6-'12.土地成本表'!$H64)/1.1*0.1-'13.建安成本表'!$Q204=0,0,(BW6-'12.土地成本表'!$H64)/1.1*0.1-'13.建安成本表'!$Q204))</f>
        <v>0</v>
      </c>
      <c r="BX11" s="928">
        <f>IF('14.增值税计算表'!D25=0,'5.分产品利润表'!BX6/1.1*0.03,IF((BX6-'12.土地成本表'!$H65)/1.1*0.1-'13.建安成本表'!$Q205=0,0,(BX6-'12.土地成本表'!$H65)/1.1*0.1-'13.建安成本表'!$Q205))</f>
        <v>0</v>
      </c>
      <c r="BY11" s="928">
        <f>-'13.建安成本表'!Q206</f>
        <v>0</v>
      </c>
      <c r="BZ11" s="928">
        <f>IF('14.增值税计算表'!D25=0,'5.分产品利润表'!BZ6/1.1*0.03,IF(BZ6/1.1*0.1-'13.建安成本表'!$Q207=0,0,BZ6/1.1*0.1-'13.建安成本表'!$Q207))</f>
        <v>0</v>
      </c>
      <c r="CA11" s="966">
        <f>IF('14.增值税计算表'!D25=0,'5.分产品利润表'!CA6/1.1*0.03,IF(CA6/1.1*0.1-'13.建安成本表'!$Q208=0,0,CA6/1.1*0.1-'13.建安成本表'!$Q208))</f>
        <v>0</v>
      </c>
      <c r="CB11" s="956">
        <f t="shared" ref="CB11" si="20">SUM(CC11:CN11)</f>
        <v>0</v>
      </c>
      <c r="CC11" s="928">
        <f>IF('14.增值税计算表'!D26=0,'5.分产品利润表'!CC6/1.1*0.03,IF((CC6-'12.土地成本表'!$I57)/1.1*0.1-'13.建安成本表'!$T197=0,0,(CC6-'12.土地成本表'!$I57)/1.1*0.1-'13.建安成本表'!$T197))</f>
        <v>0</v>
      </c>
      <c r="CD11" s="928">
        <f>IF('14.增值税计算表'!D26=0,'5.分产品利润表'!CD6/1.1*0.03,IF((CD6-'12.土地成本表'!$I58)/1.1*0.1-'13.建安成本表'!$T198=0,0,(CD6-'12.土地成本表'!$I58)/1.1*0.1-'13.建安成本表'!$T198))</f>
        <v>0</v>
      </c>
      <c r="CE11" s="928">
        <f>IF('14.增值税计算表'!D26=0,'5.分产品利润表'!CE6/1.1*0.03,IF((CE6-'12.土地成本表'!$I59)/1.1*0.1-'13.建安成本表'!$T199=0,0,(CE6-'12.土地成本表'!$I59)/1.1*0.1-'13.建安成本表'!$T199))</f>
        <v>0</v>
      </c>
      <c r="CF11" s="928">
        <f>IF('14.增值税计算表'!D26=0,'5.分产品利润表'!CF6/1.1*0.03,IF((CF6-'12.土地成本表'!$I60)/1.1*0.1-'13.建安成本表'!$T200=0,0,(CF6-'12.土地成本表'!$I60)/1.1*0.1-'13.建安成本表'!$T200))</f>
        <v>0</v>
      </c>
      <c r="CG11" s="928">
        <f>IF('14.增值税计算表'!D26=0,'5.分产品利润表'!CG6/1.1*0.03,IF((CG6-'12.土地成本表'!$I61)/1.1*0.1-'13.建安成本表'!$T201=0,0,(CG6-'12.土地成本表'!$I61)/1.1*0.1-'13.建安成本表'!$T201))</f>
        <v>0</v>
      </c>
      <c r="CH11" s="928">
        <f>IF('14.增值税计算表'!D26=0,'5.分产品利润表'!CH6/1.1*0.03,IF((CH6-'12.土地成本表'!$I62)/1.1*0.1-'13.建安成本表'!$T202=0,0,(CH6-'12.土地成本表'!$I62)/1.1*0.1-'13.建安成本表'!$T202))</f>
        <v>0</v>
      </c>
      <c r="CI11" s="928">
        <f>IF('14.增值税计算表'!D26=0,'5.分产品利润表'!CI6/1.1*0.03,IF((CI6-'12.土地成本表'!$I63)/1.1*0.1-'13.建安成本表'!$T203=0,0,(CI6-'12.土地成本表'!$I63)/1.1*0.1-'13.建安成本表'!$T203))</f>
        <v>0</v>
      </c>
      <c r="CJ11" s="928">
        <f>IF('14.增值税计算表'!D26=0,'5.分产品利润表'!CJ6/1.1*0.03,IF((CJ6-'12.土地成本表'!$I64)/1.1*0.1-'13.建安成本表'!$T204=0,0,(CJ6-'12.土地成本表'!$I64)/1.1*0.1-'13.建安成本表'!$T204))</f>
        <v>0</v>
      </c>
      <c r="CK11" s="928">
        <f>IF('14.增值税计算表'!D26=0,'5.分产品利润表'!CK6/1.1*0.03,IF((CK6-'12.土地成本表'!$I65)/1.1*0.1-'13.建安成本表'!$T205=0,0,(CK6-'12.土地成本表'!$I65)/1.1*0.1-'13.建安成本表'!$T205))</f>
        <v>0</v>
      </c>
      <c r="CL11" s="928">
        <f>-'13.建安成本表'!T206</f>
        <v>0</v>
      </c>
      <c r="CM11" s="928">
        <f>IF('14.增值税计算表'!D26=0,'5.分产品利润表'!CM6/1.1*0.03,IF(CM6/1.1*0.1-'13.建安成本表'!$T207=0,0,CM6/1.1*0.1-'13.建安成本表'!$T207))</f>
        <v>0</v>
      </c>
      <c r="CN11" s="966">
        <f>IF('14.增值税计算表'!D26=0,'5.分产品利润表'!CN6/1.1*0.03,IF(CN6/1.1*0.1-'13.建安成本表'!$T208=0,0,CN6/1.1*0.1-'13.建安成本表'!$T208))</f>
        <v>0</v>
      </c>
    </row>
    <row r="12" spans="1:92" s="895" customFormat="1" ht="18" customHeight="1" outlineLevel="1">
      <c r="A12" s="899" t="s">
        <v>580</v>
      </c>
      <c r="B12" s="900">
        <f t="shared" ref="B12:B20" si="21">SUM(C12:N12)</f>
        <v>0</v>
      </c>
      <c r="C12" s="900">
        <f t="shared" ref="C12:C20" si="22">SUM(P12,AC12,AP12,BC12,BP12,CC12)</f>
        <v>0</v>
      </c>
      <c r="D12" s="900">
        <f t="shared" ref="D12" si="23">SUM(Q12,AD12,AQ12,BD12,BQ12)</f>
        <v>0</v>
      </c>
      <c r="E12" s="900">
        <f t="shared" ref="E12:E20" si="24">SUM(R12,AE12,AR12,BE12,BR12,CE12)</f>
        <v>0</v>
      </c>
      <c r="F12" s="900">
        <f t="shared" ref="F12:F20" si="25">SUM(S12,AF12,AS12,BF12,BS12,CF12)</f>
        <v>0</v>
      </c>
      <c r="G12" s="900">
        <f t="shared" ref="G12:G20" si="26">SUM(T12,AG12,AT12,BG12,BT12,CG12)</f>
        <v>0</v>
      </c>
      <c r="H12" s="900">
        <f t="shared" ref="H12:H20" si="27">SUM(U12,AH12,AU12,BH12,BU12,CH12)</f>
        <v>0</v>
      </c>
      <c r="I12" s="900">
        <f t="shared" ref="I12:I20" si="28">SUM(V12,AI12,AV12,BI12,BV12,CI12)</f>
        <v>0</v>
      </c>
      <c r="J12" s="900">
        <f t="shared" ref="J12:J20" si="29">SUM(W12,AJ12,AW12,BJ12,BW12,CJ12)</f>
        <v>0</v>
      </c>
      <c r="K12" s="900">
        <f t="shared" ref="K12:K20" si="30">SUM(X12,AK12,AX12,BK12,BX12,CK12)</f>
        <v>0</v>
      </c>
      <c r="L12" s="900"/>
      <c r="M12" s="900">
        <f t="shared" ref="M12:M20" si="31">SUM(Z12,AM12,AZ12,BM12,BZ12,CM12)</f>
        <v>0</v>
      </c>
      <c r="N12" s="929">
        <f t="shared" ref="N12:N20" si="32">SUM(AA12,AN12,BA12,BN12,CA12,CN12)</f>
        <v>0</v>
      </c>
      <c r="O12" s="930">
        <f t="shared" si="2"/>
        <v>0</v>
      </c>
      <c r="P12" s="931">
        <f>'14.增值税计算表'!E409</f>
        <v>0</v>
      </c>
      <c r="Q12" s="931">
        <f>'14.增值税计算表'!F409</f>
        <v>0</v>
      </c>
      <c r="R12" s="931">
        <f>'14.增值税计算表'!G409</f>
        <v>0</v>
      </c>
      <c r="S12" s="931">
        <f>'14.增值税计算表'!H409</f>
        <v>0</v>
      </c>
      <c r="T12" s="931">
        <f>'14.增值税计算表'!I409</f>
        <v>0</v>
      </c>
      <c r="U12" s="931">
        <f>'14.增值税计算表'!J409</f>
        <v>0</v>
      </c>
      <c r="V12" s="931">
        <f>'14.增值税计算表'!K409</f>
        <v>0</v>
      </c>
      <c r="W12" s="931">
        <f>'14.增值税计算表'!L409</f>
        <v>0</v>
      </c>
      <c r="X12" s="931">
        <f>'14.增值税计算表'!M409</f>
        <v>0</v>
      </c>
      <c r="Y12" s="931"/>
      <c r="Z12" s="931">
        <f>'14.增值税计算表'!O409</f>
        <v>0</v>
      </c>
      <c r="AA12" s="957">
        <f>'14.增值税计算表'!P409</f>
        <v>0</v>
      </c>
      <c r="AB12" s="958">
        <f t="shared" si="3"/>
        <v>0</v>
      </c>
      <c r="AC12" s="931">
        <f>'14.增值税计算表'!E410</f>
        <v>0</v>
      </c>
      <c r="AD12" s="931">
        <f>'14.增值税计算表'!F410</f>
        <v>0</v>
      </c>
      <c r="AE12" s="931">
        <f>'14.增值税计算表'!G410</f>
        <v>0</v>
      </c>
      <c r="AF12" s="931">
        <f>'14.增值税计算表'!H410</f>
        <v>0</v>
      </c>
      <c r="AG12" s="931">
        <f>'14.增值税计算表'!I410</f>
        <v>0</v>
      </c>
      <c r="AH12" s="931">
        <f>'14.增值税计算表'!J410</f>
        <v>0</v>
      </c>
      <c r="AI12" s="931">
        <f>'14.增值税计算表'!K410</f>
        <v>0</v>
      </c>
      <c r="AJ12" s="931">
        <f>'14.增值税计算表'!L410</f>
        <v>0</v>
      </c>
      <c r="AK12" s="931">
        <f>'14.增值税计算表'!M410</f>
        <v>0</v>
      </c>
      <c r="AL12" s="931"/>
      <c r="AM12" s="931">
        <f>'14.增值税计算表'!O410</f>
        <v>0</v>
      </c>
      <c r="AN12" s="957">
        <f>'14.增值税计算表'!P410</f>
        <v>0</v>
      </c>
      <c r="AO12" s="958">
        <f t="shared" si="4"/>
        <v>0</v>
      </c>
      <c r="AP12" s="931">
        <f>'14.增值税计算表'!R411</f>
        <v>0</v>
      </c>
      <c r="AQ12" s="931">
        <f>'14.增值税计算表'!S411</f>
        <v>0</v>
      </c>
      <c r="AR12" s="931">
        <f>'14.增值税计算表'!T411</f>
        <v>0</v>
      </c>
      <c r="AS12" s="931">
        <f>'14.增值税计算表'!U411</f>
        <v>0</v>
      </c>
      <c r="AT12" s="931">
        <f>'14.增值税计算表'!V411</f>
        <v>0</v>
      </c>
      <c r="AU12" s="931">
        <f>'14.增值税计算表'!W411</f>
        <v>0</v>
      </c>
      <c r="AV12" s="931">
        <f>'14.增值税计算表'!X411</f>
        <v>0</v>
      </c>
      <c r="AW12" s="931">
        <f>'14.增值税计算表'!Y411</f>
        <v>0</v>
      </c>
      <c r="AX12" s="931">
        <f>'14.增值税计算表'!Z411</f>
        <v>0</v>
      </c>
      <c r="AY12" s="931"/>
      <c r="AZ12" s="931">
        <f>'14.增值税计算表'!AB411</f>
        <v>0</v>
      </c>
      <c r="BA12" s="957">
        <f>'14.增值税计算表'!AC411</f>
        <v>0</v>
      </c>
      <c r="BB12" s="958">
        <f t="shared" si="5"/>
        <v>0</v>
      </c>
      <c r="BC12" s="931">
        <f>'14.增值税计算表'!AE412</f>
        <v>0</v>
      </c>
      <c r="BD12" s="931">
        <f>'14.增值税计算表'!AF412</f>
        <v>0</v>
      </c>
      <c r="BE12" s="931">
        <f>'14.增值税计算表'!AG412</f>
        <v>0</v>
      </c>
      <c r="BF12" s="931">
        <f>'14.增值税计算表'!AH412</f>
        <v>0</v>
      </c>
      <c r="BG12" s="931">
        <f>'14.增值税计算表'!AI412</f>
        <v>0</v>
      </c>
      <c r="BH12" s="931">
        <f>'14.增值税计算表'!AJ412</f>
        <v>0</v>
      </c>
      <c r="BI12" s="931">
        <f>'14.增值税计算表'!AK412</f>
        <v>0</v>
      </c>
      <c r="BJ12" s="931">
        <f>'14.增值税计算表'!AL412</f>
        <v>0</v>
      </c>
      <c r="BK12" s="931">
        <f>'14.增值税计算表'!AM412</f>
        <v>0</v>
      </c>
      <c r="BL12" s="931"/>
      <c r="BM12" s="931">
        <f>'14.增值税计算表'!AO412</f>
        <v>0</v>
      </c>
      <c r="BN12" s="957">
        <f>'14.增值税计算表'!AP412</f>
        <v>0</v>
      </c>
      <c r="BO12" s="958">
        <f t="shared" si="6"/>
        <v>0</v>
      </c>
      <c r="BP12" s="931">
        <f>'14.增值税计算表'!AR413</f>
        <v>0</v>
      </c>
      <c r="BQ12" s="931">
        <f>'14.增值税计算表'!AS413</f>
        <v>0</v>
      </c>
      <c r="BR12" s="931">
        <f>'14.增值税计算表'!AT413</f>
        <v>0</v>
      </c>
      <c r="BS12" s="931">
        <f>'14.增值税计算表'!AU413</f>
        <v>0</v>
      </c>
      <c r="BT12" s="931">
        <f>'14.增值税计算表'!AV413</f>
        <v>0</v>
      </c>
      <c r="BU12" s="931">
        <f>'14.增值税计算表'!AW413</f>
        <v>0</v>
      </c>
      <c r="BV12" s="931">
        <f>'14.增值税计算表'!AX413</f>
        <v>0</v>
      </c>
      <c r="BW12" s="931">
        <f>'14.增值税计算表'!AY413</f>
        <v>0</v>
      </c>
      <c r="BX12" s="931">
        <f>'14.增值税计算表'!AZ413</f>
        <v>0</v>
      </c>
      <c r="BY12" s="931"/>
      <c r="BZ12" s="931">
        <f>'14.增值税计算表'!BB413</f>
        <v>0</v>
      </c>
      <c r="CA12" s="967">
        <f>'14.增值税计算表'!BC413</f>
        <v>0</v>
      </c>
      <c r="CB12" s="958">
        <f t="shared" si="7"/>
        <v>0</v>
      </c>
      <c r="CC12" s="931">
        <f>'14.增值税计算表'!BE414</f>
        <v>0</v>
      </c>
      <c r="CD12" s="931">
        <f>'14.增值税计算表'!BF414</f>
        <v>0</v>
      </c>
      <c r="CE12" s="931">
        <f>'14.增值税计算表'!BG414</f>
        <v>0</v>
      </c>
      <c r="CF12" s="931">
        <f>'14.增值税计算表'!BH414</f>
        <v>0</v>
      </c>
      <c r="CG12" s="931">
        <f>'14.增值税计算表'!BI414</f>
        <v>0</v>
      </c>
      <c r="CH12" s="931">
        <f>'14.增值税计算表'!BJ414</f>
        <v>0</v>
      </c>
      <c r="CI12" s="931">
        <f>'14.增值税计算表'!BK414</f>
        <v>0</v>
      </c>
      <c r="CJ12" s="931">
        <f>'14.增值税计算表'!BL414</f>
        <v>0</v>
      </c>
      <c r="CK12" s="931">
        <f>'14.增值税计算表'!BM414</f>
        <v>0</v>
      </c>
      <c r="CL12" s="931"/>
      <c r="CM12" s="931">
        <f>'14.增值税计算表'!BO414</f>
        <v>0</v>
      </c>
      <c r="CN12" s="967">
        <f>'14.增值税计算表'!BP414</f>
        <v>0</v>
      </c>
    </row>
    <row r="13" spans="1:92" ht="18" customHeight="1">
      <c r="A13" s="897" t="s">
        <v>581</v>
      </c>
      <c r="B13" s="870">
        <f t="shared" si="21"/>
        <v>557.31218406316918</v>
      </c>
      <c r="C13" s="870">
        <f t="shared" si="22"/>
        <v>482.72702400621495</v>
      </c>
      <c r="D13" s="870">
        <f t="shared" ref="D13:D20" si="33">SUM(Q13,AD13,AQ13,BD13,BQ13,CD13)</f>
        <v>48.399687890536072</v>
      </c>
      <c r="E13" s="870">
        <f t="shared" si="24"/>
        <v>0</v>
      </c>
      <c r="F13" s="870">
        <f t="shared" si="25"/>
        <v>0</v>
      </c>
      <c r="G13" s="870">
        <f t="shared" si="26"/>
        <v>0</v>
      </c>
      <c r="H13" s="870">
        <f t="shared" si="27"/>
        <v>0</v>
      </c>
      <c r="I13" s="870">
        <f t="shared" si="28"/>
        <v>0</v>
      </c>
      <c r="J13" s="870">
        <f t="shared" si="29"/>
        <v>0</v>
      </c>
      <c r="K13" s="870">
        <f t="shared" si="30"/>
        <v>0</v>
      </c>
      <c r="L13" s="870"/>
      <c r="M13" s="870">
        <f t="shared" si="31"/>
        <v>26.185472166418233</v>
      </c>
      <c r="N13" s="923">
        <f t="shared" si="32"/>
        <v>0</v>
      </c>
      <c r="O13" s="871">
        <f t="shared" si="2"/>
        <v>557.31218406316918</v>
      </c>
      <c r="P13" s="872">
        <f>IFERROR(('14.增值税计算表'!$D$355+'14.增值税计算表'!$D$366)/'5.分产品利润表'!$O6*'5.分产品利润表'!P6,0)</f>
        <v>482.72702400621495</v>
      </c>
      <c r="Q13" s="872">
        <f>IFERROR(('14.增值税计算表'!$D$355+'14.增值税计算表'!$D$366)/'5.分产品利润表'!$O6*'5.分产品利润表'!Q6,0)</f>
        <v>48.399687890536072</v>
      </c>
      <c r="R13" s="872">
        <f>IFERROR(('14.增值税计算表'!$D$355+'14.增值税计算表'!$D$366)/'5.分产品利润表'!$O6*'5.分产品利润表'!R6,0)</f>
        <v>0</v>
      </c>
      <c r="S13" s="872">
        <f>IFERROR(('14.增值税计算表'!$D$355+'14.增值税计算表'!$D$366)/'5.分产品利润表'!$O6*'5.分产品利润表'!S6,0)</f>
        <v>0</v>
      </c>
      <c r="T13" s="872">
        <f>IFERROR(('14.增值税计算表'!$D$355+'14.增值税计算表'!$D$366)/'5.分产品利润表'!$O6*'5.分产品利润表'!T6,0)</f>
        <v>0</v>
      </c>
      <c r="U13" s="872">
        <f>IFERROR(('14.增值税计算表'!$D$355+'14.增值税计算表'!$D$366)/'5.分产品利润表'!$O6*'5.分产品利润表'!U6,0)</f>
        <v>0</v>
      </c>
      <c r="V13" s="872">
        <f>IFERROR(('14.增值税计算表'!$D$355+'14.增值税计算表'!$D$366)/'5.分产品利润表'!$O6*'5.分产品利润表'!V6,0)</f>
        <v>0</v>
      </c>
      <c r="W13" s="872">
        <f>IFERROR(('14.增值税计算表'!$D$355+'14.增值税计算表'!$D$366)/'5.分产品利润表'!$O6*'5.分产品利润表'!W6,0)</f>
        <v>0</v>
      </c>
      <c r="X13" s="872">
        <f>IFERROR(('14.增值税计算表'!$D$355+'14.增值税计算表'!$D$366)/'5.分产品利润表'!$O6*'5.分产品利润表'!X6,0)</f>
        <v>0</v>
      </c>
      <c r="Y13" s="872"/>
      <c r="Z13" s="872">
        <f>IFERROR(('14.增值税计算表'!$D$355+'14.增值税计算表'!$D$366)/'5.分产品利润表'!$O6*'5.分产品利润表'!Z6,0)</f>
        <v>26.185472166418233</v>
      </c>
      <c r="AA13" s="951">
        <f>IFERROR(('14.增值税计算表'!$D$355+'14.增值税计算表'!$D$366)/'5.分产品利润表'!$O6*'5.分产品利润表'!AA6,0)</f>
        <v>0</v>
      </c>
      <c r="AB13" s="952">
        <f t="shared" si="3"/>
        <v>0</v>
      </c>
      <c r="AC13" s="872">
        <f>IFERROR(('14.增值税计算表'!$D$367+'14.增值税计算表'!$D$356)/'5.分产品利润表'!$AB6*'5.分产品利润表'!AC6,0)</f>
        <v>0</v>
      </c>
      <c r="AD13" s="872">
        <f>IFERROR(('14.增值税计算表'!$D$367+'14.增值税计算表'!$D$356)/'5.分产品利润表'!$AB6*'5.分产品利润表'!AD6,0)</f>
        <v>0</v>
      </c>
      <c r="AE13" s="872">
        <f>IFERROR(('14.增值税计算表'!$D$367+'14.增值税计算表'!$D$356)/'5.分产品利润表'!$AB6*'5.分产品利润表'!AE6,0)</f>
        <v>0</v>
      </c>
      <c r="AF13" s="872">
        <f>IFERROR(('14.增值税计算表'!$D$367+'14.增值税计算表'!$D$356)/'5.分产品利润表'!$AB6*'5.分产品利润表'!AF6,0)</f>
        <v>0</v>
      </c>
      <c r="AG13" s="872">
        <f>IFERROR(('14.增值税计算表'!$D$367+'14.增值税计算表'!$D$356)/'5.分产品利润表'!$AB6*'5.分产品利润表'!AG6,0)</f>
        <v>0</v>
      </c>
      <c r="AH13" s="872">
        <f>IFERROR(('14.增值税计算表'!$D$367+'14.增值税计算表'!$D$356)/'5.分产品利润表'!$AB6*'5.分产品利润表'!AH6,0)</f>
        <v>0</v>
      </c>
      <c r="AI13" s="872">
        <f>IFERROR(('14.增值税计算表'!$D$367+'14.增值税计算表'!$D$356)/'5.分产品利润表'!$AB6*'5.分产品利润表'!AI6,0)</f>
        <v>0</v>
      </c>
      <c r="AJ13" s="872">
        <f>IFERROR(('14.增值税计算表'!$D$367+'14.增值税计算表'!$D$356)/'5.分产品利润表'!$AB6*'5.分产品利润表'!AJ6,0)</f>
        <v>0</v>
      </c>
      <c r="AK13" s="872">
        <f>IFERROR(('14.增值税计算表'!$D$367+'14.增值税计算表'!$D$356)/'5.分产品利润表'!$AB6*'5.分产品利润表'!AK6,0)</f>
        <v>0</v>
      </c>
      <c r="AL13" s="872"/>
      <c r="AM13" s="872">
        <f>IFERROR(('14.增值税计算表'!$D$367+'14.增值税计算表'!$D$356)/'5.分产品利润表'!$AB6*'5.分产品利润表'!AM6,0)</f>
        <v>0</v>
      </c>
      <c r="AN13" s="951">
        <f>IFERROR(('14.增值税计算表'!$D$367+'14.增值税计算表'!$D$356)/'5.分产品利润表'!$AB6*'5.分产品利润表'!AN6,0)</f>
        <v>0</v>
      </c>
      <c r="AO13" s="952">
        <f t="shared" si="4"/>
        <v>0</v>
      </c>
      <c r="AP13" s="872">
        <f>IFERROR(('14.增值税计算表'!$D$357+'14.增值税计算表'!$D$368)/'5.分产品利润表'!$AO6*'5.分产品利润表'!AP6,0)</f>
        <v>0</v>
      </c>
      <c r="AQ13" s="872">
        <f>IFERROR(('14.增值税计算表'!$D$357+'14.增值税计算表'!$D$368)/'5.分产品利润表'!$AO6*'5.分产品利润表'!AQ6,0)</f>
        <v>0</v>
      </c>
      <c r="AR13" s="872">
        <f>IFERROR(('14.增值税计算表'!$D$357+'14.增值税计算表'!$D$368)/'5.分产品利润表'!$AO6*'5.分产品利润表'!AR6,0)</f>
        <v>0</v>
      </c>
      <c r="AS13" s="872">
        <f>IFERROR(('14.增值税计算表'!$D$357+'14.增值税计算表'!$D$368)/'5.分产品利润表'!$AO6*'5.分产品利润表'!AS6,0)</f>
        <v>0</v>
      </c>
      <c r="AT13" s="872">
        <f>IFERROR(('14.增值税计算表'!$D$357+'14.增值税计算表'!$D$368)/'5.分产品利润表'!$AO6*'5.分产品利润表'!AT6,0)</f>
        <v>0</v>
      </c>
      <c r="AU13" s="872">
        <f>IFERROR(('14.增值税计算表'!$D$357+'14.增值税计算表'!$D$368)/'5.分产品利润表'!$AO6*'5.分产品利润表'!AU6,0)</f>
        <v>0</v>
      </c>
      <c r="AV13" s="872">
        <f>IFERROR(('14.增值税计算表'!$D$357+'14.增值税计算表'!$D$368)/'5.分产品利润表'!$AO6*'5.分产品利润表'!AV6,0)</f>
        <v>0</v>
      </c>
      <c r="AW13" s="872">
        <f>IFERROR(('14.增值税计算表'!$D$357+'14.增值税计算表'!$D$368)/'5.分产品利润表'!$AO6*'5.分产品利润表'!AW6,0)</f>
        <v>0</v>
      </c>
      <c r="AX13" s="872">
        <f>IFERROR(('14.增值税计算表'!$D$357+'14.增值税计算表'!$D$368)/'5.分产品利润表'!$AO6*'5.分产品利润表'!AX6,0)</f>
        <v>0</v>
      </c>
      <c r="AY13" s="872"/>
      <c r="AZ13" s="872">
        <f>IFERROR(('14.增值税计算表'!$D$357+'14.增值税计算表'!$D$368)/'5.分产品利润表'!$AO6*'5.分产品利润表'!AZ6,0)</f>
        <v>0</v>
      </c>
      <c r="BA13" s="951">
        <f>IFERROR(('14.增值税计算表'!$D$357+'14.增值税计算表'!$D$368)/'5.分产品利润表'!$AO6*'5.分产品利润表'!BA6,0)</f>
        <v>0</v>
      </c>
      <c r="BB13" s="952">
        <f t="shared" si="5"/>
        <v>0</v>
      </c>
      <c r="BC13" s="872">
        <f>IFERROR(('14.增值税计算表'!$D$369+'14.增值税计算表'!$D$358)/'5.分产品利润表'!$BB6*'5.分产品利润表'!BC6,0)</f>
        <v>0</v>
      </c>
      <c r="BD13" s="872">
        <f>IFERROR(('14.增值税计算表'!$D$369+'14.增值税计算表'!$D$358)/'5.分产品利润表'!$BB6*'5.分产品利润表'!BD6,0)</f>
        <v>0</v>
      </c>
      <c r="BE13" s="872">
        <f>IFERROR(('14.增值税计算表'!$D$369+'14.增值税计算表'!$D$358)/'5.分产品利润表'!$BB6*'5.分产品利润表'!BE6,0)</f>
        <v>0</v>
      </c>
      <c r="BF13" s="872">
        <f>IFERROR(('14.增值税计算表'!$D$369+'14.增值税计算表'!$D$358)/'5.分产品利润表'!$BB6*'5.分产品利润表'!BF6,0)</f>
        <v>0</v>
      </c>
      <c r="BG13" s="872">
        <f>IFERROR(('14.增值税计算表'!$D$369+'14.增值税计算表'!$D$358)/'5.分产品利润表'!$BB6*'5.分产品利润表'!BG6,0)</f>
        <v>0</v>
      </c>
      <c r="BH13" s="872">
        <f>IFERROR(('14.增值税计算表'!$D$369+'14.增值税计算表'!$D$358)/'5.分产品利润表'!$BB6*'5.分产品利润表'!BH6,0)</f>
        <v>0</v>
      </c>
      <c r="BI13" s="872">
        <f>IFERROR(('14.增值税计算表'!$D$369+'14.增值税计算表'!$D$358)/'5.分产品利润表'!$BB6*'5.分产品利润表'!BI6,0)</f>
        <v>0</v>
      </c>
      <c r="BJ13" s="872">
        <f>IFERROR(('14.增值税计算表'!$D$369+'14.增值税计算表'!$D$358)/'5.分产品利润表'!$BB6*'5.分产品利润表'!BJ6,0)</f>
        <v>0</v>
      </c>
      <c r="BK13" s="872">
        <f>IFERROR(('14.增值税计算表'!$D$369+'14.增值税计算表'!$D$358)/'5.分产品利润表'!$BB6*'5.分产品利润表'!BK6,0)</f>
        <v>0</v>
      </c>
      <c r="BL13" s="872"/>
      <c r="BM13" s="872">
        <f>IFERROR(('14.增值税计算表'!$D$369+'14.增值税计算表'!$D$358)/'5.分产品利润表'!$BB6*'5.分产品利润表'!BM6,0)</f>
        <v>0</v>
      </c>
      <c r="BN13" s="951">
        <f>IFERROR(('14.增值税计算表'!$D$369+'14.增值税计算表'!$D$358)/'5.分产品利润表'!$BB6*'5.分产品利润表'!BN6,0)</f>
        <v>0</v>
      </c>
      <c r="BO13" s="952">
        <f t="shared" si="6"/>
        <v>0</v>
      </c>
      <c r="BP13" s="872">
        <f>IFERROR(('14.增值税计算表'!$D$359+'14.增值税计算表'!$D$370)/'5.分产品利润表'!$BO6*'5.分产品利润表'!BP6,0)</f>
        <v>0</v>
      </c>
      <c r="BQ13" s="872">
        <f>IFERROR(('14.增值税计算表'!$D$359+'14.增值税计算表'!$D$370)/'5.分产品利润表'!$BO6*'5.分产品利润表'!BQ6,0)</f>
        <v>0</v>
      </c>
      <c r="BR13" s="872">
        <f>IFERROR(('14.增值税计算表'!$D$359+'14.增值税计算表'!$D$370)/'5.分产品利润表'!$BO6*'5.分产品利润表'!BR6,0)</f>
        <v>0</v>
      </c>
      <c r="BS13" s="872">
        <f>IFERROR(('14.增值税计算表'!$D$359+'14.增值税计算表'!$D$370)/'5.分产品利润表'!$BO6*'5.分产品利润表'!BS6,0)</f>
        <v>0</v>
      </c>
      <c r="BT13" s="872">
        <f>IFERROR(('14.增值税计算表'!$D$359+'14.增值税计算表'!$D$370)/'5.分产品利润表'!$BO6*'5.分产品利润表'!BT6,0)</f>
        <v>0</v>
      </c>
      <c r="BU13" s="872">
        <f>IFERROR(('14.增值税计算表'!$D$359+'14.增值税计算表'!$D$370)/'5.分产品利润表'!$BO6*'5.分产品利润表'!BU6,0)</f>
        <v>0</v>
      </c>
      <c r="BV13" s="872">
        <f>IFERROR(('14.增值税计算表'!$D$359+'14.增值税计算表'!$D$370)/'5.分产品利润表'!$BO6*'5.分产品利润表'!BV6,0)</f>
        <v>0</v>
      </c>
      <c r="BW13" s="872">
        <f>IFERROR(('14.增值税计算表'!$D$359+'14.增值税计算表'!$D$370)/'5.分产品利润表'!$BO6*'5.分产品利润表'!BW6,0)</f>
        <v>0</v>
      </c>
      <c r="BX13" s="872">
        <f>IFERROR(('14.增值税计算表'!$D$359+'14.增值税计算表'!$D$370)/'5.分产品利润表'!$BO6*'5.分产品利润表'!BX6,0)</f>
        <v>0</v>
      </c>
      <c r="BY13" s="872"/>
      <c r="BZ13" s="872">
        <f>IFERROR(('14.增值税计算表'!$D$359+'14.增值税计算表'!$D$370)/'5.分产品利润表'!$BO6*'5.分产品利润表'!BZ6,0)</f>
        <v>0</v>
      </c>
      <c r="CA13" s="963">
        <f>IFERROR(('14.增值税计算表'!$D$359+'14.增值税计算表'!$D$370)/'5.分产品利润表'!$BO6*'5.分产品利润表'!CA6,0)</f>
        <v>0</v>
      </c>
      <c r="CB13" s="952">
        <f t="shared" si="7"/>
        <v>0</v>
      </c>
      <c r="CC13" s="872">
        <f>IFERROR(('14.增值税计算表'!$D$371+'14.增值税计算表'!$D$360)/'5.分产品利润表'!$CB6*'5.分产品利润表'!CC6,0)</f>
        <v>0</v>
      </c>
      <c r="CD13" s="872">
        <f>IFERROR(('14.增值税计算表'!$D$371+'14.增值税计算表'!$D$360)/'5.分产品利润表'!$CB6*'5.分产品利润表'!CD6,0)</f>
        <v>0</v>
      </c>
      <c r="CE13" s="872">
        <f>IFERROR(('14.增值税计算表'!$D$371+'14.增值税计算表'!$D$360)/'5.分产品利润表'!$CB6*'5.分产品利润表'!CE6,0)</f>
        <v>0</v>
      </c>
      <c r="CF13" s="872">
        <f>IFERROR(('14.增值税计算表'!$D$371+'14.增值税计算表'!$D$360)/'5.分产品利润表'!$CB6*'5.分产品利润表'!CF6,0)</f>
        <v>0</v>
      </c>
      <c r="CG13" s="872">
        <f>IFERROR(('14.增值税计算表'!$D$371+'14.增值税计算表'!$D$360)/'5.分产品利润表'!$CB6*'5.分产品利润表'!CG6,0)</f>
        <v>0</v>
      </c>
      <c r="CH13" s="872">
        <f>IFERROR(('14.增值税计算表'!$D$371+'14.增值税计算表'!$D$360)/'5.分产品利润表'!$CB6*'5.分产品利润表'!CH6,0)</f>
        <v>0</v>
      </c>
      <c r="CI13" s="872">
        <f>IFERROR(('14.增值税计算表'!$D$371+'14.增值税计算表'!$D$360)/'5.分产品利润表'!$CB6*'5.分产品利润表'!CI6,0)</f>
        <v>0</v>
      </c>
      <c r="CJ13" s="872">
        <f>IFERROR(('14.增值税计算表'!$D$371+'14.增值税计算表'!$D$360)/'5.分产品利润表'!$CB6*'5.分产品利润表'!CJ6,0)</f>
        <v>0</v>
      </c>
      <c r="CK13" s="872">
        <f>IFERROR(('14.增值税计算表'!$D$371+'14.增值税计算表'!$D$360)/'5.分产品利润表'!$CB6*'5.分产品利润表'!CK6,0)</f>
        <v>0</v>
      </c>
      <c r="CL13" s="872"/>
      <c r="CM13" s="872">
        <f>IFERROR(('14.增值税计算表'!$D$371+'14.增值税计算表'!$D$360)/'5.分产品利润表'!$CB6*'5.分产品利润表'!CM6,0)</f>
        <v>0</v>
      </c>
      <c r="CN13" s="963">
        <f>IFERROR(('14.增值税计算表'!$D$371+'14.增值税计算表'!$D$360)/'5.分产品利润表'!$CB6*'5.分产品利润表'!CN6,0)</f>
        <v>0</v>
      </c>
    </row>
    <row r="14" spans="1:92" ht="18" customHeight="1">
      <c r="A14" s="897" t="s">
        <v>582</v>
      </c>
      <c r="B14" s="870">
        <f t="shared" si="21"/>
        <v>50.296597480000003</v>
      </c>
      <c r="C14" s="870">
        <f t="shared" si="22"/>
        <v>43.565397480000001</v>
      </c>
      <c r="D14" s="870">
        <f t="shared" si="33"/>
        <v>4.3680000000000003</v>
      </c>
      <c r="E14" s="870">
        <f t="shared" si="24"/>
        <v>0</v>
      </c>
      <c r="F14" s="870">
        <f t="shared" si="25"/>
        <v>0</v>
      </c>
      <c r="G14" s="870">
        <f t="shared" si="26"/>
        <v>0</v>
      </c>
      <c r="H14" s="870">
        <f t="shared" si="27"/>
        <v>0</v>
      </c>
      <c r="I14" s="870">
        <f t="shared" si="28"/>
        <v>0</v>
      </c>
      <c r="J14" s="870">
        <f t="shared" si="29"/>
        <v>0</v>
      </c>
      <c r="K14" s="870">
        <f t="shared" si="30"/>
        <v>0</v>
      </c>
      <c r="L14" s="870"/>
      <c r="M14" s="870">
        <f t="shared" si="31"/>
        <v>2.3632</v>
      </c>
      <c r="N14" s="923">
        <f t="shared" si="32"/>
        <v>0</v>
      </c>
      <c r="O14" s="871">
        <f t="shared" si="2"/>
        <v>50.296597480000003</v>
      </c>
      <c r="P14" s="872">
        <f>P6*('2.税率表'!$D$15+'2.税率表'!$D$16+'2.税率表'!$D$18)</f>
        <v>43.565397480000001</v>
      </c>
      <c r="Q14" s="872">
        <f>Q6*('2.税率表'!$D$15+'2.税率表'!$D$16+'2.税率表'!$D$18)</f>
        <v>4.3680000000000003</v>
      </c>
      <c r="R14" s="872">
        <f>R6*('2.税率表'!$D$15+'2.税率表'!$D$16+'2.税率表'!$D$18)</f>
        <v>0</v>
      </c>
      <c r="S14" s="872">
        <f>S6*('2.税率表'!$D$15+'2.税率表'!$D$16+'2.税率表'!$D$18)</f>
        <v>0</v>
      </c>
      <c r="T14" s="872">
        <f>T6*('2.税率表'!$D$15+'2.税率表'!$D$16+'2.税率表'!$D$18)</f>
        <v>0</v>
      </c>
      <c r="U14" s="872">
        <f>U6*('2.税率表'!$D$15+'2.税率表'!$D$16+'2.税率表'!$D$18)</f>
        <v>0</v>
      </c>
      <c r="V14" s="872">
        <f>V6*('2.税率表'!$D$15+'2.税率表'!$D$16+'2.税率表'!$D$18)</f>
        <v>0</v>
      </c>
      <c r="W14" s="872">
        <f>W6*('2.税率表'!$D$15+'2.税率表'!$D$16+'2.税率表'!$D$18)</f>
        <v>0</v>
      </c>
      <c r="X14" s="872">
        <f>X6*('2.税率表'!$D$15+'2.税率表'!$D$16+'2.税率表'!$D$18)</f>
        <v>0</v>
      </c>
      <c r="Y14" s="872"/>
      <c r="Z14" s="872">
        <f>Z6*('2.税率表'!$D$15+'2.税率表'!$D$16+'2.税率表'!$D$18)</f>
        <v>2.3632</v>
      </c>
      <c r="AA14" s="951">
        <f>AA6*('2.税率表'!$D$15+'2.税率表'!$D$16+'2.税率表'!$D$18)</f>
        <v>0</v>
      </c>
      <c r="AB14" s="871">
        <f t="shared" si="3"/>
        <v>0</v>
      </c>
      <c r="AC14" s="872">
        <f>AC6*('2.税率表'!$D$15+'2.税率表'!$D$16+'2.税率表'!$D$18)</f>
        <v>0</v>
      </c>
      <c r="AD14" s="872">
        <f>AD6*('2.税率表'!$D$15+'2.税率表'!$D$16+'2.税率表'!$D$18)</f>
        <v>0</v>
      </c>
      <c r="AE14" s="872">
        <f>AE6*('2.税率表'!$D$15+'2.税率表'!$D$16+'2.税率表'!$D$18)</f>
        <v>0</v>
      </c>
      <c r="AF14" s="872">
        <f>AF6*('2.税率表'!$D$15+'2.税率表'!$D$16+'2.税率表'!$D$18)</f>
        <v>0</v>
      </c>
      <c r="AG14" s="872">
        <f>AG6*('2.税率表'!$D$15+'2.税率表'!$D$16+'2.税率表'!$D$18)</f>
        <v>0</v>
      </c>
      <c r="AH14" s="872">
        <f>AH6*('2.税率表'!$D$15+'2.税率表'!$D$16+'2.税率表'!$D$18)</f>
        <v>0</v>
      </c>
      <c r="AI14" s="872">
        <f>AI6*('2.税率表'!$D$15+'2.税率表'!$D$16+'2.税率表'!$D$18)</f>
        <v>0</v>
      </c>
      <c r="AJ14" s="872">
        <f>AJ6*('2.税率表'!$D$15+'2.税率表'!$D$16+'2.税率表'!$D$18)</f>
        <v>0</v>
      </c>
      <c r="AK14" s="872">
        <f>AK6*('2.税率表'!$D$15+'2.税率表'!$D$16+'2.税率表'!$D$18)</f>
        <v>0</v>
      </c>
      <c r="AL14" s="872"/>
      <c r="AM14" s="872">
        <f>AM6*('2.税率表'!$D$15+'2.税率表'!$D$16+'2.税率表'!$D$18)</f>
        <v>0</v>
      </c>
      <c r="AN14" s="951">
        <f>AN6*('2.税率表'!$D$15+'2.税率表'!$D$16+'2.税率表'!$D$18)</f>
        <v>0</v>
      </c>
      <c r="AO14" s="871">
        <f t="shared" si="4"/>
        <v>0</v>
      </c>
      <c r="AP14" s="872">
        <f>AP6*('2.税率表'!$D$15+'2.税率表'!$D$16+'2.税率表'!$D$18)</f>
        <v>0</v>
      </c>
      <c r="AQ14" s="872">
        <f>AQ6*('2.税率表'!$D$15+'2.税率表'!$D$16+'2.税率表'!$D$18)</f>
        <v>0</v>
      </c>
      <c r="AR14" s="872">
        <f>AR6*('2.税率表'!$D$15+'2.税率表'!$D$16+'2.税率表'!$D$18)</f>
        <v>0</v>
      </c>
      <c r="AS14" s="872">
        <f>AS6*('2.税率表'!$D$15+'2.税率表'!$D$16+'2.税率表'!$D$18)</f>
        <v>0</v>
      </c>
      <c r="AT14" s="872">
        <f>AT6*('2.税率表'!$D$15+'2.税率表'!$D$16+'2.税率表'!$D$18)</f>
        <v>0</v>
      </c>
      <c r="AU14" s="872">
        <f>AU6*('2.税率表'!$D$15+'2.税率表'!$D$16+'2.税率表'!$D$18)</f>
        <v>0</v>
      </c>
      <c r="AV14" s="872">
        <f>AV6*('2.税率表'!$D$15+'2.税率表'!$D$16+'2.税率表'!$D$18)</f>
        <v>0</v>
      </c>
      <c r="AW14" s="872">
        <f>AW6*('2.税率表'!$D$15+'2.税率表'!$D$16+'2.税率表'!$D$18)</f>
        <v>0</v>
      </c>
      <c r="AX14" s="872">
        <f>AX6*('2.税率表'!$D$15+'2.税率表'!$D$16+'2.税率表'!$D$18)</f>
        <v>0</v>
      </c>
      <c r="AY14" s="872"/>
      <c r="AZ14" s="872">
        <f>AZ6*('2.税率表'!$D$15+'2.税率表'!$D$16+'2.税率表'!$D$18)</f>
        <v>0</v>
      </c>
      <c r="BA14" s="951">
        <f>BA6*('2.税率表'!$D$15+'2.税率表'!$D$16+'2.税率表'!$D$18)</f>
        <v>0</v>
      </c>
      <c r="BB14" s="871">
        <f t="shared" si="5"/>
        <v>0</v>
      </c>
      <c r="BC14" s="872">
        <f>BC6*('2.税率表'!$D$15+'2.税率表'!$D$16+'2.税率表'!$D$18)</f>
        <v>0</v>
      </c>
      <c r="BD14" s="872">
        <f>BD6*('2.税率表'!$D$15+'2.税率表'!$D$16+'2.税率表'!$D$18)</f>
        <v>0</v>
      </c>
      <c r="BE14" s="872">
        <f>BE6*('2.税率表'!$D$15+'2.税率表'!$D$16+'2.税率表'!$D$18)</f>
        <v>0</v>
      </c>
      <c r="BF14" s="872">
        <f>BF6*('2.税率表'!$D$15+'2.税率表'!$D$16+'2.税率表'!$D$18)</f>
        <v>0</v>
      </c>
      <c r="BG14" s="872">
        <f>BG6*('2.税率表'!$D$15+'2.税率表'!$D$16+'2.税率表'!$D$18)</f>
        <v>0</v>
      </c>
      <c r="BH14" s="872">
        <f>BH6*('2.税率表'!$D$15+'2.税率表'!$D$16+'2.税率表'!$D$18)</f>
        <v>0</v>
      </c>
      <c r="BI14" s="872">
        <f>BI6*('2.税率表'!$D$15+'2.税率表'!$D$16+'2.税率表'!$D$18)</f>
        <v>0</v>
      </c>
      <c r="BJ14" s="872">
        <f>BJ6*('2.税率表'!$D$15+'2.税率表'!$D$16+'2.税率表'!$D$18)</f>
        <v>0</v>
      </c>
      <c r="BK14" s="872">
        <f>BK6*('2.税率表'!$D$15+'2.税率表'!$D$16+'2.税率表'!$D$18)</f>
        <v>0</v>
      </c>
      <c r="BL14" s="872"/>
      <c r="BM14" s="872">
        <f>BM6*('2.税率表'!$D$15+'2.税率表'!$D$16+'2.税率表'!$D$18)</f>
        <v>0</v>
      </c>
      <c r="BN14" s="951">
        <f>BN6*('2.税率表'!$D$15+'2.税率表'!$D$16+'2.税率表'!$D$18)</f>
        <v>0</v>
      </c>
      <c r="BO14" s="871">
        <f t="shared" si="6"/>
        <v>0</v>
      </c>
      <c r="BP14" s="872">
        <f>BP6*('2.税率表'!$D$15+'2.税率表'!$D$16+'2.税率表'!$D$18)</f>
        <v>0</v>
      </c>
      <c r="BQ14" s="872">
        <f>BQ6*('2.税率表'!$D$15+'2.税率表'!$D$16+'2.税率表'!$D$18)</f>
        <v>0</v>
      </c>
      <c r="BR14" s="872">
        <f>BR6*('2.税率表'!$D$15+'2.税率表'!$D$16+'2.税率表'!$D$18)</f>
        <v>0</v>
      </c>
      <c r="BS14" s="872">
        <f>BS6*('2.税率表'!$D$15+'2.税率表'!$D$16+'2.税率表'!$D$18)</f>
        <v>0</v>
      </c>
      <c r="BT14" s="872">
        <f>BT6*('2.税率表'!$D$15+'2.税率表'!$D$16+'2.税率表'!$D$18)</f>
        <v>0</v>
      </c>
      <c r="BU14" s="872">
        <f>BU6*('2.税率表'!$D$15+'2.税率表'!$D$16+'2.税率表'!$D$18)</f>
        <v>0</v>
      </c>
      <c r="BV14" s="872">
        <f>BV6*('2.税率表'!$D$15+'2.税率表'!$D$16+'2.税率表'!$D$18)</f>
        <v>0</v>
      </c>
      <c r="BW14" s="872">
        <f>BW6*('2.税率表'!$D$15+'2.税率表'!$D$16+'2.税率表'!$D$18)</f>
        <v>0</v>
      </c>
      <c r="BX14" s="872">
        <f>BX6*('2.税率表'!$D$15+'2.税率表'!$D$16+'2.税率表'!$D$18)</f>
        <v>0</v>
      </c>
      <c r="BY14" s="872"/>
      <c r="BZ14" s="872">
        <f>BZ6*('2.税率表'!$D$15+'2.税率表'!$D$16+'2.税率表'!$D$18)</f>
        <v>0</v>
      </c>
      <c r="CA14" s="951">
        <f>CA6*('2.税率表'!$D$15+'2.税率表'!$D$16+'2.税率表'!$D$18)</f>
        <v>0</v>
      </c>
      <c r="CB14" s="952">
        <f t="shared" si="7"/>
        <v>0</v>
      </c>
      <c r="CC14" s="872">
        <f>CC6*('2.税率表'!$D$15+'2.税率表'!$D$16+'2.税率表'!$D$18)</f>
        <v>0</v>
      </c>
      <c r="CD14" s="872">
        <f>CD6*('2.税率表'!$D$15+'2.税率表'!$D$16+'2.税率表'!$D$18)</f>
        <v>0</v>
      </c>
      <c r="CE14" s="872">
        <f>CE6*('2.税率表'!$D$15+'2.税率表'!$D$16+'2.税率表'!$D$18)</f>
        <v>0</v>
      </c>
      <c r="CF14" s="872">
        <f>CF6*('2.税率表'!$D$15+'2.税率表'!$D$16+'2.税率表'!$D$18)</f>
        <v>0</v>
      </c>
      <c r="CG14" s="872">
        <f>CG6*('2.税率表'!$D$15+'2.税率表'!$D$16+'2.税率表'!$D$18)</f>
        <v>0</v>
      </c>
      <c r="CH14" s="872">
        <f>CH6*('2.税率表'!$D$15+'2.税率表'!$D$16+'2.税率表'!$D$18)</f>
        <v>0</v>
      </c>
      <c r="CI14" s="872">
        <f>CI6*('2.税率表'!$D$15+'2.税率表'!$D$16+'2.税率表'!$D$18)</f>
        <v>0</v>
      </c>
      <c r="CJ14" s="872">
        <f>CJ6*('2.税率表'!$D$15+'2.税率表'!$D$16+'2.税率表'!$D$18)</f>
        <v>0</v>
      </c>
      <c r="CK14" s="872">
        <f>CK6*('2.税率表'!$D$15+'2.税率表'!$D$16+'2.税率表'!$D$18)</f>
        <v>0</v>
      </c>
      <c r="CL14" s="872"/>
      <c r="CM14" s="872">
        <f>CM6*('2.税率表'!$D$15+'2.税率表'!$D$16+'2.税率表'!$D$18)</f>
        <v>0</v>
      </c>
      <c r="CN14" s="963">
        <f>CN6*('2.税率表'!$D$15+'2.税率表'!$D$16+'2.税率表'!$D$18)</f>
        <v>0</v>
      </c>
    </row>
    <row r="15" spans="1:92" ht="18" customHeight="1">
      <c r="A15" s="897" t="s">
        <v>377</v>
      </c>
      <c r="B15" s="870">
        <f t="shared" ca="1" si="21"/>
        <v>9523.1454048467731</v>
      </c>
      <c r="C15" s="870">
        <f t="shared" ca="1" si="22"/>
        <v>9523.1454048467731</v>
      </c>
      <c r="D15" s="870">
        <f t="shared" ca="1" si="33"/>
        <v>0</v>
      </c>
      <c r="E15" s="870">
        <f t="shared" ca="1" si="24"/>
        <v>0</v>
      </c>
      <c r="F15" s="870">
        <f t="shared" ca="1" si="25"/>
        <v>0</v>
      </c>
      <c r="G15" s="870">
        <f t="shared" ca="1" si="26"/>
        <v>0</v>
      </c>
      <c r="H15" s="870">
        <f t="shared" ca="1" si="27"/>
        <v>0</v>
      </c>
      <c r="I15" s="870">
        <f t="shared" ca="1" si="28"/>
        <v>0</v>
      </c>
      <c r="J15" s="870">
        <f t="shared" ca="1" si="29"/>
        <v>0</v>
      </c>
      <c r="K15" s="870">
        <f t="shared" ca="1" si="30"/>
        <v>0</v>
      </c>
      <c r="L15" s="870"/>
      <c r="M15" s="870">
        <f t="shared" ca="1" si="31"/>
        <v>0</v>
      </c>
      <c r="N15" s="923">
        <f t="shared" ca="1" si="32"/>
        <v>0</v>
      </c>
      <c r="O15" s="871">
        <f t="shared" ca="1" si="2"/>
        <v>9523.1454048467731</v>
      </c>
      <c r="P15" s="872">
        <f ca="1">'15.土地增值税'!$D$21</f>
        <v>9523.1454048467731</v>
      </c>
      <c r="Q15" s="872">
        <f ca="1">'15.土地增值税'!$E$21</f>
        <v>0</v>
      </c>
      <c r="R15" s="872">
        <f>'15.土地增值税'!$F$21</f>
        <v>0</v>
      </c>
      <c r="S15" s="872">
        <f>'15.土地增值税'!$G$21</f>
        <v>0</v>
      </c>
      <c r="T15" s="872">
        <f>'15.土地增值税'!$H$21</f>
        <v>0</v>
      </c>
      <c r="U15" s="872">
        <f>'15.土地增值税'!$I$21</f>
        <v>0</v>
      </c>
      <c r="V15" s="872">
        <f>'15.土地增值税'!$J$21</f>
        <v>0</v>
      </c>
      <c r="W15" s="872">
        <f>'15.土地增值税'!$K$21</f>
        <v>0</v>
      </c>
      <c r="X15" s="872">
        <f>'15.土地增值税'!$L$21</f>
        <v>0</v>
      </c>
      <c r="Y15" s="872"/>
      <c r="Z15" s="872">
        <f ca="1">'15.土地增值税'!$N$21</f>
        <v>0</v>
      </c>
      <c r="AA15" s="951">
        <f>'15.土地增值税'!$O$21</f>
        <v>0</v>
      </c>
      <c r="AB15" s="952">
        <f t="shared" ca="1" si="3"/>
        <v>0</v>
      </c>
      <c r="AC15" s="872">
        <f ca="1">'15.土地增值税'!$D$39</f>
        <v>0</v>
      </c>
      <c r="AD15" s="872">
        <f ca="1">'15.土地增值税'!$E$39</f>
        <v>0</v>
      </c>
      <c r="AE15" s="872">
        <f ca="1">'15.土地增值税'!$F$39</f>
        <v>0</v>
      </c>
      <c r="AF15" s="872">
        <f ca="1">'15.土地增值税'!$G$39</f>
        <v>0</v>
      </c>
      <c r="AG15" s="872">
        <f ca="1">'15.土地增值税'!$H$39</f>
        <v>0</v>
      </c>
      <c r="AH15" s="872">
        <f ca="1">'15.土地增值税'!$I$39</f>
        <v>0</v>
      </c>
      <c r="AI15" s="872">
        <f ca="1">'15.土地增值税'!$J$39</f>
        <v>0</v>
      </c>
      <c r="AJ15" s="872">
        <f ca="1">'15.土地增值税'!$K$39</f>
        <v>0</v>
      </c>
      <c r="AK15" s="872">
        <f ca="1">'15.土地增值税'!$L$39</f>
        <v>0</v>
      </c>
      <c r="AL15" s="872"/>
      <c r="AM15" s="872">
        <f ca="1">'15.土地增值税'!$N$39</f>
        <v>0</v>
      </c>
      <c r="AN15" s="951">
        <f ca="1">'15.土地增值税'!$O$39</f>
        <v>0</v>
      </c>
      <c r="AO15" s="952">
        <f t="shared" ca="1" si="4"/>
        <v>0</v>
      </c>
      <c r="AP15" s="872">
        <f ca="1">'15.土地增值税'!$D$57</f>
        <v>0</v>
      </c>
      <c r="AQ15" s="872">
        <f ca="1">'15.土地增值税'!$E$57</f>
        <v>0</v>
      </c>
      <c r="AR15" s="872">
        <f ca="1">'15.土地增值税'!$F$57</f>
        <v>0</v>
      </c>
      <c r="AS15" s="872">
        <f ca="1">'15.土地增值税'!$G$57</f>
        <v>0</v>
      </c>
      <c r="AT15" s="872">
        <f ca="1">'15.土地增值税'!$H$57</f>
        <v>0</v>
      </c>
      <c r="AU15" s="872">
        <f ca="1">'15.土地增值税'!$I$57</f>
        <v>0</v>
      </c>
      <c r="AV15" s="872">
        <f ca="1">'15.土地增值税'!$J$57</f>
        <v>0</v>
      </c>
      <c r="AW15" s="872">
        <f ca="1">'15.土地增值税'!$K$57</f>
        <v>0</v>
      </c>
      <c r="AX15" s="872">
        <f ca="1">'15.土地增值税'!$L$57</f>
        <v>0</v>
      </c>
      <c r="AY15" s="872"/>
      <c r="AZ15" s="872">
        <f ca="1">'15.土地增值税'!$N$57</f>
        <v>0</v>
      </c>
      <c r="BA15" s="951">
        <f ca="1">'15.土地增值税'!$O$57</f>
        <v>0</v>
      </c>
      <c r="BB15" s="952">
        <f t="shared" ca="1" si="5"/>
        <v>0</v>
      </c>
      <c r="BC15" s="872">
        <f ca="1">'15.土地增值税'!$D$75</f>
        <v>0</v>
      </c>
      <c r="BD15" s="872">
        <f ca="1">'15.土地增值税'!$E$75</f>
        <v>0</v>
      </c>
      <c r="BE15" s="872">
        <f ca="1">'15.土地增值税'!$F$75</f>
        <v>0</v>
      </c>
      <c r="BF15" s="872">
        <f ca="1">'15.土地增值税'!$G$75</f>
        <v>0</v>
      </c>
      <c r="BG15" s="872">
        <f ca="1">'15.土地增值税'!$H$75</f>
        <v>0</v>
      </c>
      <c r="BH15" s="872">
        <f ca="1">'15.土地增值税'!$I$75</f>
        <v>0</v>
      </c>
      <c r="BI15" s="872">
        <f ca="1">'15.土地增值税'!$J$75</f>
        <v>0</v>
      </c>
      <c r="BJ15" s="872">
        <f ca="1">'15.土地增值税'!$K$75</f>
        <v>0</v>
      </c>
      <c r="BK15" s="872">
        <f ca="1">'15.土地增值税'!$L$75</f>
        <v>0</v>
      </c>
      <c r="BL15" s="872"/>
      <c r="BM15" s="872">
        <f ca="1">'15.土地增值税'!$N$75</f>
        <v>0</v>
      </c>
      <c r="BN15" s="951">
        <f ca="1">'15.土地增值税'!$O$75</f>
        <v>0</v>
      </c>
      <c r="BO15" s="952">
        <f t="shared" ca="1" si="6"/>
        <v>0</v>
      </c>
      <c r="BP15" s="872">
        <f ca="1">'15.土地增值税'!$D$93</f>
        <v>0</v>
      </c>
      <c r="BQ15" s="872">
        <f ca="1">'15.土地增值税'!$E$93</f>
        <v>0</v>
      </c>
      <c r="BR15" s="872">
        <f ca="1">'15.土地增值税'!$F$93</f>
        <v>0</v>
      </c>
      <c r="BS15" s="872">
        <f ca="1">'15.土地增值税'!$G$93</f>
        <v>0</v>
      </c>
      <c r="BT15" s="872">
        <f ca="1">'15.土地增值税'!$H$93</f>
        <v>0</v>
      </c>
      <c r="BU15" s="872">
        <f ca="1">'15.土地增值税'!$I$93</f>
        <v>0</v>
      </c>
      <c r="BV15" s="872">
        <f ca="1">'15.土地增值税'!$J$93</f>
        <v>0</v>
      </c>
      <c r="BW15" s="872">
        <f ca="1">'15.土地增值税'!$K$93</f>
        <v>0</v>
      </c>
      <c r="BX15" s="872">
        <f ca="1">'15.土地增值税'!$L$93</f>
        <v>0</v>
      </c>
      <c r="BY15" s="872"/>
      <c r="BZ15" s="872">
        <f ca="1">'15.土地增值税'!$N$93</f>
        <v>0</v>
      </c>
      <c r="CA15" s="951">
        <f ca="1">'15.土地增值税'!$O$93</f>
        <v>0</v>
      </c>
      <c r="CB15" s="952">
        <f t="shared" ca="1" si="7"/>
        <v>0</v>
      </c>
      <c r="CC15" s="872">
        <f ca="1">'15.土地增值税'!$D$111</f>
        <v>0</v>
      </c>
      <c r="CD15" s="872">
        <f ca="1">'15.土地增值税'!$E$111</f>
        <v>0</v>
      </c>
      <c r="CE15" s="872">
        <f ca="1">'15.土地增值税'!$F$111</f>
        <v>0</v>
      </c>
      <c r="CF15" s="872">
        <f ca="1">'15.土地增值税'!$G$111</f>
        <v>0</v>
      </c>
      <c r="CG15" s="872">
        <f ca="1">'15.土地增值税'!$H$111</f>
        <v>0</v>
      </c>
      <c r="CH15" s="872">
        <f ca="1">'15.土地增值税'!$I$111</f>
        <v>0</v>
      </c>
      <c r="CI15" s="872">
        <f ca="1">'15.土地增值税'!$J$111</f>
        <v>0</v>
      </c>
      <c r="CJ15" s="872">
        <f ca="1">'15.土地增值税'!$K$111</f>
        <v>0</v>
      </c>
      <c r="CK15" s="872">
        <f ca="1">'15.土地增值税'!$L$111</f>
        <v>0</v>
      </c>
      <c r="CL15" s="872"/>
      <c r="CM15" s="872">
        <f ca="1">'15.土地增值税'!$N$111</f>
        <v>0</v>
      </c>
      <c r="CN15" s="963">
        <f ca="1">'15.土地增值税'!$O$111</f>
        <v>0</v>
      </c>
    </row>
    <row r="16" spans="1:92" ht="18" customHeight="1">
      <c r="A16" s="897" t="s">
        <v>583</v>
      </c>
      <c r="B16" s="870">
        <f t="shared" si="21"/>
        <v>2011.8638992000001</v>
      </c>
      <c r="C16" s="870">
        <f t="shared" si="22"/>
        <v>1742.6158992000001</v>
      </c>
      <c r="D16" s="870">
        <f t="shared" si="33"/>
        <v>174.72</v>
      </c>
      <c r="E16" s="870">
        <f t="shared" si="24"/>
        <v>0</v>
      </c>
      <c r="F16" s="870">
        <f t="shared" si="25"/>
        <v>0</v>
      </c>
      <c r="G16" s="870">
        <f t="shared" si="26"/>
        <v>0</v>
      </c>
      <c r="H16" s="870">
        <f t="shared" si="27"/>
        <v>0</v>
      </c>
      <c r="I16" s="870">
        <f t="shared" si="28"/>
        <v>0</v>
      </c>
      <c r="J16" s="870">
        <f t="shared" si="29"/>
        <v>0</v>
      </c>
      <c r="K16" s="870">
        <f t="shared" si="30"/>
        <v>0</v>
      </c>
      <c r="L16" s="870"/>
      <c r="M16" s="870">
        <f t="shared" si="31"/>
        <v>94.527999999999992</v>
      </c>
      <c r="N16" s="923">
        <f t="shared" si="32"/>
        <v>0</v>
      </c>
      <c r="O16" s="871">
        <f t="shared" si="2"/>
        <v>2011.8638992000001</v>
      </c>
      <c r="P16" s="872">
        <f>P6*'1.参数设置'!$E$5</f>
        <v>1742.6158992000001</v>
      </c>
      <c r="Q16" s="872">
        <f>Q6*'1.参数设置'!$E$5</f>
        <v>174.72</v>
      </c>
      <c r="R16" s="872">
        <f>R6*'1.参数设置'!$E$5</f>
        <v>0</v>
      </c>
      <c r="S16" s="872">
        <f>S6*'1.参数设置'!$E$5</f>
        <v>0</v>
      </c>
      <c r="T16" s="872">
        <f>T6*'1.参数设置'!$E$5</f>
        <v>0</v>
      </c>
      <c r="U16" s="872">
        <f>U6*'1.参数设置'!$E$5</f>
        <v>0</v>
      </c>
      <c r="V16" s="872">
        <f>V6*'1.参数设置'!$E$5</f>
        <v>0</v>
      </c>
      <c r="W16" s="872">
        <f>W6*'1.参数设置'!$E$5</f>
        <v>0</v>
      </c>
      <c r="X16" s="872">
        <f>X6*'1.参数设置'!$E$5</f>
        <v>0</v>
      </c>
      <c r="Y16" s="872"/>
      <c r="Z16" s="872">
        <f>Z6*'1.参数设置'!$E$5</f>
        <v>94.527999999999992</v>
      </c>
      <c r="AA16" s="951">
        <f>AA6*'1.参数设置'!$E$5</f>
        <v>0</v>
      </c>
      <c r="AB16" s="952">
        <f t="shared" si="3"/>
        <v>0</v>
      </c>
      <c r="AC16" s="872">
        <f>AC6*'1.参数设置'!$E$5</f>
        <v>0</v>
      </c>
      <c r="AD16" s="872">
        <f>AD6*'1.参数设置'!$E$5</f>
        <v>0</v>
      </c>
      <c r="AE16" s="872">
        <f>AE6*'1.参数设置'!$E$5</f>
        <v>0</v>
      </c>
      <c r="AF16" s="872">
        <f>AF6*'1.参数设置'!$E$5</f>
        <v>0</v>
      </c>
      <c r="AG16" s="872">
        <f>AG6*'1.参数设置'!$E$5</f>
        <v>0</v>
      </c>
      <c r="AH16" s="872">
        <f>AH6*'1.参数设置'!$E$5</f>
        <v>0</v>
      </c>
      <c r="AI16" s="872">
        <f>AI6*'1.参数设置'!$E$5</f>
        <v>0</v>
      </c>
      <c r="AJ16" s="872">
        <f>AJ6*'1.参数设置'!$E$5</f>
        <v>0</v>
      </c>
      <c r="AK16" s="872">
        <f>AK6*'1.参数设置'!$E$5</f>
        <v>0</v>
      </c>
      <c r="AL16" s="872"/>
      <c r="AM16" s="872">
        <f>AM6*'1.参数设置'!$E$5</f>
        <v>0</v>
      </c>
      <c r="AN16" s="951">
        <f>AN6*'1.参数设置'!$E$5</f>
        <v>0</v>
      </c>
      <c r="AO16" s="952">
        <f t="shared" si="4"/>
        <v>0</v>
      </c>
      <c r="AP16" s="872">
        <f>AP6*'1.参数设置'!$E$5</f>
        <v>0</v>
      </c>
      <c r="AQ16" s="872">
        <f>AQ6*'1.参数设置'!$E$5</f>
        <v>0</v>
      </c>
      <c r="AR16" s="872">
        <f>AR6*'1.参数设置'!$E$5</f>
        <v>0</v>
      </c>
      <c r="AS16" s="872">
        <f>AS6*'1.参数设置'!$E$5</f>
        <v>0</v>
      </c>
      <c r="AT16" s="872">
        <f>AT6*'1.参数设置'!$E$5</f>
        <v>0</v>
      </c>
      <c r="AU16" s="872">
        <f>AU6*'1.参数设置'!$E$5</f>
        <v>0</v>
      </c>
      <c r="AV16" s="872">
        <f>AV6*'1.参数设置'!$E$5</f>
        <v>0</v>
      </c>
      <c r="AW16" s="872">
        <f>AW6*'1.参数设置'!$E$5</f>
        <v>0</v>
      </c>
      <c r="AX16" s="872">
        <f>AX6*'1.参数设置'!$E$5</f>
        <v>0</v>
      </c>
      <c r="AY16" s="872"/>
      <c r="AZ16" s="872">
        <f>AZ6*'1.参数设置'!$E$5</f>
        <v>0</v>
      </c>
      <c r="BA16" s="951">
        <f>BA6*'1.参数设置'!$E$5</f>
        <v>0</v>
      </c>
      <c r="BB16" s="952">
        <f t="shared" si="5"/>
        <v>0</v>
      </c>
      <c r="BC16" s="872">
        <f>BC6*'1.参数设置'!$E$5</f>
        <v>0</v>
      </c>
      <c r="BD16" s="872">
        <f>BD6*'1.参数设置'!$E$5</f>
        <v>0</v>
      </c>
      <c r="BE16" s="872">
        <f>BE6*'1.参数设置'!$E$5</f>
        <v>0</v>
      </c>
      <c r="BF16" s="872">
        <f>BF6*'1.参数设置'!$E$5</f>
        <v>0</v>
      </c>
      <c r="BG16" s="872">
        <f>BG6*'1.参数设置'!$E$5</f>
        <v>0</v>
      </c>
      <c r="BH16" s="872">
        <f>BH6*'1.参数设置'!$E$5</f>
        <v>0</v>
      </c>
      <c r="BI16" s="872">
        <f>BI6*'1.参数设置'!$E$5</f>
        <v>0</v>
      </c>
      <c r="BJ16" s="872">
        <f>BJ6*'1.参数设置'!$E$5</f>
        <v>0</v>
      </c>
      <c r="BK16" s="872">
        <f>BK6*'1.参数设置'!$E$5</f>
        <v>0</v>
      </c>
      <c r="BL16" s="872"/>
      <c r="BM16" s="872">
        <f>BM6*'1.参数设置'!$E$5</f>
        <v>0</v>
      </c>
      <c r="BN16" s="951">
        <f>BN6*'1.参数设置'!$E$5</f>
        <v>0</v>
      </c>
      <c r="BO16" s="952">
        <f t="shared" si="6"/>
        <v>0</v>
      </c>
      <c r="BP16" s="872">
        <f>BP6*'1.参数设置'!$E$5</f>
        <v>0</v>
      </c>
      <c r="BQ16" s="872">
        <f>BQ6*'1.参数设置'!$E$5</f>
        <v>0</v>
      </c>
      <c r="BR16" s="872">
        <f>BR6*'1.参数设置'!$E$5</f>
        <v>0</v>
      </c>
      <c r="BS16" s="872">
        <f>BS6*'1.参数设置'!$E$5</f>
        <v>0</v>
      </c>
      <c r="BT16" s="872">
        <f>BT6*'1.参数设置'!$E$5</f>
        <v>0</v>
      </c>
      <c r="BU16" s="872">
        <f>BU6*'1.参数设置'!$E$5</f>
        <v>0</v>
      </c>
      <c r="BV16" s="872">
        <f>BV6*'1.参数设置'!$E$5</f>
        <v>0</v>
      </c>
      <c r="BW16" s="872">
        <f>BW6*'1.参数设置'!$E$5</f>
        <v>0</v>
      </c>
      <c r="BX16" s="872">
        <f>BX6*'1.参数设置'!$E$5</f>
        <v>0</v>
      </c>
      <c r="BY16" s="872"/>
      <c r="BZ16" s="872">
        <f>BZ6*'1.参数设置'!$E$5</f>
        <v>0</v>
      </c>
      <c r="CA16" s="951">
        <f>CA6*'1.参数设置'!$E$5</f>
        <v>0</v>
      </c>
      <c r="CB16" s="952">
        <f t="shared" si="7"/>
        <v>0</v>
      </c>
      <c r="CC16" s="872">
        <f>CC6*'1.参数设置'!$E$5</f>
        <v>0</v>
      </c>
      <c r="CD16" s="872">
        <f>CD6*'1.参数设置'!$E$5</f>
        <v>0</v>
      </c>
      <c r="CE16" s="872">
        <f>CE6*'1.参数设置'!$E$5</f>
        <v>0</v>
      </c>
      <c r="CF16" s="872">
        <f>CF6*'1.参数设置'!$E$5</f>
        <v>0</v>
      </c>
      <c r="CG16" s="872">
        <f>CG6*'1.参数设置'!$E$5</f>
        <v>0</v>
      </c>
      <c r="CH16" s="872">
        <f>CH6*'1.参数设置'!$E$5</f>
        <v>0</v>
      </c>
      <c r="CI16" s="872">
        <f>CI6*'1.参数设置'!$E$5</f>
        <v>0</v>
      </c>
      <c r="CJ16" s="872">
        <f>CJ6*'1.参数设置'!$E$5</f>
        <v>0</v>
      </c>
      <c r="CK16" s="872">
        <f>CK6*'1.参数设置'!$E$5</f>
        <v>0</v>
      </c>
      <c r="CL16" s="872"/>
      <c r="CM16" s="872">
        <f>CM6*'1.参数设置'!$E$5</f>
        <v>0</v>
      </c>
      <c r="CN16" s="963">
        <f>CN6*'1.参数设置'!$E$5</f>
        <v>0</v>
      </c>
    </row>
    <row r="17" spans="1:92" ht="18" customHeight="1">
      <c r="A17" s="897" t="s">
        <v>584</v>
      </c>
      <c r="B17" s="870">
        <f t="shared" si="21"/>
        <v>2514.829874</v>
      </c>
      <c r="C17" s="870">
        <f t="shared" si="22"/>
        <v>2178.2698740000001</v>
      </c>
      <c r="D17" s="870">
        <f t="shared" si="33"/>
        <v>218.4</v>
      </c>
      <c r="E17" s="870">
        <f t="shared" si="24"/>
        <v>0</v>
      </c>
      <c r="F17" s="870">
        <f t="shared" si="25"/>
        <v>0</v>
      </c>
      <c r="G17" s="870">
        <f t="shared" si="26"/>
        <v>0</v>
      </c>
      <c r="H17" s="870">
        <f t="shared" si="27"/>
        <v>0</v>
      </c>
      <c r="I17" s="870">
        <f t="shared" si="28"/>
        <v>0</v>
      </c>
      <c r="J17" s="870">
        <f t="shared" si="29"/>
        <v>0</v>
      </c>
      <c r="K17" s="870">
        <f t="shared" si="30"/>
        <v>0</v>
      </c>
      <c r="L17" s="870"/>
      <c r="M17" s="870">
        <f t="shared" si="31"/>
        <v>118.16</v>
      </c>
      <c r="N17" s="923">
        <f t="shared" si="32"/>
        <v>0</v>
      </c>
      <c r="O17" s="871">
        <f t="shared" si="2"/>
        <v>2514.829874</v>
      </c>
      <c r="P17" s="872">
        <f>P6*'1.参数设置'!$C$5</f>
        <v>2178.2698740000001</v>
      </c>
      <c r="Q17" s="872">
        <f>Q6*'1.参数设置'!$C$5</f>
        <v>218.4</v>
      </c>
      <c r="R17" s="872">
        <f>R6*'1.参数设置'!$C$5</f>
        <v>0</v>
      </c>
      <c r="S17" s="872">
        <f>S6*'1.参数设置'!$C$5</f>
        <v>0</v>
      </c>
      <c r="T17" s="872">
        <f>T6*'1.参数设置'!$C$5</f>
        <v>0</v>
      </c>
      <c r="U17" s="872">
        <f>U6*'1.参数设置'!$C$5</f>
        <v>0</v>
      </c>
      <c r="V17" s="872">
        <f>V6*'1.参数设置'!$C$5</f>
        <v>0</v>
      </c>
      <c r="W17" s="872">
        <f>W6*'1.参数设置'!$C$5</f>
        <v>0</v>
      </c>
      <c r="X17" s="872">
        <f>X6*'1.参数设置'!$C$5</f>
        <v>0</v>
      </c>
      <c r="Y17" s="872"/>
      <c r="Z17" s="872">
        <f>Z6*'1.参数设置'!$C$5</f>
        <v>118.16</v>
      </c>
      <c r="AA17" s="951">
        <f>AA6*'1.参数设置'!$C$5</f>
        <v>0</v>
      </c>
      <c r="AB17" s="952">
        <f t="shared" si="3"/>
        <v>0</v>
      </c>
      <c r="AC17" s="872">
        <f>AC6*'1.参数设置'!$C$5</f>
        <v>0</v>
      </c>
      <c r="AD17" s="872">
        <f>AD6*'1.参数设置'!$C$5</f>
        <v>0</v>
      </c>
      <c r="AE17" s="872">
        <f>AE6*'1.参数设置'!$C$5</f>
        <v>0</v>
      </c>
      <c r="AF17" s="872">
        <f>AF6*'1.参数设置'!$C$5</f>
        <v>0</v>
      </c>
      <c r="AG17" s="872">
        <f>AG6*'1.参数设置'!$C$5</f>
        <v>0</v>
      </c>
      <c r="AH17" s="872">
        <f>AH6*'1.参数设置'!$C$5</f>
        <v>0</v>
      </c>
      <c r="AI17" s="872">
        <f>AI6*'1.参数设置'!$C$5</f>
        <v>0</v>
      </c>
      <c r="AJ17" s="872">
        <f>AJ6*'1.参数设置'!$C$5</f>
        <v>0</v>
      </c>
      <c r="AK17" s="872">
        <f>AK6*'1.参数设置'!$C$5</f>
        <v>0</v>
      </c>
      <c r="AL17" s="872"/>
      <c r="AM17" s="872">
        <f>AM6*'1.参数设置'!$C$5</f>
        <v>0</v>
      </c>
      <c r="AN17" s="951">
        <f>AN6*'1.参数设置'!$C$5</f>
        <v>0</v>
      </c>
      <c r="AO17" s="952">
        <f t="shared" si="4"/>
        <v>0</v>
      </c>
      <c r="AP17" s="872">
        <f>AP6*'1.参数设置'!$C$5</f>
        <v>0</v>
      </c>
      <c r="AQ17" s="872">
        <f>AQ6*'1.参数设置'!$C$5</f>
        <v>0</v>
      </c>
      <c r="AR17" s="872">
        <f>AR6*'1.参数设置'!$C$5</f>
        <v>0</v>
      </c>
      <c r="AS17" s="872">
        <f>AS6*'1.参数设置'!$C$5</f>
        <v>0</v>
      </c>
      <c r="AT17" s="872">
        <f>AT6*'1.参数设置'!$C$5</f>
        <v>0</v>
      </c>
      <c r="AU17" s="872">
        <f>AU6*'1.参数设置'!$C$5</f>
        <v>0</v>
      </c>
      <c r="AV17" s="872">
        <f>AV6*'1.参数设置'!$C$5</f>
        <v>0</v>
      </c>
      <c r="AW17" s="872">
        <f>AW6*'1.参数设置'!$C$5</f>
        <v>0</v>
      </c>
      <c r="AX17" s="872">
        <f>AX6*'1.参数设置'!$C$5</f>
        <v>0</v>
      </c>
      <c r="AY17" s="872"/>
      <c r="AZ17" s="872">
        <f>AZ6*'1.参数设置'!$C$5</f>
        <v>0</v>
      </c>
      <c r="BA17" s="951">
        <f>BA6*'1.参数设置'!$C$5</f>
        <v>0</v>
      </c>
      <c r="BB17" s="952">
        <f t="shared" si="5"/>
        <v>0</v>
      </c>
      <c r="BC17" s="872">
        <f>BC6*'1.参数设置'!$C$5</f>
        <v>0</v>
      </c>
      <c r="BD17" s="872">
        <f>BD6*'1.参数设置'!$C$5</f>
        <v>0</v>
      </c>
      <c r="BE17" s="872">
        <f>BE6*'1.参数设置'!$C$5</f>
        <v>0</v>
      </c>
      <c r="BF17" s="872">
        <f>BF6*'1.参数设置'!$C$5</f>
        <v>0</v>
      </c>
      <c r="BG17" s="872">
        <f>BG6*'1.参数设置'!$C$5</f>
        <v>0</v>
      </c>
      <c r="BH17" s="872">
        <f>BH6*'1.参数设置'!$C$5</f>
        <v>0</v>
      </c>
      <c r="BI17" s="872">
        <f>BI6*'1.参数设置'!$C$5</f>
        <v>0</v>
      </c>
      <c r="BJ17" s="872">
        <f>BJ6*'1.参数设置'!$C$5</f>
        <v>0</v>
      </c>
      <c r="BK17" s="872">
        <f>BK6*'1.参数设置'!$C$5</f>
        <v>0</v>
      </c>
      <c r="BL17" s="872"/>
      <c r="BM17" s="872">
        <f>BM6*'1.参数设置'!$C$5</f>
        <v>0</v>
      </c>
      <c r="BN17" s="951">
        <f>BN6*'1.参数设置'!$C$5</f>
        <v>0</v>
      </c>
      <c r="BO17" s="952">
        <f t="shared" si="6"/>
        <v>0</v>
      </c>
      <c r="BP17" s="872">
        <f>BP6*'1.参数设置'!$C$5</f>
        <v>0</v>
      </c>
      <c r="BQ17" s="872">
        <f>BQ6*'1.参数设置'!$C$5</f>
        <v>0</v>
      </c>
      <c r="BR17" s="872">
        <f>BR6*'1.参数设置'!$C$5</f>
        <v>0</v>
      </c>
      <c r="BS17" s="872">
        <f>BS6*'1.参数设置'!$C$5</f>
        <v>0</v>
      </c>
      <c r="BT17" s="872">
        <f>BT6*'1.参数设置'!$C$5</f>
        <v>0</v>
      </c>
      <c r="BU17" s="872">
        <f>BU6*'1.参数设置'!$C$5</f>
        <v>0</v>
      </c>
      <c r="BV17" s="872">
        <f>BV6*'1.参数设置'!$C$5</f>
        <v>0</v>
      </c>
      <c r="BW17" s="872">
        <f>BW6*'1.参数设置'!$C$5</f>
        <v>0</v>
      </c>
      <c r="BX17" s="872">
        <f>BX6*'1.参数设置'!$C$5</f>
        <v>0</v>
      </c>
      <c r="BY17" s="872"/>
      <c r="BZ17" s="872">
        <f>BZ6*'1.参数设置'!$C$5</f>
        <v>0</v>
      </c>
      <c r="CA17" s="951">
        <f>CA6*'1.参数设置'!$C$5</f>
        <v>0</v>
      </c>
      <c r="CB17" s="952">
        <f t="shared" si="7"/>
        <v>0</v>
      </c>
      <c r="CC17" s="872">
        <f>CC6*'1.参数设置'!$C$5</f>
        <v>0</v>
      </c>
      <c r="CD17" s="872">
        <f>CD6*'1.参数设置'!$C$5</f>
        <v>0</v>
      </c>
      <c r="CE17" s="872">
        <f>CE6*'1.参数设置'!$C$5</f>
        <v>0</v>
      </c>
      <c r="CF17" s="872">
        <f>CF6*'1.参数设置'!$C$5</f>
        <v>0</v>
      </c>
      <c r="CG17" s="872">
        <f>CG6*'1.参数设置'!$C$5</f>
        <v>0</v>
      </c>
      <c r="CH17" s="872">
        <f>CH6*'1.参数设置'!$C$5</f>
        <v>0</v>
      </c>
      <c r="CI17" s="872">
        <f>CI6*'1.参数设置'!$C$5</f>
        <v>0</v>
      </c>
      <c r="CJ17" s="872">
        <f>CJ6*'1.参数设置'!$C$5</f>
        <v>0</v>
      </c>
      <c r="CK17" s="872">
        <f>CK6*'1.参数设置'!$C$5</f>
        <v>0</v>
      </c>
      <c r="CL17" s="872"/>
      <c r="CM17" s="872">
        <f>CM6*'1.参数设置'!$C$5</f>
        <v>0</v>
      </c>
      <c r="CN17" s="963">
        <f>CN6*'1.参数设置'!$C$5</f>
        <v>0</v>
      </c>
    </row>
    <row r="18" spans="1:92" ht="18" customHeight="1">
      <c r="A18" s="897" t="s">
        <v>373</v>
      </c>
      <c r="B18" s="870">
        <f t="shared" ca="1" si="21"/>
        <v>901.5</v>
      </c>
      <c r="C18" s="870">
        <f t="shared" ca="1" si="22"/>
        <v>786.4312016661313</v>
      </c>
      <c r="D18" s="870">
        <f t="shared" ca="1" si="33"/>
        <v>61.074823354538523</v>
      </c>
      <c r="E18" s="870">
        <f t="shared" si="24"/>
        <v>0</v>
      </c>
      <c r="F18" s="870">
        <f t="shared" ca="1" si="25"/>
        <v>0</v>
      </c>
      <c r="G18" s="870">
        <f t="shared" ca="1" si="26"/>
        <v>0</v>
      </c>
      <c r="H18" s="870">
        <f t="shared" ca="1" si="27"/>
        <v>0</v>
      </c>
      <c r="I18" s="870">
        <f t="shared" ca="1" si="28"/>
        <v>0</v>
      </c>
      <c r="J18" s="870">
        <f t="shared" ca="1" si="29"/>
        <v>0</v>
      </c>
      <c r="K18" s="870">
        <f t="shared" ca="1" si="30"/>
        <v>0</v>
      </c>
      <c r="L18" s="870">
        <f ca="1">SUM(Y18,AL18,AY18,BL18,BY18,CL18)</f>
        <v>0</v>
      </c>
      <c r="M18" s="870">
        <f t="shared" ca="1" si="31"/>
        <v>53.993974979330268</v>
      </c>
      <c r="N18" s="923">
        <f t="shared" ca="1" si="32"/>
        <v>0</v>
      </c>
      <c r="O18" s="871">
        <f t="shared" ca="1" si="2"/>
        <v>901.5</v>
      </c>
      <c r="P18" s="872">
        <f ca="1">'17.财务费用测算表'!D30</f>
        <v>786.4312016661313</v>
      </c>
      <c r="Q18" s="872">
        <f ca="1">'17.财务费用测算表'!E30</f>
        <v>61.074823354538523</v>
      </c>
      <c r="R18" s="872">
        <f>'17.财务费用测算表'!F30</f>
        <v>0</v>
      </c>
      <c r="S18" s="872">
        <f ca="1">'17.财务费用测算表'!G30</f>
        <v>0</v>
      </c>
      <c r="T18" s="872">
        <f ca="1">'17.财务费用测算表'!H30</f>
        <v>0</v>
      </c>
      <c r="U18" s="872">
        <f ca="1">'17.财务费用测算表'!I30</f>
        <v>0</v>
      </c>
      <c r="V18" s="872">
        <f ca="1">'17.财务费用测算表'!J30</f>
        <v>0</v>
      </c>
      <c r="W18" s="872">
        <f ca="1">'17.财务费用测算表'!K30</f>
        <v>0</v>
      </c>
      <c r="X18" s="872">
        <f ca="1">'17.财务费用测算表'!L30</f>
        <v>0</v>
      </c>
      <c r="Y18" s="872">
        <f ca="1">'17.财务费用测算表'!M30</f>
        <v>0</v>
      </c>
      <c r="Z18" s="872">
        <f ca="1">'17.财务费用测算表'!N30</f>
        <v>53.993974979330268</v>
      </c>
      <c r="AA18" s="951">
        <f ca="1">'17.财务费用测算表'!O30</f>
        <v>0</v>
      </c>
      <c r="AB18" s="952">
        <f t="shared" ca="1" si="3"/>
        <v>0</v>
      </c>
      <c r="AC18" s="872">
        <f ca="1">'17.财务费用测算表'!D31</f>
        <v>0</v>
      </c>
      <c r="AD18" s="872">
        <f ca="1">'17.财务费用测算表'!E31</f>
        <v>0</v>
      </c>
      <c r="AE18" s="872">
        <f>'17.财务费用测算表'!F31</f>
        <v>0</v>
      </c>
      <c r="AF18" s="872">
        <f ca="1">'17.财务费用测算表'!G31</f>
        <v>0</v>
      </c>
      <c r="AG18" s="872">
        <f ca="1">'17.财务费用测算表'!H31</f>
        <v>0</v>
      </c>
      <c r="AH18" s="872">
        <f ca="1">'17.财务费用测算表'!I31</f>
        <v>0</v>
      </c>
      <c r="AI18" s="872">
        <f ca="1">'17.财务费用测算表'!J31</f>
        <v>0</v>
      </c>
      <c r="AJ18" s="872">
        <f ca="1">'17.财务费用测算表'!K31</f>
        <v>0</v>
      </c>
      <c r="AK18" s="872">
        <f ca="1">'17.财务费用测算表'!L31</f>
        <v>0</v>
      </c>
      <c r="AL18" s="872">
        <f ca="1">'17.财务费用测算表'!M31</f>
        <v>0</v>
      </c>
      <c r="AM18" s="872">
        <f ca="1">'17.财务费用测算表'!N31</f>
        <v>0</v>
      </c>
      <c r="AN18" s="951">
        <f ca="1">'17.财务费用测算表'!O31</f>
        <v>0</v>
      </c>
      <c r="AO18" s="952">
        <f t="shared" ca="1" si="4"/>
        <v>0</v>
      </c>
      <c r="AP18" s="872">
        <f ca="1">'17.财务费用测算表'!D32</f>
        <v>0</v>
      </c>
      <c r="AQ18" s="872">
        <f ca="1">'17.财务费用测算表'!E32</f>
        <v>0</v>
      </c>
      <c r="AR18" s="872">
        <f>'17.财务费用测算表'!F32</f>
        <v>0</v>
      </c>
      <c r="AS18" s="872">
        <f ca="1">'17.财务费用测算表'!G32</f>
        <v>0</v>
      </c>
      <c r="AT18" s="872">
        <f ca="1">'17.财务费用测算表'!H32</f>
        <v>0</v>
      </c>
      <c r="AU18" s="872">
        <f ca="1">'17.财务费用测算表'!I32</f>
        <v>0</v>
      </c>
      <c r="AV18" s="872">
        <f ca="1">'17.财务费用测算表'!J32</f>
        <v>0</v>
      </c>
      <c r="AW18" s="872">
        <f ca="1">'17.财务费用测算表'!K32</f>
        <v>0</v>
      </c>
      <c r="AX18" s="872">
        <f ca="1">'17.财务费用测算表'!L32</f>
        <v>0</v>
      </c>
      <c r="AY18" s="872">
        <f ca="1">'17.财务费用测算表'!M32</f>
        <v>0</v>
      </c>
      <c r="AZ18" s="872">
        <f ca="1">'17.财务费用测算表'!N32</f>
        <v>0</v>
      </c>
      <c r="BA18" s="951">
        <f ca="1">'17.财务费用测算表'!O32</f>
        <v>0</v>
      </c>
      <c r="BB18" s="952">
        <f t="shared" ca="1" si="5"/>
        <v>0</v>
      </c>
      <c r="BC18" s="872">
        <f ca="1">'17.财务费用测算表'!D33</f>
        <v>0</v>
      </c>
      <c r="BD18" s="872">
        <f ca="1">'17.财务费用测算表'!E33</f>
        <v>0</v>
      </c>
      <c r="BE18" s="872">
        <f>'17.财务费用测算表'!F33</f>
        <v>0</v>
      </c>
      <c r="BF18" s="872">
        <f ca="1">'17.财务费用测算表'!G33</f>
        <v>0</v>
      </c>
      <c r="BG18" s="872">
        <f ca="1">'17.财务费用测算表'!H33</f>
        <v>0</v>
      </c>
      <c r="BH18" s="872">
        <f ca="1">'17.财务费用测算表'!I33</f>
        <v>0</v>
      </c>
      <c r="BI18" s="872">
        <f ca="1">'17.财务费用测算表'!J33</f>
        <v>0</v>
      </c>
      <c r="BJ18" s="872">
        <f ca="1">'17.财务费用测算表'!K33</f>
        <v>0</v>
      </c>
      <c r="BK18" s="872">
        <f ca="1">'17.财务费用测算表'!L33</f>
        <v>0</v>
      </c>
      <c r="BL18" s="872">
        <f ca="1">'17.财务费用测算表'!M33</f>
        <v>0</v>
      </c>
      <c r="BM18" s="872">
        <f ca="1">'17.财务费用测算表'!N33</f>
        <v>0</v>
      </c>
      <c r="BN18" s="951">
        <f ca="1">'17.财务费用测算表'!O33</f>
        <v>0</v>
      </c>
      <c r="BO18" s="952">
        <f t="shared" ca="1" si="6"/>
        <v>0</v>
      </c>
      <c r="BP18" s="872">
        <f ca="1">'17.财务费用测算表'!D34</f>
        <v>0</v>
      </c>
      <c r="BQ18" s="872">
        <f ca="1">'17.财务费用测算表'!E34</f>
        <v>0</v>
      </c>
      <c r="BR18" s="872">
        <f>'17.财务费用测算表'!F34</f>
        <v>0</v>
      </c>
      <c r="BS18" s="872">
        <f ca="1">'17.财务费用测算表'!G34</f>
        <v>0</v>
      </c>
      <c r="BT18" s="872">
        <f ca="1">'17.财务费用测算表'!H34</f>
        <v>0</v>
      </c>
      <c r="BU18" s="872">
        <f ca="1">'17.财务费用测算表'!I34</f>
        <v>0</v>
      </c>
      <c r="BV18" s="872">
        <f ca="1">'17.财务费用测算表'!J34</f>
        <v>0</v>
      </c>
      <c r="BW18" s="872">
        <f ca="1">'17.财务费用测算表'!K34</f>
        <v>0</v>
      </c>
      <c r="BX18" s="872">
        <f ca="1">'17.财务费用测算表'!L34</f>
        <v>0</v>
      </c>
      <c r="BY18" s="872">
        <f ca="1">'17.财务费用测算表'!M34</f>
        <v>0</v>
      </c>
      <c r="BZ18" s="872">
        <f ca="1">'17.财务费用测算表'!N34</f>
        <v>0</v>
      </c>
      <c r="CA18" s="963">
        <f ca="1">'17.财务费用测算表'!O34</f>
        <v>0</v>
      </c>
      <c r="CB18" s="952">
        <f t="shared" ca="1" si="7"/>
        <v>0</v>
      </c>
      <c r="CC18" s="872">
        <f ca="1">'17.财务费用测算表'!D35</f>
        <v>0</v>
      </c>
      <c r="CD18" s="872">
        <f ca="1">'17.财务费用测算表'!E35</f>
        <v>0</v>
      </c>
      <c r="CE18" s="872">
        <f>'17.财务费用测算表'!F35</f>
        <v>0</v>
      </c>
      <c r="CF18" s="872">
        <f ca="1">'17.财务费用测算表'!G35</f>
        <v>0</v>
      </c>
      <c r="CG18" s="872">
        <f ca="1">'17.财务费用测算表'!H35</f>
        <v>0</v>
      </c>
      <c r="CH18" s="872">
        <f ca="1">'17.财务费用测算表'!I35</f>
        <v>0</v>
      </c>
      <c r="CI18" s="872">
        <f ca="1">'17.财务费用测算表'!J35</f>
        <v>0</v>
      </c>
      <c r="CJ18" s="872">
        <f ca="1">'17.财务费用测算表'!K35</f>
        <v>0</v>
      </c>
      <c r="CK18" s="872">
        <f ca="1">'17.财务费用测算表'!L35</f>
        <v>0</v>
      </c>
      <c r="CL18" s="872">
        <f ca="1">'17.财务费用测算表'!M35</f>
        <v>0</v>
      </c>
      <c r="CM18" s="872">
        <f ca="1">'17.财务费用测算表'!N35</f>
        <v>0</v>
      </c>
      <c r="CN18" s="963">
        <f ca="1">'17.财务费用测算表'!O35</f>
        <v>0</v>
      </c>
    </row>
    <row r="19" spans="1:92" ht="18" customHeight="1">
      <c r="A19" s="897" t="s">
        <v>585</v>
      </c>
      <c r="B19" s="870">
        <f t="shared" ca="1" si="21"/>
        <v>7078.6204612031433</v>
      </c>
      <c r="C19" s="870">
        <f t="shared" ca="1" si="22"/>
        <v>6831.9619439090311</v>
      </c>
      <c r="D19" s="870">
        <f t="shared" ca="1" si="33"/>
        <v>-333.21467788739028</v>
      </c>
      <c r="E19" s="870">
        <f t="shared" ca="1" si="24"/>
        <v>0</v>
      </c>
      <c r="F19" s="870">
        <f t="shared" ca="1" si="25"/>
        <v>0</v>
      </c>
      <c r="G19" s="870">
        <f t="shared" ca="1" si="26"/>
        <v>0</v>
      </c>
      <c r="H19" s="870">
        <f t="shared" ca="1" si="27"/>
        <v>0</v>
      </c>
      <c r="I19" s="870">
        <f t="shared" ca="1" si="28"/>
        <v>0</v>
      </c>
      <c r="J19" s="870">
        <f t="shared" ca="1" si="29"/>
        <v>0</v>
      </c>
      <c r="K19" s="870">
        <f t="shared" ca="1" si="30"/>
        <v>0</v>
      </c>
      <c r="L19" s="870"/>
      <c r="M19" s="870">
        <f t="shared" ca="1" si="31"/>
        <v>579.87319518150287</v>
      </c>
      <c r="N19" s="923">
        <f t="shared" ca="1" si="32"/>
        <v>0</v>
      </c>
      <c r="O19" s="871">
        <f ca="1">'16.所得税计算表'!$D201</f>
        <v>7078.6204612031397</v>
      </c>
      <c r="P19" s="872">
        <f ca="1">'16.所得税计算表'!$D202</f>
        <v>6831.9619439090311</v>
      </c>
      <c r="Q19" s="872">
        <f ca="1">'16.所得税计算表'!$D203</f>
        <v>-333.21467788739028</v>
      </c>
      <c r="R19" s="872">
        <f ca="1">'16.所得税计算表'!$D204</f>
        <v>0</v>
      </c>
      <c r="S19" s="872">
        <f ca="1">'16.所得税计算表'!$D205</f>
        <v>0</v>
      </c>
      <c r="T19" s="872">
        <f ca="1">'16.所得税计算表'!$D206</f>
        <v>0</v>
      </c>
      <c r="U19" s="872">
        <f ca="1">'16.所得税计算表'!$D207</f>
        <v>0</v>
      </c>
      <c r="V19" s="872">
        <f ca="1">'16.所得税计算表'!$D208</f>
        <v>0</v>
      </c>
      <c r="W19" s="872">
        <f ca="1">'16.所得税计算表'!$D209</f>
        <v>0</v>
      </c>
      <c r="X19" s="872">
        <f ca="1">'16.所得税计算表'!$D210</f>
        <v>0</v>
      </c>
      <c r="Y19" s="872"/>
      <c r="Z19" s="872">
        <f ca="1">'16.所得税计算表'!$D212</f>
        <v>579.87319518150287</v>
      </c>
      <c r="AA19" s="951">
        <f ca="1">'16.所得税计算表'!$D213</f>
        <v>0</v>
      </c>
      <c r="AB19" s="952">
        <f ca="1">'16.所得税计算表'!$E201</f>
        <v>0</v>
      </c>
      <c r="AC19" s="959">
        <f ca="1">'16.所得税计算表'!$E202</f>
        <v>0</v>
      </c>
      <c r="AD19" s="872">
        <f ca="1">'16.所得税计算表'!$E203</f>
        <v>0</v>
      </c>
      <c r="AE19" s="872">
        <f ca="1">'16.所得税计算表'!$E204</f>
        <v>0</v>
      </c>
      <c r="AF19" s="872">
        <f ca="1">'16.所得税计算表'!$E205</f>
        <v>0</v>
      </c>
      <c r="AG19" s="872">
        <f ca="1">'16.所得税计算表'!$E206</f>
        <v>0</v>
      </c>
      <c r="AH19" s="872">
        <f ca="1">'16.所得税计算表'!$E207</f>
        <v>0</v>
      </c>
      <c r="AI19" s="872">
        <f ca="1">'16.所得税计算表'!$E208</f>
        <v>0</v>
      </c>
      <c r="AJ19" s="872">
        <f ca="1">'16.所得税计算表'!$E209</f>
        <v>0</v>
      </c>
      <c r="AK19" s="872">
        <f ca="1">'16.所得税计算表'!$E210</f>
        <v>0</v>
      </c>
      <c r="AL19" s="872"/>
      <c r="AM19" s="872">
        <f ca="1">'16.所得税计算表'!$E212</f>
        <v>0</v>
      </c>
      <c r="AN19" s="951">
        <f ca="1">'16.所得税计算表'!$E213</f>
        <v>0</v>
      </c>
      <c r="AO19" s="952">
        <f ca="1">'16.所得税计算表'!$F201</f>
        <v>0</v>
      </c>
      <c r="AP19" s="872">
        <f ca="1">'16.所得税计算表'!$F202</f>
        <v>0</v>
      </c>
      <c r="AQ19" s="872">
        <f ca="1">'16.所得税计算表'!$F203</f>
        <v>0</v>
      </c>
      <c r="AR19" s="872">
        <f ca="1">'16.所得税计算表'!$F204</f>
        <v>0</v>
      </c>
      <c r="AS19" s="872">
        <f ca="1">'16.所得税计算表'!$F205</f>
        <v>0</v>
      </c>
      <c r="AT19" s="872">
        <f ca="1">'16.所得税计算表'!$F206</f>
        <v>0</v>
      </c>
      <c r="AU19" s="872">
        <f ca="1">'16.所得税计算表'!$F207</f>
        <v>0</v>
      </c>
      <c r="AV19" s="872">
        <f ca="1">'16.所得税计算表'!$F208</f>
        <v>0</v>
      </c>
      <c r="AW19" s="872">
        <f ca="1">'16.所得税计算表'!$F209</f>
        <v>0</v>
      </c>
      <c r="AX19" s="872">
        <f ca="1">'16.所得税计算表'!$F210</f>
        <v>0</v>
      </c>
      <c r="AY19" s="872"/>
      <c r="AZ19" s="872">
        <f ca="1">'16.所得税计算表'!$F212</f>
        <v>0</v>
      </c>
      <c r="BA19" s="951">
        <f ca="1">'16.所得税计算表'!$F213</f>
        <v>0</v>
      </c>
      <c r="BB19" s="952">
        <f ca="1">'16.所得税计算表'!$G201</f>
        <v>0</v>
      </c>
      <c r="BC19" s="872">
        <f ca="1">'16.所得税计算表'!$G202</f>
        <v>0</v>
      </c>
      <c r="BD19" s="872">
        <f ca="1">'16.所得税计算表'!$G203</f>
        <v>0</v>
      </c>
      <c r="BE19" s="872">
        <f ca="1">'16.所得税计算表'!$G204</f>
        <v>0</v>
      </c>
      <c r="BF19" s="872">
        <f ca="1">'16.所得税计算表'!$G205</f>
        <v>0</v>
      </c>
      <c r="BG19" s="872">
        <f ca="1">'16.所得税计算表'!$G206</f>
        <v>0</v>
      </c>
      <c r="BH19" s="872">
        <f ca="1">'16.所得税计算表'!$G207</f>
        <v>0</v>
      </c>
      <c r="BI19" s="872">
        <f ca="1">'16.所得税计算表'!$G208</f>
        <v>0</v>
      </c>
      <c r="BJ19" s="872">
        <f ca="1">'16.所得税计算表'!$G209</f>
        <v>0</v>
      </c>
      <c r="BK19" s="872">
        <f ca="1">'16.所得税计算表'!$G210</f>
        <v>0</v>
      </c>
      <c r="BL19" s="872"/>
      <c r="BM19" s="872">
        <f ca="1">'16.所得税计算表'!$G212</f>
        <v>0</v>
      </c>
      <c r="BN19" s="951">
        <f ca="1">'16.所得税计算表'!$G213</f>
        <v>0</v>
      </c>
      <c r="BO19" s="952">
        <f ca="1">'16.所得税计算表'!$H201</f>
        <v>0</v>
      </c>
      <c r="BP19" s="872">
        <f ca="1">'16.所得税计算表'!$H202</f>
        <v>0</v>
      </c>
      <c r="BQ19" s="872">
        <f ca="1">'16.所得税计算表'!$H203</f>
        <v>0</v>
      </c>
      <c r="BR19" s="872">
        <f ca="1">'16.所得税计算表'!$H204</f>
        <v>0</v>
      </c>
      <c r="BS19" s="872">
        <f ca="1">'16.所得税计算表'!$H205</f>
        <v>0</v>
      </c>
      <c r="BT19" s="872">
        <f ca="1">'16.所得税计算表'!$H206</f>
        <v>0</v>
      </c>
      <c r="BU19" s="872">
        <f ca="1">'16.所得税计算表'!$H207</f>
        <v>0</v>
      </c>
      <c r="BV19" s="872">
        <f ca="1">'16.所得税计算表'!$H208</f>
        <v>0</v>
      </c>
      <c r="BW19" s="872">
        <f ca="1">'16.所得税计算表'!$H209</f>
        <v>0</v>
      </c>
      <c r="BX19" s="872">
        <f ca="1">'16.所得税计算表'!$H210</f>
        <v>0</v>
      </c>
      <c r="BY19" s="872"/>
      <c r="BZ19" s="872">
        <f ca="1">'16.所得税计算表'!$H212</f>
        <v>0</v>
      </c>
      <c r="CA19" s="963">
        <f ca="1">'16.所得税计算表'!$H213</f>
        <v>0</v>
      </c>
      <c r="CB19" s="952">
        <f ca="1">'16.所得税计算表'!$I201</f>
        <v>0</v>
      </c>
      <c r="CC19" s="872">
        <f ca="1">'16.所得税计算表'!$I202</f>
        <v>0</v>
      </c>
      <c r="CD19" s="872">
        <f ca="1">'16.所得税计算表'!$I203</f>
        <v>0</v>
      </c>
      <c r="CE19" s="872">
        <f ca="1">'16.所得税计算表'!$I204</f>
        <v>0</v>
      </c>
      <c r="CF19" s="872">
        <f ca="1">'16.所得税计算表'!$I205</f>
        <v>0</v>
      </c>
      <c r="CG19" s="872">
        <f ca="1">'16.所得税计算表'!$I206</f>
        <v>0</v>
      </c>
      <c r="CH19" s="872">
        <f ca="1">'16.所得税计算表'!$I207</f>
        <v>0</v>
      </c>
      <c r="CI19" s="872">
        <f ca="1">'16.所得税计算表'!$I208</f>
        <v>0</v>
      </c>
      <c r="CJ19" s="872">
        <f ca="1">'16.所得税计算表'!$I209</f>
        <v>0</v>
      </c>
      <c r="CK19" s="872">
        <f ca="1">'16.所得税计算表'!$I210</f>
        <v>0</v>
      </c>
      <c r="CL19" s="872"/>
      <c r="CM19" s="872">
        <f ca="1">'16.所得税计算表'!$I212</f>
        <v>0</v>
      </c>
      <c r="CN19" s="963">
        <f ca="1">'16.所得税计算表'!$I213</f>
        <v>0</v>
      </c>
    </row>
    <row r="20" spans="1:92" ht="18" customHeight="1">
      <c r="A20" s="897" t="s">
        <v>230</v>
      </c>
      <c r="B20" s="901">
        <f t="shared" ca="1" si="21"/>
        <v>20731.861383609437</v>
      </c>
      <c r="C20" s="901">
        <f t="shared" ca="1" si="22"/>
        <v>20110.113175562554</v>
      </c>
      <c r="D20" s="901">
        <f t="shared" ca="1" si="33"/>
        <v>-1102.0594979695686</v>
      </c>
      <c r="E20" s="901">
        <f t="shared" ca="1" si="24"/>
        <v>0</v>
      </c>
      <c r="F20" s="901">
        <f t="shared" ca="1" si="25"/>
        <v>0</v>
      </c>
      <c r="G20" s="901">
        <f t="shared" ca="1" si="26"/>
        <v>0</v>
      </c>
      <c r="H20" s="901">
        <f t="shared" ca="1" si="27"/>
        <v>0</v>
      </c>
      <c r="I20" s="901">
        <f t="shared" ca="1" si="28"/>
        <v>0</v>
      </c>
      <c r="J20" s="901">
        <f t="shared" ca="1" si="29"/>
        <v>0</v>
      </c>
      <c r="K20" s="901">
        <f t="shared" ca="1" si="30"/>
        <v>0</v>
      </c>
      <c r="L20" s="901">
        <f>SUM(Y20,AL20,AY20,BL20,BY20,CL20)</f>
        <v>0</v>
      </c>
      <c r="M20" s="901">
        <f t="shared" ca="1" si="31"/>
        <v>1723.8077060164524</v>
      </c>
      <c r="N20" s="932">
        <f t="shared" ca="1" si="32"/>
        <v>0</v>
      </c>
      <c r="O20" s="933">
        <f ca="1">SUM(P20:AA20)</f>
        <v>20731.861383609437</v>
      </c>
      <c r="P20" s="934">
        <f ca="1">P9-P10-P15-P16-P17-P19-P13-P14-P18</f>
        <v>20110.113175562554</v>
      </c>
      <c r="Q20" s="934">
        <f t="shared" ref="Q20:AA20" ca="1" si="34">Q9-Q10-Q15-Q16-Q17-Q19-Q13-Q14-Q18</f>
        <v>-1102.0594979695686</v>
      </c>
      <c r="R20" s="934">
        <f t="shared" ca="1" si="34"/>
        <v>0</v>
      </c>
      <c r="S20" s="934">
        <f t="shared" ca="1" si="34"/>
        <v>0</v>
      </c>
      <c r="T20" s="934">
        <f t="shared" ca="1" si="34"/>
        <v>0</v>
      </c>
      <c r="U20" s="934">
        <f t="shared" ca="1" si="34"/>
        <v>0</v>
      </c>
      <c r="V20" s="934">
        <f t="shared" ca="1" si="34"/>
        <v>0</v>
      </c>
      <c r="W20" s="934">
        <f t="shared" ca="1" si="34"/>
        <v>0</v>
      </c>
      <c r="X20" s="934">
        <f t="shared" ca="1" si="34"/>
        <v>0</v>
      </c>
      <c r="Y20" s="934">
        <f>-Y11</f>
        <v>0</v>
      </c>
      <c r="Z20" s="934">
        <f t="shared" ca="1" si="34"/>
        <v>1723.8077060164524</v>
      </c>
      <c r="AA20" s="960">
        <f t="shared" ca="1" si="34"/>
        <v>0</v>
      </c>
      <c r="AB20" s="933">
        <f ca="1">SUM(AC20:AN20)</f>
        <v>0</v>
      </c>
      <c r="AC20" s="934">
        <f ca="1">AC9-AC10-AC15-AC16-AC17-AC19-AC13-AC14-AC18</f>
        <v>0</v>
      </c>
      <c r="AD20" s="934">
        <f t="shared" ref="AD20:AN20" ca="1" si="35">AD9-AD10-AD15-AD16-AD17-AD19-AD13-AD14-AD18</f>
        <v>0</v>
      </c>
      <c r="AE20" s="934">
        <f t="shared" ca="1" si="35"/>
        <v>0</v>
      </c>
      <c r="AF20" s="934">
        <f t="shared" ca="1" si="35"/>
        <v>0</v>
      </c>
      <c r="AG20" s="934">
        <f t="shared" ca="1" si="35"/>
        <v>0</v>
      </c>
      <c r="AH20" s="934">
        <f t="shared" ca="1" si="35"/>
        <v>0</v>
      </c>
      <c r="AI20" s="934">
        <f t="shared" ca="1" si="35"/>
        <v>0</v>
      </c>
      <c r="AJ20" s="934">
        <f t="shared" ca="1" si="35"/>
        <v>0</v>
      </c>
      <c r="AK20" s="934">
        <f t="shared" ca="1" si="35"/>
        <v>0</v>
      </c>
      <c r="AL20" s="934">
        <f>-AL11</f>
        <v>0</v>
      </c>
      <c r="AM20" s="934">
        <f t="shared" ca="1" si="35"/>
        <v>0</v>
      </c>
      <c r="AN20" s="960">
        <f t="shared" ca="1" si="35"/>
        <v>0</v>
      </c>
      <c r="AO20" s="933">
        <f ca="1">SUM(AP20:BA20)</f>
        <v>0</v>
      </c>
      <c r="AP20" s="934">
        <f t="shared" ref="AP20:BA20" ca="1" si="36">AP9-AP10-AP15-AP16-AP17-AP19-AP13-AP14-AP18</f>
        <v>0</v>
      </c>
      <c r="AQ20" s="934">
        <f t="shared" ca="1" si="36"/>
        <v>0</v>
      </c>
      <c r="AR20" s="934">
        <f t="shared" ca="1" si="36"/>
        <v>0</v>
      </c>
      <c r="AS20" s="934">
        <f t="shared" ca="1" si="36"/>
        <v>0</v>
      </c>
      <c r="AT20" s="934">
        <f t="shared" ca="1" si="36"/>
        <v>0</v>
      </c>
      <c r="AU20" s="934">
        <f t="shared" ca="1" si="36"/>
        <v>0</v>
      </c>
      <c r="AV20" s="934">
        <f t="shared" ca="1" si="36"/>
        <v>0</v>
      </c>
      <c r="AW20" s="934">
        <f t="shared" ca="1" si="36"/>
        <v>0</v>
      </c>
      <c r="AX20" s="934">
        <f t="shared" ca="1" si="36"/>
        <v>0</v>
      </c>
      <c r="AY20" s="934">
        <f>-AY11</f>
        <v>0</v>
      </c>
      <c r="AZ20" s="934">
        <f t="shared" ca="1" si="36"/>
        <v>0</v>
      </c>
      <c r="BA20" s="960">
        <f t="shared" ca="1" si="36"/>
        <v>0</v>
      </c>
      <c r="BB20" s="933">
        <f ca="1">SUM(BC20:BN20)</f>
        <v>0</v>
      </c>
      <c r="BC20" s="934">
        <f ca="1">BC9-BC10-BC15-BC16-BC17-BC19-BC13-BC14-BC18</f>
        <v>0</v>
      </c>
      <c r="BD20" s="934">
        <f t="shared" ref="BD20:BN20" ca="1" si="37">BD9-BD10-BD15-BD16-BD17-BD19-BD13-BD14-BD18</f>
        <v>0</v>
      </c>
      <c r="BE20" s="934">
        <f t="shared" ca="1" si="37"/>
        <v>0</v>
      </c>
      <c r="BF20" s="934">
        <f t="shared" ca="1" si="37"/>
        <v>0</v>
      </c>
      <c r="BG20" s="934">
        <f t="shared" ca="1" si="37"/>
        <v>0</v>
      </c>
      <c r="BH20" s="934">
        <f t="shared" ca="1" si="37"/>
        <v>0</v>
      </c>
      <c r="BI20" s="934">
        <f t="shared" ca="1" si="37"/>
        <v>0</v>
      </c>
      <c r="BJ20" s="934">
        <f t="shared" ca="1" si="37"/>
        <v>0</v>
      </c>
      <c r="BK20" s="934">
        <f t="shared" ca="1" si="37"/>
        <v>0</v>
      </c>
      <c r="BL20" s="934">
        <f>-BL11</f>
        <v>0</v>
      </c>
      <c r="BM20" s="934">
        <f t="shared" ca="1" si="37"/>
        <v>0</v>
      </c>
      <c r="BN20" s="960">
        <f t="shared" ca="1" si="37"/>
        <v>0</v>
      </c>
      <c r="BO20" s="933">
        <f ca="1">SUM(BP20:CA20)</f>
        <v>0</v>
      </c>
      <c r="BP20" s="934">
        <f t="shared" ref="BP20:CA20" ca="1" si="38">BP9-BP10-BP15-BP16-BP17-BP19-BP13-BP14-BP18</f>
        <v>0</v>
      </c>
      <c r="BQ20" s="934">
        <f t="shared" ca="1" si="38"/>
        <v>0</v>
      </c>
      <c r="BR20" s="934">
        <f t="shared" ca="1" si="38"/>
        <v>0</v>
      </c>
      <c r="BS20" s="934">
        <f t="shared" ca="1" si="38"/>
        <v>0</v>
      </c>
      <c r="BT20" s="934">
        <f t="shared" ca="1" si="38"/>
        <v>0</v>
      </c>
      <c r="BU20" s="934">
        <f t="shared" ca="1" si="38"/>
        <v>0</v>
      </c>
      <c r="BV20" s="934">
        <f t="shared" ca="1" si="38"/>
        <v>0</v>
      </c>
      <c r="BW20" s="934">
        <f t="shared" ca="1" si="38"/>
        <v>0</v>
      </c>
      <c r="BX20" s="934">
        <f t="shared" ca="1" si="38"/>
        <v>0</v>
      </c>
      <c r="BY20" s="934">
        <f>-BY11</f>
        <v>0</v>
      </c>
      <c r="BZ20" s="934">
        <f t="shared" ca="1" si="38"/>
        <v>0</v>
      </c>
      <c r="CA20" s="960">
        <f t="shared" ca="1" si="38"/>
        <v>0</v>
      </c>
      <c r="CB20" s="933">
        <f ca="1">SUM(CC20:CN20)</f>
        <v>0</v>
      </c>
      <c r="CC20" s="934">
        <f t="shared" ref="CC20:CN20" ca="1" si="39">CC9-CC10-CC15-CC16-CC17-CC19-CC13-CC14-CC18</f>
        <v>0</v>
      </c>
      <c r="CD20" s="934">
        <f t="shared" ca="1" si="39"/>
        <v>0</v>
      </c>
      <c r="CE20" s="934">
        <f t="shared" ca="1" si="39"/>
        <v>0</v>
      </c>
      <c r="CF20" s="934">
        <f t="shared" ca="1" si="39"/>
        <v>0</v>
      </c>
      <c r="CG20" s="934">
        <f t="shared" ca="1" si="39"/>
        <v>0</v>
      </c>
      <c r="CH20" s="934">
        <f t="shared" ca="1" si="39"/>
        <v>0</v>
      </c>
      <c r="CI20" s="934">
        <f t="shared" ca="1" si="39"/>
        <v>0</v>
      </c>
      <c r="CJ20" s="934">
        <f t="shared" ca="1" si="39"/>
        <v>0</v>
      </c>
      <c r="CK20" s="934">
        <f t="shared" ca="1" si="39"/>
        <v>0</v>
      </c>
      <c r="CL20" s="934">
        <f>-CL11</f>
        <v>0</v>
      </c>
      <c r="CM20" s="934">
        <f t="shared" ca="1" si="39"/>
        <v>0</v>
      </c>
      <c r="CN20" s="974">
        <f t="shared" ca="1" si="39"/>
        <v>0</v>
      </c>
    </row>
    <row r="21" spans="1:92" ht="18" customHeight="1">
      <c r="A21" s="897" t="s">
        <v>13</v>
      </c>
      <c r="B21" s="902">
        <f ca="1">IF(B6=0,0,B20/B6)</f>
        <v>0.20609606238129011</v>
      </c>
      <c r="C21" s="902">
        <f t="shared" ref="C21:AG21" ca="1" si="40">IF(C6=0,0,C20/C6)</f>
        <v>0.23080373804456511</v>
      </c>
      <c r="D21" s="902">
        <f t="shared" ca="1" si="40"/>
        <v>-0.12615149930970337</v>
      </c>
      <c r="E21" s="902">
        <f t="shared" si="40"/>
        <v>0</v>
      </c>
      <c r="F21" s="902">
        <f t="shared" si="40"/>
        <v>0</v>
      </c>
      <c r="G21" s="902">
        <f t="shared" si="40"/>
        <v>0</v>
      </c>
      <c r="H21" s="902">
        <f t="shared" si="40"/>
        <v>0</v>
      </c>
      <c r="I21" s="902">
        <f t="shared" si="40"/>
        <v>0</v>
      </c>
      <c r="J21" s="902">
        <f t="shared" si="40"/>
        <v>0</v>
      </c>
      <c r="K21" s="902">
        <f t="shared" si="40"/>
        <v>0</v>
      </c>
      <c r="L21" s="902">
        <f t="shared" si="40"/>
        <v>0</v>
      </c>
      <c r="M21" s="902">
        <f t="shared" ca="1" si="40"/>
        <v>0.36471896285046812</v>
      </c>
      <c r="N21" s="935">
        <f t="shared" si="40"/>
        <v>0</v>
      </c>
      <c r="O21" s="936">
        <f t="shared" ca="1" si="40"/>
        <v>0.20609606238129011</v>
      </c>
      <c r="P21" s="902">
        <f t="shared" ca="1" si="40"/>
        <v>0.23080373804456511</v>
      </c>
      <c r="Q21" s="902">
        <f t="shared" ca="1" si="40"/>
        <v>-0.12615149930970337</v>
      </c>
      <c r="R21" s="902">
        <f t="shared" si="40"/>
        <v>0</v>
      </c>
      <c r="S21" s="902">
        <f t="shared" si="40"/>
        <v>0</v>
      </c>
      <c r="T21" s="902">
        <f t="shared" si="40"/>
        <v>0</v>
      </c>
      <c r="U21" s="902">
        <f t="shared" si="40"/>
        <v>0</v>
      </c>
      <c r="V21" s="902">
        <f t="shared" si="40"/>
        <v>0</v>
      </c>
      <c r="W21" s="902">
        <f t="shared" si="40"/>
        <v>0</v>
      </c>
      <c r="X21" s="902">
        <f t="shared" si="40"/>
        <v>0</v>
      </c>
      <c r="Y21" s="902">
        <f t="shared" si="40"/>
        <v>0</v>
      </c>
      <c r="Z21" s="902">
        <f t="shared" ca="1" si="40"/>
        <v>0.36471896285046812</v>
      </c>
      <c r="AA21" s="935">
        <f t="shared" si="40"/>
        <v>0</v>
      </c>
      <c r="AB21" s="936">
        <f t="shared" si="40"/>
        <v>0</v>
      </c>
      <c r="AC21" s="902">
        <f t="shared" si="40"/>
        <v>0</v>
      </c>
      <c r="AD21" s="902">
        <f t="shared" si="40"/>
        <v>0</v>
      </c>
      <c r="AE21" s="902">
        <f t="shared" si="40"/>
        <v>0</v>
      </c>
      <c r="AF21" s="902">
        <f t="shared" si="40"/>
        <v>0</v>
      </c>
      <c r="AG21" s="902">
        <f t="shared" si="40"/>
        <v>0</v>
      </c>
      <c r="AH21" s="902">
        <f t="shared" ref="AH21:BM21" si="41">IF(AH6=0,0,AH20/AH6)</f>
        <v>0</v>
      </c>
      <c r="AI21" s="902">
        <f t="shared" si="41"/>
        <v>0</v>
      </c>
      <c r="AJ21" s="902">
        <f t="shared" si="41"/>
        <v>0</v>
      </c>
      <c r="AK21" s="902">
        <f t="shared" si="41"/>
        <v>0</v>
      </c>
      <c r="AL21" s="902">
        <f t="shared" si="41"/>
        <v>0</v>
      </c>
      <c r="AM21" s="902">
        <f t="shared" si="41"/>
        <v>0</v>
      </c>
      <c r="AN21" s="935">
        <f t="shared" si="41"/>
        <v>0</v>
      </c>
      <c r="AO21" s="936">
        <f t="shared" si="41"/>
        <v>0</v>
      </c>
      <c r="AP21" s="902">
        <f t="shared" si="41"/>
        <v>0</v>
      </c>
      <c r="AQ21" s="902">
        <f t="shared" si="41"/>
        <v>0</v>
      </c>
      <c r="AR21" s="902">
        <f t="shared" si="41"/>
        <v>0</v>
      </c>
      <c r="AS21" s="902">
        <f t="shared" si="41"/>
        <v>0</v>
      </c>
      <c r="AT21" s="902">
        <f t="shared" si="41"/>
        <v>0</v>
      </c>
      <c r="AU21" s="902">
        <f t="shared" si="41"/>
        <v>0</v>
      </c>
      <c r="AV21" s="902">
        <f t="shared" si="41"/>
        <v>0</v>
      </c>
      <c r="AW21" s="902">
        <f t="shared" si="41"/>
        <v>0</v>
      </c>
      <c r="AX21" s="902">
        <f t="shared" si="41"/>
        <v>0</v>
      </c>
      <c r="AY21" s="902">
        <f t="shared" si="41"/>
        <v>0</v>
      </c>
      <c r="AZ21" s="902">
        <f t="shared" si="41"/>
        <v>0</v>
      </c>
      <c r="BA21" s="935">
        <f t="shared" si="41"/>
        <v>0</v>
      </c>
      <c r="BB21" s="936">
        <f t="shared" si="41"/>
        <v>0</v>
      </c>
      <c r="BC21" s="902">
        <f t="shared" si="41"/>
        <v>0</v>
      </c>
      <c r="BD21" s="902">
        <f t="shared" si="41"/>
        <v>0</v>
      </c>
      <c r="BE21" s="902">
        <f t="shared" si="41"/>
        <v>0</v>
      </c>
      <c r="BF21" s="902">
        <f t="shared" si="41"/>
        <v>0</v>
      </c>
      <c r="BG21" s="902">
        <f t="shared" si="41"/>
        <v>0</v>
      </c>
      <c r="BH21" s="902">
        <f t="shared" si="41"/>
        <v>0</v>
      </c>
      <c r="BI21" s="902">
        <f t="shared" si="41"/>
        <v>0</v>
      </c>
      <c r="BJ21" s="902">
        <f t="shared" si="41"/>
        <v>0</v>
      </c>
      <c r="BK21" s="902">
        <f t="shared" si="41"/>
        <v>0</v>
      </c>
      <c r="BL21" s="902">
        <f t="shared" si="41"/>
        <v>0</v>
      </c>
      <c r="BM21" s="902">
        <f t="shared" si="41"/>
        <v>0</v>
      </c>
      <c r="BN21" s="935">
        <f t="shared" ref="BN21:CN21" si="42">IF(BN6=0,0,BN20/BN6)</f>
        <v>0</v>
      </c>
      <c r="BO21" s="936">
        <f t="shared" si="42"/>
        <v>0</v>
      </c>
      <c r="BP21" s="902">
        <f t="shared" si="42"/>
        <v>0</v>
      </c>
      <c r="BQ21" s="902">
        <f t="shared" si="42"/>
        <v>0</v>
      </c>
      <c r="BR21" s="902">
        <f t="shared" si="42"/>
        <v>0</v>
      </c>
      <c r="BS21" s="902">
        <f t="shared" si="42"/>
        <v>0</v>
      </c>
      <c r="BT21" s="902">
        <f t="shared" si="42"/>
        <v>0</v>
      </c>
      <c r="BU21" s="902">
        <f t="shared" si="42"/>
        <v>0</v>
      </c>
      <c r="BV21" s="902">
        <f t="shared" si="42"/>
        <v>0</v>
      </c>
      <c r="BW21" s="902">
        <f t="shared" si="42"/>
        <v>0</v>
      </c>
      <c r="BX21" s="902">
        <f t="shared" si="42"/>
        <v>0</v>
      </c>
      <c r="BY21" s="902">
        <f t="shared" si="42"/>
        <v>0</v>
      </c>
      <c r="BZ21" s="902">
        <f t="shared" si="42"/>
        <v>0</v>
      </c>
      <c r="CA21" s="968">
        <f t="shared" si="42"/>
        <v>0</v>
      </c>
      <c r="CB21" s="936">
        <f t="shared" si="42"/>
        <v>0</v>
      </c>
      <c r="CC21" s="902">
        <f t="shared" si="42"/>
        <v>0</v>
      </c>
      <c r="CD21" s="902">
        <f t="shared" si="42"/>
        <v>0</v>
      </c>
      <c r="CE21" s="902">
        <f t="shared" si="42"/>
        <v>0</v>
      </c>
      <c r="CF21" s="902">
        <f t="shared" si="42"/>
        <v>0</v>
      </c>
      <c r="CG21" s="902">
        <f t="shared" si="42"/>
        <v>0</v>
      </c>
      <c r="CH21" s="902">
        <f t="shared" si="42"/>
        <v>0</v>
      </c>
      <c r="CI21" s="902">
        <f t="shared" si="42"/>
        <v>0</v>
      </c>
      <c r="CJ21" s="902">
        <f t="shared" si="42"/>
        <v>0</v>
      </c>
      <c r="CK21" s="902">
        <f t="shared" si="42"/>
        <v>0</v>
      </c>
      <c r="CL21" s="902">
        <f t="shared" si="42"/>
        <v>0</v>
      </c>
      <c r="CM21" s="902">
        <f t="shared" si="42"/>
        <v>0</v>
      </c>
      <c r="CN21" s="968">
        <f t="shared" si="42"/>
        <v>0</v>
      </c>
    </row>
    <row r="22" spans="1:92" ht="18" customHeight="1">
      <c r="A22" s="897" t="s">
        <v>664</v>
      </c>
      <c r="B22" s="870">
        <f ca="1">SUM(O22,AB22,AO22,BB22,BO22,CB22)</f>
        <v>0</v>
      </c>
      <c r="C22" s="903">
        <f t="shared" ref="C22:N23" si="43">SUM(P22,AC22,AP22,BC22,BP22,CC22)</f>
        <v>0</v>
      </c>
      <c r="D22" s="903">
        <f t="shared" si="43"/>
        <v>0</v>
      </c>
      <c r="E22" s="903">
        <f t="shared" si="43"/>
        <v>0</v>
      </c>
      <c r="F22" s="903">
        <f t="shared" si="43"/>
        <v>0</v>
      </c>
      <c r="G22" s="903">
        <f t="shared" si="43"/>
        <v>0</v>
      </c>
      <c r="H22" s="903">
        <f t="shared" si="43"/>
        <v>0</v>
      </c>
      <c r="I22" s="903">
        <f t="shared" si="43"/>
        <v>0</v>
      </c>
      <c r="J22" s="903">
        <f t="shared" si="43"/>
        <v>0</v>
      </c>
      <c r="K22" s="903">
        <f t="shared" si="43"/>
        <v>0</v>
      </c>
      <c r="L22" s="903">
        <f t="shared" si="43"/>
        <v>0</v>
      </c>
      <c r="M22" s="903">
        <f t="shared" si="43"/>
        <v>0</v>
      </c>
      <c r="N22" s="937">
        <f t="shared" si="43"/>
        <v>0</v>
      </c>
      <c r="O22" s="871">
        <f ca="1">IF(('15.土地增值税'!$C$21-'15.土地增值税'!$C$20)&lt;0,'15.土地增值税'!C21-'15.土地增值税'!C20,0)</f>
        <v>0</v>
      </c>
      <c r="P22" s="938"/>
      <c r="Q22" s="938"/>
      <c r="R22" s="938"/>
      <c r="S22" s="938"/>
      <c r="T22" s="938"/>
      <c r="U22" s="938"/>
      <c r="V22" s="938"/>
      <c r="W22" s="938"/>
      <c r="X22" s="938"/>
      <c r="Y22" s="938"/>
      <c r="Z22" s="938"/>
      <c r="AA22" s="961"/>
      <c r="AB22" s="952">
        <f ca="1">IF(('15.土地增值税'!$C$39-'15.土地增值税'!$C$38)&lt;0,'15.土地增值税'!P39-'15.土地增值税'!P38,0)</f>
        <v>0</v>
      </c>
      <c r="AC22" s="938"/>
      <c r="AD22" s="938"/>
      <c r="AE22" s="938"/>
      <c r="AF22" s="938"/>
      <c r="AG22" s="938"/>
      <c r="AH22" s="938"/>
      <c r="AI22" s="938"/>
      <c r="AJ22" s="938"/>
      <c r="AK22" s="938"/>
      <c r="AL22" s="938"/>
      <c r="AM22" s="938"/>
      <c r="AN22" s="961"/>
      <c r="AO22" s="952">
        <f ca="1">IF(('15.土地增值税'!$C$57-'15.土地增值税'!$C$56)&lt;0,'15.土地增值税'!AC57-'15.土地增值税'!AC56,0)</f>
        <v>0</v>
      </c>
      <c r="AP22" s="938"/>
      <c r="AQ22" s="938"/>
      <c r="AR22" s="938"/>
      <c r="AS22" s="938"/>
      <c r="AT22" s="938"/>
      <c r="AU22" s="938"/>
      <c r="AV22" s="938"/>
      <c r="AW22" s="938"/>
      <c r="AX22" s="938"/>
      <c r="AY22" s="938"/>
      <c r="AZ22" s="938"/>
      <c r="BA22" s="961"/>
      <c r="BB22" s="952">
        <f ca="1">IF(('15.土地增值税'!$C$75-'15.土地增值税'!$C$74)&lt;0,'15.土地增值税'!AP75-'15.土地增值税'!AP74,0)</f>
        <v>0</v>
      </c>
      <c r="BC22" s="938"/>
      <c r="BD22" s="938"/>
      <c r="BE22" s="938"/>
      <c r="BF22" s="938"/>
      <c r="BG22" s="938"/>
      <c r="BH22" s="938"/>
      <c r="BI22" s="938"/>
      <c r="BJ22" s="938"/>
      <c r="BK22" s="938"/>
      <c r="BL22" s="938"/>
      <c r="BM22" s="938"/>
      <c r="BN22" s="961"/>
      <c r="BO22" s="952">
        <f ca="1">IF(('15.土地增值税'!$C$93-'15.土地增值税'!$C$92)&lt;0,'15.土地增值税'!BC93-'15.土地增值税'!BC92,0)</f>
        <v>0</v>
      </c>
      <c r="BP22" s="938"/>
      <c r="BQ22" s="938"/>
      <c r="BR22" s="938"/>
      <c r="BS22" s="938"/>
      <c r="BT22" s="938"/>
      <c r="BU22" s="938"/>
      <c r="BV22" s="938"/>
      <c r="BW22" s="938"/>
      <c r="BX22" s="938"/>
      <c r="BY22" s="938"/>
      <c r="BZ22" s="938"/>
      <c r="CA22" s="961"/>
      <c r="CB22" s="952">
        <f ca="1">IF(('15.土地增值税'!$C$111-'15.土地增值税'!$C$110)&lt;0,'15.土地增值税'!BP111-'15.土地增值税'!BP110,0)</f>
        <v>0</v>
      </c>
      <c r="CC22" s="938"/>
      <c r="CD22" s="938"/>
      <c r="CE22" s="938"/>
      <c r="CF22" s="938"/>
      <c r="CG22" s="938"/>
      <c r="CH22" s="938"/>
      <c r="CI22" s="938"/>
      <c r="CJ22" s="938"/>
      <c r="CK22" s="938"/>
      <c r="CL22" s="938"/>
      <c r="CM22" s="938"/>
      <c r="CN22" s="961"/>
    </row>
    <row r="23" spans="1:92" ht="18" customHeight="1">
      <c r="A23" s="897" t="s">
        <v>297</v>
      </c>
      <c r="B23" s="870">
        <f>SUM(O23,AB23,AO23,BB23,BO23,CB23)</f>
        <v>0</v>
      </c>
      <c r="C23" s="903">
        <f t="shared" si="43"/>
        <v>0</v>
      </c>
      <c r="D23" s="903">
        <f t="shared" si="43"/>
        <v>0</v>
      </c>
      <c r="E23" s="903">
        <f t="shared" si="43"/>
        <v>0</v>
      </c>
      <c r="F23" s="903">
        <f t="shared" si="43"/>
        <v>0</v>
      </c>
      <c r="G23" s="903">
        <f t="shared" si="43"/>
        <v>0</v>
      </c>
      <c r="H23" s="903">
        <f t="shared" si="43"/>
        <v>0</v>
      </c>
      <c r="I23" s="903">
        <f t="shared" si="43"/>
        <v>0</v>
      </c>
      <c r="J23" s="903">
        <f t="shared" si="43"/>
        <v>0</v>
      </c>
      <c r="K23" s="903">
        <f t="shared" si="43"/>
        <v>0</v>
      </c>
      <c r="L23" s="903">
        <f t="shared" si="43"/>
        <v>0</v>
      </c>
      <c r="M23" s="903">
        <f t="shared" si="43"/>
        <v>0</v>
      </c>
      <c r="N23" s="937">
        <f t="shared" si="43"/>
        <v>0</v>
      </c>
      <c r="O23" s="871">
        <f>IF('14.增值税计算表'!D21&lt;0,'14.增值税计算表'!D21,0)</f>
        <v>0</v>
      </c>
      <c r="P23" s="938"/>
      <c r="Q23" s="938"/>
      <c r="R23" s="938"/>
      <c r="S23" s="938"/>
      <c r="T23" s="938"/>
      <c r="U23" s="938"/>
      <c r="V23" s="938"/>
      <c r="W23" s="938"/>
      <c r="X23" s="938"/>
      <c r="Y23" s="938"/>
      <c r="Z23" s="938"/>
      <c r="AA23" s="961"/>
      <c r="AB23" s="952">
        <f>IF('14.增值税计算表'!$D22&lt;0,'14.增值税计算表'!$D22,0)</f>
        <v>0</v>
      </c>
      <c r="AC23" s="938"/>
      <c r="AD23" s="938"/>
      <c r="AE23" s="938"/>
      <c r="AF23" s="938"/>
      <c r="AG23" s="938"/>
      <c r="AH23" s="938"/>
      <c r="AI23" s="938"/>
      <c r="AJ23" s="938"/>
      <c r="AK23" s="938"/>
      <c r="AL23" s="938"/>
      <c r="AM23" s="938"/>
      <c r="AN23" s="961"/>
      <c r="AO23" s="952">
        <f>IF('14.增值税计算表'!$D23&lt;0,'14.增值税计算表'!$D23,0)</f>
        <v>0</v>
      </c>
      <c r="AP23" s="938"/>
      <c r="AQ23" s="938"/>
      <c r="AR23" s="938"/>
      <c r="AS23" s="938"/>
      <c r="AT23" s="938"/>
      <c r="AU23" s="938"/>
      <c r="AV23" s="938"/>
      <c r="AW23" s="938"/>
      <c r="AX23" s="938"/>
      <c r="AY23" s="938"/>
      <c r="AZ23" s="938"/>
      <c r="BA23" s="961"/>
      <c r="BB23" s="952">
        <f>IF('14.增值税计算表'!$D24&lt;0,'14.增值税计算表'!$D24,0)</f>
        <v>0</v>
      </c>
      <c r="BC23" s="938"/>
      <c r="BD23" s="938"/>
      <c r="BE23" s="938"/>
      <c r="BF23" s="938"/>
      <c r="BG23" s="938"/>
      <c r="BH23" s="938"/>
      <c r="BI23" s="938"/>
      <c r="BJ23" s="938"/>
      <c r="BK23" s="938"/>
      <c r="BL23" s="938"/>
      <c r="BM23" s="938"/>
      <c r="BN23" s="961"/>
      <c r="BO23" s="952">
        <f>IF('14.增值税计算表'!$D25&lt;0,'14.增值税计算表'!$D25,0)</f>
        <v>0</v>
      </c>
      <c r="BP23" s="938"/>
      <c r="BQ23" s="938"/>
      <c r="BR23" s="938"/>
      <c r="BS23" s="938"/>
      <c r="BT23" s="938"/>
      <c r="BU23" s="938"/>
      <c r="BV23" s="938"/>
      <c r="BW23" s="938"/>
      <c r="BX23" s="938"/>
      <c r="BY23" s="938"/>
      <c r="BZ23" s="938"/>
      <c r="CA23" s="961"/>
      <c r="CB23" s="952">
        <f>IF('14.增值税计算表'!$D26&lt;0,'14.增值税计算表'!$D26,0)</f>
        <v>0</v>
      </c>
      <c r="CC23" s="938"/>
      <c r="CD23" s="938"/>
      <c r="CE23" s="938"/>
      <c r="CF23" s="938"/>
      <c r="CG23" s="938"/>
      <c r="CH23" s="938"/>
      <c r="CI23" s="938"/>
      <c r="CJ23" s="938"/>
      <c r="CK23" s="938"/>
      <c r="CL23" s="938"/>
      <c r="CM23" s="938"/>
      <c r="CN23" s="961"/>
    </row>
    <row r="24" spans="1:92" ht="18" customHeight="1">
      <c r="A24" s="897" t="s">
        <v>665</v>
      </c>
      <c r="B24" s="870">
        <f ca="1">MIN('16.所得税计算表'!AV254,SUM(O24,AB24,AO24,BB24,BO24,CB24))</f>
        <v>0</v>
      </c>
      <c r="C24" s="903"/>
      <c r="D24" s="903"/>
      <c r="E24" s="903"/>
      <c r="F24" s="903"/>
      <c r="G24" s="903"/>
      <c r="H24" s="903"/>
      <c r="I24" s="903"/>
      <c r="J24" s="903"/>
      <c r="K24" s="903"/>
      <c r="L24" s="903"/>
      <c r="M24" s="903"/>
      <c r="N24" s="937"/>
      <c r="O24" s="871">
        <f ca="1">-'16.所得税计算表'!$AW235</f>
        <v>0</v>
      </c>
      <c r="P24" s="938"/>
      <c r="Q24" s="938"/>
      <c r="R24" s="938"/>
      <c r="S24" s="938"/>
      <c r="T24" s="938"/>
      <c r="U24" s="938"/>
      <c r="V24" s="938"/>
      <c r="W24" s="938"/>
      <c r="X24" s="938"/>
      <c r="Y24" s="938"/>
      <c r="Z24" s="938"/>
      <c r="AA24" s="961"/>
      <c r="AB24" s="952">
        <f ca="1">-'16.所得税计算表'!$AW236</f>
        <v>0</v>
      </c>
      <c r="AC24" s="938"/>
      <c r="AD24" s="938"/>
      <c r="AE24" s="938"/>
      <c r="AF24" s="938"/>
      <c r="AG24" s="938"/>
      <c r="AH24" s="938"/>
      <c r="AI24" s="938"/>
      <c r="AJ24" s="938"/>
      <c r="AK24" s="938"/>
      <c r="AL24" s="938"/>
      <c r="AM24" s="938"/>
      <c r="AN24" s="961"/>
      <c r="AO24" s="952">
        <f ca="1">-'16.所得税计算表'!$AW237</f>
        <v>0</v>
      </c>
      <c r="AP24" s="938"/>
      <c r="AQ24" s="938"/>
      <c r="AR24" s="938"/>
      <c r="AS24" s="938"/>
      <c r="AT24" s="938"/>
      <c r="AU24" s="938"/>
      <c r="AV24" s="938"/>
      <c r="AW24" s="938"/>
      <c r="AX24" s="938"/>
      <c r="AY24" s="938"/>
      <c r="AZ24" s="938"/>
      <c r="BA24" s="961"/>
      <c r="BB24" s="952">
        <f ca="1">-'16.所得税计算表'!$AW238</f>
        <v>0</v>
      </c>
      <c r="BC24" s="938"/>
      <c r="BD24" s="938"/>
      <c r="BE24" s="938"/>
      <c r="BF24" s="938"/>
      <c r="BG24" s="938"/>
      <c r="BH24" s="938"/>
      <c r="BI24" s="938"/>
      <c r="BJ24" s="938"/>
      <c r="BK24" s="938"/>
      <c r="BL24" s="938"/>
      <c r="BM24" s="938"/>
      <c r="BN24" s="961"/>
      <c r="BO24" s="952">
        <f ca="1">-'16.所得税计算表'!$AW239</f>
        <v>0</v>
      </c>
      <c r="BP24" s="938"/>
      <c r="BQ24" s="938"/>
      <c r="BR24" s="938"/>
      <c r="BS24" s="938"/>
      <c r="BT24" s="938"/>
      <c r="BU24" s="938"/>
      <c r="BV24" s="938"/>
      <c r="BW24" s="938"/>
      <c r="BX24" s="938"/>
      <c r="BY24" s="938"/>
      <c r="BZ24" s="938"/>
      <c r="CA24" s="969"/>
      <c r="CB24" s="952">
        <f ca="1">-'16.所得税计算表'!$AW240</f>
        <v>0</v>
      </c>
      <c r="CC24" s="938"/>
      <c r="CD24" s="938"/>
      <c r="CE24" s="938"/>
      <c r="CF24" s="938"/>
      <c r="CG24" s="938"/>
      <c r="CH24" s="938"/>
      <c r="CI24" s="938"/>
      <c r="CJ24" s="938"/>
      <c r="CK24" s="938"/>
      <c r="CL24" s="938"/>
      <c r="CM24" s="938"/>
      <c r="CN24" s="969"/>
    </row>
    <row r="25" spans="1:92" ht="18" customHeight="1">
      <c r="A25" s="904" t="s">
        <v>666</v>
      </c>
      <c r="B25" s="901">
        <f ca="1">B20+(B22+B23)*0.75+B24</f>
        <v>20731.861383609437</v>
      </c>
      <c r="C25" s="901"/>
      <c r="D25" s="901"/>
      <c r="E25" s="901"/>
      <c r="F25" s="901"/>
      <c r="G25" s="901"/>
      <c r="H25" s="901"/>
      <c r="I25" s="901"/>
      <c r="J25" s="901"/>
      <c r="K25" s="901"/>
      <c r="L25" s="901"/>
      <c r="M25" s="901"/>
      <c r="N25" s="932"/>
      <c r="O25" s="901">
        <f ca="1">O20+(O22+O23)*0.75+O24</f>
        <v>20731.861383609437</v>
      </c>
      <c r="P25" s="934"/>
      <c r="Q25" s="934"/>
      <c r="R25" s="934"/>
      <c r="S25" s="934"/>
      <c r="T25" s="934"/>
      <c r="U25" s="934"/>
      <c r="V25" s="934"/>
      <c r="W25" s="934"/>
      <c r="X25" s="934"/>
      <c r="Y25" s="934"/>
      <c r="Z25" s="934"/>
      <c r="AA25" s="960"/>
      <c r="AB25" s="901">
        <f ca="1">AB20+(AB22+AB23)*0.75+AB24</f>
        <v>0</v>
      </c>
      <c r="AC25" s="934"/>
      <c r="AD25" s="934"/>
      <c r="AE25" s="934"/>
      <c r="AF25" s="934"/>
      <c r="AG25" s="934"/>
      <c r="AH25" s="934"/>
      <c r="AI25" s="934"/>
      <c r="AJ25" s="934"/>
      <c r="AK25" s="934"/>
      <c r="AL25" s="934"/>
      <c r="AM25" s="934"/>
      <c r="AN25" s="960"/>
      <c r="AO25" s="901">
        <f ca="1">AO20+(AO22+AO23)*0.75+AO24</f>
        <v>0</v>
      </c>
      <c r="AP25" s="934"/>
      <c r="AQ25" s="934"/>
      <c r="AR25" s="934"/>
      <c r="AS25" s="934"/>
      <c r="AT25" s="934"/>
      <c r="AU25" s="934"/>
      <c r="AV25" s="934"/>
      <c r="AW25" s="934"/>
      <c r="AX25" s="934"/>
      <c r="AY25" s="934"/>
      <c r="AZ25" s="934"/>
      <c r="BA25" s="960"/>
      <c r="BB25" s="901">
        <f ca="1">BB20+(BB22+BB23)*0.75+BB24</f>
        <v>0</v>
      </c>
      <c r="BC25" s="934"/>
      <c r="BD25" s="934"/>
      <c r="BE25" s="934"/>
      <c r="BF25" s="934"/>
      <c r="BG25" s="934"/>
      <c r="BH25" s="934"/>
      <c r="BI25" s="934"/>
      <c r="BJ25" s="934"/>
      <c r="BK25" s="934"/>
      <c r="BL25" s="934"/>
      <c r="BM25" s="934"/>
      <c r="BN25" s="960"/>
      <c r="BO25" s="901">
        <f ca="1">BO20+(BO22+BO23)*0.75+BO24</f>
        <v>0</v>
      </c>
      <c r="BP25" s="934"/>
      <c r="BQ25" s="934"/>
      <c r="BR25" s="934"/>
      <c r="BS25" s="934"/>
      <c r="BT25" s="934"/>
      <c r="BU25" s="934"/>
      <c r="BV25" s="934"/>
      <c r="BW25" s="934"/>
      <c r="BX25" s="934"/>
      <c r="BY25" s="934"/>
      <c r="BZ25" s="934"/>
      <c r="CA25" s="960"/>
      <c r="CB25" s="901">
        <f ca="1">CB20+(CB22+CB23)*0.75+CB24</f>
        <v>0</v>
      </c>
      <c r="CC25" s="934"/>
      <c r="CD25" s="934"/>
      <c r="CE25" s="934"/>
      <c r="CF25" s="934"/>
      <c r="CG25" s="934"/>
      <c r="CH25" s="934"/>
      <c r="CI25" s="934"/>
      <c r="CJ25" s="934"/>
      <c r="CK25" s="934"/>
      <c r="CL25" s="934"/>
      <c r="CM25" s="934"/>
      <c r="CN25" s="974"/>
    </row>
    <row r="26" spans="1:92" ht="18" customHeight="1">
      <c r="A26" s="897" t="s">
        <v>210</v>
      </c>
      <c r="B26" s="888">
        <f>IF(B6=0,0,B9/B6)</f>
        <v>0.48653938931451368</v>
      </c>
      <c r="C26" s="888">
        <f>IF(C6=0,0,C9/C6)</f>
        <v>0.53560372646323018</v>
      </c>
      <c r="D26" s="888">
        <f>IF(D6=0,0,D9/D6)</f>
        <v>-6.6771660398972546E-2</v>
      </c>
      <c r="E26" s="888">
        <f t="shared" ref="E26:AG26" si="44">IF(E6=0,0,E9/E6)</f>
        <v>0</v>
      </c>
      <c r="F26" s="888">
        <f t="shared" si="44"/>
        <v>0</v>
      </c>
      <c r="G26" s="888">
        <f t="shared" si="44"/>
        <v>0</v>
      </c>
      <c r="H26" s="888">
        <f t="shared" si="44"/>
        <v>0</v>
      </c>
      <c r="I26" s="888">
        <f t="shared" si="44"/>
        <v>0</v>
      </c>
      <c r="J26" s="888">
        <f t="shared" si="44"/>
        <v>0</v>
      </c>
      <c r="K26" s="888">
        <f t="shared" si="44"/>
        <v>0</v>
      </c>
      <c r="L26" s="888">
        <f t="shared" si="44"/>
        <v>0</v>
      </c>
      <c r="M26" s="888">
        <f t="shared" si="44"/>
        <v>0.60475000000000001</v>
      </c>
      <c r="N26" s="939">
        <f t="shared" si="44"/>
        <v>0</v>
      </c>
      <c r="O26" s="889">
        <f t="shared" si="44"/>
        <v>0.48653938931451368</v>
      </c>
      <c r="P26" s="888">
        <f t="shared" si="44"/>
        <v>0.53560372646323018</v>
      </c>
      <c r="Q26" s="888">
        <f t="shared" si="44"/>
        <v>-6.6771660398972546E-2</v>
      </c>
      <c r="R26" s="888">
        <f t="shared" si="44"/>
        <v>0</v>
      </c>
      <c r="S26" s="888">
        <f t="shared" si="44"/>
        <v>0</v>
      </c>
      <c r="T26" s="888">
        <f t="shared" si="44"/>
        <v>0</v>
      </c>
      <c r="U26" s="888">
        <f t="shared" si="44"/>
        <v>0</v>
      </c>
      <c r="V26" s="888">
        <f t="shared" si="44"/>
        <v>0</v>
      </c>
      <c r="W26" s="888">
        <f t="shared" si="44"/>
        <v>0</v>
      </c>
      <c r="X26" s="888">
        <f t="shared" si="44"/>
        <v>0</v>
      </c>
      <c r="Y26" s="888">
        <f t="shared" si="44"/>
        <v>0</v>
      </c>
      <c r="Z26" s="888">
        <f t="shared" si="44"/>
        <v>0.60475000000000001</v>
      </c>
      <c r="AA26" s="939">
        <f t="shared" si="44"/>
        <v>0</v>
      </c>
      <c r="AB26" s="889">
        <f t="shared" si="44"/>
        <v>0</v>
      </c>
      <c r="AC26" s="888">
        <f t="shared" si="44"/>
        <v>0</v>
      </c>
      <c r="AD26" s="888">
        <f t="shared" si="44"/>
        <v>0</v>
      </c>
      <c r="AE26" s="888">
        <f t="shared" si="44"/>
        <v>0</v>
      </c>
      <c r="AF26" s="888">
        <f t="shared" si="44"/>
        <v>0</v>
      </c>
      <c r="AG26" s="888">
        <f t="shared" si="44"/>
        <v>0</v>
      </c>
      <c r="AH26" s="888">
        <f t="shared" ref="AH26:BM26" si="45">IF(AH6=0,0,AH9/AH6)</f>
        <v>0</v>
      </c>
      <c r="AI26" s="888">
        <f t="shared" si="45"/>
        <v>0</v>
      </c>
      <c r="AJ26" s="888">
        <f t="shared" si="45"/>
        <v>0</v>
      </c>
      <c r="AK26" s="888">
        <f t="shared" si="45"/>
        <v>0</v>
      </c>
      <c r="AL26" s="888">
        <f t="shared" si="45"/>
        <v>0</v>
      </c>
      <c r="AM26" s="888">
        <f t="shared" si="45"/>
        <v>0</v>
      </c>
      <c r="AN26" s="939">
        <f t="shared" si="45"/>
        <v>0</v>
      </c>
      <c r="AO26" s="889">
        <f t="shared" si="45"/>
        <v>0</v>
      </c>
      <c r="AP26" s="888">
        <f t="shared" si="45"/>
        <v>0</v>
      </c>
      <c r="AQ26" s="888">
        <f t="shared" si="45"/>
        <v>0</v>
      </c>
      <c r="AR26" s="888">
        <f t="shared" si="45"/>
        <v>0</v>
      </c>
      <c r="AS26" s="888">
        <f t="shared" si="45"/>
        <v>0</v>
      </c>
      <c r="AT26" s="888">
        <f t="shared" si="45"/>
        <v>0</v>
      </c>
      <c r="AU26" s="888">
        <f t="shared" si="45"/>
        <v>0</v>
      </c>
      <c r="AV26" s="888">
        <f t="shared" si="45"/>
        <v>0</v>
      </c>
      <c r="AW26" s="888">
        <f t="shared" si="45"/>
        <v>0</v>
      </c>
      <c r="AX26" s="888">
        <f t="shared" si="45"/>
        <v>0</v>
      </c>
      <c r="AY26" s="888">
        <f t="shared" si="45"/>
        <v>0</v>
      </c>
      <c r="AZ26" s="888">
        <f t="shared" si="45"/>
        <v>0</v>
      </c>
      <c r="BA26" s="939">
        <f t="shared" si="45"/>
        <v>0</v>
      </c>
      <c r="BB26" s="889">
        <f t="shared" si="45"/>
        <v>0</v>
      </c>
      <c r="BC26" s="888">
        <f t="shared" si="45"/>
        <v>0</v>
      </c>
      <c r="BD26" s="888">
        <f t="shared" si="45"/>
        <v>0</v>
      </c>
      <c r="BE26" s="888">
        <f t="shared" si="45"/>
        <v>0</v>
      </c>
      <c r="BF26" s="888">
        <f t="shared" si="45"/>
        <v>0</v>
      </c>
      <c r="BG26" s="888">
        <f t="shared" si="45"/>
        <v>0</v>
      </c>
      <c r="BH26" s="888">
        <f t="shared" si="45"/>
        <v>0</v>
      </c>
      <c r="BI26" s="888">
        <f t="shared" si="45"/>
        <v>0</v>
      </c>
      <c r="BJ26" s="888">
        <f t="shared" si="45"/>
        <v>0</v>
      </c>
      <c r="BK26" s="888">
        <f t="shared" si="45"/>
        <v>0</v>
      </c>
      <c r="BL26" s="888">
        <f t="shared" si="45"/>
        <v>0</v>
      </c>
      <c r="BM26" s="888">
        <f t="shared" si="45"/>
        <v>0</v>
      </c>
      <c r="BN26" s="939">
        <f t="shared" ref="BN26:CN26" si="46">IF(BN6=0,0,BN9/BN6)</f>
        <v>0</v>
      </c>
      <c r="BO26" s="889">
        <f t="shared" si="46"/>
        <v>0</v>
      </c>
      <c r="BP26" s="888">
        <f t="shared" si="46"/>
        <v>0</v>
      </c>
      <c r="BQ26" s="888">
        <f t="shared" si="46"/>
        <v>0</v>
      </c>
      <c r="BR26" s="888">
        <f t="shared" si="46"/>
        <v>0</v>
      </c>
      <c r="BS26" s="888">
        <f t="shared" si="46"/>
        <v>0</v>
      </c>
      <c r="BT26" s="888">
        <f t="shared" si="46"/>
        <v>0</v>
      </c>
      <c r="BU26" s="888">
        <f t="shared" si="46"/>
        <v>0</v>
      </c>
      <c r="BV26" s="888">
        <f t="shared" si="46"/>
        <v>0</v>
      </c>
      <c r="BW26" s="888">
        <f t="shared" si="46"/>
        <v>0</v>
      </c>
      <c r="BX26" s="888">
        <f t="shared" si="46"/>
        <v>0</v>
      </c>
      <c r="BY26" s="888">
        <f t="shared" si="46"/>
        <v>0</v>
      </c>
      <c r="BZ26" s="888">
        <f t="shared" si="46"/>
        <v>0</v>
      </c>
      <c r="CA26" s="970">
        <f t="shared" si="46"/>
        <v>0</v>
      </c>
      <c r="CB26" s="889">
        <f t="shared" si="46"/>
        <v>0</v>
      </c>
      <c r="CC26" s="888">
        <f t="shared" si="46"/>
        <v>0</v>
      </c>
      <c r="CD26" s="888">
        <f t="shared" si="46"/>
        <v>0</v>
      </c>
      <c r="CE26" s="888">
        <f t="shared" si="46"/>
        <v>0</v>
      </c>
      <c r="CF26" s="888">
        <f t="shared" si="46"/>
        <v>0</v>
      </c>
      <c r="CG26" s="888">
        <f t="shared" si="46"/>
        <v>0</v>
      </c>
      <c r="CH26" s="888">
        <f t="shared" si="46"/>
        <v>0</v>
      </c>
      <c r="CI26" s="888">
        <f t="shared" si="46"/>
        <v>0</v>
      </c>
      <c r="CJ26" s="888">
        <f t="shared" si="46"/>
        <v>0</v>
      </c>
      <c r="CK26" s="888">
        <f t="shared" si="46"/>
        <v>0</v>
      </c>
      <c r="CL26" s="888">
        <f t="shared" si="46"/>
        <v>0</v>
      </c>
      <c r="CM26" s="888">
        <f t="shared" si="46"/>
        <v>0</v>
      </c>
      <c r="CN26" s="970">
        <f t="shared" si="46"/>
        <v>0</v>
      </c>
    </row>
    <row r="27" spans="1:92" ht="18" customHeight="1">
      <c r="A27" s="897" t="s">
        <v>667</v>
      </c>
      <c r="B27" s="888">
        <f t="shared" ref="B27:AG27" si="47">IF(B6=0,0,SUM(B16,B17)/B6)</f>
        <v>4.5000000000000005E-2</v>
      </c>
      <c r="C27" s="888">
        <f t="shared" si="47"/>
        <v>4.5000000000000005E-2</v>
      </c>
      <c r="D27" s="888">
        <f t="shared" si="47"/>
        <v>4.4999999999999998E-2</v>
      </c>
      <c r="E27" s="888">
        <f t="shared" si="47"/>
        <v>0</v>
      </c>
      <c r="F27" s="888">
        <f t="shared" si="47"/>
        <v>0</v>
      </c>
      <c r="G27" s="888">
        <f t="shared" si="47"/>
        <v>0</v>
      </c>
      <c r="H27" s="888">
        <f t="shared" si="47"/>
        <v>0</v>
      </c>
      <c r="I27" s="888">
        <f t="shared" si="47"/>
        <v>0</v>
      </c>
      <c r="J27" s="888">
        <f t="shared" si="47"/>
        <v>0</v>
      </c>
      <c r="K27" s="888">
        <f t="shared" si="47"/>
        <v>0</v>
      </c>
      <c r="L27" s="888">
        <f t="shared" si="47"/>
        <v>0</v>
      </c>
      <c r="M27" s="888">
        <f t="shared" si="47"/>
        <v>4.4999999999999998E-2</v>
      </c>
      <c r="N27" s="939">
        <f t="shared" si="47"/>
        <v>0</v>
      </c>
      <c r="O27" s="889">
        <f t="shared" si="47"/>
        <v>4.5000000000000005E-2</v>
      </c>
      <c r="P27" s="888">
        <f t="shared" si="47"/>
        <v>4.5000000000000005E-2</v>
      </c>
      <c r="Q27" s="888">
        <f t="shared" si="47"/>
        <v>4.4999999999999998E-2</v>
      </c>
      <c r="R27" s="888">
        <f t="shared" si="47"/>
        <v>0</v>
      </c>
      <c r="S27" s="888">
        <f t="shared" si="47"/>
        <v>0</v>
      </c>
      <c r="T27" s="888">
        <f t="shared" si="47"/>
        <v>0</v>
      </c>
      <c r="U27" s="888">
        <f t="shared" si="47"/>
        <v>0</v>
      </c>
      <c r="V27" s="888">
        <f t="shared" si="47"/>
        <v>0</v>
      </c>
      <c r="W27" s="888">
        <f t="shared" si="47"/>
        <v>0</v>
      </c>
      <c r="X27" s="888">
        <f t="shared" si="47"/>
        <v>0</v>
      </c>
      <c r="Y27" s="888">
        <f t="shared" si="47"/>
        <v>0</v>
      </c>
      <c r="Z27" s="888">
        <f t="shared" si="47"/>
        <v>4.4999999999999998E-2</v>
      </c>
      <c r="AA27" s="939">
        <f t="shared" si="47"/>
        <v>0</v>
      </c>
      <c r="AB27" s="889">
        <f t="shared" si="47"/>
        <v>0</v>
      </c>
      <c r="AC27" s="888">
        <f t="shared" si="47"/>
        <v>0</v>
      </c>
      <c r="AD27" s="888">
        <f t="shared" si="47"/>
        <v>0</v>
      </c>
      <c r="AE27" s="888">
        <f t="shared" si="47"/>
        <v>0</v>
      </c>
      <c r="AF27" s="888">
        <f t="shared" si="47"/>
        <v>0</v>
      </c>
      <c r="AG27" s="888">
        <f t="shared" si="47"/>
        <v>0</v>
      </c>
      <c r="AH27" s="888">
        <f t="shared" ref="AH27:BM27" si="48">IF(AH6=0,0,SUM(AH16,AH17)/AH6)</f>
        <v>0</v>
      </c>
      <c r="AI27" s="888">
        <f t="shared" si="48"/>
        <v>0</v>
      </c>
      <c r="AJ27" s="888">
        <f t="shared" si="48"/>
        <v>0</v>
      </c>
      <c r="AK27" s="888">
        <f t="shared" si="48"/>
        <v>0</v>
      </c>
      <c r="AL27" s="888">
        <f t="shared" si="48"/>
        <v>0</v>
      </c>
      <c r="AM27" s="888">
        <f t="shared" si="48"/>
        <v>0</v>
      </c>
      <c r="AN27" s="939">
        <f t="shared" si="48"/>
        <v>0</v>
      </c>
      <c r="AO27" s="889">
        <f t="shared" si="48"/>
        <v>0</v>
      </c>
      <c r="AP27" s="888">
        <f t="shared" si="48"/>
        <v>0</v>
      </c>
      <c r="AQ27" s="888">
        <f t="shared" si="48"/>
        <v>0</v>
      </c>
      <c r="AR27" s="888">
        <f t="shared" si="48"/>
        <v>0</v>
      </c>
      <c r="AS27" s="888">
        <f t="shared" si="48"/>
        <v>0</v>
      </c>
      <c r="AT27" s="888">
        <f t="shared" si="48"/>
        <v>0</v>
      </c>
      <c r="AU27" s="888">
        <f t="shared" si="48"/>
        <v>0</v>
      </c>
      <c r="AV27" s="888">
        <f t="shared" si="48"/>
        <v>0</v>
      </c>
      <c r="AW27" s="888">
        <f t="shared" si="48"/>
        <v>0</v>
      </c>
      <c r="AX27" s="888">
        <f t="shared" si="48"/>
        <v>0</v>
      </c>
      <c r="AY27" s="888">
        <f t="shared" si="48"/>
        <v>0</v>
      </c>
      <c r="AZ27" s="888">
        <f t="shared" si="48"/>
        <v>0</v>
      </c>
      <c r="BA27" s="939">
        <f t="shared" si="48"/>
        <v>0</v>
      </c>
      <c r="BB27" s="889">
        <f t="shared" si="48"/>
        <v>0</v>
      </c>
      <c r="BC27" s="888">
        <f t="shared" si="48"/>
        <v>0</v>
      </c>
      <c r="BD27" s="888">
        <f t="shared" si="48"/>
        <v>0</v>
      </c>
      <c r="BE27" s="888">
        <f t="shared" si="48"/>
        <v>0</v>
      </c>
      <c r="BF27" s="888">
        <f t="shared" si="48"/>
        <v>0</v>
      </c>
      <c r="BG27" s="888">
        <f t="shared" si="48"/>
        <v>0</v>
      </c>
      <c r="BH27" s="888">
        <f t="shared" si="48"/>
        <v>0</v>
      </c>
      <c r="BI27" s="888">
        <f t="shared" si="48"/>
        <v>0</v>
      </c>
      <c r="BJ27" s="888">
        <f t="shared" si="48"/>
        <v>0</v>
      </c>
      <c r="BK27" s="888">
        <f t="shared" si="48"/>
        <v>0</v>
      </c>
      <c r="BL27" s="888">
        <f t="shared" si="48"/>
        <v>0</v>
      </c>
      <c r="BM27" s="888">
        <f t="shared" si="48"/>
        <v>0</v>
      </c>
      <c r="BN27" s="939">
        <f t="shared" ref="BN27:CN27" si="49">IF(BN6=0,0,SUM(BN16,BN17)/BN6)</f>
        <v>0</v>
      </c>
      <c r="BO27" s="889">
        <f t="shared" si="49"/>
        <v>0</v>
      </c>
      <c r="BP27" s="888">
        <f t="shared" si="49"/>
        <v>0</v>
      </c>
      <c r="BQ27" s="888">
        <f t="shared" si="49"/>
        <v>0</v>
      </c>
      <c r="BR27" s="888">
        <f t="shared" si="49"/>
        <v>0</v>
      </c>
      <c r="BS27" s="888">
        <f t="shared" si="49"/>
        <v>0</v>
      </c>
      <c r="BT27" s="888">
        <f t="shared" si="49"/>
        <v>0</v>
      </c>
      <c r="BU27" s="888">
        <f t="shared" si="49"/>
        <v>0</v>
      </c>
      <c r="BV27" s="888">
        <f t="shared" si="49"/>
        <v>0</v>
      </c>
      <c r="BW27" s="888">
        <f t="shared" si="49"/>
        <v>0</v>
      </c>
      <c r="BX27" s="888">
        <f t="shared" si="49"/>
        <v>0</v>
      </c>
      <c r="BY27" s="888">
        <f t="shared" si="49"/>
        <v>0</v>
      </c>
      <c r="BZ27" s="888">
        <f t="shared" si="49"/>
        <v>0</v>
      </c>
      <c r="CA27" s="970">
        <f t="shared" si="49"/>
        <v>0</v>
      </c>
      <c r="CB27" s="889">
        <f t="shared" si="49"/>
        <v>0</v>
      </c>
      <c r="CC27" s="888">
        <f t="shared" si="49"/>
        <v>0</v>
      </c>
      <c r="CD27" s="888">
        <f t="shared" si="49"/>
        <v>0</v>
      </c>
      <c r="CE27" s="888">
        <f t="shared" si="49"/>
        <v>0</v>
      </c>
      <c r="CF27" s="888">
        <f t="shared" si="49"/>
        <v>0</v>
      </c>
      <c r="CG27" s="888">
        <f t="shared" si="49"/>
        <v>0</v>
      </c>
      <c r="CH27" s="888">
        <f t="shared" si="49"/>
        <v>0</v>
      </c>
      <c r="CI27" s="888">
        <f t="shared" si="49"/>
        <v>0</v>
      </c>
      <c r="CJ27" s="888">
        <f t="shared" si="49"/>
        <v>0</v>
      </c>
      <c r="CK27" s="888">
        <f t="shared" si="49"/>
        <v>0</v>
      </c>
      <c r="CL27" s="888">
        <f t="shared" si="49"/>
        <v>0</v>
      </c>
      <c r="CM27" s="888">
        <f t="shared" si="49"/>
        <v>0</v>
      </c>
      <c r="CN27" s="970">
        <f t="shared" si="49"/>
        <v>0</v>
      </c>
    </row>
    <row r="28" spans="1:92" ht="18" customHeight="1">
      <c r="A28" s="897" t="s">
        <v>668</v>
      </c>
      <c r="B28" s="888">
        <f t="shared" ref="B28:Z28" ca="1" si="50">IF(B6=0,0,SUM(B10,B15,B19,B13,B14)/B6)</f>
        <v>0.22648148810944949</v>
      </c>
      <c r="C28" s="888">
        <f t="shared" ca="1" si="50"/>
        <v>0.25077411872440641</v>
      </c>
      <c r="D28" s="888">
        <f t="shared" ca="1" si="50"/>
        <v>7.3886732337003058E-3</v>
      </c>
      <c r="E28" s="888">
        <f t="shared" si="50"/>
        <v>0</v>
      </c>
      <c r="F28" s="888">
        <f t="shared" si="50"/>
        <v>0</v>
      </c>
      <c r="G28" s="888">
        <f t="shared" si="50"/>
        <v>0</v>
      </c>
      <c r="H28" s="888">
        <f t="shared" si="50"/>
        <v>0</v>
      </c>
      <c r="I28" s="888">
        <f t="shared" si="50"/>
        <v>0</v>
      </c>
      <c r="J28" s="888">
        <f t="shared" si="50"/>
        <v>0</v>
      </c>
      <c r="K28" s="888">
        <f t="shared" si="50"/>
        <v>0</v>
      </c>
      <c r="L28" s="888">
        <f t="shared" si="50"/>
        <v>0</v>
      </c>
      <c r="M28" s="888">
        <f t="shared" ca="1" si="50"/>
        <v>0.18360712572025592</v>
      </c>
      <c r="N28" s="939">
        <f t="shared" si="50"/>
        <v>0</v>
      </c>
      <c r="O28" s="889">
        <f t="shared" ca="1" si="50"/>
        <v>0.22648148810944946</v>
      </c>
      <c r="P28" s="888">
        <f t="shared" ca="1" si="50"/>
        <v>0.25077411872440641</v>
      </c>
      <c r="Q28" s="888">
        <f t="shared" ca="1" si="50"/>
        <v>7.3886732337003058E-3</v>
      </c>
      <c r="R28" s="888">
        <f t="shared" si="50"/>
        <v>0</v>
      </c>
      <c r="S28" s="888">
        <f t="shared" si="50"/>
        <v>0</v>
      </c>
      <c r="T28" s="888">
        <f t="shared" si="50"/>
        <v>0</v>
      </c>
      <c r="U28" s="888">
        <f t="shared" si="50"/>
        <v>0</v>
      </c>
      <c r="V28" s="888">
        <f t="shared" si="50"/>
        <v>0</v>
      </c>
      <c r="W28" s="888">
        <f t="shared" si="50"/>
        <v>0</v>
      </c>
      <c r="X28" s="888">
        <f t="shared" si="50"/>
        <v>0</v>
      </c>
      <c r="Y28" s="888">
        <f t="shared" si="50"/>
        <v>0</v>
      </c>
      <c r="Z28" s="888">
        <f t="shared" ca="1" si="50"/>
        <v>0.18360712572025592</v>
      </c>
      <c r="AA28" s="939">
        <f t="shared" ref="AA28:BF28" si="51">IF(AA6=0,0,SUM(AA10,AA15,AA19)/AA6)</f>
        <v>0</v>
      </c>
      <c r="AB28" s="889">
        <f t="shared" si="51"/>
        <v>0</v>
      </c>
      <c r="AC28" s="888">
        <f t="shared" si="51"/>
        <v>0</v>
      </c>
      <c r="AD28" s="888">
        <f t="shared" si="51"/>
        <v>0</v>
      </c>
      <c r="AE28" s="888">
        <f t="shared" si="51"/>
        <v>0</v>
      </c>
      <c r="AF28" s="888">
        <f t="shared" si="51"/>
        <v>0</v>
      </c>
      <c r="AG28" s="888">
        <f t="shared" si="51"/>
        <v>0</v>
      </c>
      <c r="AH28" s="888">
        <f t="shared" si="51"/>
        <v>0</v>
      </c>
      <c r="AI28" s="888">
        <f t="shared" si="51"/>
        <v>0</v>
      </c>
      <c r="AJ28" s="888">
        <f t="shared" si="51"/>
        <v>0</v>
      </c>
      <c r="AK28" s="888">
        <f t="shared" si="51"/>
        <v>0</v>
      </c>
      <c r="AL28" s="888">
        <f t="shared" si="51"/>
        <v>0</v>
      </c>
      <c r="AM28" s="888">
        <f t="shared" si="51"/>
        <v>0</v>
      </c>
      <c r="AN28" s="939">
        <f t="shared" si="51"/>
        <v>0</v>
      </c>
      <c r="AO28" s="889">
        <f t="shared" si="51"/>
        <v>0</v>
      </c>
      <c r="AP28" s="888">
        <f t="shared" si="51"/>
        <v>0</v>
      </c>
      <c r="AQ28" s="888">
        <f t="shared" si="51"/>
        <v>0</v>
      </c>
      <c r="AR28" s="888">
        <f t="shared" si="51"/>
        <v>0</v>
      </c>
      <c r="AS28" s="888">
        <f t="shared" si="51"/>
        <v>0</v>
      </c>
      <c r="AT28" s="888">
        <f t="shared" si="51"/>
        <v>0</v>
      </c>
      <c r="AU28" s="888">
        <f t="shared" si="51"/>
        <v>0</v>
      </c>
      <c r="AV28" s="888">
        <f t="shared" si="51"/>
        <v>0</v>
      </c>
      <c r="AW28" s="888">
        <f t="shared" si="51"/>
        <v>0</v>
      </c>
      <c r="AX28" s="888">
        <f t="shared" si="51"/>
        <v>0</v>
      </c>
      <c r="AY28" s="888">
        <f t="shared" si="51"/>
        <v>0</v>
      </c>
      <c r="AZ28" s="888">
        <f t="shared" si="51"/>
        <v>0</v>
      </c>
      <c r="BA28" s="939">
        <f t="shared" si="51"/>
        <v>0</v>
      </c>
      <c r="BB28" s="889">
        <f t="shared" si="51"/>
        <v>0</v>
      </c>
      <c r="BC28" s="888">
        <f t="shared" si="51"/>
        <v>0</v>
      </c>
      <c r="BD28" s="888">
        <f t="shared" si="51"/>
        <v>0</v>
      </c>
      <c r="BE28" s="888">
        <f t="shared" si="51"/>
        <v>0</v>
      </c>
      <c r="BF28" s="888">
        <f t="shared" si="51"/>
        <v>0</v>
      </c>
      <c r="BG28" s="888">
        <f t="shared" ref="BG28:CN28" si="52">IF(BG6=0,0,SUM(BG10,BG15,BG19)/BG6)</f>
        <v>0</v>
      </c>
      <c r="BH28" s="888">
        <f t="shared" si="52"/>
        <v>0</v>
      </c>
      <c r="BI28" s="888">
        <f t="shared" si="52"/>
        <v>0</v>
      </c>
      <c r="BJ28" s="888">
        <f t="shared" si="52"/>
        <v>0</v>
      </c>
      <c r="BK28" s="888">
        <f t="shared" si="52"/>
        <v>0</v>
      </c>
      <c r="BL28" s="888">
        <f t="shared" si="52"/>
        <v>0</v>
      </c>
      <c r="BM28" s="888">
        <f t="shared" si="52"/>
        <v>0</v>
      </c>
      <c r="BN28" s="939">
        <f t="shared" si="52"/>
        <v>0</v>
      </c>
      <c r="BO28" s="889">
        <f t="shared" si="52"/>
        <v>0</v>
      </c>
      <c r="BP28" s="888">
        <f t="shared" si="52"/>
        <v>0</v>
      </c>
      <c r="BQ28" s="888">
        <f t="shared" si="52"/>
        <v>0</v>
      </c>
      <c r="BR28" s="888">
        <f t="shared" si="52"/>
        <v>0</v>
      </c>
      <c r="BS28" s="888">
        <f t="shared" si="52"/>
        <v>0</v>
      </c>
      <c r="BT28" s="888">
        <f t="shared" si="52"/>
        <v>0</v>
      </c>
      <c r="BU28" s="888">
        <f t="shared" si="52"/>
        <v>0</v>
      </c>
      <c r="BV28" s="888">
        <f t="shared" si="52"/>
        <v>0</v>
      </c>
      <c r="BW28" s="888">
        <f t="shared" si="52"/>
        <v>0</v>
      </c>
      <c r="BX28" s="888">
        <f t="shared" si="52"/>
        <v>0</v>
      </c>
      <c r="BY28" s="888">
        <f t="shared" si="52"/>
        <v>0</v>
      </c>
      <c r="BZ28" s="888">
        <f t="shared" si="52"/>
        <v>0</v>
      </c>
      <c r="CA28" s="970">
        <f t="shared" si="52"/>
        <v>0</v>
      </c>
      <c r="CB28" s="889">
        <f t="shared" si="52"/>
        <v>0</v>
      </c>
      <c r="CC28" s="888">
        <f t="shared" si="52"/>
        <v>0</v>
      </c>
      <c r="CD28" s="888">
        <f t="shared" si="52"/>
        <v>0</v>
      </c>
      <c r="CE28" s="888">
        <f t="shared" si="52"/>
        <v>0</v>
      </c>
      <c r="CF28" s="888">
        <f t="shared" si="52"/>
        <v>0</v>
      </c>
      <c r="CG28" s="888">
        <f t="shared" si="52"/>
        <v>0</v>
      </c>
      <c r="CH28" s="888">
        <f t="shared" si="52"/>
        <v>0</v>
      </c>
      <c r="CI28" s="888">
        <f t="shared" si="52"/>
        <v>0</v>
      </c>
      <c r="CJ28" s="888">
        <f t="shared" si="52"/>
        <v>0</v>
      </c>
      <c r="CK28" s="888">
        <f t="shared" si="52"/>
        <v>0</v>
      </c>
      <c r="CL28" s="888">
        <f t="shared" si="52"/>
        <v>0</v>
      </c>
      <c r="CM28" s="888">
        <f t="shared" si="52"/>
        <v>0</v>
      </c>
      <c r="CN28" s="970">
        <f t="shared" si="52"/>
        <v>0</v>
      </c>
    </row>
    <row r="29" spans="1:92" ht="18" customHeight="1" outlineLevel="1">
      <c r="A29" s="899" t="s">
        <v>669</v>
      </c>
      <c r="B29" s="905">
        <f t="shared" ref="B29:AG29" si="53">IFERROR((B10+B13)/B6,0)</f>
        <v>6.0942830448248247E-2</v>
      </c>
      <c r="C29" s="905">
        <f t="shared" si="53"/>
        <v>6.2566576789731029E-2</v>
      </c>
      <c r="D29" s="905">
        <f t="shared" si="53"/>
        <v>4.5031379035828316E-2</v>
      </c>
      <c r="E29" s="905">
        <f t="shared" si="53"/>
        <v>0</v>
      </c>
      <c r="F29" s="905">
        <f t="shared" si="53"/>
        <v>0</v>
      </c>
      <c r="G29" s="905">
        <f t="shared" si="53"/>
        <v>0</v>
      </c>
      <c r="H29" s="905">
        <f t="shared" si="53"/>
        <v>0</v>
      </c>
      <c r="I29" s="905">
        <f t="shared" si="53"/>
        <v>0</v>
      </c>
      <c r="J29" s="905">
        <f t="shared" si="53"/>
        <v>0</v>
      </c>
      <c r="K29" s="905">
        <f t="shared" si="53"/>
        <v>0</v>
      </c>
      <c r="L29" s="905">
        <f t="shared" si="53"/>
        <v>0</v>
      </c>
      <c r="M29" s="905">
        <f t="shared" si="53"/>
        <v>6.041899200717557E-2</v>
      </c>
      <c r="N29" s="940">
        <f t="shared" si="53"/>
        <v>0</v>
      </c>
      <c r="O29" s="941">
        <f t="shared" si="53"/>
        <v>6.0942830448248247E-2</v>
      </c>
      <c r="P29" s="942">
        <f t="shared" si="53"/>
        <v>6.2566576789731029E-2</v>
      </c>
      <c r="Q29" s="942">
        <f t="shared" si="53"/>
        <v>4.5031379035828316E-2</v>
      </c>
      <c r="R29" s="942">
        <f t="shared" si="53"/>
        <v>0</v>
      </c>
      <c r="S29" s="942">
        <f t="shared" si="53"/>
        <v>0</v>
      </c>
      <c r="T29" s="942">
        <f t="shared" si="53"/>
        <v>0</v>
      </c>
      <c r="U29" s="942">
        <f t="shared" si="53"/>
        <v>0</v>
      </c>
      <c r="V29" s="942">
        <f t="shared" si="53"/>
        <v>0</v>
      </c>
      <c r="W29" s="942">
        <f t="shared" si="53"/>
        <v>0</v>
      </c>
      <c r="X29" s="942">
        <f t="shared" si="53"/>
        <v>0</v>
      </c>
      <c r="Y29" s="942">
        <f t="shared" si="53"/>
        <v>0</v>
      </c>
      <c r="Z29" s="942">
        <f t="shared" si="53"/>
        <v>6.041899200717557E-2</v>
      </c>
      <c r="AA29" s="962">
        <f t="shared" si="53"/>
        <v>0</v>
      </c>
      <c r="AB29" s="941">
        <f t="shared" si="53"/>
        <v>0</v>
      </c>
      <c r="AC29" s="942">
        <f t="shared" si="53"/>
        <v>0</v>
      </c>
      <c r="AD29" s="942">
        <f t="shared" si="53"/>
        <v>0</v>
      </c>
      <c r="AE29" s="942">
        <f t="shared" si="53"/>
        <v>0</v>
      </c>
      <c r="AF29" s="942">
        <f t="shared" si="53"/>
        <v>0</v>
      </c>
      <c r="AG29" s="942">
        <f t="shared" si="53"/>
        <v>0</v>
      </c>
      <c r="AH29" s="942">
        <f t="shared" ref="AH29:BM29" si="54">IFERROR((AH10+AH13)/AH6,0)</f>
        <v>0</v>
      </c>
      <c r="AI29" s="942">
        <f t="shared" si="54"/>
        <v>0</v>
      </c>
      <c r="AJ29" s="942">
        <f t="shared" si="54"/>
        <v>0</v>
      </c>
      <c r="AK29" s="942">
        <f t="shared" si="54"/>
        <v>0</v>
      </c>
      <c r="AL29" s="942">
        <f t="shared" si="54"/>
        <v>0</v>
      </c>
      <c r="AM29" s="942">
        <f t="shared" si="54"/>
        <v>0</v>
      </c>
      <c r="AN29" s="962">
        <f t="shared" si="54"/>
        <v>0</v>
      </c>
      <c r="AO29" s="941">
        <f t="shared" si="54"/>
        <v>0</v>
      </c>
      <c r="AP29" s="942">
        <f t="shared" si="54"/>
        <v>0</v>
      </c>
      <c r="AQ29" s="942">
        <f t="shared" si="54"/>
        <v>0</v>
      </c>
      <c r="AR29" s="942">
        <f t="shared" si="54"/>
        <v>0</v>
      </c>
      <c r="AS29" s="942">
        <f t="shared" si="54"/>
        <v>0</v>
      </c>
      <c r="AT29" s="942">
        <f t="shared" si="54"/>
        <v>0</v>
      </c>
      <c r="AU29" s="942">
        <f t="shared" si="54"/>
        <v>0</v>
      </c>
      <c r="AV29" s="942">
        <f t="shared" si="54"/>
        <v>0</v>
      </c>
      <c r="AW29" s="942">
        <f t="shared" si="54"/>
        <v>0</v>
      </c>
      <c r="AX29" s="942">
        <f t="shared" si="54"/>
        <v>0</v>
      </c>
      <c r="AY29" s="942">
        <f t="shared" si="54"/>
        <v>0</v>
      </c>
      <c r="AZ29" s="942">
        <f t="shared" si="54"/>
        <v>0</v>
      </c>
      <c r="BA29" s="962">
        <f t="shared" si="54"/>
        <v>0</v>
      </c>
      <c r="BB29" s="941">
        <f t="shared" si="54"/>
        <v>0</v>
      </c>
      <c r="BC29" s="942">
        <f t="shared" si="54"/>
        <v>0</v>
      </c>
      <c r="BD29" s="942">
        <f t="shared" si="54"/>
        <v>0</v>
      </c>
      <c r="BE29" s="942">
        <f t="shared" si="54"/>
        <v>0</v>
      </c>
      <c r="BF29" s="942">
        <f t="shared" si="54"/>
        <v>0</v>
      </c>
      <c r="BG29" s="942">
        <f t="shared" si="54"/>
        <v>0</v>
      </c>
      <c r="BH29" s="942">
        <f t="shared" si="54"/>
        <v>0</v>
      </c>
      <c r="BI29" s="942">
        <f t="shared" si="54"/>
        <v>0</v>
      </c>
      <c r="BJ29" s="942">
        <f t="shared" si="54"/>
        <v>0</v>
      </c>
      <c r="BK29" s="942">
        <f t="shared" si="54"/>
        <v>0</v>
      </c>
      <c r="BL29" s="942">
        <f t="shared" si="54"/>
        <v>0</v>
      </c>
      <c r="BM29" s="942">
        <f t="shared" si="54"/>
        <v>0</v>
      </c>
      <c r="BN29" s="962">
        <f t="shared" ref="BN29:CN29" si="55">IFERROR((BN10+BN13)/BN6,0)</f>
        <v>0</v>
      </c>
      <c r="BO29" s="941">
        <f t="shared" si="55"/>
        <v>0</v>
      </c>
      <c r="BP29" s="942">
        <f t="shared" si="55"/>
        <v>0</v>
      </c>
      <c r="BQ29" s="942">
        <f t="shared" si="55"/>
        <v>0</v>
      </c>
      <c r="BR29" s="942">
        <f t="shared" si="55"/>
        <v>0</v>
      </c>
      <c r="BS29" s="942">
        <f t="shared" si="55"/>
        <v>0</v>
      </c>
      <c r="BT29" s="942">
        <f t="shared" si="55"/>
        <v>0</v>
      </c>
      <c r="BU29" s="942">
        <f t="shared" si="55"/>
        <v>0</v>
      </c>
      <c r="BV29" s="942">
        <f t="shared" si="55"/>
        <v>0</v>
      </c>
      <c r="BW29" s="942">
        <f t="shared" si="55"/>
        <v>0</v>
      </c>
      <c r="BX29" s="942">
        <f t="shared" si="55"/>
        <v>0</v>
      </c>
      <c r="BY29" s="942">
        <f t="shared" si="55"/>
        <v>0</v>
      </c>
      <c r="BZ29" s="942">
        <f t="shared" si="55"/>
        <v>0</v>
      </c>
      <c r="CA29" s="971">
        <f t="shared" si="55"/>
        <v>0</v>
      </c>
      <c r="CB29" s="941">
        <f t="shared" si="55"/>
        <v>0</v>
      </c>
      <c r="CC29" s="942">
        <f t="shared" si="55"/>
        <v>0</v>
      </c>
      <c r="CD29" s="942">
        <f t="shared" si="55"/>
        <v>0</v>
      </c>
      <c r="CE29" s="942">
        <f t="shared" si="55"/>
        <v>0</v>
      </c>
      <c r="CF29" s="942">
        <f t="shared" si="55"/>
        <v>0</v>
      </c>
      <c r="CG29" s="942">
        <f t="shared" si="55"/>
        <v>0</v>
      </c>
      <c r="CH29" s="942">
        <f t="shared" si="55"/>
        <v>0</v>
      </c>
      <c r="CI29" s="942">
        <f t="shared" si="55"/>
        <v>0</v>
      </c>
      <c r="CJ29" s="942">
        <f t="shared" si="55"/>
        <v>0</v>
      </c>
      <c r="CK29" s="942">
        <f t="shared" si="55"/>
        <v>0</v>
      </c>
      <c r="CL29" s="942">
        <f t="shared" si="55"/>
        <v>0</v>
      </c>
      <c r="CM29" s="942">
        <f t="shared" si="55"/>
        <v>0</v>
      </c>
      <c r="CN29" s="975">
        <f t="shared" si="55"/>
        <v>0</v>
      </c>
    </row>
    <row r="30" spans="1:92" ht="18" customHeight="1" outlineLevel="1">
      <c r="A30" s="899" t="s">
        <v>670</v>
      </c>
      <c r="B30" s="905">
        <f t="shared" ref="B30:AG30" ca="1" si="56">IFERROR(B15/B6,0)</f>
        <v>9.4669877108820022E-2</v>
      </c>
      <c r="C30" s="905">
        <f t="shared" ca="1" si="56"/>
        <v>0.10929712519228889</v>
      </c>
      <c r="D30" s="905">
        <f t="shared" ca="1" si="56"/>
        <v>0</v>
      </c>
      <c r="E30" s="905">
        <f t="shared" ca="1" si="56"/>
        <v>0</v>
      </c>
      <c r="F30" s="905">
        <f t="shared" ca="1" si="56"/>
        <v>0</v>
      </c>
      <c r="G30" s="905">
        <f t="shared" ca="1" si="56"/>
        <v>0</v>
      </c>
      <c r="H30" s="905">
        <f t="shared" ca="1" si="56"/>
        <v>0</v>
      </c>
      <c r="I30" s="905">
        <f t="shared" ca="1" si="56"/>
        <v>0</v>
      </c>
      <c r="J30" s="905">
        <f t="shared" ca="1" si="56"/>
        <v>0</v>
      </c>
      <c r="K30" s="905">
        <f t="shared" ca="1" si="56"/>
        <v>0</v>
      </c>
      <c r="L30" s="905">
        <f t="shared" si="56"/>
        <v>0</v>
      </c>
      <c r="M30" s="905">
        <f t="shared" ca="1" si="56"/>
        <v>0</v>
      </c>
      <c r="N30" s="940">
        <f t="shared" ca="1" si="56"/>
        <v>0</v>
      </c>
      <c r="O30" s="941">
        <f t="shared" ca="1" si="56"/>
        <v>9.4669877108820022E-2</v>
      </c>
      <c r="P30" s="942">
        <f t="shared" ca="1" si="56"/>
        <v>0.10929712519228889</v>
      </c>
      <c r="Q30" s="942">
        <f t="shared" ca="1" si="56"/>
        <v>0</v>
      </c>
      <c r="R30" s="942">
        <f t="shared" si="56"/>
        <v>0</v>
      </c>
      <c r="S30" s="942">
        <f t="shared" si="56"/>
        <v>0</v>
      </c>
      <c r="T30" s="942">
        <f t="shared" si="56"/>
        <v>0</v>
      </c>
      <c r="U30" s="942">
        <f t="shared" si="56"/>
        <v>0</v>
      </c>
      <c r="V30" s="942">
        <f t="shared" si="56"/>
        <v>0</v>
      </c>
      <c r="W30" s="942">
        <f t="shared" si="56"/>
        <v>0</v>
      </c>
      <c r="X30" s="942">
        <f t="shared" si="56"/>
        <v>0</v>
      </c>
      <c r="Y30" s="942">
        <f t="shared" si="56"/>
        <v>0</v>
      </c>
      <c r="Z30" s="942">
        <f t="shared" ca="1" si="56"/>
        <v>0</v>
      </c>
      <c r="AA30" s="962">
        <f t="shared" si="56"/>
        <v>0</v>
      </c>
      <c r="AB30" s="941">
        <f t="shared" ca="1" si="56"/>
        <v>0</v>
      </c>
      <c r="AC30" s="942">
        <f t="shared" ca="1" si="56"/>
        <v>0</v>
      </c>
      <c r="AD30" s="942">
        <f t="shared" ca="1" si="56"/>
        <v>0</v>
      </c>
      <c r="AE30" s="942">
        <f t="shared" ca="1" si="56"/>
        <v>0</v>
      </c>
      <c r="AF30" s="942">
        <f t="shared" ca="1" si="56"/>
        <v>0</v>
      </c>
      <c r="AG30" s="942">
        <f t="shared" ca="1" si="56"/>
        <v>0</v>
      </c>
      <c r="AH30" s="942">
        <f t="shared" ref="AH30:BM30" ca="1" si="57">IFERROR(AH15/AH6,0)</f>
        <v>0</v>
      </c>
      <c r="AI30" s="942">
        <f t="shared" ca="1" si="57"/>
        <v>0</v>
      </c>
      <c r="AJ30" s="942">
        <f t="shared" ca="1" si="57"/>
        <v>0</v>
      </c>
      <c r="AK30" s="942">
        <f t="shared" ca="1" si="57"/>
        <v>0</v>
      </c>
      <c r="AL30" s="942">
        <f t="shared" si="57"/>
        <v>0</v>
      </c>
      <c r="AM30" s="942">
        <f t="shared" ca="1" si="57"/>
        <v>0</v>
      </c>
      <c r="AN30" s="962">
        <f t="shared" ca="1" si="57"/>
        <v>0</v>
      </c>
      <c r="AO30" s="941">
        <f t="shared" ca="1" si="57"/>
        <v>0</v>
      </c>
      <c r="AP30" s="942">
        <f t="shared" ca="1" si="57"/>
        <v>0</v>
      </c>
      <c r="AQ30" s="942">
        <f t="shared" ca="1" si="57"/>
        <v>0</v>
      </c>
      <c r="AR30" s="942">
        <f t="shared" ca="1" si="57"/>
        <v>0</v>
      </c>
      <c r="AS30" s="942">
        <f t="shared" ca="1" si="57"/>
        <v>0</v>
      </c>
      <c r="AT30" s="942">
        <f t="shared" ca="1" si="57"/>
        <v>0</v>
      </c>
      <c r="AU30" s="942">
        <f t="shared" ca="1" si="57"/>
        <v>0</v>
      </c>
      <c r="AV30" s="942">
        <f t="shared" ca="1" si="57"/>
        <v>0</v>
      </c>
      <c r="AW30" s="942">
        <f t="shared" ca="1" si="57"/>
        <v>0</v>
      </c>
      <c r="AX30" s="942">
        <f t="shared" ca="1" si="57"/>
        <v>0</v>
      </c>
      <c r="AY30" s="942">
        <f t="shared" si="57"/>
        <v>0</v>
      </c>
      <c r="AZ30" s="942">
        <f t="shared" ca="1" si="57"/>
        <v>0</v>
      </c>
      <c r="BA30" s="962">
        <f t="shared" ca="1" si="57"/>
        <v>0</v>
      </c>
      <c r="BB30" s="941">
        <f t="shared" ca="1" si="57"/>
        <v>0</v>
      </c>
      <c r="BC30" s="942">
        <f t="shared" ca="1" si="57"/>
        <v>0</v>
      </c>
      <c r="BD30" s="942">
        <f t="shared" ca="1" si="57"/>
        <v>0</v>
      </c>
      <c r="BE30" s="942">
        <f t="shared" ca="1" si="57"/>
        <v>0</v>
      </c>
      <c r="BF30" s="942">
        <f t="shared" ca="1" si="57"/>
        <v>0</v>
      </c>
      <c r="BG30" s="942">
        <f t="shared" ca="1" si="57"/>
        <v>0</v>
      </c>
      <c r="BH30" s="942">
        <f t="shared" ca="1" si="57"/>
        <v>0</v>
      </c>
      <c r="BI30" s="942">
        <f t="shared" ca="1" si="57"/>
        <v>0</v>
      </c>
      <c r="BJ30" s="942">
        <f t="shared" ca="1" si="57"/>
        <v>0</v>
      </c>
      <c r="BK30" s="942">
        <f t="shared" ca="1" si="57"/>
        <v>0</v>
      </c>
      <c r="BL30" s="942">
        <f t="shared" si="57"/>
        <v>0</v>
      </c>
      <c r="BM30" s="942">
        <f t="shared" ca="1" si="57"/>
        <v>0</v>
      </c>
      <c r="BN30" s="962">
        <f t="shared" ref="BN30:CN30" ca="1" si="58">IFERROR(BN15/BN6,0)</f>
        <v>0</v>
      </c>
      <c r="BO30" s="941">
        <f t="shared" ca="1" si="58"/>
        <v>0</v>
      </c>
      <c r="BP30" s="942">
        <f t="shared" ca="1" si="58"/>
        <v>0</v>
      </c>
      <c r="BQ30" s="942">
        <f t="shared" ca="1" si="58"/>
        <v>0</v>
      </c>
      <c r="BR30" s="942">
        <f t="shared" ca="1" si="58"/>
        <v>0</v>
      </c>
      <c r="BS30" s="942">
        <f t="shared" ca="1" si="58"/>
        <v>0</v>
      </c>
      <c r="BT30" s="942">
        <f t="shared" ca="1" si="58"/>
        <v>0</v>
      </c>
      <c r="BU30" s="942">
        <f t="shared" ca="1" si="58"/>
        <v>0</v>
      </c>
      <c r="BV30" s="942">
        <f t="shared" ca="1" si="58"/>
        <v>0</v>
      </c>
      <c r="BW30" s="942">
        <f t="shared" ca="1" si="58"/>
        <v>0</v>
      </c>
      <c r="BX30" s="942">
        <f t="shared" ca="1" si="58"/>
        <v>0</v>
      </c>
      <c r="BY30" s="942">
        <f t="shared" si="58"/>
        <v>0</v>
      </c>
      <c r="BZ30" s="942">
        <f t="shared" ca="1" si="58"/>
        <v>0</v>
      </c>
      <c r="CA30" s="971">
        <f t="shared" ca="1" si="58"/>
        <v>0</v>
      </c>
      <c r="CB30" s="941">
        <f t="shared" ca="1" si="58"/>
        <v>0</v>
      </c>
      <c r="CC30" s="942">
        <f t="shared" ca="1" si="58"/>
        <v>0</v>
      </c>
      <c r="CD30" s="942">
        <f t="shared" ca="1" si="58"/>
        <v>0</v>
      </c>
      <c r="CE30" s="942">
        <f t="shared" ca="1" si="58"/>
        <v>0</v>
      </c>
      <c r="CF30" s="942">
        <f t="shared" ca="1" si="58"/>
        <v>0</v>
      </c>
      <c r="CG30" s="942">
        <f t="shared" ca="1" si="58"/>
        <v>0</v>
      </c>
      <c r="CH30" s="942">
        <f t="shared" ca="1" si="58"/>
        <v>0</v>
      </c>
      <c r="CI30" s="942">
        <f t="shared" ca="1" si="58"/>
        <v>0</v>
      </c>
      <c r="CJ30" s="942">
        <f t="shared" ca="1" si="58"/>
        <v>0</v>
      </c>
      <c r="CK30" s="942">
        <f t="shared" ca="1" si="58"/>
        <v>0</v>
      </c>
      <c r="CL30" s="942">
        <f t="shared" si="58"/>
        <v>0</v>
      </c>
      <c r="CM30" s="942">
        <f t="shared" ca="1" si="58"/>
        <v>0</v>
      </c>
      <c r="CN30" s="975">
        <f t="shared" ca="1" si="58"/>
        <v>0</v>
      </c>
    </row>
    <row r="31" spans="1:92" ht="18" customHeight="1" outlineLevel="1">
      <c r="A31" s="899" t="s">
        <v>421</v>
      </c>
      <c r="B31" s="905">
        <f t="shared" ref="B31:AG31" ca="1" si="59">IFERROR(B19/B6,0)</f>
        <v>7.0368780552381258E-2</v>
      </c>
      <c r="C31" s="905">
        <f t="shared" ca="1" si="59"/>
        <v>7.8410416742386524E-2</v>
      </c>
      <c r="D31" s="905">
        <f t="shared" ca="1" si="59"/>
        <v>-3.8142705802128009E-2</v>
      </c>
      <c r="E31" s="905">
        <f t="shared" ca="1" si="59"/>
        <v>0</v>
      </c>
      <c r="F31" s="905">
        <f t="shared" ca="1" si="59"/>
        <v>0</v>
      </c>
      <c r="G31" s="905">
        <f t="shared" ca="1" si="59"/>
        <v>0</v>
      </c>
      <c r="H31" s="905">
        <f t="shared" ca="1" si="59"/>
        <v>0</v>
      </c>
      <c r="I31" s="905">
        <f t="shared" ca="1" si="59"/>
        <v>0</v>
      </c>
      <c r="J31" s="905">
        <f t="shared" ca="1" si="59"/>
        <v>0</v>
      </c>
      <c r="K31" s="905">
        <f t="shared" ca="1" si="59"/>
        <v>0</v>
      </c>
      <c r="L31" s="905">
        <f t="shared" si="59"/>
        <v>0</v>
      </c>
      <c r="M31" s="905">
        <f t="shared" ca="1" si="59"/>
        <v>0.12268813371308034</v>
      </c>
      <c r="N31" s="940">
        <f t="shared" ca="1" si="59"/>
        <v>0</v>
      </c>
      <c r="O31" s="941">
        <f t="shared" ca="1" si="59"/>
        <v>7.0368780552381216E-2</v>
      </c>
      <c r="P31" s="942">
        <f t="shared" ca="1" si="59"/>
        <v>7.8410416742386524E-2</v>
      </c>
      <c r="Q31" s="942">
        <f t="shared" ca="1" si="59"/>
        <v>-3.8142705802128009E-2</v>
      </c>
      <c r="R31" s="942">
        <f t="shared" ca="1" si="59"/>
        <v>0</v>
      </c>
      <c r="S31" s="942">
        <f t="shared" ca="1" si="59"/>
        <v>0</v>
      </c>
      <c r="T31" s="942">
        <f t="shared" ca="1" si="59"/>
        <v>0</v>
      </c>
      <c r="U31" s="942">
        <f t="shared" ca="1" si="59"/>
        <v>0</v>
      </c>
      <c r="V31" s="942">
        <f t="shared" ca="1" si="59"/>
        <v>0</v>
      </c>
      <c r="W31" s="942">
        <f t="shared" ca="1" si="59"/>
        <v>0</v>
      </c>
      <c r="X31" s="942">
        <f t="shared" ca="1" si="59"/>
        <v>0</v>
      </c>
      <c r="Y31" s="942">
        <f t="shared" si="59"/>
        <v>0</v>
      </c>
      <c r="Z31" s="942">
        <f t="shared" ca="1" si="59"/>
        <v>0.12268813371308034</v>
      </c>
      <c r="AA31" s="962">
        <f t="shared" ca="1" si="59"/>
        <v>0</v>
      </c>
      <c r="AB31" s="941">
        <f t="shared" ca="1" si="59"/>
        <v>0</v>
      </c>
      <c r="AC31" s="942">
        <f t="shared" ca="1" si="59"/>
        <v>0</v>
      </c>
      <c r="AD31" s="942">
        <f t="shared" ca="1" si="59"/>
        <v>0</v>
      </c>
      <c r="AE31" s="942">
        <f t="shared" ca="1" si="59"/>
        <v>0</v>
      </c>
      <c r="AF31" s="942">
        <f t="shared" ca="1" si="59"/>
        <v>0</v>
      </c>
      <c r="AG31" s="942">
        <f t="shared" ca="1" si="59"/>
        <v>0</v>
      </c>
      <c r="AH31" s="942">
        <f t="shared" ref="AH31:BM31" ca="1" si="60">IFERROR(AH19/AH6,0)</f>
        <v>0</v>
      </c>
      <c r="AI31" s="942">
        <f t="shared" ca="1" si="60"/>
        <v>0</v>
      </c>
      <c r="AJ31" s="942">
        <f t="shared" ca="1" si="60"/>
        <v>0</v>
      </c>
      <c r="AK31" s="942">
        <f t="shared" ca="1" si="60"/>
        <v>0</v>
      </c>
      <c r="AL31" s="942">
        <f t="shared" si="60"/>
        <v>0</v>
      </c>
      <c r="AM31" s="942">
        <f t="shared" ca="1" si="60"/>
        <v>0</v>
      </c>
      <c r="AN31" s="962">
        <f t="shared" ca="1" si="60"/>
        <v>0</v>
      </c>
      <c r="AO31" s="941">
        <f t="shared" ca="1" si="60"/>
        <v>0</v>
      </c>
      <c r="AP31" s="942">
        <f t="shared" ca="1" si="60"/>
        <v>0</v>
      </c>
      <c r="AQ31" s="942">
        <f t="shared" ca="1" si="60"/>
        <v>0</v>
      </c>
      <c r="AR31" s="942">
        <f t="shared" ca="1" si="60"/>
        <v>0</v>
      </c>
      <c r="AS31" s="942">
        <f t="shared" ca="1" si="60"/>
        <v>0</v>
      </c>
      <c r="AT31" s="942">
        <f t="shared" ca="1" si="60"/>
        <v>0</v>
      </c>
      <c r="AU31" s="942">
        <f t="shared" ca="1" si="60"/>
        <v>0</v>
      </c>
      <c r="AV31" s="942">
        <f t="shared" ca="1" si="60"/>
        <v>0</v>
      </c>
      <c r="AW31" s="942">
        <f t="shared" ca="1" si="60"/>
        <v>0</v>
      </c>
      <c r="AX31" s="942">
        <f t="shared" ca="1" si="60"/>
        <v>0</v>
      </c>
      <c r="AY31" s="942">
        <f t="shared" si="60"/>
        <v>0</v>
      </c>
      <c r="AZ31" s="942">
        <f t="shared" ca="1" si="60"/>
        <v>0</v>
      </c>
      <c r="BA31" s="962">
        <f t="shared" ca="1" si="60"/>
        <v>0</v>
      </c>
      <c r="BB31" s="941">
        <f t="shared" ca="1" si="60"/>
        <v>0</v>
      </c>
      <c r="BC31" s="942">
        <f t="shared" ca="1" si="60"/>
        <v>0</v>
      </c>
      <c r="BD31" s="942">
        <f t="shared" ca="1" si="60"/>
        <v>0</v>
      </c>
      <c r="BE31" s="942">
        <f t="shared" ca="1" si="60"/>
        <v>0</v>
      </c>
      <c r="BF31" s="942">
        <f t="shared" ca="1" si="60"/>
        <v>0</v>
      </c>
      <c r="BG31" s="942">
        <f t="shared" ca="1" si="60"/>
        <v>0</v>
      </c>
      <c r="BH31" s="942">
        <f t="shared" ca="1" si="60"/>
        <v>0</v>
      </c>
      <c r="BI31" s="942">
        <f t="shared" ca="1" si="60"/>
        <v>0</v>
      </c>
      <c r="BJ31" s="942">
        <f t="shared" ca="1" si="60"/>
        <v>0</v>
      </c>
      <c r="BK31" s="942">
        <f t="shared" ca="1" si="60"/>
        <v>0</v>
      </c>
      <c r="BL31" s="942">
        <f t="shared" si="60"/>
        <v>0</v>
      </c>
      <c r="BM31" s="942">
        <f t="shared" ca="1" si="60"/>
        <v>0</v>
      </c>
      <c r="BN31" s="962">
        <f t="shared" ref="BN31:CN31" ca="1" si="61">IFERROR(BN19/BN6,0)</f>
        <v>0</v>
      </c>
      <c r="BO31" s="941">
        <f t="shared" ca="1" si="61"/>
        <v>0</v>
      </c>
      <c r="BP31" s="942">
        <f t="shared" ca="1" si="61"/>
        <v>0</v>
      </c>
      <c r="BQ31" s="942">
        <f t="shared" ca="1" si="61"/>
        <v>0</v>
      </c>
      <c r="BR31" s="942">
        <f t="shared" ca="1" si="61"/>
        <v>0</v>
      </c>
      <c r="BS31" s="942">
        <f t="shared" ca="1" si="61"/>
        <v>0</v>
      </c>
      <c r="BT31" s="942">
        <f t="shared" ca="1" si="61"/>
        <v>0</v>
      </c>
      <c r="BU31" s="942">
        <f t="shared" ca="1" si="61"/>
        <v>0</v>
      </c>
      <c r="BV31" s="942">
        <f t="shared" ca="1" si="61"/>
        <v>0</v>
      </c>
      <c r="BW31" s="942">
        <f t="shared" ca="1" si="61"/>
        <v>0</v>
      </c>
      <c r="BX31" s="942">
        <f t="shared" ca="1" si="61"/>
        <v>0</v>
      </c>
      <c r="BY31" s="942">
        <f t="shared" si="61"/>
        <v>0</v>
      </c>
      <c r="BZ31" s="942">
        <f t="shared" ca="1" si="61"/>
        <v>0</v>
      </c>
      <c r="CA31" s="971">
        <f t="shared" ca="1" si="61"/>
        <v>0</v>
      </c>
      <c r="CB31" s="941">
        <f t="shared" ca="1" si="61"/>
        <v>0</v>
      </c>
      <c r="CC31" s="942">
        <f t="shared" ca="1" si="61"/>
        <v>0</v>
      </c>
      <c r="CD31" s="942">
        <f t="shared" ca="1" si="61"/>
        <v>0</v>
      </c>
      <c r="CE31" s="942">
        <f t="shared" ca="1" si="61"/>
        <v>0</v>
      </c>
      <c r="CF31" s="942">
        <f t="shared" ca="1" si="61"/>
        <v>0</v>
      </c>
      <c r="CG31" s="942">
        <f t="shared" ca="1" si="61"/>
        <v>0</v>
      </c>
      <c r="CH31" s="942">
        <f t="shared" ca="1" si="61"/>
        <v>0</v>
      </c>
      <c r="CI31" s="942">
        <f t="shared" ca="1" si="61"/>
        <v>0</v>
      </c>
      <c r="CJ31" s="942">
        <f t="shared" ca="1" si="61"/>
        <v>0</v>
      </c>
      <c r="CK31" s="942">
        <f t="shared" ca="1" si="61"/>
        <v>0</v>
      </c>
      <c r="CL31" s="942">
        <f t="shared" si="61"/>
        <v>0</v>
      </c>
      <c r="CM31" s="942">
        <f t="shared" ca="1" si="61"/>
        <v>0</v>
      </c>
      <c r="CN31" s="975">
        <f t="shared" ca="1" si="61"/>
        <v>0</v>
      </c>
    </row>
    <row r="32" spans="1:92" ht="18" customHeight="1" outlineLevel="1">
      <c r="A32" s="899" t="s">
        <v>582</v>
      </c>
      <c r="B32" s="905">
        <f t="shared" ref="B32:AG32" si="62">IFERROR(B14/B6,0)</f>
        <v>5.0000000000000001E-4</v>
      </c>
      <c r="C32" s="905">
        <f t="shared" si="62"/>
        <v>5.0000000000000001E-4</v>
      </c>
      <c r="D32" s="905">
        <f t="shared" si="62"/>
        <v>5.0000000000000001E-4</v>
      </c>
      <c r="E32" s="905">
        <f t="shared" si="62"/>
        <v>0</v>
      </c>
      <c r="F32" s="905">
        <f t="shared" si="62"/>
        <v>0</v>
      </c>
      <c r="G32" s="905">
        <f t="shared" si="62"/>
        <v>0</v>
      </c>
      <c r="H32" s="905">
        <f t="shared" si="62"/>
        <v>0</v>
      </c>
      <c r="I32" s="905">
        <f t="shared" si="62"/>
        <v>0</v>
      </c>
      <c r="J32" s="905">
        <f t="shared" si="62"/>
        <v>0</v>
      </c>
      <c r="K32" s="905">
        <f t="shared" si="62"/>
        <v>0</v>
      </c>
      <c r="L32" s="905">
        <f t="shared" si="62"/>
        <v>0</v>
      </c>
      <c r="M32" s="905">
        <f t="shared" si="62"/>
        <v>5.0000000000000001E-4</v>
      </c>
      <c r="N32" s="940">
        <f t="shared" si="62"/>
        <v>0</v>
      </c>
      <c r="O32" s="941">
        <f t="shared" si="62"/>
        <v>5.0000000000000001E-4</v>
      </c>
      <c r="P32" s="942">
        <f t="shared" si="62"/>
        <v>5.0000000000000001E-4</v>
      </c>
      <c r="Q32" s="942">
        <f t="shared" si="62"/>
        <v>5.0000000000000001E-4</v>
      </c>
      <c r="R32" s="942">
        <f t="shared" si="62"/>
        <v>0</v>
      </c>
      <c r="S32" s="942">
        <f t="shared" si="62"/>
        <v>0</v>
      </c>
      <c r="T32" s="942">
        <f t="shared" si="62"/>
        <v>0</v>
      </c>
      <c r="U32" s="942">
        <f t="shared" si="62"/>
        <v>0</v>
      </c>
      <c r="V32" s="942">
        <f t="shared" si="62"/>
        <v>0</v>
      </c>
      <c r="W32" s="942">
        <f t="shared" si="62"/>
        <v>0</v>
      </c>
      <c r="X32" s="942">
        <f t="shared" si="62"/>
        <v>0</v>
      </c>
      <c r="Y32" s="942">
        <f t="shared" si="62"/>
        <v>0</v>
      </c>
      <c r="Z32" s="942">
        <f t="shared" si="62"/>
        <v>5.0000000000000001E-4</v>
      </c>
      <c r="AA32" s="962">
        <f t="shared" si="62"/>
        <v>0</v>
      </c>
      <c r="AB32" s="941">
        <f t="shared" si="62"/>
        <v>0</v>
      </c>
      <c r="AC32" s="942">
        <f t="shared" si="62"/>
        <v>0</v>
      </c>
      <c r="AD32" s="942">
        <f t="shared" si="62"/>
        <v>0</v>
      </c>
      <c r="AE32" s="942">
        <f t="shared" si="62"/>
        <v>0</v>
      </c>
      <c r="AF32" s="942">
        <f t="shared" si="62"/>
        <v>0</v>
      </c>
      <c r="AG32" s="942">
        <f t="shared" si="62"/>
        <v>0</v>
      </c>
      <c r="AH32" s="942">
        <f t="shared" ref="AH32:BM32" si="63">IFERROR(AH14/AH6,0)</f>
        <v>0</v>
      </c>
      <c r="AI32" s="942">
        <f t="shared" si="63"/>
        <v>0</v>
      </c>
      <c r="AJ32" s="942">
        <f t="shared" si="63"/>
        <v>0</v>
      </c>
      <c r="AK32" s="942">
        <f t="shared" si="63"/>
        <v>0</v>
      </c>
      <c r="AL32" s="942">
        <f t="shared" si="63"/>
        <v>0</v>
      </c>
      <c r="AM32" s="942">
        <f t="shared" si="63"/>
        <v>0</v>
      </c>
      <c r="AN32" s="962">
        <f t="shared" si="63"/>
        <v>0</v>
      </c>
      <c r="AO32" s="941">
        <f t="shared" si="63"/>
        <v>0</v>
      </c>
      <c r="AP32" s="942">
        <f t="shared" si="63"/>
        <v>0</v>
      </c>
      <c r="AQ32" s="942">
        <f t="shared" si="63"/>
        <v>0</v>
      </c>
      <c r="AR32" s="942">
        <f t="shared" si="63"/>
        <v>0</v>
      </c>
      <c r="AS32" s="942">
        <f t="shared" si="63"/>
        <v>0</v>
      </c>
      <c r="AT32" s="942">
        <f t="shared" si="63"/>
        <v>0</v>
      </c>
      <c r="AU32" s="942">
        <f t="shared" si="63"/>
        <v>0</v>
      </c>
      <c r="AV32" s="942">
        <f t="shared" si="63"/>
        <v>0</v>
      </c>
      <c r="AW32" s="942">
        <f t="shared" si="63"/>
        <v>0</v>
      </c>
      <c r="AX32" s="942">
        <f t="shared" si="63"/>
        <v>0</v>
      </c>
      <c r="AY32" s="942">
        <f t="shared" si="63"/>
        <v>0</v>
      </c>
      <c r="AZ32" s="942">
        <f t="shared" si="63"/>
        <v>0</v>
      </c>
      <c r="BA32" s="962">
        <f t="shared" si="63"/>
        <v>0</v>
      </c>
      <c r="BB32" s="941">
        <f t="shared" si="63"/>
        <v>0</v>
      </c>
      <c r="BC32" s="942">
        <f t="shared" si="63"/>
        <v>0</v>
      </c>
      <c r="BD32" s="942">
        <f t="shared" si="63"/>
        <v>0</v>
      </c>
      <c r="BE32" s="942">
        <f t="shared" si="63"/>
        <v>0</v>
      </c>
      <c r="BF32" s="942">
        <f t="shared" si="63"/>
        <v>0</v>
      </c>
      <c r="BG32" s="942">
        <f t="shared" si="63"/>
        <v>0</v>
      </c>
      <c r="BH32" s="942">
        <f t="shared" si="63"/>
        <v>0</v>
      </c>
      <c r="BI32" s="942">
        <f t="shared" si="63"/>
        <v>0</v>
      </c>
      <c r="BJ32" s="942">
        <f t="shared" si="63"/>
        <v>0</v>
      </c>
      <c r="BK32" s="942">
        <f t="shared" si="63"/>
        <v>0</v>
      </c>
      <c r="BL32" s="942">
        <f t="shared" si="63"/>
        <v>0</v>
      </c>
      <c r="BM32" s="942">
        <f t="shared" si="63"/>
        <v>0</v>
      </c>
      <c r="BN32" s="962">
        <f t="shared" ref="BN32:CN32" si="64">IFERROR(BN14/BN6,0)</f>
        <v>0</v>
      </c>
      <c r="BO32" s="941">
        <f t="shared" si="64"/>
        <v>0</v>
      </c>
      <c r="BP32" s="942">
        <f t="shared" si="64"/>
        <v>0</v>
      </c>
      <c r="BQ32" s="942">
        <f t="shared" si="64"/>
        <v>0</v>
      </c>
      <c r="BR32" s="942">
        <f t="shared" si="64"/>
        <v>0</v>
      </c>
      <c r="BS32" s="942">
        <f t="shared" si="64"/>
        <v>0</v>
      </c>
      <c r="BT32" s="942">
        <f t="shared" si="64"/>
        <v>0</v>
      </c>
      <c r="BU32" s="942">
        <f t="shared" si="64"/>
        <v>0</v>
      </c>
      <c r="BV32" s="942">
        <f t="shared" si="64"/>
        <v>0</v>
      </c>
      <c r="BW32" s="942">
        <f t="shared" si="64"/>
        <v>0</v>
      </c>
      <c r="BX32" s="942">
        <f t="shared" si="64"/>
        <v>0</v>
      </c>
      <c r="BY32" s="942">
        <f t="shared" si="64"/>
        <v>0</v>
      </c>
      <c r="BZ32" s="942">
        <f t="shared" si="64"/>
        <v>0</v>
      </c>
      <c r="CA32" s="971">
        <f t="shared" si="64"/>
        <v>0</v>
      </c>
      <c r="CB32" s="941">
        <f t="shared" si="64"/>
        <v>0</v>
      </c>
      <c r="CC32" s="942">
        <f t="shared" si="64"/>
        <v>0</v>
      </c>
      <c r="CD32" s="942">
        <f t="shared" si="64"/>
        <v>0</v>
      </c>
      <c r="CE32" s="942">
        <f t="shared" si="64"/>
        <v>0</v>
      </c>
      <c r="CF32" s="942">
        <f t="shared" si="64"/>
        <v>0</v>
      </c>
      <c r="CG32" s="942">
        <f t="shared" si="64"/>
        <v>0</v>
      </c>
      <c r="CH32" s="942">
        <f t="shared" si="64"/>
        <v>0</v>
      </c>
      <c r="CI32" s="942">
        <f t="shared" si="64"/>
        <v>0</v>
      </c>
      <c r="CJ32" s="942">
        <f t="shared" si="64"/>
        <v>0</v>
      </c>
      <c r="CK32" s="942">
        <f t="shared" si="64"/>
        <v>0</v>
      </c>
      <c r="CL32" s="942">
        <f t="shared" si="64"/>
        <v>0</v>
      </c>
      <c r="CM32" s="942">
        <f t="shared" si="64"/>
        <v>0</v>
      </c>
      <c r="CN32" s="975">
        <f t="shared" si="64"/>
        <v>0</v>
      </c>
    </row>
    <row r="33" spans="1:92" ht="18" customHeight="1">
      <c r="A33" s="897" t="s">
        <v>671</v>
      </c>
      <c r="B33" s="888">
        <f t="shared" ref="B33:AG33" ca="1" si="65">IF(B6=0,0,B18/B6)</f>
        <v>8.9618388237740505E-3</v>
      </c>
      <c r="C33" s="888">
        <f t="shared" ca="1" si="65"/>
        <v>9.0258696942586841E-3</v>
      </c>
      <c r="D33" s="888">
        <f t="shared" ca="1" si="65"/>
        <v>6.9911656770305086E-3</v>
      </c>
      <c r="E33" s="888">
        <f t="shared" si="65"/>
        <v>0</v>
      </c>
      <c r="F33" s="888">
        <f t="shared" si="65"/>
        <v>0</v>
      </c>
      <c r="G33" s="888">
        <f t="shared" si="65"/>
        <v>0</v>
      </c>
      <c r="H33" s="888">
        <f t="shared" si="65"/>
        <v>0</v>
      </c>
      <c r="I33" s="888">
        <f t="shared" si="65"/>
        <v>0</v>
      </c>
      <c r="J33" s="888">
        <f t="shared" si="65"/>
        <v>0</v>
      </c>
      <c r="K33" s="888">
        <f t="shared" si="65"/>
        <v>0</v>
      </c>
      <c r="L33" s="888">
        <f t="shared" si="65"/>
        <v>0</v>
      </c>
      <c r="M33" s="888">
        <f t="shared" ca="1" si="65"/>
        <v>1.1423911429276038E-2</v>
      </c>
      <c r="N33" s="939">
        <f t="shared" si="65"/>
        <v>0</v>
      </c>
      <c r="O33" s="889">
        <f t="shared" ca="1" si="65"/>
        <v>8.9618388237740505E-3</v>
      </c>
      <c r="P33" s="888">
        <f t="shared" ca="1" si="65"/>
        <v>9.0258696942586841E-3</v>
      </c>
      <c r="Q33" s="888">
        <f t="shared" ca="1" si="65"/>
        <v>6.9911656770305086E-3</v>
      </c>
      <c r="R33" s="888">
        <f t="shared" si="65"/>
        <v>0</v>
      </c>
      <c r="S33" s="888">
        <f t="shared" si="65"/>
        <v>0</v>
      </c>
      <c r="T33" s="888">
        <f t="shared" si="65"/>
        <v>0</v>
      </c>
      <c r="U33" s="888">
        <f t="shared" si="65"/>
        <v>0</v>
      </c>
      <c r="V33" s="888">
        <f t="shared" si="65"/>
        <v>0</v>
      </c>
      <c r="W33" s="888">
        <f t="shared" si="65"/>
        <v>0</v>
      </c>
      <c r="X33" s="888">
        <f t="shared" si="65"/>
        <v>0</v>
      </c>
      <c r="Y33" s="888">
        <f t="shared" si="65"/>
        <v>0</v>
      </c>
      <c r="Z33" s="888">
        <f t="shared" ca="1" si="65"/>
        <v>1.1423911429276038E-2</v>
      </c>
      <c r="AA33" s="939">
        <f t="shared" si="65"/>
        <v>0</v>
      </c>
      <c r="AB33" s="889">
        <f t="shared" si="65"/>
        <v>0</v>
      </c>
      <c r="AC33" s="888">
        <f t="shared" si="65"/>
        <v>0</v>
      </c>
      <c r="AD33" s="888">
        <f t="shared" si="65"/>
        <v>0</v>
      </c>
      <c r="AE33" s="888">
        <f t="shared" si="65"/>
        <v>0</v>
      </c>
      <c r="AF33" s="888">
        <f t="shared" si="65"/>
        <v>0</v>
      </c>
      <c r="AG33" s="888">
        <f t="shared" si="65"/>
        <v>0</v>
      </c>
      <c r="AH33" s="888">
        <f t="shared" ref="AH33:BM33" si="66">IF(AH6=0,0,AH18/AH6)</f>
        <v>0</v>
      </c>
      <c r="AI33" s="888">
        <f t="shared" si="66"/>
        <v>0</v>
      </c>
      <c r="AJ33" s="888">
        <f t="shared" si="66"/>
        <v>0</v>
      </c>
      <c r="AK33" s="888">
        <f t="shared" si="66"/>
        <v>0</v>
      </c>
      <c r="AL33" s="888">
        <f t="shared" si="66"/>
        <v>0</v>
      </c>
      <c r="AM33" s="888">
        <f t="shared" si="66"/>
        <v>0</v>
      </c>
      <c r="AN33" s="939">
        <f t="shared" si="66"/>
        <v>0</v>
      </c>
      <c r="AO33" s="889">
        <f t="shared" si="66"/>
        <v>0</v>
      </c>
      <c r="AP33" s="888">
        <f t="shared" si="66"/>
        <v>0</v>
      </c>
      <c r="AQ33" s="888">
        <f t="shared" si="66"/>
        <v>0</v>
      </c>
      <c r="AR33" s="888">
        <f t="shared" si="66"/>
        <v>0</v>
      </c>
      <c r="AS33" s="888">
        <f t="shared" si="66"/>
        <v>0</v>
      </c>
      <c r="AT33" s="888">
        <f t="shared" si="66"/>
        <v>0</v>
      </c>
      <c r="AU33" s="888">
        <f t="shared" si="66"/>
        <v>0</v>
      </c>
      <c r="AV33" s="888">
        <f t="shared" si="66"/>
        <v>0</v>
      </c>
      <c r="AW33" s="888">
        <f t="shared" si="66"/>
        <v>0</v>
      </c>
      <c r="AX33" s="888">
        <f t="shared" si="66"/>
        <v>0</v>
      </c>
      <c r="AY33" s="888">
        <f t="shared" si="66"/>
        <v>0</v>
      </c>
      <c r="AZ33" s="888">
        <f t="shared" si="66"/>
        <v>0</v>
      </c>
      <c r="BA33" s="939">
        <f t="shared" si="66"/>
        <v>0</v>
      </c>
      <c r="BB33" s="889">
        <f t="shared" si="66"/>
        <v>0</v>
      </c>
      <c r="BC33" s="888">
        <f t="shared" si="66"/>
        <v>0</v>
      </c>
      <c r="BD33" s="888">
        <f t="shared" si="66"/>
        <v>0</v>
      </c>
      <c r="BE33" s="888">
        <f t="shared" si="66"/>
        <v>0</v>
      </c>
      <c r="BF33" s="888">
        <f t="shared" si="66"/>
        <v>0</v>
      </c>
      <c r="BG33" s="888">
        <f t="shared" si="66"/>
        <v>0</v>
      </c>
      <c r="BH33" s="888">
        <f t="shared" si="66"/>
        <v>0</v>
      </c>
      <c r="BI33" s="888">
        <f t="shared" si="66"/>
        <v>0</v>
      </c>
      <c r="BJ33" s="888">
        <f t="shared" si="66"/>
        <v>0</v>
      </c>
      <c r="BK33" s="888">
        <f t="shared" si="66"/>
        <v>0</v>
      </c>
      <c r="BL33" s="888">
        <f t="shared" si="66"/>
        <v>0</v>
      </c>
      <c r="BM33" s="888">
        <f t="shared" si="66"/>
        <v>0</v>
      </c>
      <c r="BN33" s="939">
        <f t="shared" ref="BN33:CN33" si="67">IF(BN6=0,0,BN18/BN6)</f>
        <v>0</v>
      </c>
      <c r="BO33" s="889">
        <f t="shared" si="67"/>
        <v>0</v>
      </c>
      <c r="BP33" s="888">
        <f t="shared" si="67"/>
        <v>0</v>
      </c>
      <c r="BQ33" s="888">
        <f t="shared" si="67"/>
        <v>0</v>
      </c>
      <c r="BR33" s="888">
        <f t="shared" si="67"/>
        <v>0</v>
      </c>
      <c r="BS33" s="888">
        <f t="shared" si="67"/>
        <v>0</v>
      </c>
      <c r="BT33" s="888">
        <f t="shared" si="67"/>
        <v>0</v>
      </c>
      <c r="BU33" s="888">
        <f t="shared" si="67"/>
        <v>0</v>
      </c>
      <c r="BV33" s="888">
        <f t="shared" si="67"/>
        <v>0</v>
      </c>
      <c r="BW33" s="888">
        <f t="shared" si="67"/>
        <v>0</v>
      </c>
      <c r="BX33" s="888">
        <f t="shared" si="67"/>
        <v>0</v>
      </c>
      <c r="BY33" s="888">
        <f t="shared" si="67"/>
        <v>0</v>
      </c>
      <c r="BZ33" s="888">
        <f t="shared" si="67"/>
        <v>0</v>
      </c>
      <c r="CA33" s="939">
        <f t="shared" si="67"/>
        <v>0</v>
      </c>
      <c r="CB33" s="889">
        <f t="shared" si="67"/>
        <v>0</v>
      </c>
      <c r="CC33" s="888">
        <f t="shared" si="67"/>
        <v>0</v>
      </c>
      <c r="CD33" s="888">
        <f t="shared" si="67"/>
        <v>0</v>
      </c>
      <c r="CE33" s="888">
        <f t="shared" si="67"/>
        <v>0</v>
      </c>
      <c r="CF33" s="888">
        <f t="shared" si="67"/>
        <v>0</v>
      </c>
      <c r="CG33" s="888">
        <f t="shared" si="67"/>
        <v>0</v>
      </c>
      <c r="CH33" s="888">
        <f t="shared" si="67"/>
        <v>0</v>
      </c>
      <c r="CI33" s="888">
        <f t="shared" si="67"/>
        <v>0</v>
      </c>
      <c r="CJ33" s="888">
        <f t="shared" si="67"/>
        <v>0</v>
      </c>
      <c r="CK33" s="888">
        <f t="shared" si="67"/>
        <v>0</v>
      </c>
      <c r="CL33" s="888">
        <f t="shared" si="67"/>
        <v>0</v>
      </c>
      <c r="CM33" s="888">
        <f t="shared" si="67"/>
        <v>0</v>
      </c>
      <c r="CN33" s="970">
        <f t="shared" si="67"/>
        <v>0</v>
      </c>
    </row>
    <row r="34" spans="1:92" s="896" customFormat="1" ht="18" customHeight="1">
      <c r="A34" s="906" t="s">
        <v>672</v>
      </c>
      <c r="B34" s="907">
        <f>SUM(C34:N34)</f>
        <v>65226</v>
      </c>
      <c r="C34" s="907">
        <f t="shared" ref="C34:N34" si="68">SUM(P34,AC34,AP34,BC34,BP34,CC34)</f>
        <v>56100</v>
      </c>
      <c r="D34" s="907">
        <f t="shared" si="68"/>
        <v>3640</v>
      </c>
      <c r="E34" s="907">
        <f t="shared" si="68"/>
        <v>0</v>
      </c>
      <c r="F34" s="907">
        <f t="shared" si="68"/>
        <v>0</v>
      </c>
      <c r="G34" s="907">
        <f t="shared" si="68"/>
        <v>0</v>
      </c>
      <c r="H34" s="907">
        <f t="shared" si="68"/>
        <v>0</v>
      </c>
      <c r="I34" s="907">
        <f t="shared" si="68"/>
        <v>0</v>
      </c>
      <c r="J34" s="907">
        <f t="shared" si="68"/>
        <v>0</v>
      </c>
      <c r="K34" s="907">
        <f t="shared" si="68"/>
        <v>0</v>
      </c>
      <c r="L34" s="907">
        <f t="shared" si="68"/>
        <v>0</v>
      </c>
      <c r="M34" s="907">
        <f t="shared" si="68"/>
        <v>5486</v>
      </c>
      <c r="N34" s="943">
        <f t="shared" si="68"/>
        <v>0</v>
      </c>
      <c r="O34" s="944">
        <f>SUM(P34:AA34)</f>
        <v>65226</v>
      </c>
      <c r="P34" s="907">
        <f>'8.项目规划指标表'!I5</f>
        <v>56100</v>
      </c>
      <c r="Q34" s="907">
        <f>'8.项目规划指标表'!I6</f>
        <v>3640</v>
      </c>
      <c r="R34" s="907">
        <f>'8.项目规划指标表'!I7</f>
        <v>0</v>
      </c>
      <c r="S34" s="907">
        <f>'8.项目规划指标表'!I8</f>
        <v>0</v>
      </c>
      <c r="T34" s="907">
        <f>'8.项目规划指标表'!I9</f>
        <v>0</v>
      </c>
      <c r="U34" s="907">
        <f>'8.项目规划指标表'!I10</f>
        <v>0</v>
      </c>
      <c r="V34" s="907">
        <f>'8.项目规划指标表'!I11</f>
        <v>0</v>
      </c>
      <c r="W34" s="907">
        <f>'8.项目规划指标表'!I12</f>
        <v>0</v>
      </c>
      <c r="X34" s="907">
        <f>'8.项目规划指标表'!I13</f>
        <v>0</v>
      </c>
      <c r="Y34" s="907">
        <f>'8.项目规划指标表'!I14</f>
        <v>0</v>
      </c>
      <c r="Z34" s="907">
        <f>'8.项目规划指标表'!H18</f>
        <v>5486</v>
      </c>
      <c r="AA34" s="943">
        <f>'8.项目规划指标表'!H19</f>
        <v>0</v>
      </c>
      <c r="AB34" s="944">
        <f>SUM(AC34:AL34)</f>
        <v>0</v>
      </c>
      <c r="AC34" s="907">
        <f>'8.项目规划指标表'!M5</f>
        <v>0</v>
      </c>
      <c r="AD34" s="907">
        <f>'8.项目规划指标表'!M6</f>
        <v>0</v>
      </c>
      <c r="AE34" s="907">
        <f>'8.项目规划指标表'!M7</f>
        <v>0</v>
      </c>
      <c r="AF34" s="907">
        <f>'8.项目规划指标表'!M8</f>
        <v>0</v>
      </c>
      <c r="AG34" s="907">
        <f>'8.项目规划指标表'!M9</f>
        <v>0</v>
      </c>
      <c r="AH34" s="907">
        <f>'8.项目规划指标表'!M10</f>
        <v>0</v>
      </c>
      <c r="AI34" s="907">
        <f>'8.项目规划指标表'!M11</f>
        <v>0</v>
      </c>
      <c r="AJ34" s="907">
        <f>'8.项目规划指标表'!M12</f>
        <v>0</v>
      </c>
      <c r="AK34" s="907">
        <f>'8.项目规划指标表'!M13</f>
        <v>0</v>
      </c>
      <c r="AL34" s="907">
        <f>'8.项目规划指标表'!M14</f>
        <v>0</v>
      </c>
      <c r="AM34" s="907">
        <f>'8.项目规划指标表'!L18</f>
        <v>0</v>
      </c>
      <c r="AN34" s="943">
        <f>'8.项目规划指标表'!L19</f>
        <v>0</v>
      </c>
      <c r="AO34" s="944">
        <f>SUM(AP34:AY34)</f>
        <v>0</v>
      </c>
      <c r="AP34" s="907">
        <f>'8.项目规划指标表'!Q5</f>
        <v>0</v>
      </c>
      <c r="AQ34" s="907">
        <f>'8.项目规划指标表'!Q6</f>
        <v>0</v>
      </c>
      <c r="AR34" s="907">
        <f>'8.项目规划指标表'!Q7</f>
        <v>0</v>
      </c>
      <c r="AS34" s="907">
        <f>'8.项目规划指标表'!Q8</f>
        <v>0</v>
      </c>
      <c r="AT34" s="907">
        <f>'8.项目规划指标表'!Q9</f>
        <v>0</v>
      </c>
      <c r="AU34" s="907">
        <f>'8.项目规划指标表'!Q10</f>
        <v>0</v>
      </c>
      <c r="AV34" s="907">
        <f>'8.项目规划指标表'!Q11</f>
        <v>0</v>
      </c>
      <c r="AW34" s="907">
        <f>'8.项目规划指标表'!Q12</f>
        <v>0</v>
      </c>
      <c r="AX34" s="907">
        <f>'8.项目规划指标表'!Q13</f>
        <v>0</v>
      </c>
      <c r="AY34" s="907">
        <f>'8.项目规划指标表'!Q14</f>
        <v>0</v>
      </c>
      <c r="AZ34" s="907">
        <f>'8.项目规划指标表'!P18</f>
        <v>0</v>
      </c>
      <c r="BA34" s="943">
        <f>'8.项目规划指标表'!P19</f>
        <v>0</v>
      </c>
      <c r="BB34" s="944">
        <f>SUM(BC34:BL34)</f>
        <v>0</v>
      </c>
      <c r="BC34" s="907">
        <f>'8.项目规划指标表'!U5</f>
        <v>0</v>
      </c>
      <c r="BD34" s="907">
        <f>'8.项目规划指标表'!U6</f>
        <v>0</v>
      </c>
      <c r="BE34" s="907">
        <f>'8.项目规划指标表'!U7</f>
        <v>0</v>
      </c>
      <c r="BF34" s="907">
        <f>'8.项目规划指标表'!U8</f>
        <v>0</v>
      </c>
      <c r="BG34" s="907">
        <f>'8.项目规划指标表'!U9</f>
        <v>0</v>
      </c>
      <c r="BH34" s="907">
        <f>'8.项目规划指标表'!U10</f>
        <v>0</v>
      </c>
      <c r="BI34" s="907">
        <f>'8.项目规划指标表'!U11</f>
        <v>0</v>
      </c>
      <c r="BJ34" s="907">
        <f>'8.项目规划指标表'!U12</f>
        <v>0</v>
      </c>
      <c r="BK34" s="907">
        <f>'8.项目规划指标表'!U13</f>
        <v>0</v>
      </c>
      <c r="BL34" s="907">
        <f>'8.项目规划指标表'!U14</f>
        <v>0</v>
      </c>
      <c r="BM34" s="907">
        <f>'8.项目规划指标表'!T18</f>
        <v>0</v>
      </c>
      <c r="BN34" s="943">
        <f>'8.项目规划指标表'!T19</f>
        <v>0</v>
      </c>
      <c r="BO34" s="944">
        <f>SUM(BP34:BY34)</f>
        <v>0</v>
      </c>
      <c r="BP34" s="907">
        <f>'8.项目规划指标表'!Y5</f>
        <v>0</v>
      </c>
      <c r="BQ34" s="907">
        <f>'8.项目规划指标表'!Y6</f>
        <v>0</v>
      </c>
      <c r="BR34" s="907">
        <f>'8.项目规划指标表'!Y7</f>
        <v>0</v>
      </c>
      <c r="BS34" s="907">
        <f>'8.项目规划指标表'!Y8</f>
        <v>0</v>
      </c>
      <c r="BT34" s="907">
        <f>'8.项目规划指标表'!Y9</f>
        <v>0</v>
      </c>
      <c r="BU34" s="907">
        <f>'8.项目规划指标表'!Y10</f>
        <v>0</v>
      </c>
      <c r="BV34" s="907">
        <f>'8.项目规划指标表'!Y11</f>
        <v>0</v>
      </c>
      <c r="BW34" s="907">
        <f>'8.项目规划指标表'!Y12</f>
        <v>0</v>
      </c>
      <c r="BX34" s="907">
        <f>'8.项目规划指标表'!Y13</f>
        <v>0</v>
      </c>
      <c r="BY34" s="907">
        <f>'8.项目规划指标表'!Y14</f>
        <v>0</v>
      </c>
      <c r="BZ34" s="907">
        <f>'8.项目规划指标表'!X18</f>
        <v>0</v>
      </c>
      <c r="CA34" s="972">
        <f>'8.项目规划指标表'!X19</f>
        <v>0</v>
      </c>
      <c r="CB34" s="944">
        <f>SUM(CC34:CL34)</f>
        <v>0</v>
      </c>
      <c r="CC34" s="907">
        <f>'8.项目规划指标表'!AC5</f>
        <v>0</v>
      </c>
      <c r="CD34" s="907">
        <f>'8.项目规划指标表'!AC6</f>
        <v>0</v>
      </c>
      <c r="CE34" s="907">
        <f>'8.项目规划指标表'!AC7</f>
        <v>0</v>
      </c>
      <c r="CF34" s="907">
        <f>'8.项目规划指标表'!AC8</f>
        <v>0</v>
      </c>
      <c r="CG34" s="907">
        <f>'8.项目规划指标表'!AC9</f>
        <v>0</v>
      </c>
      <c r="CH34" s="907">
        <f>'8.项目规划指标表'!AC10</f>
        <v>0</v>
      </c>
      <c r="CI34" s="907">
        <f>'8.项目规划指标表'!AC11</f>
        <v>0</v>
      </c>
      <c r="CJ34" s="907">
        <f>'8.项目规划指标表'!AC12</f>
        <v>0</v>
      </c>
      <c r="CK34" s="907">
        <f>'8.项目规划指标表'!AC13</f>
        <v>0</v>
      </c>
      <c r="CL34" s="907">
        <f>'8.项目规划指标表'!AC14</f>
        <v>0</v>
      </c>
      <c r="CM34" s="907">
        <f>'8.项目规划指标表'!AB18</f>
        <v>0</v>
      </c>
      <c r="CN34" s="972">
        <f>'8.项目规划指标表'!AB19</f>
        <v>0</v>
      </c>
    </row>
    <row r="35" spans="1:92" hidden="1">
      <c r="A35" s="908" t="s">
        <v>590</v>
      </c>
      <c r="B35" s="909">
        <f t="shared" ref="B35:AG35" si="69">IF(B34=0,0,(B8-B36)/B34*10000)</f>
        <v>4781.917026952442</v>
      </c>
      <c r="C35" s="909">
        <f t="shared" si="69"/>
        <v>4850.1472711584711</v>
      </c>
      <c r="D35" s="909">
        <f t="shared" si="69"/>
        <v>5805.2093648378504</v>
      </c>
      <c r="E35" s="909">
        <f t="shared" si="69"/>
        <v>0</v>
      </c>
      <c r="F35" s="909">
        <f t="shared" si="69"/>
        <v>0</v>
      </c>
      <c r="G35" s="909">
        <f t="shared" si="69"/>
        <v>0</v>
      </c>
      <c r="H35" s="909">
        <f t="shared" si="69"/>
        <v>0</v>
      </c>
      <c r="I35" s="909">
        <f t="shared" si="69"/>
        <v>0</v>
      </c>
      <c r="J35" s="909">
        <f t="shared" si="69"/>
        <v>0</v>
      </c>
      <c r="K35" s="909">
        <f t="shared" si="69"/>
        <v>0</v>
      </c>
      <c r="L35" s="909">
        <f t="shared" si="69"/>
        <v>0</v>
      </c>
      <c r="M35" s="909">
        <f t="shared" si="69"/>
        <v>3405.2307692307695</v>
      </c>
      <c r="N35" s="909">
        <f t="shared" si="69"/>
        <v>0</v>
      </c>
      <c r="O35" s="909">
        <f t="shared" si="69"/>
        <v>4781.917026952442</v>
      </c>
      <c r="P35" s="909">
        <f t="shared" si="69"/>
        <v>4850.1472711584711</v>
      </c>
      <c r="Q35" s="909">
        <f t="shared" si="69"/>
        <v>5805.2093648378504</v>
      </c>
      <c r="R35" s="909">
        <f t="shared" si="69"/>
        <v>0</v>
      </c>
      <c r="S35" s="909">
        <f t="shared" si="69"/>
        <v>0</v>
      </c>
      <c r="T35" s="909">
        <f t="shared" si="69"/>
        <v>0</v>
      </c>
      <c r="U35" s="909">
        <f t="shared" si="69"/>
        <v>0</v>
      </c>
      <c r="V35" s="909">
        <f t="shared" si="69"/>
        <v>0</v>
      </c>
      <c r="W35" s="909">
        <f t="shared" si="69"/>
        <v>0</v>
      </c>
      <c r="X35" s="909">
        <f t="shared" si="69"/>
        <v>0</v>
      </c>
      <c r="Y35" s="909">
        <f t="shared" si="69"/>
        <v>0</v>
      </c>
      <c r="Z35" s="909">
        <f t="shared" si="69"/>
        <v>3405.2307692307695</v>
      </c>
      <c r="AA35" s="909">
        <f t="shared" si="69"/>
        <v>0</v>
      </c>
      <c r="AB35" s="909">
        <f t="shared" si="69"/>
        <v>0</v>
      </c>
      <c r="AC35" s="909">
        <f t="shared" si="69"/>
        <v>0</v>
      </c>
      <c r="AD35" s="909">
        <f t="shared" si="69"/>
        <v>0</v>
      </c>
      <c r="AE35" s="909">
        <f t="shared" si="69"/>
        <v>0</v>
      </c>
      <c r="AF35" s="909">
        <f t="shared" si="69"/>
        <v>0</v>
      </c>
      <c r="AG35" s="909">
        <f t="shared" si="69"/>
        <v>0</v>
      </c>
      <c r="AH35" s="909">
        <f t="shared" ref="AH35:BM35" si="70">IF(AH34=0,0,(AH8-AH36)/AH34*10000)</f>
        <v>0</v>
      </c>
      <c r="AI35" s="909">
        <f t="shared" si="70"/>
        <v>0</v>
      </c>
      <c r="AJ35" s="909">
        <f t="shared" si="70"/>
        <v>0</v>
      </c>
      <c r="AK35" s="909">
        <f t="shared" si="70"/>
        <v>0</v>
      </c>
      <c r="AL35" s="909">
        <f t="shared" si="70"/>
        <v>0</v>
      </c>
      <c r="AM35" s="909">
        <f t="shared" si="70"/>
        <v>0</v>
      </c>
      <c r="AN35" s="909">
        <f t="shared" si="70"/>
        <v>0</v>
      </c>
      <c r="AO35" s="909">
        <f t="shared" si="70"/>
        <v>0</v>
      </c>
      <c r="AP35" s="909">
        <f t="shared" si="70"/>
        <v>0</v>
      </c>
      <c r="AQ35" s="909">
        <f t="shared" si="70"/>
        <v>0</v>
      </c>
      <c r="AR35" s="909">
        <f t="shared" si="70"/>
        <v>0</v>
      </c>
      <c r="AS35" s="909">
        <f t="shared" si="70"/>
        <v>0</v>
      </c>
      <c r="AT35" s="909">
        <f t="shared" si="70"/>
        <v>0</v>
      </c>
      <c r="AU35" s="909">
        <f t="shared" si="70"/>
        <v>0</v>
      </c>
      <c r="AV35" s="909">
        <f t="shared" si="70"/>
        <v>0</v>
      </c>
      <c r="AW35" s="909">
        <f t="shared" si="70"/>
        <v>0</v>
      </c>
      <c r="AX35" s="909">
        <f t="shared" si="70"/>
        <v>0</v>
      </c>
      <c r="AY35" s="909">
        <f t="shared" si="70"/>
        <v>0</v>
      </c>
      <c r="AZ35" s="909">
        <f t="shared" si="70"/>
        <v>0</v>
      </c>
      <c r="BA35" s="909">
        <f t="shared" si="70"/>
        <v>0</v>
      </c>
      <c r="BB35" s="909">
        <f t="shared" si="70"/>
        <v>0</v>
      </c>
      <c r="BC35" s="909">
        <f t="shared" si="70"/>
        <v>0</v>
      </c>
      <c r="BD35" s="909">
        <f t="shared" si="70"/>
        <v>0</v>
      </c>
      <c r="BE35" s="909">
        <f t="shared" si="70"/>
        <v>0</v>
      </c>
      <c r="BF35" s="909">
        <f t="shared" si="70"/>
        <v>0</v>
      </c>
      <c r="BG35" s="909">
        <f t="shared" si="70"/>
        <v>0</v>
      </c>
      <c r="BH35" s="909">
        <f t="shared" si="70"/>
        <v>0</v>
      </c>
      <c r="BI35" s="909">
        <f t="shared" si="70"/>
        <v>0</v>
      </c>
      <c r="BJ35" s="909">
        <f t="shared" si="70"/>
        <v>0</v>
      </c>
      <c r="BK35" s="909">
        <f t="shared" si="70"/>
        <v>0</v>
      </c>
      <c r="BL35" s="909">
        <f t="shared" si="70"/>
        <v>0</v>
      </c>
      <c r="BM35" s="909">
        <f t="shared" si="70"/>
        <v>0</v>
      </c>
      <c r="BN35" s="909">
        <f t="shared" ref="BN35:CA35" si="71">IF(BN34=0,0,(BN8-BN36)/BN34*10000)</f>
        <v>0</v>
      </c>
      <c r="BO35" s="909">
        <f t="shared" si="71"/>
        <v>0</v>
      </c>
      <c r="BP35" s="909">
        <f t="shared" si="71"/>
        <v>0</v>
      </c>
      <c r="BQ35" s="909">
        <f t="shared" si="71"/>
        <v>0</v>
      </c>
      <c r="BR35" s="909">
        <f t="shared" si="71"/>
        <v>0</v>
      </c>
      <c r="BS35" s="909">
        <f t="shared" si="71"/>
        <v>0</v>
      </c>
      <c r="BT35" s="909">
        <f t="shared" si="71"/>
        <v>0</v>
      </c>
      <c r="BU35" s="909">
        <f t="shared" si="71"/>
        <v>0</v>
      </c>
      <c r="BV35" s="909">
        <f t="shared" si="71"/>
        <v>0</v>
      </c>
      <c r="BW35" s="909">
        <f t="shared" si="71"/>
        <v>0</v>
      </c>
      <c r="BX35" s="909">
        <f t="shared" si="71"/>
        <v>0</v>
      </c>
      <c r="BY35" s="909">
        <f t="shared" si="71"/>
        <v>0</v>
      </c>
      <c r="BZ35" s="909">
        <f t="shared" si="71"/>
        <v>0</v>
      </c>
      <c r="CA35" s="909">
        <f t="shared" si="71"/>
        <v>0</v>
      </c>
    </row>
    <row r="36" spans="1:92" hidden="1">
      <c r="A36" s="908"/>
      <c r="B36" s="909"/>
      <c r="C36" s="909"/>
      <c r="D36" s="909"/>
      <c r="E36" s="909"/>
      <c r="F36" s="909"/>
      <c r="G36" s="909"/>
      <c r="H36" s="909"/>
      <c r="I36" s="909"/>
      <c r="J36" s="909"/>
      <c r="K36" s="909"/>
      <c r="L36" s="909"/>
      <c r="M36" s="909"/>
      <c r="N36" s="909"/>
      <c r="O36" s="909"/>
      <c r="P36" s="909"/>
      <c r="Q36" s="909"/>
      <c r="R36" s="909"/>
      <c r="S36" s="909"/>
      <c r="T36" s="909"/>
      <c r="U36" s="909"/>
      <c r="V36" s="909"/>
      <c r="W36" s="909"/>
      <c r="X36" s="909"/>
      <c r="Y36" s="909"/>
      <c r="Z36" s="909"/>
      <c r="AA36" s="909"/>
      <c r="AB36" s="909"/>
      <c r="AC36" s="909"/>
      <c r="AD36" s="909"/>
      <c r="AE36" s="909"/>
      <c r="AF36" s="909"/>
      <c r="AG36" s="909"/>
      <c r="AH36" s="909"/>
      <c r="AI36" s="909"/>
      <c r="AJ36" s="909"/>
      <c r="AK36" s="909"/>
      <c r="AL36" s="909"/>
      <c r="AM36" s="909"/>
      <c r="AN36" s="909"/>
      <c r="AO36" s="909"/>
      <c r="AP36" s="909"/>
      <c r="AQ36" s="909"/>
      <c r="AR36" s="909"/>
      <c r="AS36" s="909"/>
      <c r="AT36" s="909"/>
      <c r="AU36" s="909"/>
      <c r="AV36" s="909"/>
      <c r="AW36" s="909"/>
      <c r="AX36" s="909"/>
      <c r="AY36" s="909"/>
      <c r="AZ36" s="909"/>
      <c r="BA36" s="909"/>
      <c r="BB36" s="909"/>
      <c r="BC36" s="909"/>
      <c r="BD36" s="909"/>
      <c r="BE36" s="909"/>
      <c r="BF36" s="909"/>
      <c r="BG36" s="909"/>
      <c r="BH36" s="909"/>
      <c r="BI36" s="909"/>
      <c r="BJ36" s="909"/>
      <c r="BK36" s="909"/>
      <c r="BL36" s="909"/>
      <c r="BM36" s="909"/>
      <c r="BN36" s="909"/>
      <c r="BO36" s="909"/>
      <c r="BP36" s="909"/>
      <c r="BQ36" s="909"/>
      <c r="BR36" s="909"/>
      <c r="BS36" s="909"/>
      <c r="BT36" s="909"/>
      <c r="BU36" s="909"/>
      <c r="BV36" s="909"/>
      <c r="BW36" s="909"/>
      <c r="BX36" s="909"/>
      <c r="BY36" s="909"/>
      <c r="BZ36" s="909"/>
      <c r="CA36" s="909"/>
    </row>
    <row r="37" spans="1:92" hidden="1">
      <c r="A37" s="908" t="s">
        <v>591</v>
      </c>
      <c r="B37" s="909"/>
      <c r="C37" s="909"/>
      <c r="D37" s="909"/>
      <c r="E37" s="909"/>
      <c r="F37" s="909"/>
      <c r="G37" s="909"/>
      <c r="H37" s="909"/>
      <c r="I37" s="909"/>
      <c r="J37" s="909"/>
      <c r="K37" s="909"/>
      <c r="L37" s="909"/>
      <c r="M37" s="909"/>
      <c r="N37" s="909"/>
      <c r="O37" s="909">
        <f t="shared" ref="O37:AT37" ca="1" si="72">O9-SUM(O10,O13:O18)</f>
        <v>27810.481844812577</v>
      </c>
      <c r="P37" s="909">
        <f t="shared" ca="1" si="72"/>
        <v>26942.075119471585</v>
      </c>
      <c r="Q37" s="909">
        <f t="shared" ca="1" si="72"/>
        <v>-1435.2741758569589</v>
      </c>
      <c r="R37" s="909">
        <f t="shared" si="72"/>
        <v>0</v>
      </c>
      <c r="S37" s="909">
        <f t="shared" ca="1" si="72"/>
        <v>0</v>
      </c>
      <c r="T37" s="909">
        <f t="shared" ca="1" si="72"/>
        <v>0</v>
      </c>
      <c r="U37" s="909">
        <f t="shared" ca="1" si="72"/>
        <v>0</v>
      </c>
      <c r="V37" s="909">
        <f t="shared" ca="1" si="72"/>
        <v>0</v>
      </c>
      <c r="W37" s="909">
        <f t="shared" ca="1" si="72"/>
        <v>0</v>
      </c>
      <c r="X37" s="909">
        <f t="shared" ca="1" si="72"/>
        <v>0</v>
      </c>
      <c r="Y37" s="909">
        <f t="shared" ca="1" si="72"/>
        <v>0</v>
      </c>
      <c r="Z37" s="909">
        <f t="shared" ca="1" si="72"/>
        <v>2303.6809011979549</v>
      </c>
      <c r="AA37" s="909">
        <f t="shared" ca="1" si="72"/>
        <v>0</v>
      </c>
      <c r="AB37" s="909">
        <f t="shared" ca="1" si="72"/>
        <v>0</v>
      </c>
      <c r="AC37" s="909">
        <f t="shared" ca="1" si="72"/>
        <v>0</v>
      </c>
      <c r="AD37" s="909">
        <f t="shared" ca="1" si="72"/>
        <v>0</v>
      </c>
      <c r="AE37" s="909">
        <f t="shared" ca="1" si="72"/>
        <v>0</v>
      </c>
      <c r="AF37" s="909">
        <f t="shared" ca="1" si="72"/>
        <v>0</v>
      </c>
      <c r="AG37" s="909">
        <f t="shared" ca="1" si="72"/>
        <v>0</v>
      </c>
      <c r="AH37" s="909">
        <f t="shared" ca="1" si="72"/>
        <v>0</v>
      </c>
      <c r="AI37" s="909">
        <f t="shared" ca="1" si="72"/>
        <v>0</v>
      </c>
      <c r="AJ37" s="909">
        <f t="shared" ca="1" si="72"/>
        <v>0</v>
      </c>
      <c r="AK37" s="909">
        <f t="shared" ca="1" si="72"/>
        <v>0</v>
      </c>
      <c r="AL37" s="909">
        <f t="shared" ca="1" si="72"/>
        <v>0</v>
      </c>
      <c r="AM37" s="909">
        <f t="shared" ca="1" si="72"/>
        <v>0</v>
      </c>
      <c r="AN37" s="909">
        <f t="shared" ca="1" si="72"/>
        <v>0</v>
      </c>
      <c r="AO37" s="909">
        <f t="shared" ca="1" si="72"/>
        <v>0</v>
      </c>
      <c r="AP37" s="909">
        <f t="shared" ca="1" si="72"/>
        <v>0</v>
      </c>
      <c r="AQ37" s="909">
        <f t="shared" ca="1" si="72"/>
        <v>0</v>
      </c>
      <c r="AR37" s="909">
        <f t="shared" ca="1" si="72"/>
        <v>0</v>
      </c>
      <c r="AS37" s="909">
        <f t="shared" ca="1" si="72"/>
        <v>0</v>
      </c>
      <c r="AT37" s="909">
        <f t="shared" ca="1" si="72"/>
        <v>0</v>
      </c>
      <c r="AU37" s="909">
        <f t="shared" ref="AU37:BZ37" ca="1" si="73">AU9-SUM(AU10,AU13:AU18)</f>
        <v>0</v>
      </c>
      <c r="AV37" s="909">
        <f t="shared" ca="1" si="73"/>
        <v>0</v>
      </c>
      <c r="AW37" s="909">
        <f t="shared" ca="1" si="73"/>
        <v>0</v>
      </c>
      <c r="AX37" s="909">
        <f t="shared" ca="1" si="73"/>
        <v>0</v>
      </c>
      <c r="AY37" s="909">
        <f t="shared" ca="1" si="73"/>
        <v>0</v>
      </c>
      <c r="AZ37" s="909">
        <f t="shared" ca="1" si="73"/>
        <v>0</v>
      </c>
      <c r="BA37" s="909">
        <f t="shared" ca="1" si="73"/>
        <v>0</v>
      </c>
      <c r="BB37" s="909">
        <f t="shared" ca="1" si="73"/>
        <v>0</v>
      </c>
      <c r="BC37" s="909">
        <f t="shared" ca="1" si="73"/>
        <v>0</v>
      </c>
      <c r="BD37" s="909">
        <f t="shared" ca="1" si="73"/>
        <v>0</v>
      </c>
      <c r="BE37" s="909">
        <f t="shared" ca="1" si="73"/>
        <v>0</v>
      </c>
      <c r="BF37" s="909">
        <f t="shared" ca="1" si="73"/>
        <v>0</v>
      </c>
      <c r="BG37" s="909">
        <f t="shared" ca="1" si="73"/>
        <v>0</v>
      </c>
      <c r="BH37" s="909">
        <f t="shared" ca="1" si="73"/>
        <v>0</v>
      </c>
      <c r="BI37" s="909">
        <f t="shared" ca="1" si="73"/>
        <v>0</v>
      </c>
      <c r="BJ37" s="909">
        <f t="shared" ca="1" si="73"/>
        <v>0</v>
      </c>
      <c r="BK37" s="909">
        <f t="shared" ca="1" si="73"/>
        <v>0</v>
      </c>
      <c r="BL37" s="909">
        <f t="shared" ca="1" si="73"/>
        <v>0</v>
      </c>
      <c r="BM37" s="909">
        <f t="shared" ca="1" si="73"/>
        <v>0</v>
      </c>
      <c r="BN37" s="909">
        <f t="shared" ca="1" si="73"/>
        <v>0</v>
      </c>
      <c r="BO37" s="909">
        <f t="shared" ca="1" si="73"/>
        <v>0</v>
      </c>
      <c r="BP37" s="909">
        <f t="shared" ca="1" si="73"/>
        <v>0</v>
      </c>
      <c r="BQ37" s="909">
        <f t="shared" ca="1" si="73"/>
        <v>0</v>
      </c>
      <c r="BR37" s="909">
        <f t="shared" ca="1" si="73"/>
        <v>0</v>
      </c>
      <c r="BS37" s="909">
        <f t="shared" ca="1" si="73"/>
        <v>0</v>
      </c>
      <c r="BT37" s="909">
        <f t="shared" ca="1" si="73"/>
        <v>0</v>
      </c>
      <c r="BU37" s="909">
        <f t="shared" ca="1" si="73"/>
        <v>0</v>
      </c>
      <c r="BV37" s="909">
        <f t="shared" ca="1" si="73"/>
        <v>0</v>
      </c>
      <c r="BW37" s="909">
        <f t="shared" ca="1" si="73"/>
        <v>0</v>
      </c>
      <c r="BX37" s="909">
        <f t="shared" ca="1" si="73"/>
        <v>0</v>
      </c>
      <c r="BY37" s="909">
        <f t="shared" ca="1" si="73"/>
        <v>0</v>
      </c>
      <c r="BZ37" s="909">
        <f t="shared" ca="1" si="73"/>
        <v>0</v>
      </c>
      <c r="CA37" s="909">
        <f t="shared" ref="CA37:CN37" ca="1" si="74">CA9-SUM(CA10,CA13:CA18)</f>
        <v>0</v>
      </c>
      <c r="CB37" s="77">
        <f t="shared" ca="1" si="74"/>
        <v>0</v>
      </c>
      <c r="CC37" s="77">
        <f t="shared" ca="1" si="74"/>
        <v>0</v>
      </c>
      <c r="CD37" s="77">
        <f t="shared" ca="1" si="74"/>
        <v>0</v>
      </c>
      <c r="CE37" s="77">
        <f t="shared" ca="1" si="74"/>
        <v>0</v>
      </c>
      <c r="CF37" s="77">
        <f t="shared" ca="1" si="74"/>
        <v>0</v>
      </c>
      <c r="CG37" s="77">
        <f t="shared" ca="1" si="74"/>
        <v>0</v>
      </c>
      <c r="CH37" s="77">
        <f t="shared" ca="1" si="74"/>
        <v>0</v>
      </c>
      <c r="CI37" s="77">
        <f t="shared" ca="1" si="74"/>
        <v>0</v>
      </c>
      <c r="CJ37" s="77">
        <f t="shared" ca="1" si="74"/>
        <v>0</v>
      </c>
      <c r="CK37" s="77">
        <f t="shared" ca="1" si="74"/>
        <v>0</v>
      </c>
      <c r="CL37" s="77">
        <f t="shared" ca="1" si="74"/>
        <v>0</v>
      </c>
      <c r="CM37" s="77">
        <f t="shared" ca="1" si="74"/>
        <v>0</v>
      </c>
      <c r="CN37" s="77">
        <f t="shared" ca="1" si="74"/>
        <v>0</v>
      </c>
    </row>
    <row r="38" spans="1:92" hidden="1">
      <c r="A38" s="908" t="s">
        <v>592</v>
      </c>
      <c r="B38" s="909"/>
      <c r="C38" s="909"/>
      <c r="D38" s="909"/>
      <c r="E38" s="909"/>
      <c r="F38" s="909"/>
      <c r="G38" s="909"/>
      <c r="H38" s="909"/>
      <c r="I38" s="909"/>
      <c r="J38" s="909"/>
      <c r="K38" s="909"/>
      <c r="L38" s="909"/>
      <c r="M38" s="909"/>
      <c r="N38" s="909"/>
      <c r="O38" s="945">
        <f ca="1">IF(O37=0,0,O37/$O$37)</f>
        <v>1</v>
      </c>
      <c r="P38" s="945">
        <f t="shared" ref="P38:AA38" ca="1" si="75">IF(P37=0,0,P37/$O$37)</f>
        <v>0.96877412156370191</v>
      </c>
      <c r="Q38" s="945">
        <f t="shared" ca="1" si="75"/>
        <v>-5.1609108532029165E-2</v>
      </c>
      <c r="R38" s="945">
        <f t="shared" si="75"/>
        <v>0</v>
      </c>
      <c r="S38" s="945">
        <f t="shared" ca="1" si="75"/>
        <v>0</v>
      </c>
      <c r="T38" s="945">
        <f t="shared" ca="1" si="75"/>
        <v>0</v>
      </c>
      <c r="U38" s="945">
        <f t="shared" ca="1" si="75"/>
        <v>0</v>
      </c>
      <c r="V38" s="945">
        <f t="shared" ca="1" si="75"/>
        <v>0</v>
      </c>
      <c r="W38" s="945">
        <f t="shared" ca="1" si="75"/>
        <v>0</v>
      </c>
      <c r="X38" s="945">
        <f t="shared" ca="1" si="75"/>
        <v>0</v>
      </c>
      <c r="Y38" s="945">
        <f t="shared" ca="1" si="75"/>
        <v>0</v>
      </c>
      <c r="Z38" s="945">
        <f t="shared" ca="1" si="75"/>
        <v>8.2834986968327376E-2</v>
      </c>
      <c r="AA38" s="945">
        <f t="shared" ca="1" si="75"/>
        <v>0</v>
      </c>
      <c r="AB38" s="945">
        <f ca="1">IF(AB37=0,0,AB37/$AB$37)</f>
        <v>0</v>
      </c>
      <c r="AC38" s="945">
        <f t="shared" ref="AC38:AN38" ca="1" si="76">IF(AC37=0,0,AC37/$AB$37)</f>
        <v>0</v>
      </c>
      <c r="AD38" s="945">
        <f t="shared" ca="1" si="76"/>
        <v>0</v>
      </c>
      <c r="AE38" s="945">
        <f t="shared" ca="1" si="76"/>
        <v>0</v>
      </c>
      <c r="AF38" s="945">
        <f t="shared" ca="1" si="76"/>
        <v>0</v>
      </c>
      <c r="AG38" s="945">
        <f t="shared" ca="1" si="76"/>
        <v>0</v>
      </c>
      <c r="AH38" s="945">
        <f t="shared" ca="1" si="76"/>
        <v>0</v>
      </c>
      <c r="AI38" s="945">
        <f t="shared" ca="1" si="76"/>
        <v>0</v>
      </c>
      <c r="AJ38" s="945">
        <f t="shared" ca="1" si="76"/>
        <v>0</v>
      </c>
      <c r="AK38" s="945">
        <f t="shared" ca="1" si="76"/>
        <v>0</v>
      </c>
      <c r="AL38" s="945">
        <f t="shared" ca="1" si="76"/>
        <v>0</v>
      </c>
      <c r="AM38" s="945">
        <f t="shared" ca="1" si="76"/>
        <v>0</v>
      </c>
      <c r="AN38" s="945">
        <f t="shared" ca="1" si="76"/>
        <v>0</v>
      </c>
      <c r="AO38" s="945">
        <f ca="1">IF(AO37=0,0,AO37/$AO$37)</f>
        <v>0</v>
      </c>
      <c r="AP38" s="945">
        <f ca="1">IF(AP37=0,0,AP37/$AO$37)</f>
        <v>0</v>
      </c>
      <c r="AQ38" s="945">
        <f t="shared" ref="AQ38:BA38" ca="1" si="77">IF(AQ37=0,0,AQ37/$AO$37)</f>
        <v>0</v>
      </c>
      <c r="AR38" s="945">
        <f t="shared" ca="1" si="77"/>
        <v>0</v>
      </c>
      <c r="AS38" s="945">
        <f t="shared" ca="1" si="77"/>
        <v>0</v>
      </c>
      <c r="AT38" s="945">
        <f t="shared" ca="1" si="77"/>
        <v>0</v>
      </c>
      <c r="AU38" s="945">
        <f t="shared" ca="1" si="77"/>
        <v>0</v>
      </c>
      <c r="AV38" s="945">
        <f t="shared" ca="1" si="77"/>
        <v>0</v>
      </c>
      <c r="AW38" s="945">
        <f t="shared" ca="1" si="77"/>
        <v>0</v>
      </c>
      <c r="AX38" s="945">
        <f t="shared" ca="1" si="77"/>
        <v>0</v>
      </c>
      <c r="AY38" s="945">
        <f t="shared" ca="1" si="77"/>
        <v>0</v>
      </c>
      <c r="AZ38" s="945">
        <f t="shared" ca="1" si="77"/>
        <v>0</v>
      </c>
      <c r="BA38" s="945">
        <f t="shared" ca="1" si="77"/>
        <v>0</v>
      </c>
      <c r="BB38" s="945">
        <f ca="1">IF(BB37=0,0,BB37/$BB$37)</f>
        <v>0</v>
      </c>
      <c r="BC38" s="945">
        <f t="shared" ref="BC38:BN38" ca="1" si="78">IF(BC37=0,0,BC37/$BB$37)</f>
        <v>0</v>
      </c>
      <c r="BD38" s="945">
        <f t="shared" ca="1" si="78"/>
        <v>0</v>
      </c>
      <c r="BE38" s="945">
        <f t="shared" ca="1" si="78"/>
        <v>0</v>
      </c>
      <c r="BF38" s="945">
        <f t="shared" ca="1" si="78"/>
        <v>0</v>
      </c>
      <c r="BG38" s="945">
        <f t="shared" ca="1" si="78"/>
        <v>0</v>
      </c>
      <c r="BH38" s="945">
        <f t="shared" ca="1" si="78"/>
        <v>0</v>
      </c>
      <c r="BI38" s="945">
        <f t="shared" ca="1" si="78"/>
        <v>0</v>
      </c>
      <c r="BJ38" s="945">
        <f t="shared" ca="1" si="78"/>
        <v>0</v>
      </c>
      <c r="BK38" s="945">
        <f t="shared" ca="1" si="78"/>
        <v>0</v>
      </c>
      <c r="BL38" s="945">
        <f t="shared" ca="1" si="78"/>
        <v>0</v>
      </c>
      <c r="BM38" s="945">
        <f t="shared" ca="1" si="78"/>
        <v>0</v>
      </c>
      <c r="BN38" s="945">
        <f t="shared" ca="1" si="78"/>
        <v>0</v>
      </c>
      <c r="BO38" s="945">
        <f ca="1">IF(BO37=0,0,BO37/$BO$37)</f>
        <v>0</v>
      </c>
      <c r="BP38" s="945">
        <f t="shared" ref="BP38:CA38" ca="1" si="79">IF(BP37=0,0,BP37/$BO$37)</f>
        <v>0</v>
      </c>
      <c r="BQ38" s="945">
        <f t="shared" ca="1" si="79"/>
        <v>0</v>
      </c>
      <c r="BR38" s="945">
        <f t="shared" ca="1" si="79"/>
        <v>0</v>
      </c>
      <c r="BS38" s="945">
        <f t="shared" ca="1" si="79"/>
        <v>0</v>
      </c>
      <c r="BT38" s="945">
        <f t="shared" ca="1" si="79"/>
        <v>0</v>
      </c>
      <c r="BU38" s="945">
        <f t="shared" ca="1" si="79"/>
        <v>0</v>
      </c>
      <c r="BV38" s="945">
        <f t="shared" ca="1" si="79"/>
        <v>0</v>
      </c>
      <c r="BW38" s="945">
        <f t="shared" ca="1" si="79"/>
        <v>0</v>
      </c>
      <c r="BX38" s="945">
        <f t="shared" ca="1" si="79"/>
        <v>0</v>
      </c>
      <c r="BY38" s="945">
        <f t="shared" ca="1" si="79"/>
        <v>0</v>
      </c>
      <c r="BZ38" s="945">
        <f t="shared" ca="1" si="79"/>
        <v>0</v>
      </c>
      <c r="CA38" s="945">
        <f t="shared" ca="1" si="79"/>
        <v>0</v>
      </c>
    </row>
    <row r="39" spans="1:92" hidden="1">
      <c r="A39" s="908" t="s">
        <v>593</v>
      </c>
      <c r="B39" s="909"/>
      <c r="C39" s="909"/>
      <c r="D39" s="909"/>
      <c r="E39" s="909"/>
      <c r="F39" s="909"/>
      <c r="G39" s="909"/>
      <c r="H39" s="909"/>
      <c r="I39" s="909"/>
      <c r="J39" s="909"/>
      <c r="K39" s="909"/>
      <c r="L39" s="909"/>
      <c r="M39" s="909"/>
      <c r="N39" s="909"/>
      <c r="O39" s="945">
        <f ca="1">SUM(P39:AA39)</f>
        <v>0.99999999999999989</v>
      </c>
      <c r="P39" s="945">
        <f ca="1">IF(P38&lt;=0,0,P38/SUMIF($P38:$AA38,"&gt;0%",$P38:$AA38))</f>
        <v>0.92123024962767852</v>
      </c>
      <c r="Q39" s="945">
        <f t="shared" ref="Q39:AA39" ca="1" si="80">IF(Q38&lt;=0,0,Q38/SUMIF($P38:$AA38,"&gt;0%",$P38:$AA38))</f>
        <v>0</v>
      </c>
      <c r="R39" s="945">
        <f t="shared" si="80"/>
        <v>0</v>
      </c>
      <c r="S39" s="945">
        <f t="shared" ca="1" si="80"/>
        <v>0</v>
      </c>
      <c r="T39" s="945">
        <f t="shared" ca="1" si="80"/>
        <v>0</v>
      </c>
      <c r="U39" s="945">
        <f t="shared" ca="1" si="80"/>
        <v>0</v>
      </c>
      <c r="V39" s="945">
        <f t="shared" ca="1" si="80"/>
        <v>0</v>
      </c>
      <c r="W39" s="945">
        <f t="shared" ca="1" si="80"/>
        <v>0</v>
      </c>
      <c r="X39" s="945">
        <f t="shared" ca="1" si="80"/>
        <v>0</v>
      </c>
      <c r="Y39" s="945">
        <f t="shared" ca="1" si="80"/>
        <v>0</v>
      </c>
      <c r="Z39" s="945">
        <f t="shared" ca="1" si="80"/>
        <v>7.8769750372321382E-2</v>
      </c>
      <c r="AA39" s="945">
        <f t="shared" ca="1" si="80"/>
        <v>0</v>
      </c>
      <c r="AB39" s="945">
        <f ca="1">SUM(AC39:AN39)</f>
        <v>0</v>
      </c>
      <c r="AC39" s="945">
        <f ca="1">IF(AC38&lt;=0,0,AC38/SUMIF($AC38:$AN38,"&gt;0%",$AC38:$AN38))</f>
        <v>0</v>
      </c>
      <c r="AD39" s="945">
        <f t="shared" ref="AD39:AN39" ca="1" si="81">IF(AD38&lt;=0,0,AD38/SUMIF($AC38:$AN38,"&gt;0%",$AC38:$AN38))</f>
        <v>0</v>
      </c>
      <c r="AE39" s="945">
        <f t="shared" ca="1" si="81"/>
        <v>0</v>
      </c>
      <c r="AF39" s="945">
        <f t="shared" ca="1" si="81"/>
        <v>0</v>
      </c>
      <c r="AG39" s="945">
        <f t="shared" ca="1" si="81"/>
        <v>0</v>
      </c>
      <c r="AH39" s="945">
        <f t="shared" ca="1" si="81"/>
        <v>0</v>
      </c>
      <c r="AI39" s="945">
        <f t="shared" ca="1" si="81"/>
        <v>0</v>
      </c>
      <c r="AJ39" s="945">
        <f t="shared" ca="1" si="81"/>
        <v>0</v>
      </c>
      <c r="AK39" s="945">
        <f t="shared" ca="1" si="81"/>
        <v>0</v>
      </c>
      <c r="AL39" s="945">
        <f t="shared" ca="1" si="81"/>
        <v>0</v>
      </c>
      <c r="AM39" s="945">
        <f t="shared" ca="1" si="81"/>
        <v>0</v>
      </c>
      <c r="AN39" s="945">
        <f t="shared" ca="1" si="81"/>
        <v>0</v>
      </c>
      <c r="AO39" s="945">
        <f ca="1">SUM(AP39:BA39)</f>
        <v>0</v>
      </c>
      <c r="AP39" s="945">
        <f ca="1">IF(AP38&lt;=0,0,AP38/SUMIF($AP38:$BA38,"&gt;0%",$AP38:$BA38))</f>
        <v>0</v>
      </c>
      <c r="AQ39" s="945">
        <f t="shared" ref="AQ39:BA39" ca="1" si="82">IF(AQ38&lt;=0,0,AQ38/SUMIF($AP38:$BA38,"&gt;0%",$AP38:$BA38))</f>
        <v>0</v>
      </c>
      <c r="AR39" s="945">
        <f t="shared" ca="1" si="82"/>
        <v>0</v>
      </c>
      <c r="AS39" s="945">
        <f t="shared" ca="1" si="82"/>
        <v>0</v>
      </c>
      <c r="AT39" s="945">
        <f t="shared" ca="1" si="82"/>
        <v>0</v>
      </c>
      <c r="AU39" s="945">
        <f t="shared" ca="1" si="82"/>
        <v>0</v>
      </c>
      <c r="AV39" s="945">
        <f t="shared" ca="1" si="82"/>
        <v>0</v>
      </c>
      <c r="AW39" s="945">
        <f t="shared" ca="1" si="82"/>
        <v>0</v>
      </c>
      <c r="AX39" s="945">
        <f t="shared" ca="1" si="82"/>
        <v>0</v>
      </c>
      <c r="AY39" s="945">
        <f t="shared" ca="1" si="82"/>
        <v>0</v>
      </c>
      <c r="AZ39" s="945">
        <f t="shared" ca="1" si="82"/>
        <v>0</v>
      </c>
      <c r="BA39" s="945">
        <f t="shared" ca="1" si="82"/>
        <v>0</v>
      </c>
      <c r="BB39" s="945">
        <f ca="1">SUM(BC39:BN39)</f>
        <v>0</v>
      </c>
      <c r="BC39" s="945">
        <f ca="1">IF(BC38&lt;=0,0,BC38/SUMIF($BC38:$BN38,"&gt;0%",$BC38:$BN38))</f>
        <v>0</v>
      </c>
      <c r="BD39" s="945">
        <f t="shared" ref="BD39:BN39" ca="1" si="83">IF(BD38&lt;=0,0,BD38/SUMIF($BC38:$BN38,"&gt;0%",$BC38:$BN38))</f>
        <v>0</v>
      </c>
      <c r="BE39" s="945">
        <f t="shared" ca="1" si="83"/>
        <v>0</v>
      </c>
      <c r="BF39" s="945">
        <f t="shared" ca="1" si="83"/>
        <v>0</v>
      </c>
      <c r="BG39" s="945">
        <f t="shared" ca="1" si="83"/>
        <v>0</v>
      </c>
      <c r="BH39" s="945">
        <f t="shared" ca="1" si="83"/>
        <v>0</v>
      </c>
      <c r="BI39" s="945">
        <f t="shared" ca="1" si="83"/>
        <v>0</v>
      </c>
      <c r="BJ39" s="945">
        <f t="shared" ca="1" si="83"/>
        <v>0</v>
      </c>
      <c r="BK39" s="945">
        <f t="shared" ca="1" si="83"/>
        <v>0</v>
      </c>
      <c r="BL39" s="945">
        <f t="shared" ca="1" si="83"/>
        <v>0</v>
      </c>
      <c r="BM39" s="945">
        <f t="shared" ca="1" si="83"/>
        <v>0</v>
      </c>
      <c r="BN39" s="945">
        <f t="shared" ca="1" si="83"/>
        <v>0</v>
      </c>
      <c r="BO39" s="945">
        <f ca="1">SUM(BP39:CA39)</f>
        <v>0</v>
      </c>
      <c r="BP39" s="945">
        <f ca="1">IF(BP38&lt;=0,0,BP38/SUMIF($BP38:$CA38,"&gt;0%",$BP38:$CA38))</f>
        <v>0</v>
      </c>
      <c r="BQ39" s="945">
        <f t="shared" ref="BQ39:CA39" ca="1" si="84">IF(BQ38&lt;=0,0,BQ38/SUMIF($BP38:$CA38,"&gt;0%",$BP38:$CA38))</f>
        <v>0</v>
      </c>
      <c r="BR39" s="945">
        <f t="shared" ca="1" si="84"/>
        <v>0</v>
      </c>
      <c r="BS39" s="945">
        <f t="shared" ca="1" si="84"/>
        <v>0</v>
      </c>
      <c r="BT39" s="945">
        <f t="shared" ca="1" si="84"/>
        <v>0</v>
      </c>
      <c r="BU39" s="945">
        <f t="shared" ca="1" si="84"/>
        <v>0</v>
      </c>
      <c r="BV39" s="945">
        <f t="shared" ca="1" si="84"/>
        <v>0</v>
      </c>
      <c r="BW39" s="945">
        <f t="shared" ca="1" si="84"/>
        <v>0</v>
      </c>
      <c r="BX39" s="945">
        <f t="shared" ca="1" si="84"/>
        <v>0</v>
      </c>
      <c r="BY39" s="945">
        <f t="shared" ca="1" si="84"/>
        <v>0</v>
      </c>
      <c r="BZ39" s="945">
        <f t="shared" ca="1" si="84"/>
        <v>0</v>
      </c>
      <c r="CA39" s="945">
        <f t="shared" ca="1" si="84"/>
        <v>0</v>
      </c>
    </row>
    <row r="40" spans="1:92">
      <c r="A40" s="910" t="s">
        <v>553</v>
      </c>
      <c r="B40" s="911">
        <f ca="1">B6-B7-B8-B10-B13-B14-B15-B16-B17-B18-B19+L7+L8+L18-B20</f>
        <v>0</v>
      </c>
      <c r="C40" s="909"/>
      <c r="D40" s="909"/>
      <c r="E40" s="909"/>
      <c r="F40" s="909"/>
      <c r="G40" s="909"/>
      <c r="H40" s="909"/>
      <c r="I40" s="909"/>
      <c r="J40" s="909"/>
      <c r="K40" s="909"/>
      <c r="L40" s="909"/>
      <c r="M40" s="909"/>
      <c r="N40" s="909"/>
      <c r="O40" s="946">
        <f t="shared" ref="O40:AA40" ca="1" si="85">O9-SUM(O13:O18,O10)-O20-O19</f>
        <v>0</v>
      </c>
      <c r="P40" s="946">
        <f t="shared" ca="1" si="85"/>
        <v>0</v>
      </c>
      <c r="Q40" s="946">
        <f t="shared" ca="1" si="85"/>
        <v>0</v>
      </c>
      <c r="R40" s="946">
        <f t="shared" ca="1" si="85"/>
        <v>0</v>
      </c>
      <c r="S40" s="946">
        <f t="shared" ca="1" si="85"/>
        <v>0</v>
      </c>
      <c r="T40" s="946">
        <f t="shared" ca="1" si="85"/>
        <v>0</v>
      </c>
      <c r="U40" s="946">
        <f t="shared" ca="1" si="85"/>
        <v>0</v>
      </c>
      <c r="V40" s="946">
        <f t="shared" ca="1" si="85"/>
        <v>0</v>
      </c>
      <c r="W40" s="946">
        <f t="shared" ca="1" si="85"/>
        <v>0</v>
      </c>
      <c r="X40" s="946">
        <f t="shared" ca="1" si="85"/>
        <v>0</v>
      </c>
      <c r="Y40" s="946">
        <f t="shared" ca="1" si="85"/>
        <v>0</v>
      </c>
      <c r="Z40" s="946">
        <f t="shared" ca="1" si="85"/>
        <v>0</v>
      </c>
      <c r="AA40" s="946">
        <f t="shared" ca="1" si="85"/>
        <v>0</v>
      </c>
      <c r="AB40" s="945"/>
      <c r="AC40" s="945"/>
      <c r="AD40" s="945"/>
      <c r="AE40" s="945"/>
      <c r="AF40" s="945"/>
      <c r="AG40" s="945"/>
      <c r="AH40" s="945"/>
      <c r="AI40" s="945"/>
      <c r="AJ40" s="945"/>
      <c r="AK40" s="945"/>
      <c r="AL40" s="945"/>
      <c r="AM40" s="945"/>
      <c r="AN40" s="945"/>
      <c r="AO40" s="945"/>
      <c r="AP40" s="945"/>
      <c r="AQ40" s="945"/>
      <c r="AR40" s="945"/>
      <c r="AS40" s="945"/>
      <c r="AT40" s="945"/>
      <c r="AU40" s="945"/>
      <c r="AV40" s="945"/>
      <c r="AW40" s="945"/>
      <c r="AX40" s="945"/>
      <c r="AY40" s="945"/>
      <c r="AZ40" s="945"/>
      <c r="BA40" s="945"/>
      <c r="BB40" s="945"/>
      <c r="BC40" s="945"/>
      <c r="BD40" s="945"/>
      <c r="BE40" s="945"/>
      <c r="BF40" s="945"/>
      <c r="BG40" s="945"/>
      <c r="BH40" s="945"/>
      <c r="BI40" s="945"/>
      <c r="BJ40" s="945"/>
      <c r="BK40" s="945"/>
      <c r="BL40" s="945"/>
      <c r="BM40" s="945"/>
      <c r="BN40" s="945"/>
      <c r="BO40" s="945"/>
      <c r="BP40" s="945"/>
      <c r="BQ40" s="945"/>
      <c r="BR40" s="945"/>
      <c r="BS40" s="945"/>
      <c r="BT40" s="945"/>
      <c r="BU40" s="945"/>
      <c r="BV40" s="945"/>
      <c r="BW40" s="945"/>
      <c r="BX40" s="945"/>
      <c r="BY40" s="945"/>
      <c r="BZ40" s="945"/>
      <c r="CA40" s="945"/>
    </row>
    <row r="41" spans="1:92">
      <c r="A41" s="908"/>
      <c r="B41" s="909"/>
      <c r="C41" s="909"/>
      <c r="D41" s="909"/>
      <c r="E41" s="909"/>
      <c r="F41" s="909"/>
      <c r="G41" s="909"/>
      <c r="H41" s="909"/>
      <c r="I41" s="909"/>
      <c r="J41" s="909"/>
      <c r="K41" s="909"/>
      <c r="L41" s="909"/>
      <c r="M41" s="909"/>
      <c r="N41" s="909"/>
      <c r="O41" s="945"/>
      <c r="P41" s="945"/>
      <c r="Q41" s="945"/>
      <c r="R41" s="945"/>
      <c r="S41" s="945"/>
      <c r="T41" s="945"/>
      <c r="U41" s="945"/>
      <c r="V41" s="945"/>
      <c r="W41" s="945"/>
      <c r="X41" s="945"/>
      <c r="Y41" s="945"/>
      <c r="Z41" s="945"/>
      <c r="AA41" s="945"/>
      <c r="AB41" s="945"/>
      <c r="AC41" s="945"/>
      <c r="AD41" s="945"/>
      <c r="AE41" s="945"/>
      <c r="AF41" s="945"/>
      <c r="AG41" s="945"/>
      <c r="AH41" s="945"/>
      <c r="AI41" s="945"/>
      <c r="AJ41" s="945"/>
      <c r="AK41" s="945"/>
      <c r="AL41" s="945"/>
      <c r="AM41" s="945"/>
      <c r="AN41" s="945"/>
      <c r="AO41" s="945"/>
      <c r="AP41" s="945"/>
      <c r="AQ41" s="945"/>
      <c r="AR41" s="945"/>
      <c r="AS41" s="945"/>
      <c r="AT41" s="945"/>
      <c r="AU41" s="945"/>
      <c r="AV41" s="945"/>
      <c r="AW41" s="945"/>
      <c r="AX41" s="945"/>
      <c r="AY41" s="945"/>
      <c r="AZ41" s="945"/>
      <c r="BA41" s="945"/>
      <c r="BB41" s="945"/>
      <c r="BC41" s="945"/>
      <c r="BD41" s="945"/>
      <c r="BE41" s="945"/>
      <c r="BF41" s="945"/>
      <c r="BG41" s="945"/>
      <c r="BH41" s="945"/>
      <c r="BI41" s="945"/>
      <c r="BJ41" s="945"/>
      <c r="BK41" s="945"/>
      <c r="BL41" s="945"/>
      <c r="BM41" s="945"/>
      <c r="BN41" s="945"/>
      <c r="BO41" s="945"/>
      <c r="BP41" s="945"/>
      <c r="BQ41" s="945"/>
      <c r="BR41" s="945"/>
      <c r="BS41" s="945"/>
      <c r="BT41" s="945"/>
      <c r="BU41" s="945"/>
      <c r="BV41" s="945"/>
      <c r="BW41" s="945"/>
      <c r="BX41" s="945"/>
      <c r="BY41" s="945"/>
      <c r="BZ41" s="945"/>
      <c r="CA41" s="945"/>
    </row>
    <row r="42" spans="1:92" hidden="1">
      <c r="A42" s="908"/>
      <c r="B42" s="909"/>
      <c r="C42" s="909"/>
      <c r="D42" s="909"/>
      <c r="E42" s="909"/>
      <c r="F42" s="909"/>
      <c r="G42" s="909"/>
      <c r="H42" s="909"/>
      <c r="I42" s="909"/>
      <c r="J42" s="909"/>
      <c r="K42" s="909"/>
      <c r="L42" s="909"/>
      <c r="M42" s="909"/>
      <c r="N42" s="909"/>
      <c r="O42" s="945"/>
      <c r="P42" s="945"/>
      <c r="Q42" s="945"/>
      <c r="R42" s="945"/>
      <c r="S42" s="945"/>
      <c r="T42" s="945"/>
      <c r="U42" s="945"/>
      <c r="V42" s="945"/>
      <c r="W42" s="945"/>
      <c r="X42" s="945"/>
      <c r="Y42" s="945"/>
      <c r="Z42" s="945"/>
      <c r="AA42" s="945"/>
      <c r="AB42" s="945"/>
      <c r="AC42" s="945"/>
      <c r="AD42" s="945"/>
      <c r="AE42" s="945"/>
      <c r="AF42" s="945"/>
      <c r="AG42" s="945"/>
      <c r="AH42" s="945"/>
      <c r="AI42" s="945"/>
      <c r="AJ42" s="945"/>
      <c r="AK42" s="945"/>
      <c r="AL42" s="945"/>
      <c r="AM42" s="945"/>
      <c r="AN42" s="945"/>
      <c r="AO42" s="945"/>
      <c r="AP42" s="945"/>
      <c r="AQ42" s="945"/>
      <c r="AR42" s="945"/>
      <c r="AS42" s="945"/>
      <c r="AT42" s="945"/>
      <c r="AU42" s="945"/>
      <c r="AV42" s="945"/>
      <c r="AW42" s="945"/>
      <c r="AX42" s="945"/>
      <c r="AY42" s="945"/>
      <c r="AZ42" s="945"/>
      <c r="BA42" s="945"/>
      <c r="BB42" s="945"/>
      <c r="BC42" s="945"/>
      <c r="BD42" s="945"/>
      <c r="BE42" s="945"/>
      <c r="BF42" s="945"/>
      <c r="BG42" s="945"/>
      <c r="BH42" s="945"/>
      <c r="BI42" s="945"/>
      <c r="BJ42" s="945"/>
      <c r="BK42" s="945"/>
      <c r="BL42" s="945"/>
      <c r="BM42" s="945"/>
      <c r="BN42" s="945"/>
      <c r="BO42" s="945"/>
      <c r="BP42" s="945"/>
      <c r="BQ42" s="945"/>
      <c r="BR42" s="945"/>
      <c r="BS42" s="945"/>
      <c r="BT42" s="945"/>
      <c r="BU42" s="945"/>
      <c r="BV42" s="945"/>
      <c r="BW42" s="945"/>
      <c r="BX42" s="945"/>
      <c r="BY42" s="945"/>
      <c r="BZ42" s="945"/>
      <c r="CA42" s="945"/>
    </row>
    <row r="43" spans="1:92" ht="19.5" customHeight="1">
      <c r="A43" s="517" t="s">
        <v>673</v>
      </c>
      <c r="B43" s="912"/>
      <c r="C43" s="909"/>
      <c r="D43" s="909"/>
      <c r="E43" s="909"/>
      <c r="F43" s="909"/>
      <c r="G43" s="909"/>
      <c r="H43" s="909"/>
      <c r="I43" s="909"/>
      <c r="J43" s="909"/>
      <c r="K43" s="909"/>
      <c r="L43" s="909"/>
      <c r="M43" s="909"/>
      <c r="N43" s="909"/>
      <c r="O43" s="945"/>
      <c r="P43" s="945"/>
      <c r="Q43" s="945"/>
      <c r="R43" s="945"/>
      <c r="S43" s="945"/>
      <c r="T43" s="945"/>
      <c r="U43" s="945"/>
      <c r="V43" s="945"/>
      <c r="W43" s="945"/>
      <c r="X43" s="945"/>
      <c r="Y43" s="945"/>
      <c r="Z43" s="945"/>
      <c r="AA43" s="945"/>
      <c r="AB43" s="945"/>
      <c r="AC43" s="945"/>
      <c r="AD43" s="945"/>
      <c r="AE43" s="945"/>
      <c r="AF43" s="945"/>
      <c r="AG43" s="945"/>
      <c r="AH43" s="945"/>
      <c r="AI43" s="945"/>
      <c r="AJ43" s="945"/>
      <c r="AK43" s="945"/>
      <c r="AL43" s="945"/>
      <c r="AM43" s="945"/>
      <c r="AN43" s="945"/>
      <c r="AO43" s="945"/>
      <c r="AP43" s="945"/>
      <c r="AQ43" s="945"/>
      <c r="AR43" s="945"/>
      <c r="AS43" s="945"/>
      <c r="AT43" s="945"/>
      <c r="AU43" s="945"/>
      <c r="AV43" s="945"/>
      <c r="AW43" s="945"/>
      <c r="AX43" s="945"/>
      <c r="AY43" s="945"/>
      <c r="AZ43" s="945"/>
      <c r="BA43" s="945"/>
      <c r="BB43" s="945"/>
      <c r="BC43" s="945"/>
      <c r="BD43" s="945"/>
      <c r="BE43" s="945"/>
      <c r="BF43" s="945"/>
      <c r="BG43" s="945"/>
      <c r="BH43" s="945"/>
      <c r="BI43" s="945"/>
      <c r="BJ43" s="945"/>
      <c r="BK43" s="945"/>
      <c r="BL43" s="945"/>
      <c r="BM43" s="945"/>
      <c r="BN43" s="945"/>
      <c r="BO43" s="945"/>
      <c r="BP43" s="945"/>
      <c r="BQ43" s="945"/>
      <c r="BR43" s="945"/>
      <c r="BS43" s="945"/>
      <c r="BT43" s="945"/>
      <c r="BU43" s="945"/>
      <c r="BV43" s="945"/>
      <c r="BW43" s="945"/>
      <c r="BX43" s="945"/>
      <c r="BY43" s="945"/>
      <c r="BZ43" s="945"/>
      <c r="CA43" s="945"/>
    </row>
    <row r="44" spans="1:92" ht="17.25" customHeight="1">
      <c r="A44" s="913" t="s">
        <v>598</v>
      </c>
      <c r="B44" s="692" t="s">
        <v>550</v>
      </c>
      <c r="C44" s="692" t="str">
        <f t="shared" ref="C44:N44" si="86">C5</f>
        <v>高层</v>
      </c>
      <c r="D44" s="692" t="str">
        <f t="shared" si="86"/>
        <v>商铺</v>
      </c>
      <c r="E44" s="692" t="str">
        <f t="shared" si="86"/>
        <v>回迁商业</v>
      </c>
      <c r="F44" s="692">
        <f t="shared" si="86"/>
        <v>0</v>
      </c>
      <c r="G44" s="692">
        <f t="shared" si="86"/>
        <v>0</v>
      </c>
      <c r="H44" s="692">
        <f t="shared" si="86"/>
        <v>0</v>
      </c>
      <c r="I44" s="692">
        <f t="shared" si="86"/>
        <v>0</v>
      </c>
      <c r="J44" s="692">
        <f t="shared" si="86"/>
        <v>0</v>
      </c>
      <c r="K44" s="692">
        <f t="shared" si="86"/>
        <v>0</v>
      </c>
      <c r="L44" s="692" t="str">
        <f t="shared" si="86"/>
        <v>自持物业</v>
      </c>
      <c r="M44" s="692" t="str">
        <f t="shared" si="86"/>
        <v>有产权车库(个)</v>
      </c>
      <c r="N44" s="947" t="str">
        <f t="shared" si="86"/>
        <v>无产权车库(个)</v>
      </c>
    </row>
    <row r="45" spans="1:92" ht="17.25" customHeight="1">
      <c r="A45" s="1878" t="s">
        <v>19</v>
      </c>
      <c r="B45" s="914" t="s">
        <v>674</v>
      </c>
      <c r="C45" s="915">
        <f t="shared" ref="C45:K45" si="87">IF(P34=0,0,P6/P34*10000)</f>
        <v>15531.335999999999</v>
      </c>
      <c r="D45" s="915">
        <f t="shared" si="87"/>
        <v>24000</v>
      </c>
      <c r="E45" s="915">
        <f t="shared" si="87"/>
        <v>0</v>
      </c>
      <c r="F45" s="915">
        <f t="shared" si="87"/>
        <v>0</v>
      </c>
      <c r="G45" s="915">
        <f t="shared" si="87"/>
        <v>0</v>
      </c>
      <c r="H45" s="915">
        <f t="shared" si="87"/>
        <v>0</v>
      </c>
      <c r="I45" s="915">
        <f t="shared" si="87"/>
        <v>0</v>
      </c>
      <c r="J45" s="915">
        <f t="shared" si="87"/>
        <v>0</v>
      </c>
      <c r="K45" s="915">
        <f t="shared" si="87"/>
        <v>0</v>
      </c>
      <c r="L45" s="915"/>
      <c r="M45" s="915">
        <f>IF(Z34=0,0,Z6/'8.项目规划指标表'!I18*10000)</f>
        <v>112000</v>
      </c>
      <c r="N45" s="948">
        <f>IF(AA34=0,0,AA6/'8.项目规划指标表'!I19*10000)</f>
        <v>0</v>
      </c>
    </row>
    <row r="46" spans="1:92" ht="17.25" customHeight="1">
      <c r="A46" s="1878"/>
      <c r="B46" s="916" t="s">
        <v>675</v>
      </c>
      <c r="C46" s="917">
        <f ca="1">'3.保本售价试算'!P2</f>
        <v>12282.165868023802</v>
      </c>
      <c r="D46" s="917">
        <f ca="1">'3.保本售价试算'!Q2</f>
        <v>67796.160217789351</v>
      </c>
      <c r="E46" s="917">
        <f ca="1">'3.保本售价试算'!R2</f>
        <v>0</v>
      </c>
      <c r="F46" s="917">
        <f ca="1">'3.保本售价试算'!S2</f>
        <v>0</v>
      </c>
      <c r="G46" s="917">
        <f ca="1">'3.保本售价试算'!T2</f>
        <v>0</v>
      </c>
      <c r="H46" s="917">
        <f ca="1">'3.保本售价试算'!U2</f>
        <v>0</v>
      </c>
      <c r="I46" s="917">
        <f ca="1">'3.保本售价试算'!V2</f>
        <v>0</v>
      </c>
      <c r="J46" s="917">
        <f ca="1">'3.保本售价试算'!W2</f>
        <v>0</v>
      </c>
      <c r="K46" s="917">
        <f ca="1">'3.保本售价试算'!X2</f>
        <v>0</v>
      </c>
      <c r="L46" s="917"/>
      <c r="M46" s="917">
        <f ca="1">'3.保本售价试算'!Z2</f>
        <v>57054.964073432391</v>
      </c>
      <c r="N46" s="949">
        <f ca="1">'3.保本售价试算'!AA2</f>
        <v>0</v>
      </c>
    </row>
    <row r="47" spans="1:92" ht="17.25" customHeight="1">
      <c r="A47" s="1878" t="s">
        <v>20</v>
      </c>
      <c r="B47" s="914" t="s">
        <v>674</v>
      </c>
      <c r="C47" s="915">
        <f t="shared" ref="C47:K47" si="88">IF(AC34=0,0,AC6/AC34*10000)</f>
        <v>0</v>
      </c>
      <c r="D47" s="915">
        <f t="shared" si="88"/>
        <v>0</v>
      </c>
      <c r="E47" s="915">
        <f t="shared" si="88"/>
        <v>0</v>
      </c>
      <c r="F47" s="915">
        <f t="shared" si="88"/>
        <v>0</v>
      </c>
      <c r="G47" s="915">
        <f t="shared" si="88"/>
        <v>0</v>
      </c>
      <c r="H47" s="915">
        <f t="shared" si="88"/>
        <v>0</v>
      </c>
      <c r="I47" s="915">
        <f t="shared" si="88"/>
        <v>0</v>
      </c>
      <c r="J47" s="915">
        <f t="shared" si="88"/>
        <v>0</v>
      </c>
      <c r="K47" s="915">
        <f t="shared" si="88"/>
        <v>0</v>
      </c>
      <c r="L47" s="915"/>
      <c r="M47" s="915">
        <f>IF(AM34=0,0,AM6/'8.项目规划指标表'!M18*10000)</f>
        <v>0</v>
      </c>
      <c r="N47" s="948">
        <f>IF(AN34=0,0,AN6/'8.项目规划指标表'!M19*10000)</f>
        <v>0</v>
      </c>
    </row>
    <row r="48" spans="1:92" ht="17.25" customHeight="1">
      <c r="A48" s="1878"/>
      <c r="B48" s="916" t="s">
        <v>675</v>
      </c>
      <c r="C48" s="917">
        <f ca="1">'3.保本售价试算'!AC2</f>
        <v>0</v>
      </c>
      <c r="D48" s="917">
        <f ca="1">'3.保本售价试算'!AD2</f>
        <v>0</v>
      </c>
      <c r="E48" s="917">
        <f ca="1">'3.保本售价试算'!AE2</f>
        <v>0</v>
      </c>
      <c r="F48" s="917">
        <f ca="1">'3.保本售价试算'!AF2</f>
        <v>0</v>
      </c>
      <c r="G48" s="917">
        <f ca="1">'3.保本售价试算'!AG2</f>
        <v>0</v>
      </c>
      <c r="H48" s="917">
        <f ca="1">'3.保本售价试算'!AH2</f>
        <v>0</v>
      </c>
      <c r="I48" s="917">
        <f ca="1">'3.保本售价试算'!AI2</f>
        <v>0</v>
      </c>
      <c r="J48" s="917">
        <f ca="1">'3.保本售价试算'!AJ2</f>
        <v>0</v>
      </c>
      <c r="K48" s="917">
        <f ca="1">'3.保本售价试算'!AK2</f>
        <v>0</v>
      </c>
      <c r="L48" s="917"/>
      <c r="M48" s="917">
        <f ca="1">'3.保本售价试算'!AM2</f>
        <v>0</v>
      </c>
      <c r="N48" s="949">
        <f ca="1">'3.保本售价试算'!AN2</f>
        <v>0</v>
      </c>
    </row>
    <row r="49" spans="1:14" ht="17.25" customHeight="1">
      <c r="A49" s="1878" t="s">
        <v>21</v>
      </c>
      <c r="B49" s="914" t="s">
        <v>674</v>
      </c>
      <c r="C49" s="915">
        <f t="shared" ref="C49:K49" si="89">IF(AP34=0,0,AP6/AP34*10000)</f>
        <v>0</v>
      </c>
      <c r="D49" s="915">
        <f t="shared" si="89"/>
        <v>0</v>
      </c>
      <c r="E49" s="915">
        <f t="shared" si="89"/>
        <v>0</v>
      </c>
      <c r="F49" s="915">
        <f t="shared" si="89"/>
        <v>0</v>
      </c>
      <c r="G49" s="915">
        <f t="shared" si="89"/>
        <v>0</v>
      </c>
      <c r="H49" s="915">
        <f t="shared" si="89"/>
        <v>0</v>
      </c>
      <c r="I49" s="915">
        <f t="shared" si="89"/>
        <v>0</v>
      </c>
      <c r="J49" s="915">
        <f t="shared" si="89"/>
        <v>0</v>
      </c>
      <c r="K49" s="915">
        <f t="shared" si="89"/>
        <v>0</v>
      </c>
      <c r="L49" s="915"/>
      <c r="M49" s="915">
        <f>IF(AZ34=0,0,AZ6/'8.项目规划指标表'!Q18*10000)</f>
        <v>0</v>
      </c>
      <c r="N49" s="948">
        <f>IF(BA34=0,0,BA6/'8.项目规划指标表'!Q19*10000)</f>
        <v>0</v>
      </c>
    </row>
    <row r="50" spans="1:14" ht="17.25" customHeight="1">
      <c r="A50" s="1878"/>
      <c r="B50" s="916" t="s">
        <v>675</v>
      </c>
      <c r="C50" s="917">
        <f ca="1">'3.保本售价试算'!AP2</f>
        <v>0</v>
      </c>
      <c r="D50" s="917">
        <f ca="1">'3.保本售价试算'!AQ2</f>
        <v>0</v>
      </c>
      <c r="E50" s="917">
        <f ca="1">'3.保本售价试算'!AR2</f>
        <v>0</v>
      </c>
      <c r="F50" s="917">
        <f ca="1">'3.保本售价试算'!AS2</f>
        <v>0</v>
      </c>
      <c r="G50" s="917">
        <f ca="1">'3.保本售价试算'!AT2</f>
        <v>0</v>
      </c>
      <c r="H50" s="917">
        <f ca="1">'3.保本售价试算'!AU2</f>
        <v>0</v>
      </c>
      <c r="I50" s="917">
        <f ca="1">'3.保本售价试算'!AV2</f>
        <v>0</v>
      </c>
      <c r="J50" s="917">
        <f ca="1">'3.保本售价试算'!AW2</f>
        <v>0</v>
      </c>
      <c r="K50" s="917">
        <f ca="1">'3.保本售价试算'!AX2</f>
        <v>0</v>
      </c>
      <c r="L50" s="917"/>
      <c r="M50" s="917">
        <f ca="1">'3.保本售价试算'!AZ2</f>
        <v>0</v>
      </c>
      <c r="N50" s="949">
        <f ca="1">'3.保本售价试算'!BA2</f>
        <v>0</v>
      </c>
    </row>
    <row r="51" spans="1:14" ht="17.25" customHeight="1">
      <c r="A51" s="1878" t="s">
        <v>22</v>
      </c>
      <c r="B51" s="914" t="s">
        <v>674</v>
      </c>
      <c r="C51" s="915">
        <f t="shared" ref="C51:K51" si="90">IF(BC34=0,0,BC6/BC34*10000)</f>
        <v>0</v>
      </c>
      <c r="D51" s="915">
        <f t="shared" si="90"/>
        <v>0</v>
      </c>
      <c r="E51" s="915">
        <f t="shared" si="90"/>
        <v>0</v>
      </c>
      <c r="F51" s="915">
        <f t="shared" si="90"/>
        <v>0</v>
      </c>
      <c r="G51" s="915">
        <f t="shared" si="90"/>
        <v>0</v>
      </c>
      <c r="H51" s="915">
        <f t="shared" si="90"/>
        <v>0</v>
      </c>
      <c r="I51" s="915">
        <f t="shared" si="90"/>
        <v>0</v>
      </c>
      <c r="J51" s="915">
        <f t="shared" si="90"/>
        <v>0</v>
      </c>
      <c r="K51" s="915">
        <f t="shared" si="90"/>
        <v>0</v>
      </c>
      <c r="L51" s="915"/>
      <c r="M51" s="915">
        <f>IF(BM34=0,0,BM6/'8.项目规划指标表'!U18*10000)</f>
        <v>0</v>
      </c>
      <c r="N51" s="948">
        <f>IF(BN34=0,0,BN6/'8.项目规划指标表'!U19*10000)</f>
        <v>0</v>
      </c>
    </row>
    <row r="52" spans="1:14" ht="17.25" customHeight="1">
      <c r="A52" s="1878"/>
      <c r="B52" s="916" t="s">
        <v>675</v>
      </c>
      <c r="C52" s="917">
        <f ca="1">'3.保本售价试算'!BC2</f>
        <v>0</v>
      </c>
      <c r="D52" s="917">
        <f ca="1">'3.保本售价试算'!BD2</f>
        <v>0</v>
      </c>
      <c r="E52" s="917">
        <f ca="1">'3.保本售价试算'!BE2</f>
        <v>0</v>
      </c>
      <c r="F52" s="917">
        <f ca="1">'3.保本售价试算'!BF2</f>
        <v>0</v>
      </c>
      <c r="G52" s="917">
        <f ca="1">'3.保本售价试算'!BG2</f>
        <v>0</v>
      </c>
      <c r="H52" s="917">
        <f ca="1">'3.保本售价试算'!BH2</f>
        <v>0</v>
      </c>
      <c r="I52" s="917">
        <f ca="1">'3.保本售价试算'!BI2</f>
        <v>0</v>
      </c>
      <c r="J52" s="917">
        <f ca="1">'3.保本售价试算'!BJ2</f>
        <v>0</v>
      </c>
      <c r="K52" s="917">
        <f ca="1">'3.保本售价试算'!BK2</f>
        <v>0</v>
      </c>
      <c r="L52" s="917"/>
      <c r="M52" s="917">
        <f ca="1">'3.保本售价试算'!BM2</f>
        <v>0</v>
      </c>
      <c r="N52" s="949">
        <f ca="1">'3.保本售价试算'!BN2</f>
        <v>0</v>
      </c>
    </row>
    <row r="53" spans="1:14" ht="17.25" customHeight="1">
      <c r="A53" s="1878" t="s">
        <v>23</v>
      </c>
      <c r="B53" s="914" t="s">
        <v>674</v>
      </c>
      <c r="C53" s="915">
        <f t="shared" ref="C53:K53" si="91">IF(BP34=0,0,BP6/BP34*10000)</f>
        <v>0</v>
      </c>
      <c r="D53" s="915">
        <f t="shared" si="91"/>
        <v>0</v>
      </c>
      <c r="E53" s="915">
        <f t="shared" si="91"/>
        <v>0</v>
      </c>
      <c r="F53" s="915">
        <f t="shared" si="91"/>
        <v>0</v>
      </c>
      <c r="G53" s="915">
        <f t="shared" si="91"/>
        <v>0</v>
      </c>
      <c r="H53" s="915">
        <f t="shared" si="91"/>
        <v>0</v>
      </c>
      <c r="I53" s="915">
        <f t="shared" si="91"/>
        <v>0</v>
      </c>
      <c r="J53" s="915">
        <f t="shared" si="91"/>
        <v>0</v>
      </c>
      <c r="K53" s="915">
        <f t="shared" si="91"/>
        <v>0</v>
      </c>
      <c r="L53" s="915"/>
      <c r="M53" s="915">
        <f>IF(BZ34=0,0,BZ6/'8.项目规划指标表'!Y18*10000)</f>
        <v>0</v>
      </c>
      <c r="N53" s="948">
        <f>IF(CA34=0,0,CA6/'8.项目规划指标表'!Y19*10000)</f>
        <v>0</v>
      </c>
    </row>
    <row r="54" spans="1:14" ht="17.25" customHeight="1">
      <c r="A54" s="1878"/>
      <c r="B54" s="916" t="s">
        <v>675</v>
      </c>
      <c r="C54" s="917">
        <f ca="1">'3.保本售价试算'!BP2</f>
        <v>0</v>
      </c>
      <c r="D54" s="917">
        <f ca="1">'3.保本售价试算'!BQ2</f>
        <v>0</v>
      </c>
      <c r="E54" s="917">
        <f ca="1">'3.保本售价试算'!BR2</f>
        <v>0</v>
      </c>
      <c r="F54" s="917">
        <f ca="1">'3.保本售价试算'!BS2</f>
        <v>0</v>
      </c>
      <c r="G54" s="917">
        <f ca="1">'3.保本售价试算'!BT2</f>
        <v>0</v>
      </c>
      <c r="H54" s="917">
        <f ca="1">'3.保本售价试算'!BU2</f>
        <v>0</v>
      </c>
      <c r="I54" s="917">
        <f ca="1">'3.保本售价试算'!BV2</f>
        <v>0</v>
      </c>
      <c r="J54" s="917">
        <f ca="1">'3.保本售价试算'!BW2</f>
        <v>0</v>
      </c>
      <c r="K54" s="917">
        <f ca="1">'3.保本售价试算'!BX2</f>
        <v>0</v>
      </c>
      <c r="L54" s="917"/>
      <c r="M54" s="917">
        <f ca="1">'3.保本售价试算'!BZ2</f>
        <v>0</v>
      </c>
      <c r="N54" s="949">
        <f ca="1">'3.保本售价试算'!CA2</f>
        <v>0</v>
      </c>
    </row>
    <row r="55" spans="1:14" ht="17.25" customHeight="1">
      <c r="A55" s="1878" t="s">
        <v>24</v>
      </c>
      <c r="B55" s="914" t="s">
        <v>674</v>
      </c>
      <c r="C55" s="915">
        <f t="shared" ref="C55:K55" si="92">IF(CC36=0,0,CC8/CC36*10000)</f>
        <v>0</v>
      </c>
      <c r="D55" s="915">
        <f t="shared" si="92"/>
        <v>0</v>
      </c>
      <c r="E55" s="915">
        <f t="shared" si="92"/>
        <v>0</v>
      </c>
      <c r="F55" s="915">
        <f t="shared" si="92"/>
        <v>0</v>
      </c>
      <c r="G55" s="915">
        <f t="shared" si="92"/>
        <v>0</v>
      </c>
      <c r="H55" s="915">
        <f t="shared" si="92"/>
        <v>0</v>
      </c>
      <c r="I55" s="915">
        <f t="shared" si="92"/>
        <v>0</v>
      </c>
      <c r="J55" s="915">
        <f t="shared" si="92"/>
        <v>0</v>
      </c>
      <c r="K55" s="915">
        <f t="shared" si="92"/>
        <v>0</v>
      </c>
      <c r="L55" s="915"/>
      <c r="M55" s="915">
        <f>IF(CM36=0,0,CM8/'8.项目规划指标表'!AC18*10000)</f>
        <v>0</v>
      </c>
      <c r="N55" s="948">
        <f>IF(CN36=0,0,CN8/'8.项目规划指标表'!AD19*10000)</f>
        <v>0</v>
      </c>
    </row>
    <row r="56" spans="1:14" ht="17.25" customHeight="1">
      <c r="A56" s="1879"/>
      <c r="B56" s="918" t="s">
        <v>675</v>
      </c>
      <c r="C56" s="919">
        <f ca="1">'3.保本售价试算'!CC2</f>
        <v>0</v>
      </c>
      <c r="D56" s="919">
        <f ca="1">'3.保本售价试算'!CD2</f>
        <v>0</v>
      </c>
      <c r="E56" s="919">
        <f ca="1">'3.保本售价试算'!CE2</f>
        <v>0</v>
      </c>
      <c r="F56" s="919">
        <f ca="1">'3.保本售价试算'!CF2</f>
        <v>0</v>
      </c>
      <c r="G56" s="919">
        <f ca="1">'3.保本售价试算'!CG2</f>
        <v>0</v>
      </c>
      <c r="H56" s="919">
        <f ca="1">'3.保本售价试算'!CH2</f>
        <v>0</v>
      </c>
      <c r="I56" s="919">
        <f ca="1">'3.保本售价试算'!CI2</f>
        <v>0</v>
      </c>
      <c r="J56" s="919">
        <f ca="1">'3.保本售价试算'!CJ2</f>
        <v>0</v>
      </c>
      <c r="K56" s="919">
        <f ca="1">'3.保本售价试算'!CK2</f>
        <v>0</v>
      </c>
      <c r="L56" s="919"/>
      <c r="M56" s="919">
        <f ca="1">'3.保本售价试算'!CM2</f>
        <v>0</v>
      </c>
      <c r="N56" s="950">
        <f ca="1">'3.保本售价试算'!CN2</f>
        <v>0</v>
      </c>
    </row>
  </sheetData>
  <sheetProtection password="D9A8" sheet="1" objects="1" scenarios="1"/>
  <mergeCells count="14">
    <mergeCell ref="A49:A50"/>
    <mergeCell ref="A51:A52"/>
    <mergeCell ref="A53:A54"/>
    <mergeCell ref="A55:A56"/>
    <mergeCell ref="BO4:CA4"/>
    <mergeCell ref="CB4:CN4"/>
    <mergeCell ref="A4:A5"/>
    <mergeCell ref="A45:A46"/>
    <mergeCell ref="A47:A48"/>
    <mergeCell ref="B4:N4"/>
    <mergeCell ref="O4:AA4"/>
    <mergeCell ref="AB4:AN4"/>
    <mergeCell ref="AO4:BA4"/>
    <mergeCell ref="BB4:BN4"/>
  </mergeCells>
  <phoneticPr fontId="102" type="noConversion"/>
  <hyperlinks>
    <hyperlink ref="D1" location="目录!A1" display="返回目录"/>
  </hyperlinks>
  <pageMargins left="0.69930555555555596" right="0.69930555555555596"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outlinePr summaryBelow="0" summaryRight="0"/>
  </sheetPr>
  <dimension ref="A1:AU359"/>
  <sheetViews>
    <sheetView showGridLines="0" workbookViewId="0">
      <pane xSplit="2" ySplit="5" topLeftCell="C339" activePane="bottomRight" state="frozen"/>
      <selection pane="topRight"/>
      <selection pane="bottomLeft"/>
      <selection pane="bottomRight" activeCell="M9" sqref="M9"/>
    </sheetView>
  </sheetViews>
  <sheetFormatPr defaultColWidth="9" defaultRowHeight="13.5" outlineLevelRow="2"/>
  <cols>
    <col min="1" max="1" width="20.125" customWidth="1"/>
    <col min="2" max="2" width="10.5" customWidth="1"/>
    <col min="4" max="4" width="9.5" customWidth="1"/>
  </cols>
  <sheetData>
    <row r="1" spans="1:46" s="77" customFormat="1" ht="18.75">
      <c r="A1" s="79" t="s">
        <v>676</v>
      </c>
      <c r="B1" s="79"/>
      <c r="C1" s="80" t="s">
        <v>117</v>
      </c>
    </row>
    <row r="2" spans="1:46" s="77" customFormat="1" ht="12.75">
      <c r="D2" s="690"/>
      <c r="E2" s="690"/>
      <c r="F2" s="690"/>
      <c r="H2" s="690"/>
      <c r="I2" s="690"/>
      <c r="J2" s="690"/>
      <c r="L2" s="690"/>
      <c r="M2" s="690"/>
      <c r="N2" s="690"/>
      <c r="P2" s="690"/>
      <c r="Q2" s="690"/>
      <c r="R2" s="690"/>
      <c r="T2" s="690"/>
      <c r="U2" s="690"/>
      <c r="V2" s="690"/>
      <c r="X2" s="690"/>
      <c r="Y2" s="690"/>
      <c r="Z2" s="690"/>
      <c r="AB2" s="690"/>
      <c r="AC2" s="690"/>
      <c r="AD2" s="690"/>
      <c r="AF2" s="690"/>
      <c r="AG2" s="690"/>
      <c r="AH2" s="690"/>
      <c r="AJ2" s="690"/>
      <c r="AK2" s="690"/>
      <c r="AL2" s="690"/>
      <c r="AN2" s="690"/>
      <c r="AO2" s="690"/>
      <c r="AP2" s="690"/>
      <c r="AR2" s="690"/>
      <c r="AS2" s="690"/>
      <c r="AT2" s="690"/>
    </row>
    <row r="3" spans="1:46" s="77" customFormat="1" ht="16.5" customHeight="1">
      <c r="A3" s="81" t="s">
        <v>118</v>
      </c>
      <c r="B3" s="81"/>
      <c r="D3" s="823">
        <f>B177-'5.分产品利润表'!B9</f>
        <v>0</v>
      </c>
    </row>
    <row r="4" spans="1:46" s="77" customFormat="1" ht="16.5" customHeight="1">
      <c r="A4" s="1860" t="s">
        <v>569</v>
      </c>
      <c r="B4" s="1882" t="s">
        <v>677</v>
      </c>
      <c r="C4" s="1880">
        <f>'1.参数设置'!C4</f>
        <v>2018</v>
      </c>
      <c r="D4" s="1881"/>
      <c r="E4" s="1881"/>
      <c r="F4" s="1881"/>
      <c r="G4" s="1880">
        <f>C4+1</f>
        <v>2019</v>
      </c>
      <c r="H4" s="1881"/>
      <c r="I4" s="1881"/>
      <c r="J4" s="1881"/>
      <c r="K4" s="1880">
        <f>G4+1</f>
        <v>2020</v>
      </c>
      <c r="L4" s="1881"/>
      <c r="M4" s="1881"/>
      <c r="N4" s="1881"/>
      <c r="O4" s="1880">
        <f>K4+1</f>
        <v>2021</v>
      </c>
      <c r="P4" s="1881"/>
      <c r="Q4" s="1881"/>
      <c r="R4" s="1881"/>
      <c r="S4" s="1880">
        <f>O4+1</f>
        <v>2022</v>
      </c>
      <c r="T4" s="1881"/>
      <c r="U4" s="1881"/>
      <c r="V4" s="1881"/>
      <c r="W4" s="1880">
        <f>S4+1</f>
        <v>2023</v>
      </c>
      <c r="X4" s="1881"/>
      <c r="Y4" s="1881"/>
      <c r="Z4" s="1881"/>
      <c r="AA4" s="1880">
        <f>W4+1</f>
        <v>2024</v>
      </c>
      <c r="AB4" s="1881"/>
      <c r="AC4" s="1881"/>
      <c r="AD4" s="1881"/>
      <c r="AE4" s="1880">
        <f>AA4+1</f>
        <v>2025</v>
      </c>
      <c r="AF4" s="1881"/>
      <c r="AG4" s="1881"/>
      <c r="AH4" s="1881"/>
      <c r="AI4" s="1880">
        <f>AE4+1</f>
        <v>2026</v>
      </c>
      <c r="AJ4" s="1881"/>
      <c r="AK4" s="1881"/>
      <c r="AL4" s="1881"/>
      <c r="AM4" s="1880">
        <f>AI4+1</f>
        <v>2027</v>
      </c>
      <c r="AN4" s="1881"/>
      <c r="AO4" s="1881"/>
      <c r="AP4" s="1881"/>
      <c r="AQ4" s="1880">
        <f>AM4+1</f>
        <v>2028</v>
      </c>
      <c r="AR4" s="1881"/>
      <c r="AS4" s="1881"/>
      <c r="AT4" s="1881"/>
    </row>
    <row r="5" spans="1:46" s="74" customFormat="1" ht="16.5" customHeight="1">
      <c r="A5" s="1861"/>
      <c r="B5" s="1883"/>
      <c r="C5" s="859" t="s">
        <v>678</v>
      </c>
      <c r="D5" s="860" t="s">
        <v>679</v>
      </c>
      <c r="E5" s="860" t="s">
        <v>680</v>
      </c>
      <c r="F5" s="860" t="s">
        <v>681</v>
      </c>
      <c r="G5" s="859" t="s">
        <v>678</v>
      </c>
      <c r="H5" s="860" t="s">
        <v>679</v>
      </c>
      <c r="I5" s="860" t="s">
        <v>680</v>
      </c>
      <c r="J5" s="860" t="s">
        <v>681</v>
      </c>
      <c r="K5" s="859" t="s">
        <v>678</v>
      </c>
      <c r="L5" s="860" t="s">
        <v>679</v>
      </c>
      <c r="M5" s="860" t="s">
        <v>680</v>
      </c>
      <c r="N5" s="860" t="s">
        <v>681</v>
      </c>
      <c r="O5" s="859" t="s">
        <v>678</v>
      </c>
      <c r="P5" s="860" t="s">
        <v>679</v>
      </c>
      <c r="Q5" s="860" t="s">
        <v>680</v>
      </c>
      <c r="R5" s="860" t="s">
        <v>681</v>
      </c>
      <c r="S5" s="859" t="s">
        <v>678</v>
      </c>
      <c r="T5" s="860" t="s">
        <v>679</v>
      </c>
      <c r="U5" s="860" t="s">
        <v>680</v>
      </c>
      <c r="V5" s="860" t="s">
        <v>681</v>
      </c>
      <c r="W5" s="859" t="s">
        <v>678</v>
      </c>
      <c r="X5" s="860" t="s">
        <v>679</v>
      </c>
      <c r="Y5" s="860" t="s">
        <v>680</v>
      </c>
      <c r="Z5" s="860" t="s">
        <v>681</v>
      </c>
      <c r="AA5" s="859" t="s">
        <v>678</v>
      </c>
      <c r="AB5" s="860" t="s">
        <v>679</v>
      </c>
      <c r="AC5" s="860" t="s">
        <v>680</v>
      </c>
      <c r="AD5" s="860" t="s">
        <v>681</v>
      </c>
      <c r="AE5" s="859" t="s">
        <v>678</v>
      </c>
      <c r="AF5" s="860" t="s">
        <v>679</v>
      </c>
      <c r="AG5" s="860" t="s">
        <v>680</v>
      </c>
      <c r="AH5" s="860" t="s">
        <v>681</v>
      </c>
      <c r="AI5" s="859" t="s">
        <v>678</v>
      </c>
      <c r="AJ5" s="860" t="s">
        <v>679</v>
      </c>
      <c r="AK5" s="860" t="s">
        <v>680</v>
      </c>
      <c r="AL5" s="860" t="s">
        <v>681</v>
      </c>
      <c r="AM5" s="859" t="s">
        <v>678</v>
      </c>
      <c r="AN5" s="860" t="s">
        <v>679</v>
      </c>
      <c r="AO5" s="860" t="s">
        <v>680</v>
      </c>
      <c r="AP5" s="860" t="s">
        <v>681</v>
      </c>
      <c r="AQ5" s="859" t="s">
        <v>678</v>
      </c>
      <c r="AR5" s="860" t="s">
        <v>679</v>
      </c>
      <c r="AS5" s="860" t="s">
        <v>680</v>
      </c>
      <c r="AT5" s="860" t="s">
        <v>681</v>
      </c>
    </row>
    <row r="6" spans="1:46" s="77" customFormat="1" ht="18" customHeight="1">
      <c r="A6" s="861" t="s">
        <v>682</v>
      </c>
      <c r="B6" s="862">
        <f>SUM(B7,B20,B33,B46,B59,B72)</f>
        <v>60162</v>
      </c>
      <c r="C6" s="863">
        <f t="shared" ref="C6:AT6" si="0">SUM(C7,C20,C33,C46,C59,C72)</f>
        <v>0</v>
      </c>
      <c r="D6" s="864">
        <f t="shared" si="0"/>
        <v>0</v>
      </c>
      <c r="E6" s="864">
        <f t="shared" si="0"/>
        <v>0</v>
      </c>
      <c r="F6" s="864">
        <f t="shared" si="0"/>
        <v>0</v>
      </c>
      <c r="G6" s="863">
        <f t="shared" si="0"/>
        <v>0</v>
      </c>
      <c r="H6" s="864">
        <f t="shared" si="0"/>
        <v>19635</v>
      </c>
      <c r="I6" s="864">
        <f t="shared" si="0"/>
        <v>19635</v>
      </c>
      <c r="J6" s="864">
        <f t="shared" si="0"/>
        <v>8415</v>
      </c>
      <c r="K6" s="863">
        <f t="shared" si="0"/>
        <v>8415</v>
      </c>
      <c r="L6" s="864">
        <f t="shared" si="0"/>
        <v>2912</v>
      </c>
      <c r="M6" s="864">
        <f t="shared" si="0"/>
        <v>854.6</v>
      </c>
      <c r="N6" s="864">
        <f t="shared" si="0"/>
        <v>126.6</v>
      </c>
      <c r="O6" s="863">
        <f t="shared" si="0"/>
        <v>84.4</v>
      </c>
      <c r="P6" s="864">
        <f t="shared" si="0"/>
        <v>84.4</v>
      </c>
      <c r="Q6" s="864">
        <f t="shared" si="0"/>
        <v>0</v>
      </c>
      <c r="R6" s="864">
        <f t="shared" si="0"/>
        <v>0</v>
      </c>
      <c r="S6" s="863">
        <f t="shared" si="0"/>
        <v>0</v>
      </c>
      <c r="T6" s="864">
        <f t="shared" si="0"/>
        <v>0</v>
      </c>
      <c r="U6" s="864">
        <f t="shared" si="0"/>
        <v>0</v>
      </c>
      <c r="V6" s="864">
        <f t="shared" si="0"/>
        <v>0</v>
      </c>
      <c r="W6" s="863">
        <f t="shared" si="0"/>
        <v>0</v>
      </c>
      <c r="X6" s="864">
        <f t="shared" si="0"/>
        <v>0</v>
      </c>
      <c r="Y6" s="864">
        <f t="shared" si="0"/>
        <v>0</v>
      </c>
      <c r="Z6" s="864">
        <f t="shared" si="0"/>
        <v>0</v>
      </c>
      <c r="AA6" s="863">
        <f t="shared" si="0"/>
        <v>0</v>
      </c>
      <c r="AB6" s="864">
        <f t="shared" si="0"/>
        <v>0</v>
      </c>
      <c r="AC6" s="864">
        <f t="shared" si="0"/>
        <v>0</v>
      </c>
      <c r="AD6" s="864">
        <f t="shared" si="0"/>
        <v>0</v>
      </c>
      <c r="AE6" s="863">
        <f t="shared" si="0"/>
        <v>0</v>
      </c>
      <c r="AF6" s="864">
        <f t="shared" si="0"/>
        <v>0</v>
      </c>
      <c r="AG6" s="864">
        <f t="shared" si="0"/>
        <v>0</v>
      </c>
      <c r="AH6" s="864">
        <f t="shared" si="0"/>
        <v>0</v>
      </c>
      <c r="AI6" s="863">
        <f t="shared" si="0"/>
        <v>0</v>
      </c>
      <c r="AJ6" s="864">
        <f t="shared" si="0"/>
        <v>0</v>
      </c>
      <c r="AK6" s="864">
        <f t="shared" si="0"/>
        <v>0</v>
      </c>
      <c r="AL6" s="864">
        <f t="shared" si="0"/>
        <v>0</v>
      </c>
      <c r="AM6" s="863">
        <f t="shared" si="0"/>
        <v>0</v>
      </c>
      <c r="AN6" s="864">
        <f t="shared" si="0"/>
        <v>0</v>
      </c>
      <c r="AO6" s="864">
        <f t="shared" si="0"/>
        <v>0</v>
      </c>
      <c r="AP6" s="864">
        <f t="shared" si="0"/>
        <v>0</v>
      </c>
      <c r="AQ6" s="863">
        <f t="shared" si="0"/>
        <v>0</v>
      </c>
      <c r="AR6" s="864">
        <f t="shared" si="0"/>
        <v>0</v>
      </c>
      <c r="AS6" s="864">
        <f t="shared" si="0"/>
        <v>0</v>
      </c>
      <c r="AT6" s="864">
        <f t="shared" si="0"/>
        <v>0</v>
      </c>
    </row>
    <row r="7" spans="1:46" s="77" customFormat="1" ht="18" customHeight="1" outlineLevel="1">
      <c r="A7" s="865" t="s">
        <v>19</v>
      </c>
      <c r="B7" s="866">
        <f>SUM(B8:B19)</f>
        <v>60162</v>
      </c>
      <c r="C7" s="867">
        <f>SUM(C8:C19)</f>
        <v>0</v>
      </c>
      <c r="D7" s="868">
        <f t="shared" ref="D7:AT7" si="1">SUM(D8:D19)</f>
        <v>0</v>
      </c>
      <c r="E7" s="868">
        <f t="shared" si="1"/>
        <v>0</v>
      </c>
      <c r="F7" s="868">
        <f t="shared" si="1"/>
        <v>0</v>
      </c>
      <c r="G7" s="867">
        <f t="shared" si="1"/>
        <v>0</v>
      </c>
      <c r="H7" s="868">
        <f t="shared" si="1"/>
        <v>19635</v>
      </c>
      <c r="I7" s="868">
        <f t="shared" si="1"/>
        <v>19635</v>
      </c>
      <c r="J7" s="868">
        <f t="shared" si="1"/>
        <v>8415</v>
      </c>
      <c r="K7" s="867">
        <f t="shared" si="1"/>
        <v>8415</v>
      </c>
      <c r="L7" s="868">
        <f t="shared" si="1"/>
        <v>2912</v>
      </c>
      <c r="M7" s="868">
        <f t="shared" si="1"/>
        <v>854.6</v>
      </c>
      <c r="N7" s="868">
        <f t="shared" si="1"/>
        <v>126.6</v>
      </c>
      <c r="O7" s="867">
        <f t="shared" si="1"/>
        <v>84.4</v>
      </c>
      <c r="P7" s="868">
        <f t="shared" si="1"/>
        <v>84.4</v>
      </c>
      <c r="Q7" s="868">
        <f t="shared" si="1"/>
        <v>0</v>
      </c>
      <c r="R7" s="868">
        <f t="shared" si="1"/>
        <v>0</v>
      </c>
      <c r="S7" s="867">
        <f t="shared" si="1"/>
        <v>0</v>
      </c>
      <c r="T7" s="868">
        <f t="shared" si="1"/>
        <v>0</v>
      </c>
      <c r="U7" s="868">
        <f t="shared" si="1"/>
        <v>0</v>
      </c>
      <c r="V7" s="868">
        <f t="shared" si="1"/>
        <v>0</v>
      </c>
      <c r="W7" s="867">
        <f t="shared" si="1"/>
        <v>0</v>
      </c>
      <c r="X7" s="868">
        <f t="shared" si="1"/>
        <v>0</v>
      </c>
      <c r="Y7" s="868">
        <f t="shared" si="1"/>
        <v>0</v>
      </c>
      <c r="Z7" s="868">
        <f t="shared" si="1"/>
        <v>0</v>
      </c>
      <c r="AA7" s="867">
        <f t="shared" si="1"/>
        <v>0</v>
      </c>
      <c r="AB7" s="868">
        <f t="shared" si="1"/>
        <v>0</v>
      </c>
      <c r="AC7" s="868">
        <f t="shared" si="1"/>
        <v>0</v>
      </c>
      <c r="AD7" s="868">
        <f t="shared" si="1"/>
        <v>0</v>
      </c>
      <c r="AE7" s="867">
        <f t="shared" si="1"/>
        <v>0</v>
      </c>
      <c r="AF7" s="868">
        <f t="shared" si="1"/>
        <v>0</v>
      </c>
      <c r="AG7" s="868">
        <f t="shared" si="1"/>
        <v>0</v>
      </c>
      <c r="AH7" s="868">
        <f t="shared" si="1"/>
        <v>0</v>
      </c>
      <c r="AI7" s="867">
        <f t="shared" si="1"/>
        <v>0</v>
      </c>
      <c r="AJ7" s="868">
        <f t="shared" si="1"/>
        <v>0</v>
      </c>
      <c r="AK7" s="868">
        <f t="shared" si="1"/>
        <v>0</v>
      </c>
      <c r="AL7" s="868">
        <f t="shared" si="1"/>
        <v>0</v>
      </c>
      <c r="AM7" s="867">
        <f t="shared" si="1"/>
        <v>0</v>
      </c>
      <c r="AN7" s="868">
        <f t="shared" si="1"/>
        <v>0</v>
      </c>
      <c r="AO7" s="868">
        <f t="shared" si="1"/>
        <v>0</v>
      </c>
      <c r="AP7" s="868">
        <f t="shared" si="1"/>
        <v>0</v>
      </c>
      <c r="AQ7" s="867">
        <f t="shared" si="1"/>
        <v>0</v>
      </c>
      <c r="AR7" s="868">
        <f t="shared" si="1"/>
        <v>0</v>
      </c>
      <c r="AS7" s="868">
        <f t="shared" si="1"/>
        <v>0</v>
      </c>
      <c r="AT7" s="868">
        <f t="shared" si="1"/>
        <v>0</v>
      </c>
    </row>
    <row r="8" spans="1:46" s="77" customFormat="1" ht="18" customHeight="1" outlineLevel="2">
      <c r="A8" s="869" t="str">
        <f>'8.项目规划指标表'!B5</f>
        <v>高层</v>
      </c>
      <c r="B8" s="870">
        <f t="shared" ref="B8:B73" si="2">SUM(C8:AT8)</f>
        <v>56100</v>
      </c>
      <c r="C8" s="871">
        <f>'11.销售及回款表'!E87</f>
        <v>0</v>
      </c>
      <c r="D8" s="872">
        <f>'11.销售及回款表'!F87</f>
        <v>0</v>
      </c>
      <c r="E8" s="872">
        <f>'11.销售及回款表'!G87</f>
        <v>0</v>
      </c>
      <c r="F8" s="872">
        <f>'11.销售及回款表'!H87</f>
        <v>0</v>
      </c>
      <c r="G8" s="871">
        <f>'11.销售及回款表'!I87</f>
        <v>0</v>
      </c>
      <c r="H8" s="872">
        <f>'11.销售及回款表'!J87</f>
        <v>19635</v>
      </c>
      <c r="I8" s="872">
        <f>'11.销售及回款表'!K87</f>
        <v>19635</v>
      </c>
      <c r="J8" s="872">
        <f>'11.销售及回款表'!L87</f>
        <v>8415</v>
      </c>
      <c r="K8" s="871">
        <f>'11.销售及回款表'!M87</f>
        <v>8415</v>
      </c>
      <c r="L8" s="872">
        <f>'11.销售及回款表'!N87</f>
        <v>0</v>
      </c>
      <c r="M8" s="872">
        <f>'11.销售及回款表'!O87</f>
        <v>0</v>
      </c>
      <c r="N8" s="872">
        <f>'11.销售及回款表'!P87</f>
        <v>0</v>
      </c>
      <c r="O8" s="871">
        <f>'11.销售及回款表'!Q87</f>
        <v>0</v>
      </c>
      <c r="P8" s="872">
        <f>'11.销售及回款表'!R87</f>
        <v>0</v>
      </c>
      <c r="Q8" s="872">
        <f>'11.销售及回款表'!S87</f>
        <v>0</v>
      </c>
      <c r="R8" s="872">
        <f>'11.销售及回款表'!T87</f>
        <v>0</v>
      </c>
      <c r="S8" s="871">
        <f>'11.销售及回款表'!U87</f>
        <v>0</v>
      </c>
      <c r="T8" s="872">
        <f>'11.销售及回款表'!V87</f>
        <v>0</v>
      </c>
      <c r="U8" s="872">
        <f>'11.销售及回款表'!W87</f>
        <v>0</v>
      </c>
      <c r="V8" s="872">
        <f>'11.销售及回款表'!X87</f>
        <v>0</v>
      </c>
      <c r="W8" s="871">
        <f>'11.销售及回款表'!Y87</f>
        <v>0</v>
      </c>
      <c r="X8" s="872">
        <f>'11.销售及回款表'!Z87</f>
        <v>0</v>
      </c>
      <c r="Y8" s="872">
        <f>'11.销售及回款表'!AA87</f>
        <v>0</v>
      </c>
      <c r="Z8" s="872">
        <f>'11.销售及回款表'!AB87</f>
        <v>0</v>
      </c>
      <c r="AA8" s="871">
        <f>'11.销售及回款表'!AC87</f>
        <v>0</v>
      </c>
      <c r="AB8" s="872">
        <f>'11.销售及回款表'!AD87</f>
        <v>0</v>
      </c>
      <c r="AC8" s="872">
        <f>'11.销售及回款表'!AE87</f>
        <v>0</v>
      </c>
      <c r="AD8" s="872">
        <f>'11.销售及回款表'!AF87</f>
        <v>0</v>
      </c>
      <c r="AE8" s="871">
        <f>'11.销售及回款表'!AG87</f>
        <v>0</v>
      </c>
      <c r="AF8" s="872">
        <f>'11.销售及回款表'!AH87</f>
        <v>0</v>
      </c>
      <c r="AG8" s="872">
        <f>'11.销售及回款表'!AI87</f>
        <v>0</v>
      </c>
      <c r="AH8" s="872">
        <f>'11.销售及回款表'!AJ87</f>
        <v>0</v>
      </c>
      <c r="AI8" s="871">
        <f>'11.销售及回款表'!AK87</f>
        <v>0</v>
      </c>
      <c r="AJ8" s="872">
        <f>'11.销售及回款表'!AL87</f>
        <v>0</v>
      </c>
      <c r="AK8" s="872">
        <f>'11.销售及回款表'!AM87</f>
        <v>0</v>
      </c>
      <c r="AL8" s="872">
        <f>'11.销售及回款表'!AN87</f>
        <v>0</v>
      </c>
      <c r="AM8" s="871">
        <f>'11.销售及回款表'!AO87</f>
        <v>0</v>
      </c>
      <c r="AN8" s="872">
        <f>'11.销售及回款表'!AP87</f>
        <v>0</v>
      </c>
      <c r="AO8" s="872">
        <f>'11.销售及回款表'!AQ87</f>
        <v>0</v>
      </c>
      <c r="AP8" s="872">
        <f>'11.销售及回款表'!AR87</f>
        <v>0</v>
      </c>
      <c r="AQ8" s="871">
        <f>'11.销售及回款表'!AS87</f>
        <v>0</v>
      </c>
      <c r="AR8" s="872">
        <f>'11.销售及回款表'!AT87</f>
        <v>0</v>
      </c>
      <c r="AS8" s="872">
        <f>'11.销售及回款表'!AU87</f>
        <v>0</v>
      </c>
      <c r="AT8" s="872">
        <f>'11.销售及回款表'!AV87</f>
        <v>0</v>
      </c>
    </row>
    <row r="9" spans="1:46" s="77" customFormat="1" ht="18" customHeight="1" outlineLevel="2">
      <c r="A9" s="869" t="str">
        <f>'8.项目规划指标表'!B6</f>
        <v>商铺</v>
      </c>
      <c r="B9" s="870">
        <f t="shared" si="2"/>
        <v>3640</v>
      </c>
      <c r="C9" s="871">
        <f>'11.销售及回款表'!E92</f>
        <v>0</v>
      </c>
      <c r="D9" s="872">
        <f>'11.销售及回款表'!F92</f>
        <v>0</v>
      </c>
      <c r="E9" s="872">
        <f>'11.销售及回款表'!G92</f>
        <v>0</v>
      </c>
      <c r="F9" s="872">
        <f>'11.销售及回款表'!H92</f>
        <v>0</v>
      </c>
      <c r="G9" s="871">
        <f>'11.销售及回款表'!I92</f>
        <v>0</v>
      </c>
      <c r="H9" s="872">
        <f>'11.销售及回款表'!J92</f>
        <v>0</v>
      </c>
      <c r="I9" s="872">
        <f>'11.销售及回款表'!K92</f>
        <v>0</v>
      </c>
      <c r="J9" s="872">
        <f>'11.销售及回款表'!L92</f>
        <v>0</v>
      </c>
      <c r="K9" s="871">
        <f>'11.销售及回款表'!M92</f>
        <v>0</v>
      </c>
      <c r="L9" s="872">
        <f>'11.销售及回款表'!N92</f>
        <v>2912</v>
      </c>
      <c r="M9" s="872">
        <f>'11.销售及回款表'!O92</f>
        <v>728</v>
      </c>
      <c r="N9" s="872">
        <f>'11.销售及回款表'!P92</f>
        <v>0</v>
      </c>
      <c r="O9" s="871">
        <f>'11.销售及回款表'!Q92</f>
        <v>0</v>
      </c>
      <c r="P9" s="872">
        <f>'11.销售及回款表'!R92</f>
        <v>0</v>
      </c>
      <c r="Q9" s="872">
        <f>'11.销售及回款表'!S92</f>
        <v>0</v>
      </c>
      <c r="R9" s="872">
        <f>'11.销售及回款表'!T92</f>
        <v>0</v>
      </c>
      <c r="S9" s="871">
        <f>'11.销售及回款表'!U92</f>
        <v>0</v>
      </c>
      <c r="T9" s="872">
        <f>'11.销售及回款表'!V92</f>
        <v>0</v>
      </c>
      <c r="U9" s="872">
        <f>'11.销售及回款表'!W92</f>
        <v>0</v>
      </c>
      <c r="V9" s="872">
        <f>'11.销售及回款表'!X92</f>
        <v>0</v>
      </c>
      <c r="W9" s="871">
        <f>'11.销售及回款表'!Y92</f>
        <v>0</v>
      </c>
      <c r="X9" s="872">
        <f>'11.销售及回款表'!Z92</f>
        <v>0</v>
      </c>
      <c r="Y9" s="872">
        <f>'11.销售及回款表'!AA92</f>
        <v>0</v>
      </c>
      <c r="Z9" s="872">
        <f>'11.销售及回款表'!AB92</f>
        <v>0</v>
      </c>
      <c r="AA9" s="871">
        <f>'11.销售及回款表'!AC92</f>
        <v>0</v>
      </c>
      <c r="AB9" s="872">
        <f>'11.销售及回款表'!AD92</f>
        <v>0</v>
      </c>
      <c r="AC9" s="872">
        <f>'11.销售及回款表'!AE92</f>
        <v>0</v>
      </c>
      <c r="AD9" s="872">
        <f>'11.销售及回款表'!AF92</f>
        <v>0</v>
      </c>
      <c r="AE9" s="871">
        <f>'11.销售及回款表'!AG92</f>
        <v>0</v>
      </c>
      <c r="AF9" s="872">
        <f>'11.销售及回款表'!AH92</f>
        <v>0</v>
      </c>
      <c r="AG9" s="872">
        <f>'11.销售及回款表'!AI92</f>
        <v>0</v>
      </c>
      <c r="AH9" s="872">
        <f>'11.销售及回款表'!AJ92</f>
        <v>0</v>
      </c>
      <c r="AI9" s="871">
        <f>'11.销售及回款表'!AK92</f>
        <v>0</v>
      </c>
      <c r="AJ9" s="872">
        <f>'11.销售及回款表'!AL92</f>
        <v>0</v>
      </c>
      <c r="AK9" s="872">
        <f>'11.销售及回款表'!AM92</f>
        <v>0</v>
      </c>
      <c r="AL9" s="872">
        <f>'11.销售及回款表'!AN92</f>
        <v>0</v>
      </c>
      <c r="AM9" s="871">
        <f>'11.销售及回款表'!AO92</f>
        <v>0</v>
      </c>
      <c r="AN9" s="872">
        <f>'11.销售及回款表'!AP92</f>
        <v>0</v>
      </c>
      <c r="AO9" s="872">
        <f>'11.销售及回款表'!AQ92</f>
        <v>0</v>
      </c>
      <c r="AP9" s="872">
        <f>'11.销售及回款表'!AR92</f>
        <v>0</v>
      </c>
      <c r="AQ9" s="871">
        <f>'11.销售及回款表'!AS92</f>
        <v>0</v>
      </c>
      <c r="AR9" s="872">
        <f>'11.销售及回款表'!AT92</f>
        <v>0</v>
      </c>
      <c r="AS9" s="872">
        <f>'11.销售及回款表'!AU92</f>
        <v>0</v>
      </c>
      <c r="AT9" s="872">
        <f>'11.销售及回款表'!AV92</f>
        <v>0</v>
      </c>
    </row>
    <row r="10" spans="1:46" s="77" customFormat="1" ht="18" customHeight="1" outlineLevel="2">
      <c r="A10" s="869" t="str">
        <f>'8.项目规划指标表'!B7</f>
        <v>回迁商业</v>
      </c>
      <c r="B10" s="870">
        <f t="shared" si="2"/>
        <v>0</v>
      </c>
      <c r="C10" s="871">
        <f>'11.销售及回款表'!E97</f>
        <v>0</v>
      </c>
      <c r="D10" s="872">
        <f>'11.销售及回款表'!F97</f>
        <v>0</v>
      </c>
      <c r="E10" s="872">
        <f>'11.销售及回款表'!G97</f>
        <v>0</v>
      </c>
      <c r="F10" s="872">
        <f>'11.销售及回款表'!H97</f>
        <v>0</v>
      </c>
      <c r="G10" s="871">
        <f>'11.销售及回款表'!I97</f>
        <v>0</v>
      </c>
      <c r="H10" s="872">
        <f>'11.销售及回款表'!J97</f>
        <v>0</v>
      </c>
      <c r="I10" s="872">
        <f>'11.销售及回款表'!K97</f>
        <v>0</v>
      </c>
      <c r="J10" s="872">
        <f>'11.销售及回款表'!L97</f>
        <v>0</v>
      </c>
      <c r="K10" s="871">
        <f>'11.销售及回款表'!M97</f>
        <v>0</v>
      </c>
      <c r="L10" s="872">
        <f>'11.销售及回款表'!N97</f>
        <v>0</v>
      </c>
      <c r="M10" s="872">
        <f>'11.销售及回款表'!O97</f>
        <v>0</v>
      </c>
      <c r="N10" s="872">
        <f>'11.销售及回款表'!P97</f>
        <v>0</v>
      </c>
      <c r="O10" s="871">
        <f>'11.销售及回款表'!Q97</f>
        <v>0</v>
      </c>
      <c r="P10" s="872">
        <f>'11.销售及回款表'!R97</f>
        <v>0</v>
      </c>
      <c r="Q10" s="872">
        <f>'11.销售及回款表'!S97</f>
        <v>0</v>
      </c>
      <c r="R10" s="872">
        <f>'11.销售及回款表'!T97</f>
        <v>0</v>
      </c>
      <c r="S10" s="871">
        <f>'11.销售及回款表'!U97</f>
        <v>0</v>
      </c>
      <c r="T10" s="872">
        <f>'11.销售及回款表'!V97</f>
        <v>0</v>
      </c>
      <c r="U10" s="872">
        <f>'11.销售及回款表'!W97</f>
        <v>0</v>
      </c>
      <c r="V10" s="872">
        <f>'11.销售及回款表'!X97</f>
        <v>0</v>
      </c>
      <c r="W10" s="871">
        <f>'11.销售及回款表'!Y97</f>
        <v>0</v>
      </c>
      <c r="X10" s="872">
        <f>'11.销售及回款表'!Z97</f>
        <v>0</v>
      </c>
      <c r="Y10" s="872">
        <f>'11.销售及回款表'!AA97</f>
        <v>0</v>
      </c>
      <c r="Z10" s="872">
        <f>'11.销售及回款表'!AB97</f>
        <v>0</v>
      </c>
      <c r="AA10" s="871">
        <f>'11.销售及回款表'!AC97</f>
        <v>0</v>
      </c>
      <c r="AB10" s="872">
        <f>'11.销售及回款表'!AD97</f>
        <v>0</v>
      </c>
      <c r="AC10" s="872">
        <f>'11.销售及回款表'!AE97</f>
        <v>0</v>
      </c>
      <c r="AD10" s="872">
        <f>'11.销售及回款表'!AF97</f>
        <v>0</v>
      </c>
      <c r="AE10" s="871">
        <f>'11.销售及回款表'!AG97</f>
        <v>0</v>
      </c>
      <c r="AF10" s="872">
        <f>'11.销售及回款表'!AH97</f>
        <v>0</v>
      </c>
      <c r="AG10" s="872">
        <f>'11.销售及回款表'!AI97</f>
        <v>0</v>
      </c>
      <c r="AH10" s="872">
        <f>'11.销售及回款表'!AJ97</f>
        <v>0</v>
      </c>
      <c r="AI10" s="871">
        <f>'11.销售及回款表'!AK97</f>
        <v>0</v>
      </c>
      <c r="AJ10" s="872">
        <f>'11.销售及回款表'!AL97</f>
        <v>0</v>
      </c>
      <c r="AK10" s="872">
        <f>'11.销售及回款表'!AM97</f>
        <v>0</v>
      </c>
      <c r="AL10" s="872">
        <f>'11.销售及回款表'!AN97</f>
        <v>0</v>
      </c>
      <c r="AM10" s="871">
        <f>'11.销售及回款表'!AO97</f>
        <v>0</v>
      </c>
      <c r="AN10" s="872">
        <f>'11.销售及回款表'!AP97</f>
        <v>0</v>
      </c>
      <c r="AO10" s="872">
        <f>'11.销售及回款表'!AQ97</f>
        <v>0</v>
      </c>
      <c r="AP10" s="872">
        <f>'11.销售及回款表'!AR97</f>
        <v>0</v>
      </c>
      <c r="AQ10" s="871">
        <f>'11.销售及回款表'!AS97</f>
        <v>0</v>
      </c>
      <c r="AR10" s="872">
        <f>'11.销售及回款表'!AT97</f>
        <v>0</v>
      </c>
      <c r="AS10" s="872">
        <f>'11.销售及回款表'!AU97</f>
        <v>0</v>
      </c>
      <c r="AT10" s="872">
        <f>'11.销售及回款表'!AV97</f>
        <v>0</v>
      </c>
    </row>
    <row r="11" spans="1:46" s="77" customFormat="1" ht="18" customHeight="1" outlineLevel="2">
      <c r="A11" s="869">
        <f>'8.项目规划指标表'!B8</f>
        <v>0</v>
      </c>
      <c r="B11" s="870">
        <f t="shared" si="2"/>
        <v>0</v>
      </c>
      <c r="C11" s="871">
        <f>'11.销售及回款表'!E102</f>
        <v>0</v>
      </c>
      <c r="D11" s="872">
        <f>'11.销售及回款表'!F102</f>
        <v>0</v>
      </c>
      <c r="E11" s="872">
        <f>'11.销售及回款表'!G102</f>
        <v>0</v>
      </c>
      <c r="F11" s="872">
        <f>'11.销售及回款表'!H102</f>
        <v>0</v>
      </c>
      <c r="G11" s="871">
        <f>'11.销售及回款表'!I102</f>
        <v>0</v>
      </c>
      <c r="H11" s="872">
        <f>'11.销售及回款表'!J102</f>
        <v>0</v>
      </c>
      <c r="I11" s="872">
        <f>'11.销售及回款表'!K102</f>
        <v>0</v>
      </c>
      <c r="J11" s="872">
        <f>'11.销售及回款表'!L102</f>
        <v>0</v>
      </c>
      <c r="K11" s="871">
        <f>'11.销售及回款表'!M102</f>
        <v>0</v>
      </c>
      <c r="L11" s="872">
        <f>'11.销售及回款表'!N102</f>
        <v>0</v>
      </c>
      <c r="M11" s="872">
        <f>'11.销售及回款表'!O102</f>
        <v>0</v>
      </c>
      <c r="N11" s="872">
        <f>'11.销售及回款表'!P102</f>
        <v>0</v>
      </c>
      <c r="O11" s="871">
        <f>'11.销售及回款表'!Q102</f>
        <v>0</v>
      </c>
      <c r="P11" s="872">
        <f>'11.销售及回款表'!R102</f>
        <v>0</v>
      </c>
      <c r="Q11" s="872">
        <f>'11.销售及回款表'!S102</f>
        <v>0</v>
      </c>
      <c r="R11" s="872">
        <f>'11.销售及回款表'!T102</f>
        <v>0</v>
      </c>
      <c r="S11" s="871">
        <f>'11.销售及回款表'!U102</f>
        <v>0</v>
      </c>
      <c r="T11" s="872">
        <f>'11.销售及回款表'!V102</f>
        <v>0</v>
      </c>
      <c r="U11" s="872">
        <f>'11.销售及回款表'!W102</f>
        <v>0</v>
      </c>
      <c r="V11" s="872">
        <f>'11.销售及回款表'!X102</f>
        <v>0</v>
      </c>
      <c r="W11" s="871">
        <f>'11.销售及回款表'!Y102</f>
        <v>0</v>
      </c>
      <c r="X11" s="872">
        <f>'11.销售及回款表'!Z102</f>
        <v>0</v>
      </c>
      <c r="Y11" s="872">
        <f>'11.销售及回款表'!AA102</f>
        <v>0</v>
      </c>
      <c r="Z11" s="872">
        <f>'11.销售及回款表'!AB102</f>
        <v>0</v>
      </c>
      <c r="AA11" s="871">
        <f>'11.销售及回款表'!AC102</f>
        <v>0</v>
      </c>
      <c r="AB11" s="872">
        <f>'11.销售及回款表'!AD102</f>
        <v>0</v>
      </c>
      <c r="AC11" s="872">
        <f>'11.销售及回款表'!AE102</f>
        <v>0</v>
      </c>
      <c r="AD11" s="872">
        <f>'11.销售及回款表'!AF102</f>
        <v>0</v>
      </c>
      <c r="AE11" s="871">
        <f>'11.销售及回款表'!AG102</f>
        <v>0</v>
      </c>
      <c r="AF11" s="872">
        <f>'11.销售及回款表'!AH102</f>
        <v>0</v>
      </c>
      <c r="AG11" s="872">
        <f>'11.销售及回款表'!AI102</f>
        <v>0</v>
      </c>
      <c r="AH11" s="872">
        <f>'11.销售及回款表'!AJ102</f>
        <v>0</v>
      </c>
      <c r="AI11" s="871">
        <f>'11.销售及回款表'!AK102</f>
        <v>0</v>
      </c>
      <c r="AJ11" s="872">
        <f>'11.销售及回款表'!AL102</f>
        <v>0</v>
      </c>
      <c r="AK11" s="872">
        <f>'11.销售及回款表'!AM102</f>
        <v>0</v>
      </c>
      <c r="AL11" s="872">
        <f>'11.销售及回款表'!AN102</f>
        <v>0</v>
      </c>
      <c r="AM11" s="871">
        <f>'11.销售及回款表'!AO102</f>
        <v>0</v>
      </c>
      <c r="AN11" s="872">
        <f>'11.销售及回款表'!AP102</f>
        <v>0</v>
      </c>
      <c r="AO11" s="872">
        <f>'11.销售及回款表'!AQ102</f>
        <v>0</v>
      </c>
      <c r="AP11" s="872">
        <f>'11.销售及回款表'!AR102</f>
        <v>0</v>
      </c>
      <c r="AQ11" s="871">
        <f>'11.销售及回款表'!AS102</f>
        <v>0</v>
      </c>
      <c r="AR11" s="872">
        <f>'11.销售及回款表'!AT102</f>
        <v>0</v>
      </c>
      <c r="AS11" s="872">
        <f>'11.销售及回款表'!AU102</f>
        <v>0</v>
      </c>
      <c r="AT11" s="872">
        <f>'11.销售及回款表'!AV102</f>
        <v>0</v>
      </c>
    </row>
    <row r="12" spans="1:46" s="77" customFormat="1" ht="18" customHeight="1" outlineLevel="2">
      <c r="A12" s="869">
        <f>'8.项目规划指标表'!B9</f>
        <v>0</v>
      </c>
      <c r="B12" s="870">
        <f t="shared" si="2"/>
        <v>0</v>
      </c>
      <c r="C12" s="871">
        <f>'11.销售及回款表'!E107</f>
        <v>0</v>
      </c>
      <c r="D12" s="872">
        <f>'11.销售及回款表'!F107</f>
        <v>0</v>
      </c>
      <c r="E12" s="872">
        <f>'11.销售及回款表'!G107</f>
        <v>0</v>
      </c>
      <c r="F12" s="872">
        <f>'11.销售及回款表'!H107</f>
        <v>0</v>
      </c>
      <c r="G12" s="871">
        <f>'11.销售及回款表'!I107</f>
        <v>0</v>
      </c>
      <c r="H12" s="872">
        <f>'11.销售及回款表'!J107</f>
        <v>0</v>
      </c>
      <c r="I12" s="872">
        <f>'11.销售及回款表'!K107</f>
        <v>0</v>
      </c>
      <c r="J12" s="872">
        <f>'11.销售及回款表'!L107</f>
        <v>0</v>
      </c>
      <c r="K12" s="871">
        <f>'11.销售及回款表'!M107</f>
        <v>0</v>
      </c>
      <c r="L12" s="872">
        <f>'11.销售及回款表'!N107</f>
        <v>0</v>
      </c>
      <c r="M12" s="872">
        <f>'11.销售及回款表'!O107</f>
        <v>0</v>
      </c>
      <c r="N12" s="872">
        <f>'11.销售及回款表'!P107</f>
        <v>0</v>
      </c>
      <c r="O12" s="871">
        <f>'11.销售及回款表'!Q107</f>
        <v>0</v>
      </c>
      <c r="P12" s="872">
        <f>'11.销售及回款表'!R107</f>
        <v>0</v>
      </c>
      <c r="Q12" s="872">
        <f>'11.销售及回款表'!S107</f>
        <v>0</v>
      </c>
      <c r="R12" s="872">
        <f>'11.销售及回款表'!T107</f>
        <v>0</v>
      </c>
      <c r="S12" s="871">
        <f>'11.销售及回款表'!U107</f>
        <v>0</v>
      </c>
      <c r="T12" s="872">
        <f>'11.销售及回款表'!V107</f>
        <v>0</v>
      </c>
      <c r="U12" s="872">
        <f>'11.销售及回款表'!W107</f>
        <v>0</v>
      </c>
      <c r="V12" s="872">
        <f>'11.销售及回款表'!X107</f>
        <v>0</v>
      </c>
      <c r="W12" s="871">
        <f>'11.销售及回款表'!Y107</f>
        <v>0</v>
      </c>
      <c r="X12" s="872">
        <f>'11.销售及回款表'!Z107</f>
        <v>0</v>
      </c>
      <c r="Y12" s="872">
        <f>'11.销售及回款表'!AA107</f>
        <v>0</v>
      </c>
      <c r="Z12" s="872">
        <f>'11.销售及回款表'!AB107</f>
        <v>0</v>
      </c>
      <c r="AA12" s="871">
        <f>'11.销售及回款表'!AC107</f>
        <v>0</v>
      </c>
      <c r="AB12" s="872">
        <f>'11.销售及回款表'!AD107</f>
        <v>0</v>
      </c>
      <c r="AC12" s="872">
        <f>'11.销售及回款表'!AE107</f>
        <v>0</v>
      </c>
      <c r="AD12" s="872">
        <f>'11.销售及回款表'!AF107</f>
        <v>0</v>
      </c>
      <c r="AE12" s="871">
        <f>'11.销售及回款表'!AG107</f>
        <v>0</v>
      </c>
      <c r="AF12" s="872">
        <f>'11.销售及回款表'!AH107</f>
        <v>0</v>
      </c>
      <c r="AG12" s="872">
        <f>'11.销售及回款表'!AI107</f>
        <v>0</v>
      </c>
      <c r="AH12" s="872">
        <f>'11.销售及回款表'!AJ107</f>
        <v>0</v>
      </c>
      <c r="AI12" s="871">
        <f>'11.销售及回款表'!AK107</f>
        <v>0</v>
      </c>
      <c r="AJ12" s="872">
        <f>'11.销售及回款表'!AL107</f>
        <v>0</v>
      </c>
      <c r="AK12" s="872">
        <f>'11.销售及回款表'!AM107</f>
        <v>0</v>
      </c>
      <c r="AL12" s="872">
        <f>'11.销售及回款表'!AN107</f>
        <v>0</v>
      </c>
      <c r="AM12" s="871">
        <f>'11.销售及回款表'!AO107</f>
        <v>0</v>
      </c>
      <c r="AN12" s="872">
        <f>'11.销售及回款表'!AP107</f>
        <v>0</v>
      </c>
      <c r="AO12" s="872">
        <f>'11.销售及回款表'!AQ107</f>
        <v>0</v>
      </c>
      <c r="AP12" s="872">
        <f>'11.销售及回款表'!AR107</f>
        <v>0</v>
      </c>
      <c r="AQ12" s="871">
        <f>'11.销售及回款表'!AS107</f>
        <v>0</v>
      </c>
      <c r="AR12" s="872">
        <f>'11.销售及回款表'!AT107</f>
        <v>0</v>
      </c>
      <c r="AS12" s="872">
        <f>'11.销售及回款表'!AU107</f>
        <v>0</v>
      </c>
      <c r="AT12" s="872">
        <f>'11.销售及回款表'!AV107</f>
        <v>0</v>
      </c>
    </row>
    <row r="13" spans="1:46" s="77" customFormat="1" ht="18" customHeight="1" outlineLevel="2">
      <c r="A13" s="869">
        <f>'8.项目规划指标表'!B10</f>
        <v>0</v>
      </c>
      <c r="B13" s="870">
        <f t="shared" si="2"/>
        <v>0</v>
      </c>
      <c r="C13" s="871">
        <f>'11.销售及回款表'!E112</f>
        <v>0</v>
      </c>
      <c r="D13" s="872">
        <f>'11.销售及回款表'!F112</f>
        <v>0</v>
      </c>
      <c r="E13" s="872">
        <f>'11.销售及回款表'!G112</f>
        <v>0</v>
      </c>
      <c r="F13" s="872">
        <f>'11.销售及回款表'!H112</f>
        <v>0</v>
      </c>
      <c r="G13" s="871">
        <f>'11.销售及回款表'!I112</f>
        <v>0</v>
      </c>
      <c r="H13" s="872">
        <f>'11.销售及回款表'!J112</f>
        <v>0</v>
      </c>
      <c r="I13" s="872">
        <f>'11.销售及回款表'!K112</f>
        <v>0</v>
      </c>
      <c r="J13" s="872">
        <f>'11.销售及回款表'!L112</f>
        <v>0</v>
      </c>
      <c r="K13" s="871">
        <f>'11.销售及回款表'!M112</f>
        <v>0</v>
      </c>
      <c r="L13" s="872">
        <f>'11.销售及回款表'!N112</f>
        <v>0</v>
      </c>
      <c r="M13" s="872">
        <f>'11.销售及回款表'!O112</f>
        <v>0</v>
      </c>
      <c r="N13" s="872">
        <f>'11.销售及回款表'!P112</f>
        <v>0</v>
      </c>
      <c r="O13" s="871">
        <f>'11.销售及回款表'!Q112</f>
        <v>0</v>
      </c>
      <c r="P13" s="872">
        <f>'11.销售及回款表'!R112</f>
        <v>0</v>
      </c>
      <c r="Q13" s="872">
        <f>'11.销售及回款表'!S112</f>
        <v>0</v>
      </c>
      <c r="R13" s="872">
        <f>'11.销售及回款表'!T112</f>
        <v>0</v>
      </c>
      <c r="S13" s="871">
        <f>'11.销售及回款表'!U112</f>
        <v>0</v>
      </c>
      <c r="T13" s="872">
        <f>'11.销售及回款表'!V112</f>
        <v>0</v>
      </c>
      <c r="U13" s="872">
        <f>'11.销售及回款表'!W112</f>
        <v>0</v>
      </c>
      <c r="V13" s="872">
        <f>'11.销售及回款表'!X112</f>
        <v>0</v>
      </c>
      <c r="W13" s="871">
        <f>'11.销售及回款表'!Y112</f>
        <v>0</v>
      </c>
      <c r="X13" s="872">
        <f>'11.销售及回款表'!Z112</f>
        <v>0</v>
      </c>
      <c r="Y13" s="872">
        <f>'11.销售及回款表'!AA112</f>
        <v>0</v>
      </c>
      <c r="Z13" s="872">
        <f>'11.销售及回款表'!AB112</f>
        <v>0</v>
      </c>
      <c r="AA13" s="871">
        <f>'11.销售及回款表'!AC112</f>
        <v>0</v>
      </c>
      <c r="AB13" s="872">
        <f>'11.销售及回款表'!AD112</f>
        <v>0</v>
      </c>
      <c r="AC13" s="872">
        <f>'11.销售及回款表'!AE112</f>
        <v>0</v>
      </c>
      <c r="AD13" s="872">
        <f>'11.销售及回款表'!AF112</f>
        <v>0</v>
      </c>
      <c r="AE13" s="871">
        <f>'11.销售及回款表'!AG112</f>
        <v>0</v>
      </c>
      <c r="AF13" s="872">
        <f>'11.销售及回款表'!AH112</f>
        <v>0</v>
      </c>
      <c r="AG13" s="872">
        <f>'11.销售及回款表'!AI112</f>
        <v>0</v>
      </c>
      <c r="AH13" s="872">
        <f>'11.销售及回款表'!AJ112</f>
        <v>0</v>
      </c>
      <c r="AI13" s="871">
        <f>'11.销售及回款表'!AK112</f>
        <v>0</v>
      </c>
      <c r="AJ13" s="872">
        <f>'11.销售及回款表'!AL112</f>
        <v>0</v>
      </c>
      <c r="AK13" s="872">
        <f>'11.销售及回款表'!AM112</f>
        <v>0</v>
      </c>
      <c r="AL13" s="872">
        <f>'11.销售及回款表'!AN112</f>
        <v>0</v>
      </c>
      <c r="AM13" s="871">
        <f>'11.销售及回款表'!AO112</f>
        <v>0</v>
      </c>
      <c r="AN13" s="872">
        <f>'11.销售及回款表'!AP112</f>
        <v>0</v>
      </c>
      <c r="AO13" s="872">
        <f>'11.销售及回款表'!AQ112</f>
        <v>0</v>
      </c>
      <c r="AP13" s="872">
        <f>'11.销售及回款表'!AR112</f>
        <v>0</v>
      </c>
      <c r="AQ13" s="871">
        <f>'11.销售及回款表'!AS112</f>
        <v>0</v>
      </c>
      <c r="AR13" s="872">
        <f>'11.销售及回款表'!AT112</f>
        <v>0</v>
      </c>
      <c r="AS13" s="872">
        <f>'11.销售及回款表'!AU112</f>
        <v>0</v>
      </c>
      <c r="AT13" s="872">
        <f>'11.销售及回款表'!AV112</f>
        <v>0</v>
      </c>
    </row>
    <row r="14" spans="1:46" s="77" customFormat="1" ht="18" customHeight="1" outlineLevel="2">
      <c r="A14" s="869">
        <f>'8.项目规划指标表'!B11</f>
        <v>0</v>
      </c>
      <c r="B14" s="870">
        <f t="shared" si="2"/>
        <v>0</v>
      </c>
      <c r="C14" s="871">
        <f>'11.销售及回款表'!E117</f>
        <v>0</v>
      </c>
      <c r="D14" s="872">
        <f>'11.销售及回款表'!F117</f>
        <v>0</v>
      </c>
      <c r="E14" s="872">
        <f>'11.销售及回款表'!G117</f>
        <v>0</v>
      </c>
      <c r="F14" s="872">
        <f>'11.销售及回款表'!H117</f>
        <v>0</v>
      </c>
      <c r="G14" s="871">
        <f>'11.销售及回款表'!I117</f>
        <v>0</v>
      </c>
      <c r="H14" s="872">
        <f>'11.销售及回款表'!J117</f>
        <v>0</v>
      </c>
      <c r="I14" s="872">
        <f>'11.销售及回款表'!K117</f>
        <v>0</v>
      </c>
      <c r="J14" s="872">
        <f>'11.销售及回款表'!L117</f>
        <v>0</v>
      </c>
      <c r="K14" s="871">
        <f>'11.销售及回款表'!M117</f>
        <v>0</v>
      </c>
      <c r="L14" s="872">
        <f>'11.销售及回款表'!N117</f>
        <v>0</v>
      </c>
      <c r="M14" s="872">
        <f>'11.销售及回款表'!O117</f>
        <v>0</v>
      </c>
      <c r="N14" s="872">
        <f>'11.销售及回款表'!P117</f>
        <v>0</v>
      </c>
      <c r="O14" s="871">
        <f>'11.销售及回款表'!Q117</f>
        <v>0</v>
      </c>
      <c r="P14" s="872">
        <f>'11.销售及回款表'!R117</f>
        <v>0</v>
      </c>
      <c r="Q14" s="872">
        <f>'11.销售及回款表'!S117</f>
        <v>0</v>
      </c>
      <c r="R14" s="872">
        <f>'11.销售及回款表'!T117</f>
        <v>0</v>
      </c>
      <c r="S14" s="871">
        <f>'11.销售及回款表'!U117</f>
        <v>0</v>
      </c>
      <c r="T14" s="872">
        <f>'11.销售及回款表'!V117</f>
        <v>0</v>
      </c>
      <c r="U14" s="872">
        <f>'11.销售及回款表'!W117</f>
        <v>0</v>
      </c>
      <c r="V14" s="872">
        <f>'11.销售及回款表'!X117</f>
        <v>0</v>
      </c>
      <c r="W14" s="871">
        <f>'11.销售及回款表'!Y117</f>
        <v>0</v>
      </c>
      <c r="X14" s="872">
        <f>'11.销售及回款表'!Z117</f>
        <v>0</v>
      </c>
      <c r="Y14" s="872">
        <f>'11.销售及回款表'!AA117</f>
        <v>0</v>
      </c>
      <c r="Z14" s="872">
        <f>'11.销售及回款表'!AB117</f>
        <v>0</v>
      </c>
      <c r="AA14" s="871">
        <f>'11.销售及回款表'!AC117</f>
        <v>0</v>
      </c>
      <c r="AB14" s="872">
        <f>'11.销售及回款表'!AD117</f>
        <v>0</v>
      </c>
      <c r="AC14" s="872">
        <f>'11.销售及回款表'!AE117</f>
        <v>0</v>
      </c>
      <c r="AD14" s="872">
        <f>'11.销售及回款表'!AF117</f>
        <v>0</v>
      </c>
      <c r="AE14" s="871">
        <f>'11.销售及回款表'!AG117</f>
        <v>0</v>
      </c>
      <c r="AF14" s="872">
        <f>'11.销售及回款表'!AH117</f>
        <v>0</v>
      </c>
      <c r="AG14" s="872">
        <f>'11.销售及回款表'!AI117</f>
        <v>0</v>
      </c>
      <c r="AH14" s="872">
        <f>'11.销售及回款表'!AJ117</f>
        <v>0</v>
      </c>
      <c r="AI14" s="871">
        <f>'11.销售及回款表'!AK117</f>
        <v>0</v>
      </c>
      <c r="AJ14" s="872">
        <f>'11.销售及回款表'!AL117</f>
        <v>0</v>
      </c>
      <c r="AK14" s="872">
        <f>'11.销售及回款表'!AM117</f>
        <v>0</v>
      </c>
      <c r="AL14" s="872">
        <f>'11.销售及回款表'!AN117</f>
        <v>0</v>
      </c>
      <c r="AM14" s="871">
        <f>'11.销售及回款表'!AO117</f>
        <v>0</v>
      </c>
      <c r="AN14" s="872">
        <f>'11.销售及回款表'!AP117</f>
        <v>0</v>
      </c>
      <c r="AO14" s="872">
        <f>'11.销售及回款表'!AQ117</f>
        <v>0</v>
      </c>
      <c r="AP14" s="872">
        <f>'11.销售及回款表'!AR117</f>
        <v>0</v>
      </c>
      <c r="AQ14" s="871">
        <f>'11.销售及回款表'!AS117</f>
        <v>0</v>
      </c>
      <c r="AR14" s="872">
        <f>'11.销售及回款表'!AT117</f>
        <v>0</v>
      </c>
      <c r="AS14" s="872">
        <f>'11.销售及回款表'!AU117</f>
        <v>0</v>
      </c>
      <c r="AT14" s="872">
        <f>'11.销售及回款表'!AV117</f>
        <v>0</v>
      </c>
    </row>
    <row r="15" spans="1:46" s="77" customFormat="1" ht="18" customHeight="1" outlineLevel="2">
      <c r="A15" s="869">
        <f>'8.项目规划指标表'!B12</f>
        <v>0</v>
      </c>
      <c r="B15" s="870">
        <f t="shared" si="2"/>
        <v>0</v>
      </c>
      <c r="C15" s="871">
        <f>'11.销售及回款表'!E122</f>
        <v>0</v>
      </c>
      <c r="D15" s="872">
        <f>'11.销售及回款表'!F122</f>
        <v>0</v>
      </c>
      <c r="E15" s="872">
        <f>'11.销售及回款表'!G122</f>
        <v>0</v>
      </c>
      <c r="F15" s="872">
        <f>'11.销售及回款表'!H122</f>
        <v>0</v>
      </c>
      <c r="G15" s="871">
        <f>'11.销售及回款表'!I122</f>
        <v>0</v>
      </c>
      <c r="H15" s="872">
        <f>'11.销售及回款表'!J122</f>
        <v>0</v>
      </c>
      <c r="I15" s="872">
        <f>'11.销售及回款表'!K122</f>
        <v>0</v>
      </c>
      <c r="J15" s="872">
        <f>'11.销售及回款表'!L122</f>
        <v>0</v>
      </c>
      <c r="K15" s="871">
        <f>'11.销售及回款表'!M122</f>
        <v>0</v>
      </c>
      <c r="L15" s="872">
        <f>'11.销售及回款表'!N122</f>
        <v>0</v>
      </c>
      <c r="M15" s="872">
        <f>'11.销售及回款表'!O122</f>
        <v>0</v>
      </c>
      <c r="N15" s="872">
        <f>'11.销售及回款表'!P122</f>
        <v>0</v>
      </c>
      <c r="O15" s="871">
        <f>'11.销售及回款表'!Q122</f>
        <v>0</v>
      </c>
      <c r="P15" s="872">
        <f>'11.销售及回款表'!R122</f>
        <v>0</v>
      </c>
      <c r="Q15" s="872">
        <f>'11.销售及回款表'!S122</f>
        <v>0</v>
      </c>
      <c r="R15" s="872">
        <f>'11.销售及回款表'!T122</f>
        <v>0</v>
      </c>
      <c r="S15" s="871">
        <f>'11.销售及回款表'!U122</f>
        <v>0</v>
      </c>
      <c r="T15" s="872">
        <f>'11.销售及回款表'!V122</f>
        <v>0</v>
      </c>
      <c r="U15" s="872">
        <f>'11.销售及回款表'!W122</f>
        <v>0</v>
      </c>
      <c r="V15" s="872">
        <f>'11.销售及回款表'!X122</f>
        <v>0</v>
      </c>
      <c r="W15" s="871">
        <f>'11.销售及回款表'!Y122</f>
        <v>0</v>
      </c>
      <c r="X15" s="872">
        <f>'11.销售及回款表'!Z122</f>
        <v>0</v>
      </c>
      <c r="Y15" s="872">
        <f>'11.销售及回款表'!AA122</f>
        <v>0</v>
      </c>
      <c r="Z15" s="872">
        <f>'11.销售及回款表'!AB122</f>
        <v>0</v>
      </c>
      <c r="AA15" s="871">
        <f>'11.销售及回款表'!AC122</f>
        <v>0</v>
      </c>
      <c r="AB15" s="872">
        <f>'11.销售及回款表'!AD122</f>
        <v>0</v>
      </c>
      <c r="AC15" s="872">
        <f>'11.销售及回款表'!AE122</f>
        <v>0</v>
      </c>
      <c r="AD15" s="872">
        <f>'11.销售及回款表'!AF122</f>
        <v>0</v>
      </c>
      <c r="AE15" s="871">
        <f>'11.销售及回款表'!AG122</f>
        <v>0</v>
      </c>
      <c r="AF15" s="872">
        <f>'11.销售及回款表'!AH122</f>
        <v>0</v>
      </c>
      <c r="AG15" s="872">
        <f>'11.销售及回款表'!AI122</f>
        <v>0</v>
      </c>
      <c r="AH15" s="872">
        <f>'11.销售及回款表'!AJ122</f>
        <v>0</v>
      </c>
      <c r="AI15" s="871">
        <f>'11.销售及回款表'!AK122</f>
        <v>0</v>
      </c>
      <c r="AJ15" s="872">
        <f>'11.销售及回款表'!AL122</f>
        <v>0</v>
      </c>
      <c r="AK15" s="872">
        <f>'11.销售及回款表'!AM122</f>
        <v>0</v>
      </c>
      <c r="AL15" s="872">
        <f>'11.销售及回款表'!AN122</f>
        <v>0</v>
      </c>
      <c r="AM15" s="871">
        <f>'11.销售及回款表'!AO122</f>
        <v>0</v>
      </c>
      <c r="AN15" s="872">
        <f>'11.销售及回款表'!AP122</f>
        <v>0</v>
      </c>
      <c r="AO15" s="872">
        <f>'11.销售及回款表'!AQ122</f>
        <v>0</v>
      </c>
      <c r="AP15" s="872">
        <f>'11.销售及回款表'!AR122</f>
        <v>0</v>
      </c>
      <c r="AQ15" s="871">
        <f>'11.销售及回款表'!AS122</f>
        <v>0</v>
      </c>
      <c r="AR15" s="872">
        <f>'11.销售及回款表'!AT122</f>
        <v>0</v>
      </c>
      <c r="AS15" s="872">
        <f>'11.销售及回款表'!AU122</f>
        <v>0</v>
      </c>
      <c r="AT15" s="872">
        <f>'11.销售及回款表'!AV122</f>
        <v>0</v>
      </c>
    </row>
    <row r="16" spans="1:46" s="77" customFormat="1" ht="18" customHeight="1" outlineLevel="2">
      <c r="A16" s="869">
        <f>'8.项目规划指标表'!B13</f>
        <v>0</v>
      </c>
      <c r="B16" s="870">
        <f t="shared" si="2"/>
        <v>0</v>
      </c>
      <c r="C16" s="871">
        <f>'11.销售及回款表'!E127</f>
        <v>0</v>
      </c>
      <c r="D16" s="872">
        <f>'11.销售及回款表'!F127</f>
        <v>0</v>
      </c>
      <c r="E16" s="872">
        <f>'11.销售及回款表'!G127</f>
        <v>0</v>
      </c>
      <c r="F16" s="872">
        <f>'11.销售及回款表'!H127</f>
        <v>0</v>
      </c>
      <c r="G16" s="871">
        <f>'11.销售及回款表'!I127</f>
        <v>0</v>
      </c>
      <c r="H16" s="872">
        <f>'11.销售及回款表'!J127</f>
        <v>0</v>
      </c>
      <c r="I16" s="872">
        <f>'11.销售及回款表'!K127</f>
        <v>0</v>
      </c>
      <c r="J16" s="872">
        <f>'11.销售及回款表'!L127</f>
        <v>0</v>
      </c>
      <c r="K16" s="871">
        <f>'11.销售及回款表'!M127</f>
        <v>0</v>
      </c>
      <c r="L16" s="872">
        <f>'11.销售及回款表'!N127</f>
        <v>0</v>
      </c>
      <c r="M16" s="872">
        <f>'11.销售及回款表'!O127</f>
        <v>0</v>
      </c>
      <c r="N16" s="872">
        <f>'11.销售及回款表'!P127</f>
        <v>0</v>
      </c>
      <c r="O16" s="871">
        <f>'11.销售及回款表'!Q127</f>
        <v>0</v>
      </c>
      <c r="P16" s="872">
        <f>'11.销售及回款表'!R127</f>
        <v>0</v>
      </c>
      <c r="Q16" s="872">
        <f>'11.销售及回款表'!S127</f>
        <v>0</v>
      </c>
      <c r="R16" s="872">
        <f>'11.销售及回款表'!T127</f>
        <v>0</v>
      </c>
      <c r="S16" s="871">
        <f>'11.销售及回款表'!U127</f>
        <v>0</v>
      </c>
      <c r="T16" s="872">
        <f>'11.销售及回款表'!V127</f>
        <v>0</v>
      </c>
      <c r="U16" s="872">
        <f>'11.销售及回款表'!W127</f>
        <v>0</v>
      </c>
      <c r="V16" s="872">
        <f>'11.销售及回款表'!X127</f>
        <v>0</v>
      </c>
      <c r="W16" s="871">
        <f>'11.销售及回款表'!Y127</f>
        <v>0</v>
      </c>
      <c r="X16" s="872">
        <f>'11.销售及回款表'!Z127</f>
        <v>0</v>
      </c>
      <c r="Y16" s="872">
        <f>'11.销售及回款表'!AA127</f>
        <v>0</v>
      </c>
      <c r="Z16" s="872">
        <f>'11.销售及回款表'!AB127</f>
        <v>0</v>
      </c>
      <c r="AA16" s="871">
        <f>'11.销售及回款表'!AC127</f>
        <v>0</v>
      </c>
      <c r="AB16" s="872">
        <f>'11.销售及回款表'!AD127</f>
        <v>0</v>
      </c>
      <c r="AC16" s="872">
        <f>'11.销售及回款表'!AE127</f>
        <v>0</v>
      </c>
      <c r="AD16" s="872">
        <f>'11.销售及回款表'!AF127</f>
        <v>0</v>
      </c>
      <c r="AE16" s="871">
        <f>'11.销售及回款表'!AG127</f>
        <v>0</v>
      </c>
      <c r="AF16" s="872">
        <f>'11.销售及回款表'!AH127</f>
        <v>0</v>
      </c>
      <c r="AG16" s="872">
        <f>'11.销售及回款表'!AI127</f>
        <v>0</v>
      </c>
      <c r="AH16" s="872">
        <f>'11.销售及回款表'!AJ127</f>
        <v>0</v>
      </c>
      <c r="AI16" s="871">
        <f>'11.销售及回款表'!AK127</f>
        <v>0</v>
      </c>
      <c r="AJ16" s="872">
        <f>'11.销售及回款表'!AL127</f>
        <v>0</v>
      </c>
      <c r="AK16" s="872">
        <f>'11.销售及回款表'!AM127</f>
        <v>0</v>
      </c>
      <c r="AL16" s="872">
        <f>'11.销售及回款表'!AN127</f>
        <v>0</v>
      </c>
      <c r="AM16" s="871">
        <f>'11.销售及回款表'!AO127</f>
        <v>0</v>
      </c>
      <c r="AN16" s="872">
        <f>'11.销售及回款表'!AP127</f>
        <v>0</v>
      </c>
      <c r="AO16" s="872">
        <f>'11.销售及回款表'!AQ127</f>
        <v>0</v>
      </c>
      <c r="AP16" s="872">
        <f>'11.销售及回款表'!AR127</f>
        <v>0</v>
      </c>
      <c r="AQ16" s="871">
        <f>'11.销售及回款表'!AS127</f>
        <v>0</v>
      </c>
      <c r="AR16" s="872">
        <f>'11.销售及回款表'!AT127</f>
        <v>0</v>
      </c>
      <c r="AS16" s="872">
        <f>'11.销售及回款表'!AU127</f>
        <v>0</v>
      </c>
      <c r="AT16" s="872">
        <f>'11.销售及回款表'!AV127</f>
        <v>0</v>
      </c>
    </row>
    <row r="17" spans="1:46" s="77" customFormat="1" ht="18" customHeight="1" outlineLevel="2">
      <c r="A17" s="869" t="str">
        <f>'8.项目规划指标表'!B14</f>
        <v>自持物业</v>
      </c>
      <c r="B17" s="870">
        <f t="shared" si="2"/>
        <v>0</v>
      </c>
      <c r="C17" s="871">
        <f>'11.销售及回款表'!E132</f>
        <v>0</v>
      </c>
      <c r="D17" s="872">
        <f>'11.销售及回款表'!F132</f>
        <v>0</v>
      </c>
      <c r="E17" s="872">
        <f>'11.销售及回款表'!G132</f>
        <v>0</v>
      </c>
      <c r="F17" s="872">
        <f>'11.销售及回款表'!H132</f>
        <v>0</v>
      </c>
      <c r="G17" s="871">
        <f>'11.销售及回款表'!I132</f>
        <v>0</v>
      </c>
      <c r="H17" s="872">
        <f>'11.销售及回款表'!J132</f>
        <v>0</v>
      </c>
      <c r="I17" s="872">
        <f>'11.销售及回款表'!K132</f>
        <v>0</v>
      </c>
      <c r="J17" s="872">
        <f>'11.销售及回款表'!L132</f>
        <v>0</v>
      </c>
      <c r="K17" s="871">
        <f>'11.销售及回款表'!M132</f>
        <v>0</v>
      </c>
      <c r="L17" s="872">
        <f>'11.销售及回款表'!N132</f>
        <v>0</v>
      </c>
      <c r="M17" s="872">
        <f>'11.销售及回款表'!O132</f>
        <v>0</v>
      </c>
      <c r="N17" s="872">
        <f>'11.销售及回款表'!P132</f>
        <v>0</v>
      </c>
      <c r="O17" s="871">
        <f>'11.销售及回款表'!Q132</f>
        <v>0</v>
      </c>
      <c r="P17" s="872">
        <f>'11.销售及回款表'!R132</f>
        <v>0</v>
      </c>
      <c r="Q17" s="872">
        <f>'11.销售及回款表'!S132</f>
        <v>0</v>
      </c>
      <c r="R17" s="872">
        <f>'11.销售及回款表'!T132</f>
        <v>0</v>
      </c>
      <c r="S17" s="871">
        <f>'11.销售及回款表'!U132</f>
        <v>0</v>
      </c>
      <c r="T17" s="872">
        <f>'11.销售及回款表'!V132</f>
        <v>0</v>
      </c>
      <c r="U17" s="872">
        <f>'11.销售及回款表'!W132</f>
        <v>0</v>
      </c>
      <c r="V17" s="872">
        <f>'11.销售及回款表'!X132</f>
        <v>0</v>
      </c>
      <c r="W17" s="871">
        <f>'11.销售及回款表'!Y132</f>
        <v>0</v>
      </c>
      <c r="X17" s="872">
        <f>'11.销售及回款表'!Z132</f>
        <v>0</v>
      </c>
      <c r="Y17" s="872">
        <f>'11.销售及回款表'!AA132</f>
        <v>0</v>
      </c>
      <c r="Z17" s="872">
        <f>'11.销售及回款表'!AB132</f>
        <v>0</v>
      </c>
      <c r="AA17" s="871">
        <f>'11.销售及回款表'!AC132</f>
        <v>0</v>
      </c>
      <c r="AB17" s="872">
        <f>'11.销售及回款表'!AD132</f>
        <v>0</v>
      </c>
      <c r="AC17" s="872">
        <f>'11.销售及回款表'!AE132</f>
        <v>0</v>
      </c>
      <c r="AD17" s="872">
        <f>'11.销售及回款表'!AF132</f>
        <v>0</v>
      </c>
      <c r="AE17" s="871">
        <f>'11.销售及回款表'!AG132</f>
        <v>0</v>
      </c>
      <c r="AF17" s="872">
        <f>'11.销售及回款表'!AH132</f>
        <v>0</v>
      </c>
      <c r="AG17" s="872">
        <f>'11.销售及回款表'!AI132</f>
        <v>0</v>
      </c>
      <c r="AH17" s="872">
        <f>'11.销售及回款表'!AJ132</f>
        <v>0</v>
      </c>
      <c r="AI17" s="871">
        <f>'11.销售及回款表'!AK132</f>
        <v>0</v>
      </c>
      <c r="AJ17" s="872">
        <f>'11.销售及回款表'!AL132</f>
        <v>0</v>
      </c>
      <c r="AK17" s="872">
        <f>'11.销售及回款表'!AM132</f>
        <v>0</v>
      </c>
      <c r="AL17" s="872">
        <f>'11.销售及回款表'!AN132</f>
        <v>0</v>
      </c>
      <c r="AM17" s="871">
        <f>'11.销售及回款表'!AO132</f>
        <v>0</v>
      </c>
      <c r="AN17" s="872">
        <f>'11.销售及回款表'!AP132</f>
        <v>0</v>
      </c>
      <c r="AO17" s="872">
        <f>'11.销售及回款表'!AQ132</f>
        <v>0</v>
      </c>
      <c r="AP17" s="872">
        <f>'11.销售及回款表'!AR132</f>
        <v>0</v>
      </c>
      <c r="AQ17" s="871">
        <f>'11.销售及回款表'!AS132</f>
        <v>0</v>
      </c>
      <c r="AR17" s="872">
        <f>'11.销售及回款表'!AT132</f>
        <v>0</v>
      </c>
      <c r="AS17" s="872">
        <f>'11.销售及回款表'!AU132</f>
        <v>0</v>
      </c>
      <c r="AT17" s="872">
        <f>'11.销售及回款表'!AV132</f>
        <v>0</v>
      </c>
    </row>
    <row r="18" spans="1:46" s="77" customFormat="1" ht="18" customHeight="1" outlineLevel="2">
      <c r="A18" s="869" t="str">
        <f>'8.项目规划指标表'!B18</f>
        <v>有产权车库(个)</v>
      </c>
      <c r="B18" s="870">
        <f t="shared" si="2"/>
        <v>422</v>
      </c>
      <c r="C18" s="871">
        <f>'11.销售及回款表'!E137</f>
        <v>0</v>
      </c>
      <c r="D18" s="872">
        <f>'11.销售及回款表'!F137</f>
        <v>0</v>
      </c>
      <c r="E18" s="872">
        <f>'11.销售及回款表'!G137</f>
        <v>0</v>
      </c>
      <c r="F18" s="872">
        <f>'11.销售及回款表'!H137</f>
        <v>0</v>
      </c>
      <c r="G18" s="871">
        <f>'11.销售及回款表'!I137</f>
        <v>0</v>
      </c>
      <c r="H18" s="872">
        <f>'11.销售及回款表'!J137</f>
        <v>0</v>
      </c>
      <c r="I18" s="872">
        <f>'11.销售及回款表'!K137</f>
        <v>0</v>
      </c>
      <c r="J18" s="872">
        <f>'11.销售及回款表'!L137</f>
        <v>0</v>
      </c>
      <c r="K18" s="871">
        <f>'11.销售及回款表'!M137</f>
        <v>0</v>
      </c>
      <c r="L18" s="872">
        <f>'11.销售及回款表'!N137</f>
        <v>0</v>
      </c>
      <c r="M18" s="872">
        <f>'11.销售及回款表'!O137</f>
        <v>126.6</v>
      </c>
      <c r="N18" s="872">
        <f>'11.销售及回款表'!P137</f>
        <v>126.6</v>
      </c>
      <c r="O18" s="871">
        <f>'11.销售及回款表'!Q137</f>
        <v>84.4</v>
      </c>
      <c r="P18" s="872">
        <f>'11.销售及回款表'!R137</f>
        <v>84.4</v>
      </c>
      <c r="Q18" s="872">
        <f>'11.销售及回款表'!S137</f>
        <v>0</v>
      </c>
      <c r="R18" s="872">
        <f>'11.销售及回款表'!T137</f>
        <v>0</v>
      </c>
      <c r="S18" s="871">
        <f>'11.销售及回款表'!U137</f>
        <v>0</v>
      </c>
      <c r="T18" s="872">
        <f>'11.销售及回款表'!V137</f>
        <v>0</v>
      </c>
      <c r="U18" s="872">
        <f>'11.销售及回款表'!W137</f>
        <v>0</v>
      </c>
      <c r="V18" s="872">
        <f>'11.销售及回款表'!X137</f>
        <v>0</v>
      </c>
      <c r="W18" s="871">
        <f>'11.销售及回款表'!Y137</f>
        <v>0</v>
      </c>
      <c r="X18" s="872">
        <f>'11.销售及回款表'!Z137</f>
        <v>0</v>
      </c>
      <c r="Y18" s="872">
        <f>'11.销售及回款表'!AA137</f>
        <v>0</v>
      </c>
      <c r="Z18" s="872">
        <f>'11.销售及回款表'!AB137</f>
        <v>0</v>
      </c>
      <c r="AA18" s="871">
        <f>'11.销售及回款表'!AC137</f>
        <v>0</v>
      </c>
      <c r="AB18" s="872">
        <f>'11.销售及回款表'!AD137</f>
        <v>0</v>
      </c>
      <c r="AC18" s="872">
        <f>'11.销售及回款表'!AE137</f>
        <v>0</v>
      </c>
      <c r="AD18" s="872">
        <f>'11.销售及回款表'!AF137</f>
        <v>0</v>
      </c>
      <c r="AE18" s="871">
        <f>'11.销售及回款表'!AG137</f>
        <v>0</v>
      </c>
      <c r="AF18" s="872">
        <f>'11.销售及回款表'!AH137</f>
        <v>0</v>
      </c>
      <c r="AG18" s="872">
        <f>'11.销售及回款表'!AI137</f>
        <v>0</v>
      </c>
      <c r="AH18" s="872">
        <f>'11.销售及回款表'!AJ137</f>
        <v>0</v>
      </c>
      <c r="AI18" s="871">
        <f>'11.销售及回款表'!AK137</f>
        <v>0</v>
      </c>
      <c r="AJ18" s="872">
        <f>'11.销售及回款表'!AL137</f>
        <v>0</v>
      </c>
      <c r="AK18" s="872">
        <f>'11.销售及回款表'!AM137</f>
        <v>0</v>
      </c>
      <c r="AL18" s="872">
        <f>'11.销售及回款表'!AN137</f>
        <v>0</v>
      </c>
      <c r="AM18" s="871">
        <f>'11.销售及回款表'!AO137</f>
        <v>0</v>
      </c>
      <c r="AN18" s="872">
        <f>'11.销售及回款表'!AP137</f>
        <v>0</v>
      </c>
      <c r="AO18" s="872">
        <f>'11.销售及回款表'!AQ137</f>
        <v>0</v>
      </c>
      <c r="AP18" s="872">
        <f>'11.销售及回款表'!AR137</f>
        <v>0</v>
      </c>
      <c r="AQ18" s="871">
        <f>'11.销售及回款表'!AS137</f>
        <v>0</v>
      </c>
      <c r="AR18" s="872">
        <f>'11.销售及回款表'!AT137</f>
        <v>0</v>
      </c>
      <c r="AS18" s="872">
        <f>'11.销售及回款表'!AU137</f>
        <v>0</v>
      </c>
      <c r="AT18" s="872">
        <f>'11.销售及回款表'!AV137</f>
        <v>0</v>
      </c>
    </row>
    <row r="19" spans="1:46" s="77" customFormat="1" ht="18" customHeight="1" outlineLevel="2">
      <c r="A19" s="869" t="str">
        <f>'8.项目规划指标表'!B19</f>
        <v>无产权车库(个)</v>
      </c>
      <c r="B19" s="870">
        <f t="shared" si="2"/>
        <v>0</v>
      </c>
      <c r="C19" s="871">
        <f>'11.销售及回款表'!E142</f>
        <v>0</v>
      </c>
      <c r="D19" s="872">
        <f>'11.销售及回款表'!F142</f>
        <v>0</v>
      </c>
      <c r="E19" s="872">
        <f>'11.销售及回款表'!G142</f>
        <v>0</v>
      </c>
      <c r="F19" s="872">
        <f>'11.销售及回款表'!H142</f>
        <v>0</v>
      </c>
      <c r="G19" s="871">
        <f>'11.销售及回款表'!I142</f>
        <v>0</v>
      </c>
      <c r="H19" s="872">
        <f>'11.销售及回款表'!J142</f>
        <v>0</v>
      </c>
      <c r="I19" s="872">
        <f>'11.销售及回款表'!K142</f>
        <v>0</v>
      </c>
      <c r="J19" s="872">
        <f>'11.销售及回款表'!L142</f>
        <v>0</v>
      </c>
      <c r="K19" s="871">
        <f>'11.销售及回款表'!M142</f>
        <v>0</v>
      </c>
      <c r="L19" s="872">
        <f>'11.销售及回款表'!N142</f>
        <v>0</v>
      </c>
      <c r="M19" s="872">
        <f>'11.销售及回款表'!O142</f>
        <v>0</v>
      </c>
      <c r="N19" s="872">
        <f>'11.销售及回款表'!P142</f>
        <v>0</v>
      </c>
      <c r="O19" s="871">
        <f>'11.销售及回款表'!Q142</f>
        <v>0</v>
      </c>
      <c r="P19" s="872">
        <f>'11.销售及回款表'!R142</f>
        <v>0</v>
      </c>
      <c r="Q19" s="872">
        <f>'11.销售及回款表'!S142</f>
        <v>0</v>
      </c>
      <c r="R19" s="872">
        <f>'11.销售及回款表'!T142</f>
        <v>0</v>
      </c>
      <c r="S19" s="871">
        <f>'11.销售及回款表'!U142</f>
        <v>0</v>
      </c>
      <c r="T19" s="872">
        <f>'11.销售及回款表'!V142</f>
        <v>0</v>
      </c>
      <c r="U19" s="872">
        <f>'11.销售及回款表'!W142</f>
        <v>0</v>
      </c>
      <c r="V19" s="872">
        <f>'11.销售及回款表'!X142</f>
        <v>0</v>
      </c>
      <c r="W19" s="871">
        <f>'11.销售及回款表'!Y142</f>
        <v>0</v>
      </c>
      <c r="X19" s="872">
        <f>'11.销售及回款表'!Z142</f>
        <v>0</v>
      </c>
      <c r="Y19" s="872">
        <f>'11.销售及回款表'!AA142</f>
        <v>0</v>
      </c>
      <c r="Z19" s="872">
        <f>'11.销售及回款表'!AB142</f>
        <v>0</v>
      </c>
      <c r="AA19" s="871">
        <f>'11.销售及回款表'!AC142</f>
        <v>0</v>
      </c>
      <c r="AB19" s="872">
        <f>'11.销售及回款表'!AD142</f>
        <v>0</v>
      </c>
      <c r="AC19" s="872">
        <f>'11.销售及回款表'!AE142</f>
        <v>0</v>
      </c>
      <c r="AD19" s="872">
        <f>'11.销售及回款表'!AF142</f>
        <v>0</v>
      </c>
      <c r="AE19" s="871">
        <f>'11.销售及回款表'!AG142</f>
        <v>0</v>
      </c>
      <c r="AF19" s="872">
        <f>'11.销售及回款表'!AH142</f>
        <v>0</v>
      </c>
      <c r="AG19" s="872">
        <f>'11.销售及回款表'!AI142</f>
        <v>0</v>
      </c>
      <c r="AH19" s="872">
        <f>'11.销售及回款表'!AJ142</f>
        <v>0</v>
      </c>
      <c r="AI19" s="871">
        <f>'11.销售及回款表'!AK142</f>
        <v>0</v>
      </c>
      <c r="AJ19" s="872">
        <f>'11.销售及回款表'!AL142</f>
        <v>0</v>
      </c>
      <c r="AK19" s="872">
        <f>'11.销售及回款表'!AM142</f>
        <v>0</v>
      </c>
      <c r="AL19" s="872">
        <f>'11.销售及回款表'!AN142</f>
        <v>0</v>
      </c>
      <c r="AM19" s="871">
        <f>'11.销售及回款表'!AO142</f>
        <v>0</v>
      </c>
      <c r="AN19" s="872">
        <f>'11.销售及回款表'!AP142</f>
        <v>0</v>
      </c>
      <c r="AO19" s="872">
        <f>'11.销售及回款表'!AQ142</f>
        <v>0</v>
      </c>
      <c r="AP19" s="872">
        <f>'11.销售及回款表'!AR142</f>
        <v>0</v>
      </c>
      <c r="AQ19" s="871">
        <f>'11.销售及回款表'!AS142</f>
        <v>0</v>
      </c>
      <c r="AR19" s="872">
        <f>'11.销售及回款表'!AT142</f>
        <v>0</v>
      </c>
      <c r="AS19" s="872">
        <f>'11.销售及回款表'!AU142</f>
        <v>0</v>
      </c>
      <c r="AT19" s="872">
        <f>'11.销售及回款表'!AV142</f>
        <v>0</v>
      </c>
    </row>
    <row r="20" spans="1:46" s="77" customFormat="1" ht="18" customHeight="1" outlineLevel="1">
      <c r="A20" s="865" t="s">
        <v>20</v>
      </c>
      <c r="B20" s="866">
        <f t="shared" ref="B20:AT20" si="3">SUM(B21:B32)</f>
        <v>0</v>
      </c>
      <c r="C20" s="867">
        <f t="shared" si="3"/>
        <v>0</v>
      </c>
      <c r="D20" s="868">
        <f t="shared" si="3"/>
        <v>0</v>
      </c>
      <c r="E20" s="868">
        <f t="shared" si="3"/>
        <v>0</v>
      </c>
      <c r="F20" s="868">
        <f t="shared" si="3"/>
        <v>0</v>
      </c>
      <c r="G20" s="867">
        <f t="shared" si="3"/>
        <v>0</v>
      </c>
      <c r="H20" s="868">
        <f t="shared" si="3"/>
        <v>0</v>
      </c>
      <c r="I20" s="868">
        <f t="shared" si="3"/>
        <v>0</v>
      </c>
      <c r="J20" s="868">
        <f t="shared" si="3"/>
        <v>0</v>
      </c>
      <c r="K20" s="867">
        <f t="shared" si="3"/>
        <v>0</v>
      </c>
      <c r="L20" s="868">
        <f t="shared" si="3"/>
        <v>0</v>
      </c>
      <c r="M20" s="868">
        <f t="shared" si="3"/>
        <v>0</v>
      </c>
      <c r="N20" s="868">
        <f t="shared" si="3"/>
        <v>0</v>
      </c>
      <c r="O20" s="867">
        <f t="shared" si="3"/>
        <v>0</v>
      </c>
      <c r="P20" s="868">
        <f t="shared" si="3"/>
        <v>0</v>
      </c>
      <c r="Q20" s="868">
        <f t="shared" si="3"/>
        <v>0</v>
      </c>
      <c r="R20" s="868">
        <f t="shared" si="3"/>
        <v>0</v>
      </c>
      <c r="S20" s="867">
        <f t="shared" si="3"/>
        <v>0</v>
      </c>
      <c r="T20" s="868">
        <f t="shared" si="3"/>
        <v>0</v>
      </c>
      <c r="U20" s="868">
        <f t="shared" si="3"/>
        <v>0</v>
      </c>
      <c r="V20" s="868">
        <f t="shared" si="3"/>
        <v>0</v>
      </c>
      <c r="W20" s="867">
        <f t="shared" si="3"/>
        <v>0</v>
      </c>
      <c r="X20" s="868">
        <f t="shared" si="3"/>
        <v>0</v>
      </c>
      <c r="Y20" s="868">
        <f t="shared" si="3"/>
        <v>0</v>
      </c>
      <c r="Z20" s="868">
        <f t="shared" si="3"/>
        <v>0</v>
      </c>
      <c r="AA20" s="867">
        <f t="shared" si="3"/>
        <v>0</v>
      </c>
      <c r="AB20" s="868">
        <f t="shared" si="3"/>
        <v>0</v>
      </c>
      <c r="AC20" s="868">
        <f t="shared" si="3"/>
        <v>0</v>
      </c>
      <c r="AD20" s="868">
        <f t="shared" si="3"/>
        <v>0</v>
      </c>
      <c r="AE20" s="867">
        <f t="shared" si="3"/>
        <v>0</v>
      </c>
      <c r="AF20" s="868">
        <f t="shared" si="3"/>
        <v>0</v>
      </c>
      <c r="AG20" s="868">
        <f t="shared" si="3"/>
        <v>0</v>
      </c>
      <c r="AH20" s="868">
        <f t="shared" si="3"/>
        <v>0</v>
      </c>
      <c r="AI20" s="867">
        <f t="shared" si="3"/>
        <v>0</v>
      </c>
      <c r="AJ20" s="868">
        <f t="shared" si="3"/>
        <v>0</v>
      </c>
      <c r="AK20" s="868">
        <f t="shared" si="3"/>
        <v>0</v>
      </c>
      <c r="AL20" s="868">
        <f t="shared" si="3"/>
        <v>0</v>
      </c>
      <c r="AM20" s="867">
        <f t="shared" si="3"/>
        <v>0</v>
      </c>
      <c r="AN20" s="868">
        <f t="shared" si="3"/>
        <v>0</v>
      </c>
      <c r="AO20" s="868">
        <f t="shared" si="3"/>
        <v>0</v>
      </c>
      <c r="AP20" s="868">
        <f t="shared" si="3"/>
        <v>0</v>
      </c>
      <c r="AQ20" s="867">
        <f t="shared" si="3"/>
        <v>0</v>
      </c>
      <c r="AR20" s="868">
        <f t="shared" si="3"/>
        <v>0</v>
      </c>
      <c r="AS20" s="868">
        <f t="shared" si="3"/>
        <v>0</v>
      </c>
      <c r="AT20" s="868">
        <f t="shared" si="3"/>
        <v>0</v>
      </c>
    </row>
    <row r="21" spans="1:46" s="77" customFormat="1" ht="18" customHeight="1" outlineLevel="2">
      <c r="A21" s="869" t="str">
        <f>'8.项目规划指标表'!B5</f>
        <v>高层</v>
      </c>
      <c r="B21" s="870">
        <f t="shared" si="2"/>
        <v>0</v>
      </c>
      <c r="C21" s="871">
        <f>'11.销售及回款表'!E157</f>
        <v>0</v>
      </c>
      <c r="D21" s="872">
        <f>'11.销售及回款表'!F157</f>
        <v>0</v>
      </c>
      <c r="E21" s="872">
        <f>'11.销售及回款表'!G157</f>
        <v>0</v>
      </c>
      <c r="F21" s="872">
        <f>'11.销售及回款表'!H157</f>
        <v>0</v>
      </c>
      <c r="G21" s="871">
        <f>'11.销售及回款表'!I157</f>
        <v>0</v>
      </c>
      <c r="H21" s="872">
        <f>'11.销售及回款表'!J157</f>
        <v>0</v>
      </c>
      <c r="I21" s="872">
        <f>'11.销售及回款表'!K157</f>
        <v>0</v>
      </c>
      <c r="J21" s="872">
        <f>'11.销售及回款表'!L157</f>
        <v>0</v>
      </c>
      <c r="K21" s="871">
        <f>'11.销售及回款表'!M157</f>
        <v>0</v>
      </c>
      <c r="L21" s="872">
        <f>'11.销售及回款表'!N157</f>
        <v>0</v>
      </c>
      <c r="M21" s="872">
        <f>'11.销售及回款表'!O157</f>
        <v>0</v>
      </c>
      <c r="N21" s="872">
        <f>'11.销售及回款表'!P157</f>
        <v>0</v>
      </c>
      <c r="O21" s="871">
        <f>'11.销售及回款表'!Q157</f>
        <v>0</v>
      </c>
      <c r="P21" s="872">
        <f>'11.销售及回款表'!R157</f>
        <v>0</v>
      </c>
      <c r="Q21" s="872">
        <f>'11.销售及回款表'!S157</f>
        <v>0</v>
      </c>
      <c r="R21" s="872">
        <f>'11.销售及回款表'!T157</f>
        <v>0</v>
      </c>
      <c r="S21" s="871">
        <f>'11.销售及回款表'!U157</f>
        <v>0</v>
      </c>
      <c r="T21" s="872">
        <f>'11.销售及回款表'!V157</f>
        <v>0</v>
      </c>
      <c r="U21" s="872">
        <f>'11.销售及回款表'!W157</f>
        <v>0</v>
      </c>
      <c r="V21" s="872">
        <f>'11.销售及回款表'!X157</f>
        <v>0</v>
      </c>
      <c r="W21" s="871">
        <f>'11.销售及回款表'!Y157</f>
        <v>0</v>
      </c>
      <c r="X21" s="872">
        <f>'11.销售及回款表'!Z157</f>
        <v>0</v>
      </c>
      <c r="Y21" s="872">
        <f>'11.销售及回款表'!AA157</f>
        <v>0</v>
      </c>
      <c r="Z21" s="872">
        <f>'11.销售及回款表'!AB157</f>
        <v>0</v>
      </c>
      <c r="AA21" s="871">
        <f>'11.销售及回款表'!AC157</f>
        <v>0</v>
      </c>
      <c r="AB21" s="872">
        <f>'11.销售及回款表'!AD157</f>
        <v>0</v>
      </c>
      <c r="AC21" s="872">
        <f>'11.销售及回款表'!AE157</f>
        <v>0</v>
      </c>
      <c r="AD21" s="872">
        <f>'11.销售及回款表'!AF157</f>
        <v>0</v>
      </c>
      <c r="AE21" s="871">
        <f>'11.销售及回款表'!AG157</f>
        <v>0</v>
      </c>
      <c r="AF21" s="872">
        <f>'11.销售及回款表'!AH157</f>
        <v>0</v>
      </c>
      <c r="AG21" s="872">
        <f>'11.销售及回款表'!AI157</f>
        <v>0</v>
      </c>
      <c r="AH21" s="872">
        <f>'11.销售及回款表'!AJ157</f>
        <v>0</v>
      </c>
      <c r="AI21" s="871">
        <f>'11.销售及回款表'!AK157</f>
        <v>0</v>
      </c>
      <c r="AJ21" s="872">
        <f>'11.销售及回款表'!AL157</f>
        <v>0</v>
      </c>
      <c r="AK21" s="872">
        <f>'11.销售及回款表'!AM157</f>
        <v>0</v>
      </c>
      <c r="AL21" s="872">
        <f>'11.销售及回款表'!AN157</f>
        <v>0</v>
      </c>
      <c r="AM21" s="871">
        <f>'11.销售及回款表'!AO157</f>
        <v>0</v>
      </c>
      <c r="AN21" s="872">
        <f>'11.销售及回款表'!AP157</f>
        <v>0</v>
      </c>
      <c r="AO21" s="872">
        <f>'11.销售及回款表'!AQ157</f>
        <v>0</v>
      </c>
      <c r="AP21" s="872">
        <f>'11.销售及回款表'!AR157</f>
        <v>0</v>
      </c>
      <c r="AQ21" s="871">
        <f>'11.销售及回款表'!AS157</f>
        <v>0</v>
      </c>
      <c r="AR21" s="872">
        <f>'11.销售及回款表'!AT157</f>
        <v>0</v>
      </c>
      <c r="AS21" s="872">
        <f>'11.销售及回款表'!AU157</f>
        <v>0</v>
      </c>
      <c r="AT21" s="872">
        <f>'11.销售及回款表'!AV157</f>
        <v>0</v>
      </c>
    </row>
    <row r="22" spans="1:46" s="77" customFormat="1" ht="18" customHeight="1" outlineLevel="2">
      <c r="A22" s="869" t="str">
        <f>'8.项目规划指标表'!B6</f>
        <v>商铺</v>
      </c>
      <c r="B22" s="870">
        <f t="shared" si="2"/>
        <v>0</v>
      </c>
      <c r="C22" s="871">
        <f>'11.销售及回款表'!E162</f>
        <v>0</v>
      </c>
      <c r="D22" s="872">
        <f>'11.销售及回款表'!F162</f>
        <v>0</v>
      </c>
      <c r="E22" s="872">
        <f>'11.销售及回款表'!G162</f>
        <v>0</v>
      </c>
      <c r="F22" s="872">
        <f>'11.销售及回款表'!H162</f>
        <v>0</v>
      </c>
      <c r="G22" s="871">
        <f>'11.销售及回款表'!I162</f>
        <v>0</v>
      </c>
      <c r="H22" s="872">
        <f>'11.销售及回款表'!J162</f>
        <v>0</v>
      </c>
      <c r="I22" s="872">
        <f>'11.销售及回款表'!K162</f>
        <v>0</v>
      </c>
      <c r="J22" s="872">
        <f>'11.销售及回款表'!L162</f>
        <v>0</v>
      </c>
      <c r="K22" s="871">
        <f>'11.销售及回款表'!M162</f>
        <v>0</v>
      </c>
      <c r="L22" s="872">
        <f>'11.销售及回款表'!N162</f>
        <v>0</v>
      </c>
      <c r="M22" s="872">
        <f>'11.销售及回款表'!O162</f>
        <v>0</v>
      </c>
      <c r="N22" s="872">
        <f>'11.销售及回款表'!P162</f>
        <v>0</v>
      </c>
      <c r="O22" s="871">
        <f>'11.销售及回款表'!Q162</f>
        <v>0</v>
      </c>
      <c r="P22" s="872">
        <f>'11.销售及回款表'!R162</f>
        <v>0</v>
      </c>
      <c r="Q22" s="872">
        <f>'11.销售及回款表'!S162</f>
        <v>0</v>
      </c>
      <c r="R22" s="872">
        <f>'11.销售及回款表'!T162</f>
        <v>0</v>
      </c>
      <c r="S22" s="871">
        <f>'11.销售及回款表'!U162</f>
        <v>0</v>
      </c>
      <c r="T22" s="872">
        <f>'11.销售及回款表'!V162</f>
        <v>0</v>
      </c>
      <c r="U22" s="872">
        <f>'11.销售及回款表'!W162</f>
        <v>0</v>
      </c>
      <c r="V22" s="872">
        <f>'11.销售及回款表'!X162</f>
        <v>0</v>
      </c>
      <c r="W22" s="871">
        <f>'11.销售及回款表'!Y162</f>
        <v>0</v>
      </c>
      <c r="X22" s="872">
        <f>'11.销售及回款表'!Z162</f>
        <v>0</v>
      </c>
      <c r="Y22" s="872">
        <f>'11.销售及回款表'!AA162</f>
        <v>0</v>
      </c>
      <c r="Z22" s="872">
        <f>'11.销售及回款表'!AB162</f>
        <v>0</v>
      </c>
      <c r="AA22" s="871">
        <f>'11.销售及回款表'!AC162</f>
        <v>0</v>
      </c>
      <c r="AB22" s="872">
        <f>'11.销售及回款表'!AD162</f>
        <v>0</v>
      </c>
      <c r="AC22" s="872">
        <f>'11.销售及回款表'!AE162</f>
        <v>0</v>
      </c>
      <c r="AD22" s="872">
        <f>'11.销售及回款表'!AF162</f>
        <v>0</v>
      </c>
      <c r="AE22" s="871">
        <f>'11.销售及回款表'!AG162</f>
        <v>0</v>
      </c>
      <c r="AF22" s="872">
        <f>'11.销售及回款表'!AH162</f>
        <v>0</v>
      </c>
      <c r="AG22" s="872">
        <f>'11.销售及回款表'!AI162</f>
        <v>0</v>
      </c>
      <c r="AH22" s="872">
        <f>'11.销售及回款表'!AJ162</f>
        <v>0</v>
      </c>
      <c r="AI22" s="871">
        <f>'11.销售及回款表'!AK162</f>
        <v>0</v>
      </c>
      <c r="AJ22" s="872">
        <f>'11.销售及回款表'!AL162</f>
        <v>0</v>
      </c>
      <c r="AK22" s="872">
        <f>'11.销售及回款表'!AM162</f>
        <v>0</v>
      </c>
      <c r="AL22" s="872">
        <f>'11.销售及回款表'!AN162</f>
        <v>0</v>
      </c>
      <c r="AM22" s="871">
        <f>'11.销售及回款表'!AO162</f>
        <v>0</v>
      </c>
      <c r="AN22" s="872">
        <f>'11.销售及回款表'!AP162</f>
        <v>0</v>
      </c>
      <c r="AO22" s="872">
        <f>'11.销售及回款表'!AQ162</f>
        <v>0</v>
      </c>
      <c r="AP22" s="872">
        <f>'11.销售及回款表'!AR162</f>
        <v>0</v>
      </c>
      <c r="AQ22" s="871">
        <f>'11.销售及回款表'!AS162</f>
        <v>0</v>
      </c>
      <c r="AR22" s="872">
        <f>'11.销售及回款表'!AT162</f>
        <v>0</v>
      </c>
      <c r="AS22" s="872">
        <f>'11.销售及回款表'!AU162</f>
        <v>0</v>
      </c>
      <c r="AT22" s="872">
        <f>'11.销售及回款表'!AV162</f>
        <v>0</v>
      </c>
    </row>
    <row r="23" spans="1:46" s="77" customFormat="1" ht="18" customHeight="1" outlineLevel="2">
      <c r="A23" s="869" t="str">
        <f>'8.项目规划指标表'!B7</f>
        <v>回迁商业</v>
      </c>
      <c r="B23" s="870">
        <f t="shared" si="2"/>
        <v>0</v>
      </c>
      <c r="C23" s="871">
        <f>'11.销售及回款表'!E167</f>
        <v>0</v>
      </c>
      <c r="D23" s="872">
        <f>'11.销售及回款表'!F167</f>
        <v>0</v>
      </c>
      <c r="E23" s="872">
        <f>'11.销售及回款表'!G167</f>
        <v>0</v>
      </c>
      <c r="F23" s="872">
        <f>'11.销售及回款表'!H167</f>
        <v>0</v>
      </c>
      <c r="G23" s="871">
        <f>'11.销售及回款表'!I167</f>
        <v>0</v>
      </c>
      <c r="H23" s="872">
        <f>'11.销售及回款表'!J167</f>
        <v>0</v>
      </c>
      <c r="I23" s="872">
        <f>'11.销售及回款表'!K167</f>
        <v>0</v>
      </c>
      <c r="J23" s="872">
        <f>'11.销售及回款表'!L167</f>
        <v>0</v>
      </c>
      <c r="K23" s="871">
        <f>'11.销售及回款表'!M167</f>
        <v>0</v>
      </c>
      <c r="L23" s="872">
        <f>'11.销售及回款表'!N167</f>
        <v>0</v>
      </c>
      <c r="M23" s="872">
        <f>'11.销售及回款表'!O167</f>
        <v>0</v>
      </c>
      <c r="N23" s="872">
        <f>'11.销售及回款表'!P167</f>
        <v>0</v>
      </c>
      <c r="O23" s="871">
        <f>'11.销售及回款表'!Q167</f>
        <v>0</v>
      </c>
      <c r="P23" s="872">
        <f>'11.销售及回款表'!R167</f>
        <v>0</v>
      </c>
      <c r="Q23" s="872">
        <f>'11.销售及回款表'!S167</f>
        <v>0</v>
      </c>
      <c r="R23" s="872">
        <f>'11.销售及回款表'!T167</f>
        <v>0</v>
      </c>
      <c r="S23" s="871">
        <f>'11.销售及回款表'!U167</f>
        <v>0</v>
      </c>
      <c r="T23" s="872">
        <f>'11.销售及回款表'!V167</f>
        <v>0</v>
      </c>
      <c r="U23" s="872">
        <f>'11.销售及回款表'!W167</f>
        <v>0</v>
      </c>
      <c r="V23" s="872">
        <f>'11.销售及回款表'!X167</f>
        <v>0</v>
      </c>
      <c r="W23" s="871">
        <f>'11.销售及回款表'!Y167</f>
        <v>0</v>
      </c>
      <c r="X23" s="872">
        <f>'11.销售及回款表'!Z167</f>
        <v>0</v>
      </c>
      <c r="Y23" s="872">
        <f>'11.销售及回款表'!AA167</f>
        <v>0</v>
      </c>
      <c r="Z23" s="872">
        <f>'11.销售及回款表'!AB167</f>
        <v>0</v>
      </c>
      <c r="AA23" s="871">
        <f>'11.销售及回款表'!AC167</f>
        <v>0</v>
      </c>
      <c r="AB23" s="872">
        <f>'11.销售及回款表'!AD167</f>
        <v>0</v>
      </c>
      <c r="AC23" s="872">
        <f>'11.销售及回款表'!AE167</f>
        <v>0</v>
      </c>
      <c r="AD23" s="872">
        <f>'11.销售及回款表'!AF167</f>
        <v>0</v>
      </c>
      <c r="AE23" s="871">
        <f>'11.销售及回款表'!AG167</f>
        <v>0</v>
      </c>
      <c r="AF23" s="872">
        <f>'11.销售及回款表'!AH167</f>
        <v>0</v>
      </c>
      <c r="AG23" s="872">
        <f>'11.销售及回款表'!AI167</f>
        <v>0</v>
      </c>
      <c r="AH23" s="872">
        <f>'11.销售及回款表'!AJ167</f>
        <v>0</v>
      </c>
      <c r="AI23" s="871">
        <f>'11.销售及回款表'!AK167</f>
        <v>0</v>
      </c>
      <c r="AJ23" s="872">
        <f>'11.销售及回款表'!AL167</f>
        <v>0</v>
      </c>
      <c r="AK23" s="872">
        <f>'11.销售及回款表'!AM167</f>
        <v>0</v>
      </c>
      <c r="AL23" s="872">
        <f>'11.销售及回款表'!AN167</f>
        <v>0</v>
      </c>
      <c r="AM23" s="871">
        <f>'11.销售及回款表'!AO167</f>
        <v>0</v>
      </c>
      <c r="AN23" s="872">
        <f>'11.销售及回款表'!AP167</f>
        <v>0</v>
      </c>
      <c r="AO23" s="872">
        <f>'11.销售及回款表'!AQ167</f>
        <v>0</v>
      </c>
      <c r="AP23" s="872">
        <f>'11.销售及回款表'!AR167</f>
        <v>0</v>
      </c>
      <c r="AQ23" s="871">
        <f>'11.销售及回款表'!AS167</f>
        <v>0</v>
      </c>
      <c r="AR23" s="872">
        <f>'11.销售及回款表'!AT167</f>
        <v>0</v>
      </c>
      <c r="AS23" s="872">
        <f>'11.销售及回款表'!AU167</f>
        <v>0</v>
      </c>
      <c r="AT23" s="872">
        <f>'11.销售及回款表'!AV167</f>
        <v>0</v>
      </c>
    </row>
    <row r="24" spans="1:46" s="77" customFormat="1" ht="18" customHeight="1" outlineLevel="2">
      <c r="A24" s="869">
        <f>'8.项目规划指标表'!B8</f>
        <v>0</v>
      </c>
      <c r="B24" s="870">
        <f t="shared" si="2"/>
        <v>0</v>
      </c>
      <c r="C24" s="871">
        <f>'11.销售及回款表'!E172</f>
        <v>0</v>
      </c>
      <c r="D24" s="872">
        <f>'11.销售及回款表'!F172</f>
        <v>0</v>
      </c>
      <c r="E24" s="872">
        <f>'11.销售及回款表'!G172</f>
        <v>0</v>
      </c>
      <c r="F24" s="872">
        <f>'11.销售及回款表'!H172</f>
        <v>0</v>
      </c>
      <c r="G24" s="871">
        <f>'11.销售及回款表'!I172</f>
        <v>0</v>
      </c>
      <c r="H24" s="872">
        <f>'11.销售及回款表'!J172</f>
        <v>0</v>
      </c>
      <c r="I24" s="872">
        <f>'11.销售及回款表'!K172</f>
        <v>0</v>
      </c>
      <c r="J24" s="872">
        <f>'11.销售及回款表'!L172</f>
        <v>0</v>
      </c>
      <c r="K24" s="871">
        <f>'11.销售及回款表'!M172</f>
        <v>0</v>
      </c>
      <c r="L24" s="872">
        <f>'11.销售及回款表'!N172</f>
        <v>0</v>
      </c>
      <c r="M24" s="872">
        <f>'11.销售及回款表'!O172</f>
        <v>0</v>
      </c>
      <c r="N24" s="872">
        <f>'11.销售及回款表'!P172</f>
        <v>0</v>
      </c>
      <c r="O24" s="871">
        <f>'11.销售及回款表'!Q172</f>
        <v>0</v>
      </c>
      <c r="P24" s="872">
        <f>'11.销售及回款表'!R172</f>
        <v>0</v>
      </c>
      <c r="Q24" s="872">
        <f>'11.销售及回款表'!S172</f>
        <v>0</v>
      </c>
      <c r="R24" s="872">
        <f>'11.销售及回款表'!T172</f>
        <v>0</v>
      </c>
      <c r="S24" s="871">
        <f>'11.销售及回款表'!U172</f>
        <v>0</v>
      </c>
      <c r="T24" s="872">
        <f>'11.销售及回款表'!V172</f>
        <v>0</v>
      </c>
      <c r="U24" s="872">
        <f>'11.销售及回款表'!W172</f>
        <v>0</v>
      </c>
      <c r="V24" s="872">
        <f>'11.销售及回款表'!X172</f>
        <v>0</v>
      </c>
      <c r="W24" s="871">
        <f>'11.销售及回款表'!Y172</f>
        <v>0</v>
      </c>
      <c r="X24" s="872">
        <f>'11.销售及回款表'!Z172</f>
        <v>0</v>
      </c>
      <c r="Y24" s="872">
        <f>'11.销售及回款表'!AA172</f>
        <v>0</v>
      </c>
      <c r="Z24" s="872">
        <f>'11.销售及回款表'!AB172</f>
        <v>0</v>
      </c>
      <c r="AA24" s="871">
        <f>'11.销售及回款表'!AC172</f>
        <v>0</v>
      </c>
      <c r="AB24" s="872">
        <f>'11.销售及回款表'!AD172</f>
        <v>0</v>
      </c>
      <c r="AC24" s="872">
        <f>'11.销售及回款表'!AE172</f>
        <v>0</v>
      </c>
      <c r="AD24" s="872">
        <f>'11.销售及回款表'!AF172</f>
        <v>0</v>
      </c>
      <c r="AE24" s="871">
        <f>'11.销售及回款表'!AG172</f>
        <v>0</v>
      </c>
      <c r="AF24" s="872">
        <f>'11.销售及回款表'!AH172</f>
        <v>0</v>
      </c>
      <c r="AG24" s="872">
        <f>'11.销售及回款表'!AI172</f>
        <v>0</v>
      </c>
      <c r="AH24" s="872">
        <f>'11.销售及回款表'!AJ172</f>
        <v>0</v>
      </c>
      <c r="AI24" s="871">
        <f>'11.销售及回款表'!AK172</f>
        <v>0</v>
      </c>
      <c r="AJ24" s="872">
        <f>'11.销售及回款表'!AL172</f>
        <v>0</v>
      </c>
      <c r="AK24" s="872">
        <f>'11.销售及回款表'!AM172</f>
        <v>0</v>
      </c>
      <c r="AL24" s="872">
        <f>'11.销售及回款表'!AN172</f>
        <v>0</v>
      </c>
      <c r="AM24" s="871">
        <f>'11.销售及回款表'!AO172</f>
        <v>0</v>
      </c>
      <c r="AN24" s="872">
        <f>'11.销售及回款表'!AP172</f>
        <v>0</v>
      </c>
      <c r="AO24" s="872">
        <f>'11.销售及回款表'!AQ172</f>
        <v>0</v>
      </c>
      <c r="AP24" s="872">
        <f>'11.销售及回款表'!AR172</f>
        <v>0</v>
      </c>
      <c r="AQ24" s="871">
        <f>'11.销售及回款表'!AS172</f>
        <v>0</v>
      </c>
      <c r="AR24" s="872">
        <f>'11.销售及回款表'!AT172</f>
        <v>0</v>
      </c>
      <c r="AS24" s="872">
        <f>'11.销售及回款表'!AU172</f>
        <v>0</v>
      </c>
      <c r="AT24" s="872">
        <f>'11.销售及回款表'!AV172</f>
        <v>0</v>
      </c>
    </row>
    <row r="25" spans="1:46" s="77" customFormat="1" ht="18" customHeight="1" outlineLevel="2">
      <c r="A25" s="869">
        <f>'8.项目规划指标表'!B9</f>
        <v>0</v>
      </c>
      <c r="B25" s="870">
        <f t="shared" si="2"/>
        <v>0</v>
      </c>
      <c r="C25" s="871">
        <f>'11.销售及回款表'!E177</f>
        <v>0</v>
      </c>
      <c r="D25" s="872">
        <f>'11.销售及回款表'!F177</f>
        <v>0</v>
      </c>
      <c r="E25" s="872">
        <f>'11.销售及回款表'!G177</f>
        <v>0</v>
      </c>
      <c r="F25" s="872">
        <f>'11.销售及回款表'!H177</f>
        <v>0</v>
      </c>
      <c r="G25" s="871">
        <f>'11.销售及回款表'!I177</f>
        <v>0</v>
      </c>
      <c r="H25" s="872">
        <f>'11.销售及回款表'!J177</f>
        <v>0</v>
      </c>
      <c r="I25" s="872">
        <f>'11.销售及回款表'!K177</f>
        <v>0</v>
      </c>
      <c r="J25" s="872">
        <f>'11.销售及回款表'!L177</f>
        <v>0</v>
      </c>
      <c r="K25" s="871">
        <f>'11.销售及回款表'!M177</f>
        <v>0</v>
      </c>
      <c r="L25" s="872">
        <f>'11.销售及回款表'!N177</f>
        <v>0</v>
      </c>
      <c r="M25" s="872">
        <f>'11.销售及回款表'!O177</f>
        <v>0</v>
      </c>
      <c r="N25" s="872">
        <f>'11.销售及回款表'!P177</f>
        <v>0</v>
      </c>
      <c r="O25" s="871">
        <f>'11.销售及回款表'!Q177</f>
        <v>0</v>
      </c>
      <c r="P25" s="872">
        <f>'11.销售及回款表'!R177</f>
        <v>0</v>
      </c>
      <c r="Q25" s="872">
        <f>'11.销售及回款表'!S177</f>
        <v>0</v>
      </c>
      <c r="R25" s="872">
        <f>'11.销售及回款表'!T177</f>
        <v>0</v>
      </c>
      <c r="S25" s="871">
        <f>'11.销售及回款表'!U177</f>
        <v>0</v>
      </c>
      <c r="T25" s="872">
        <f>'11.销售及回款表'!V177</f>
        <v>0</v>
      </c>
      <c r="U25" s="872">
        <f>'11.销售及回款表'!W177</f>
        <v>0</v>
      </c>
      <c r="V25" s="872">
        <f>'11.销售及回款表'!X177</f>
        <v>0</v>
      </c>
      <c r="W25" s="871">
        <f>'11.销售及回款表'!Y177</f>
        <v>0</v>
      </c>
      <c r="X25" s="872">
        <f>'11.销售及回款表'!Z177</f>
        <v>0</v>
      </c>
      <c r="Y25" s="872">
        <f>'11.销售及回款表'!AA177</f>
        <v>0</v>
      </c>
      <c r="Z25" s="872">
        <f>'11.销售及回款表'!AB177</f>
        <v>0</v>
      </c>
      <c r="AA25" s="871">
        <f>'11.销售及回款表'!AC177</f>
        <v>0</v>
      </c>
      <c r="AB25" s="872">
        <f>'11.销售及回款表'!AD177</f>
        <v>0</v>
      </c>
      <c r="AC25" s="872">
        <f>'11.销售及回款表'!AE177</f>
        <v>0</v>
      </c>
      <c r="AD25" s="872">
        <f>'11.销售及回款表'!AF177</f>
        <v>0</v>
      </c>
      <c r="AE25" s="871">
        <f>'11.销售及回款表'!AG177</f>
        <v>0</v>
      </c>
      <c r="AF25" s="872">
        <f>'11.销售及回款表'!AH177</f>
        <v>0</v>
      </c>
      <c r="AG25" s="872">
        <f>'11.销售及回款表'!AI177</f>
        <v>0</v>
      </c>
      <c r="AH25" s="872">
        <f>'11.销售及回款表'!AJ177</f>
        <v>0</v>
      </c>
      <c r="AI25" s="871">
        <f>'11.销售及回款表'!AK177</f>
        <v>0</v>
      </c>
      <c r="AJ25" s="872">
        <f>'11.销售及回款表'!AL177</f>
        <v>0</v>
      </c>
      <c r="AK25" s="872">
        <f>'11.销售及回款表'!AM177</f>
        <v>0</v>
      </c>
      <c r="AL25" s="872">
        <f>'11.销售及回款表'!AN177</f>
        <v>0</v>
      </c>
      <c r="AM25" s="871">
        <f>'11.销售及回款表'!AO177</f>
        <v>0</v>
      </c>
      <c r="AN25" s="872">
        <f>'11.销售及回款表'!AP177</f>
        <v>0</v>
      </c>
      <c r="AO25" s="872">
        <f>'11.销售及回款表'!AQ177</f>
        <v>0</v>
      </c>
      <c r="AP25" s="872">
        <f>'11.销售及回款表'!AR177</f>
        <v>0</v>
      </c>
      <c r="AQ25" s="871">
        <f>'11.销售及回款表'!AS177</f>
        <v>0</v>
      </c>
      <c r="AR25" s="872">
        <f>'11.销售及回款表'!AT177</f>
        <v>0</v>
      </c>
      <c r="AS25" s="872">
        <f>'11.销售及回款表'!AU177</f>
        <v>0</v>
      </c>
      <c r="AT25" s="872">
        <f>'11.销售及回款表'!AV177</f>
        <v>0</v>
      </c>
    </row>
    <row r="26" spans="1:46" s="77" customFormat="1" ht="18" customHeight="1" outlineLevel="2">
      <c r="A26" s="869">
        <f>'8.项目规划指标表'!B10</f>
        <v>0</v>
      </c>
      <c r="B26" s="870">
        <f t="shared" si="2"/>
        <v>0</v>
      </c>
      <c r="C26" s="871">
        <f>'11.销售及回款表'!E182</f>
        <v>0</v>
      </c>
      <c r="D26" s="872">
        <f>'11.销售及回款表'!F182</f>
        <v>0</v>
      </c>
      <c r="E26" s="872">
        <f>'11.销售及回款表'!G182</f>
        <v>0</v>
      </c>
      <c r="F26" s="872">
        <f>'11.销售及回款表'!H182</f>
        <v>0</v>
      </c>
      <c r="G26" s="871">
        <f>'11.销售及回款表'!I182</f>
        <v>0</v>
      </c>
      <c r="H26" s="872">
        <f>'11.销售及回款表'!J182</f>
        <v>0</v>
      </c>
      <c r="I26" s="872">
        <f>'11.销售及回款表'!K182</f>
        <v>0</v>
      </c>
      <c r="J26" s="872">
        <f>'11.销售及回款表'!L182</f>
        <v>0</v>
      </c>
      <c r="K26" s="871">
        <f>'11.销售及回款表'!M182</f>
        <v>0</v>
      </c>
      <c r="L26" s="872">
        <f>'11.销售及回款表'!N182</f>
        <v>0</v>
      </c>
      <c r="M26" s="872">
        <f>'11.销售及回款表'!O182</f>
        <v>0</v>
      </c>
      <c r="N26" s="872">
        <f>'11.销售及回款表'!P182</f>
        <v>0</v>
      </c>
      <c r="O26" s="871">
        <f>'11.销售及回款表'!Q182</f>
        <v>0</v>
      </c>
      <c r="P26" s="872">
        <f>'11.销售及回款表'!R182</f>
        <v>0</v>
      </c>
      <c r="Q26" s="872">
        <f>'11.销售及回款表'!S182</f>
        <v>0</v>
      </c>
      <c r="R26" s="872">
        <f>'11.销售及回款表'!T182</f>
        <v>0</v>
      </c>
      <c r="S26" s="871">
        <f>'11.销售及回款表'!U182</f>
        <v>0</v>
      </c>
      <c r="T26" s="872">
        <f>'11.销售及回款表'!V182</f>
        <v>0</v>
      </c>
      <c r="U26" s="872">
        <f>'11.销售及回款表'!W182</f>
        <v>0</v>
      </c>
      <c r="V26" s="872">
        <f>'11.销售及回款表'!X182</f>
        <v>0</v>
      </c>
      <c r="W26" s="871">
        <f>'11.销售及回款表'!Y182</f>
        <v>0</v>
      </c>
      <c r="X26" s="872">
        <f>'11.销售及回款表'!Z182</f>
        <v>0</v>
      </c>
      <c r="Y26" s="872">
        <f>'11.销售及回款表'!AA182</f>
        <v>0</v>
      </c>
      <c r="Z26" s="872">
        <f>'11.销售及回款表'!AB182</f>
        <v>0</v>
      </c>
      <c r="AA26" s="871">
        <f>'11.销售及回款表'!AC182</f>
        <v>0</v>
      </c>
      <c r="AB26" s="872">
        <f>'11.销售及回款表'!AD182</f>
        <v>0</v>
      </c>
      <c r="AC26" s="872">
        <f>'11.销售及回款表'!AE182</f>
        <v>0</v>
      </c>
      <c r="AD26" s="872">
        <f>'11.销售及回款表'!AF182</f>
        <v>0</v>
      </c>
      <c r="AE26" s="871">
        <f>'11.销售及回款表'!AG182</f>
        <v>0</v>
      </c>
      <c r="AF26" s="872">
        <f>'11.销售及回款表'!AH182</f>
        <v>0</v>
      </c>
      <c r="AG26" s="872">
        <f>'11.销售及回款表'!AI182</f>
        <v>0</v>
      </c>
      <c r="AH26" s="872">
        <f>'11.销售及回款表'!AJ182</f>
        <v>0</v>
      </c>
      <c r="AI26" s="871">
        <f>'11.销售及回款表'!AK182</f>
        <v>0</v>
      </c>
      <c r="AJ26" s="872">
        <f>'11.销售及回款表'!AL182</f>
        <v>0</v>
      </c>
      <c r="AK26" s="872">
        <f>'11.销售及回款表'!AM182</f>
        <v>0</v>
      </c>
      <c r="AL26" s="872">
        <f>'11.销售及回款表'!AN182</f>
        <v>0</v>
      </c>
      <c r="AM26" s="871">
        <f>'11.销售及回款表'!AO182</f>
        <v>0</v>
      </c>
      <c r="AN26" s="872">
        <f>'11.销售及回款表'!AP182</f>
        <v>0</v>
      </c>
      <c r="AO26" s="872">
        <f>'11.销售及回款表'!AQ182</f>
        <v>0</v>
      </c>
      <c r="AP26" s="872">
        <f>'11.销售及回款表'!AR182</f>
        <v>0</v>
      </c>
      <c r="AQ26" s="871">
        <f>'11.销售及回款表'!AS182</f>
        <v>0</v>
      </c>
      <c r="AR26" s="872">
        <f>'11.销售及回款表'!AT182</f>
        <v>0</v>
      </c>
      <c r="AS26" s="872">
        <f>'11.销售及回款表'!AU182</f>
        <v>0</v>
      </c>
      <c r="AT26" s="872">
        <f>'11.销售及回款表'!AV182</f>
        <v>0</v>
      </c>
    </row>
    <row r="27" spans="1:46" s="77" customFormat="1" ht="18" customHeight="1" outlineLevel="2">
      <c r="A27" s="869">
        <f>'8.项目规划指标表'!B11</f>
        <v>0</v>
      </c>
      <c r="B27" s="870">
        <f t="shared" si="2"/>
        <v>0</v>
      </c>
      <c r="C27" s="871">
        <f>'11.销售及回款表'!E187</f>
        <v>0</v>
      </c>
      <c r="D27" s="872">
        <f>'11.销售及回款表'!F187</f>
        <v>0</v>
      </c>
      <c r="E27" s="872">
        <f>'11.销售及回款表'!G187</f>
        <v>0</v>
      </c>
      <c r="F27" s="872">
        <f>'11.销售及回款表'!H187</f>
        <v>0</v>
      </c>
      <c r="G27" s="871">
        <f>'11.销售及回款表'!I187</f>
        <v>0</v>
      </c>
      <c r="H27" s="872">
        <f>'11.销售及回款表'!J187</f>
        <v>0</v>
      </c>
      <c r="I27" s="872">
        <f>'11.销售及回款表'!K187</f>
        <v>0</v>
      </c>
      <c r="J27" s="872">
        <f>'11.销售及回款表'!L187</f>
        <v>0</v>
      </c>
      <c r="K27" s="871">
        <f>'11.销售及回款表'!M187</f>
        <v>0</v>
      </c>
      <c r="L27" s="872">
        <f>'11.销售及回款表'!N187</f>
        <v>0</v>
      </c>
      <c r="M27" s="872">
        <f>'11.销售及回款表'!O187</f>
        <v>0</v>
      </c>
      <c r="N27" s="872">
        <f>'11.销售及回款表'!P187</f>
        <v>0</v>
      </c>
      <c r="O27" s="871">
        <f>'11.销售及回款表'!Q187</f>
        <v>0</v>
      </c>
      <c r="P27" s="872">
        <f>'11.销售及回款表'!R187</f>
        <v>0</v>
      </c>
      <c r="Q27" s="872">
        <f>'11.销售及回款表'!S187</f>
        <v>0</v>
      </c>
      <c r="R27" s="872">
        <f>'11.销售及回款表'!T187</f>
        <v>0</v>
      </c>
      <c r="S27" s="871">
        <f>'11.销售及回款表'!U187</f>
        <v>0</v>
      </c>
      <c r="T27" s="872">
        <f>'11.销售及回款表'!V187</f>
        <v>0</v>
      </c>
      <c r="U27" s="872">
        <f>'11.销售及回款表'!W187</f>
        <v>0</v>
      </c>
      <c r="V27" s="872">
        <f>'11.销售及回款表'!X187</f>
        <v>0</v>
      </c>
      <c r="W27" s="871">
        <f>'11.销售及回款表'!Y187</f>
        <v>0</v>
      </c>
      <c r="X27" s="872">
        <f>'11.销售及回款表'!Z187</f>
        <v>0</v>
      </c>
      <c r="Y27" s="872">
        <f>'11.销售及回款表'!AA187</f>
        <v>0</v>
      </c>
      <c r="Z27" s="872">
        <f>'11.销售及回款表'!AB187</f>
        <v>0</v>
      </c>
      <c r="AA27" s="871">
        <f>'11.销售及回款表'!AC187</f>
        <v>0</v>
      </c>
      <c r="AB27" s="872">
        <f>'11.销售及回款表'!AD187</f>
        <v>0</v>
      </c>
      <c r="AC27" s="872">
        <f>'11.销售及回款表'!AE187</f>
        <v>0</v>
      </c>
      <c r="AD27" s="872">
        <f>'11.销售及回款表'!AF187</f>
        <v>0</v>
      </c>
      <c r="AE27" s="871">
        <f>'11.销售及回款表'!AG187</f>
        <v>0</v>
      </c>
      <c r="AF27" s="872">
        <f>'11.销售及回款表'!AH187</f>
        <v>0</v>
      </c>
      <c r="AG27" s="872">
        <f>'11.销售及回款表'!AI187</f>
        <v>0</v>
      </c>
      <c r="AH27" s="872">
        <f>'11.销售及回款表'!AJ187</f>
        <v>0</v>
      </c>
      <c r="AI27" s="871">
        <f>'11.销售及回款表'!AK187</f>
        <v>0</v>
      </c>
      <c r="AJ27" s="872">
        <f>'11.销售及回款表'!AL187</f>
        <v>0</v>
      </c>
      <c r="AK27" s="872">
        <f>'11.销售及回款表'!AM187</f>
        <v>0</v>
      </c>
      <c r="AL27" s="872">
        <f>'11.销售及回款表'!AN187</f>
        <v>0</v>
      </c>
      <c r="AM27" s="871">
        <f>'11.销售及回款表'!AO187</f>
        <v>0</v>
      </c>
      <c r="AN27" s="872">
        <f>'11.销售及回款表'!AP187</f>
        <v>0</v>
      </c>
      <c r="AO27" s="872">
        <f>'11.销售及回款表'!AQ187</f>
        <v>0</v>
      </c>
      <c r="AP27" s="872">
        <f>'11.销售及回款表'!AR187</f>
        <v>0</v>
      </c>
      <c r="AQ27" s="871">
        <f>'11.销售及回款表'!AS187</f>
        <v>0</v>
      </c>
      <c r="AR27" s="872">
        <f>'11.销售及回款表'!AT187</f>
        <v>0</v>
      </c>
      <c r="AS27" s="872">
        <f>'11.销售及回款表'!AU187</f>
        <v>0</v>
      </c>
      <c r="AT27" s="872">
        <f>'11.销售及回款表'!AV187</f>
        <v>0</v>
      </c>
    </row>
    <row r="28" spans="1:46" s="77" customFormat="1" ht="18" customHeight="1" outlineLevel="2">
      <c r="A28" s="869">
        <f>'8.项目规划指标表'!B12</f>
        <v>0</v>
      </c>
      <c r="B28" s="870">
        <f t="shared" si="2"/>
        <v>0</v>
      </c>
      <c r="C28" s="871">
        <f>'11.销售及回款表'!E192</f>
        <v>0</v>
      </c>
      <c r="D28" s="872">
        <f>'11.销售及回款表'!F192</f>
        <v>0</v>
      </c>
      <c r="E28" s="872">
        <f>'11.销售及回款表'!G192</f>
        <v>0</v>
      </c>
      <c r="F28" s="872">
        <f>'11.销售及回款表'!H192</f>
        <v>0</v>
      </c>
      <c r="G28" s="871">
        <f>'11.销售及回款表'!I192</f>
        <v>0</v>
      </c>
      <c r="H28" s="872">
        <f>'11.销售及回款表'!J192</f>
        <v>0</v>
      </c>
      <c r="I28" s="872">
        <f>'11.销售及回款表'!K192</f>
        <v>0</v>
      </c>
      <c r="J28" s="872">
        <f>'11.销售及回款表'!L192</f>
        <v>0</v>
      </c>
      <c r="K28" s="871">
        <f>'11.销售及回款表'!M192</f>
        <v>0</v>
      </c>
      <c r="L28" s="872">
        <f>'11.销售及回款表'!N192</f>
        <v>0</v>
      </c>
      <c r="M28" s="872">
        <f>'11.销售及回款表'!O192</f>
        <v>0</v>
      </c>
      <c r="N28" s="872">
        <f>'11.销售及回款表'!P192</f>
        <v>0</v>
      </c>
      <c r="O28" s="871">
        <f>'11.销售及回款表'!Q192</f>
        <v>0</v>
      </c>
      <c r="P28" s="872">
        <f>'11.销售及回款表'!R192</f>
        <v>0</v>
      </c>
      <c r="Q28" s="872">
        <f>'11.销售及回款表'!S192</f>
        <v>0</v>
      </c>
      <c r="R28" s="872">
        <f>'11.销售及回款表'!T192</f>
        <v>0</v>
      </c>
      <c r="S28" s="871">
        <f>'11.销售及回款表'!U192</f>
        <v>0</v>
      </c>
      <c r="T28" s="872">
        <f>'11.销售及回款表'!V192</f>
        <v>0</v>
      </c>
      <c r="U28" s="872">
        <f>'11.销售及回款表'!W192</f>
        <v>0</v>
      </c>
      <c r="V28" s="872">
        <f>'11.销售及回款表'!X192</f>
        <v>0</v>
      </c>
      <c r="W28" s="871">
        <f>'11.销售及回款表'!Y192</f>
        <v>0</v>
      </c>
      <c r="X28" s="872">
        <f>'11.销售及回款表'!Z192</f>
        <v>0</v>
      </c>
      <c r="Y28" s="872">
        <f>'11.销售及回款表'!AA192</f>
        <v>0</v>
      </c>
      <c r="Z28" s="872">
        <f>'11.销售及回款表'!AB192</f>
        <v>0</v>
      </c>
      <c r="AA28" s="871">
        <f>'11.销售及回款表'!AC192</f>
        <v>0</v>
      </c>
      <c r="AB28" s="872">
        <f>'11.销售及回款表'!AD192</f>
        <v>0</v>
      </c>
      <c r="AC28" s="872">
        <f>'11.销售及回款表'!AE192</f>
        <v>0</v>
      </c>
      <c r="AD28" s="872">
        <f>'11.销售及回款表'!AF192</f>
        <v>0</v>
      </c>
      <c r="AE28" s="871">
        <f>'11.销售及回款表'!AG192</f>
        <v>0</v>
      </c>
      <c r="AF28" s="872">
        <f>'11.销售及回款表'!AH192</f>
        <v>0</v>
      </c>
      <c r="AG28" s="872">
        <f>'11.销售及回款表'!AI192</f>
        <v>0</v>
      </c>
      <c r="AH28" s="872">
        <f>'11.销售及回款表'!AJ192</f>
        <v>0</v>
      </c>
      <c r="AI28" s="871">
        <f>'11.销售及回款表'!AK192</f>
        <v>0</v>
      </c>
      <c r="AJ28" s="872">
        <f>'11.销售及回款表'!AL192</f>
        <v>0</v>
      </c>
      <c r="AK28" s="872">
        <f>'11.销售及回款表'!AM192</f>
        <v>0</v>
      </c>
      <c r="AL28" s="872">
        <f>'11.销售及回款表'!AN192</f>
        <v>0</v>
      </c>
      <c r="AM28" s="871">
        <f>'11.销售及回款表'!AO192</f>
        <v>0</v>
      </c>
      <c r="AN28" s="872">
        <f>'11.销售及回款表'!AP192</f>
        <v>0</v>
      </c>
      <c r="AO28" s="872">
        <f>'11.销售及回款表'!AQ192</f>
        <v>0</v>
      </c>
      <c r="AP28" s="872">
        <f>'11.销售及回款表'!AR192</f>
        <v>0</v>
      </c>
      <c r="AQ28" s="871">
        <f>'11.销售及回款表'!AS192</f>
        <v>0</v>
      </c>
      <c r="AR28" s="872">
        <f>'11.销售及回款表'!AT192</f>
        <v>0</v>
      </c>
      <c r="AS28" s="872">
        <f>'11.销售及回款表'!AU192</f>
        <v>0</v>
      </c>
      <c r="AT28" s="872">
        <f>'11.销售及回款表'!AV192</f>
        <v>0</v>
      </c>
    </row>
    <row r="29" spans="1:46" s="77" customFormat="1" ht="18" customHeight="1" outlineLevel="2">
      <c r="A29" s="869">
        <f>'8.项目规划指标表'!B13</f>
        <v>0</v>
      </c>
      <c r="B29" s="870">
        <f t="shared" si="2"/>
        <v>0</v>
      </c>
      <c r="C29" s="871">
        <f>'11.销售及回款表'!E197</f>
        <v>0</v>
      </c>
      <c r="D29" s="872">
        <f>'11.销售及回款表'!F197</f>
        <v>0</v>
      </c>
      <c r="E29" s="872">
        <f>'11.销售及回款表'!G197</f>
        <v>0</v>
      </c>
      <c r="F29" s="872">
        <f>'11.销售及回款表'!H197</f>
        <v>0</v>
      </c>
      <c r="G29" s="871">
        <f>'11.销售及回款表'!I197</f>
        <v>0</v>
      </c>
      <c r="H29" s="872">
        <f>'11.销售及回款表'!J197</f>
        <v>0</v>
      </c>
      <c r="I29" s="872">
        <f>'11.销售及回款表'!K197</f>
        <v>0</v>
      </c>
      <c r="J29" s="872">
        <f>'11.销售及回款表'!L197</f>
        <v>0</v>
      </c>
      <c r="K29" s="871">
        <f>'11.销售及回款表'!M197</f>
        <v>0</v>
      </c>
      <c r="L29" s="872">
        <f>'11.销售及回款表'!N197</f>
        <v>0</v>
      </c>
      <c r="M29" s="872">
        <f>'11.销售及回款表'!O197</f>
        <v>0</v>
      </c>
      <c r="N29" s="872">
        <f>'11.销售及回款表'!P197</f>
        <v>0</v>
      </c>
      <c r="O29" s="871">
        <f>'11.销售及回款表'!Q197</f>
        <v>0</v>
      </c>
      <c r="P29" s="872">
        <f>'11.销售及回款表'!R197</f>
        <v>0</v>
      </c>
      <c r="Q29" s="872">
        <f>'11.销售及回款表'!S197</f>
        <v>0</v>
      </c>
      <c r="R29" s="872">
        <f>'11.销售及回款表'!T197</f>
        <v>0</v>
      </c>
      <c r="S29" s="871">
        <f>'11.销售及回款表'!U197</f>
        <v>0</v>
      </c>
      <c r="T29" s="872">
        <f>'11.销售及回款表'!V197</f>
        <v>0</v>
      </c>
      <c r="U29" s="872">
        <f>'11.销售及回款表'!W197</f>
        <v>0</v>
      </c>
      <c r="V29" s="872">
        <f>'11.销售及回款表'!X197</f>
        <v>0</v>
      </c>
      <c r="W29" s="871">
        <f>'11.销售及回款表'!Y197</f>
        <v>0</v>
      </c>
      <c r="X29" s="872">
        <f>'11.销售及回款表'!Z197</f>
        <v>0</v>
      </c>
      <c r="Y29" s="872">
        <f>'11.销售及回款表'!AA197</f>
        <v>0</v>
      </c>
      <c r="Z29" s="872">
        <f>'11.销售及回款表'!AB197</f>
        <v>0</v>
      </c>
      <c r="AA29" s="871">
        <f>'11.销售及回款表'!AC197</f>
        <v>0</v>
      </c>
      <c r="AB29" s="872">
        <f>'11.销售及回款表'!AD197</f>
        <v>0</v>
      </c>
      <c r="AC29" s="872">
        <f>'11.销售及回款表'!AE197</f>
        <v>0</v>
      </c>
      <c r="AD29" s="872">
        <f>'11.销售及回款表'!AF197</f>
        <v>0</v>
      </c>
      <c r="AE29" s="871">
        <f>'11.销售及回款表'!AG197</f>
        <v>0</v>
      </c>
      <c r="AF29" s="872">
        <f>'11.销售及回款表'!AH197</f>
        <v>0</v>
      </c>
      <c r="AG29" s="872">
        <f>'11.销售及回款表'!AI197</f>
        <v>0</v>
      </c>
      <c r="AH29" s="872">
        <f>'11.销售及回款表'!AJ197</f>
        <v>0</v>
      </c>
      <c r="AI29" s="871">
        <f>'11.销售及回款表'!AK197</f>
        <v>0</v>
      </c>
      <c r="AJ29" s="872">
        <f>'11.销售及回款表'!AL197</f>
        <v>0</v>
      </c>
      <c r="AK29" s="872">
        <f>'11.销售及回款表'!AM197</f>
        <v>0</v>
      </c>
      <c r="AL29" s="872">
        <f>'11.销售及回款表'!AN197</f>
        <v>0</v>
      </c>
      <c r="AM29" s="871">
        <f>'11.销售及回款表'!AO197</f>
        <v>0</v>
      </c>
      <c r="AN29" s="872">
        <f>'11.销售及回款表'!AP197</f>
        <v>0</v>
      </c>
      <c r="AO29" s="872">
        <f>'11.销售及回款表'!AQ197</f>
        <v>0</v>
      </c>
      <c r="AP29" s="872">
        <f>'11.销售及回款表'!AR197</f>
        <v>0</v>
      </c>
      <c r="AQ29" s="871">
        <f>'11.销售及回款表'!AS197</f>
        <v>0</v>
      </c>
      <c r="AR29" s="872">
        <f>'11.销售及回款表'!AT197</f>
        <v>0</v>
      </c>
      <c r="AS29" s="872">
        <f>'11.销售及回款表'!AU197</f>
        <v>0</v>
      </c>
      <c r="AT29" s="872">
        <f>'11.销售及回款表'!AV197</f>
        <v>0</v>
      </c>
    </row>
    <row r="30" spans="1:46" s="77" customFormat="1" ht="18" customHeight="1" outlineLevel="2">
      <c r="A30" s="869" t="str">
        <f>'8.项目规划指标表'!B14</f>
        <v>自持物业</v>
      </c>
      <c r="B30" s="870">
        <f t="shared" si="2"/>
        <v>0</v>
      </c>
      <c r="C30" s="871">
        <f>'11.销售及回款表'!E202</f>
        <v>0</v>
      </c>
      <c r="D30" s="872">
        <f>'11.销售及回款表'!F202</f>
        <v>0</v>
      </c>
      <c r="E30" s="872">
        <f>'11.销售及回款表'!G202</f>
        <v>0</v>
      </c>
      <c r="F30" s="872">
        <f>'11.销售及回款表'!H202</f>
        <v>0</v>
      </c>
      <c r="G30" s="871">
        <f>'11.销售及回款表'!I202</f>
        <v>0</v>
      </c>
      <c r="H30" s="872">
        <f>'11.销售及回款表'!J202</f>
        <v>0</v>
      </c>
      <c r="I30" s="872">
        <f>'11.销售及回款表'!K202</f>
        <v>0</v>
      </c>
      <c r="J30" s="872">
        <f>'11.销售及回款表'!L202</f>
        <v>0</v>
      </c>
      <c r="K30" s="871">
        <f>'11.销售及回款表'!M202</f>
        <v>0</v>
      </c>
      <c r="L30" s="872">
        <f>'11.销售及回款表'!N202</f>
        <v>0</v>
      </c>
      <c r="M30" s="872">
        <f>'11.销售及回款表'!O202</f>
        <v>0</v>
      </c>
      <c r="N30" s="872">
        <f>'11.销售及回款表'!P202</f>
        <v>0</v>
      </c>
      <c r="O30" s="871">
        <f>'11.销售及回款表'!Q202</f>
        <v>0</v>
      </c>
      <c r="P30" s="872">
        <f>'11.销售及回款表'!R202</f>
        <v>0</v>
      </c>
      <c r="Q30" s="872">
        <f>'11.销售及回款表'!S202</f>
        <v>0</v>
      </c>
      <c r="R30" s="872">
        <f>'11.销售及回款表'!T202</f>
        <v>0</v>
      </c>
      <c r="S30" s="871">
        <f>'11.销售及回款表'!U202</f>
        <v>0</v>
      </c>
      <c r="T30" s="872">
        <f>'11.销售及回款表'!V202</f>
        <v>0</v>
      </c>
      <c r="U30" s="872">
        <f>'11.销售及回款表'!W202</f>
        <v>0</v>
      </c>
      <c r="V30" s="872">
        <f>'11.销售及回款表'!X202</f>
        <v>0</v>
      </c>
      <c r="W30" s="871">
        <f>'11.销售及回款表'!Y202</f>
        <v>0</v>
      </c>
      <c r="X30" s="872">
        <f>'11.销售及回款表'!Z202</f>
        <v>0</v>
      </c>
      <c r="Y30" s="872">
        <f>'11.销售及回款表'!AA202</f>
        <v>0</v>
      </c>
      <c r="Z30" s="872">
        <f>'11.销售及回款表'!AB202</f>
        <v>0</v>
      </c>
      <c r="AA30" s="871">
        <f>'11.销售及回款表'!AC202</f>
        <v>0</v>
      </c>
      <c r="AB30" s="872">
        <f>'11.销售及回款表'!AD202</f>
        <v>0</v>
      </c>
      <c r="AC30" s="872">
        <f>'11.销售及回款表'!AE202</f>
        <v>0</v>
      </c>
      <c r="AD30" s="872">
        <f>'11.销售及回款表'!AF202</f>
        <v>0</v>
      </c>
      <c r="AE30" s="871">
        <f>'11.销售及回款表'!AG202</f>
        <v>0</v>
      </c>
      <c r="AF30" s="872">
        <f>'11.销售及回款表'!AH202</f>
        <v>0</v>
      </c>
      <c r="AG30" s="872">
        <f>'11.销售及回款表'!AI202</f>
        <v>0</v>
      </c>
      <c r="AH30" s="872">
        <f>'11.销售及回款表'!AJ202</f>
        <v>0</v>
      </c>
      <c r="AI30" s="871">
        <f>'11.销售及回款表'!AK202</f>
        <v>0</v>
      </c>
      <c r="AJ30" s="872">
        <f>'11.销售及回款表'!AL202</f>
        <v>0</v>
      </c>
      <c r="AK30" s="872">
        <f>'11.销售及回款表'!AM202</f>
        <v>0</v>
      </c>
      <c r="AL30" s="872">
        <f>'11.销售及回款表'!AN202</f>
        <v>0</v>
      </c>
      <c r="AM30" s="871">
        <f>'11.销售及回款表'!AO202</f>
        <v>0</v>
      </c>
      <c r="AN30" s="872">
        <f>'11.销售及回款表'!AP202</f>
        <v>0</v>
      </c>
      <c r="AO30" s="872">
        <f>'11.销售及回款表'!AQ202</f>
        <v>0</v>
      </c>
      <c r="AP30" s="872">
        <f>'11.销售及回款表'!AR202</f>
        <v>0</v>
      </c>
      <c r="AQ30" s="871">
        <f>'11.销售及回款表'!AS202</f>
        <v>0</v>
      </c>
      <c r="AR30" s="872">
        <f>'11.销售及回款表'!AT202</f>
        <v>0</v>
      </c>
      <c r="AS30" s="872">
        <f>'11.销售及回款表'!AU202</f>
        <v>0</v>
      </c>
      <c r="AT30" s="872">
        <f>'11.销售及回款表'!AV202</f>
        <v>0</v>
      </c>
    </row>
    <row r="31" spans="1:46" s="77" customFormat="1" ht="18" customHeight="1" outlineLevel="2">
      <c r="A31" s="869" t="str">
        <f>'8.项目规划指标表'!B18</f>
        <v>有产权车库(个)</v>
      </c>
      <c r="B31" s="870">
        <f t="shared" si="2"/>
        <v>0</v>
      </c>
      <c r="C31" s="871">
        <f>'11.销售及回款表'!E207</f>
        <v>0</v>
      </c>
      <c r="D31" s="872">
        <f>'11.销售及回款表'!F207</f>
        <v>0</v>
      </c>
      <c r="E31" s="872">
        <f>'11.销售及回款表'!G207</f>
        <v>0</v>
      </c>
      <c r="F31" s="872">
        <f>'11.销售及回款表'!H207</f>
        <v>0</v>
      </c>
      <c r="G31" s="871">
        <f>'11.销售及回款表'!I207</f>
        <v>0</v>
      </c>
      <c r="H31" s="872">
        <f>'11.销售及回款表'!J207</f>
        <v>0</v>
      </c>
      <c r="I31" s="872">
        <f>'11.销售及回款表'!K207</f>
        <v>0</v>
      </c>
      <c r="J31" s="872">
        <f>'11.销售及回款表'!L207</f>
        <v>0</v>
      </c>
      <c r="K31" s="871">
        <f>'11.销售及回款表'!M207</f>
        <v>0</v>
      </c>
      <c r="L31" s="872">
        <f>'11.销售及回款表'!N207</f>
        <v>0</v>
      </c>
      <c r="M31" s="872">
        <f>'11.销售及回款表'!O207</f>
        <v>0</v>
      </c>
      <c r="N31" s="872">
        <f>'11.销售及回款表'!P207</f>
        <v>0</v>
      </c>
      <c r="O31" s="871">
        <f>'11.销售及回款表'!Q207</f>
        <v>0</v>
      </c>
      <c r="P31" s="872">
        <f>'11.销售及回款表'!R207</f>
        <v>0</v>
      </c>
      <c r="Q31" s="872">
        <f>'11.销售及回款表'!S207</f>
        <v>0</v>
      </c>
      <c r="R31" s="872">
        <f>'11.销售及回款表'!T207</f>
        <v>0</v>
      </c>
      <c r="S31" s="871">
        <f>'11.销售及回款表'!U207</f>
        <v>0</v>
      </c>
      <c r="T31" s="872">
        <f>'11.销售及回款表'!V207</f>
        <v>0</v>
      </c>
      <c r="U31" s="872">
        <f>'11.销售及回款表'!W207</f>
        <v>0</v>
      </c>
      <c r="V31" s="872">
        <f>'11.销售及回款表'!X207</f>
        <v>0</v>
      </c>
      <c r="W31" s="871">
        <f>'11.销售及回款表'!Y207</f>
        <v>0</v>
      </c>
      <c r="X31" s="872">
        <f>'11.销售及回款表'!Z207</f>
        <v>0</v>
      </c>
      <c r="Y31" s="872">
        <f>'11.销售及回款表'!AA207</f>
        <v>0</v>
      </c>
      <c r="Z31" s="872">
        <f>'11.销售及回款表'!AB207</f>
        <v>0</v>
      </c>
      <c r="AA31" s="871">
        <f>'11.销售及回款表'!AC207</f>
        <v>0</v>
      </c>
      <c r="AB31" s="872">
        <f>'11.销售及回款表'!AD207</f>
        <v>0</v>
      </c>
      <c r="AC31" s="872">
        <f>'11.销售及回款表'!AE207</f>
        <v>0</v>
      </c>
      <c r="AD31" s="872">
        <f>'11.销售及回款表'!AF207</f>
        <v>0</v>
      </c>
      <c r="AE31" s="871">
        <f>'11.销售及回款表'!AG207</f>
        <v>0</v>
      </c>
      <c r="AF31" s="872">
        <f>'11.销售及回款表'!AH207</f>
        <v>0</v>
      </c>
      <c r="AG31" s="872">
        <f>'11.销售及回款表'!AI207</f>
        <v>0</v>
      </c>
      <c r="AH31" s="872">
        <f>'11.销售及回款表'!AJ207</f>
        <v>0</v>
      </c>
      <c r="AI31" s="871">
        <f>'11.销售及回款表'!AK207</f>
        <v>0</v>
      </c>
      <c r="AJ31" s="872">
        <f>'11.销售及回款表'!AL207</f>
        <v>0</v>
      </c>
      <c r="AK31" s="872">
        <f>'11.销售及回款表'!AM207</f>
        <v>0</v>
      </c>
      <c r="AL31" s="872">
        <f>'11.销售及回款表'!AN207</f>
        <v>0</v>
      </c>
      <c r="AM31" s="871">
        <f>'11.销售及回款表'!AO207</f>
        <v>0</v>
      </c>
      <c r="AN31" s="872">
        <f>'11.销售及回款表'!AP207</f>
        <v>0</v>
      </c>
      <c r="AO31" s="872">
        <f>'11.销售及回款表'!AQ207</f>
        <v>0</v>
      </c>
      <c r="AP31" s="872">
        <f>'11.销售及回款表'!AR207</f>
        <v>0</v>
      </c>
      <c r="AQ31" s="871">
        <f>'11.销售及回款表'!AS207</f>
        <v>0</v>
      </c>
      <c r="AR31" s="872">
        <f>'11.销售及回款表'!AT207</f>
        <v>0</v>
      </c>
      <c r="AS31" s="872">
        <f>'11.销售及回款表'!AU207</f>
        <v>0</v>
      </c>
      <c r="AT31" s="872">
        <f>'11.销售及回款表'!AV207</f>
        <v>0</v>
      </c>
    </row>
    <row r="32" spans="1:46" s="77" customFormat="1" ht="18" customHeight="1" outlineLevel="2">
      <c r="A32" s="869" t="str">
        <f>'8.项目规划指标表'!B19</f>
        <v>无产权车库(个)</v>
      </c>
      <c r="B32" s="870">
        <f t="shared" si="2"/>
        <v>0</v>
      </c>
      <c r="C32" s="871">
        <f>'11.销售及回款表'!E212</f>
        <v>0</v>
      </c>
      <c r="D32" s="872">
        <f>'11.销售及回款表'!F212</f>
        <v>0</v>
      </c>
      <c r="E32" s="872">
        <f>'11.销售及回款表'!G212</f>
        <v>0</v>
      </c>
      <c r="F32" s="872">
        <f>'11.销售及回款表'!H212</f>
        <v>0</v>
      </c>
      <c r="G32" s="871">
        <f>'11.销售及回款表'!I212</f>
        <v>0</v>
      </c>
      <c r="H32" s="872">
        <f>'11.销售及回款表'!J212</f>
        <v>0</v>
      </c>
      <c r="I32" s="872">
        <f>'11.销售及回款表'!K212</f>
        <v>0</v>
      </c>
      <c r="J32" s="872">
        <f>'11.销售及回款表'!L212</f>
        <v>0</v>
      </c>
      <c r="K32" s="871">
        <f>'11.销售及回款表'!M212</f>
        <v>0</v>
      </c>
      <c r="L32" s="872">
        <f>'11.销售及回款表'!N212</f>
        <v>0</v>
      </c>
      <c r="M32" s="872">
        <f>'11.销售及回款表'!O212</f>
        <v>0</v>
      </c>
      <c r="N32" s="872">
        <f>'11.销售及回款表'!P212</f>
        <v>0</v>
      </c>
      <c r="O32" s="871">
        <f>'11.销售及回款表'!Q212</f>
        <v>0</v>
      </c>
      <c r="P32" s="872">
        <f>'11.销售及回款表'!R212</f>
        <v>0</v>
      </c>
      <c r="Q32" s="872">
        <f>'11.销售及回款表'!S212</f>
        <v>0</v>
      </c>
      <c r="R32" s="872">
        <f>'11.销售及回款表'!T212</f>
        <v>0</v>
      </c>
      <c r="S32" s="871">
        <f>'11.销售及回款表'!U212</f>
        <v>0</v>
      </c>
      <c r="T32" s="872">
        <f>'11.销售及回款表'!V212</f>
        <v>0</v>
      </c>
      <c r="U32" s="872">
        <f>'11.销售及回款表'!W212</f>
        <v>0</v>
      </c>
      <c r="V32" s="872">
        <f>'11.销售及回款表'!X212</f>
        <v>0</v>
      </c>
      <c r="W32" s="871">
        <f>'11.销售及回款表'!Y212</f>
        <v>0</v>
      </c>
      <c r="X32" s="872">
        <f>'11.销售及回款表'!Z212</f>
        <v>0</v>
      </c>
      <c r="Y32" s="872">
        <f>'11.销售及回款表'!AA212</f>
        <v>0</v>
      </c>
      <c r="Z32" s="872">
        <f>'11.销售及回款表'!AB212</f>
        <v>0</v>
      </c>
      <c r="AA32" s="871">
        <f>'11.销售及回款表'!AC212</f>
        <v>0</v>
      </c>
      <c r="AB32" s="872">
        <f>'11.销售及回款表'!AD212</f>
        <v>0</v>
      </c>
      <c r="AC32" s="872">
        <f>'11.销售及回款表'!AE212</f>
        <v>0</v>
      </c>
      <c r="AD32" s="872">
        <f>'11.销售及回款表'!AF212</f>
        <v>0</v>
      </c>
      <c r="AE32" s="871">
        <f>'11.销售及回款表'!AG212</f>
        <v>0</v>
      </c>
      <c r="AF32" s="872">
        <f>'11.销售及回款表'!AH212</f>
        <v>0</v>
      </c>
      <c r="AG32" s="872">
        <f>'11.销售及回款表'!AI212</f>
        <v>0</v>
      </c>
      <c r="AH32" s="872">
        <f>'11.销售及回款表'!AJ212</f>
        <v>0</v>
      </c>
      <c r="AI32" s="871">
        <f>'11.销售及回款表'!AK212</f>
        <v>0</v>
      </c>
      <c r="AJ32" s="872">
        <f>'11.销售及回款表'!AL212</f>
        <v>0</v>
      </c>
      <c r="AK32" s="872">
        <f>'11.销售及回款表'!AM212</f>
        <v>0</v>
      </c>
      <c r="AL32" s="872">
        <f>'11.销售及回款表'!AN212</f>
        <v>0</v>
      </c>
      <c r="AM32" s="871">
        <f>'11.销售及回款表'!AO212</f>
        <v>0</v>
      </c>
      <c r="AN32" s="872">
        <f>'11.销售及回款表'!AP212</f>
        <v>0</v>
      </c>
      <c r="AO32" s="872">
        <f>'11.销售及回款表'!AQ212</f>
        <v>0</v>
      </c>
      <c r="AP32" s="872">
        <f>'11.销售及回款表'!AR212</f>
        <v>0</v>
      </c>
      <c r="AQ32" s="871">
        <f>'11.销售及回款表'!AS212</f>
        <v>0</v>
      </c>
      <c r="AR32" s="872">
        <f>'11.销售及回款表'!AT212</f>
        <v>0</v>
      </c>
      <c r="AS32" s="872">
        <f>'11.销售及回款表'!AU212</f>
        <v>0</v>
      </c>
      <c r="AT32" s="872">
        <f>'11.销售及回款表'!AV212</f>
        <v>0</v>
      </c>
    </row>
    <row r="33" spans="1:46" s="77" customFormat="1" ht="18" customHeight="1" outlineLevel="1">
      <c r="A33" s="865" t="s">
        <v>21</v>
      </c>
      <c r="B33" s="866">
        <f t="shared" ref="B33:AT33" si="4">SUM(B34:B45)</f>
        <v>0</v>
      </c>
      <c r="C33" s="867">
        <f t="shared" si="4"/>
        <v>0</v>
      </c>
      <c r="D33" s="868">
        <f t="shared" si="4"/>
        <v>0</v>
      </c>
      <c r="E33" s="868">
        <f t="shared" si="4"/>
        <v>0</v>
      </c>
      <c r="F33" s="868">
        <f t="shared" si="4"/>
        <v>0</v>
      </c>
      <c r="G33" s="867">
        <f t="shared" si="4"/>
        <v>0</v>
      </c>
      <c r="H33" s="868">
        <f t="shared" si="4"/>
        <v>0</v>
      </c>
      <c r="I33" s="868">
        <f t="shared" si="4"/>
        <v>0</v>
      </c>
      <c r="J33" s="868">
        <f t="shared" si="4"/>
        <v>0</v>
      </c>
      <c r="K33" s="867">
        <f t="shared" si="4"/>
        <v>0</v>
      </c>
      <c r="L33" s="868">
        <f t="shared" si="4"/>
        <v>0</v>
      </c>
      <c r="M33" s="868">
        <f t="shared" si="4"/>
        <v>0</v>
      </c>
      <c r="N33" s="868">
        <f t="shared" si="4"/>
        <v>0</v>
      </c>
      <c r="O33" s="867">
        <f t="shared" si="4"/>
        <v>0</v>
      </c>
      <c r="P33" s="868">
        <f t="shared" si="4"/>
        <v>0</v>
      </c>
      <c r="Q33" s="868">
        <f t="shared" si="4"/>
        <v>0</v>
      </c>
      <c r="R33" s="868">
        <f t="shared" si="4"/>
        <v>0</v>
      </c>
      <c r="S33" s="867">
        <f t="shared" si="4"/>
        <v>0</v>
      </c>
      <c r="T33" s="868">
        <f t="shared" si="4"/>
        <v>0</v>
      </c>
      <c r="U33" s="868">
        <f t="shared" si="4"/>
        <v>0</v>
      </c>
      <c r="V33" s="868">
        <f t="shared" si="4"/>
        <v>0</v>
      </c>
      <c r="W33" s="867">
        <f t="shared" si="4"/>
        <v>0</v>
      </c>
      <c r="X33" s="868">
        <f t="shared" si="4"/>
        <v>0</v>
      </c>
      <c r="Y33" s="868">
        <f t="shared" si="4"/>
        <v>0</v>
      </c>
      <c r="Z33" s="868">
        <f t="shared" si="4"/>
        <v>0</v>
      </c>
      <c r="AA33" s="867">
        <f t="shared" si="4"/>
        <v>0</v>
      </c>
      <c r="AB33" s="868">
        <f t="shared" si="4"/>
        <v>0</v>
      </c>
      <c r="AC33" s="868">
        <f t="shared" si="4"/>
        <v>0</v>
      </c>
      <c r="AD33" s="868">
        <f t="shared" si="4"/>
        <v>0</v>
      </c>
      <c r="AE33" s="867">
        <f t="shared" si="4"/>
        <v>0</v>
      </c>
      <c r="AF33" s="868">
        <f t="shared" si="4"/>
        <v>0</v>
      </c>
      <c r="AG33" s="868">
        <f t="shared" si="4"/>
        <v>0</v>
      </c>
      <c r="AH33" s="868">
        <f t="shared" si="4"/>
        <v>0</v>
      </c>
      <c r="AI33" s="867">
        <f t="shared" si="4"/>
        <v>0</v>
      </c>
      <c r="AJ33" s="868">
        <f t="shared" si="4"/>
        <v>0</v>
      </c>
      <c r="AK33" s="868">
        <f t="shared" si="4"/>
        <v>0</v>
      </c>
      <c r="AL33" s="868">
        <f t="shared" si="4"/>
        <v>0</v>
      </c>
      <c r="AM33" s="867">
        <f t="shared" si="4"/>
        <v>0</v>
      </c>
      <c r="AN33" s="868">
        <f t="shared" si="4"/>
        <v>0</v>
      </c>
      <c r="AO33" s="868">
        <f t="shared" si="4"/>
        <v>0</v>
      </c>
      <c r="AP33" s="868">
        <f t="shared" si="4"/>
        <v>0</v>
      </c>
      <c r="AQ33" s="867">
        <f t="shared" si="4"/>
        <v>0</v>
      </c>
      <c r="AR33" s="868">
        <f t="shared" si="4"/>
        <v>0</v>
      </c>
      <c r="AS33" s="868">
        <f t="shared" si="4"/>
        <v>0</v>
      </c>
      <c r="AT33" s="868">
        <f t="shared" si="4"/>
        <v>0</v>
      </c>
    </row>
    <row r="34" spans="1:46" s="77" customFormat="1" ht="18" customHeight="1" outlineLevel="2">
      <c r="A34" s="869" t="str">
        <f>'8.项目规划指标表'!B5</f>
        <v>高层</v>
      </c>
      <c r="B34" s="870">
        <f t="shared" si="2"/>
        <v>0</v>
      </c>
      <c r="C34" s="871">
        <f>'11.销售及回款表'!E227</f>
        <v>0</v>
      </c>
      <c r="D34" s="872">
        <f>'11.销售及回款表'!F227</f>
        <v>0</v>
      </c>
      <c r="E34" s="872">
        <f>'11.销售及回款表'!G227</f>
        <v>0</v>
      </c>
      <c r="F34" s="872">
        <f>'11.销售及回款表'!H227</f>
        <v>0</v>
      </c>
      <c r="G34" s="871">
        <f>'11.销售及回款表'!I227</f>
        <v>0</v>
      </c>
      <c r="H34" s="872">
        <f>'11.销售及回款表'!J227</f>
        <v>0</v>
      </c>
      <c r="I34" s="872">
        <f>'11.销售及回款表'!K227</f>
        <v>0</v>
      </c>
      <c r="J34" s="872">
        <f>'11.销售及回款表'!L227</f>
        <v>0</v>
      </c>
      <c r="K34" s="871">
        <f>'11.销售及回款表'!M227</f>
        <v>0</v>
      </c>
      <c r="L34" s="872">
        <f>'11.销售及回款表'!N227</f>
        <v>0</v>
      </c>
      <c r="M34" s="872">
        <f>'11.销售及回款表'!O227</f>
        <v>0</v>
      </c>
      <c r="N34" s="872">
        <f>'11.销售及回款表'!P227</f>
        <v>0</v>
      </c>
      <c r="O34" s="871">
        <f>'11.销售及回款表'!Q227</f>
        <v>0</v>
      </c>
      <c r="P34" s="872">
        <f>'11.销售及回款表'!R227</f>
        <v>0</v>
      </c>
      <c r="Q34" s="872">
        <f>'11.销售及回款表'!S227</f>
        <v>0</v>
      </c>
      <c r="R34" s="872">
        <f>'11.销售及回款表'!T227</f>
        <v>0</v>
      </c>
      <c r="S34" s="871">
        <f>'11.销售及回款表'!U227</f>
        <v>0</v>
      </c>
      <c r="T34" s="872">
        <f>'11.销售及回款表'!V227</f>
        <v>0</v>
      </c>
      <c r="U34" s="872">
        <f>'11.销售及回款表'!W227</f>
        <v>0</v>
      </c>
      <c r="V34" s="872">
        <f>'11.销售及回款表'!X227</f>
        <v>0</v>
      </c>
      <c r="W34" s="871">
        <f>'11.销售及回款表'!Y227</f>
        <v>0</v>
      </c>
      <c r="X34" s="872">
        <f>'11.销售及回款表'!Z227</f>
        <v>0</v>
      </c>
      <c r="Y34" s="872">
        <f>'11.销售及回款表'!AA227</f>
        <v>0</v>
      </c>
      <c r="Z34" s="872">
        <f>'11.销售及回款表'!AB227</f>
        <v>0</v>
      </c>
      <c r="AA34" s="871">
        <f>'11.销售及回款表'!AC227</f>
        <v>0</v>
      </c>
      <c r="AB34" s="872">
        <f>'11.销售及回款表'!AD227</f>
        <v>0</v>
      </c>
      <c r="AC34" s="872">
        <f>'11.销售及回款表'!AE227</f>
        <v>0</v>
      </c>
      <c r="AD34" s="872">
        <f>'11.销售及回款表'!AF227</f>
        <v>0</v>
      </c>
      <c r="AE34" s="871">
        <f>'11.销售及回款表'!AG227</f>
        <v>0</v>
      </c>
      <c r="AF34" s="872">
        <f>'11.销售及回款表'!AH227</f>
        <v>0</v>
      </c>
      <c r="AG34" s="872">
        <f>'11.销售及回款表'!AI227</f>
        <v>0</v>
      </c>
      <c r="AH34" s="872">
        <f>'11.销售及回款表'!AJ227</f>
        <v>0</v>
      </c>
      <c r="AI34" s="871">
        <f>'11.销售及回款表'!AK227</f>
        <v>0</v>
      </c>
      <c r="AJ34" s="872">
        <f>'11.销售及回款表'!AL227</f>
        <v>0</v>
      </c>
      <c r="AK34" s="872">
        <f>'11.销售及回款表'!AM227</f>
        <v>0</v>
      </c>
      <c r="AL34" s="872">
        <f>'11.销售及回款表'!AN227</f>
        <v>0</v>
      </c>
      <c r="AM34" s="871">
        <f>'11.销售及回款表'!AO227</f>
        <v>0</v>
      </c>
      <c r="AN34" s="872">
        <f>'11.销售及回款表'!AP227</f>
        <v>0</v>
      </c>
      <c r="AO34" s="872">
        <f>'11.销售及回款表'!AQ227</f>
        <v>0</v>
      </c>
      <c r="AP34" s="872">
        <f>'11.销售及回款表'!AR227</f>
        <v>0</v>
      </c>
      <c r="AQ34" s="871">
        <f>'11.销售及回款表'!AS227</f>
        <v>0</v>
      </c>
      <c r="AR34" s="872">
        <f>'11.销售及回款表'!AT227</f>
        <v>0</v>
      </c>
      <c r="AS34" s="872">
        <f>'11.销售及回款表'!AU227</f>
        <v>0</v>
      </c>
      <c r="AT34" s="872">
        <f>'11.销售及回款表'!AV227</f>
        <v>0</v>
      </c>
    </row>
    <row r="35" spans="1:46" s="77" customFormat="1" ht="18" customHeight="1" outlineLevel="2">
      <c r="A35" s="869" t="str">
        <f>'8.项目规划指标表'!B6</f>
        <v>商铺</v>
      </c>
      <c r="B35" s="870">
        <f t="shared" si="2"/>
        <v>0</v>
      </c>
      <c r="C35" s="871">
        <f>'11.销售及回款表'!E232</f>
        <v>0</v>
      </c>
      <c r="D35" s="872">
        <f>'11.销售及回款表'!F232</f>
        <v>0</v>
      </c>
      <c r="E35" s="872">
        <f>'11.销售及回款表'!G232</f>
        <v>0</v>
      </c>
      <c r="F35" s="872">
        <f>'11.销售及回款表'!H232</f>
        <v>0</v>
      </c>
      <c r="G35" s="871">
        <f>'11.销售及回款表'!I232</f>
        <v>0</v>
      </c>
      <c r="H35" s="872">
        <f>'11.销售及回款表'!J232</f>
        <v>0</v>
      </c>
      <c r="I35" s="872">
        <f>'11.销售及回款表'!K232</f>
        <v>0</v>
      </c>
      <c r="J35" s="872">
        <f>'11.销售及回款表'!L232</f>
        <v>0</v>
      </c>
      <c r="K35" s="871">
        <f>'11.销售及回款表'!M232</f>
        <v>0</v>
      </c>
      <c r="L35" s="872">
        <f>'11.销售及回款表'!N232</f>
        <v>0</v>
      </c>
      <c r="M35" s="872">
        <f>'11.销售及回款表'!O232</f>
        <v>0</v>
      </c>
      <c r="N35" s="872">
        <f>'11.销售及回款表'!P232</f>
        <v>0</v>
      </c>
      <c r="O35" s="871">
        <f>'11.销售及回款表'!Q232</f>
        <v>0</v>
      </c>
      <c r="P35" s="872">
        <f>'11.销售及回款表'!R232</f>
        <v>0</v>
      </c>
      <c r="Q35" s="872">
        <f>'11.销售及回款表'!S232</f>
        <v>0</v>
      </c>
      <c r="R35" s="872">
        <f>'11.销售及回款表'!T232</f>
        <v>0</v>
      </c>
      <c r="S35" s="871">
        <f>'11.销售及回款表'!U232</f>
        <v>0</v>
      </c>
      <c r="T35" s="872">
        <f>'11.销售及回款表'!V232</f>
        <v>0</v>
      </c>
      <c r="U35" s="872">
        <f>'11.销售及回款表'!W232</f>
        <v>0</v>
      </c>
      <c r="V35" s="872">
        <f>'11.销售及回款表'!X232</f>
        <v>0</v>
      </c>
      <c r="W35" s="871">
        <f>'11.销售及回款表'!Y232</f>
        <v>0</v>
      </c>
      <c r="X35" s="872">
        <f>'11.销售及回款表'!Z232</f>
        <v>0</v>
      </c>
      <c r="Y35" s="872">
        <f>'11.销售及回款表'!AA232</f>
        <v>0</v>
      </c>
      <c r="Z35" s="872">
        <f>'11.销售及回款表'!AB232</f>
        <v>0</v>
      </c>
      <c r="AA35" s="871">
        <f>'11.销售及回款表'!AC232</f>
        <v>0</v>
      </c>
      <c r="AB35" s="872">
        <f>'11.销售及回款表'!AD232</f>
        <v>0</v>
      </c>
      <c r="AC35" s="872">
        <f>'11.销售及回款表'!AE232</f>
        <v>0</v>
      </c>
      <c r="AD35" s="872">
        <f>'11.销售及回款表'!AF232</f>
        <v>0</v>
      </c>
      <c r="AE35" s="871">
        <f>'11.销售及回款表'!AG232</f>
        <v>0</v>
      </c>
      <c r="AF35" s="872">
        <f>'11.销售及回款表'!AH232</f>
        <v>0</v>
      </c>
      <c r="AG35" s="872">
        <f>'11.销售及回款表'!AI232</f>
        <v>0</v>
      </c>
      <c r="AH35" s="872">
        <f>'11.销售及回款表'!AJ232</f>
        <v>0</v>
      </c>
      <c r="AI35" s="871">
        <f>'11.销售及回款表'!AK232</f>
        <v>0</v>
      </c>
      <c r="AJ35" s="872">
        <f>'11.销售及回款表'!AL232</f>
        <v>0</v>
      </c>
      <c r="AK35" s="872">
        <f>'11.销售及回款表'!AM232</f>
        <v>0</v>
      </c>
      <c r="AL35" s="872">
        <f>'11.销售及回款表'!AN232</f>
        <v>0</v>
      </c>
      <c r="AM35" s="871">
        <f>'11.销售及回款表'!AO232</f>
        <v>0</v>
      </c>
      <c r="AN35" s="872">
        <f>'11.销售及回款表'!AP232</f>
        <v>0</v>
      </c>
      <c r="AO35" s="872">
        <f>'11.销售及回款表'!AQ232</f>
        <v>0</v>
      </c>
      <c r="AP35" s="872">
        <f>'11.销售及回款表'!AR232</f>
        <v>0</v>
      </c>
      <c r="AQ35" s="871">
        <f>'11.销售及回款表'!AS232</f>
        <v>0</v>
      </c>
      <c r="AR35" s="872">
        <f>'11.销售及回款表'!AT232</f>
        <v>0</v>
      </c>
      <c r="AS35" s="872">
        <f>'11.销售及回款表'!AU232</f>
        <v>0</v>
      </c>
      <c r="AT35" s="872">
        <f>'11.销售及回款表'!AV232</f>
        <v>0</v>
      </c>
    </row>
    <row r="36" spans="1:46" s="77" customFormat="1" ht="18" customHeight="1" outlineLevel="2">
      <c r="A36" s="869" t="str">
        <f>'8.项目规划指标表'!B7</f>
        <v>回迁商业</v>
      </c>
      <c r="B36" s="870">
        <f t="shared" si="2"/>
        <v>0</v>
      </c>
      <c r="C36" s="871">
        <f>'11.销售及回款表'!E237</f>
        <v>0</v>
      </c>
      <c r="D36" s="872">
        <f>'11.销售及回款表'!F237</f>
        <v>0</v>
      </c>
      <c r="E36" s="872">
        <f>'11.销售及回款表'!G237</f>
        <v>0</v>
      </c>
      <c r="F36" s="872">
        <f>'11.销售及回款表'!H237</f>
        <v>0</v>
      </c>
      <c r="G36" s="871">
        <f>'11.销售及回款表'!I237</f>
        <v>0</v>
      </c>
      <c r="H36" s="872">
        <f>'11.销售及回款表'!J237</f>
        <v>0</v>
      </c>
      <c r="I36" s="872">
        <f>'11.销售及回款表'!K237</f>
        <v>0</v>
      </c>
      <c r="J36" s="872">
        <f>'11.销售及回款表'!L237</f>
        <v>0</v>
      </c>
      <c r="K36" s="871">
        <f>'11.销售及回款表'!M237</f>
        <v>0</v>
      </c>
      <c r="L36" s="872">
        <f>'11.销售及回款表'!N237</f>
        <v>0</v>
      </c>
      <c r="M36" s="872">
        <f>'11.销售及回款表'!O237</f>
        <v>0</v>
      </c>
      <c r="N36" s="872">
        <f>'11.销售及回款表'!P237</f>
        <v>0</v>
      </c>
      <c r="O36" s="871">
        <f>'11.销售及回款表'!Q237</f>
        <v>0</v>
      </c>
      <c r="P36" s="872">
        <f>'11.销售及回款表'!R237</f>
        <v>0</v>
      </c>
      <c r="Q36" s="872">
        <f>'11.销售及回款表'!S237</f>
        <v>0</v>
      </c>
      <c r="R36" s="872">
        <f>'11.销售及回款表'!T237</f>
        <v>0</v>
      </c>
      <c r="S36" s="871">
        <f>'11.销售及回款表'!U237</f>
        <v>0</v>
      </c>
      <c r="T36" s="872">
        <f>'11.销售及回款表'!V237</f>
        <v>0</v>
      </c>
      <c r="U36" s="872">
        <f>'11.销售及回款表'!W237</f>
        <v>0</v>
      </c>
      <c r="V36" s="872">
        <f>'11.销售及回款表'!X237</f>
        <v>0</v>
      </c>
      <c r="W36" s="871">
        <f>'11.销售及回款表'!Y237</f>
        <v>0</v>
      </c>
      <c r="X36" s="872">
        <f>'11.销售及回款表'!Z237</f>
        <v>0</v>
      </c>
      <c r="Y36" s="872">
        <f>'11.销售及回款表'!AA237</f>
        <v>0</v>
      </c>
      <c r="Z36" s="872">
        <f>'11.销售及回款表'!AB237</f>
        <v>0</v>
      </c>
      <c r="AA36" s="871">
        <f>'11.销售及回款表'!AC237</f>
        <v>0</v>
      </c>
      <c r="AB36" s="872">
        <f>'11.销售及回款表'!AD237</f>
        <v>0</v>
      </c>
      <c r="AC36" s="872">
        <f>'11.销售及回款表'!AE237</f>
        <v>0</v>
      </c>
      <c r="AD36" s="872">
        <f>'11.销售及回款表'!AF237</f>
        <v>0</v>
      </c>
      <c r="AE36" s="871">
        <f>'11.销售及回款表'!AG237</f>
        <v>0</v>
      </c>
      <c r="AF36" s="872">
        <f>'11.销售及回款表'!AH237</f>
        <v>0</v>
      </c>
      <c r="AG36" s="872">
        <f>'11.销售及回款表'!AI237</f>
        <v>0</v>
      </c>
      <c r="AH36" s="872">
        <f>'11.销售及回款表'!AJ237</f>
        <v>0</v>
      </c>
      <c r="AI36" s="871">
        <f>'11.销售及回款表'!AK237</f>
        <v>0</v>
      </c>
      <c r="AJ36" s="872">
        <f>'11.销售及回款表'!AL237</f>
        <v>0</v>
      </c>
      <c r="AK36" s="872">
        <f>'11.销售及回款表'!AM237</f>
        <v>0</v>
      </c>
      <c r="AL36" s="872">
        <f>'11.销售及回款表'!AN237</f>
        <v>0</v>
      </c>
      <c r="AM36" s="871">
        <f>'11.销售及回款表'!AO237</f>
        <v>0</v>
      </c>
      <c r="AN36" s="872">
        <f>'11.销售及回款表'!AP237</f>
        <v>0</v>
      </c>
      <c r="AO36" s="872">
        <f>'11.销售及回款表'!AQ237</f>
        <v>0</v>
      </c>
      <c r="AP36" s="872">
        <f>'11.销售及回款表'!AR237</f>
        <v>0</v>
      </c>
      <c r="AQ36" s="871">
        <f>'11.销售及回款表'!AS237</f>
        <v>0</v>
      </c>
      <c r="AR36" s="872">
        <f>'11.销售及回款表'!AT237</f>
        <v>0</v>
      </c>
      <c r="AS36" s="872">
        <f>'11.销售及回款表'!AU237</f>
        <v>0</v>
      </c>
      <c r="AT36" s="872">
        <f>'11.销售及回款表'!AV237</f>
        <v>0</v>
      </c>
    </row>
    <row r="37" spans="1:46" s="77" customFormat="1" ht="18" customHeight="1" outlineLevel="2">
      <c r="A37" s="869">
        <f>'8.项目规划指标表'!B8</f>
        <v>0</v>
      </c>
      <c r="B37" s="870">
        <f t="shared" si="2"/>
        <v>0</v>
      </c>
      <c r="C37" s="871">
        <f>'11.销售及回款表'!E242</f>
        <v>0</v>
      </c>
      <c r="D37" s="872">
        <f>'11.销售及回款表'!F242</f>
        <v>0</v>
      </c>
      <c r="E37" s="872">
        <f>'11.销售及回款表'!G242</f>
        <v>0</v>
      </c>
      <c r="F37" s="872">
        <f>'11.销售及回款表'!H242</f>
        <v>0</v>
      </c>
      <c r="G37" s="871">
        <f>'11.销售及回款表'!I242</f>
        <v>0</v>
      </c>
      <c r="H37" s="872">
        <f>'11.销售及回款表'!J242</f>
        <v>0</v>
      </c>
      <c r="I37" s="872">
        <f>'11.销售及回款表'!K242</f>
        <v>0</v>
      </c>
      <c r="J37" s="872">
        <f>'11.销售及回款表'!L242</f>
        <v>0</v>
      </c>
      <c r="K37" s="871">
        <f>'11.销售及回款表'!M242</f>
        <v>0</v>
      </c>
      <c r="L37" s="872">
        <f>'11.销售及回款表'!N242</f>
        <v>0</v>
      </c>
      <c r="M37" s="872">
        <f>'11.销售及回款表'!O242</f>
        <v>0</v>
      </c>
      <c r="N37" s="872">
        <f>'11.销售及回款表'!P242</f>
        <v>0</v>
      </c>
      <c r="O37" s="871">
        <f>'11.销售及回款表'!Q242</f>
        <v>0</v>
      </c>
      <c r="P37" s="872">
        <f>'11.销售及回款表'!R242</f>
        <v>0</v>
      </c>
      <c r="Q37" s="872">
        <f>'11.销售及回款表'!S242</f>
        <v>0</v>
      </c>
      <c r="R37" s="872">
        <f>'11.销售及回款表'!T242</f>
        <v>0</v>
      </c>
      <c r="S37" s="871">
        <f>'11.销售及回款表'!U242</f>
        <v>0</v>
      </c>
      <c r="T37" s="872">
        <f>'11.销售及回款表'!V242</f>
        <v>0</v>
      </c>
      <c r="U37" s="872">
        <f>'11.销售及回款表'!W242</f>
        <v>0</v>
      </c>
      <c r="V37" s="872">
        <f>'11.销售及回款表'!X242</f>
        <v>0</v>
      </c>
      <c r="W37" s="871">
        <f>'11.销售及回款表'!Y242</f>
        <v>0</v>
      </c>
      <c r="X37" s="872">
        <f>'11.销售及回款表'!Z242</f>
        <v>0</v>
      </c>
      <c r="Y37" s="872">
        <f>'11.销售及回款表'!AA242</f>
        <v>0</v>
      </c>
      <c r="Z37" s="872">
        <f>'11.销售及回款表'!AB242</f>
        <v>0</v>
      </c>
      <c r="AA37" s="871">
        <f>'11.销售及回款表'!AC242</f>
        <v>0</v>
      </c>
      <c r="AB37" s="872">
        <f>'11.销售及回款表'!AD242</f>
        <v>0</v>
      </c>
      <c r="AC37" s="872">
        <f>'11.销售及回款表'!AE242</f>
        <v>0</v>
      </c>
      <c r="AD37" s="872">
        <f>'11.销售及回款表'!AF242</f>
        <v>0</v>
      </c>
      <c r="AE37" s="871">
        <f>'11.销售及回款表'!AG242</f>
        <v>0</v>
      </c>
      <c r="AF37" s="872">
        <f>'11.销售及回款表'!AH242</f>
        <v>0</v>
      </c>
      <c r="AG37" s="872">
        <f>'11.销售及回款表'!AI242</f>
        <v>0</v>
      </c>
      <c r="AH37" s="872">
        <f>'11.销售及回款表'!AJ242</f>
        <v>0</v>
      </c>
      <c r="AI37" s="871">
        <f>'11.销售及回款表'!AK242</f>
        <v>0</v>
      </c>
      <c r="AJ37" s="872">
        <f>'11.销售及回款表'!AL242</f>
        <v>0</v>
      </c>
      <c r="AK37" s="872">
        <f>'11.销售及回款表'!AM242</f>
        <v>0</v>
      </c>
      <c r="AL37" s="872">
        <f>'11.销售及回款表'!AN242</f>
        <v>0</v>
      </c>
      <c r="AM37" s="871">
        <f>'11.销售及回款表'!AO242</f>
        <v>0</v>
      </c>
      <c r="AN37" s="872">
        <f>'11.销售及回款表'!AP242</f>
        <v>0</v>
      </c>
      <c r="AO37" s="872">
        <f>'11.销售及回款表'!AQ242</f>
        <v>0</v>
      </c>
      <c r="AP37" s="872">
        <f>'11.销售及回款表'!AR242</f>
        <v>0</v>
      </c>
      <c r="AQ37" s="871">
        <f>'11.销售及回款表'!AS242</f>
        <v>0</v>
      </c>
      <c r="AR37" s="872">
        <f>'11.销售及回款表'!AT242</f>
        <v>0</v>
      </c>
      <c r="AS37" s="872">
        <f>'11.销售及回款表'!AU242</f>
        <v>0</v>
      </c>
      <c r="AT37" s="872">
        <f>'11.销售及回款表'!AV242</f>
        <v>0</v>
      </c>
    </row>
    <row r="38" spans="1:46" s="77" customFormat="1" ht="18" customHeight="1" outlineLevel="2">
      <c r="A38" s="869">
        <f>'8.项目规划指标表'!B9</f>
        <v>0</v>
      </c>
      <c r="B38" s="870">
        <f t="shared" si="2"/>
        <v>0</v>
      </c>
      <c r="C38" s="871">
        <f>'11.销售及回款表'!E247</f>
        <v>0</v>
      </c>
      <c r="D38" s="872">
        <f>'11.销售及回款表'!F247</f>
        <v>0</v>
      </c>
      <c r="E38" s="872">
        <f>'11.销售及回款表'!G247</f>
        <v>0</v>
      </c>
      <c r="F38" s="872">
        <f>'11.销售及回款表'!H247</f>
        <v>0</v>
      </c>
      <c r="G38" s="871">
        <f>'11.销售及回款表'!I247</f>
        <v>0</v>
      </c>
      <c r="H38" s="872">
        <f>'11.销售及回款表'!J247</f>
        <v>0</v>
      </c>
      <c r="I38" s="872">
        <f>'11.销售及回款表'!K247</f>
        <v>0</v>
      </c>
      <c r="J38" s="872">
        <f>'11.销售及回款表'!L247</f>
        <v>0</v>
      </c>
      <c r="K38" s="871">
        <f>'11.销售及回款表'!M247</f>
        <v>0</v>
      </c>
      <c r="L38" s="872">
        <f>'11.销售及回款表'!N247</f>
        <v>0</v>
      </c>
      <c r="M38" s="872">
        <f>'11.销售及回款表'!O247</f>
        <v>0</v>
      </c>
      <c r="N38" s="872">
        <f>'11.销售及回款表'!P247</f>
        <v>0</v>
      </c>
      <c r="O38" s="871">
        <f>'11.销售及回款表'!Q247</f>
        <v>0</v>
      </c>
      <c r="P38" s="872">
        <f>'11.销售及回款表'!R247</f>
        <v>0</v>
      </c>
      <c r="Q38" s="872">
        <f>'11.销售及回款表'!S247</f>
        <v>0</v>
      </c>
      <c r="R38" s="872">
        <f>'11.销售及回款表'!T247</f>
        <v>0</v>
      </c>
      <c r="S38" s="871">
        <f>'11.销售及回款表'!U247</f>
        <v>0</v>
      </c>
      <c r="T38" s="872">
        <f>'11.销售及回款表'!V247</f>
        <v>0</v>
      </c>
      <c r="U38" s="872">
        <f>'11.销售及回款表'!W247</f>
        <v>0</v>
      </c>
      <c r="V38" s="872">
        <f>'11.销售及回款表'!X247</f>
        <v>0</v>
      </c>
      <c r="W38" s="871">
        <f>'11.销售及回款表'!Y247</f>
        <v>0</v>
      </c>
      <c r="X38" s="872">
        <f>'11.销售及回款表'!Z247</f>
        <v>0</v>
      </c>
      <c r="Y38" s="872">
        <f>'11.销售及回款表'!AA247</f>
        <v>0</v>
      </c>
      <c r="Z38" s="872">
        <f>'11.销售及回款表'!AB247</f>
        <v>0</v>
      </c>
      <c r="AA38" s="871">
        <f>'11.销售及回款表'!AC247</f>
        <v>0</v>
      </c>
      <c r="AB38" s="872">
        <f>'11.销售及回款表'!AD247</f>
        <v>0</v>
      </c>
      <c r="AC38" s="872">
        <f>'11.销售及回款表'!AE247</f>
        <v>0</v>
      </c>
      <c r="AD38" s="872">
        <f>'11.销售及回款表'!AF247</f>
        <v>0</v>
      </c>
      <c r="AE38" s="871">
        <f>'11.销售及回款表'!AG247</f>
        <v>0</v>
      </c>
      <c r="AF38" s="872">
        <f>'11.销售及回款表'!AH247</f>
        <v>0</v>
      </c>
      <c r="AG38" s="872">
        <f>'11.销售及回款表'!AI247</f>
        <v>0</v>
      </c>
      <c r="AH38" s="872">
        <f>'11.销售及回款表'!AJ247</f>
        <v>0</v>
      </c>
      <c r="AI38" s="871">
        <f>'11.销售及回款表'!AK247</f>
        <v>0</v>
      </c>
      <c r="AJ38" s="872">
        <f>'11.销售及回款表'!AL247</f>
        <v>0</v>
      </c>
      <c r="AK38" s="872">
        <f>'11.销售及回款表'!AM247</f>
        <v>0</v>
      </c>
      <c r="AL38" s="872">
        <f>'11.销售及回款表'!AN247</f>
        <v>0</v>
      </c>
      <c r="AM38" s="871">
        <f>'11.销售及回款表'!AO247</f>
        <v>0</v>
      </c>
      <c r="AN38" s="872">
        <f>'11.销售及回款表'!AP247</f>
        <v>0</v>
      </c>
      <c r="AO38" s="872">
        <f>'11.销售及回款表'!AQ247</f>
        <v>0</v>
      </c>
      <c r="AP38" s="872">
        <f>'11.销售及回款表'!AR247</f>
        <v>0</v>
      </c>
      <c r="AQ38" s="871">
        <f>'11.销售及回款表'!AS247</f>
        <v>0</v>
      </c>
      <c r="AR38" s="872">
        <f>'11.销售及回款表'!AT247</f>
        <v>0</v>
      </c>
      <c r="AS38" s="872">
        <f>'11.销售及回款表'!AU247</f>
        <v>0</v>
      </c>
      <c r="AT38" s="872">
        <f>'11.销售及回款表'!AV247</f>
        <v>0</v>
      </c>
    </row>
    <row r="39" spans="1:46" s="77" customFormat="1" ht="18" customHeight="1" outlineLevel="2">
      <c r="A39" s="869">
        <f>'8.项目规划指标表'!B10</f>
        <v>0</v>
      </c>
      <c r="B39" s="870">
        <f t="shared" si="2"/>
        <v>0</v>
      </c>
      <c r="C39" s="871">
        <f>'11.销售及回款表'!E252</f>
        <v>0</v>
      </c>
      <c r="D39" s="872">
        <f>'11.销售及回款表'!F252</f>
        <v>0</v>
      </c>
      <c r="E39" s="872">
        <f>'11.销售及回款表'!G252</f>
        <v>0</v>
      </c>
      <c r="F39" s="872">
        <f>'11.销售及回款表'!H252</f>
        <v>0</v>
      </c>
      <c r="G39" s="871">
        <f>'11.销售及回款表'!I252</f>
        <v>0</v>
      </c>
      <c r="H39" s="872">
        <f>'11.销售及回款表'!J252</f>
        <v>0</v>
      </c>
      <c r="I39" s="872">
        <f>'11.销售及回款表'!K252</f>
        <v>0</v>
      </c>
      <c r="J39" s="872">
        <f>'11.销售及回款表'!L252</f>
        <v>0</v>
      </c>
      <c r="K39" s="871">
        <f>'11.销售及回款表'!M252</f>
        <v>0</v>
      </c>
      <c r="L39" s="872">
        <f>'11.销售及回款表'!N252</f>
        <v>0</v>
      </c>
      <c r="M39" s="872">
        <f>'11.销售及回款表'!O252</f>
        <v>0</v>
      </c>
      <c r="N39" s="872">
        <f>'11.销售及回款表'!P252</f>
        <v>0</v>
      </c>
      <c r="O39" s="871">
        <f>'11.销售及回款表'!Q252</f>
        <v>0</v>
      </c>
      <c r="P39" s="872">
        <f>'11.销售及回款表'!R252</f>
        <v>0</v>
      </c>
      <c r="Q39" s="872">
        <f>'11.销售及回款表'!S252</f>
        <v>0</v>
      </c>
      <c r="R39" s="872">
        <f>'11.销售及回款表'!T252</f>
        <v>0</v>
      </c>
      <c r="S39" s="871">
        <f>'11.销售及回款表'!U252</f>
        <v>0</v>
      </c>
      <c r="T39" s="872">
        <f>'11.销售及回款表'!V252</f>
        <v>0</v>
      </c>
      <c r="U39" s="872">
        <f>'11.销售及回款表'!W252</f>
        <v>0</v>
      </c>
      <c r="V39" s="872">
        <f>'11.销售及回款表'!X252</f>
        <v>0</v>
      </c>
      <c r="W39" s="871">
        <f>'11.销售及回款表'!Y252</f>
        <v>0</v>
      </c>
      <c r="X39" s="872">
        <f>'11.销售及回款表'!Z252</f>
        <v>0</v>
      </c>
      <c r="Y39" s="872">
        <f>'11.销售及回款表'!AA252</f>
        <v>0</v>
      </c>
      <c r="Z39" s="872">
        <f>'11.销售及回款表'!AB252</f>
        <v>0</v>
      </c>
      <c r="AA39" s="871">
        <f>'11.销售及回款表'!AC252</f>
        <v>0</v>
      </c>
      <c r="AB39" s="872">
        <f>'11.销售及回款表'!AD252</f>
        <v>0</v>
      </c>
      <c r="AC39" s="872">
        <f>'11.销售及回款表'!AE252</f>
        <v>0</v>
      </c>
      <c r="AD39" s="872">
        <f>'11.销售及回款表'!AF252</f>
        <v>0</v>
      </c>
      <c r="AE39" s="871">
        <f>'11.销售及回款表'!AG252</f>
        <v>0</v>
      </c>
      <c r="AF39" s="872">
        <f>'11.销售及回款表'!AH252</f>
        <v>0</v>
      </c>
      <c r="AG39" s="872">
        <f>'11.销售及回款表'!AI252</f>
        <v>0</v>
      </c>
      <c r="AH39" s="872">
        <f>'11.销售及回款表'!AJ252</f>
        <v>0</v>
      </c>
      <c r="AI39" s="871">
        <f>'11.销售及回款表'!AK252</f>
        <v>0</v>
      </c>
      <c r="AJ39" s="872">
        <f>'11.销售及回款表'!AL252</f>
        <v>0</v>
      </c>
      <c r="AK39" s="872">
        <f>'11.销售及回款表'!AM252</f>
        <v>0</v>
      </c>
      <c r="AL39" s="872">
        <f>'11.销售及回款表'!AN252</f>
        <v>0</v>
      </c>
      <c r="AM39" s="871">
        <f>'11.销售及回款表'!AO252</f>
        <v>0</v>
      </c>
      <c r="AN39" s="872">
        <f>'11.销售及回款表'!AP252</f>
        <v>0</v>
      </c>
      <c r="AO39" s="872">
        <f>'11.销售及回款表'!AQ252</f>
        <v>0</v>
      </c>
      <c r="AP39" s="872">
        <f>'11.销售及回款表'!AR252</f>
        <v>0</v>
      </c>
      <c r="AQ39" s="871">
        <f>'11.销售及回款表'!AS252</f>
        <v>0</v>
      </c>
      <c r="AR39" s="872">
        <f>'11.销售及回款表'!AT252</f>
        <v>0</v>
      </c>
      <c r="AS39" s="872">
        <f>'11.销售及回款表'!AU252</f>
        <v>0</v>
      </c>
      <c r="AT39" s="872">
        <f>'11.销售及回款表'!AV252</f>
        <v>0</v>
      </c>
    </row>
    <row r="40" spans="1:46" s="77" customFormat="1" ht="18" customHeight="1" outlineLevel="2">
      <c r="A40" s="869">
        <f>'8.项目规划指标表'!B11</f>
        <v>0</v>
      </c>
      <c r="B40" s="870">
        <f t="shared" si="2"/>
        <v>0</v>
      </c>
      <c r="C40" s="871">
        <f>'11.销售及回款表'!E257</f>
        <v>0</v>
      </c>
      <c r="D40" s="872">
        <f>'11.销售及回款表'!F257</f>
        <v>0</v>
      </c>
      <c r="E40" s="872">
        <f>'11.销售及回款表'!G257</f>
        <v>0</v>
      </c>
      <c r="F40" s="872">
        <f>'11.销售及回款表'!H257</f>
        <v>0</v>
      </c>
      <c r="G40" s="871">
        <f>'11.销售及回款表'!I257</f>
        <v>0</v>
      </c>
      <c r="H40" s="872">
        <f>'11.销售及回款表'!J257</f>
        <v>0</v>
      </c>
      <c r="I40" s="872">
        <f>'11.销售及回款表'!K257</f>
        <v>0</v>
      </c>
      <c r="J40" s="872">
        <f>'11.销售及回款表'!L257</f>
        <v>0</v>
      </c>
      <c r="K40" s="871">
        <f>'11.销售及回款表'!M257</f>
        <v>0</v>
      </c>
      <c r="L40" s="872">
        <f>'11.销售及回款表'!N257</f>
        <v>0</v>
      </c>
      <c r="M40" s="872">
        <f>'11.销售及回款表'!O257</f>
        <v>0</v>
      </c>
      <c r="N40" s="872">
        <f>'11.销售及回款表'!P257</f>
        <v>0</v>
      </c>
      <c r="O40" s="871">
        <f>'11.销售及回款表'!Q257</f>
        <v>0</v>
      </c>
      <c r="P40" s="872">
        <f>'11.销售及回款表'!R257</f>
        <v>0</v>
      </c>
      <c r="Q40" s="872">
        <f>'11.销售及回款表'!S257</f>
        <v>0</v>
      </c>
      <c r="R40" s="872">
        <f>'11.销售及回款表'!T257</f>
        <v>0</v>
      </c>
      <c r="S40" s="871">
        <f>'11.销售及回款表'!U257</f>
        <v>0</v>
      </c>
      <c r="T40" s="872">
        <f>'11.销售及回款表'!V257</f>
        <v>0</v>
      </c>
      <c r="U40" s="872">
        <f>'11.销售及回款表'!W257</f>
        <v>0</v>
      </c>
      <c r="V40" s="872">
        <f>'11.销售及回款表'!X257</f>
        <v>0</v>
      </c>
      <c r="W40" s="871">
        <f>'11.销售及回款表'!Y257</f>
        <v>0</v>
      </c>
      <c r="X40" s="872">
        <f>'11.销售及回款表'!Z257</f>
        <v>0</v>
      </c>
      <c r="Y40" s="872">
        <f>'11.销售及回款表'!AA257</f>
        <v>0</v>
      </c>
      <c r="Z40" s="872">
        <f>'11.销售及回款表'!AB257</f>
        <v>0</v>
      </c>
      <c r="AA40" s="871">
        <f>'11.销售及回款表'!AC257</f>
        <v>0</v>
      </c>
      <c r="AB40" s="872">
        <f>'11.销售及回款表'!AD257</f>
        <v>0</v>
      </c>
      <c r="AC40" s="872">
        <f>'11.销售及回款表'!AE257</f>
        <v>0</v>
      </c>
      <c r="AD40" s="872">
        <f>'11.销售及回款表'!AF257</f>
        <v>0</v>
      </c>
      <c r="AE40" s="871">
        <f>'11.销售及回款表'!AG257</f>
        <v>0</v>
      </c>
      <c r="AF40" s="872">
        <f>'11.销售及回款表'!AH257</f>
        <v>0</v>
      </c>
      <c r="AG40" s="872">
        <f>'11.销售及回款表'!AI257</f>
        <v>0</v>
      </c>
      <c r="AH40" s="872">
        <f>'11.销售及回款表'!AJ257</f>
        <v>0</v>
      </c>
      <c r="AI40" s="871">
        <f>'11.销售及回款表'!AK257</f>
        <v>0</v>
      </c>
      <c r="AJ40" s="872">
        <f>'11.销售及回款表'!AL257</f>
        <v>0</v>
      </c>
      <c r="AK40" s="872">
        <f>'11.销售及回款表'!AM257</f>
        <v>0</v>
      </c>
      <c r="AL40" s="872">
        <f>'11.销售及回款表'!AN257</f>
        <v>0</v>
      </c>
      <c r="AM40" s="871">
        <f>'11.销售及回款表'!AO257</f>
        <v>0</v>
      </c>
      <c r="AN40" s="872">
        <f>'11.销售及回款表'!AP257</f>
        <v>0</v>
      </c>
      <c r="AO40" s="872">
        <f>'11.销售及回款表'!AQ257</f>
        <v>0</v>
      </c>
      <c r="AP40" s="872">
        <f>'11.销售及回款表'!AR257</f>
        <v>0</v>
      </c>
      <c r="AQ40" s="871">
        <f>'11.销售及回款表'!AS257</f>
        <v>0</v>
      </c>
      <c r="AR40" s="872">
        <f>'11.销售及回款表'!AT257</f>
        <v>0</v>
      </c>
      <c r="AS40" s="872">
        <f>'11.销售及回款表'!AU257</f>
        <v>0</v>
      </c>
      <c r="AT40" s="872">
        <f>'11.销售及回款表'!AV257</f>
        <v>0</v>
      </c>
    </row>
    <row r="41" spans="1:46" s="77" customFormat="1" ht="18" customHeight="1" outlineLevel="2">
      <c r="A41" s="869">
        <f>'8.项目规划指标表'!B12</f>
        <v>0</v>
      </c>
      <c r="B41" s="870">
        <f t="shared" si="2"/>
        <v>0</v>
      </c>
      <c r="C41" s="871">
        <f>'11.销售及回款表'!E262</f>
        <v>0</v>
      </c>
      <c r="D41" s="872">
        <f>'11.销售及回款表'!F262</f>
        <v>0</v>
      </c>
      <c r="E41" s="872">
        <f>'11.销售及回款表'!G262</f>
        <v>0</v>
      </c>
      <c r="F41" s="872">
        <f>'11.销售及回款表'!H262</f>
        <v>0</v>
      </c>
      <c r="G41" s="871">
        <f>'11.销售及回款表'!I262</f>
        <v>0</v>
      </c>
      <c r="H41" s="872">
        <f>'11.销售及回款表'!J262</f>
        <v>0</v>
      </c>
      <c r="I41" s="872">
        <f>'11.销售及回款表'!K262</f>
        <v>0</v>
      </c>
      <c r="J41" s="872">
        <f>'11.销售及回款表'!L262</f>
        <v>0</v>
      </c>
      <c r="K41" s="871">
        <f>'11.销售及回款表'!M262</f>
        <v>0</v>
      </c>
      <c r="L41" s="872">
        <f>'11.销售及回款表'!N262</f>
        <v>0</v>
      </c>
      <c r="M41" s="872">
        <f>'11.销售及回款表'!O262</f>
        <v>0</v>
      </c>
      <c r="N41" s="872">
        <f>'11.销售及回款表'!P262</f>
        <v>0</v>
      </c>
      <c r="O41" s="871">
        <f>'11.销售及回款表'!Q262</f>
        <v>0</v>
      </c>
      <c r="P41" s="872">
        <f>'11.销售及回款表'!R262</f>
        <v>0</v>
      </c>
      <c r="Q41" s="872">
        <f>'11.销售及回款表'!S262</f>
        <v>0</v>
      </c>
      <c r="R41" s="872">
        <f>'11.销售及回款表'!T262</f>
        <v>0</v>
      </c>
      <c r="S41" s="871">
        <f>'11.销售及回款表'!U262</f>
        <v>0</v>
      </c>
      <c r="T41" s="872">
        <f>'11.销售及回款表'!V262</f>
        <v>0</v>
      </c>
      <c r="U41" s="872">
        <f>'11.销售及回款表'!W262</f>
        <v>0</v>
      </c>
      <c r="V41" s="872">
        <f>'11.销售及回款表'!X262</f>
        <v>0</v>
      </c>
      <c r="W41" s="871">
        <f>'11.销售及回款表'!Y262</f>
        <v>0</v>
      </c>
      <c r="X41" s="872">
        <f>'11.销售及回款表'!Z262</f>
        <v>0</v>
      </c>
      <c r="Y41" s="872">
        <f>'11.销售及回款表'!AA262</f>
        <v>0</v>
      </c>
      <c r="Z41" s="872">
        <f>'11.销售及回款表'!AB262</f>
        <v>0</v>
      </c>
      <c r="AA41" s="871">
        <f>'11.销售及回款表'!AC262</f>
        <v>0</v>
      </c>
      <c r="AB41" s="872">
        <f>'11.销售及回款表'!AD262</f>
        <v>0</v>
      </c>
      <c r="AC41" s="872">
        <f>'11.销售及回款表'!AE262</f>
        <v>0</v>
      </c>
      <c r="AD41" s="872">
        <f>'11.销售及回款表'!AF262</f>
        <v>0</v>
      </c>
      <c r="AE41" s="871">
        <f>'11.销售及回款表'!AG262</f>
        <v>0</v>
      </c>
      <c r="AF41" s="872">
        <f>'11.销售及回款表'!AH262</f>
        <v>0</v>
      </c>
      <c r="AG41" s="872">
        <f>'11.销售及回款表'!AI262</f>
        <v>0</v>
      </c>
      <c r="AH41" s="872">
        <f>'11.销售及回款表'!AJ262</f>
        <v>0</v>
      </c>
      <c r="AI41" s="871">
        <f>'11.销售及回款表'!AK262</f>
        <v>0</v>
      </c>
      <c r="AJ41" s="872">
        <f>'11.销售及回款表'!AL262</f>
        <v>0</v>
      </c>
      <c r="AK41" s="872">
        <f>'11.销售及回款表'!AM262</f>
        <v>0</v>
      </c>
      <c r="AL41" s="872">
        <f>'11.销售及回款表'!AN262</f>
        <v>0</v>
      </c>
      <c r="AM41" s="871">
        <f>'11.销售及回款表'!AO262</f>
        <v>0</v>
      </c>
      <c r="AN41" s="872">
        <f>'11.销售及回款表'!AP262</f>
        <v>0</v>
      </c>
      <c r="AO41" s="872">
        <f>'11.销售及回款表'!AQ262</f>
        <v>0</v>
      </c>
      <c r="AP41" s="872">
        <f>'11.销售及回款表'!AR262</f>
        <v>0</v>
      </c>
      <c r="AQ41" s="871">
        <f>'11.销售及回款表'!AS262</f>
        <v>0</v>
      </c>
      <c r="AR41" s="872">
        <f>'11.销售及回款表'!AT262</f>
        <v>0</v>
      </c>
      <c r="AS41" s="872">
        <f>'11.销售及回款表'!AU262</f>
        <v>0</v>
      </c>
      <c r="AT41" s="872">
        <f>'11.销售及回款表'!AV262</f>
        <v>0</v>
      </c>
    </row>
    <row r="42" spans="1:46" s="77" customFormat="1" ht="18" customHeight="1" outlineLevel="2">
      <c r="A42" s="869">
        <f>'8.项目规划指标表'!B13</f>
        <v>0</v>
      </c>
      <c r="B42" s="870">
        <f t="shared" si="2"/>
        <v>0</v>
      </c>
      <c r="C42" s="871">
        <f>'11.销售及回款表'!E267</f>
        <v>0</v>
      </c>
      <c r="D42" s="872">
        <f>'11.销售及回款表'!F267</f>
        <v>0</v>
      </c>
      <c r="E42" s="872">
        <f>'11.销售及回款表'!G267</f>
        <v>0</v>
      </c>
      <c r="F42" s="872">
        <f>'11.销售及回款表'!H267</f>
        <v>0</v>
      </c>
      <c r="G42" s="871">
        <f>'11.销售及回款表'!I267</f>
        <v>0</v>
      </c>
      <c r="H42" s="872">
        <f>'11.销售及回款表'!J267</f>
        <v>0</v>
      </c>
      <c r="I42" s="872">
        <f>'11.销售及回款表'!K267</f>
        <v>0</v>
      </c>
      <c r="J42" s="872">
        <f>'11.销售及回款表'!L267</f>
        <v>0</v>
      </c>
      <c r="K42" s="871">
        <f>'11.销售及回款表'!M267</f>
        <v>0</v>
      </c>
      <c r="L42" s="872">
        <f>'11.销售及回款表'!N267</f>
        <v>0</v>
      </c>
      <c r="M42" s="872">
        <f>'11.销售及回款表'!O267</f>
        <v>0</v>
      </c>
      <c r="N42" s="872">
        <f>'11.销售及回款表'!P267</f>
        <v>0</v>
      </c>
      <c r="O42" s="871">
        <f>'11.销售及回款表'!Q267</f>
        <v>0</v>
      </c>
      <c r="P42" s="872">
        <f>'11.销售及回款表'!R267</f>
        <v>0</v>
      </c>
      <c r="Q42" s="872">
        <f>'11.销售及回款表'!S267</f>
        <v>0</v>
      </c>
      <c r="R42" s="872">
        <f>'11.销售及回款表'!T267</f>
        <v>0</v>
      </c>
      <c r="S42" s="871">
        <f>'11.销售及回款表'!U267</f>
        <v>0</v>
      </c>
      <c r="T42" s="872">
        <f>'11.销售及回款表'!V267</f>
        <v>0</v>
      </c>
      <c r="U42" s="872">
        <f>'11.销售及回款表'!W267</f>
        <v>0</v>
      </c>
      <c r="V42" s="872">
        <f>'11.销售及回款表'!X267</f>
        <v>0</v>
      </c>
      <c r="W42" s="871">
        <f>'11.销售及回款表'!Y267</f>
        <v>0</v>
      </c>
      <c r="X42" s="872">
        <f>'11.销售及回款表'!Z267</f>
        <v>0</v>
      </c>
      <c r="Y42" s="872">
        <f>'11.销售及回款表'!AA267</f>
        <v>0</v>
      </c>
      <c r="Z42" s="872">
        <f>'11.销售及回款表'!AB267</f>
        <v>0</v>
      </c>
      <c r="AA42" s="871">
        <f>'11.销售及回款表'!AC267</f>
        <v>0</v>
      </c>
      <c r="AB42" s="872">
        <f>'11.销售及回款表'!AD267</f>
        <v>0</v>
      </c>
      <c r="AC42" s="872">
        <f>'11.销售及回款表'!AE267</f>
        <v>0</v>
      </c>
      <c r="AD42" s="872">
        <f>'11.销售及回款表'!AF267</f>
        <v>0</v>
      </c>
      <c r="AE42" s="871">
        <f>'11.销售及回款表'!AG267</f>
        <v>0</v>
      </c>
      <c r="AF42" s="872">
        <f>'11.销售及回款表'!AH267</f>
        <v>0</v>
      </c>
      <c r="AG42" s="872">
        <f>'11.销售及回款表'!AI267</f>
        <v>0</v>
      </c>
      <c r="AH42" s="872">
        <f>'11.销售及回款表'!AJ267</f>
        <v>0</v>
      </c>
      <c r="AI42" s="871">
        <f>'11.销售及回款表'!AK267</f>
        <v>0</v>
      </c>
      <c r="AJ42" s="872">
        <f>'11.销售及回款表'!AL267</f>
        <v>0</v>
      </c>
      <c r="AK42" s="872">
        <f>'11.销售及回款表'!AM267</f>
        <v>0</v>
      </c>
      <c r="AL42" s="872">
        <f>'11.销售及回款表'!AN267</f>
        <v>0</v>
      </c>
      <c r="AM42" s="871">
        <f>'11.销售及回款表'!AO267</f>
        <v>0</v>
      </c>
      <c r="AN42" s="872">
        <f>'11.销售及回款表'!AP267</f>
        <v>0</v>
      </c>
      <c r="AO42" s="872">
        <f>'11.销售及回款表'!AQ267</f>
        <v>0</v>
      </c>
      <c r="AP42" s="872">
        <f>'11.销售及回款表'!AR267</f>
        <v>0</v>
      </c>
      <c r="AQ42" s="871">
        <f>'11.销售及回款表'!AS267</f>
        <v>0</v>
      </c>
      <c r="AR42" s="872">
        <f>'11.销售及回款表'!AT267</f>
        <v>0</v>
      </c>
      <c r="AS42" s="872">
        <f>'11.销售及回款表'!AU267</f>
        <v>0</v>
      </c>
      <c r="AT42" s="872">
        <f>'11.销售及回款表'!AV267</f>
        <v>0</v>
      </c>
    </row>
    <row r="43" spans="1:46" s="77" customFormat="1" ht="18" customHeight="1" outlineLevel="2">
      <c r="A43" s="869" t="str">
        <f>'8.项目规划指标表'!B14</f>
        <v>自持物业</v>
      </c>
      <c r="B43" s="870">
        <f t="shared" si="2"/>
        <v>0</v>
      </c>
      <c r="C43" s="871">
        <f>'11.销售及回款表'!E272</f>
        <v>0</v>
      </c>
      <c r="D43" s="872">
        <f>'11.销售及回款表'!F272</f>
        <v>0</v>
      </c>
      <c r="E43" s="872">
        <f>'11.销售及回款表'!G272</f>
        <v>0</v>
      </c>
      <c r="F43" s="872">
        <f>'11.销售及回款表'!H272</f>
        <v>0</v>
      </c>
      <c r="G43" s="871">
        <f>'11.销售及回款表'!I272</f>
        <v>0</v>
      </c>
      <c r="H43" s="872">
        <f>'11.销售及回款表'!J272</f>
        <v>0</v>
      </c>
      <c r="I43" s="872">
        <f>'11.销售及回款表'!K272</f>
        <v>0</v>
      </c>
      <c r="J43" s="872">
        <f>'11.销售及回款表'!L272</f>
        <v>0</v>
      </c>
      <c r="K43" s="871">
        <f>'11.销售及回款表'!M272</f>
        <v>0</v>
      </c>
      <c r="L43" s="872">
        <f>'11.销售及回款表'!N272</f>
        <v>0</v>
      </c>
      <c r="M43" s="872">
        <f>'11.销售及回款表'!O272</f>
        <v>0</v>
      </c>
      <c r="N43" s="872">
        <f>'11.销售及回款表'!P272</f>
        <v>0</v>
      </c>
      <c r="O43" s="871">
        <f>'11.销售及回款表'!Q272</f>
        <v>0</v>
      </c>
      <c r="P43" s="872">
        <f>'11.销售及回款表'!R272</f>
        <v>0</v>
      </c>
      <c r="Q43" s="872">
        <f>'11.销售及回款表'!S272</f>
        <v>0</v>
      </c>
      <c r="R43" s="872">
        <f>'11.销售及回款表'!T272</f>
        <v>0</v>
      </c>
      <c r="S43" s="871">
        <f>'11.销售及回款表'!U272</f>
        <v>0</v>
      </c>
      <c r="T43" s="872">
        <f>'11.销售及回款表'!V272</f>
        <v>0</v>
      </c>
      <c r="U43" s="872">
        <f>'11.销售及回款表'!W272</f>
        <v>0</v>
      </c>
      <c r="V43" s="872">
        <f>'11.销售及回款表'!X272</f>
        <v>0</v>
      </c>
      <c r="W43" s="871">
        <f>'11.销售及回款表'!Y272</f>
        <v>0</v>
      </c>
      <c r="X43" s="872">
        <f>'11.销售及回款表'!Z272</f>
        <v>0</v>
      </c>
      <c r="Y43" s="872">
        <f>'11.销售及回款表'!AA272</f>
        <v>0</v>
      </c>
      <c r="Z43" s="872">
        <f>'11.销售及回款表'!AB272</f>
        <v>0</v>
      </c>
      <c r="AA43" s="871">
        <f>'11.销售及回款表'!AC272</f>
        <v>0</v>
      </c>
      <c r="AB43" s="872">
        <f>'11.销售及回款表'!AD272</f>
        <v>0</v>
      </c>
      <c r="AC43" s="872">
        <f>'11.销售及回款表'!AE272</f>
        <v>0</v>
      </c>
      <c r="AD43" s="872">
        <f>'11.销售及回款表'!AF272</f>
        <v>0</v>
      </c>
      <c r="AE43" s="871">
        <f>'11.销售及回款表'!AG272</f>
        <v>0</v>
      </c>
      <c r="AF43" s="872">
        <f>'11.销售及回款表'!AH272</f>
        <v>0</v>
      </c>
      <c r="AG43" s="872">
        <f>'11.销售及回款表'!AI272</f>
        <v>0</v>
      </c>
      <c r="AH43" s="872">
        <f>'11.销售及回款表'!AJ272</f>
        <v>0</v>
      </c>
      <c r="AI43" s="871">
        <f>'11.销售及回款表'!AK272</f>
        <v>0</v>
      </c>
      <c r="AJ43" s="872">
        <f>'11.销售及回款表'!AL272</f>
        <v>0</v>
      </c>
      <c r="AK43" s="872">
        <f>'11.销售及回款表'!AM272</f>
        <v>0</v>
      </c>
      <c r="AL43" s="872">
        <f>'11.销售及回款表'!AN272</f>
        <v>0</v>
      </c>
      <c r="AM43" s="871">
        <f>'11.销售及回款表'!AO272</f>
        <v>0</v>
      </c>
      <c r="AN43" s="872">
        <f>'11.销售及回款表'!AP272</f>
        <v>0</v>
      </c>
      <c r="AO43" s="872">
        <f>'11.销售及回款表'!AQ272</f>
        <v>0</v>
      </c>
      <c r="AP43" s="872">
        <f>'11.销售及回款表'!AR272</f>
        <v>0</v>
      </c>
      <c r="AQ43" s="871">
        <f>'11.销售及回款表'!AS272</f>
        <v>0</v>
      </c>
      <c r="AR43" s="872">
        <f>'11.销售及回款表'!AT272</f>
        <v>0</v>
      </c>
      <c r="AS43" s="872">
        <f>'11.销售及回款表'!AU272</f>
        <v>0</v>
      </c>
      <c r="AT43" s="872">
        <f>'11.销售及回款表'!AV272</f>
        <v>0</v>
      </c>
    </row>
    <row r="44" spans="1:46" s="77" customFormat="1" ht="18" customHeight="1" outlineLevel="2">
      <c r="A44" s="869" t="str">
        <f>'8.项目规划指标表'!B18</f>
        <v>有产权车库(个)</v>
      </c>
      <c r="B44" s="870">
        <f t="shared" si="2"/>
        <v>0</v>
      </c>
      <c r="C44" s="871">
        <f>'11.销售及回款表'!E277</f>
        <v>0</v>
      </c>
      <c r="D44" s="872">
        <f>'11.销售及回款表'!F277</f>
        <v>0</v>
      </c>
      <c r="E44" s="872">
        <f>'11.销售及回款表'!G277</f>
        <v>0</v>
      </c>
      <c r="F44" s="872">
        <f>'11.销售及回款表'!H277</f>
        <v>0</v>
      </c>
      <c r="G44" s="871">
        <f>'11.销售及回款表'!I277</f>
        <v>0</v>
      </c>
      <c r="H44" s="872">
        <f>'11.销售及回款表'!J277</f>
        <v>0</v>
      </c>
      <c r="I44" s="872">
        <f>'11.销售及回款表'!K277</f>
        <v>0</v>
      </c>
      <c r="J44" s="872">
        <f>'11.销售及回款表'!L277</f>
        <v>0</v>
      </c>
      <c r="K44" s="871">
        <f>'11.销售及回款表'!M277</f>
        <v>0</v>
      </c>
      <c r="L44" s="872">
        <f>'11.销售及回款表'!N277</f>
        <v>0</v>
      </c>
      <c r="M44" s="872">
        <f>'11.销售及回款表'!O277</f>
        <v>0</v>
      </c>
      <c r="N44" s="872">
        <f>'11.销售及回款表'!P277</f>
        <v>0</v>
      </c>
      <c r="O44" s="871">
        <f>'11.销售及回款表'!Q277</f>
        <v>0</v>
      </c>
      <c r="P44" s="872">
        <f>'11.销售及回款表'!R277</f>
        <v>0</v>
      </c>
      <c r="Q44" s="872">
        <f>'11.销售及回款表'!S277</f>
        <v>0</v>
      </c>
      <c r="R44" s="872">
        <f>'11.销售及回款表'!T277</f>
        <v>0</v>
      </c>
      <c r="S44" s="871">
        <f>'11.销售及回款表'!U277</f>
        <v>0</v>
      </c>
      <c r="T44" s="872">
        <f>'11.销售及回款表'!V277</f>
        <v>0</v>
      </c>
      <c r="U44" s="872">
        <f>'11.销售及回款表'!W277</f>
        <v>0</v>
      </c>
      <c r="V44" s="872">
        <f>'11.销售及回款表'!X277</f>
        <v>0</v>
      </c>
      <c r="W44" s="871">
        <f>'11.销售及回款表'!Y277</f>
        <v>0</v>
      </c>
      <c r="X44" s="872">
        <f>'11.销售及回款表'!Z277</f>
        <v>0</v>
      </c>
      <c r="Y44" s="872">
        <f>'11.销售及回款表'!AA277</f>
        <v>0</v>
      </c>
      <c r="Z44" s="872">
        <f>'11.销售及回款表'!AB277</f>
        <v>0</v>
      </c>
      <c r="AA44" s="871">
        <f>'11.销售及回款表'!AC277</f>
        <v>0</v>
      </c>
      <c r="AB44" s="872">
        <f>'11.销售及回款表'!AD277</f>
        <v>0</v>
      </c>
      <c r="AC44" s="872">
        <f>'11.销售及回款表'!AE277</f>
        <v>0</v>
      </c>
      <c r="AD44" s="872">
        <f>'11.销售及回款表'!AF277</f>
        <v>0</v>
      </c>
      <c r="AE44" s="871">
        <f>'11.销售及回款表'!AG277</f>
        <v>0</v>
      </c>
      <c r="AF44" s="872">
        <f>'11.销售及回款表'!AH277</f>
        <v>0</v>
      </c>
      <c r="AG44" s="872">
        <f>'11.销售及回款表'!AI277</f>
        <v>0</v>
      </c>
      <c r="AH44" s="872">
        <f>'11.销售及回款表'!AJ277</f>
        <v>0</v>
      </c>
      <c r="AI44" s="871">
        <f>'11.销售及回款表'!AK277</f>
        <v>0</v>
      </c>
      <c r="AJ44" s="872">
        <f>'11.销售及回款表'!AL277</f>
        <v>0</v>
      </c>
      <c r="AK44" s="872">
        <f>'11.销售及回款表'!AM277</f>
        <v>0</v>
      </c>
      <c r="AL44" s="872">
        <f>'11.销售及回款表'!AN277</f>
        <v>0</v>
      </c>
      <c r="AM44" s="871">
        <f>'11.销售及回款表'!AO277</f>
        <v>0</v>
      </c>
      <c r="AN44" s="872">
        <f>'11.销售及回款表'!AP277</f>
        <v>0</v>
      </c>
      <c r="AO44" s="872">
        <f>'11.销售及回款表'!AQ277</f>
        <v>0</v>
      </c>
      <c r="AP44" s="872">
        <f>'11.销售及回款表'!AR277</f>
        <v>0</v>
      </c>
      <c r="AQ44" s="871">
        <f>'11.销售及回款表'!AS277</f>
        <v>0</v>
      </c>
      <c r="AR44" s="872">
        <f>'11.销售及回款表'!AT277</f>
        <v>0</v>
      </c>
      <c r="AS44" s="872">
        <f>'11.销售及回款表'!AU277</f>
        <v>0</v>
      </c>
      <c r="AT44" s="872">
        <f>'11.销售及回款表'!AV277</f>
        <v>0</v>
      </c>
    </row>
    <row r="45" spans="1:46" s="77" customFormat="1" ht="18" customHeight="1" outlineLevel="2">
      <c r="A45" s="869" t="str">
        <f>'8.项目规划指标表'!B19</f>
        <v>无产权车库(个)</v>
      </c>
      <c r="B45" s="870">
        <f t="shared" si="2"/>
        <v>0</v>
      </c>
      <c r="C45" s="871">
        <f>'11.销售及回款表'!E282</f>
        <v>0</v>
      </c>
      <c r="D45" s="872">
        <f>'11.销售及回款表'!F282</f>
        <v>0</v>
      </c>
      <c r="E45" s="872">
        <f>'11.销售及回款表'!G282</f>
        <v>0</v>
      </c>
      <c r="F45" s="872">
        <f>'11.销售及回款表'!H282</f>
        <v>0</v>
      </c>
      <c r="G45" s="871">
        <f>'11.销售及回款表'!I282</f>
        <v>0</v>
      </c>
      <c r="H45" s="872">
        <f>'11.销售及回款表'!J282</f>
        <v>0</v>
      </c>
      <c r="I45" s="872">
        <f>'11.销售及回款表'!K282</f>
        <v>0</v>
      </c>
      <c r="J45" s="872">
        <f>'11.销售及回款表'!L282</f>
        <v>0</v>
      </c>
      <c r="K45" s="871">
        <f>'11.销售及回款表'!M282</f>
        <v>0</v>
      </c>
      <c r="L45" s="872">
        <f>'11.销售及回款表'!N282</f>
        <v>0</v>
      </c>
      <c r="M45" s="872">
        <f>'11.销售及回款表'!O282</f>
        <v>0</v>
      </c>
      <c r="N45" s="872">
        <f>'11.销售及回款表'!P282</f>
        <v>0</v>
      </c>
      <c r="O45" s="871">
        <f>'11.销售及回款表'!Q282</f>
        <v>0</v>
      </c>
      <c r="P45" s="872">
        <f>'11.销售及回款表'!R282</f>
        <v>0</v>
      </c>
      <c r="Q45" s="872">
        <f>'11.销售及回款表'!S282</f>
        <v>0</v>
      </c>
      <c r="R45" s="872">
        <f>'11.销售及回款表'!T282</f>
        <v>0</v>
      </c>
      <c r="S45" s="871">
        <f>'11.销售及回款表'!U282</f>
        <v>0</v>
      </c>
      <c r="T45" s="872">
        <f>'11.销售及回款表'!V282</f>
        <v>0</v>
      </c>
      <c r="U45" s="872">
        <f>'11.销售及回款表'!W282</f>
        <v>0</v>
      </c>
      <c r="V45" s="872">
        <f>'11.销售及回款表'!X282</f>
        <v>0</v>
      </c>
      <c r="W45" s="871">
        <f>'11.销售及回款表'!Y282</f>
        <v>0</v>
      </c>
      <c r="X45" s="872">
        <f>'11.销售及回款表'!Z282</f>
        <v>0</v>
      </c>
      <c r="Y45" s="872">
        <f>'11.销售及回款表'!AA282</f>
        <v>0</v>
      </c>
      <c r="Z45" s="872">
        <f>'11.销售及回款表'!AB282</f>
        <v>0</v>
      </c>
      <c r="AA45" s="871">
        <f>'11.销售及回款表'!AC282</f>
        <v>0</v>
      </c>
      <c r="AB45" s="872">
        <f>'11.销售及回款表'!AD282</f>
        <v>0</v>
      </c>
      <c r="AC45" s="872">
        <f>'11.销售及回款表'!AE282</f>
        <v>0</v>
      </c>
      <c r="AD45" s="872">
        <f>'11.销售及回款表'!AF282</f>
        <v>0</v>
      </c>
      <c r="AE45" s="871">
        <f>'11.销售及回款表'!AG282</f>
        <v>0</v>
      </c>
      <c r="AF45" s="872">
        <f>'11.销售及回款表'!AH282</f>
        <v>0</v>
      </c>
      <c r="AG45" s="872">
        <f>'11.销售及回款表'!AI282</f>
        <v>0</v>
      </c>
      <c r="AH45" s="872">
        <f>'11.销售及回款表'!AJ282</f>
        <v>0</v>
      </c>
      <c r="AI45" s="871">
        <f>'11.销售及回款表'!AK282</f>
        <v>0</v>
      </c>
      <c r="AJ45" s="872">
        <f>'11.销售及回款表'!AL282</f>
        <v>0</v>
      </c>
      <c r="AK45" s="872">
        <f>'11.销售及回款表'!AM282</f>
        <v>0</v>
      </c>
      <c r="AL45" s="872">
        <f>'11.销售及回款表'!AN282</f>
        <v>0</v>
      </c>
      <c r="AM45" s="871">
        <f>'11.销售及回款表'!AO282</f>
        <v>0</v>
      </c>
      <c r="AN45" s="872">
        <f>'11.销售及回款表'!AP282</f>
        <v>0</v>
      </c>
      <c r="AO45" s="872">
        <f>'11.销售及回款表'!AQ282</f>
        <v>0</v>
      </c>
      <c r="AP45" s="872">
        <f>'11.销售及回款表'!AR282</f>
        <v>0</v>
      </c>
      <c r="AQ45" s="871">
        <f>'11.销售及回款表'!AS282</f>
        <v>0</v>
      </c>
      <c r="AR45" s="872">
        <f>'11.销售及回款表'!AT282</f>
        <v>0</v>
      </c>
      <c r="AS45" s="872">
        <f>'11.销售及回款表'!AU282</f>
        <v>0</v>
      </c>
      <c r="AT45" s="872">
        <f>'11.销售及回款表'!AV282</f>
        <v>0</v>
      </c>
    </row>
    <row r="46" spans="1:46" s="77" customFormat="1" ht="18" customHeight="1" outlineLevel="1">
      <c r="A46" s="865" t="s">
        <v>22</v>
      </c>
      <c r="B46" s="866">
        <f t="shared" ref="B46:AT46" si="5">SUM(B47:B58)</f>
        <v>0</v>
      </c>
      <c r="C46" s="867">
        <f t="shared" si="5"/>
        <v>0</v>
      </c>
      <c r="D46" s="868">
        <f t="shared" si="5"/>
        <v>0</v>
      </c>
      <c r="E46" s="868">
        <f t="shared" si="5"/>
        <v>0</v>
      </c>
      <c r="F46" s="868">
        <f t="shared" si="5"/>
        <v>0</v>
      </c>
      <c r="G46" s="867">
        <f t="shared" si="5"/>
        <v>0</v>
      </c>
      <c r="H46" s="868">
        <f t="shared" si="5"/>
        <v>0</v>
      </c>
      <c r="I46" s="868">
        <f t="shared" si="5"/>
        <v>0</v>
      </c>
      <c r="J46" s="868">
        <f t="shared" si="5"/>
        <v>0</v>
      </c>
      <c r="K46" s="867">
        <f t="shared" si="5"/>
        <v>0</v>
      </c>
      <c r="L46" s="868">
        <f t="shared" si="5"/>
        <v>0</v>
      </c>
      <c r="M46" s="868">
        <f t="shared" si="5"/>
        <v>0</v>
      </c>
      <c r="N46" s="868">
        <f t="shared" si="5"/>
        <v>0</v>
      </c>
      <c r="O46" s="867">
        <f t="shared" si="5"/>
        <v>0</v>
      </c>
      <c r="P46" s="868">
        <f t="shared" si="5"/>
        <v>0</v>
      </c>
      <c r="Q46" s="868">
        <f t="shared" si="5"/>
        <v>0</v>
      </c>
      <c r="R46" s="868">
        <f t="shared" si="5"/>
        <v>0</v>
      </c>
      <c r="S46" s="867">
        <f t="shared" si="5"/>
        <v>0</v>
      </c>
      <c r="T46" s="868">
        <f t="shared" si="5"/>
        <v>0</v>
      </c>
      <c r="U46" s="868">
        <f t="shared" si="5"/>
        <v>0</v>
      </c>
      <c r="V46" s="868">
        <f t="shared" si="5"/>
        <v>0</v>
      </c>
      <c r="W46" s="867">
        <f t="shared" si="5"/>
        <v>0</v>
      </c>
      <c r="X46" s="868">
        <f t="shared" si="5"/>
        <v>0</v>
      </c>
      <c r="Y46" s="868">
        <f t="shared" si="5"/>
        <v>0</v>
      </c>
      <c r="Z46" s="868">
        <f t="shared" si="5"/>
        <v>0</v>
      </c>
      <c r="AA46" s="867">
        <f t="shared" si="5"/>
        <v>0</v>
      </c>
      <c r="AB46" s="868">
        <f t="shared" si="5"/>
        <v>0</v>
      </c>
      <c r="AC46" s="868">
        <f t="shared" si="5"/>
        <v>0</v>
      </c>
      <c r="AD46" s="868">
        <f t="shared" si="5"/>
        <v>0</v>
      </c>
      <c r="AE46" s="867">
        <f t="shared" si="5"/>
        <v>0</v>
      </c>
      <c r="AF46" s="868">
        <f t="shared" si="5"/>
        <v>0</v>
      </c>
      <c r="AG46" s="868">
        <f t="shared" si="5"/>
        <v>0</v>
      </c>
      <c r="AH46" s="868">
        <f t="shared" si="5"/>
        <v>0</v>
      </c>
      <c r="AI46" s="867">
        <f t="shared" si="5"/>
        <v>0</v>
      </c>
      <c r="AJ46" s="868">
        <f t="shared" si="5"/>
        <v>0</v>
      </c>
      <c r="AK46" s="868">
        <f t="shared" si="5"/>
        <v>0</v>
      </c>
      <c r="AL46" s="868">
        <f t="shared" si="5"/>
        <v>0</v>
      </c>
      <c r="AM46" s="867">
        <f t="shared" si="5"/>
        <v>0</v>
      </c>
      <c r="AN46" s="868">
        <f t="shared" si="5"/>
        <v>0</v>
      </c>
      <c r="AO46" s="868">
        <f t="shared" si="5"/>
        <v>0</v>
      </c>
      <c r="AP46" s="868">
        <f t="shared" si="5"/>
        <v>0</v>
      </c>
      <c r="AQ46" s="867">
        <f t="shared" si="5"/>
        <v>0</v>
      </c>
      <c r="AR46" s="868">
        <f t="shared" si="5"/>
        <v>0</v>
      </c>
      <c r="AS46" s="868">
        <f t="shared" si="5"/>
        <v>0</v>
      </c>
      <c r="AT46" s="868">
        <f t="shared" si="5"/>
        <v>0</v>
      </c>
    </row>
    <row r="47" spans="1:46" s="77" customFormat="1" ht="18" customHeight="1" outlineLevel="2">
      <c r="A47" s="869" t="str">
        <f>'8.项目规划指标表'!B5</f>
        <v>高层</v>
      </c>
      <c r="B47" s="870">
        <f t="shared" si="2"/>
        <v>0</v>
      </c>
      <c r="C47" s="871">
        <f>'11.销售及回款表'!E297</f>
        <v>0</v>
      </c>
      <c r="D47" s="872">
        <f>'11.销售及回款表'!F297</f>
        <v>0</v>
      </c>
      <c r="E47" s="872">
        <f>'11.销售及回款表'!G297</f>
        <v>0</v>
      </c>
      <c r="F47" s="872">
        <f>'11.销售及回款表'!H297</f>
        <v>0</v>
      </c>
      <c r="G47" s="871">
        <f>'11.销售及回款表'!I297</f>
        <v>0</v>
      </c>
      <c r="H47" s="872">
        <f>'11.销售及回款表'!J297</f>
        <v>0</v>
      </c>
      <c r="I47" s="872">
        <f>'11.销售及回款表'!K297</f>
        <v>0</v>
      </c>
      <c r="J47" s="872">
        <f>'11.销售及回款表'!L297</f>
        <v>0</v>
      </c>
      <c r="K47" s="871">
        <f>'11.销售及回款表'!M297</f>
        <v>0</v>
      </c>
      <c r="L47" s="872">
        <f>'11.销售及回款表'!N297</f>
        <v>0</v>
      </c>
      <c r="M47" s="872">
        <f>'11.销售及回款表'!O297</f>
        <v>0</v>
      </c>
      <c r="N47" s="872">
        <f>'11.销售及回款表'!P297</f>
        <v>0</v>
      </c>
      <c r="O47" s="871">
        <f>'11.销售及回款表'!Q297</f>
        <v>0</v>
      </c>
      <c r="P47" s="872">
        <f>'11.销售及回款表'!R297</f>
        <v>0</v>
      </c>
      <c r="Q47" s="872">
        <f>'11.销售及回款表'!S297</f>
        <v>0</v>
      </c>
      <c r="R47" s="872">
        <f>'11.销售及回款表'!T297</f>
        <v>0</v>
      </c>
      <c r="S47" s="871">
        <f>'11.销售及回款表'!U297</f>
        <v>0</v>
      </c>
      <c r="T47" s="872">
        <f>'11.销售及回款表'!V297</f>
        <v>0</v>
      </c>
      <c r="U47" s="872">
        <f>'11.销售及回款表'!W297</f>
        <v>0</v>
      </c>
      <c r="V47" s="872">
        <f>'11.销售及回款表'!X297</f>
        <v>0</v>
      </c>
      <c r="W47" s="871">
        <f>'11.销售及回款表'!Y297</f>
        <v>0</v>
      </c>
      <c r="X47" s="872">
        <f>'11.销售及回款表'!Z297</f>
        <v>0</v>
      </c>
      <c r="Y47" s="872">
        <f>'11.销售及回款表'!AA297</f>
        <v>0</v>
      </c>
      <c r="Z47" s="872">
        <f>'11.销售及回款表'!AB297</f>
        <v>0</v>
      </c>
      <c r="AA47" s="871">
        <f>'11.销售及回款表'!AC297</f>
        <v>0</v>
      </c>
      <c r="AB47" s="872">
        <f>'11.销售及回款表'!AD297</f>
        <v>0</v>
      </c>
      <c r="AC47" s="872">
        <f>'11.销售及回款表'!AE297</f>
        <v>0</v>
      </c>
      <c r="AD47" s="872">
        <f>'11.销售及回款表'!AF297</f>
        <v>0</v>
      </c>
      <c r="AE47" s="871">
        <f>'11.销售及回款表'!AG297</f>
        <v>0</v>
      </c>
      <c r="AF47" s="872">
        <f>'11.销售及回款表'!AH297</f>
        <v>0</v>
      </c>
      <c r="AG47" s="872">
        <f>'11.销售及回款表'!AI297</f>
        <v>0</v>
      </c>
      <c r="AH47" s="872">
        <f>'11.销售及回款表'!AJ297</f>
        <v>0</v>
      </c>
      <c r="AI47" s="871">
        <f>'11.销售及回款表'!AK297</f>
        <v>0</v>
      </c>
      <c r="AJ47" s="872">
        <f>'11.销售及回款表'!AL297</f>
        <v>0</v>
      </c>
      <c r="AK47" s="872">
        <f>'11.销售及回款表'!AM297</f>
        <v>0</v>
      </c>
      <c r="AL47" s="872">
        <f>'11.销售及回款表'!AN297</f>
        <v>0</v>
      </c>
      <c r="AM47" s="871">
        <f>'11.销售及回款表'!AO297</f>
        <v>0</v>
      </c>
      <c r="AN47" s="872">
        <f>'11.销售及回款表'!AP297</f>
        <v>0</v>
      </c>
      <c r="AO47" s="872">
        <f>'11.销售及回款表'!AQ297</f>
        <v>0</v>
      </c>
      <c r="AP47" s="872">
        <f>'11.销售及回款表'!AR297</f>
        <v>0</v>
      </c>
      <c r="AQ47" s="871">
        <f>'11.销售及回款表'!AS297</f>
        <v>0</v>
      </c>
      <c r="AR47" s="872">
        <f>'11.销售及回款表'!AT297</f>
        <v>0</v>
      </c>
      <c r="AS47" s="872">
        <f>'11.销售及回款表'!AU297</f>
        <v>0</v>
      </c>
      <c r="AT47" s="872">
        <f>'11.销售及回款表'!AV297</f>
        <v>0</v>
      </c>
    </row>
    <row r="48" spans="1:46" s="77" customFormat="1" ht="18" customHeight="1" outlineLevel="2">
      <c r="A48" s="869" t="str">
        <f>'8.项目规划指标表'!B6</f>
        <v>商铺</v>
      </c>
      <c r="B48" s="870">
        <f t="shared" si="2"/>
        <v>0</v>
      </c>
      <c r="C48" s="871">
        <f>'11.销售及回款表'!E302</f>
        <v>0</v>
      </c>
      <c r="D48" s="872">
        <f>'11.销售及回款表'!F302</f>
        <v>0</v>
      </c>
      <c r="E48" s="872">
        <f>'11.销售及回款表'!G302</f>
        <v>0</v>
      </c>
      <c r="F48" s="872">
        <f>'11.销售及回款表'!H302</f>
        <v>0</v>
      </c>
      <c r="G48" s="871">
        <f>'11.销售及回款表'!I302</f>
        <v>0</v>
      </c>
      <c r="H48" s="872">
        <f>'11.销售及回款表'!J302</f>
        <v>0</v>
      </c>
      <c r="I48" s="872">
        <f>'11.销售及回款表'!K302</f>
        <v>0</v>
      </c>
      <c r="J48" s="872">
        <f>'11.销售及回款表'!L302</f>
        <v>0</v>
      </c>
      <c r="K48" s="871">
        <f>'11.销售及回款表'!M302</f>
        <v>0</v>
      </c>
      <c r="L48" s="872">
        <f>'11.销售及回款表'!N302</f>
        <v>0</v>
      </c>
      <c r="M48" s="872">
        <f>'11.销售及回款表'!O302</f>
        <v>0</v>
      </c>
      <c r="N48" s="872">
        <f>'11.销售及回款表'!P302</f>
        <v>0</v>
      </c>
      <c r="O48" s="871">
        <f>'11.销售及回款表'!Q302</f>
        <v>0</v>
      </c>
      <c r="P48" s="872">
        <f>'11.销售及回款表'!R302</f>
        <v>0</v>
      </c>
      <c r="Q48" s="872">
        <f>'11.销售及回款表'!S302</f>
        <v>0</v>
      </c>
      <c r="R48" s="872">
        <f>'11.销售及回款表'!T302</f>
        <v>0</v>
      </c>
      <c r="S48" s="871">
        <f>'11.销售及回款表'!U302</f>
        <v>0</v>
      </c>
      <c r="T48" s="872">
        <f>'11.销售及回款表'!V302</f>
        <v>0</v>
      </c>
      <c r="U48" s="872">
        <f>'11.销售及回款表'!W302</f>
        <v>0</v>
      </c>
      <c r="V48" s="872">
        <f>'11.销售及回款表'!X302</f>
        <v>0</v>
      </c>
      <c r="W48" s="871">
        <f>'11.销售及回款表'!Y302</f>
        <v>0</v>
      </c>
      <c r="X48" s="872">
        <f>'11.销售及回款表'!Z302</f>
        <v>0</v>
      </c>
      <c r="Y48" s="872">
        <f>'11.销售及回款表'!AA302</f>
        <v>0</v>
      </c>
      <c r="Z48" s="872">
        <f>'11.销售及回款表'!AB302</f>
        <v>0</v>
      </c>
      <c r="AA48" s="871">
        <f>'11.销售及回款表'!AC302</f>
        <v>0</v>
      </c>
      <c r="AB48" s="872">
        <f>'11.销售及回款表'!AD302</f>
        <v>0</v>
      </c>
      <c r="AC48" s="872">
        <f>'11.销售及回款表'!AE302</f>
        <v>0</v>
      </c>
      <c r="AD48" s="872">
        <f>'11.销售及回款表'!AF302</f>
        <v>0</v>
      </c>
      <c r="AE48" s="871">
        <f>'11.销售及回款表'!AG302</f>
        <v>0</v>
      </c>
      <c r="AF48" s="872">
        <f>'11.销售及回款表'!AH302</f>
        <v>0</v>
      </c>
      <c r="AG48" s="872">
        <f>'11.销售及回款表'!AI302</f>
        <v>0</v>
      </c>
      <c r="AH48" s="872">
        <f>'11.销售及回款表'!AJ302</f>
        <v>0</v>
      </c>
      <c r="AI48" s="871">
        <f>'11.销售及回款表'!AK302</f>
        <v>0</v>
      </c>
      <c r="AJ48" s="872">
        <f>'11.销售及回款表'!AL302</f>
        <v>0</v>
      </c>
      <c r="AK48" s="872">
        <f>'11.销售及回款表'!AM302</f>
        <v>0</v>
      </c>
      <c r="AL48" s="872">
        <f>'11.销售及回款表'!AN302</f>
        <v>0</v>
      </c>
      <c r="AM48" s="871">
        <f>'11.销售及回款表'!AO302</f>
        <v>0</v>
      </c>
      <c r="AN48" s="872">
        <f>'11.销售及回款表'!AP302</f>
        <v>0</v>
      </c>
      <c r="AO48" s="872">
        <f>'11.销售及回款表'!AQ302</f>
        <v>0</v>
      </c>
      <c r="AP48" s="872">
        <f>'11.销售及回款表'!AR302</f>
        <v>0</v>
      </c>
      <c r="AQ48" s="871">
        <f>'11.销售及回款表'!AS302</f>
        <v>0</v>
      </c>
      <c r="AR48" s="872">
        <f>'11.销售及回款表'!AT302</f>
        <v>0</v>
      </c>
      <c r="AS48" s="872">
        <f>'11.销售及回款表'!AU302</f>
        <v>0</v>
      </c>
      <c r="AT48" s="872">
        <f>'11.销售及回款表'!AV302</f>
        <v>0</v>
      </c>
    </row>
    <row r="49" spans="1:46" s="77" customFormat="1" ht="18" customHeight="1" outlineLevel="2">
      <c r="A49" s="869" t="str">
        <f>'8.项目规划指标表'!B7</f>
        <v>回迁商业</v>
      </c>
      <c r="B49" s="870">
        <f t="shared" si="2"/>
        <v>0</v>
      </c>
      <c r="C49" s="871">
        <f>'11.销售及回款表'!E307</f>
        <v>0</v>
      </c>
      <c r="D49" s="872">
        <f>'11.销售及回款表'!F307</f>
        <v>0</v>
      </c>
      <c r="E49" s="872">
        <f>'11.销售及回款表'!G307</f>
        <v>0</v>
      </c>
      <c r="F49" s="872">
        <f>'11.销售及回款表'!H307</f>
        <v>0</v>
      </c>
      <c r="G49" s="871">
        <f>'11.销售及回款表'!I307</f>
        <v>0</v>
      </c>
      <c r="H49" s="872">
        <f>'11.销售及回款表'!J307</f>
        <v>0</v>
      </c>
      <c r="I49" s="872">
        <f>'11.销售及回款表'!K307</f>
        <v>0</v>
      </c>
      <c r="J49" s="872">
        <f>'11.销售及回款表'!L307</f>
        <v>0</v>
      </c>
      <c r="K49" s="871">
        <f>'11.销售及回款表'!M307</f>
        <v>0</v>
      </c>
      <c r="L49" s="872">
        <f>'11.销售及回款表'!N307</f>
        <v>0</v>
      </c>
      <c r="M49" s="872">
        <f>'11.销售及回款表'!O307</f>
        <v>0</v>
      </c>
      <c r="N49" s="872">
        <f>'11.销售及回款表'!P307</f>
        <v>0</v>
      </c>
      <c r="O49" s="871">
        <f>'11.销售及回款表'!Q307</f>
        <v>0</v>
      </c>
      <c r="P49" s="872">
        <f>'11.销售及回款表'!R307</f>
        <v>0</v>
      </c>
      <c r="Q49" s="872">
        <f>'11.销售及回款表'!S307</f>
        <v>0</v>
      </c>
      <c r="R49" s="872">
        <f>'11.销售及回款表'!T307</f>
        <v>0</v>
      </c>
      <c r="S49" s="871">
        <f>'11.销售及回款表'!U307</f>
        <v>0</v>
      </c>
      <c r="T49" s="872">
        <f>'11.销售及回款表'!V307</f>
        <v>0</v>
      </c>
      <c r="U49" s="872">
        <f>'11.销售及回款表'!W307</f>
        <v>0</v>
      </c>
      <c r="V49" s="872">
        <f>'11.销售及回款表'!X307</f>
        <v>0</v>
      </c>
      <c r="W49" s="871">
        <f>'11.销售及回款表'!Y307</f>
        <v>0</v>
      </c>
      <c r="X49" s="872">
        <f>'11.销售及回款表'!Z307</f>
        <v>0</v>
      </c>
      <c r="Y49" s="872">
        <f>'11.销售及回款表'!AA307</f>
        <v>0</v>
      </c>
      <c r="Z49" s="872">
        <f>'11.销售及回款表'!AB307</f>
        <v>0</v>
      </c>
      <c r="AA49" s="871">
        <f>'11.销售及回款表'!AC307</f>
        <v>0</v>
      </c>
      <c r="AB49" s="872">
        <f>'11.销售及回款表'!AD307</f>
        <v>0</v>
      </c>
      <c r="AC49" s="872">
        <f>'11.销售及回款表'!AE307</f>
        <v>0</v>
      </c>
      <c r="AD49" s="872">
        <f>'11.销售及回款表'!AF307</f>
        <v>0</v>
      </c>
      <c r="AE49" s="871">
        <f>'11.销售及回款表'!AG307</f>
        <v>0</v>
      </c>
      <c r="AF49" s="872">
        <f>'11.销售及回款表'!AH307</f>
        <v>0</v>
      </c>
      <c r="AG49" s="872">
        <f>'11.销售及回款表'!AI307</f>
        <v>0</v>
      </c>
      <c r="AH49" s="872">
        <f>'11.销售及回款表'!AJ307</f>
        <v>0</v>
      </c>
      <c r="AI49" s="871">
        <f>'11.销售及回款表'!AK307</f>
        <v>0</v>
      </c>
      <c r="AJ49" s="872">
        <f>'11.销售及回款表'!AL307</f>
        <v>0</v>
      </c>
      <c r="AK49" s="872">
        <f>'11.销售及回款表'!AM307</f>
        <v>0</v>
      </c>
      <c r="AL49" s="872">
        <f>'11.销售及回款表'!AN307</f>
        <v>0</v>
      </c>
      <c r="AM49" s="871">
        <f>'11.销售及回款表'!AO307</f>
        <v>0</v>
      </c>
      <c r="AN49" s="872">
        <f>'11.销售及回款表'!AP307</f>
        <v>0</v>
      </c>
      <c r="AO49" s="872">
        <f>'11.销售及回款表'!AQ307</f>
        <v>0</v>
      </c>
      <c r="AP49" s="872">
        <f>'11.销售及回款表'!AR307</f>
        <v>0</v>
      </c>
      <c r="AQ49" s="871">
        <f>'11.销售及回款表'!AS307</f>
        <v>0</v>
      </c>
      <c r="AR49" s="872">
        <f>'11.销售及回款表'!AT307</f>
        <v>0</v>
      </c>
      <c r="AS49" s="872">
        <f>'11.销售及回款表'!AU307</f>
        <v>0</v>
      </c>
      <c r="AT49" s="872">
        <f>'11.销售及回款表'!AV307</f>
        <v>0</v>
      </c>
    </row>
    <row r="50" spans="1:46" s="77" customFormat="1" ht="18" customHeight="1" outlineLevel="2">
      <c r="A50" s="869">
        <f>'8.项目规划指标表'!B8</f>
        <v>0</v>
      </c>
      <c r="B50" s="870">
        <f t="shared" si="2"/>
        <v>0</v>
      </c>
      <c r="C50" s="871">
        <f>'11.销售及回款表'!E312</f>
        <v>0</v>
      </c>
      <c r="D50" s="872">
        <f>'11.销售及回款表'!F312</f>
        <v>0</v>
      </c>
      <c r="E50" s="872">
        <f>'11.销售及回款表'!G312</f>
        <v>0</v>
      </c>
      <c r="F50" s="872">
        <f>'11.销售及回款表'!H312</f>
        <v>0</v>
      </c>
      <c r="G50" s="871">
        <f>'11.销售及回款表'!I312</f>
        <v>0</v>
      </c>
      <c r="H50" s="872">
        <f>'11.销售及回款表'!J312</f>
        <v>0</v>
      </c>
      <c r="I50" s="872">
        <f>'11.销售及回款表'!K312</f>
        <v>0</v>
      </c>
      <c r="J50" s="872">
        <f>'11.销售及回款表'!L312</f>
        <v>0</v>
      </c>
      <c r="K50" s="871">
        <f>'11.销售及回款表'!M312</f>
        <v>0</v>
      </c>
      <c r="L50" s="872">
        <f>'11.销售及回款表'!N312</f>
        <v>0</v>
      </c>
      <c r="M50" s="872">
        <f>'11.销售及回款表'!O312</f>
        <v>0</v>
      </c>
      <c r="N50" s="872">
        <f>'11.销售及回款表'!P312</f>
        <v>0</v>
      </c>
      <c r="O50" s="871">
        <f>'11.销售及回款表'!Q312</f>
        <v>0</v>
      </c>
      <c r="P50" s="872">
        <f>'11.销售及回款表'!R312</f>
        <v>0</v>
      </c>
      <c r="Q50" s="872">
        <f>'11.销售及回款表'!S312</f>
        <v>0</v>
      </c>
      <c r="R50" s="872">
        <f>'11.销售及回款表'!T312</f>
        <v>0</v>
      </c>
      <c r="S50" s="871">
        <f>'11.销售及回款表'!U312</f>
        <v>0</v>
      </c>
      <c r="T50" s="872">
        <f>'11.销售及回款表'!V312</f>
        <v>0</v>
      </c>
      <c r="U50" s="872">
        <f>'11.销售及回款表'!W312</f>
        <v>0</v>
      </c>
      <c r="V50" s="872">
        <f>'11.销售及回款表'!X312</f>
        <v>0</v>
      </c>
      <c r="W50" s="871">
        <f>'11.销售及回款表'!Y312</f>
        <v>0</v>
      </c>
      <c r="X50" s="872">
        <f>'11.销售及回款表'!Z312</f>
        <v>0</v>
      </c>
      <c r="Y50" s="872">
        <f>'11.销售及回款表'!AA312</f>
        <v>0</v>
      </c>
      <c r="Z50" s="872">
        <f>'11.销售及回款表'!AB312</f>
        <v>0</v>
      </c>
      <c r="AA50" s="871">
        <f>'11.销售及回款表'!AC312</f>
        <v>0</v>
      </c>
      <c r="AB50" s="872">
        <f>'11.销售及回款表'!AD312</f>
        <v>0</v>
      </c>
      <c r="AC50" s="872">
        <f>'11.销售及回款表'!AE312</f>
        <v>0</v>
      </c>
      <c r="AD50" s="872">
        <f>'11.销售及回款表'!AF312</f>
        <v>0</v>
      </c>
      <c r="AE50" s="871">
        <f>'11.销售及回款表'!AG312</f>
        <v>0</v>
      </c>
      <c r="AF50" s="872">
        <f>'11.销售及回款表'!AH312</f>
        <v>0</v>
      </c>
      <c r="AG50" s="872">
        <f>'11.销售及回款表'!AI312</f>
        <v>0</v>
      </c>
      <c r="AH50" s="872">
        <f>'11.销售及回款表'!AJ312</f>
        <v>0</v>
      </c>
      <c r="AI50" s="871">
        <f>'11.销售及回款表'!AK312</f>
        <v>0</v>
      </c>
      <c r="AJ50" s="872">
        <f>'11.销售及回款表'!AL312</f>
        <v>0</v>
      </c>
      <c r="AK50" s="872">
        <f>'11.销售及回款表'!AM312</f>
        <v>0</v>
      </c>
      <c r="AL50" s="872">
        <f>'11.销售及回款表'!AN312</f>
        <v>0</v>
      </c>
      <c r="AM50" s="871">
        <f>'11.销售及回款表'!AO312</f>
        <v>0</v>
      </c>
      <c r="AN50" s="872">
        <f>'11.销售及回款表'!AP312</f>
        <v>0</v>
      </c>
      <c r="AO50" s="872">
        <f>'11.销售及回款表'!AQ312</f>
        <v>0</v>
      </c>
      <c r="AP50" s="872">
        <f>'11.销售及回款表'!AR312</f>
        <v>0</v>
      </c>
      <c r="AQ50" s="871">
        <f>'11.销售及回款表'!AS312</f>
        <v>0</v>
      </c>
      <c r="AR50" s="872">
        <f>'11.销售及回款表'!AT312</f>
        <v>0</v>
      </c>
      <c r="AS50" s="872">
        <f>'11.销售及回款表'!AU312</f>
        <v>0</v>
      </c>
      <c r="AT50" s="872">
        <f>'11.销售及回款表'!AV312</f>
        <v>0</v>
      </c>
    </row>
    <row r="51" spans="1:46" s="77" customFormat="1" ht="18" customHeight="1" outlineLevel="2">
      <c r="A51" s="869">
        <f>'8.项目规划指标表'!B9</f>
        <v>0</v>
      </c>
      <c r="B51" s="870">
        <f t="shared" si="2"/>
        <v>0</v>
      </c>
      <c r="C51" s="871">
        <f>'11.销售及回款表'!E317</f>
        <v>0</v>
      </c>
      <c r="D51" s="872">
        <f>'11.销售及回款表'!F317</f>
        <v>0</v>
      </c>
      <c r="E51" s="872">
        <f>'11.销售及回款表'!G317</f>
        <v>0</v>
      </c>
      <c r="F51" s="872">
        <f>'11.销售及回款表'!H317</f>
        <v>0</v>
      </c>
      <c r="G51" s="871">
        <f>'11.销售及回款表'!I317</f>
        <v>0</v>
      </c>
      <c r="H51" s="872">
        <f>'11.销售及回款表'!J317</f>
        <v>0</v>
      </c>
      <c r="I51" s="872">
        <f>'11.销售及回款表'!K317</f>
        <v>0</v>
      </c>
      <c r="J51" s="872">
        <f>'11.销售及回款表'!L317</f>
        <v>0</v>
      </c>
      <c r="K51" s="871">
        <f>'11.销售及回款表'!M317</f>
        <v>0</v>
      </c>
      <c r="L51" s="872">
        <f>'11.销售及回款表'!N317</f>
        <v>0</v>
      </c>
      <c r="M51" s="872">
        <f>'11.销售及回款表'!O317</f>
        <v>0</v>
      </c>
      <c r="N51" s="872">
        <f>'11.销售及回款表'!P317</f>
        <v>0</v>
      </c>
      <c r="O51" s="871">
        <f>'11.销售及回款表'!Q317</f>
        <v>0</v>
      </c>
      <c r="P51" s="872">
        <f>'11.销售及回款表'!R317</f>
        <v>0</v>
      </c>
      <c r="Q51" s="872">
        <f>'11.销售及回款表'!S317</f>
        <v>0</v>
      </c>
      <c r="R51" s="872">
        <f>'11.销售及回款表'!T317</f>
        <v>0</v>
      </c>
      <c r="S51" s="871">
        <f>'11.销售及回款表'!U317</f>
        <v>0</v>
      </c>
      <c r="T51" s="872">
        <f>'11.销售及回款表'!V317</f>
        <v>0</v>
      </c>
      <c r="U51" s="872">
        <f>'11.销售及回款表'!W317</f>
        <v>0</v>
      </c>
      <c r="V51" s="872">
        <f>'11.销售及回款表'!X317</f>
        <v>0</v>
      </c>
      <c r="W51" s="871">
        <f>'11.销售及回款表'!Y317</f>
        <v>0</v>
      </c>
      <c r="X51" s="872">
        <f>'11.销售及回款表'!Z317</f>
        <v>0</v>
      </c>
      <c r="Y51" s="872">
        <f>'11.销售及回款表'!AA317</f>
        <v>0</v>
      </c>
      <c r="Z51" s="872">
        <f>'11.销售及回款表'!AB317</f>
        <v>0</v>
      </c>
      <c r="AA51" s="871">
        <f>'11.销售及回款表'!AC317</f>
        <v>0</v>
      </c>
      <c r="AB51" s="872">
        <f>'11.销售及回款表'!AD317</f>
        <v>0</v>
      </c>
      <c r="AC51" s="872">
        <f>'11.销售及回款表'!AE317</f>
        <v>0</v>
      </c>
      <c r="AD51" s="872">
        <f>'11.销售及回款表'!AF317</f>
        <v>0</v>
      </c>
      <c r="AE51" s="871">
        <f>'11.销售及回款表'!AG317</f>
        <v>0</v>
      </c>
      <c r="AF51" s="872">
        <f>'11.销售及回款表'!AH317</f>
        <v>0</v>
      </c>
      <c r="AG51" s="872">
        <f>'11.销售及回款表'!AI317</f>
        <v>0</v>
      </c>
      <c r="AH51" s="872">
        <f>'11.销售及回款表'!AJ317</f>
        <v>0</v>
      </c>
      <c r="AI51" s="871">
        <f>'11.销售及回款表'!AK317</f>
        <v>0</v>
      </c>
      <c r="AJ51" s="872">
        <f>'11.销售及回款表'!AL317</f>
        <v>0</v>
      </c>
      <c r="AK51" s="872">
        <f>'11.销售及回款表'!AM317</f>
        <v>0</v>
      </c>
      <c r="AL51" s="872">
        <f>'11.销售及回款表'!AN317</f>
        <v>0</v>
      </c>
      <c r="AM51" s="871">
        <f>'11.销售及回款表'!AO317</f>
        <v>0</v>
      </c>
      <c r="AN51" s="872">
        <f>'11.销售及回款表'!AP317</f>
        <v>0</v>
      </c>
      <c r="AO51" s="872">
        <f>'11.销售及回款表'!AQ317</f>
        <v>0</v>
      </c>
      <c r="AP51" s="872">
        <f>'11.销售及回款表'!AR317</f>
        <v>0</v>
      </c>
      <c r="AQ51" s="871">
        <f>'11.销售及回款表'!AS317</f>
        <v>0</v>
      </c>
      <c r="AR51" s="872">
        <f>'11.销售及回款表'!AT317</f>
        <v>0</v>
      </c>
      <c r="AS51" s="872">
        <f>'11.销售及回款表'!AU317</f>
        <v>0</v>
      </c>
      <c r="AT51" s="872">
        <f>'11.销售及回款表'!AV317</f>
        <v>0</v>
      </c>
    </row>
    <row r="52" spans="1:46" s="77" customFormat="1" ht="18" customHeight="1" outlineLevel="2">
      <c r="A52" s="869">
        <f>'8.项目规划指标表'!B10</f>
        <v>0</v>
      </c>
      <c r="B52" s="870">
        <f t="shared" si="2"/>
        <v>0</v>
      </c>
      <c r="C52" s="871">
        <f>'11.销售及回款表'!E322</f>
        <v>0</v>
      </c>
      <c r="D52" s="872">
        <f>'11.销售及回款表'!F322</f>
        <v>0</v>
      </c>
      <c r="E52" s="872">
        <f>'11.销售及回款表'!G322</f>
        <v>0</v>
      </c>
      <c r="F52" s="872">
        <f>'11.销售及回款表'!H322</f>
        <v>0</v>
      </c>
      <c r="G52" s="871">
        <f>'11.销售及回款表'!I322</f>
        <v>0</v>
      </c>
      <c r="H52" s="872">
        <f>'11.销售及回款表'!J322</f>
        <v>0</v>
      </c>
      <c r="I52" s="872">
        <f>'11.销售及回款表'!K322</f>
        <v>0</v>
      </c>
      <c r="J52" s="872">
        <f>'11.销售及回款表'!L322</f>
        <v>0</v>
      </c>
      <c r="K52" s="871">
        <f>'11.销售及回款表'!M322</f>
        <v>0</v>
      </c>
      <c r="L52" s="872">
        <f>'11.销售及回款表'!N322</f>
        <v>0</v>
      </c>
      <c r="M52" s="872">
        <f>'11.销售及回款表'!O322</f>
        <v>0</v>
      </c>
      <c r="N52" s="872">
        <f>'11.销售及回款表'!P322</f>
        <v>0</v>
      </c>
      <c r="O52" s="871">
        <f>'11.销售及回款表'!Q322</f>
        <v>0</v>
      </c>
      <c r="P52" s="872">
        <f>'11.销售及回款表'!R322</f>
        <v>0</v>
      </c>
      <c r="Q52" s="872">
        <f>'11.销售及回款表'!S322</f>
        <v>0</v>
      </c>
      <c r="R52" s="872">
        <f>'11.销售及回款表'!T322</f>
        <v>0</v>
      </c>
      <c r="S52" s="871">
        <f>'11.销售及回款表'!U322</f>
        <v>0</v>
      </c>
      <c r="T52" s="872">
        <f>'11.销售及回款表'!V322</f>
        <v>0</v>
      </c>
      <c r="U52" s="872">
        <f>'11.销售及回款表'!W322</f>
        <v>0</v>
      </c>
      <c r="V52" s="872">
        <f>'11.销售及回款表'!X322</f>
        <v>0</v>
      </c>
      <c r="W52" s="871">
        <f>'11.销售及回款表'!Y322</f>
        <v>0</v>
      </c>
      <c r="X52" s="872">
        <f>'11.销售及回款表'!Z322</f>
        <v>0</v>
      </c>
      <c r="Y52" s="872">
        <f>'11.销售及回款表'!AA322</f>
        <v>0</v>
      </c>
      <c r="Z52" s="872">
        <f>'11.销售及回款表'!AB322</f>
        <v>0</v>
      </c>
      <c r="AA52" s="871">
        <f>'11.销售及回款表'!AC322</f>
        <v>0</v>
      </c>
      <c r="AB52" s="872">
        <f>'11.销售及回款表'!AD322</f>
        <v>0</v>
      </c>
      <c r="AC52" s="872">
        <f>'11.销售及回款表'!AE322</f>
        <v>0</v>
      </c>
      <c r="AD52" s="872">
        <f>'11.销售及回款表'!AF322</f>
        <v>0</v>
      </c>
      <c r="AE52" s="871">
        <f>'11.销售及回款表'!AG322</f>
        <v>0</v>
      </c>
      <c r="AF52" s="872">
        <f>'11.销售及回款表'!AH322</f>
        <v>0</v>
      </c>
      <c r="AG52" s="872">
        <f>'11.销售及回款表'!AI322</f>
        <v>0</v>
      </c>
      <c r="AH52" s="872">
        <f>'11.销售及回款表'!AJ322</f>
        <v>0</v>
      </c>
      <c r="AI52" s="871">
        <f>'11.销售及回款表'!AK322</f>
        <v>0</v>
      </c>
      <c r="AJ52" s="872">
        <f>'11.销售及回款表'!AL322</f>
        <v>0</v>
      </c>
      <c r="AK52" s="872">
        <f>'11.销售及回款表'!AM322</f>
        <v>0</v>
      </c>
      <c r="AL52" s="872">
        <f>'11.销售及回款表'!AN322</f>
        <v>0</v>
      </c>
      <c r="AM52" s="871">
        <f>'11.销售及回款表'!AO322</f>
        <v>0</v>
      </c>
      <c r="AN52" s="872">
        <f>'11.销售及回款表'!AP322</f>
        <v>0</v>
      </c>
      <c r="AO52" s="872">
        <f>'11.销售及回款表'!AQ322</f>
        <v>0</v>
      </c>
      <c r="AP52" s="872">
        <f>'11.销售及回款表'!AR322</f>
        <v>0</v>
      </c>
      <c r="AQ52" s="871">
        <f>'11.销售及回款表'!AS322</f>
        <v>0</v>
      </c>
      <c r="AR52" s="872">
        <f>'11.销售及回款表'!AT322</f>
        <v>0</v>
      </c>
      <c r="AS52" s="872">
        <f>'11.销售及回款表'!AU322</f>
        <v>0</v>
      </c>
      <c r="AT52" s="872">
        <f>'11.销售及回款表'!AV322</f>
        <v>0</v>
      </c>
    </row>
    <row r="53" spans="1:46" s="77" customFormat="1" ht="18" customHeight="1" outlineLevel="2">
      <c r="A53" s="869">
        <f>'8.项目规划指标表'!B11</f>
        <v>0</v>
      </c>
      <c r="B53" s="870">
        <f t="shared" si="2"/>
        <v>0</v>
      </c>
      <c r="C53" s="871">
        <f>'11.销售及回款表'!E327</f>
        <v>0</v>
      </c>
      <c r="D53" s="872">
        <f>'11.销售及回款表'!F327</f>
        <v>0</v>
      </c>
      <c r="E53" s="872">
        <f>'11.销售及回款表'!G327</f>
        <v>0</v>
      </c>
      <c r="F53" s="872">
        <f>'11.销售及回款表'!H327</f>
        <v>0</v>
      </c>
      <c r="G53" s="871">
        <f>'11.销售及回款表'!I327</f>
        <v>0</v>
      </c>
      <c r="H53" s="872">
        <f>'11.销售及回款表'!J327</f>
        <v>0</v>
      </c>
      <c r="I53" s="872">
        <f>'11.销售及回款表'!K327</f>
        <v>0</v>
      </c>
      <c r="J53" s="872">
        <f>'11.销售及回款表'!L327</f>
        <v>0</v>
      </c>
      <c r="K53" s="871">
        <f>'11.销售及回款表'!M327</f>
        <v>0</v>
      </c>
      <c r="L53" s="872">
        <f>'11.销售及回款表'!N327</f>
        <v>0</v>
      </c>
      <c r="M53" s="872">
        <f>'11.销售及回款表'!O327</f>
        <v>0</v>
      </c>
      <c r="N53" s="872">
        <f>'11.销售及回款表'!P327</f>
        <v>0</v>
      </c>
      <c r="O53" s="871">
        <f>'11.销售及回款表'!Q327</f>
        <v>0</v>
      </c>
      <c r="P53" s="872">
        <f>'11.销售及回款表'!R327</f>
        <v>0</v>
      </c>
      <c r="Q53" s="872">
        <f>'11.销售及回款表'!S327</f>
        <v>0</v>
      </c>
      <c r="R53" s="872">
        <f>'11.销售及回款表'!T327</f>
        <v>0</v>
      </c>
      <c r="S53" s="871">
        <f>'11.销售及回款表'!U327</f>
        <v>0</v>
      </c>
      <c r="T53" s="872">
        <f>'11.销售及回款表'!V327</f>
        <v>0</v>
      </c>
      <c r="U53" s="872">
        <f>'11.销售及回款表'!W327</f>
        <v>0</v>
      </c>
      <c r="V53" s="872">
        <f>'11.销售及回款表'!X327</f>
        <v>0</v>
      </c>
      <c r="W53" s="871">
        <f>'11.销售及回款表'!Y327</f>
        <v>0</v>
      </c>
      <c r="X53" s="872">
        <f>'11.销售及回款表'!Z327</f>
        <v>0</v>
      </c>
      <c r="Y53" s="872">
        <f>'11.销售及回款表'!AA327</f>
        <v>0</v>
      </c>
      <c r="Z53" s="872">
        <f>'11.销售及回款表'!AB327</f>
        <v>0</v>
      </c>
      <c r="AA53" s="871">
        <f>'11.销售及回款表'!AC327</f>
        <v>0</v>
      </c>
      <c r="AB53" s="872">
        <f>'11.销售及回款表'!AD327</f>
        <v>0</v>
      </c>
      <c r="AC53" s="872">
        <f>'11.销售及回款表'!AE327</f>
        <v>0</v>
      </c>
      <c r="AD53" s="872">
        <f>'11.销售及回款表'!AF327</f>
        <v>0</v>
      </c>
      <c r="AE53" s="871">
        <f>'11.销售及回款表'!AG327</f>
        <v>0</v>
      </c>
      <c r="AF53" s="872">
        <f>'11.销售及回款表'!AH327</f>
        <v>0</v>
      </c>
      <c r="AG53" s="872">
        <f>'11.销售及回款表'!AI327</f>
        <v>0</v>
      </c>
      <c r="AH53" s="872">
        <f>'11.销售及回款表'!AJ327</f>
        <v>0</v>
      </c>
      <c r="AI53" s="871">
        <f>'11.销售及回款表'!AK327</f>
        <v>0</v>
      </c>
      <c r="AJ53" s="872">
        <f>'11.销售及回款表'!AL327</f>
        <v>0</v>
      </c>
      <c r="AK53" s="872">
        <f>'11.销售及回款表'!AM327</f>
        <v>0</v>
      </c>
      <c r="AL53" s="872">
        <f>'11.销售及回款表'!AN327</f>
        <v>0</v>
      </c>
      <c r="AM53" s="871">
        <f>'11.销售及回款表'!AO327</f>
        <v>0</v>
      </c>
      <c r="AN53" s="872">
        <f>'11.销售及回款表'!AP327</f>
        <v>0</v>
      </c>
      <c r="AO53" s="872">
        <f>'11.销售及回款表'!AQ327</f>
        <v>0</v>
      </c>
      <c r="AP53" s="872">
        <f>'11.销售及回款表'!AR327</f>
        <v>0</v>
      </c>
      <c r="AQ53" s="871">
        <f>'11.销售及回款表'!AS327</f>
        <v>0</v>
      </c>
      <c r="AR53" s="872">
        <f>'11.销售及回款表'!AT327</f>
        <v>0</v>
      </c>
      <c r="AS53" s="872">
        <f>'11.销售及回款表'!AU327</f>
        <v>0</v>
      </c>
      <c r="AT53" s="872">
        <f>'11.销售及回款表'!AV327</f>
        <v>0</v>
      </c>
    </row>
    <row r="54" spans="1:46" s="77" customFormat="1" ht="18" customHeight="1" outlineLevel="2">
      <c r="A54" s="869">
        <f>'8.项目规划指标表'!B12</f>
        <v>0</v>
      </c>
      <c r="B54" s="870">
        <f t="shared" si="2"/>
        <v>0</v>
      </c>
      <c r="C54" s="871">
        <f>'11.销售及回款表'!E332</f>
        <v>0</v>
      </c>
      <c r="D54" s="872">
        <f>'11.销售及回款表'!F332</f>
        <v>0</v>
      </c>
      <c r="E54" s="872">
        <f>'11.销售及回款表'!G332</f>
        <v>0</v>
      </c>
      <c r="F54" s="872">
        <f>'11.销售及回款表'!H332</f>
        <v>0</v>
      </c>
      <c r="G54" s="871">
        <f>'11.销售及回款表'!I332</f>
        <v>0</v>
      </c>
      <c r="H54" s="872">
        <f>'11.销售及回款表'!J332</f>
        <v>0</v>
      </c>
      <c r="I54" s="872">
        <f>'11.销售及回款表'!K332</f>
        <v>0</v>
      </c>
      <c r="J54" s="872">
        <f>'11.销售及回款表'!L332</f>
        <v>0</v>
      </c>
      <c r="K54" s="871">
        <f>'11.销售及回款表'!M332</f>
        <v>0</v>
      </c>
      <c r="L54" s="872">
        <f>'11.销售及回款表'!N332</f>
        <v>0</v>
      </c>
      <c r="M54" s="872">
        <f>'11.销售及回款表'!O332</f>
        <v>0</v>
      </c>
      <c r="N54" s="872">
        <f>'11.销售及回款表'!P332</f>
        <v>0</v>
      </c>
      <c r="O54" s="871">
        <f>'11.销售及回款表'!Q332</f>
        <v>0</v>
      </c>
      <c r="P54" s="872">
        <f>'11.销售及回款表'!R332</f>
        <v>0</v>
      </c>
      <c r="Q54" s="872">
        <f>'11.销售及回款表'!S332</f>
        <v>0</v>
      </c>
      <c r="R54" s="872">
        <f>'11.销售及回款表'!T332</f>
        <v>0</v>
      </c>
      <c r="S54" s="871">
        <f>'11.销售及回款表'!U332</f>
        <v>0</v>
      </c>
      <c r="T54" s="872">
        <f>'11.销售及回款表'!V332</f>
        <v>0</v>
      </c>
      <c r="U54" s="872">
        <f>'11.销售及回款表'!W332</f>
        <v>0</v>
      </c>
      <c r="V54" s="872">
        <f>'11.销售及回款表'!X332</f>
        <v>0</v>
      </c>
      <c r="W54" s="871">
        <f>'11.销售及回款表'!Y332</f>
        <v>0</v>
      </c>
      <c r="X54" s="872">
        <f>'11.销售及回款表'!Z332</f>
        <v>0</v>
      </c>
      <c r="Y54" s="872">
        <f>'11.销售及回款表'!AA332</f>
        <v>0</v>
      </c>
      <c r="Z54" s="872">
        <f>'11.销售及回款表'!AB332</f>
        <v>0</v>
      </c>
      <c r="AA54" s="871">
        <f>'11.销售及回款表'!AC332</f>
        <v>0</v>
      </c>
      <c r="AB54" s="872">
        <f>'11.销售及回款表'!AD332</f>
        <v>0</v>
      </c>
      <c r="AC54" s="872">
        <f>'11.销售及回款表'!AE332</f>
        <v>0</v>
      </c>
      <c r="AD54" s="872">
        <f>'11.销售及回款表'!AF332</f>
        <v>0</v>
      </c>
      <c r="AE54" s="871">
        <f>'11.销售及回款表'!AG332</f>
        <v>0</v>
      </c>
      <c r="AF54" s="872">
        <f>'11.销售及回款表'!AH332</f>
        <v>0</v>
      </c>
      <c r="AG54" s="872">
        <f>'11.销售及回款表'!AI332</f>
        <v>0</v>
      </c>
      <c r="AH54" s="872">
        <f>'11.销售及回款表'!AJ332</f>
        <v>0</v>
      </c>
      <c r="AI54" s="871">
        <f>'11.销售及回款表'!AK332</f>
        <v>0</v>
      </c>
      <c r="AJ54" s="872">
        <f>'11.销售及回款表'!AL332</f>
        <v>0</v>
      </c>
      <c r="AK54" s="872">
        <f>'11.销售及回款表'!AM332</f>
        <v>0</v>
      </c>
      <c r="AL54" s="872">
        <f>'11.销售及回款表'!AN332</f>
        <v>0</v>
      </c>
      <c r="AM54" s="871">
        <f>'11.销售及回款表'!AO332</f>
        <v>0</v>
      </c>
      <c r="AN54" s="872">
        <f>'11.销售及回款表'!AP332</f>
        <v>0</v>
      </c>
      <c r="AO54" s="872">
        <f>'11.销售及回款表'!AQ332</f>
        <v>0</v>
      </c>
      <c r="AP54" s="872">
        <f>'11.销售及回款表'!AR332</f>
        <v>0</v>
      </c>
      <c r="AQ54" s="871">
        <f>'11.销售及回款表'!AS332</f>
        <v>0</v>
      </c>
      <c r="AR54" s="872">
        <f>'11.销售及回款表'!AT332</f>
        <v>0</v>
      </c>
      <c r="AS54" s="872">
        <f>'11.销售及回款表'!AU332</f>
        <v>0</v>
      </c>
      <c r="AT54" s="872">
        <f>'11.销售及回款表'!AV332</f>
        <v>0</v>
      </c>
    </row>
    <row r="55" spans="1:46" s="77" customFormat="1" ht="18" customHeight="1" outlineLevel="2">
      <c r="A55" s="869">
        <f>'8.项目规划指标表'!B13</f>
        <v>0</v>
      </c>
      <c r="B55" s="870">
        <f t="shared" si="2"/>
        <v>0</v>
      </c>
      <c r="C55" s="871">
        <f>'11.销售及回款表'!E337</f>
        <v>0</v>
      </c>
      <c r="D55" s="872">
        <f>'11.销售及回款表'!F337</f>
        <v>0</v>
      </c>
      <c r="E55" s="872">
        <f>'11.销售及回款表'!G337</f>
        <v>0</v>
      </c>
      <c r="F55" s="872">
        <f>'11.销售及回款表'!H337</f>
        <v>0</v>
      </c>
      <c r="G55" s="871">
        <f>'11.销售及回款表'!I337</f>
        <v>0</v>
      </c>
      <c r="H55" s="872">
        <f>'11.销售及回款表'!J337</f>
        <v>0</v>
      </c>
      <c r="I55" s="872">
        <f>'11.销售及回款表'!K337</f>
        <v>0</v>
      </c>
      <c r="J55" s="872">
        <f>'11.销售及回款表'!L337</f>
        <v>0</v>
      </c>
      <c r="K55" s="871">
        <f>'11.销售及回款表'!M337</f>
        <v>0</v>
      </c>
      <c r="L55" s="872">
        <f>'11.销售及回款表'!N337</f>
        <v>0</v>
      </c>
      <c r="M55" s="872">
        <f>'11.销售及回款表'!O337</f>
        <v>0</v>
      </c>
      <c r="N55" s="872">
        <f>'11.销售及回款表'!P337</f>
        <v>0</v>
      </c>
      <c r="O55" s="871">
        <f>'11.销售及回款表'!Q337</f>
        <v>0</v>
      </c>
      <c r="P55" s="872">
        <f>'11.销售及回款表'!R337</f>
        <v>0</v>
      </c>
      <c r="Q55" s="872">
        <f>'11.销售及回款表'!S337</f>
        <v>0</v>
      </c>
      <c r="R55" s="872">
        <f>'11.销售及回款表'!T337</f>
        <v>0</v>
      </c>
      <c r="S55" s="871">
        <f>'11.销售及回款表'!U337</f>
        <v>0</v>
      </c>
      <c r="T55" s="872">
        <f>'11.销售及回款表'!V337</f>
        <v>0</v>
      </c>
      <c r="U55" s="872">
        <f>'11.销售及回款表'!W337</f>
        <v>0</v>
      </c>
      <c r="V55" s="872">
        <f>'11.销售及回款表'!X337</f>
        <v>0</v>
      </c>
      <c r="W55" s="871">
        <f>'11.销售及回款表'!Y337</f>
        <v>0</v>
      </c>
      <c r="X55" s="872">
        <f>'11.销售及回款表'!Z337</f>
        <v>0</v>
      </c>
      <c r="Y55" s="872">
        <f>'11.销售及回款表'!AA337</f>
        <v>0</v>
      </c>
      <c r="Z55" s="872">
        <f>'11.销售及回款表'!AB337</f>
        <v>0</v>
      </c>
      <c r="AA55" s="871">
        <f>'11.销售及回款表'!AC337</f>
        <v>0</v>
      </c>
      <c r="AB55" s="872">
        <f>'11.销售及回款表'!AD337</f>
        <v>0</v>
      </c>
      <c r="AC55" s="872">
        <f>'11.销售及回款表'!AE337</f>
        <v>0</v>
      </c>
      <c r="AD55" s="872">
        <f>'11.销售及回款表'!AF337</f>
        <v>0</v>
      </c>
      <c r="AE55" s="871">
        <f>'11.销售及回款表'!AG337</f>
        <v>0</v>
      </c>
      <c r="AF55" s="872">
        <f>'11.销售及回款表'!AH337</f>
        <v>0</v>
      </c>
      <c r="AG55" s="872">
        <f>'11.销售及回款表'!AI337</f>
        <v>0</v>
      </c>
      <c r="AH55" s="872">
        <f>'11.销售及回款表'!AJ337</f>
        <v>0</v>
      </c>
      <c r="AI55" s="871">
        <f>'11.销售及回款表'!AK337</f>
        <v>0</v>
      </c>
      <c r="AJ55" s="872">
        <f>'11.销售及回款表'!AL337</f>
        <v>0</v>
      </c>
      <c r="AK55" s="872">
        <f>'11.销售及回款表'!AM337</f>
        <v>0</v>
      </c>
      <c r="AL55" s="872">
        <f>'11.销售及回款表'!AN337</f>
        <v>0</v>
      </c>
      <c r="AM55" s="871">
        <f>'11.销售及回款表'!AO337</f>
        <v>0</v>
      </c>
      <c r="AN55" s="872">
        <f>'11.销售及回款表'!AP337</f>
        <v>0</v>
      </c>
      <c r="AO55" s="872">
        <f>'11.销售及回款表'!AQ337</f>
        <v>0</v>
      </c>
      <c r="AP55" s="872">
        <f>'11.销售及回款表'!AR337</f>
        <v>0</v>
      </c>
      <c r="AQ55" s="871">
        <f>'11.销售及回款表'!AS337</f>
        <v>0</v>
      </c>
      <c r="AR55" s="872">
        <f>'11.销售及回款表'!AT337</f>
        <v>0</v>
      </c>
      <c r="AS55" s="872">
        <f>'11.销售及回款表'!AU337</f>
        <v>0</v>
      </c>
      <c r="AT55" s="872">
        <f>'11.销售及回款表'!AV337</f>
        <v>0</v>
      </c>
    </row>
    <row r="56" spans="1:46" s="77" customFormat="1" ht="18" customHeight="1" outlineLevel="2">
      <c r="A56" s="869" t="str">
        <f>'8.项目规划指标表'!B14</f>
        <v>自持物业</v>
      </c>
      <c r="B56" s="870">
        <f t="shared" si="2"/>
        <v>0</v>
      </c>
      <c r="C56" s="871">
        <f>'11.销售及回款表'!E342</f>
        <v>0</v>
      </c>
      <c r="D56" s="872">
        <f>'11.销售及回款表'!F342</f>
        <v>0</v>
      </c>
      <c r="E56" s="872">
        <f>'11.销售及回款表'!G342</f>
        <v>0</v>
      </c>
      <c r="F56" s="872">
        <f>'11.销售及回款表'!H342</f>
        <v>0</v>
      </c>
      <c r="G56" s="871">
        <f>'11.销售及回款表'!I342</f>
        <v>0</v>
      </c>
      <c r="H56" s="872">
        <f>'11.销售及回款表'!J342</f>
        <v>0</v>
      </c>
      <c r="I56" s="872">
        <f>'11.销售及回款表'!K342</f>
        <v>0</v>
      </c>
      <c r="J56" s="872">
        <f>'11.销售及回款表'!L342</f>
        <v>0</v>
      </c>
      <c r="K56" s="871">
        <f>'11.销售及回款表'!M342</f>
        <v>0</v>
      </c>
      <c r="L56" s="872">
        <f>'11.销售及回款表'!N342</f>
        <v>0</v>
      </c>
      <c r="M56" s="872">
        <f>'11.销售及回款表'!O342</f>
        <v>0</v>
      </c>
      <c r="N56" s="872">
        <f>'11.销售及回款表'!P342</f>
        <v>0</v>
      </c>
      <c r="O56" s="871">
        <f>'11.销售及回款表'!Q342</f>
        <v>0</v>
      </c>
      <c r="P56" s="872">
        <f>'11.销售及回款表'!R342</f>
        <v>0</v>
      </c>
      <c r="Q56" s="872">
        <f>'11.销售及回款表'!S342</f>
        <v>0</v>
      </c>
      <c r="R56" s="872">
        <f>'11.销售及回款表'!T342</f>
        <v>0</v>
      </c>
      <c r="S56" s="871">
        <f>'11.销售及回款表'!U342</f>
        <v>0</v>
      </c>
      <c r="T56" s="872">
        <f>'11.销售及回款表'!V342</f>
        <v>0</v>
      </c>
      <c r="U56" s="872">
        <f>'11.销售及回款表'!W342</f>
        <v>0</v>
      </c>
      <c r="V56" s="872">
        <f>'11.销售及回款表'!X342</f>
        <v>0</v>
      </c>
      <c r="W56" s="871">
        <f>'11.销售及回款表'!Y342</f>
        <v>0</v>
      </c>
      <c r="X56" s="872">
        <f>'11.销售及回款表'!Z342</f>
        <v>0</v>
      </c>
      <c r="Y56" s="872">
        <f>'11.销售及回款表'!AA342</f>
        <v>0</v>
      </c>
      <c r="Z56" s="872">
        <f>'11.销售及回款表'!AB342</f>
        <v>0</v>
      </c>
      <c r="AA56" s="871">
        <f>'11.销售及回款表'!AC342</f>
        <v>0</v>
      </c>
      <c r="AB56" s="872">
        <f>'11.销售及回款表'!AD342</f>
        <v>0</v>
      </c>
      <c r="AC56" s="872">
        <f>'11.销售及回款表'!AE342</f>
        <v>0</v>
      </c>
      <c r="AD56" s="872">
        <f>'11.销售及回款表'!AF342</f>
        <v>0</v>
      </c>
      <c r="AE56" s="871">
        <f>'11.销售及回款表'!AG342</f>
        <v>0</v>
      </c>
      <c r="AF56" s="872">
        <f>'11.销售及回款表'!AH342</f>
        <v>0</v>
      </c>
      <c r="AG56" s="872">
        <f>'11.销售及回款表'!AI342</f>
        <v>0</v>
      </c>
      <c r="AH56" s="872">
        <f>'11.销售及回款表'!AJ342</f>
        <v>0</v>
      </c>
      <c r="AI56" s="871">
        <f>'11.销售及回款表'!AK342</f>
        <v>0</v>
      </c>
      <c r="AJ56" s="872">
        <f>'11.销售及回款表'!AL342</f>
        <v>0</v>
      </c>
      <c r="AK56" s="872">
        <f>'11.销售及回款表'!AM342</f>
        <v>0</v>
      </c>
      <c r="AL56" s="872">
        <f>'11.销售及回款表'!AN342</f>
        <v>0</v>
      </c>
      <c r="AM56" s="871">
        <f>'11.销售及回款表'!AO342</f>
        <v>0</v>
      </c>
      <c r="AN56" s="872">
        <f>'11.销售及回款表'!AP342</f>
        <v>0</v>
      </c>
      <c r="AO56" s="872">
        <f>'11.销售及回款表'!AQ342</f>
        <v>0</v>
      </c>
      <c r="AP56" s="872">
        <f>'11.销售及回款表'!AR342</f>
        <v>0</v>
      </c>
      <c r="AQ56" s="871">
        <f>'11.销售及回款表'!AS342</f>
        <v>0</v>
      </c>
      <c r="AR56" s="872">
        <f>'11.销售及回款表'!AT342</f>
        <v>0</v>
      </c>
      <c r="AS56" s="872">
        <f>'11.销售及回款表'!AU342</f>
        <v>0</v>
      </c>
      <c r="AT56" s="872">
        <f>'11.销售及回款表'!AV342</f>
        <v>0</v>
      </c>
    </row>
    <row r="57" spans="1:46" s="77" customFormat="1" ht="18" customHeight="1" outlineLevel="2">
      <c r="A57" s="869" t="str">
        <f>'8.项目规划指标表'!B18</f>
        <v>有产权车库(个)</v>
      </c>
      <c r="B57" s="870">
        <f t="shared" si="2"/>
        <v>0</v>
      </c>
      <c r="C57" s="871">
        <f>'11.销售及回款表'!E347</f>
        <v>0</v>
      </c>
      <c r="D57" s="872">
        <f>'11.销售及回款表'!F347</f>
        <v>0</v>
      </c>
      <c r="E57" s="872">
        <f>'11.销售及回款表'!G347</f>
        <v>0</v>
      </c>
      <c r="F57" s="872">
        <f>'11.销售及回款表'!H347</f>
        <v>0</v>
      </c>
      <c r="G57" s="871">
        <f>'11.销售及回款表'!I347</f>
        <v>0</v>
      </c>
      <c r="H57" s="872">
        <f>'11.销售及回款表'!J347</f>
        <v>0</v>
      </c>
      <c r="I57" s="872">
        <f>'11.销售及回款表'!K347</f>
        <v>0</v>
      </c>
      <c r="J57" s="872">
        <f>'11.销售及回款表'!L347</f>
        <v>0</v>
      </c>
      <c r="K57" s="871">
        <f>'11.销售及回款表'!M347</f>
        <v>0</v>
      </c>
      <c r="L57" s="872">
        <f>'11.销售及回款表'!N347</f>
        <v>0</v>
      </c>
      <c r="M57" s="872">
        <f>'11.销售及回款表'!O347</f>
        <v>0</v>
      </c>
      <c r="N57" s="872">
        <f>'11.销售及回款表'!P347</f>
        <v>0</v>
      </c>
      <c r="O57" s="871">
        <f>'11.销售及回款表'!Q347</f>
        <v>0</v>
      </c>
      <c r="P57" s="872">
        <f>'11.销售及回款表'!R347</f>
        <v>0</v>
      </c>
      <c r="Q57" s="872">
        <f>'11.销售及回款表'!S347</f>
        <v>0</v>
      </c>
      <c r="R57" s="872">
        <f>'11.销售及回款表'!T347</f>
        <v>0</v>
      </c>
      <c r="S57" s="871">
        <f>'11.销售及回款表'!U347</f>
        <v>0</v>
      </c>
      <c r="T57" s="872">
        <f>'11.销售及回款表'!V347</f>
        <v>0</v>
      </c>
      <c r="U57" s="872">
        <f>'11.销售及回款表'!W347</f>
        <v>0</v>
      </c>
      <c r="V57" s="872">
        <f>'11.销售及回款表'!X347</f>
        <v>0</v>
      </c>
      <c r="W57" s="871">
        <f>'11.销售及回款表'!Y347</f>
        <v>0</v>
      </c>
      <c r="X57" s="872">
        <f>'11.销售及回款表'!Z347</f>
        <v>0</v>
      </c>
      <c r="Y57" s="872">
        <f>'11.销售及回款表'!AA347</f>
        <v>0</v>
      </c>
      <c r="Z57" s="872">
        <f>'11.销售及回款表'!AB347</f>
        <v>0</v>
      </c>
      <c r="AA57" s="871">
        <f>'11.销售及回款表'!AC347</f>
        <v>0</v>
      </c>
      <c r="AB57" s="872">
        <f>'11.销售及回款表'!AD347</f>
        <v>0</v>
      </c>
      <c r="AC57" s="872">
        <f>'11.销售及回款表'!AE347</f>
        <v>0</v>
      </c>
      <c r="AD57" s="872">
        <f>'11.销售及回款表'!AF347</f>
        <v>0</v>
      </c>
      <c r="AE57" s="871">
        <f>'11.销售及回款表'!AG347</f>
        <v>0</v>
      </c>
      <c r="AF57" s="872">
        <f>'11.销售及回款表'!AH347</f>
        <v>0</v>
      </c>
      <c r="AG57" s="872">
        <f>'11.销售及回款表'!AI347</f>
        <v>0</v>
      </c>
      <c r="AH57" s="872">
        <f>'11.销售及回款表'!AJ347</f>
        <v>0</v>
      </c>
      <c r="AI57" s="871">
        <f>'11.销售及回款表'!AK347</f>
        <v>0</v>
      </c>
      <c r="AJ57" s="872">
        <f>'11.销售及回款表'!AL347</f>
        <v>0</v>
      </c>
      <c r="AK57" s="872">
        <f>'11.销售及回款表'!AM347</f>
        <v>0</v>
      </c>
      <c r="AL57" s="872">
        <f>'11.销售及回款表'!AN347</f>
        <v>0</v>
      </c>
      <c r="AM57" s="871">
        <f>'11.销售及回款表'!AO347</f>
        <v>0</v>
      </c>
      <c r="AN57" s="872">
        <f>'11.销售及回款表'!AP347</f>
        <v>0</v>
      </c>
      <c r="AO57" s="872">
        <f>'11.销售及回款表'!AQ347</f>
        <v>0</v>
      </c>
      <c r="AP57" s="872">
        <f>'11.销售及回款表'!AR347</f>
        <v>0</v>
      </c>
      <c r="AQ57" s="871">
        <f>'11.销售及回款表'!AS347</f>
        <v>0</v>
      </c>
      <c r="AR57" s="872">
        <f>'11.销售及回款表'!AT347</f>
        <v>0</v>
      </c>
      <c r="AS57" s="872">
        <f>'11.销售及回款表'!AU347</f>
        <v>0</v>
      </c>
      <c r="AT57" s="872">
        <f>'11.销售及回款表'!AV347</f>
        <v>0</v>
      </c>
    </row>
    <row r="58" spans="1:46" s="77" customFormat="1" ht="18" customHeight="1" outlineLevel="2">
      <c r="A58" s="869" t="str">
        <f>'8.项目规划指标表'!B19</f>
        <v>无产权车库(个)</v>
      </c>
      <c r="B58" s="870">
        <f t="shared" si="2"/>
        <v>0</v>
      </c>
      <c r="C58" s="871">
        <f>'11.销售及回款表'!E352</f>
        <v>0</v>
      </c>
      <c r="D58" s="872">
        <f>'11.销售及回款表'!F352</f>
        <v>0</v>
      </c>
      <c r="E58" s="872">
        <f>'11.销售及回款表'!G352</f>
        <v>0</v>
      </c>
      <c r="F58" s="872">
        <f>'11.销售及回款表'!H352</f>
        <v>0</v>
      </c>
      <c r="G58" s="871">
        <f>'11.销售及回款表'!I352</f>
        <v>0</v>
      </c>
      <c r="H58" s="872">
        <f>'11.销售及回款表'!J352</f>
        <v>0</v>
      </c>
      <c r="I58" s="872">
        <f>'11.销售及回款表'!K352</f>
        <v>0</v>
      </c>
      <c r="J58" s="872">
        <f>'11.销售及回款表'!L352</f>
        <v>0</v>
      </c>
      <c r="K58" s="871">
        <f>'11.销售及回款表'!M352</f>
        <v>0</v>
      </c>
      <c r="L58" s="872">
        <f>'11.销售及回款表'!N352</f>
        <v>0</v>
      </c>
      <c r="M58" s="872">
        <f>'11.销售及回款表'!O352</f>
        <v>0</v>
      </c>
      <c r="N58" s="872">
        <f>'11.销售及回款表'!P352</f>
        <v>0</v>
      </c>
      <c r="O58" s="871">
        <f>'11.销售及回款表'!Q352</f>
        <v>0</v>
      </c>
      <c r="P58" s="872">
        <f>'11.销售及回款表'!R352</f>
        <v>0</v>
      </c>
      <c r="Q58" s="872">
        <f>'11.销售及回款表'!S352</f>
        <v>0</v>
      </c>
      <c r="R58" s="872">
        <f>'11.销售及回款表'!T352</f>
        <v>0</v>
      </c>
      <c r="S58" s="871">
        <f>'11.销售及回款表'!U352</f>
        <v>0</v>
      </c>
      <c r="T58" s="872">
        <f>'11.销售及回款表'!V352</f>
        <v>0</v>
      </c>
      <c r="U58" s="872">
        <f>'11.销售及回款表'!W352</f>
        <v>0</v>
      </c>
      <c r="V58" s="872">
        <f>'11.销售及回款表'!X352</f>
        <v>0</v>
      </c>
      <c r="W58" s="871">
        <f>'11.销售及回款表'!Y352</f>
        <v>0</v>
      </c>
      <c r="X58" s="872">
        <f>'11.销售及回款表'!Z352</f>
        <v>0</v>
      </c>
      <c r="Y58" s="872">
        <f>'11.销售及回款表'!AA352</f>
        <v>0</v>
      </c>
      <c r="Z58" s="872">
        <f>'11.销售及回款表'!AB352</f>
        <v>0</v>
      </c>
      <c r="AA58" s="871">
        <f>'11.销售及回款表'!AC352</f>
        <v>0</v>
      </c>
      <c r="AB58" s="872">
        <f>'11.销售及回款表'!AD352</f>
        <v>0</v>
      </c>
      <c r="AC58" s="872">
        <f>'11.销售及回款表'!AE352</f>
        <v>0</v>
      </c>
      <c r="AD58" s="872">
        <f>'11.销售及回款表'!AF352</f>
        <v>0</v>
      </c>
      <c r="AE58" s="871">
        <f>'11.销售及回款表'!AG352</f>
        <v>0</v>
      </c>
      <c r="AF58" s="872">
        <f>'11.销售及回款表'!AH352</f>
        <v>0</v>
      </c>
      <c r="AG58" s="872">
        <f>'11.销售及回款表'!AI352</f>
        <v>0</v>
      </c>
      <c r="AH58" s="872">
        <f>'11.销售及回款表'!AJ352</f>
        <v>0</v>
      </c>
      <c r="AI58" s="871">
        <f>'11.销售及回款表'!AK352</f>
        <v>0</v>
      </c>
      <c r="AJ58" s="872">
        <f>'11.销售及回款表'!AL352</f>
        <v>0</v>
      </c>
      <c r="AK58" s="872">
        <f>'11.销售及回款表'!AM352</f>
        <v>0</v>
      </c>
      <c r="AL58" s="872">
        <f>'11.销售及回款表'!AN352</f>
        <v>0</v>
      </c>
      <c r="AM58" s="871">
        <f>'11.销售及回款表'!AO352</f>
        <v>0</v>
      </c>
      <c r="AN58" s="872">
        <f>'11.销售及回款表'!AP352</f>
        <v>0</v>
      </c>
      <c r="AO58" s="872">
        <f>'11.销售及回款表'!AQ352</f>
        <v>0</v>
      </c>
      <c r="AP58" s="872">
        <f>'11.销售及回款表'!AR352</f>
        <v>0</v>
      </c>
      <c r="AQ58" s="871">
        <f>'11.销售及回款表'!AS352</f>
        <v>0</v>
      </c>
      <c r="AR58" s="872">
        <f>'11.销售及回款表'!AT352</f>
        <v>0</v>
      </c>
      <c r="AS58" s="872">
        <f>'11.销售及回款表'!AU352</f>
        <v>0</v>
      </c>
      <c r="AT58" s="872">
        <f>'11.销售及回款表'!AV352</f>
        <v>0</v>
      </c>
    </row>
    <row r="59" spans="1:46" s="77" customFormat="1" ht="18" customHeight="1" outlineLevel="1">
      <c r="A59" s="865" t="s">
        <v>23</v>
      </c>
      <c r="B59" s="866">
        <f t="shared" ref="B59:AT59" si="6">SUM(B60:B71)</f>
        <v>0</v>
      </c>
      <c r="C59" s="867">
        <f t="shared" si="6"/>
        <v>0</v>
      </c>
      <c r="D59" s="868">
        <f t="shared" si="6"/>
        <v>0</v>
      </c>
      <c r="E59" s="868">
        <f t="shared" si="6"/>
        <v>0</v>
      </c>
      <c r="F59" s="868">
        <f t="shared" si="6"/>
        <v>0</v>
      </c>
      <c r="G59" s="867">
        <f t="shared" si="6"/>
        <v>0</v>
      </c>
      <c r="H59" s="868">
        <f t="shared" si="6"/>
        <v>0</v>
      </c>
      <c r="I59" s="868">
        <f t="shared" si="6"/>
        <v>0</v>
      </c>
      <c r="J59" s="868">
        <f t="shared" si="6"/>
        <v>0</v>
      </c>
      <c r="K59" s="867">
        <f t="shared" si="6"/>
        <v>0</v>
      </c>
      <c r="L59" s="868">
        <f t="shared" si="6"/>
        <v>0</v>
      </c>
      <c r="M59" s="868">
        <f t="shared" si="6"/>
        <v>0</v>
      </c>
      <c r="N59" s="868">
        <f t="shared" si="6"/>
        <v>0</v>
      </c>
      <c r="O59" s="867">
        <f t="shared" si="6"/>
        <v>0</v>
      </c>
      <c r="P59" s="868">
        <f t="shared" si="6"/>
        <v>0</v>
      </c>
      <c r="Q59" s="868">
        <f t="shared" si="6"/>
        <v>0</v>
      </c>
      <c r="R59" s="868">
        <f t="shared" si="6"/>
        <v>0</v>
      </c>
      <c r="S59" s="867">
        <f t="shared" si="6"/>
        <v>0</v>
      </c>
      <c r="T59" s="868">
        <f t="shared" si="6"/>
        <v>0</v>
      </c>
      <c r="U59" s="868">
        <f t="shared" si="6"/>
        <v>0</v>
      </c>
      <c r="V59" s="868">
        <f t="shared" si="6"/>
        <v>0</v>
      </c>
      <c r="W59" s="867">
        <f t="shared" si="6"/>
        <v>0</v>
      </c>
      <c r="X59" s="868">
        <f t="shared" si="6"/>
        <v>0</v>
      </c>
      <c r="Y59" s="868">
        <f t="shared" si="6"/>
        <v>0</v>
      </c>
      <c r="Z59" s="868">
        <f t="shared" si="6"/>
        <v>0</v>
      </c>
      <c r="AA59" s="867">
        <f t="shared" si="6"/>
        <v>0</v>
      </c>
      <c r="AB59" s="868">
        <f t="shared" si="6"/>
        <v>0</v>
      </c>
      <c r="AC59" s="868">
        <f t="shared" si="6"/>
        <v>0</v>
      </c>
      <c r="AD59" s="868">
        <f t="shared" si="6"/>
        <v>0</v>
      </c>
      <c r="AE59" s="867">
        <f t="shared" si="6"/>
        <v>0</v>
      </c>
      <c r="AF59" s="868">
        <f t="shared" si="6"/>
        <v>0</v>
      </c>
      <c r="AG59" s="868">
        <f t="shared" si="6"/>
        <v>0</v>
      </c>
      <c r="AH59" s="868">
        <f t="shared" si="6"/>
        <v>0</v>
      </c>
      <c r="AI59" s="867">
        <f t="shared" si="6"/>
        <v>0</v>
      </c>
      <c r="AJ59" s="868">
        <f t="shared" si="6"/>
        <v>0</v>
      </c>
      <c r="AK59" s="868">
        <f t="shared" si="6"/>
        <v>0</v>
      </c>
      <c r="AL59" s="868">
        <f t="shared" si="6"/>
        <v>0</v>
      </c>
      <c r="AM59" s="867">
        <f t="shared" si="6"/>
        <v>0</v>
      </c>
      <c r="AN59" s="868">
        <f t="shared" si="6"/>
        <v>0</v>
      </c>
      <c r="AO59" s="868">
        <f t="shared" si="6"/>
        <v>0</v>
      </c>
      <c r="AP59" s="868">
        <f t="shared" si="6"/>
        <v>0</v>
      </c>
      <c r="AQ59" s="867">
        <f t="shared" si="6"/>
        <v>0</v>
      </c>
      <c r="AR59" s="868">
        <f t="shared" si="6"/>
        <v>0</v>
      </c>
      <c r="AS59" s="868">
        <f t="shared" si="6"/>
        <v>0</v>
      </c>
      <c r="AT59" s="868">
        <f t="shared" si="6"/>
        <v>0</v>
      </c>
    </row>
    <row r="60" spans="1:46" s="77" customFormat="1" ht="18" customHeight="1" outlineLevel="2">
      <c r="A60" s="869" t="str">
        <f>'8.项目规划指标表'!B5</f>
        <v>高层</v>
      </c>
      <c r="B60" s="870">
        <f t="shared" si="2"/>
        <v>0</v>
      </c>
      <c r="C60" s="871">
        <f>'11.销售及回款表'!E367</f>
        <v>0</v>
      </c>
      <c r="D60" s="872">
        <f>'11.销售及回款表'!F367</f>
        <v>0</v>
      </c>
      <c r="E60" s="872">
        <f>'11.销售及回款表'!G367</f>
        <v>0</v>
      </c>
      <c r="F60" s="872">
        <f>'11.销售及回款表'!H367</f>
        <v>0</v>
      </c>
      <c r="G60" s="871">
        <f>'11.销售及回款表'!I367</f>
        <v>0</v>
      </c>
      <c r="H60" s="872">
        <f>'11.销售及回款表'!J367</f>
        <v>0</v>
      </c>
      <c r="I60" s="872">
        <f>'11.销售及回款表'!K367</f>
        <v>0</v>
      </c>
      <c r="J60" s="872">
        <f>'11.销售及回款表'!L367</f>
        <v>0</v>
      </c>
      <c r="K60" s="871">
        <f>'11.销售及回款表'!M367</f>
        <v>0</v>
      </c>
      <c r="L60" s="872">
        <f>'11.销售及回款表'!N367</f>
        <v>0</v>
      </c>
      <c r="M60" s="872">
        <f>'11.销售及回款表'!O367</f>
        <v>0</v>
      </c>
      <c r="N60" s="872">
        <f>'11.销售及回款表'!P367</f>
        <v>0</v>
      </c>
      <c r="O60" s="871">
        <f>'11.销售及回款表'!Q367</f>
        <v>0</v>
      </c>
      <c r="P60" s="872">
        <f>'11.销售及回款表'!R367</f>
        <v>0</v>
      </c>
      <c r="Q60" s="872">
        <f>'11.销售及回款表'!S367</f>
        <v>0</v>
      </c>
      <c r="R60" s="872">
        <f>'11.销售及回款表'!T367</f>
        <v>0</v>
      </c>
      <c r="S60" s="871">
        <f>'11.销售及回款表'!U367</f>
        <v>0</v>
      </c>
      <c r="T60" s="872">
        <f>'11.销售及回款表'!V367</f>
        <v>0</v>
      </c>
      <c r="U60" s="872">
        <f>'11.销售及回款表'!W367</f>
        <v>0</v>
      </c>
      <c r="V60" s="872">
        <f>'11.销售及回款表'!X367</f>
        <v>0</v>
      </c>
      <c r="W60" s="871">
        <f>'11.销售及回款表'!Y367</f>
        <v>0</v>
      </c>
      <c r="X60" s="872">
        <f>'11.销售及回款表'!Z367</f>
        <v>0</v>
      </c>
      <c r="Y60" s="872">
        <f>'11.销售及回款表'!AA367</f>
        <v>0</v>
      </c>
      <c r="Z60" s="872">
        <f>'11.销售及回款表'!AB367</f>
        <v>0</v>
      </c>
      <c r="AA60" s="871">
        <f>'11.销售及回款表'!AC367</f>
        <v>0</v>
      </c>
      <c r="AB60" s="872">
        <f>'11.销售及回款表'!AD367</f>
        <v>0</v>
      </c>
      <c r="AC60" s="872">
        <f>'11.销售及回款表'!AE367</f>
        <v>0</v>
      </c>
      <c r="AD60" s="872">
        <f>'11.销售及回款表'!AF367</f>
        <v>0</v>
      </c>
      <c r="AE60" s="871">
        <f>'11.销售及回款表'!AG367</f>
        <v>0</v>
      </c>
      <c r="AF60" s="872">
        <f>'11.销售及回款表'!AH367</f>
        <v>0</v>
      </c>
      <c r="AG60" s="872">
        <f>'11.销售及回款表'!AI367</f>
        <v>0</v>
      </c>
      <c r="AH60" s="872">
        <f>'11.销售及回款表'!AJ367</f>
        <v>0</v>
      </c>
      <c r="AI60" s="871">
        <f>'11.销售及回款表'!AK367</f>
        <v>0</v>
      </c>
      <c r="AJ60" s="872">
        <f>'11.销售及回款表'!AL367</f>
        <v>0</v>
      </c>
      <c r="AK60" s="872">
        <f>'11.销售及回款表'!AM367</f>
        <v>0</v>
      </c>
      <c r="AL60" s="872">
        <f>'11.销售及回款表'!AN367</f>
        <v>0</v>
      </c>
      <c r="AM60" s="871">
        <f>'11.销售及回款表'!AO367</f>
        <v>0</v>
      </c>
      <c r="AN60" s="872">
        <f>'11.销售及回款表'!AP367</f>
        <v>0</v>
      </c>
      <c r="AO60" s="872">
        <f>'11.销售及回款表'!AQ367</f>
        <v>0</v>
      </c>
      <c r="AP60" s="872">
        <f>'11.销售及回款表'!AR367</f>
        <v>0</v>
      </c>
      <c r="AQ60" s="871">
        <f>'11.销售及回款表'!AS367</f>
        <v>0</v>
      </c>
      <c r="AR60" s="872">
        <f>'11.销售及回款表'!AT367</f>
        <v>0</v>
      </c>
      <c r="AS60" s="872">
        <f>'11.销售及回款表'!AU367</f>
        <v>0</v>
      </c>
      <c r="AT60" s="872">
        <f>'11.销售及回款表'!AV367</f>
        <v>0</v>
      </c>
    </row>
    <row r="61" spans="1:46" s="77" customFormat="1" ht="18" customHeight="1" outlineLevel="2">
      <c r="A61" s="869" t="str">
        <f>'8.项目规划指标表'!B6</f>
        <v>商铺</v>
      </c>
      <c r="B61" s="870">
        <f t="shared" si="2"/>
        <v>0</v>
      </c>
      <c r="C61" s="871">
        <f>'11.销售及回款表'!E372</f>
        <v>0</v>
      </c>
      <c r="D61" s="872">
        <f>'11.销售及回款表'!F372</f>
        <v>0</v>
      </c>
      <c r="E61" s="872">
        <f>'11.销售及回款表'!G372</f>
        <v>0</v>
      </c>
      <c r="F61" s="872">
        <f>'11.销售及回款表'!H372</f>
        <v>0</v>
      </c>
      <c r="G61" s="871">
        <f>'11.销售及回款表'!I372</f>
        <v>0</v>
      </c>
      <c r="H61" s="872">
        <f>'11.销售及回款表'!J372</f>
        <v>0</v>
      </c>
      <c r="I61" s="872">
        <f>'11.销售及回款表'!K372</f>
        <v>0</v>
      </c>
      <c r="J61" s="872">
        <f>'11.销售及回款表'!L372</f>
        <v>0</v>
      </c>
      <c r="K61" s="871">
        <f>'11.销售及回款表'!M372</f>
        <v>0</v>
      </c>
      <c r="L61" s="872">
        <f>'11.销售及回款表'!N372</f>
        <v>0</v>
      </c>
      <c r="M61" s="872">
        <f>'11.销售及回款表'!O372</f>
        <v>0</v>
      </c>
      <c r="N61" s="872">
        <f>'11.销售及回款表'!P372</f>
        <v>0</v>
      </c>
      <c r="O61" s="871">
        <f>'11.销售及回款表'!Q372</f>
        <v>0</v>
      </c>
      <c r="P61" s="872">
        <f>'11.销售及回款表'!R372</f>
        <v>0</v>
      </c>
      <c r="Q61" s="872">
        <f>'11.销售及回款表'!S372</f>
        <v>0</v>
      </c>
      <c r="R61" s="872">
        <f>'11.销售及回款表'!T372</f>
        <v>0</v>
      </c>
      <c r="S61" s="871">
        <f>'11.销售及回款表'!U372</f>
        <v>0</v>
      </c>
      <c r="T61" s="872">
        <f>'11.销售及回款表'!V372</f>
        <v>0</v>
      </c>
      <c r="U61" s="872">
        <f>'11.销售及回款表'!W372</f>
        <v>0</v>
      </c>
      <c r="V61" s="872">
        <f>'11.销售及回款表'!X372</f>
        <v>0</v>
      </c>
      <c r="W61" s="871">
        <f>'11.销售及回款表'!Y372</f>
        <v>0</v>
      </c>
      <c r="X61" s="872">
        <f>'11.销售及回款表'!Z372</f>
        <v>0</v>
      </c>
      <c r="Y61" s="872">
        <f>'11.销售及回款表'!AA372</f>
        <v>0</v>
      </c>
      <c r="Z61" s="872">
        <f>'11.销售及回款表'!AB372</f>
        <v>0</v>
      </c>
      <c r="AA61" s="871">
        <f>'11.销售及回款表'!AC372</f>
        <v>0</v>
      </c>
      <c r="AB61" s="872">
        <f>'11.销售及回款表'!AD372</f>
        <v>0</v>
      </c>
      <c r="AC61" s="872">
        <f>'11.销售及回款表'!AE372</f>
        <v>0</v>
      </c>
      <c r="AD61" s="872">
        <f>'11.销售及回款表'!AF372</f>
        <v>0</v>
      </c>
      <c r="AE61" s="871">
        <f>'11.销售及回款表'!AG372</f>
        <v>0</v>
      </c>
      <c r="AF61" s="872">
        <f>'11.销售及回款表'!AH372</f>
        <v>0</v>
      </c>
      <c r="AG61" s="872">
        <f>'11.销售及回款表'!AI372</f>
        <v>0</v>
      </c>
      <c r="AH61" s="872">
        <f>'11.销售及回款表'!AJ372</f>
        <v>0</v>
      </c>
      <c r="AI61" s="871">
        <f>'11.销售及回款表'!AK372</f>
        <v>0</v>
      </c>
      <c r="AJ61" s="872">
        <f>'11.销售及回款表'!AL372</f>
        <v>0</v>
      </c>
      <c r="AK61" s="872">
        <f>'11.销售及回款表'!AM372</f>
        <v>0</v>
      </c>
      <c r="AL61" s="872">
        <f>'11.销售及回款表'!AN372</f>
        <v>0</v>
      </c>
      <c r="AM61" s="871">
        <f>'11.销售及回款表'!AO372</f>
        <v>0</v>
      </c>
      <c r="AN61" s="872">
        <f>'11.销售及回款表'!AP372</f>
        <v>0</v>
      </c>
      <c r="AO61" s="872">
        <f>'11.销售及回款表'!AQ372</f>
        <v>0</v>
      </c>
      <c r="AP61" s="872">
        <f>'11.销售及回款表'!AR372</f>
        <v>0</v>
      </c>
      <c r="AQ61" s="871">
        <f>'11.销售及回款表'!AS372</f>
        <v>0</v>
      </c>
      <c r="AR61" s="872">
        <f>'11.销售及回款表'!AT372</f>
        <v>0</v>
      </c>
      <c r="AS61" s="872">
        <f>'11.销售及回款表'!AU372</f>
        <v>0</v>
      </c>
      <c r="AT61" s="872">
        <f>'11.销售及回款表'!AV372</f>
        <v>0</v>
      </c>
    </row>
    <row r="62" spans="1:46" s="77" customFormat="1" ht="18" customHeight="1" outlineLevel="2">
      <c r="A62" s="869" t="str">
        <f>'8.项目规划指标表'!B7</f>
        <v>回迁商业</v>
      </c>
      <c r="B62" s="870">
        <f t="shared" si="2"/>
        <v>0</v>
      </c>
      <c r="C62" s="871">
        <f>'11.销售及回款表'!E377</f>
        <v>0</v>
      </c>
      <c r="D62" s="872">
        <f>'11.销售及回款表'!F377</f>
        <v>0</v>
      </c>
      <c r="E62" s="872">
        <f>'11.销售及回款表'!G377</f>
        <v>0</v>
      </c>
      <c r="F62" s="872">
        <f>'11.销售及回款表'!H377</f>
        <v>0</v>
      </c>
      <c r="G62" s="871">
        <f>'11.销售及回款表'!I377</f>
        <v>0</v>
      </c>
      <c r="H62" s="872">
        <f>'11.销售及回款表'!J377</f>
        <v>0</v>
      </c>
      <c r="I62" s="872">
        <f>'11.销售及回款表'!K377</f>
        <v>0</v>
      </c>
      <c r="J62" s="872">
        <f>'11.销售及回款表'!L377</f>
        <v>0</v>
      </c>
      <c r="K62" s="871">
        <f>'11.销售及回款表'!M377</f>
        <v>0</v>
      </c>
      <c r="L62" s="872">
        <f>'11.销售及回款表'!N377</f>
        <v>0</v>
      </c>
      <c r="M62" s="872">
        <f>'11.销售及回款表'!O377</f>
        <v>0</v>
      </c>
      <c r="N62" s="872">
        <f>'11.销售及回款表'!P377</f>
        <v>0</v>
      </c>
      <c r="O62" s="871">
        <f>'11.销售及回款表'!Q377</f>
        <v>0</v>
      </c>
      <c r="P62" s="872">
        <f>'11.销售及回款表'!R377</f>
        <v>0</v>
      </c>
      <c r="Q62" s="872">
        <f>'11.销售及回款表'!S377</f>
        <v>0</v>
      </c>
      <c r="R62" s="872">
        <f>'11.销售及回款表'!T377</f>
        <v>0</v>
      </c>
      <c r="S62" s="871">
        <f>'11.销售及回款表'!U377</f>
        <v>0</v>
      </c>
      <c r="T62" s="872">
        <f>'11.销售及回款表'!V377</f>
        <v>0</v>
      </c>
      <c r="U62" s="872">
        <f>'11.销售及回款表'!W377</f>
        <v>0</v>
      </c>
      <c r="V62" s="872">
        <f>'11.销售及回款表'!X377</f>
        <v>0</v>
      </c>
      <c r="W62" s="871">
        <f>'11.销售及回款表'!Y377</f>
        <v>0</v>
      </c>
      <c r="X62" s="872">
        <f>'11.销售及回款表'!Z377</f>
        <v>0</v>
      </c>
      <c r="Y62" s="872">
        <f>'11.销售及回款表'!AA377</f>
        <v>0</v>
      </c>
      <c r="Z62" s="872">
        <f>'11.销售及回款表'!AB377</f>
        <v>0</v>
      </c>
      <c r="AA62" s="871">
        <f>'11.销售及回款表'!AC377</f>
        <v>0</v>
      </c>
      <c r="AB62" s="872">
        <f>'11.销售及回款表'!AD377</f>
        <v>0</v>
      </c>
      <c r="AC62" s="872">
        <f>'11.销售及回款表'!AE377</f>
        <v>0</v>
      </c>
      <c r="AD62" s="872">
        <f>'11.销售及回款表'!AF377</f>
        <v>0</v>
      </c>
      <c r="AE62" s="871">
        <f>'11.销售及回款表'!AG377</f>
        <v>0</v>
      </c>
      <c r="AF62" s="872">
        <f>'11.销售及回款表'!AH377</f>
        <v>0</v>
      </c>
      <c r="AG62" s="872">
        <f>'11.销售及回款表'!AI377</f>
        <v>0</v>
      </c>
      <c r="AH62" s="872">
        <f>'11.销售及回款表'!AJ377</f>
        <v>0</v>
      </c>
      <c r="AI62" s="871">
        <f>'11.销售及回款表'!AK377</f>
        <v>0</v>
      </c>
      <c r="AJ62" s="872">
        <f>'11.销售及回款表'!AL377</f>
        <v>0</v>
      </c>
      <c r="AK62" s="872">
        <f>'11.销售及回款表'!AM377</f>
        <v>0</v>
      </c>
      <c r="AL62" s="872">
        <f>'11.销售及回款表'!AN377</f>
        <v>0</v>
      </c>
      <c r="AM62" s="871">
        <f>'11.销售及回款表'!AO377</f>
        <v>0</v>
      </c>
      <c r="AN62" s="872">
        <f>'11.销售及回款表'!AP377</f>
        <v>0</v>
      </c>
      <c r="AO62" s="872">
        <f>'11.销售及回款表'!AQ377</f>
        <v>0</v>
      </c>
      <c r="AP62" s="872">
        <f>'11.销售及回款表'!AR377</f>
        <v>0</v>
      </c>
      <c r="AQ62" s="871">
        <f>'11.销售及回款表'!AS377</f>
        <v>0</v>
      </c>
      <c r="AR62" s="872">
        <f>'11.销售及回款表'!AT377</f>
        <v>0</v>
      </c>
      <c r="AS62" s="872">
        <f>'11.销售及回款表'!AU377</f>
        <v>0</v>
      </c>
      <c r="AT62" s="872">
        <f>'11.销售及回款表'!AV377</f>
        <v>0</v>
      </c>
    </row>
    <row r="63" spans="1:46" s="77" customFormat="1" ht="18" customHeight="1" outlineLevel="2">
      <c r="A63" s="869">
        <f>'8.项目规划指标表'!B8</f>
        <v>0</v>
      </c>
      <c r="B63" s="870">
        <f t="shared" si="2"/>
        <v>0</v>
      </c>
      <c r="C63" s="871">
        <f>'11.销售及回款表'!E382</f>
        <v>0</v>
      </c>
      <c r="D63" s="872">
        <f>'11.销售及回款表'!F382</f>
        <v>0</v>
      </c>
      <c r="E63" s="872">
        <f>'11.销售及回款表'!G382</f>
        <v>0</v>
      </c>
      <c r="F63" s="872">
        <f>'11.销售及回款表'!H382</f>
        <v>0</v>
      </c>
      <c r="G63" s="871">
        <f>'11.销售及回款表'!I382</f>
        <v>0</v>
      </c>
      <c r="H63" s="872">
        <f>'11.销售及回款表'!J382</f>
        <v>0</v>
      </c>
      <c r="I63" s="872">
        <f>'11.销售及回款表'!K382</f>
        <v>0</v>
      </c>
      <c r="J63" s="872">
        <f>'11.销售及回款表'!L382</f>
        <v>0</v>
      </c>
      <c r="K63" s="871">
        <f>'11.销售及回款表'!M382</f>
        <v>0</v>
      </c>
      <c r="L63" s="872">
        <f>'11.销售及回款表'!N382</f>
        <v>0</v>
      </c>
      <c r="M63" s="872">
        <f>'11.销售及回款表'!O382</f>
        <v>0</v>
      </c>
      <c r="N63" s="872">
        <f>'11.销售及回款表'!P382</f>
        <v>0</v>
      </c>
      <c r="O63" s="871">
        <f>'11.销售及回款表'!Q382</f>
        <v>0</v>
      </c>
      <c r="P63" s="872">
        <f>'11.销售及回款表'!R382</f>
        <v>0</v>
      </c>
      <c r="Q63" s="872">
        <f>'11.销售及回款表'!S382</f>
        <v>0</v>
      </c>
      <c r="R63" s="872">
        <f>'11.销售及回款表'!T382</f>
        <v>0</v>
      </c>
      <c r="S63" s="871">
        <f>'11.销售及回款表'!U382</f>
        <v>0</v>
      </c>
      <c r="T63" s="872">
        <f>'11.销售及回款表'!V382</f>
        <v>0</v>
      </c>
      <c r="U63" s="872">
        <f>'11.销售及回款表'!W382</f>
        <v>0</v>
      </c>
      <c r="V63" s="872">
        <f>'11.销售及回款表'!X382</f>
        <v>0</v>
      </c>
      <c r="W63" s="871">
        <f>'11.销售及回款表'!Y382</f>
        <v>0</v>
      </c>
      <c r="X63" s="872">
        <f>'11.销售及回款表'!Z382</f>
        <v>0</v>
      </c>
      <c r="Y63" s="872">
        <f>'11.销售及回款表'!AA382</f>
        <v>0</v>
      </c>
      <c r="Z63" s="872">
        <f>'11.销售及回款表'!AB382</f>
        <v>0</v>
      </c>
      <c r="AA63" s="871">
        <f>'11.销售及回款表'!AC382</f>
        <v>0</v>
      </c>
      <c r="AB63" s="872">
        <f>'11.销售及回款表'!AD382</f>
        <v>0</v>
      </c>
      <c r="AC63" s="872">
        <f>'11.销售及回款表'!AE382</f>
        <v>0</v>
      </c>
      <c r="AD63" s="872">
        <f>'11.销售及回款表'!AF382</f>
        <v>0</v>
      </c>
      <c r="AE63" s="871">
        <f>'11.销售及回款表'!AG382</f>
        <v>0</v>
      </c>
      <c r="AF63" s="872">
        <f>'11.销售及回款表'!AH382</f>
        <v>0</v>
      </c>
      <c r="AG63" s="872">
        <f>'11.销售及回款表'!AI382</f>
        <v>0</v>
      </c>
      <c r="AH63" s="872">
        <f>'11.销售及回款表'!AJ382</f>
        <v>0</v>
      </c>
      <c r="AI63" s="871">
        <f>'11.销售及回款表'!AK382</f>
        <v>0</v>
      </c>
      <c r="AJ63" s="872">
        <f>'11.销售及回款表'!AL382</f>
        <v>0</v>
      </c>
      <c r="AK63" s="872">
        <f>'11.销售及回款表'!AM382</f>
        <v>0</v>
      </c>
      <c r="AL63" s="872">
        <f>'11.销售及回款表'!AN382</f>
        <v>0</v>
      </c>
      <c r="AM63" s="871">
        <f>'11.销售及回款表'!AO382</f>
        <v>0</v>
      </c>
      <c r="AN63" s="872">
        <f>'11.销售及回款表'!AP382</f>
        <v>0</v>
      </c>
      <c r="AO63" s="872">
        <f>'11.销售及回款表'!AQ382</f>
        <v>0</v>
      </c>
      <c r="AP63" s="872">
        <f>'11.销售及回款表'!AR382</f>
        <v>0</v>
      </c>
      <c r="AQ63" s="871">
        <f>'11.销售及回款表'!AS382</f>
        <v>0</v>
      </c>
      <c r="AR63" s="872">
        <f>'11.销售及回款表'!AT382</f>
        <v>0</v>
      </c>
      <c r="AS63" s="872">
        <f>'11.销售及回款表'!AU382</f>
        <v>0</v>
      </c>
      <c r="AT63" s="872">
        <f>'11.销售及回款表'!AV382</f>
        <v>0</v>
      </c>
    </row>
    <row r="64" spans="1:46" s="77" customFormat="1" ht="18" customHeight="1" outlineLevel="2">
      <c r="A64" s="869">
        <f>'8.项目规划指标表'!B9</f>
        <v>0</v>
      </c>
      <c r="B64" s="870">
        <f t="shared" si="2"/>
        <v>0</v>
      </c>
      <c r="C64" s="871">
        <f>'11.销售及回款表'!E387</f>
        <v>0</v>
      </c>
      <c r="D64" s="872">
        <f>'11.销售及回款表'!F387</f>
        <v>0</v>
      </c>
      <c r="E64" s="872">
        <f>'11.销售及回款表'!G387</f>
        <v>0</v>
      </c>
      <c r="F64" s="872">
        <f>'11.销售及回款表'!H387</f>
        <v>0</v>
      </c>
      <c r="G64" s="871">
        <f>'11.销售及回款表'!I387</f>
        <v>0</v>
      </c>
      <c r="H64" s="872">
        <f>'11.销售及回款表'!J387</f>
        <v>0</v>
      </c>
      <c r="I64" s="872">
        <f>'11.销售及回款表'!K387</f>
        <v>0</v>
      </c>
      <c r="J64" s="872">
        <f>'11.销售及回款表'!L387</f>
        <v>0</v>
      </c>
      <c r="K64" s="871">
        <f>'11.销售及回款表'!M387</f>
        <v>0</v>
      </c>
      <c r="L64" s="872">
        <f>'11.销售及回款表'!N387</f>
        <v>0</v>
      </c>
      <c r="M64" s="872">
        <f>'11.销售及回款表'!O387</f>
        <v>0</v>
      </c>
      <c r="N64" s="872">
        <f>'11.销售及回款表'!P387</f>
        <v>0</v>
      </c>
      <c r="O64" s="871">
        <f>'11.销售及回款表'!Q387</f>
        <v>0</v>
      </c>
      <c r="P64" s="872">
        <f>'11.销售及回款表'!R387</f>
        <v>0</v>
      </c>
      <c r="Q64" s="872">
        <f>'11.销售及回款表'!S387</f>
        <v>0</v>
      </c>
      <c r="R64" s="872">
        <f>'11.销售及回款表'!T387</f>
        <v>0</v>
      </c>
      <c r="S64" s="871">
        <f>'11.销售及回款表'!U387</f>
        <v>0</v>
      </c>
      <c r="T64" s="872">
        <f>'11.销售及回款表'!V387</f>
        <v>0</v>
      </c>
      <c r="U64" s="872">
        <f>'11.销售及回款表'!W387</f>
        <v>0</v>
      </c>
      <c r="V64" s="872">
        <f>'11.销售及回款表'!X387</f>
        <v>0</v>
      </c>
      <c r="W64" s="871">
        <f>'11.销售及回款表'!Y387</f>
        <v>0</v>
      </c>
      <c r="X64" s="872">
        <f>'11.销售及回款表'!Z387</f>
        <v>0</v>
      </c>
      <c r="Y64" s="872">
        <f>'11.销售及回款表'!AA387</f>
        <v>0</v>
      </c>
      <c r="Z64" s="872">
        <f>'11.销售及回款表'!AB387</f>
        <v>0</v>
      </c>
      <c r="AA64" s="871">
        <f>'11.销售及回款表'!AC387</f>
        <v>0</v>
      </c>
      <c r="AB64" s="872">
        <f>'11.销售及回款表'!AD387</f>
        <v>0</v>
      </c>
      <c r="AC64" s="872">
        <f>'11.销售及回款表'!AE387</f>
        <v>0</v>
      </c>
      <c r="AD64" s="872">
        <f>'11.销售及回款表'!AF387</f>
        <v>0</v>
      </c>
      <c r="AE64" s="871">
        <f>'11.销售及回款表'!AG387</f>
        <v>0</v>
      </c>
      <c r="AF64" s="872">
        <f>'11.销售及回款表'!AH387</f>
        <v>0</v>
      </c>
      <c r="AG64" s="872">
        <f>'11.销售及回款表'!AI387</f>
        <v>0</v>
      </c>
      <c r="AH64" s="872">
        <f>'11.销售及回款表'!AJ387</f>
        <v>0</v>
      </c>
      <c r="AI64" s="871">
        <f>'11.销售及回款表'!AK387</f>
        <v>0</v>
      </c>
      <c r="AJ64" s="872">
        <f>'11.销售及回款表'!AL387</f>
        <v>0</v>
      </c>
      <c r="AK64" s="872">
        <f>'11.销售及回款表'!AM387</f>
        <v>0</v>
      </c>
      <c r="AL64" s="872">
        <f>'11.销售及回款表'!AN387</f>
        <v>0</v>
      </c>
      <c r="AM64" s="871">
        <f>'11.销售及回款表'!AO387</f>
        <v>0</v>
      </c>
      <c r="AN64" s="872">
        <f>'11.销售及回款表'!AP387</f>
        <v>0</v>
      </c>
      <c r="AO64" s="872">
        <f>'11.销售及回款表'!AQ387</f>
        <v>0</v>
      </c>
      <c r="AP64" s="872">
        <f>'11.销售及回款表'!AR387</f>
        <v>0</v>
      </c>
      <c r="AQ64" s="871">
        <f>'11.销售及回款表'!AS387</f>
        <v>0</v>
      </c>
      <c r="AR64" s="872">
        <f>'11.销售及回款表'!AT387</f>
        <v>0</v>
      </c>
      <c r="AS64" s="872">
        <f>'11.销售及回款表'!AU387</f>
        <v>0</v>
      </c>
      <c r="AT64" s="872">
        <f>'11.销售及回款表'!AV387</f>
        <v>0</v>
      </c>
    </row>
    <row r="65" spans="1:46" s="77" customFormat="1" ht="18" customHeight="1" outlineLevel="2">
      <c r="A65" s="869">
        <f>'8.项目规划指标表'!B10</f>
        <v>0</v>
      </c>
      <c r="B65" s="870">
        <f t="shared" si="2"/>
        <v>0</v>
      </c>
      <c r="C65" s="871">
        <f>'11.销售及回款表'!E392</f>
        <v>0</v>
      </c>
      <c r="D65" s="872">
        <f>'11.销售及回款表'!F392</f>
        <v>0</v>
      </c>
      <c r="E65" s="872">
        <f>'11.销售及回款表'!G392</f>
        <v>0</v>
      </c>
      <c r="F65" s="872">
        <f>'11.销售及回款表'!H392</f>
        <v>0</v>
      </c>
      <c r="G65" s="871">
        <f>'11.销售及回款表'!I392</f>
        <v>0</v>
      </c>
      <c r="H65" s="872">
        <f>'11.销售及回款表'!J392</f>
        <v>0</v>
      </c>
      <c r="I65" s="872">
        <f>'11.销售及回款表'!K392</f>
        <v>0</v>
      </c>
      <c r="J65" s="872">
        <f>'11.销售及回款表'!L392</f>
        <v>0</v>
      </c>
      <c r="K65" s="871">
        <f>'11.销售及回款表'!M392</f>
        <v>0</v>
      </c>
      <c r="L65" s="872">
        <f>'11.销售及回款表'!N392</f>
        <v>0</v>
      </c>
      <c r="M65" s="872">
        <f>'11.销售及回款表'!O392</f>
        <v>0</v>
      </c>
      <c r="N65" s="872">
        <f>'11.销售及回款表'!P392</f>
        <v>0</v>
      </c>
      <c r="O65" s="871">
        <f>'11.销售及回款表'!Q392</f>
        <v>0</v>
      </c>
      <c r="P65" s="872">
        <f>'11.销售及回款表'!R392</f>
        <v>0</v>
      </c>
      <c r="Q65" s="872">
        <f>'11.销售及回款表'!S392</f>
        <v>0</v>
      </c>
      <c r="R65" s="872">
        <f>'11.销售及回款表'!T392</f>
        <v>0</v>
      </c>
      <c r="S65" s="871">
        <f>'11.销售及回款表'!U392</f>
        <v>0</v>
      </c>
      <c r="T65" s="872">
        <f>'11.销售及回款表'!V392</f>
        <v>0</v>
      </c>
      <c r="U65" s="872">
        <f>'11.销售及回款表'!W392</f>
        <v>0</v>
      </c>
      <c r="V65" s="872">
        <f>'11.销售及回款表'!X392</f>
        <v>0</v>
      </c>
      <c r="W65" s="871">
        <f>'11.销售及回款表'!Y392</f>
        <v>0</v>
      </c>
      <c r="X65" s="872">
        <f>'11.销售及回款表'!Z392</f>
        <v>0</v>
      </c>
      <c r="Y65" s="872">
        <f>'11.销售及回款表'!AA392</f>
        <v>0</v>
      </c>
      <c r="Z65" s="872">
        <f>'11.销售及回款表'!AB392</f>
        <v>0</v>
      </c>
      <c r="AA65" s="871">
        <f>'11.销售及回款表'!AC392</f>
        <v>0</v>
      </c>
      <c r="AB65" s="872">
        <f>'11.销售及回款表'!AD392</f>
        <v>0</v>
      </c>
      <c r="AC65" s="872">
        <f>'11.销售及回款表'!AE392</f>
        <v>0</v>
      </c>
      <c r="AD65" s="872">
        <f>'11.销售及回款表'!AF392</f>
        <v>0</v>
      </c>
      <c r="AE65" s="871">
        <f>'11.销售及回款表'!AG392</f>
        <v>0</v>
      </c>
      <c r="AF65" s="872">
        <f>'11.销售及回款表'!AH392</f>
        <v>0</v>
      </c>
      <c r="AG65" s="872">
        <f>'11.销售及回款表'!AI392</f>
        <v>0</v>
      </c>
      <c r="AH65" s="872">
        <f>'11.销售及回款表'!AJ392</f>
        <v>0</v>
      </c>
      <c r="AI65" s="871">
        <f>'11.销售及回款表'!AK392</f>
        <v>0</v>
      </c>
      <c r="AJ65" s="872">
        <f>'11.销售及回款表'!AL392</f>
        <v>0</v>
      </c>
      <c r="AK65" s="872">
        <f>'11.销售及回款表'!AM392</f>
        <v>0</v>
      </c>
      <c r="AL65" s="872">
        <f>'11.销售及回款表'!AN392</f>
        <v>0</v>
      </c>
      <c r="AM65" s="871">
        <f>'11.销售及回款表'!AO392</f>
        <v>0</v>
      </c>
      <c r="AN65" s="872">
        <f>'11.销售及回款表'!AP392</f>
        <v>0</v>
      </c>
      <c r="AO65" s="872">
        <f>'11.销售及回款表'!AQ392</f>
        <v>0</v>
      </c>
      <c r="AP65" s="872">
        <f>'11.销售及回款表'!AR392</f>
        <v>0</v>
      </c>
      <c r="AQ65" s="871">
        <f>'11.销售及回款表'!AS392</f>
        <v>0</v>
      </c>
      <c r="AR65" s="872">
        <f>'11.销售及回款表'!AT392</f>
        <v>0</v>
      </c>
      <c r="AS65" s="872">
        <f>'11.销售及回款表'!AU392</f>
        <v>0</v>
      </c>
      <c r="AT65" s="872">
        <f>'11.销售及回款表'!AV392</f>
        <v>0</v>
      </c>
    </row>
    <row r="66" spans="1:46" s="77" customFormat="1" ht="18" customHeight="1" outlineLevel="2">
      <c r="A66" s="869">
        <f>'8.项目规划指标表'!B11</f>
        <v>0</v>
      </c>
      <c r="B66" s="870">
        <f t="shared" si="2"/>
        <v>0</v>
      </c>
      <c r="C66" s="871">
        <f>'11.销售及回款表'!E397</f>
        <v>0</v>
      </c>
      <c r="D66" s="872">
        <f>'11.销售及回款表'!F397</f>
        <v>0</v>
      </c>
      <c r="E66" s="872">
        <f>'11.销售及回款表'!G397</f>
        <v>0</v>
      </c>
      <c r="F66" s="872">
        <f>'11.销售及回款表'!H397</f>
        <v>0</v>
      </c>
      <c r="G66" s="871">
        <f>'11.销售及回款表'!I397</f>
        <v>0</v>
      </c>
      <c r="H66" s="872">
        <f>'11.销售及回款表'!J397</f>
        <v>0</v>
      </c>
      <c r="I66" s="872">
        <f>'11.销售及回款表'!K397</f>
        <v>0</v>
      </c>
      <c r="J66" s="872">
        <f>'11.销售及回款表'!L397</f>
        <v>0</v>
      </c>
      <c r="K66" s="871">
        <f>'11.销售及回款表'!M397</f>
        <v>0</v>
      </c>
      <c r="L66" s="872">
        <f>'11.销售及回款表'!N397</f>
        <v>0</v>
      </c>
      <c r="M66" s="872">
        <f>'11.销售及回款表'!O397</f>
        <v>0</v>
      </c>
      <c r="N66" s="872">
        <f>'11.销售及回款表'!P397</f>
        <v>0</v>
      </c>
      <c r="O66" s="871">
        <f>'11.销售及回款表'!Q397</f>
        <v>0</v>
      </c>
      <c r="P66" s="872">
        <f>'11.销售及回款表'!R397</f>
        <v>0</v>
      </c>
      <c r="Q66" s="872">
        <f>'11.销售及回款表'!S397</f>
        <v>0</v>
      </c>
      <c r="R66" s="872">
        <f>'11.销售及回款表'!T397</f>
        <v>0</v>
      </c>
      <c r="S66" s="871">
        <f>'11.销售及回款表'!U397</f>
        <v>0</v>
      </c>
      <c r="T66" s="872">
        <f>'11.销售及回款表'!V397</f>
        <v>0</v>
      </c>
      <c r="U66" s="872">
        <f>'11.销售及回款表'!W397</f>
        <v>0</v>
      </c>
      <c r="V66" s="872">
        <f>'11.销售及回款表'!X397</f>
        <v>0</v>
      </c>
      <c r="W66" s="871">
        <f>'11.销售及回款表'!Y397</f>
        <v>0</v>
      </c>
      <c r="X66" s="872">
        <f>'11.销售及回款表'!Z397</f>
        <v>0</v>
      </c>
      <c r="Y66" s="872">
        <f>'11.销售及回款表'!AA397</f>
        <v>0</v>
      </c>
      <c r="Z66" s="872">
        <f>'11.销售及回款表'!AB397</f>
        <v>0</v>
      </c>
      <c r="AA66" s="871">
        <f>'11.销售及回款表'!AC397</f>
        <v>0</v>
      </c>
      <c r="AB66" s="872">
        <f>'11.销售及回款表'!AD397</f>
        <v>0</v>
      </c>
      <c r="AC66" s="872">
        <f>'11.销售及回款表'!AE397</f>
        <v>0</v>
      </c>
      <c r="AD66" s="872">
        <f>'11.销售及回款表'!AF397</f>
        <v>0</v>
      </c>
      <c r="AE66" s="871">
        <f>'11.销售及回款表'!AG397</f>
        <v>0</v>
      </c>
      <c r="AF66" s="872">
        <f>'11.销售及回款表'!AH397</f>
        <v>0</v>
      </c>
      <c r="AG66" s="872">
        <f>'11.销售及回款表'!AI397</f>
        <v>0</v>
      </c>
      <c r="AH66" s="872">
        <f>'11.销售及回款表'!AJ397</f>
        <v>0</v>
      </c>
      <c r="AI66" s="871">
        <f>'11.销售及回款表'!AK397</f>
        <v>0</v>
      </c>
      <c r="AJ66" s="872">
        <f>'11.销售及回款表'!AL397</f>
        <v>0</v>
      </c>
      <c r="AK66" s="872">
        <f>'11.销售及回款表'!AM397</f>
        <v>0</v>
      </c>
      <c r="AL66" s="872">
        <f>'11.销售及回款表'!AN397</f>
        <v>0</v>
      </c>
      <c r="AM66" s="871">
        <f>'11.销售及回款表'!AO397</f>
        <v>0</v>
      </c>
      <c r="AN66" s="872">
        <f>'11.销售及回款表'!AP397</f>
        <v>0</v>
      </c>
      <c r="AO66" s="872">
        <f>'11.销售及回款表'!AQ397</f>
        <v>0</v>
      </c>
      <c r="AP66" s="872">
        <f>'11.销售及回款表'!AR397</f>
        <v>0</v>
      </c>
      <c r="AQ66" s="871">
        <f>'11.销售及回款表'!AS397</f>
        <v>0</v>
      </c>
      <c r="AR66" s="872">
        <f>'11.销售及回款表'!AT397</f>
        <v>0</v>
      </c>
      <c r="AS66" s="872">
        <f>'11.销售及回款表'!AU397</f>
        <v>0</v>
      </c>
      <c r="AT66" s="872">
        <f>'11.销售及回款表'!AV397</f>
        <v>0</v>
      </c>
    </row>
    <row r="67" spans="1:46" s="77" customFormat="1" ht="18" customHeight="1" outlineLevel="2">
      <c r="A67" s="869">
        <f>'8.项目规划指标表'!B12</f>
        <v>0</v>
      </c>
      <c r="B67" s="870">
        <f t="shared" si="2"/>
        <v>0</v>
      </c>
      <c r="C67" s="871">
        <f>'11.销售及回款表'!E402</f>
        <v>0</v>
      </c>
      <c r="D67" s="872">
        <f>'11.销售及回款表'!F402</f>
        <v>0</v>
      </c>
      <c r="E67" s="872">
        <f>'11.销售及回款表'!G402</f>
        <v>0</v>
      </c>
      <c r="F67" s="872">
        <f>'11.销售及回款表'!H402</f>
        <v>0</v>
      </c>
      <c r="G67" s="871">
        <f>'11.销售及回款表'!I402</f>
        <v>0</v>
      </c>
      <c r="H67" s="872">
        <f>'11.销售及回款表'!J402</f>
        <v>0</v>
      </c>
      <c r="I67" s="872">
        <f>'11.销售及回款表'!K402</f>
        <v>0</v>
      </c>
      <c r="J67" s="872">
        <f>'11.销售及回款表'!L402</f>
        <v>0</v>
      </c>
      <c r="K67" s="871">
        <f>'11.销售及回款表'!M402</f>
        <v>0</v>
      </c>
      <c r="L67" s="872">
        <f>'11.销售及回款表'!N402</f>
        <v>0</v>
      </c>
      <c r="M67" s="872">
        <f>'11.销售及回款表'!O402</f>
        <v>0</v>
      </c>
      <c r="N67" s="872">
        <f>'11.销售及回款表'!P402</f>
        <v>0</v>
      </c>
      <c r="O67" s="871">
        <f>'11.销售及回款表'!Q402</f>
        <v>0</v>
      </c>
      <c r="P67" s="872">
        <f>'11.销售及回款表'!R402</f>
        <v>0</v>
      </c>
      <c r="Q67" s="872">
        <f>'11.销售及回款表'!S402</f>
        <v>0</v>
      </c>
      <c r="R67" s="872">
        <f>'11.销售及回款表'!T402</f>
        <v>0</v>
      </c>
      <c r="S67" s="871">
        <f>'11.销售及回款表'!U402</f>
        <v>0</v>
      </c>
      <c r="T67" s="872">
        <f>'11.销售及回款表'!V402</f>
        <v>0</v>
      </c>
      <c r="U67" s="872">
        <f>'11.销售及回款表'!W402</f>
        <v>0</v>
      </c>
      <c r="V67" s="872">
        <f>'11.销售及回款表'!X402</f>
        <v>0</v>
      </c>
      <c r="W67" s="871">
        <f>'11.销售及回款表'!Y402</f>
        <v>0</v>
      </c>
      <c r="X67" s="872">
        <f>'11.销售及回款表'!Z402</f>
        <v>0</v>
      </c>
      <c r="Y67" s="872">
        <f>'11.销售及回款表'!AA402</f>
        <v>0</v>
      </c>
      <c r="Z67" s="872">
        <f>'11.销售及回款表'!AB402</f>
        <v>0</v>
      </c>
      <c r="AA67" s="871">
        <f>'11.销售及回款表'!AC402</f>
        <v>0</v>
      </c>
      <c r="AB67" s="872">
        <f>'11.销售及回款表'!AD402</f>
        <v>0</v>
      </c>
      <c r="AC67" s="872">
        <f>'11.销售及回款表'!AE402</f>
        <v>0</v>
      </c>
      <c r="AD67" s="872">
        <f>'11.销售及回款表'!AF402</f>
        <v>0</v>
      </c>
      <c r="AE67" s="871">
        <f>'11.销售及回款表'!AG402</f>
        <v>0</v>
      </c>
      <c r="AF67" s="872">
        <f>'11.销售及回款表'!AH402</f>
        <v>0</v>
      </c>
      <c r="AG67" s="872">
        <f>'11.销售及回款表'!AI402</f>
        <v>0</v>
      </c>
      <c r="AH67" s="872">
        <f>'11.销售及回款表'!AJ402</f>
        <v>0</v>
      </c>
      <c r="AI67" s="871">
        <f>'11.销售及回款表'!AK402</f>
        <v>0</v>
      </c>
      <c r="AJ67" s="872">
        <f>'11.销售及回款表'!AL402</f>
        <v>0</v>
      </c>
      <c r="AK67" s="872">
        <f>'11.销售及回款表'!AM402</f>
        <v>0</v>
      </c>
      <c r="AL67" s="872">
        <f>'11.销售及回款表'!AN402</f>
        <v>0</v>
      </c>
      <c r="AM67" s="871">
        <f>'11.销售及回款表'!AO402</f>
        <v>0</v>
      </c>
      <c r="AN67" s="872">
        <f>'11.销售及回款表'!AP402</f>
        <v>0</v>
      </c>
      <c r="AO67" s="872">
        <f>'11.销售及回款表'!AQ402</f>
        <v>0</v>
      </c>
      <c r="AP67" s="872">
        <f>'11.销售及回款表'!AR402</f>
        <v>0</v>
      </c>
      <c r="AQ67" s="871">
        <f>'11.销售及回款表'!AS402</f>
        <v>0</v>
      </c>
      <c r="AR67" s="872">
        <f>'11.销售及回款表'!AT402</f>
        <v>0</v>
      </c>
      <c r="AS67" s="872">
        <f>'11.销售及回款表'!AU402</f>
        <v>0</v>
      </c>
      <c r="AT67" s="872">
        <f>'11.销售及回款表'!AV402</f>
        <v>0</v>
      </c>
    </row>
    <row r="68" spans="1:46" s="77" customFormat="1" ht="18" customHeight="1" outlineLevel="2">
      <c r="A68" s="869">
        <f>'8.项目规划指标表'!B13</f>
        <v>0</v>
      </c>
      <c r="B68" s="870">
        <f t="shared" si="2"/>
        <v>0</v>
      </c>
      <c r="C68" s="871">
        <f>'11.销售及回款表'!E407</f>
        <v>0</v>
      </c>
      <c r="D68" s="872">
        <f>'11.销售及回款表'!F407</f>
        <v>0</v>
      </c>
      <c r="E68" s="872">
        <f>'11.销售及回款表'!G407</f>
        <v>0</v>
      </c>
      <c r="F68" s="872">
        <f>'11.销售及回款表'!H407</f>
        <v>0</v>
      </c>
      <c r="G68" s="871">
        <f>'11.销售及回款表'!I407</f>
        <v>0</v>
      </c>
      <c r="H68" s="872">
        <f>'11.销售及回款表'!J407</f>
        <v>0</v>
      </c>
      <c r="I68" s="872">
        <f>'11.销售及回款表'!K407</f>
        <v>0</v>
      </c>
      <c r="J68" s="872">
        <f>'11.销售及回款表'!L407</f>
        <v>0</v>
      </c>
      <c r="K68" s="871">
        <f>'11.销售及回款表'!M407</f>
        <v>0</v>
      </c>
      <c r="L68" s="872">
        <f>'11.销售及回款表'!N407</f>
        <v>0</v>
      </c>
      <c r="M68" s="872">
        <f>'11.销售及回款表'!O407</f>
        <v>0</v>
      </c>
      <c r="N68" s="872">
        <f>'11.销售及回款表'!P407</f>
        <v>0</v>
      </c>
      <c r="O68" s="871">
        <f>'11.销售及回款表'!Q407</f>
        <v>0</v>
      </c>
      <c r="P68" s="872">
        <f>'11.销售及回款表'!R407</f>
        <v>0</v>
      </c>
      <c r="Q68" s="872">
        <f>'11.销售及回款表'!S407</f>
        <v>0</v>
      </c>
      <c r="R68" s="872">
        <f>'11.销售及回款表'!T407</f>
        <v>0</v>
      </c>
      <c r="S68" s="871">
        <f>'11.销售及回款表'!U407</f>
        <v>0</v>
      </c>
      <c r="T68" s="872">
        <f>'11.销售及回款表'!V407</f>
        <v>0</v>
      </c>
      <c r="U68" s="872">
        <f>'11.销售及回款表'!W407</f>
        <v>0</v>
      </c>
      <c r="V68" s="872">
        <f>'11.销售及回款表'!X407</f>
        <v>0</v>
      </c>
      <c r="W68" s="871">
        <f>'11.销售及回款表'!Y407</f>
        <v>0</v>
      </c>
      <c r="X68" s="872">
        <f>'11.销售及回款表'!Z407</f>
        <v>0</v>
      </c>
      <c r="Y68" s="872">
        <f>'11.销售及回款表'!AA407</f>
        <v>0</v>
      </c>
      <c r="Z68" s="872">
        <f>'11.销售及回款表'!AB407</f>
        <v>0</v>
      </c>
      <c r="AA68" s="871">
        <f>'11.销售及回款表'!AC407</f>
        <v>0</v>
      </c>
      <c r="AB68" s="872">
        <f>'11.销售及回款表'!AD407</f>
        <v>0</v>
      </c>
      <c r="AC68" s="872">
        <f>'11.销售及回款表'!AE407</f>
        <v>0</v>
      </c>
      <c r="AD68" s="872">
        <f>'11.销售及回款表'!AF407</f>
        <v>0</v>
      </c>
      <c r="AE68" s="871">
        <f>'11.销售及回款表'!AG407</f>
        <v>0</v>
      </c>
      <c r="AF68" s="872">
        <f>'11.销售及回款表'!AH407</f>
        <v>0</v>
      </c>
      <c r="AG68" s="872">
        <f>'11.销售及回款表'!AI407</f>
        <v>0</v>
      </c>
      <c r="AH68" s="872">
        <f>'11.销售及回款表'!AJ407</f>
        <v>0</v>
      </c>
      <c r="AI68" s="871">
        <f>'11.销售及回款表'!AK407</f>
        <v>0</v>
      </c>
      <c r="AJ68" s="872">
        <f>'11.销售及回款表'!AL407</f>
        <v>0</v>
      </c>
      <c r="AK68" s="872">
        <f>'11.销售及回款表'!AM407</f>
        <v>0</v>
      </c>
      <c r="AL68" s="872">
        <f>'11.销售及回款表'!AN407</f>
        <v>0</v>
      </c>
      <c r="AM68" s="871">
        <f>'11.销售及回款表'!AO407</f>
        <v>0</v>
      </c>
      <c r="AN68" s="872">
        <f>'11.销售及回款表'!AP407</f>
        <v>0</v>
      </c>
      <c r="AO68" s="872">
        <f>'11.销售及回款表'!AQ407</f>
        <v>0</v>
      </c>
      <c r="AP68" s="872">
        <f>'11.销售及回款表'!AR407</f>
        <v>0</v>
      </c>
      <c r="AQ68" s="871">
        <f>'11.销售及回款表'!AS407</f>
        <v>0</v>
      </c>
      <c r="AR68" s="872">
        <f>'11.销售及回款表'!AT407</f>
        <v>0</v>
      </c>
      <c r="AS68" s="872">
        <f>'11.销售及回款表'!AU407</f>
        <v>0</v>
      </c>
      <c r="AT68" s="872">
        <f>'11.销售及回款表'!AV407</f>
        <v>0</v>
      </c>
    </row>
    <row r="69" spans="1:46" s="77" customFormat="1" ht="18" customHeight="1" outlineLevel="2">
      <c r="A69" s="869" t="str">
        <f>'8.项目规划指标表'!B14</f>
        <v>自持物业</v>
      </c>
      <c r="B69" s="870">
        <f t="shared" si="2"/>
        <v>0</v>
      </c>
      <c r="C69" s="871">
        <f>'11.销售及回款表'!E412</f>
        <v>0</v>
      </c>
      <c r="D69" s="872">
        <f>'11.销售及回款表'!F412</f>
        <v>0</v>
      </c>
      <c r="E69" s="872">
        <f>'11.销售及回款表'!G412</f>
        <v>0</v>
      </c>
      <c r="F69" s="872">
        <f>'11.销售及回款表'!H412</f>
        <v>0</v>
      </c>
      <c r="G69" s="871">
        <f>'11.销售及回款表'!I412</f>
        <v>0</v>
      </c>
      <c r="H69" s="872">
        <f>'11.销售及回款表'!J412</f>
        <v>0</v>
      </c>
      <c r="I69" s="872">
        <f>'11.销售及回款表'!K412</f>
        <v>0</v>
      </c>
      <c r="J69" s="872">
        <f>'11.销售及回款表'!L412</f>
        <v>0</v>
      </c>
      <c r="K69" s="871">
        <f>'11.销售及回款表'!M412</f>
        <v>0</v>
      </c>
      <c r="L69" s="872">
        <f>'11.销售及回款表'!N412</f>
        <v>0</v>
      </c>
      <c r="M69" s="872">
        <f>'11.销售及回款表'!O412</f>
        <v>0</v>
      </c>
      <c r="N69" s="872">
        <f>'11.销售及回款表'!P412</f>
        <v>0</v>
      </c>
      <c r="O69" s="871">
        <f>'11.销售及回款表'!Q412</f>
        <v>0</v>
      </c>
      <c r="P69" s="872">
        <f>'11.销售及回款表'!R412</f>
        <v>0</v>
      </c>
      <c r="Q69" s="872">
        <f>'11.销售及回款表'!S412</f>
        <v>0</v>
      </c>
      <c r="R69" s="872">
        <f>'11.销售及回款表'!T412</f>
        <v>0</v>
      </c>
      <c r="S69" s="871">
        <f>'11.销售及回款表'!U412</f>
        <v>0</v>
      </c>
      <c r="T69" s="872">
        <f>'11.销售及回款表'!V412</f>
        <v>0</v>
      </c>
      <c r="U69" s="872">
        <f>'11.销售及回款表'!W412</f>
        <v>0</v>
      </c>
      <c r="V69" s="872">
        <f>'11.销售及回款表'!X412</f>
        <v>0</v>
      </c>
      <c r="W69" s="871">
        <f>'11.销售及回款表'!Y412</f>
        <v>0</v>
      </c>
      <c r="X69" s="872">
        <f>'11.销售及回款表'!Z412</f>
        <v>0</v>
      </c>
      <c r="Y69" s="872">
        <f>'11.销售及回款表'!AA412</f>
        <v>0</v>
      </c>
      <c r="Z69" s="872">
        <f>'11.销售及回款表'!AB412</f>
        <v>0</v>
      </c>
      <c r="AA69" s="871">
        <f>'11.销售及回款表'!AC412</f>
        <v>0</v>
      </c>
      <c r="AB69" s="872">
        <f>'11.销售及回款表'!AD412</f>
        <v>0</v>
      </c>
      <c r="AC69" s="872">
        <f>'11.销售及回款表'!AE412</f>
        <v>0</v>
      </c>
      <c r="AD69" s="872">
        <f>'11.销售及回款表'!AF412</f>
        <v>0</v>
      </c>
      <c r="AE69" s="871">
        <f>'11.销售及回款表'!AG412</f>
        <v>0</v>
      </c>
      <c r="AF69" s="872">
        <f>'11.销售及回款表'!AH412</f>
        <v>0</v>
      </c>
      <c r="AG69" s="872">
        <f>'11.销售及回款表'!AI412</f>
        <v>0</v>
      </c>
      <c r="AH69" s="872">
        <f>'11.销售及回款表'!AJ412</f>
        <v>0</v>
      </c>
      <c r="AI69" s="871">
        <f>'11.销售及回款表'!AK412</f>
        <v>0</v>
      </c>
      <c r="AJ69" s="872">
        <f>'11.销售及回款表'!AL412</f>
        <v>0</v>
      </c>
      <c r="AK69" s="872">
        <f>'11.销售及回款表'!AM412</f>
        <v>0</v>
      </c>
      <c r="AL69" s="872">
        <f>'11.销售及回款表'!AN412</f>
        <v>0</v>
      </c>
      <c r="AM69" s="871">
        <f>'11.销售及回款表'!AO412</f>
        <v>0</v>
      </c>
      <c r="AN69" s="872">
        <f>'11.销售及回款表'!AP412</f>
        <v>0</v>
      </c>
      <c r="AO69" s="872">
        <f>'11.销售及回款表'!AQ412</f>
        <v>0</v>
      </c>
      <c r="AP69" s="872">
        <f>'11.销售及回款表'!AR412</f>
        <v>0</v>
      </c>
      <c r="AQ69" s="871">
        <f>'11.销售及回款表'!AS412</f>
        <v>0</v>
      </c>
      <c r="AR69" s="872">
        <f>'11.销售及回款表'!AT412</f>
        <v>0</v>
      </c>
      <c r="AS69" s="872">
        <f>'11.销售及回款表'!AU412</f>
        <v>0</v>
      </c>
      <c r="AT69" s="872">
        <f>'11.销售及回款表'!AV412</f>
        <v>0</v>
      </c>
    </row>
    <row r="70" spans="1:46" s="77" customFormat="1" ht="18" customHeight="1" outlineLevel="2">
      <c r="A70" s="869" t="str">
        <f>'8.项目规划指标表'!B18</f>
        <v>有产权车库(个)</v>
      </c>
      <c r="B70" s="870">
        <f t="shared" si="2"/>
        <v>0</v>
      </c>
      <c r="C70" s="871">
        <f>'11.销售及回款表'!E417</f>
        <v>0</v>
      </c>
      <c r="D70" s="872">
        <f>'11.销售及回款表'!F417</f>
        <v>0</v>
      </c>
      <c r="E70" s="872">
        <f>'11.销售及回款表'!G417</f>
        <v>0</v>
      </c>
      <c r="F70" s="872">
        <f>'11.销售及回款表'!H417</f>
        <v>0</v>
      </c>
      <c r="G70" s="871">
        <f>'11.销售及回款表'!I417</f>
        <v>0</v>
      </c>
      <c r="H70" s="872">
        <f>'11.销售及回款表'!J417</f>
        <v>0</v>
      </c>
      <c r="I70" s="872">
        <f>'11.销售及回款表'!K417</f>
        <v>0</v>
      </c>
      <c r="J70" s="872">
        <f>'11.销售及回款表'!L417</f>
        <v>0</v>
      </c>
      <c r="K70" s="871">
        <f>'11.销售及回款表'!M417</f>
        <v>0</v>
      </c>
      <c r="L70" s="872">
        <f>'11.销售及回款表'!N417</f>
        <v>0</v>
      </c>
      <c r="M70" s="872">
        <f>'11.销售及回款表'!O417</f>
        <v>0</v>
      </c>
      <c r="N70" s="872">
        <f>'11.销售及回款表'!P417</f>
        <v>0</v>
      </c>
      <c r="O70" s="871">
        <f>'11.销售及回款表'!Q417</f>
        <v>0</v>
      </c>
      <c r="P70" s="872">
        <f>'11.销售及回款表'!R417</f>
        <v>0</v>
      </c>
      <c r="Q70" s="872">
        <f>'11.销售及回款表'!S417</f>
        <v>0</v>
      </c>
      <c r="R70" s="872">
        <f>'11.销售及回款表'!T417</f>
        <v>0</v>
      </c>
      <c r="S70" s="871">
        <f>'11.销售及回款表'!U417</f>
        <v>0</v>
      </c>
      <c r="T70" s="872">
        <f>'11.销售及回款表'!V417</f>
        <v>0</v>
      </c>
      <c r="U70" s="872">
        <f>'11.销售及回款表'!W417</f>
        <v>0</v>
      </c>
      <c r="V70" s="872">
        <f>'11.销售及回款表'!X417</f>
        <v>0</v>
      </c>
      <c r="W70" s="871">
        <f>'11.销售及回款表'!Y417</f>
        <v>0</v>
      </c>
      <c r="X70" s="872">
        <f>'11.销售及回款表'!Z417</f>
        <v>0</v>
      </c>
      <c r="Y70" s="872">
        <f>'11.销售及回款表'!AA417</f>
        <v>0</v>
      </c>
      <c r="Z70" s="872">
        <f>'11.销售及回款表'!AB417</f>
        <v>0</v>
      </c>
      <c r="AA70" s="871">
        <f>'11.销售及回款表'!AC417</f>
        <v>0</v>
      </c>
      <c r="AB70" s="872">
        <f>'11.销售及回款表'!AD417</f>
        <v>0</v>
      </c>
      <c r="AC70" s="872">
        <f>'11.销售及回款表'!AE417</f>
        <v>0</v>
      </c>
      <c r="AD70" s="872">
        <f>'11.销售及回款表'!AF417</f>
        <v>0</v>
      </c>
      <c r="AE70" s="871">
        <f>'11.销售及回款表'!AG417</f>
        <v>0</v>
      </c>
      <c r="AF70" s="872">
        <f>'11.销售及回款表'!AH417</f>
        <v>0</v>
      </c>
      <c r="AG70" s="872">
        <f>'11.销售及回款表'!AI417</f>
        <v>0</v>
      </c>
      <c r="AH70" s="872">
        <f>'11.销售及回款表'!AJ417</f>
        <v>0</v>
      </c>
      <c r="AI70" s="871">
        <f>'11.销售及回款表'!AK417</f>
        <v>0</v>
      </c>
      <c r="AJ70" s="872">
        <f>'11.销售及回款表'!AL417</f>
        <v>0</v>
      </c>
      <c r="AK70" s="872">
        <f>'11.销售及回款表'!AM417</f>
        <v>0</v>
      </c>
      <c r="AL70" s="872">
        <f>'11.销售及回款表'!AN417</f>
        <v>0</v>
      </c>
      <c r="AM70" s="871">
        <f>'11.销售及回款表'!AO417</f>
        <v>0</v>
      </c>
      <c r="AN70" s="872">
        <f>'11.销售及回款表'!AP417</f>
        <v>0</v>
      </c>
      <c r="AO70" s="872">
        <f>'11.销售及回款表'!AQ417</f>
        <v>0</v>
      </c>
      <c r="AP70" s="872">
        <f>'11.销售及回款表'!AR417</f>
        <v>0</v>
      </c>
      <c r="AQ70" s="871">
        <f>'11.销售及回款表'!AS417</f>
        <v>0</v>
      </c>
      <c r="AR70" s="872">
        <f>'11.销售及回款表'!AT417</f>
        <v>0</v>
      </c>
      <c r="AS70" s="872">
        <f>'11.销售及回款表'!AU417</f>
        <v>0</v>
      </c>
      <c r="AT70" s="872">
        <f>'11.销售及回款表'!AV417</f>
        <v>0</v>
      </c>
    </row>
    <row r="71" spans="1:46" s="77" customFormat="1" ht="18" customHeight="1" outlineLevel="2">
      <c r="A71" s="869" t="str">
        <f>'8.项目规划指标表'!B19</f>
        <v>无产权车库(个)</v>
      </c>
      <c r="B71" s="870">
        <f t="shared" si="2"/>
        <v>0</v>
      </c>
      <c r="C71" s="871">
        <f>'11.销售及回款表'!E422</f>
        <v>0</v>
      </c>
      <c r="D71" s="872">
        <f>'11.销售及回款表'!F422</f>
        <v>0</v>
      </c>
      <c r="E71" s="872">
        <f>'11.销售及回款表'!G422</f>
        <v>0</v>
      </c>
      <c r="F71" s="872">
        <f>'11.销售及回款表'!H422</f>
        <v>0</v>
      </c>
      <c r="G71" s="871">
        <f>'11.销售及回款表'!I422</f>
        <v>0</v>
      </c>
      <c r="H71" s="872">
        <f>'11.销售及回款表'!J422</f>
        <v>0</v>
      </c>
      <c r="I71" s="872">
        <f>'11.销售及回款表'!K422</f>
        <v>0</v>
      </c>
      <c r="J71" s="872">
        <f>'11.销售及回款表'!L422</f>
        <v>0</v>
      </c>
      <c r="K71" s="871">
        <f>'11.销售及回款表'!M422</f>
        <v>0</v>
      </c>
      <c r="L71" s="872">
        <f>'11.销售及回款表'!N422</f>
        <v>0</v>
      </c>
      <c r="M71" s="872">
        <f>'11.销售及回款表'!O422</f>
        <v>0</v>
      </c>
      <c r="N71" s="872">
        <f>'11.销售及回款表'!P422</f>
        <v>0</v>
      </c>
      <c r="O71" s="871">
        <f>'11.销售及回款表'!Q422</f>
        <v>0</v>
      </c>
      <c r="P71" s="872">
        <f>'11.销售及回款表'!R422</f>
        <v>0</v>
      </c>
      <c r="Q71" s="872">
        <f>'11.销售及回款表'!S422</f>
        <v>0</v>
      </c>
      <c r="R71" s="872">
        <f>'11.销售及回款表'!T422</f>
        <v>0</v>
      </c>
      <c r="S71" s="871">
        <f>'11.销售及回款表'!U422</f>
        <v>0</v>
      </c>
      <c r="T71" s="872">
        <f>'11.销售及回款表'!V422</f>
        <v>0</v>
      </c>
      <c r="U71" s="872">
        <f>'11.销售及回款表'!W422</f>
        <v>0</v>
      </c>
      <c r="V71" s="872">
        <f>'11.销售及回款表'!X422</f>
        <v>0</v>
      </c>
      <c r="W71" s="871">
        <f>'11.销售及回款表'!Y422</f>
        <v>0</v>
      </c>
      <c r="X71" s="872">
        <f>'11.销售及回款表'!Z422</f>
        <v>0</v>
      </c>
      <c r="Y71" s="872">
        <f>'11.销售及回款表'!AA422</f>
        <v>0</v>
      </c>
      <c r="Z71" s="872">
        <f>'11.销售及回款表'!AB422</f>
        <v>0</v>
      </c>
      <c r="AA71" s="871">
        <f>'11.销售及回款表'!AC422</f>
        <v>0</v>
      </c>
      <c r="AB71" s="872">
        <f>'11.销售及回款表'!AD422</f>
        <v>0</v>
      </c>
      <c r="AC71" s="872">
        <f>'11.销售及回款表'!AE422</f>
        <v>0</v>
      </c>
      <c r="AD71" s="872">
        <f>'11.销售及回款表'!AF422</f>
        <v>0</v>
      </c>
      <c r="AE71" s="871">
        <f>'11.销售及回款表'!AG422</f>
        <v>0</v>
      </c>
      <c r="AF71" s="872">
        <f>'11.销售及回款表'!AH422</f>
        <v>0</v>
      </c>
      <c r="AG71" s="872">
        <f>'11.销售及回款表'!AI422</f>
        <v>0</v>
      </c>
      <c r="AH71" s="872">
        <f>'11.销售及回款表'!AJ422</f>
        <v>0</v>
      </c>
      <c r="AI71" s="871">
        <f>'11.销售及回款表'!AK422</f>
        <v>0</v>
      </c>
      <c r="AJ71" s="872">
        <f>'11.销售及回款表'!AL422</f>
        <v>0</v>
      </c>
      <c r="AK71" s="872">
        <f>'11.销售及回款表'!AM422</f>
        <v>0</v>
      </c>
      <c r="AL71" s="872">
        <f>'11.销售及回款表'!AN422</f>
        <v>0</v>
      </c>
      <c r="AM71" s="871">
        <f>'11.销售及回款表'!AO422</f>
        <v>0</v>
      </c>
      <c r="AN71" s="872">
        <f>'11.销售及回款表'!AP422</f>
        <v>0</v>
      </c>
      <c r="AO71" s="872">
        <f>'11.销售及回款表'!AQ422</f>
        <v>0</v>
      </c>
      <c r="AP71" s="872">
        <f>'11.销售及回款表'!AR422</f>
        <v>0</v>
      </c>
      <c r="AQ71" s="871">
        <f>'11.销售及回款表'!AS422</f>
        <v>0</v>
      </c>
      <c r="AR71" s="872">
        <f>'11.销售及回款表'!AT422</f>
        <v>0</v>
      </c>
      <c r="AS71" s="872">
        <f>'11.销售及回款表'!AU422</f>
        <v>0</v>
      </c>
      <c r="AT71" s="872">
        <f>'11.销售及回款表'!AV422</f>
        <v>0</v>
      </c>
    </row>
    <row r="72" spans="1:46" s="77" customFormat="1" ht="18" customHeight="1" outlineLevel="1">
      <c r="A72" s="865" t="s">
        <v>24</v>
      </c>
      <c r="B72" s="866">
        <f t="shared" ref="B72:AT72" si="7">SUM(B73:B84)</f>
        <v>0</v>
      </c>
      <c r="C72" s="867">
        <f t="shared" si="7"/>
        <v>0</v>
      </c>
      <c r="D72" s="868">
        <f t="shared" si="7"/>
        <v>0</v>
      </c>
      <c r="E72" s="868">
        <f t="shared" si="7"/>
        <v>0</v>
      </c>
      <c r="F72" s="868">
        <f t="shared" si="7"/>
        <v>0</v>
      </c>
      <c r="G72" s="867">
        <f t="shared" si="7"/>
        <v>0</v>
      </c>
      <c r="H72" s="868">
        <f t="shared" si="7"/>
        <v>0</v>
      </c>
      <c r="I72" s="868">
        <f t="shared" si="7"/>
        <v>0</v>
      </c>
      <c r="J72" s="868">
        <f t="shared" si="7"/>
        <v>0</v>
      </c>
      <c r="K72" s="867">
        <f t="shared" si="7"/>
        <v>0</v>
      </c>
      <c r="L72" s="868">
        <f t="shared" si="7"/>
        <v>0</v>
      </c>
      <c r="M72" s="868">
        <f t="shared" si="7"/>
        <v>0</v>
      </c>
      <c r="N72" s="868">
        <f t="shared" si="7"/>
        <v>0</v>
      </c>
      <c r="O72" s="867">
        <f t="shared" si="7"/>
        <v>0</v>
      </c>
      <c r="P72" s="868">
        <f t="shared" si="7"/>
        <v>0</v>
      </c>
      <c r="Q72" s="868">
        <f t="shared" si="7"/>
        <v>0</v>
      </c>
      <c r="R72" s="868">
        <f t="shared" si="7"/>
        <v>0</v>
      </c>
      <c r="S72" s="867">
        <f t="shared" si="7"/>
        <v>0</v>
      </c>
      <c r="T72" s="868">
        <f t="shared" si="7"/>
        <v>0</v>
      </c>
      <c r="U72" s="868">
        <f t="shared" si="7"/>
        <v>0</v>
      </c>
      <c r="V72" s="868">
        <f t="shared" si="7"/>
        <v>0</v>
      </c>
      <c r="W72" s="867">
        <f t="shared" si="7"/>
        <v>0</v>
      </c>
      <c r="X72" s="868">
        <f t="shared" si="7"/>
        <v>0</v>
      </c>
      <c r="Y72" s="868">
        <f t="shared" si="7"/>
        <v>0</v>
      </c>
      <c r="Z72" s="868">
        <f t="shared" si="7"/>
        <v>0</v>
      </c>
      <c r="AA72" s="867">
        <f t="shared" si="7"/>
        <v>0</v>
      </c>
      <c r="AB72" s="868">
        <f t="shared" si="7"/>
        <v>0</v>
      </c>
      <c r="AC72" s="868">
        <f t="shared" si="7"/>
        <v>0</v>
      </c>
      <c r="AD72" s="868">
        <f t="shared" si="7"/>
        <v>0</v>
      </c>
      <c r="AE72" s="867">
        <f t="shared" si="7"/>
        <v>0</v>
      </c>
      <c r="AF72" s="868">
        <f t="shared" si="7"/>
        <v>0</v>
      </c>
      <c r="AG72" s="868">
        <f t="shared" si="7"/>
        <v>0</v>
      </c>
      <c r="AH72" s="868">
        <f t="shared" si="7"/>
        <v>0</v>
      </c>
      <c r="AI72" s="867">
        <f t="shared" si="7"/>
        <v>0</v>
      </c>
      <c r="AJ72" s="868">
        <f t="shared" si="7"/>
        <v>0</v>
      </c>
      <c r="AK72" s="868">
        <f t="shared" si="7"/>
        <v>0</v>
      </c>
      <c r="AL72" s="868">
        <f t="shared" si="7"/>
        <v>0</v>
      </c>
      <c r="AM72" s="867">
        <f t="shared" si="7"/>
        <v>0</v>
      </c>
      <c r="AN72" s="868">
        <f t="shared" si="7"/>
        <v>0</v>
      </c>
      <c r="AO72" s="868">
        <f t="shared" si="7"/>
        <v>0</v>
      </c>
      <c r="AP72" s="868">
        <f t="shared" si="7"/>
        <v>0</v>
      </c>
      <c r="AQ72" s="867">
        <f t="shared" si="7"/>
        <v>0</v>
      </c>
      <c r="AR72" s="868">
        <f t="shared" si="7"/>
        <v>0</v>
      </c>
      <c r="AS72" s="868">
        <f t="shared" si="7"/>
        <v>0</v>
      </c>
      <c r="AT72" s="868">
        <f t="shared" si="7"/>
        <v>0</v>
      </c>
    </row>
    <row r="73" spans="1:46" s="77" customFormat="1" ht="18" customHeight="1" outlineLevel="2">
      <c r="A73" s="873" t="str">
        <f>'8.项目规划指标表'!B5</f>
        <v>高层</v>
      </c>
      <c r="B73" s="870">
        <f t="shared" si="2"/>
        <v>0</v>
      </c>
      <c r="C73" s="871">
        <f>'11.销售及回款表'!E437</f>
        <v>0</v>
      </c>
      <c r="D73" s="872">
        <f>'11.销售及回款表'!F437</f>
        <v>0</v>
      </c>
      <c r="E73" s="872">
        <f>'11.销售及回款表'!G437</f>
        <v>0</v>
      </c>
      <c r="F73" s="872">
        <f>'11.销售及回款表'!H437</f>
        <v>0</v>
      </c>
      <c r="G73" s="871">
        <f>'11.销售及回款表'!I437</f>
        <v>0</v>
      </c>
      <c r="H73" s="872">
        <f>'11.销售及回款表'!J437</f>
        <v>0</v>
      </c>
      <c r="I73" s="872">
        <f>'11.销售及回款表'!K437</f>
        <v>0</v>
      </c>
      <c r="J73" s="872">
        <f>'11.销售及回款表'!L437</f>
        <v>0</v>
      </c>
      <c r="K73" s="871">
        <f>'11.销售及回款表'!M437</f>
        <v>0</v>
      </c>
      <c r="L73" s="872">
        <f>'11.销售及回款表'!N437</f>
        <v>0</v>
      </c>
      <c r="M73" s="872">
        <f>'11.销售及回款表'!O437</f>
        <v>0</v>
      </c>
      <c r="N73" s="872">
        <f>'11.销售及回款表'!P437</f>
        <v>0</v>
      </c>
      <c r="O73" s="871">
        <f>'11.销售及回款表'!Q437</f>
        <v>0</v>
      </c>
      <c r="P73" s="872">
        <f>'11.销售及回款表'!R437</f>
        <v>0</v>
      </c>
      <c r="Q73" s="872">
        <f>'11.销售及回款表'!S437</f>
        <v>0</v>
      </c>
      <c r="R73" s="872">
        <f>'11.销售及回款表'!T437</f>
        <v>0</v>
      </c>
      <c r="S73" s="871">
        <f>'11.销售及回款表'!U437</f>
        <v>0</v>
      </c>
      <c r="T73" s="872">
        <f>'11.销售及回款表'!V437</f>
        <v>0</v>
      </c>
      <c r="U73" s="872">
        <f>'11.销售及回款表'!W437</f>
        <v>0</v>
      </c>
      <c r="V73" s="872">
        <f>'11.销售及回款表'!X437</f>
        <v>0</v>
      </c>
      <c r="W73" s="871">
        <f>'11.销售及回款表'!Y437</f>
        <v>0</v>
      </c>
      <c r="X73" s="872">
        <f>'11.销售及回款表'!Z437</f>
        <v>0</v>
      </c>
      <c r="Y73" s="872">
        <f>'11.销售及回款表'!AA437</f>
        <v>0</v>
      </c>
      <c r="Z73" s="872">
        <f>'11.销售及回款表'!AB437</f>
        <v>0</v>
      </c>
      <c r="AA73" s="871">
        <f>'11.销售及回款表'!AC437</f>
        <v>0</v>
      </c>
      <c r="AB73" s="872">
        <f>'11.销售及回款表'!AD437</f>
        <v>0</v>
      </c>
      <c r="AC73" s="872">
        <f>'11.销售及回款表'!AE437</f>
        <v>0</v>
      </c>
      <c r="AD73" s="872">
        <f>'11.销售及回款表'!AF437</f>
        <v>0</v>
      </c>
      <c r="AE73" s="871">
        <f>'11.销售及回款表'!AG437</f>
        <v>0</v>
      </c>
      <c r="AF73" s="872">
        <f>'11.销售及回款表'!AH437</f>
        <v>0</v>
      </c>
      <c r="AG73" s="872">
        <f>'11.销售及回款表'!AI437</f>
        <v>0</v>
      </c>
      <c r="AH73" s="872">
        <f>'11.销售及回款表'!AJ437</f>
        <v>0</v>
      </c>
      <c r="AI73" s="871">
        <f>'11.销售及回款表'!AK437</f>
        <v>0</v>
      </c>
      <c r="AJ73" s="872">
        <f>'11.销售及回款表'!AL437</f>
        <v>0</v>
      </c>
      <c r="AK73" s="872">
        <f>'11.销售及回款表'!AM437</f>
        <v>0</v>
      </c>
      <c r="AL73" s="872">
        <f>'11.销售及回款表'!AN437</f>
        <v>0</v>
      </c>
      <c r="AM73" s="871">
        <f>'11.销售及回款表'!AO437</f>
        <v>0</v>
      </c>
      <c r="AN73" s="872">
        <f>'11.销售及回款表'!AP437</f>
        <v>0</v>
      </c>
      <c r="AO73" s="872">
        <f>'11.销售及回款表'!AQ437</f>
        <v>0</v>
      </c>
      <c r="AP73" s="872">
        <f>'11.销售及回款表'!AR437</f>
        <v>0</v>
      </c>
      <c r="AQ73" s="871">
        <f>'11.销售及回款表'!AS437</f>
        <v>0</v>
      </c>
      <c r="AR73" s="872">
        <f>'11.销售及回款表'!AT437</f>
        <v>0</v>
      </c>
      <c r="AS73" s="872">
        <f>'11.销售及回款表'!AU437</f>
        <v>0</v>
      </c>
      <c r="AT73" s="872">
        <f>'11.销售及回款表'!AV437</f>
        <v>0</v>
      </c>
    </row>
    <row r="74" spans="1:46" s="77" customFormat="1" ht="18" customHeight="1" outlineLevel="2">
      <c r="A74" s="873" t="str">
        <f>'8.项目规划指标表'!B6</f>
        <v>商铺</v>
      </c>
      <c r="B74" s="870">
        <f t="shared" ref="B74:B84" si="8">SUM(C74:AT74)</f>
        <v>0</v>
      </c>
      <c r="C74" s="871">
        <f>'11.销售及回款表'!E442</f>
        <v>0</v>
      </c>
      <c r="D74" s="872">
        <f>'11.销售及回款表'!F442</f>
        <v>0</v>
      </c>
      <c r="E74" s="872">
        <f>'11.销售及回款表'!G442</f>
        <v>0</v>
      </c>
      <c r="F74" s="872">
        <f>'11.销售及回款表'!H442</f>
        <v>0</v>
      </c>
      <c r="G74" s="871">
        <f>'11.销售及回款表'!I442</f>
        <v>0</v>
      </c>
      <c r="H74" s="872">
        <f>'11.销售及回款表'!J442</f>
        <v>0</v>
      </c>
      <c r="I74" s="872">
        <f>'11.销售及回款表'!K442</f>
        <v>0</v>
      </c>
      <c r="J74" s="872">
        <f>'11.销售及回款表'!L442</f>
        <v>0</v>
      </c>
      <c r="K74" s="871">
        <f>'11.销售及回款表'!M442</f>
        <v>0</v>
      </c>
      <c r="L74" s="872">
        <f>'11.销售及回款表'!N442</f>
        <v>0</v>
      </c>
      <c r="M74" s="872">
        <f>'11.销售及回款表'!O442</f>
        <v>0</v>
      </c>
      <c r="N74" s="872">
        <f>'11.销售及回款表'!P442</f>
        <v>0</v>
      </c>
      <c r="O74" s="871">
        <f>'11.销售及回款表'!Q442</f>
        <v>0</v>
      </c>
      <c r="P74" s="872">
        <f>'11.销售及回款表'!R442</f>
        <v>0</v>
      </c>
      <c r="Q74" s="872">
        <f>'11.销售及回款表'!S442</f>
        <v>0</v>
      </c>
      <c r="R74" s="872">
        <f>'11.销售及回款表'!T442</f>
        <v>0</v>
      </c>
      <c r="S74" s="871">
        <f>'11.销售及回款表'!U442</f>
        <v>0</v>
      </c>
      <c r="T74" s="872">
        <f>'11.销售及回款表'!V442</f>
        <v>0</v>
      </c>
      <c r="U74" s="872">
        <f>'11.销售及回款表'!W442</f>
        <v>0</v>
      </c>
      <c r="V74" s="872">
        <f>'11.销售及回款表'!X442</f>
        <v>0</v>
      </c>
      <c r="W74" s="871">
        <f>'11.销售及回款表'!Y442</f>
        <v>0</v>
      </c>
      <c r="X74" s="872">
        <f>'11.销售及回款表'!Z442</f>
        <v>0</v>
      </c>
      <c r="Y74" s="872">
        <f>'11.销售及回款表'!AA442</f>
        <v>0</v>
      </c>
      <c r="Z74" s="872">
        <f>'11.销售及回款表'!AB442</f>
        <v>0</v>
      </c>
      <c r="AA74" s="871">
        <f>'11.销售及回款表'!AC442</f>
        <v>0</v>
      </c>
      <c r="AB74" s="872">
        <f>'11.销售及回款表'!AD442</f>
        <v>0</v>
      </c>
      <c r="AC74" s="872">
        <f>'11.销售及回款表'!AE442</f>
        <v>0</v>
      </c>
      <c r="AD74" s="872">
        <f>'11.销售及回款表'!AF442</f>
        <v>0</v>
      </c>
      <c r="AE74" s="871">
        <f>'11.销售及回款表'!AG442</f>
        <v>0</v>
      </c>
      <c r="AF74" s="872">
        <f>'11.销售及回款表'!AH442</f>
        <v>0</v>
      </c>
      <c r="AG74" s="872">
        <f>'11.销售及回款表'!AI442</f>
        <v>0</v>
      </c>
      <c r="AH74" s="872">
        <f>'11.销售及回款表'!AJ442</f>
        <v>0</v>
      </c>
      <c r="AI74" s="871">
        <f>'11.销售及回款表'!AK442</f>
        <v>0</v>
      </c>
      <c r="AJ74" s="872">
        <f>'11.销售及回款表'!AL442</f>
        <v>0</v>
      </c>
      <c r="AK74" s="872">
        <f>'11.销售及回款表'!AM442</f>
        <v>0</v>
      </c>
      <c r="AL74" s="872">
        <f>'11.销售及回款表'!AN442</f>
        <v>0</v>
      </c>
      <c r="AM74" s="871">
        <f>'11.销售及回款表'!AO442</f>
        <v>0</v>
      </c>
      <c r="AN74" s="872">
        <f>'11.销售及回款表'!AP442</f>
        <v>0</v>
      </c>
      <c r="AO74" s="872">
        <f>'11.销售及回款表'!AQ442</f>
        <v>0</v>
      </c>
      <c r="AP74" s="872">
        <f>'11.销售及回款表'!AR442</f>
        <v>0</v>
      </c>
      <c r="AQ74" s="871">
        <f>'11.销售及回款表'!AS442</f>
        <v>0</v>
      </c>
      <c r="AR74" s="872">
        <f>'11.销售及回款表'!AT442</f>
        <v>0</v>
      </c>
      <c r="AS74" s="872">
        <f>'11.销售及回款表'!AU442</f>
        <v>0</v>
      </c>
      <c r="AT74" s="872">
        <f>'11.销售及回款表'!AV442</f>
        <v>0</v>
      </c>
    </row>
    <row r="75" spans="1:46" s="77" customFormat="1" ht="18" customHeight="1" outlineLevel="2">
      <c r="A75" s="873" t="str">
        <f>'8.项目规划指标表'!B7</f>
        <v>回迁商业</v>
      </c>
      <c r="B75" s="870">
        <f t="shared" si="8"/>
        <v>0</v>
      </c>
      <c r="C75" s="871">
        <f>'11.销售及回款表'!E447</f>
        <v>0</v>
      </c>
      <c r="D75" s="872">
        <f>'11.销售及回款表'!F447</f>
        <v>0</v>
      </c>
      <c r="E75" s="872">
        <f>'11.销售及回款表'!G447</f>
        <v>0</v>
      </c>
      <c r="F75" s="872">
        <f>'11.销售及回款表'!H447</f>
        <v>0</v>
      </c>
      <c r="G75" s="871">
        <f>'11.销售及回款表'!I447</f>
        <v>0</v>
      </c>
      <c r="H75" s="872">
        <f>'11.销售及回款表'!J447</f>
        <v>0</v>
      </c>
      <c r="I75" s="872">
        <f>'11.销售及回款表'!K447</f>
        <v>0</v>
      </c>
      <c r="J75" s="872">
        <f>'11.销售及回款表'!L447</f>
        <v>0</v>
      </c>
      <c r="K75" s="871">
        <f>'11.销售及回款表'!M447</f>
        <v>0</v>
      </c>
      <c r="L75" s="872">
        <f>'11.销售及回款表'!N447</f>
        <v>0</v>
      </c>
      <c r="M75" s="872">
        <f>'11.销售及回款表'!O447</f>
        <v>0</v>
      </c>
      <c r="N75" s="872">
        <f>'11.销售及回款表'!P447</f>
        <v>0</v>
      </c>
      <c r="O75" s="871">
        <f>'11.销售及回款表'!Q447</f>
        <v>0</v>
      </c>
      <c r="P75" s="872">
        <f>'11.销售及回款表'!R447</f>
        <v>0</v>
      </c>
      <c r="Q75" s="872">
        <f>'11.销售及回款表'!S447</f>
        <v>0</v>
      </c>
      <c r="R75" s="872">
        <f>'11.销售及回款表'!T447</f>
        <v>0</v>
      </c>
      <c r="S75" s="871">
        <f>'11.销售及回款表'!U447</f>
        <v>0</v>
      </c>
      <c r="T75" s="872">
        <f>'11.销售及回款表'!V447</f>
        <v>0</v>
      </c>
      <c r="U75" s="872">
        <f>'11.销售及回款表'!W447</f>
        <v>0</v>
      </c>
      <c r="V75" s="872">
        <f>'11.销售及回款表'!X447</f>
        <v>0</v>
      </c>
      <c r="W75" s="871">
        <f>'11.销售及回款表'!Y447</f>
        <v>0</v>
      </c>
      <c r="X75" s="872">
        <f>'11.销售及回款表'!Z447</f>
        <v>0</v>
      </c>
      <c r="Y75" s="872">
        <f>'11.销售及回款表'!AA447</f>
        <v>0</v>
      </c>
      <c r="Z75" s="872">
        <f>'11.销售及回款表'!AB447</f>
        <v>0</v>
      </c>
      <c r="AA75" s="871">
        <f>'11.销售及回款表'!AC447</f>
        <v>0</v>
      </c>
      <c r="AB75" s="872">
        <f>'11.销售及回款表'!AD447</f>
        <v>0</v>
      </c>
      <c r="AC75" s="872">
        <f>'11.销售及回款表'!AE447</f>
        <v>0</v>
      </c>
      <c r="AD75" s="872">
        <f>'11.销售及回款表'!AF447</f>
        <v>0</v>
      </c>
      <c r="AE75" s="871">
        <f>'11.销售及回款表'!AG447</f>
        <v>0</v>
      </c>
      <c r="AF75" s="872">
        <f>'11.销售及回款表'!AH447</f>
        <v>0</v>
      </c>
      <c r="AG75" s="872">
        <f>'11.销售及回款表'!AI447</f>
        <v>0</v>
      </c>
      <c r="AH75" s="872">
        <f>'11.销售及回款表'!AJ447</f>
        <v>0</v>
      </c>
      <c r="AI75" s="871">
        <f>'11.销售及回款表'!AK447</f>
        <v>0</v>
      </c>
      <c r="AJ75" s="872">
        <f>'11.销售及回款表'!AL447</f>
        <v>0</v>
      </c>
      <c r="AK75" s="872">
        <f>'11.销售及回款表'!AM447</f>
        <v>0</v>
      </c>
      <c r="AL75" s="872">
        <f>'11.销售及回款表'!AN447</f>
        <v>0</v>
      </c>
      <c r="AM75" s="871">
        <f>'11.销售及回款表'!AO447</f>
        <v>0</v>
      </c>
      <c r="AN75" s="872">
        <f>'11.销售及回款表'!AP447</f>
        <v>0</v>
      </c>
      <c r="AO75" s="872">
        <f>'11.销售及回款表'!AQ447</f>
        <v>0</v>
      </c>
      <c r="AP75" s="872">
        <f>'11.销售及回款表'!AR447</f>
        <v>0</v>
      </c>
      <c r="AQ75" s="871">
        <f>'11.销售及回款表'!AS447</f>
        <v>0</v>
      </c>
      <c r="AR75" s="872">
        <f>'11.销售及回款表'!AT447</f>
        <v>0</v>
      </c>
      <c r="AS75" s="872">
        <f>'11.销售及回款表'!AU447</f>
        <v>0</v>
      </c>
      <c r="AT75" s="872">
        <f>'11.销售及回款表'!AV447</f>
        <v>0</v>
      </c>
    </row>
    <row r="76" spans="1:46" s="77" customFormat="1" ht="18" customHeight="1" outlineLevel="2">
      <c r="A76" s="873">
        <f>'8.项目规划指标表'!B8</f>
        <v>0</v>
      </c>
      <c r="B76" s="870">
        <f t="shared" si="8"/>
        <v>0</v>
      </c>
      <c r="C76" s="871">
        <f>'11.销售及回款表'!E452</f>
        <v>0</v>
      </c>
      <c r="D76" s="872">
        <f>'11.销售及回款表'!F452</f>
        <v>0</v>
      </c>
      <c r="E76" s="872">
        <f>'11.销售及回款表'!G452</f>
        <v>0</v>
      </c>
      <c r="F76" s="872">
        <f>'11.销售及回款表'!H452</f>
        <v>0</v>
      </c>
      <c r="G76" s="871">
        <f>'11.销售及回款表'!I452</f>
        <v>0</v>
      </c>
      <c r="H76" s="872">
        <f>'11.销售及回款表'!J452</f>
        <v>0</v>
      </c>
      <c r="I76" s="872">
        <f>'11.销售及回款表'!K452</f>
        <v>0</v>
      </c>
      <c r="J76" s="872">
        <f>'11.销售及回款表'!L452</f>
        <v>0</v>
      </c>
      <c r="K76" s="871">
        <f>'11.销售及回款表'!M452</f>
        <v>0</v>
      </c>
      <c r="L76" s="872">
        <f>'11.销售及回款表'!N452</f>
        <v>0</v>
      </c>
      <c r="M76" s="872">
        <f>'11.销售及回款表'!O452</f>
        <v>0</v>
      </c>
      <c r="N76" s="872">
        <f>'11.销售及回款表'!P452</f>
        <v>0</v>
      </c>
      <c r="O76" s="871">
        <f>'11.销售及回款表'!Q452</f>
        <v>0</v>
      </c>
      <c r="P76" s="872">
        <f>'11.销售及回款表'!R452</f>
        <v>0</v>
      </c>
      <c r="Q76" s="872">
        <f>'11.销售及回款表'!S452</f>
        <v>0</v>
      </c>
      <c r="R76" s="872">
        <f>'11.销售及回款表'!T452</f>
        <v>0</v>
      </c>
      <c r="S76" s="871">
        <f>'11.销售及回款表'!U452</f>
        <v>0</v>
      </c>
      <c r="T76" s="872">
        <f>'11.销售及回款表'!V452</f>
        <v>0</v>
      </c>
      <c r="U76" s="872">
        <f>'11.销售及回款表'!W452</f>
        <v>0</v>
      </c>
      <c r="V76" s="872">
        <f>'11.销售及回款表'!X452</f>
        <v>0</v>
      </c>
      <c r="W76" s="871">
        <f>'11.销售及回款表'!Y452</f>
        <v>0</v>
      </c>
      <c r="X76" s="872">
        <f>'11.销售及回款表'!Z452</f>
        <v>0</v>
      </c>
      <c r="Y76" s="872">
        <f>'11.销售及回款表'!AA452</f>
        <v>0</v>
      </c>
      <c r="Z76" s="872">
        <f>'11.销售及回款表'!AB452</f>
        <v>0</v>
      </c>
      <c r="AA76" s="871">
        <f>'11.销售及回款表'!AC452</f>
        <v>0</v>
      </c>
      <c r="AB76" s="872">
        <f>'11.销售及回款表'!AD452</f>
        <v>0</v>
      </c>
      <c r="AC76" s="872">
        <f>'11.销售及回款表'!AE452</f>
        <v>0</v>
      </c>
      <c r="AD76" s="872">
        <f>'11.销售及回款表'!AF452</f>
        <v>0</v>
      </c>
      <c r="AE76" s="871">
        <f>'11.销售及回款表'!AG452</f>
        <v>0</v>
      </c>
      <c r="AF76" s="872">
        <f>'11.销售及回款表'!AH452</f>
        <v>0</v>
      </c>
      <c r="AG76" s="872">
        <f>'11.销售及回款表'!AI452</f>
        <v>0</v>
      </c>
      <c r="AH76" s="872">
        <f>'11.销售及回款表'!AJ452</f>
        <v>0</v>
      </c>
      <c r="AI76" s="871">
        <f>'11.销售及回款表'!AK452</f>
        <v>0</v>
      </c>
      <c r="AJ76" s="872">
        <f>'11.销售及回款表'!AL452</f>
        <v>0</v>
      </c>
      <c r="AK76" s="872">
        <f>'11.销售及回款表'!AM452</f>
        <v>0</v>
      </c>
      <c r="AL76" s="872">
        <f>'11.销售及回款表'!AN452</f>
        <v>0</v>
      </c>
      <c r="AM76" s="871">
        <f>'11.销售及回款表'!AO452</f>
        <v>0</v>
      </c>
      <c r="AN76" s="872">
        <f>'11.销售及回款表'!AP452</f>
        <v>0</v>
      </c>
      <c r="AO76" s="872">
        <f>'11.销售及回款表'!AQ452</f>
        <v>0</v>
      </c>
      <c r="AP76" s="872">
        <f>'11.销售及回款表'!AR452</f>
        <v>0</v>
      </c>
      <c r="AQ76" s="871">
        <f>'11.销售及回款表'!AS452</f>
        <v>0</v>
      </c>
      <c r="AR76" s="872">
        <f>'11.销售及回款表'!AT452</f>
        <v>0</v>
      </c>
      <c r="AS76" s="872">
        <f>'11.销售及回款表'!AU452</f>
        <v>0</v>
      </c>
      <c r="AT76" s="872">
        <f>'11.销售及回款表'!AV452</f>
        <v>0</v>
      </c>
    </row>
    <row r="77" spans="1:46" s="77" customFormat="1" ht="18" customHeight="1" outlineLevel="2">
      <c r="A77" s="873">
        <f>'8.项目规划指标表'!B9</f>
        <v>0</v>
      </c>
      <c r="B77" s="870">
        <f t="shared" si="8"/>
        <v>0</v>
      </c>
      <c r="C77" s="871">
        <f>'11.销售及回款表'!E457</f>
        <v>0</v>
      </c>
      <c r="D77" s="872">
        <f>'11.销售及回款表'!F457</f>
        <v>0</v>
      </c>
      <c r="E77" s="872">
        <f>'11.销售及回款表'!G457</f>
        <v>0</v>
      </c>
      <c r="F77" s="872">
        <f>'11.销售及回款表'!H457</f>
        <v>0</v>
      </c>
      <c r="G77" s="871">
        <f>'11.销售及回款表'!I457</f>
        <v>0</v>
      </c>
      <c r="H77" s="872">
        <f>'11.销售及回款表'!J457</f>
        <v>0</v>
      </c>
      <c r="I77" s="872">
        <f>'11.销售及回款表'!K457</f>
        <v>0</v>
      </c>
      <c r="J77" s="872">
        <f>'11.销售及回款表'!L457</f>
        <v>0</v>
      </c>
      <c r="K77" s="871">
        <f>'11.销售及回款表'!M457</f>
        <v>0</v>
      </c>
      <c r="L77" s="872">
        <f>'11.销售及回款表'!N457</f>
        <v>0</v>
      </c>
      <c r="M77" s="872">
        <f>'11.销售及回款表'!O457</f>
        <v>0</v>
      </c>
      <c r="N77" s="872">
        <f>'11.销售及回款表'!P457</f>
        <v>0</v>
      </c>
      <c r="O77" s="871">
        <f>'11.销售及回款表'!Q457</f>
        <v>0</v>
      </c>
      <c r="P77" s="872">
        <f>'11.销售及回款表'!R457</f>
        <v>0</v>
      </c>
      <c r="Q77" s="872">
        <f>'11.销售及回款表'!S457</f>
        <v>0</v>
      </c>
      <c r="R77" s="872">
        <f>'11.销售及回款表'!T457</f>
        <v>0</v>
      </c>
      <c r="S77" s="871">
        <f>'11.销售及回款表'!U457</f>
        <v>0</v>
      </c>
      <c r="T77" s="872">
        <f>'11.销售及回款表'!V457</f>
        <v>0</v>
      </c>
      <c r="U77" s="872">
        <f>'11.销售及回款表'!W457</f>
        <v>0</v>
      </c>
      <c r="V77" s="872">
        <f>'11.销售及回款表'!X457</f>
        <v>0</v>
      </c>
      <c r="W77" s="871">
        <f>'11.销售及回款表'!Y457</f>
        <v>0</v>
      </c>
      <c r="X77" s="872">
        <f>'11.销售及回款表'!Z457</f>
        <v>0</v>
      </c>
      <c r="Y77" s="872">
        <f>'11.销售及回款表'!AA457</f>
        <v>0</v>
      </c>
      <c r="Z77" s="872">
        <f>'11.销售及回款表'!AB457</f>
        <v>0</v>
      </c>
      <c r="AA77" s="871">
        <f>'11.销售及回款表'!AC457</f>
        <v>0</v>
      </c>
      <c r="AB77" s="872">
        <f>'11.销售及回款表'!AD457</f>
        <v>0</v>
      </c>
      <c r="AC77" s="872">
        <f>'11.销售及回款表'!AE457</f>
        <v>0</v>
      </c>
      <c r="AD77" s="872">
        <f>'11.销售及回款表'!AF457</f>
        <v>0</v>
      </c>
      <c r="AE77" s="871">
        <f>'11.销售及回款表'!AG457</f>
        <v>0</v>
      </c>
      <c r="AF77" s="872">
        <f>'11.销售及回款表'!AH457</f>
        <v>0</v>
      </c>
      <c r="AG77" s="872">
        <f>'11.销售及回款表'!AI457</f>
        <v>0</v>
      </c>
      <c r="AH77" s="872">
        <f>'11.销售及回款表'!AJ457</f>
        <v>0</v>
      </c>
      <c r="AI77" s="871">
        <f>'11.销售及回款表'!AK457</f>
        <v>0</v>
      </c>
      <c r="AJ77" s="872">
        <f>'11.销售及回款表'!AL457</f>
        <v>0</v>
      </c>
      <c r="AK77" s="872">
        <f>'11.销售及回款表'!AM457</f>
        <v>0</v>
      </c>
      <c r="AL77" s="872">
        <f>'11.销售及回款表'!AN457</f>
        <v>0</v>
      </c>
      <c r="AM77" s="871">
        <f>'11.销售及回款表'!AO457</f>
        <v>0</v>
      </c>
      <c r="AN77" s="872">
        <f>'11.销售及回款表'!AP457</f>
        <v>0</v>
      </c>
      <c r="AO77" s="872">
        <f>'11.销售及回款表'!AQ457</f>
        <v>0</v>
      </c>
      <c r="AP77" s="872">
        <f>'11.销售及回款表'!AR457</f>
        <v>0</v>
      </c>
      <c r="AQ77" s="871">
        <f>'11.销售及回款表'!AS457</f>
        <v>0</v>
      </c>
      <c r="AR77" s="872">
        <f>'11.销售及回款表'!AT457</f>
        <v>0</v>
      </c>
      <c r="AS77" s="872">
        <f>'11.销售及回款表'!AU457</f>
        <v>0</v>
      </c>
      <c r="AT77" s="872">
        <f>'11.销售及回款表'!AV457</f>
        <v>0</v>
      </c>
    </row>
    <row r="78" spans="1:46" s="77" customFormat="1" ht="18" customHeight="1" outlineLevel="2">
      <c r="A78" s="873">
        <f>'8.项目规划指标表'!B10</f>
        <v>0</v>
      </c>
      <c r="B78" s="870">
        <f t="shared" si="8"/>
        <v>0</v>
      </c>
      <c r="C78" s="871">
        <f>'11.销售及回款表'!E462</f>
        <v>0</v>
      </c>
      <c r="D78" s="872">
        <f>'11.销售及回款表'!F462</f>
        <v>0</v>
      </c>
      <c r="E78" s="872">
        <f>'11.销售及回款表'!G462</f>
        <v>0</v>
      </c>
      <c r="F78" s="872">
        <f>'11.销售及回款表'!H462</f>
        <v>0</v>
      </c>
      <c r="G78" s="871">
        <f>'11.销售及回款表'!I462</f>
        <v>0</v>
      </c>
      <c r="H78" s="872">
        <f>'11.销售及回款表'!J462</f>
        <v>0</v>
      </c>
      <c r="I78" s="872">
        <f>'11.销售及回款表'!K462</f>
        <v>0</v>
      </c>
      <c r="J78" s="872">
        <f>'11.销售及回款表'!L462</f>
        <v>0</v>
      </c>
      <c r="K78" s="871">
        <f>'11.销售及回款表'!M462</f>
        <v>0</v>
      </c>
      <c r="L78" s="872">
        <f>'11.销售及回款表'!N462</f>
        <v>0</v>
      </c>
      <c r="M78" s="872">
        <f>'11.销售及回款表'!O462</f>
        <v>0</v>
      </c>
      <c r="N78" s="872">
        <f>'11.销售及回款表'!P462</f>
        <v>0</v>
      </c>
      <c r="O78" s="871">
        <f>'11.销售及回款表'!Q462</f>
        <v>0</v>
      </c>
      <c r="P78" s="872">
        <f>'11.销售及回款表'!R462</f>
        <v>0</v>
      </c>
      <c r="Q78" s="872">
        <f>'11.销售及回款表'!S462</f>
        <v>0</v>
      </c>
      <c r="R78" s="872">
        <f>'11.销售及回款表'!T462</f>
        <v>0</v>
      </c>
      <c r="S78" s="871">
        <f>'11.销售及回款表'!U462</f>
        <v>0</v>
      </c>
      <c r="T78" s="872">
        <f>'11.销售及回款表'!V462</f>
        <v>0</v>
      </c>
      <c r="U78" s="872">
        <f>'11.销售及回款表'!W462</f>
        <v>0</v>
      </c>
      <c r="V78" s="872">
        <f>'11.销售及回款表'!X462</f>
        <v>0</v>
      </c>
      <c r="W78" s="871">
        <f>'11.销售及回款表'!Y462</f>
        <v>0</v>
      </c>
      <c r="X78" s="872">
        <f>'11.销售及回款表'!Z462</f>
        <v>0</v>
      </c>
      <c r="Y78" s="872">
        <f>'11.销售及回款表'!AA462</f>
        <v>0</v>
      </c>
      <c r="Z78" s="872">
        <f>'11.销售及回款表'!AB462</f>
        <v>0</v>
      </c>
      <c r="AA78" s="871">
        <f>'11.销售及回款表'!AC462</f>
        <v>0</v>
      </c>
      <c r="AB78" s="872">
        <f>'11.销售及回款表'!AD462</f>
        <v>0</v>
      </c>
      <c r="AC78" s="872">
        <f>'11.销售及回款表'!AE462</f>
        <v>0</v>
      </c>
      <c r="AD78" s="872">
        <f>'11.销售及回款表'!AF462</f>
        <v>0</v>
      </c>
      <c r="AE78" s="871">
        <f>'11.销售及回款表'!AG462</f>
        <v>0</v>
      </c>
      <c r="AF78" s="872">
        <f>'11.销售及回款表'!AH462</f>
        <v>0</v>
      </c>
      <c r="AG78" s="872">
        <f>'11.销售及回款表'!AI462</f>
        <v>0</v>
      </c>
      <c r="AH78" s="872">
        <f>'11.销售及回款表'!AJ462</f>
        <v>0</v>
      </c>
      <c r="AI78" s="871">
        <f>'11.销售及回款表'!AK462</f>
        <v>0</v>
      </c>
      <c r="AJ78" s="872">
        <f>'11.销售及回款表'!AL462</f>
        <v>0</v>
      </c>
      <c r="AK78" s="872">
        <f>'11.销售及回款表'!AM462</f>
        <v>0</v>
      </c>
      <c r="AL78" s="872">
        <f>'11.销售及回款表'!AN462</f>
        <v>0</v>
      </c>
      <c r="AM78" s="871">
        <f>'11.销售及回款表'!AO462</f>
        <v>0</v>
      </c>
      <c r="AN78" s="872">
        <f>'11.销售及回款表'!AP462</f>
        <v>0</v>
      </c>
      <c r="AO78" s="872">
        <f>'11.销售及回款表'!AQ462</f>
        <v>0</v>
      </c>
      <c r="AP78" s="872">
        <f>'11.销售及回款表'!AR462</f>
        <v>0</v>
      </c>
      <c r="AQ78" s="871">
        <f>'11.销售及回款表'!AS462</f>
        <v>0</v>
      </c>
      <c r="AR78" s="872">
        <f>'11.销售及回款表'!AT462</f>
        <v>0</v>
      </c>
      <c r="AS78" s="872">
        <f>'11.销售及回款表'!AU462</f>
        <v>0</v>
      </c>
      <c r="AT78" s="872">
        <f>'11.销售及回款表'!AV462</f>
        <v>0</v>
      </c>
    </row>
    <row r="79" spans="1:46" s="77" customFormat="1" ht="18" customHeight="1" outlineLevel="2">
      <c r="A79" s="873">
        <f>'8.项目规划指标表'!B11</f>
        <v>0</v>
      </c>
      <c r="B79" s="870">
        <f t="shared" si="8"/>
        <v>0</v>
      </c>
      <c r="C79" s="871">
        <f>'11.销售及回款表'!E467</f>
        <v>0</v>
      </c>
      <c r="D79" s="872">
        <f>'11.销售及回款表'!F467</f>
        <v>0</v>
      </c>
      <c r="E79" s="872">
        <f>'11.销售及回款表'!G467</f>
        <v>0</v>
      </c>
      <c r="F79" s="872">
        <f>'11.销售及回款表'!H467</f>
        <v>0</v>
      </c>
      <c r="G79" s="871">
        <f>'11.销售及回款表'!I467</f>
        <v>0</v>
      </c>
      <c r="H79" s="872">
        <f>'11.销售及回款表'!J467</f>
        <v>0</v>
      </c>
      <c r="I79" s="872">
        <f>'11.销售及回款表'!K467</f>
        <v>0</v>
      </c>
      <c r="J79" s="872">
        <f>'11.销售及回款表'!L467</f>
        <v>0</v>
      </c>
      <c r="K79" s="871">
        <f>'11.销售及回款表'!M467</f>
        <v>0</v>
      </c>
      <c r="L79" s="872">
        <f>'11.销售及回款表'!N467</f>
        <v>0</v>
      </c>
      <c r="M79" s="872">
        <f>'11.销售及回款表'!O467</f>
        <v>0</v>
      </c>
      <c r="N79" s="872">
        <f>'11.销售及回款表'!P467</f>
        <v>0</v>
      </c>
      <c r="O79" s="871">
        <f>'11.销售及回款表'!Q467</f>
        <v>0</v>
      </c>
      <c r="P79" s="872">
        <f>'11.销售及回款表'!R467</f>
        <v>0</v>
      </c>
      <c r="Q79" s="872">
        <f>'11.销售及回款表'!S467</f>
        <v>0</v>
      </c>
      <c r="R79" s="872">
        <f>'11.销售及回款表'!T467</f>
        <v>0</v>
      </c>
      <c r="S79" s="871">
        <f>'11.销售及回款表'!U467</f>
        <v>0</v>
      </c>
      <c r="T79" s="872">
        <f>'11.销售及回款表'!V467</f>
        <v>0</v>
      </c>
      <c r="U79" s="872">
        <f>'11.销售及回款表'!W467</f>
        <v>0</v>
      </c>
      <c r="V79" s="872">
        <f>'11.销售及回款表'!X467</f>
        <v>0</v>
      </c>
      <c r="W79" s="871">
        <f>'11.销售及回款表'!Y467</f>
        <v>0</v>
      </c>
      <c r="X79" s="872">
        <f>'11.销售及回款表'!Z467</f>
        <v>0</v>
      </c>
      <c r="Y79" s="872">
        <f>'11.销售及回款表'!AA467</f>
        <v>0</v>
      </c>
      <c r="Z79" s="872">
        <f>'11.销售及回款表'!AB467</f>
        <v>0</v>
      </c>
      <c r="AA79" s="871">
        <f>'11.销售及回款表'!AC467</f>
        <v>0</v>
      </c>
      <c r="AB79" s="872">
        <f>'11.销售及回款表'!AD467</f>
        <v>0</v>
      </c>
      <c r="AC79" s="872">
        <f>'11.销售及回款表'!AE467</f>
        <v>0</v>
      </c>
      <c r="AD79" s="872">
        <f>'11.销售及回款表'!AF467</f>
        <v>0</v>
      </c>
      <c r="AE79" s="871">
        <f>'11.销售及回款表'!AG467</f>
        <v>0</v>
      </c>
      <c r="AF79" s="872">
        <f>'11.销售及回款表'!AH467</f>
        <v>0</v>
      </c>
      <c r="AG79" s="872">
        <f>'11.销售及回款表'!AI467</f>
        <v>0</v>
      </c>
      <c r="AH79" s="872">
        <f>'11.销售及回款表'!AJ467</f>
        <v>0</v>
      </c>
      <c r="AI79" s="871">
        <f>'11.销售及回款表'!AK467</f>
        <v>0</v>
      </c>
      <c r="AJ79" s="872">
        <f>'11.销售及回款表'!AL467</f>
        <v>0</v>
      </c>
      <c r="AK79" s="872">
        <f>'11.销售及回款表'!AM467</f>
        <v>0</v>
      </c>
      <c r="AL79" s="872">
        <f>'11.销售及回款表'!AN467</f>
        <v>0</v>
      </c>
      <c r="AM79" s="871">
        <f>'11.销售及回款表'!AO467</f>
        <v>0</v>
      </c>
      <c r="AN79" s="872">
        <f>'11.销售及回款表'!AP467</f>
        <v>0</v>
      </c>
      <c r="AO79" s="872">
        <f>'11.销售及回款表'!AQ467</f>
        <v>0</v>
      </c>
      <c r="AP79" s="872">
        <f>'11.销售及回款表'!AR467</f>
        <v>0</v>
      </c>
      <c r="AQ79" s="871">
        <f>'11.销售及回款表'!AS467</f>
        <v>0</v>
      </c>
      <c r="AR79" s="872">
        <f>'11.销售及回款表'!AT467</f>
        <v>0</v>
      </c>
      <c r="AS79" s="872">
        <f>'11.销售及回款表'!AU467</f>
        <v>0</v>
      </c>
      <c r="AT79" s="872">
        <f>'11.销售及回款表'!AV467</f>
        <v>0</v>
      </c>
    </row>
    <row r="80" spans="1:46" s="77" customFormat="1" ht="18" customHeight="1" outlineLevel="2">
      <c r="A80" s="873">
        <f>'8.项目规划指标表'!B12</f>
        <v>0</v>
      </c>
      <c r="B80" s="870">
        <f t="shared" si="8"/>
        <v>0</v>
      </c>
      <c r="C80" s="871">
        <f>'11.销售及回款表'!E472</f>
        <v>0</v>
      </c>
      <c r="D80" s="872">
        <f>'11.销售及回款表'!F472</f>
        <v>0</v>
      </c>
      <c r="E80" s="872">
        <f>'11.销售及回款表'!G472</f>
        <v>0</v>
      </c>
      <c r="F80" s="872">
        <f>'11.销售及回款表'!H472</f>
        <v>0</v>
      </c>
      <c r="G80" s="871">
        <f>'11.销售及回款表'!I472</f>
        <v>0</v>
      </c>
      <c r="H80" s="872">
        <f>'11.销售及回款表'!J472</f>
        <v>0</v>
      </c>
      <c r="I80" s="872">
        <f>'11.销售及回款表'!K472</f>
        <v>0</v>
      </c>
      <c r="J80" s="872">
        <f>'11.销售及回款表'!L472</f>
        <v>0</v>
      </c>
      <c r="K80" s="871">
        <f>'11.销售及回款表'!M472</f>
        <v>0</v>
      </c>
      <c r="L80" s="872">
        <f>'11.销售及回款表'!N472</f>
        <v>0</v>
      </c>
      <c r="M80" s="872">
        <f>'11.销售及回款表'!O472</f>
        <v>0</v>
      </c>
      <c r="N80" s="872">
        <f>'11.销售及回款表'!P472</f>
        <v>0</v>
      </c>
      <c r="O80" s="871">
        <f>'11.销售及回款表'!Q472</f>
        <v>0</v>
      </c>
      <c r="P80" s="872">
        <f>'11.销售及回款表'!R472</f>
        <v>0</v>
      </c>
      <c r="Q80" s="872">
        <f>'11.销售及回款表'!S472</f>
        <v>0</v>
      </c>
      <c r="R80" s="872">
        <f>'11.销售及回款表'!T472</f>
        <v>0</v>
      </c>
      <c r="S80" s="871">
        <f>'11.销售及回款表'!U472</f>
        <v>0</v>
      </c>
      <c r="T80" s="872">
        <f>'11.销售及回款表'!V472</f>
        <v>0</v>
      </c>
      <c r="U80" s="872">
        <f>'11.销售及回款表'!W472</f>
        <v>0</v>
      </c>
      <c r="V80" s="872">
        <f>'11.销售及回款表'!X472</f>
        <v>0</v>
      </c>
      <c r="W80" s="871">
        <f>'11.销售及回款表'!Y472</f>
        <v>0</v>
      </c>
      <c r="X80" s="872">
        <f>'11.销售及回款表'!Z472</f>
        <v>0</v>
      </c>
      <c r="Y80" s="872">
        <f>'11.销售及回款表'!AA472</f>
        <v>0</v>
      </c>
      <c r="Z80" s="872">
        <f>'11.销售及回款表'!AB472</f>
        <v>0</v>
      </c>
      <c r="AA80" s="871">
        <f>'11.销售及回款表'!AC472</f>
        <v>0</v>
      </c>
      <c r="AB80" s="872">
        <f>'11.销售及回款表'!AD472</f>
        <v>0</v>
      </c>
      <c r="AC80" s="872">
        <f>'11.销售及回款表'!AE472</f>
        <v>0</v>
      </c>
      <c r="AD80" s="872">
        <f>'11.销售及回款表'!AF472</f>
        <v>0</v>
      </c>
      <c r="AE80" s="871">
        <f>'11.销售及回款表'!AG472</f>
        <v>0</v>
      </c>
      <c r="AF80" s="872">
        <f>'11.销售及回款表'!AH472</f>
        <v>0</v>
      </c>
      <c r="AG80" s="872">
        <f>'11.销售及回款表'!AI472</f>
        <v>0</v>
      </c>
      <c r="AH80" s="872">
        <f>'11.销售及回款表'!AJ472</f>
        <v>0</v>
      </c>
      <c r="AI80" s="871">
        <f>'11.销售及回款表'!AK472</f>
        <v>0</v>
      </c>
      <c r="AJ80" s="872">
        <f>'11.销售及回款表'!AL472</f>
        <v>0</v>
      </c>
      <c r="AK80" s="872">
        <f>'11.销售及回款表'!AM472</f>
        <v>0</v>
      </c>
      <c r="AL80" s="872">
        <f>'11.销售及回款表'!AN472</f>
        <v>0</v>
      </c>
      <c r="AM80" s="871">
        <f>'11.销售及回款表'!AO472</f>
        <v>0</v>
      </c>
      <c r="AN80" s="872">
        <f>'11.销售及回款表'!AP472</f>
        <v>0</v>
      </c>
      <c r="AO80" s="872">
        <f>'11.销售及回款表'!AQ472</f>
        <v>0</v>
      </c>
      <c r="AP80" s="872">
        <f>'11.销售及回款表'!AR472</f>
        <v>0</v>
      </c>
      <c r="AQ80" s="871">
        <f>'11.销售及回款表'!AS472</f>
        <v>0</v>
      </c>
      <c r="AR80" s="872">
        <f>'11.销售及回款表'!AT472</f>
        <v>0</v>
      </c>
      <c r="AS80" s="872">
        <f>'11.销售及回款表'!AU472</f>
        <v>0</v>
      </c>
      <c r="AT80" s="872">
        <f>'11.销售及回款表'!AV472</f>
        <v>0</v>
      </c>
    </row>
    <row r="81" spans="1:46" s="77" customFormat="1" ht="18" customHeight="1" outlineLevel="2">
      <c r="A81" s="873">
        <f>'8.项目规划指标表'!B13</f>
        <v>0</v>
      </c>
      <c r="B81" s="870">
        <f t="shared" si="8"/>
        <v>0</v>
      </c>
      <c r="C81" s="871">
        <f>'11.销售及回款表'!E477</f>
        <v>0</v>
      </c>
      <c r="D81" s="872">
        <f>'11.销售及回款表'!F477</f>
        <v>0</v>
      </c>
      <c r="E81" s="872">
        <f>'11.销售及回款表'!G477</f>
        <v>0</v>
      </c>
      <c r="F81" s="872">
        <f>'11.销售及回款表'!H477</f>
        <v>0</v>
      </c>
      <c r="G81" s="871">
        <f>'11.销售及回款表'!I477</f>
        <v>0</v>
      </c>
      <c r="H81" s="872">
        <f>'11.销售及回款表'!J477</f>
        <v>0</v>
      </c>
      <c r="I81" s="872">
        <f>'11.销售及回款表'!K477</f>
        <v>0</v>
      </c>
      <c r="J81" s="872">
        <f>'11.销售及回款表'!L477</f>
        <v>0</v>
      </c>
      <c r="K81" s="871">
        <f>'11.销售及回款表'!M477</f>
        <v>0</v>
      </c>
      <c r="L81" s="872">
        <f>'11.销售及回款表'!N477</f>
        <v>0</v>
      </c>
      <c r="M81" s="872">
        <f>'11.销售及回款表'!O477</f>
        <v>0</v>
      </c>
      <c r="N81" s="872">
        <f>'11.销售及回款表'!P477</f>
        <v>0</v>
      </c>
      <c r="O81" s="871">
        <f>'11.销售及回款表'!Q477</f>
        <v>0</v>
      </c>
      <c r="P81" s="872">
        <f>'11.销售及回款表'!R477</f>
        <v>0</v>
      </c>
      <c r="Q81" s="872">
        <f>'11.销售及回款表'!S477</f>
        <v>0</v>
      </c>
      <c r="R81" s="872">
        <f>'11.销售及回款表'!T477</f>
        <v>0</v>
      </c>
      <c r="S81" s="871">
        <f>'11.销售及回款表'!U477</f>
        <v>0</v>
      </c>
      <c r="T81" s="872">
        <f>'11.销售及回款表'!V477</f>
        <v>0</v>
      </c>
      <c r="U81" s="872">
        <f>'11.销售及回款表'!W477</f>
        <v>0</v>
      </c>
      <c r="V81" s="872">
        <f>'11.销售及回款表'!X477</f>
        <v>0</v>
      </c>
      <c r="W81" s="871">
        <f>'11.销售及回款表'!Y477</f>
        <v>0</v>
      </c>
      <c r="X81" s="872">
        <f>'11.销售及回款表'!Z477</f>
        <v>0</v>
      </c>
      <c r="Y81" s="872">
        <f>'11.销售及回款表'!AA477</f>
        <v>0</v>
      </c>
      <c r="Z81" s="872">
        <f>'11.销售及回款表'!AB477</f>
        <v>0</v>
      </c>
      <c r="AA81" s="871">
        <f>'11.销售及回款表'!AC477</f>
        <v>0</v>
      </c>
      <c r="AB81" s="872">
        <f>'11.销售及回款表'!AD477</f>
        <v>0</v>
      </c>
      <c r="AC81" s="872">
        <f>'11.销售及回款表'!AE477</f>
        <v>0</v>
      </c>
      <c r="AD81" s="872">
        <f>'11.销售及回款表'!AF477</f>
        <v>0</v>
      </c>
      <c r="AE81" s="871">
        <f>'11.销售及回款表'!AG477</f>
        <v>0</v>
      </c>
      <c r="AF81" s="872">
        <f>'11.销售及回款表'!AH477</f>
        <v>0</v>
      </c>
      <c r="AG81" s="872">
        <f>'11.销售及回款表'!AI477</f>
        <v>0</v>
      </c>
      <c r="AH81" s="872">
        <f>'11.销售及回款表'!AJ477</f>
        <v>0</v>
      </c>
      <c r="AI81" s="871">
        <f>'11.销售及回款表'!AK477</f>
        <v>0</v>
      </c>
      <c r="AJ81" s="872">
        <f>'11.销售及回款表'!AL477</f>
        <v>0</v>
      </c>
      <c r="AK81" s="872">
        <f>'11.销售及回款表'!AM477</f>
        <v>0</v>
      </c>
      <c r="AL81" s="872">
        <f>'11.销售及回款表'!AN477</f>
        <v>0</v>
      </c>
      <c r="AM81" s="871">
        <f>'11.销售及回款表'!AO477</f>
        <v>0</v>
      </c>
      <c r="AN81" s="872">
        <f>'11.销售及回款表'!AP477</f>
        <v>0</v>
      </c>
      <c r="AO81" s="872">
        <f>'11.销售及回款表'!AQ477</f>
        <v>0</v>
      </c>
      <c r="AP81" s="872">
        <f>'11.销售及回款表'!AR477</f>
        <v>0</v>
      </c>
      <c r="AQ81" s="871">
        <f>'11.销售及回款表'!AS477</f>
        <v>0</v>
      </c>
      <c r="AR81" s="872">
        <f>'11.销售及回款表'!AT477</f>
        <v>0</v>
      </c>
      <c r="AS81" s="872">
        <f>'11.销售及回款表'!AU477</f>
        <v>0</v>
      </c>
      <c r="AT81" s="872">
        <f>'11.销售及回款表'!AV477</f>
        <v>0</v>
      </c>
    </row>
    <row r="82" spans="1:46" s="77" customFormat="1" ht="18" customHeight="1" outlineLevel="2">
      <c r="A82" s="873" t="str">
        <f>'8.项目规划指标表'!B14</f>
        <v>自持物业</v>
      </c>
      <c r="B82" s="870">
        <f t="shared" si="8"/>
        <v>0</v>
      </c>
      <c r="C82" s="871">
        <f>'11.销售及回款表'!E482</f>
        <v>0</v>
      </c>
      <c r="D82" s="872">
        <f>'11.销售及回款表'!F482</f>
        <v>0</v>
      </c>
      <c r="E82" s="872">
        <f>'11.销售及回款表'!G482</f>
        <v>0</v>
      </c>
      <c r="F82" s="872">
        <f>'11.销售及回款表'!H482</f>
        <v>0</v>
      </c>
      <c r="G82" s="871">
        <f>'11.销售及回款表'!I482</f>
        <v>0</v>
      </c>
      <c r="H82" s="872">
        <f>'11.销售及回款表'!J482</f>
        <v>0</v>
      </c>
      <c r="I82" s="872">
        <f>'11.销售及回款表'!K482</f>
        <v>0</v>
      </c>
      <c r="J82" s="872">
        <f>'11.销售及回款表'!L482</f>
        <v>0</v>
      </c>
      <c r="K82" s="871">
        <f>'11.销售及回款表'!M482</f>
        <v>0</v>
      </c>
      <c r="L82" s="872">
        <f>'11.销售及回款表'!N482</f>
        <v>0</v>
      </c>
      <c r="M82" s="872">
        <f>'11.销售及回款表'!O482</f>
        <v>0</v>
      </c>
      <c r="N82" s="872">
        <f>'11.销售及回款表'!P482</f>
        <v>0</v>
      </c>
      <c r="O82" s="871">
        <f>'11.销售及回款表'!Q482</f>
        <v>0</v>
      </c>
      <c r="P82" s="872">
        <f>'11.销售及回款表'!R482</f>
        <v>0</v>
      </c>
      <c r="Q82" s="872">
        <f>'11.销售及回款表'!S482</f>
        <v>0</v>
      </c>
      <c r="R82" s="872">
        <f>'11.销售及回款表'!T482</f>
        <v>0</v>
      </c>
      <c r="S82" s="871">
        <f>'11.销售及回款表'!U482</f>
        <v>0</v>
      </c>
      <c r="T82" s="872">
        <f>'11.销售及回款表'!V482</f>
        <v>0</v>
      </c>
      <c r="U82" s="872">
        <f>'11.销售及回款表'!W482</f>
        <v>0</v>
      </c>
      <c r="V82" s="872">
        <f>'11.销售及回款表'!X482</f>
        <v>0</v>
      </c>
      <c r="W82" s="871">
        <f>'11.销售及回款表'!Y482</f>
        <v>0</v>
      </c>
      <c r="X82" s="872">
        <f>'11.销售及回款表'!Z482</f>
        <v>0</v>
      </c>
      <c r="Y82" s="872">
        <f>'11.销售及回款表'!AA482</f>
        <v>0</v>
      </c>
      <c r="Z82" s="872">
        <f>'11.销售及回款表'!AB482</f>
        <v>0</v>
      </c>
      <c r="AA82" s="871">
        <f>'11.销售及回款表'!AC482</f>
        <v>0</v>
      </c>
      <c r="AB82" s="872">
        <f>'11.销售及回款表'!AD482</f>
        <v>0</v>
      </c>
      <c r="AC82" s="872">
        <f>'11.销售及回款表'!AE482</f>
        <v>0</v>
      </c>
      <c r="AD82" s="872">
        <f>'11.销售及回款表'!AF482</f>
        <v>0</v>
      </c>
      <c r="AE82" s="871">
        <f>'11.销售及回款表'!AG482</f>
        <v>0</v>
      </c>
      <c r="AF82" s="872">
        <f>'11.销售及回款表'!AH482</f>
        <v>0</v>
      </c>
      <c r="AG82" s="872">
        <f>'11.销售及回款表'!AI482</f>
        <v>0</v>
      </c>
      <c r="AH82" s="872">
        <f>'11.销售及回款表'!AJ482</f>
        <v>0</v>
      </c>
      <c r="AI82" s="871">
        <f>'11.销售及回款表'!AK482</f>
        <v>0</v>
      </c>
      <c r="AJ82" s="872">
        <f>'11.销售及回款表'!AL482</f>
        <v>0</v>
      </c>
      <c r="AK82" s="872">
        <f>'11.销售及回款表'!AM482</f>
        <v>0</v>
      </c>
      <c r="AL82" s="872">
        <f>'11.销售及回款表'!AN482</f>
        <v>0</v>
      </c>
      <c r="AM82" s="871">
        <f>'11.销售及回款表'!AO482</f>
        <v>0</v>
      </c>
      <c r="AN82" s="872">
        <f>'11.销售及回款表'!AP482</f>
        <v>0</v>
      </c>
      <c r="AO82" s="872">
        <f>'11.销售及回款表'!AQ482</f>
        <v>0</v>
      </c>
      <c r="AP82" s="872">
        <f>'11.销售及回款表'!AR482</f>
        <v>0</v>
      </c>
      <c r="AQ82" s="871">
        <f>'11.销售及回款表'!AS482</f>
        <v>0</v>
      </c>
      <c r="AR82" s="872">
        <f>'11.销售及回款表'!AT482</f>
        <v>0</v>
      </c>
      <c r="AS82" s="872">
        <f>'11.销售及回款表'!AU482</f>
        <v>0</v>
      </c>
      <c r="AT82" s="872">
        <f>'11.销售及回款表'!AV482</f>
        <v>0</v>
      </c>
    </row>
    <row r="83" spans="1:46" s="77" customFormat="1" ht="18" customHeight="1" outlineLevel="2">
      <c r="A83" s="873" t="str">
        <f>'8.项目规划指标表'!B18</f>
        <v>有产权车库(个)</v>
      </c>
      <c r="B83" s="870">
        <f t="shared" si="8"/>
        <v>0</v>
      </c>
      <c r="C83" s="871">
        <f>'11.销售及回款表'!E487</f>
        <v>0</v>
      </c>
      <c r="D83" s="872">
        <f>'11.销售及回款表'!F487</f>
        <v>0</v>
      </c>
      <c r="E83" s="872">
        <f>'11.销售及回款表'!G487</f>
        <v>0</v>
      </c>
      <c r="F83" s="872">
        <f>'11.销售及回款表'!H487</f>
        <v>0</v>
      </c>
      <c r="G83" s="871">
        <f>'11.销售及回款表'!I487</f>
        <v>0</v>
      </c>
      <c r="H83" s="872">
        <f>'11.销售及回款表'!J487</f>
        <v>0</v>
      </c>
      <c r="I83" s="872">
        <f>'11.销售及回款表'!K487</f>
        <v>0</v>
      </c>
      <c r="J83" s="872">
        <f>'11.销售及回款表'!L487</f>
        <v>0</v>
      </c>
      <c r="K83" s="871">
        <f>'11.销售及回款表'!M487</f>
        <v>0</v>
      </c>
      <c r="L83" s="872">
        <f>'11.销售及回款表'!N487</f>
        <v>0</v>
      </c>
      <c r="M83" s="872">
        <f>'11.销售及回款表'!O487</f>
        <v>0</v>
      </c>
      <c r="N83" s="872">
        <f>'11.销售及回款表'!P487</f>
        <v>0</v>
      </c>
      <c r="O83" s="871">
        <f>'11.销售及回款表'!Q487</f>
        <v>0</v>
      </c>
      <c r="P83" s="872">
        <f>'11.销售及回款表'!R487</f>
        <v>0</v>
      </c>
      <c r="Q83" s="872">
        <f>'11.销售及回款表'!S487</f>
        <v>0</v>
      </c>
      <c r="R83" s="872">
        <f>'11.销售及回款表'!T487</f>
        <v>0</v>
      </c>
      <c r="S83" s="871">
        <f>'11.销售及回款表'!U487</f>
        <v>0</v>
      </c>
      <c r="T83" s="872">
        <f>'11.销售及回款表'!V487</f>
        <v>0</v>
      </c>
      <c r="U83" s="872">
        <f>'11.销售及回款表'!W487</f>
        <v>0</v>
      </c>
      <c r="V83" s="872">
        <f>'11.销售及回款表'!X487</f>
        <v>0</v>
      </c>
      <c r="W83" s="871">
        <f>'11.销售及回款表'!Y487</f>
        <v>0</v>
      </c>
      <c r="X83" s="872">
        <f>'11.销售及回款表'!Z487</f>
        <v>0</v>
      </c>
      <c r="Y83" s="872">
        <f>'11.销售及回款表'!AA487</f>
        <v>0</v>
      </c>
      <c r="Z83" s="872">
        <f>'11.销售及回款表'!AB487</f>
        <v>0</v>
      </c>
      <c r="AA83" s="871">
        <f>'11.销售及回款表'!AC487</f>
        <v>0</v>
      </c>
      <c r="AB83" s="872">
        <f>'11.销售及回款表'!AD487</f>
        <v>0</v>
      </c>
      <c r="AC83" s="872">
        <f>'11.销售及回款表'!AE487</f>
        <v>0</v>
      </c>
      <c r="AD83" s="872">
        <f>'11.销售及回款表'!AF487</f>
        <v>0</v>
      </c>
      <c r="AE83" s="871">
        <f>'11.销售及回款表'!AG487</f>
        <v>0</v>
      </c>
      <c r="AF83" s="872">
        <f>'11.销售及回款表'!AH487</f>
        <v>0</v>
      </c>
      <c r="AG83" s="872">
        <f>'11.销售及回款表'!AI487</f>
        <v>0</v>
      </c>
      <c r="AH83" s="872">
        <f>'11.销售及回款表'!AJ487</f>
        <v>0</v>
      </c>
      <c r="AI83" s="871">
        <f>'11.销售及回款表'!AK487</f>
        <v>0</v>
      </c>
      <c r="AJ83" s="872">
        <f>'11.销售及回款表'!AL487</f>
        <v>0</v>
      </c>
      <c r="AK83" s="872">
        <f>'11.销售及回款表'!AM487</f>
        <v>0</v>
      </c>
      <c r="AL83" s="872">
        <f>'11.销售及回款表'!AN487</f>
        <v>0</v>
      </c>
      <c r="AM83" s="871">
        <f>'11.销售及回款表'!AO487</f>
        <v>0</v>
      </c>
      <c r="AN83" s="872">
        <f>'11.销售及回款表'!AP487</f>
        <v>0</v>
      </c>
      <c r="AO83" s="872">
        <f>'11.销售及回款表'!AQ487</f>
        <v>0</v>
      </c>
      <c r="AP83" s="872">
        <f>'11.销售及回款表'!AR487</f>
        <v>0</v>
      </c>
      <c r="AQ83" s="871">
        <f>'11.销售及回款表'!AS487</f>
        <v>0</v>
      </c>
      <c r="AR83" s="872">
        <f>'11.销售及回款表'!AT487</f>
        <v>0</v>
      </c>
      <c r="AS83" s="872">
        <f>'11.销售及回款表'!AU487</f>
        <v>0</v>
      </c>
      <c r="AT83" s="872">
        <f>'11.销售及回款表'!AV487</f>
        <v>0</v>
      </c>
    </row>
    <row r="84" spans="1:46" s="77" customFormat="1" ht="18" customHeight="1" outlineLevel="2">
      <c r="A84" s="873" t="str">
        <f>'8.项目规划指标表'!B19</f>
        <v>无产权车库(个)</v>
      </c>
      <c r="B84" s="870">
        <f t="shared" si="8"/>
        <v>0</v>
      </c>
      <c r="C84" s="871">
        <f>'11.销售及回款表'!E492</f>
        <v>0</v>
      </c>
      <c r="D84" s="872">
        <f>'11.销售及回款表'!F492</f>
        <v>0</v>
      </c>
      <c r="E84" s="872">
        <f>'11.销售及回款表'!G492</f>
        <v>0</v>
      </c>
      <c r="F84" s="872">
        <f>'11.销售及回款表'!H492</f>
        <v>0</v>
      </c>
      <c r="G84" s="871">
        <f>'11.销售及回款表'!I492</f>
        <v>0</v>
      </c>
      <c r="H84" s="872">
        <f>'11.销售及回款表'!J492</f>
        <v>0</v>
      </c>
      <c r="I84" s="872">
        <f>'11.销售及回款表'!K492</f>
        <v>0</v>
      </c>
      <c r="J84" s="872">
        <f>'11.销售及回款表'!L492</f>
        <v>0</v>
      </c>
      <c r="K84" s="871">
        <f>'11.销售及回款表'!M492</f>
        <v>0</v>
      </c>
      <c r="L84" s="872">
        <f>'11.销售及回款表'!N492</f>
        <v>0</v>
      </c>
      <c r="M84" s="872">
        <f>'11.销售及回款表'!O492</f>
        <v>0</v>
      </c>
      <c r="N84" s="872">
        <f>'11.销售及回款表'!P492</f>
        <v>0</v>
      </c>
      <c r="O84" s="871">
        <f>'11.销售及回款表'!Q492</f>
        <v>0</v>
      </c>
      <c r="P84" s="872">
        <f>'11.销售及回款表'!R492</f>
        <v>0</v>
      </c>
      <c r="Q84" s="872">
        <f>'11.销售及回款表'!S492</f>
        <v>0</v>
      </c>
      <c r="R84" s="872">
        <f>'11.销售及回款表'!T492</f>
        <v>0</v>
      </c>
      <c r="S84" s="871">
        <f>'11.销售及回款表'!U492</f>
        <v>0</v>
      </c>
      <c r="T84" s="872">
        <f>'11.销售及回款表'!V492</f>
        <v>0</v>
      </c>
      <c r="U84" s="872">
        <f>'11.销售及回款表'!W492</f>
        <v>0</v>
      </c>
      <c r="V84" s="872">
        <f>'11.销售及回款表'!X492</f>
        <v>0</v>
      </c>
      <c r="W84" s="871">
        <f>'11.销售及回款表'!Y492</f>
        <v>0</v>
      </c>
      <c r="X84" s="872">
        <f>'11.销售及回款表'!Z492</f>
        <v>0</v>
      </c>
      <c r="Y84" s="872">
        <f>'11.销售及回款表'!AA492</f>
        <v>0</v>
      </c>
      <c r="Z84" s="872">
        <f>'11.销售及回款表'!AB492</f>
        <v>0</v>
      </c>
      <c r="AA84" s="871">
        <f>'11.销售及回款表'!AC492</f>
        <v>0</v>
      </c>
      <c r="AB84" s="872">
        <f>'11.销售及回款表'!AD492</f>
        <v>0</v>
      </c>
      <c r="AC84" s="872">
        <f>'11.销售及回款表'!AE492</f>
        <v>0</v>
      </c>
      <c r="AD84" s="872">
        <f>'11.销售及回款表'!AF492</f>
        <v>0</v>
      </c>
      <c r="AE84" s="871">
        <f>'11.销售及回款表'!AG492</f>
        <v>0</v>
      </c>
      <c r="AF84" s="872">
        <f>'11.销售及回款表'!AH492</f>
        <v>0</v>
      </c>
      <c r="AG84" s="872">
        <f>'11.销售及回款表'!AI492</f>
        <v>0</v>
      </c>
      <c r="AH84" s="872">
        <f>'11.销售及回款表'!AJ492</f>
        <v>0</v>
      </c>
      <c r="AI84" s="871">
        <f>'11.销售及回款表'!AK492</f>
        <v>0</v>
      </c>
      <c r="AJ84" s="872">
        <f>'11.销售及回款表'!AL492</f>
        <v>0</v>
      </c>
      <c r="AK84" s="872">
        <f>'11.销售及回款表'!AM492</f>
        <v>0</v>
      </c>
      <c r="AL84" s="872">
        <f>'11.销售及回款表'!AN492</f>
        <v>0</v>
      </c>
      <c r="AM84" s="871">
        <f>'11.销售及回款表'!AO492</f>
        <v>0</v>
      </c>
      <c r="AN84" s="872">
        <f>'11.销售及回款表'!AP492</f>
        <v>0</v>
      </c>
      <c r="AO84" s="872">
        <f>'11.销售及回款表'!AQ492</f>
        <v>0</v>
      </c>
      <c r="AP84" s="872">
        <f>'11.销售及回款表'!AR492</f>
        <v>0</v>
      </c>
      <c r="AQ84" s="871">
        <f>'11.销售及回款表'!AS492</f>
        <v>0</v>
      </c>
      <c r="AR84" s="872">
        <f>'11.销售及回款表'!AT492</f>
        <v>0</v>
      </c>
      <c r="AS84" s="872">
        <f>'11.销售及回款表'!AU492</f>
        <v>0</v>
      </c>
      <c r="AT84" s="872">
        <f>'11.销售及回款表'!AV492</f>
        <v>0</v>
      </c>
    </row>
    <row r="85" spans="1:46" s="77" customFormat="1" ht="18" customHeight="1">
      <c r="A85" s="861" t="s">
        <v>468</v>
      </c>
      <c r="B85" s="862">
        <f>SUM(B86,B99,B112,B125,B138,B151)</f>
        <v>100593.19495999999</v>
      </c>
      <c r="C85" s="863">
        <f t="shared" ref="C85:AT85" si="9">SUM(C86,C99,C112,C125,C138,C151)</f>
        <v>0</v>
      </c>
      <c r="D85" s="864">
        <f t="shared" si="9"/>
        <v>0</v>
      </c>
      <c r="E85" s="864">
        <f t="shared" si="9"/>
        <v>0</v>
      </c>
      <c r="F85" s="864">
        <f t="shared" si="9"/>
        <v>0</v>
      </c>
      <c r="G85" s="863">
        <f t="shared" si="9"/>
        <v>0</v>
      </c>
      <c r="H85" s="864">
        <f t="shared" si="9"/>
        <v>29452.5</v>
      </c>
      <c r="I85" s="864">
        <f t="shared" si="9"/>
        <v>30630.6</v>
      </c>
      <c r="J85" s="864">
        <f t="shared" si="9"/>
        <v>13389.948</v>
      </c>
      <c r="K85" s="863">
        <f t="shared" si="9"/>
        <v>13657.746959999999</v>
      </c>
      <c r="L85" s="864">
        <f t="shared" si="9"/>
        <v>6988.8</v>
      </c>
      <c r="M85" s="864">
        <f t="shared" si="9"/>
        <v>3519.6000000000004</v>
      </c>
      <c r="N85" s="864">
        <f t="shared" si="9"/>
        <v>1772.4</v>
      </c>
      <c r="O85" s="863">
        <f t="shared" si="9"/>
        <v>1181.5999999999999</v>
      </c>
      <c r="P85" s="864">
        <f t="shared" si="9"/>
        <v>0</v>
      </c>
      <c r="Q85" s="864">
        <f t="shared" si="9"/>
        <v>0</v>
      </c>
      <c r="R85" s="864">
        <f t="shared" si="9"/>
        <v>0</v>
      </c>
      <c r="S85" s="863">
        <f t="shared" si="9"/>
        <v>0</v>
      </c>
      <c r="T85" s="864">
        <f t="shared" si="9"/>
        <v>0</v>
      </c>
      <c r="U85" s="864">
        <f t="shared" si="9"/>
        <v>0</v>
      </c>
      <c r="V85" s="864">
        <f t="shared" si="9"/>
        <v>0</v>
      </c>
      <c r="W85" s="863">
        <f t="shared" si="9"/>
        <v>0</v>
      </c>
      <c r="X85" s="864">
        <f t="shared" si="9"/>
        <v>0</v>
      </c>
      <c r="Y85" s="864">
        <f t="shared" si="9"/>
        <v>0</v>
      </c>
      <c r="Z85" s="864">
        <f t="shared" si="9"/>
        <v>0</v>
      </c>
      <c r="AA85" s="863">
        <f t="shared" si="9"/>
        <v>0</v>
      </c>
      <c r="AB85" s="864">
        <f t="shared" si="9"/>
        <v>0</v>
      </c>
      <c r="AC85" s="864">
        <f t="shared" si="9"/>
        <v>0</v>
      </c>
      <c r="AD85" s="864">
        <f t="shared" si="9"/>
        <v>0</v>
      </c>
      <c r="AE85" s="863">
        <f t="shared" si="9"/>
        <v>0</v>
      </c>
      <c r="AF85" s="864">
        <f t="shared" si="9"/>
        <v>0</v>
      </c>
      <c r="AG85" s="864">
        <f t="shared" si="9"/>
        <v>0</v>
      </c>
      <c r="AH85" s="864">
        <f t="shared" si="9"/>
        <v>0</v>
      </c>
      <c r="AI85" s="863">
        <f t="shared" si="9"/>
        <v>0</v>
      </c>
      <c r="AJ85" s="864">
        <f t="shared" si="9"/>
        <v>0</v>
      </c>
      <c r="AK85" s="864">
        <f t="shared" si="9"/>
        <v>0</v>
      </c>
      <c r="AL85" s="864">
        <f t="shared" si="9"/>
        <v>0</v>
      </c>
      <c r="AM85" s="863">
        <f t="shared" si="9"/>
        <v>0</v>
      </c>
      <c r="AN85" s="864">
        <f t="shared" si="9"/>
        <v>0</v>
      </c>
      <c r="AO85" s="864">
        <f t="shared" si="9"/>
        <v>0</v>
      </c>
      <c r="AP85" s="864">
        <f t="shared" si="9"/>
        <v>0</v>
      </c>
      <c r="AQ85" s="863">
        <f t="shared" si="9"/>
        <v>0</v>
      </c>
      <c r="AR85" s="864">
        <f t="shared" si="9"/>
        <v>0</v>
      </c>
      <c r="AS85" s="864">
        <f t="shared" si="9"/>
        <v>0</v>
      </c>
      <c r="AT85" s="864">
        <f t="shared" si="9"/>
        <v>0</v>
      </c>
    </row>
    <row r="86" spans="1:46" s="77" customFormat="1" ht="18" customHeight="1" outlineLevel="1">
      <c r="A86" s="865" t="s">
        <v>19</v>
      </c>
      <c r="B86" s="866">
        <f>SUM(B87:B98)</f>
        <v>100593.19495999999</v>
      </c>
      <c r="C86" s="867">
        <f>SUM(C87:C98)</f>
        <v>0</v>
      </c>
      <c r="D86" s="868">
        <f t="shared" ref="D86:AT86" si="10">SUM(D87:D98)</f>
        <v>0</v>
      </c>
      <c r="E86" s="868">
        <f t="shared" si="10"/>
        <v>0</v>
      </c>
      <c r="F86" s="868">
        <f t="shared" si="10"/>
        <v>0</v>
      </c>
      <c r="G86" s="867">
        <f t="shared" si="10"/>
        <v>0</v>
      </c>
      <c r="H86" s="868">
        <f t="shared" si="10"/>
        <v>29452.5</v>
      </c>
      <c r="I86" s="868">
        <f t="shared" si="10"/>
        <v>30630.6</v>
      </c>
      <c r="J86" s="868">
        <f t="shared" si="10"/>
        <v>13389.948</v>
      </c>
      <c r="K86" s="867">
        <f t="shared" si="10"/>
        <v>13657.746959999999</v>
      </c>
      <c r="L86" s="868">
        <f t="shared" si="10"/>
        <v>6988.8</v>
      </c>
      <c r="M86" s="868">
        <f t="shared" si="10"/>
        <v>3519.6000000000004</v>
      </c>
      <c r="N86" s="868">
        <f t="shared" si="10"/>
        <v>1772.4</v>
      </c>
      <c r="O86" s="867">
        <f t="shared" si="10"/>
        <v>1181.5999999999999</v>
      </c>
      <c r="P86" s="868">
        <f t="shared" si="10"/>
        <v>0</v>
      </c>
      <c r="Q86" s="868">
        <f t="shared" si="10"/>
        <v>0</v>
      </c>
      <c r="R86" s="868">
        <f t="shared" si="10"/>
        <v>0</v>
      </c>
      <c r="S86" s="867">
        <f t="shared" si="10"/>
        <v>0</v>
      </c>
      <c r="T86" s="868">
        <f t="shared" si="10"/>
        <v>0</v>
      </c>
      <c r="U86" s="868">
        <f t="shared" si="10"/>
        <v>0</v>
      </c>
      <c r="V86" s="868">
        <f t="shared" si="10"/>
        <v>0</v>
      </c>
      <c r="W86" s="867">
        <f t="shared" si="10"/>
        <v>0</v>
      </c>
      <c r="X86" s="868">
        <f t="shared" si="10"/>
        <v>0</v>
      </c>
      <c r="Y86" s="868">
        <f t="shared" si="10"/>
        <v>0</v>
      </c>
      <c r="Z86" s="868">
        <f t="shared" si="10"/>
        <v>0</v>
      </c>
      <c r="AA86" s="867">
        <f t="shared" si="10"/>
        <v>0</v>
      </c>
      <c r="AB86" s="868">
        <f t="shared" si="10"/>
        <v>0</v>
      </c>
      <c r="AC86" s="868">
        <f t="shared" si="10"/>
        <v>0</v>
      </c>
      <c r="AD86" s="868">
        <f t="shared" si="10"/>
        <v>0</v>
      </c>
      <c r="AE86" s="867">
        <f t="shared" si="10"/>
        <v>0</v>
      </c>
      <c r="AF86" s="868">
        <f t="shared" si="10"/>
        <v>0</v>
      </c>
      <c r="AG86" s="868">
        <f t="shared" si="10"/>
        <v>0</v>
      </c>
      <c r="AH86" s="868">
        <f t="shared" si="10"/>
        <v>0</v>
      </c>
      <c r="AI86" s="867">
        <f t="shared" si="10"/>
        <v>0</v>
      </c>
      <c r="AJ86" s="868">
        <f t="shared" si="10"/>
        <v>0</v>
      </c>
      <c r="AK86" s="868">
        <f t="shared" si="10"/>
        <v>0</v>
      </c>
      <c r="AL86" s="868">
        <f t="shared" si="10"/>
        <v>0</v>
      </c>
      <c r="AM86" s="867">
        <f t="shared" si="10"/>
        <v>0</v>
      </c>
      <c r="AN86" s="868">
        <f t="shared" si="10"/>
        <v>0</v>
      </c>
      <c r="AO86" s="868">
        <f t="shared" si="10"/>
        <v>0</v>
      </c>
      <c r="AP86" s="868">
        <f t="shared" si="10"/>
        <v>0</v>
      </c>
      <c r="AQ86" s="867">
        <f t="shared" si="10"/>
        <v>0</v>
      </c>
      <c r="AR86" s="868">
        <f t="shared" si="10"/>
        <v>0</v>
      </c>
      <c r="AS86" s="868">
        <f t="shared" si="10"/>
        <v>0</v>
      </c>
      <c r="AT86" s="868">
        <f t="shared" si="10"/>
        <v>0</v>
      </c>
    </row>
    <row r="87" spans="1:46" s="77" customFormat="1" ht="18" customHeight="1" outlineLevel="2">
      <c r="A87" s="869" t="str">
        <f>'8.项目规划指标表'!B$5</f>
        <v>高层</v>
      </c>
      <c r="B87" s="870">
        <f>SUM(C87:AT87)</f>
        <v>87130.794959999999</v>
      </c>
      <c r="C87" s="871">
        <f>'11.销售及回款表'!E88</f>
        <v>0</v>
      </c>
      <c r="D87" s="872">
        <f>'11.销售及回款表'!F88</f>
        <v>0</v>
      </c>
      <c r="E87" s="872">
        <f>'11.销售及回款表'!G88</f>
        <v>0</v>
      </c>
      <c r="F87" s="872">
        <f>'11.销售及回款表'!H88</f>
        <v>0</v>
      </c>
      <c r="G87" s="871">
        <f>'11.销售及回款表'!I88</f>
        <v>0</v>
      </c>
      <c r="H87" s="872">
        <f>'11.销售及回款表'!J88</f>
        <v>29452.5</v>
      </c>
      <c r="I87" s="872">
        <f>'11.销售及回款表'!K88</f>
        <v>30630.6</v>
      </c>
      <c r="J87" s="872">
        <f>'11.销售及回款表'!L88</f>
        <v>13389.948</v>
      </c>
      <c r="K87" s="871">
        <f>'11.销售及回款表'!M88</f>
        <v>13657.746959999999</v>
      </c>
      <c r="L87" s="872">
        <f>'11.销售及回款表'!N88</f>
        <v>0</v>
      </c>
      <c r="M87" s="872">
        <f>'11.销售及回款表'!O88</f>
        <v>0</v>
      </c>
      <c r="N87" s="872">
        <f>'11.销售及回款表'!P88</f>
        <v>0</v>
      </c>
      <c r="O87" s="871">
        <f>'11.销售及回款表'!Q88</f>
        <v>0</v>
      </c>
      <c r="P87" s="872">
        <f>'11.销售及回款表'!R88</f>
        <v>0</v>
      </c>
      <c r="Q87" s="872">
        <f>'11.销售及回款表'!S88</f>
        <v>0</v>
      </c>
      <c r="R87" s="872">
        <f>'11.销售及回款表'!T88</f>
        <v>0</v>
      </c>
      <c r="S87" s="871">
        <f>'11.销售及回款表'!U88</f>
        <v>0</v>
      </c>
      <c r="T87" s="872">
        <f>'11.销售及回款表'!V88</f>
        <v>0</v>
      </c>
      <c r="U87" s="872">
        <f>'11.销售及回款表'!W88</f>
        <v>0</v>
      </c>
      <c r="V87" s="872">
        <f>'11.销售及回款表'!X88</f>
        <v>0</v>
      </c>
      <c r="W87" s="871">
        <f>'11.销售及回款表'!Y88</f>
        <v>0</v>
      </c>
      <c r="X87" s="872">
        <f>'11.销售及回款表'!Z88</f>
        <v>0</v>
      </c>
      <c r="Y87" s="872">
        <f>'11.销售及回款表'!AA88</f>
        <v>0</v>
      </c>
      <c r="Z87" s="872">
        <f>'11.销售及回款表'!AB88</f>
        <v>0</v>
      </c>
      <c r="AA87" s="871">
        <f>'11.销售及回款表'!AC88</f>
        <v>0</v>
      </c>
      <c r="AB87" s="872">
        <f>'11.销售及回款表'!AD88</f>
        <v>0</v>
      </c>
      <c r="AC87" s="872">
        <f>'11.销售及回款表'!AE88</f>
        <v>0</v>
      </c>
      <c r="AD87" s="872">
        <f>'11.销售及回款表'!AF88</f>
        <v>0</v>
      </c>
      <c r="AE87" s="871">
        <f>'11.销售及回款表'!AG88</f>
        <v>0</v>
      </c>
      <c r="AF87" s="872">
        <f>'11.销售及回款表'!AH88</f>
        <v>0</v>
      </c>
      <c r="AG87" s="872">
        <f>'11.销售及回款表'!AI88</f>
        <v>0</v>
      </c>
      <c r="AH87" s="872">
        <f>'11.销售及回款表'!AJ88</f>
        <v>0</v>
      </c>
      <c r="AI87" s="871">
        <f>'11.销售及回款表'!AK88</f>
        <v>0</v>
      </c>
      <c r="AJ87" s="872">
        <f>'11.销售及回款表'!AL88</f>
        <v>0</v>
      </c>
      <c r="AK87" s="872">
        <f>'11.销售及回款表'!AM88</f>
        <v>0</v>
      </c>
      <c r="AL87" s="872">
        <f>'11.销售及回款表'!AN88</f>
        <v>0</v>
      </c>
      <c r="AM87" s="871">
        <f>'11.销售及回款表'!AO88</f>
        <v>0</v>
      </c>
      <c r="AN87" s="872">
        <f>'11.销售及回款表'!AP88</f>
        <v>0</v>
      </c>
      <c r="AO87" s="872">
        <f>'11.销售及回款表'!AQ88</f>
        <v>0</v>
      </c>
      <c r="AP87" s="872">
        <f>'11.销售及回款表'!AR88</f>
        <v>0</v>
      </c>
      <c r="AQ87" s="871">
        <f>'11.销售及回款表'!AS88</f>
        <v>0</v>
      </c>
      <c r="AR87" s="872">
        <f>'11.销售及回款表'!AT88</f>
        <v>0</v>
      </c>
      <c r="AS87" s="872">
        <f>'11.销售及回款表'!AU88</f>
        <v>0</v>
      </c>
      <c r="AT87" s="872">
        <f>'11.销售及回款表'!AV88</f>
        <v>0</v>
      </c>
    </row>
    <row r="88" spans="1:46" s="77" customFormat="1" ht="18" customHeight="1" outlineLevel="2">
      <c r="A88" s="869" t="str">
        <f>'8.项目规划指标表'!B$6</f>
        <v>商铺</v>
      </c>
      <c r="B88" s="870">
        <f t="shared" ref="B88:B98" si="11">SUM(C88:AT88)</f>
        <v>8736</v>
      </c>
      <c r="C88" s="871">
        <f>'11.销售及回款表'!E93</f>
        <v>0</v>
      </c>
      <c r="D88" s="872">
        <f>'11.销售及回款表'!F93</f>
        <v>0</v>
      </c>
      <c r="E88" s="872">
        <f>'11.销售及回款表'!G93</f>
        <v>0</v>
      </c>
      <c r="F88" s="872">
        <f>'11.销售及回款表'!H93</f>
        <v>0</v>
      </c>
      <c r="G88" s="871">
        <f>'11.销售及回款表'!I93</f>
        <v>0</v>
      </c>
      <c r="H88" s="872">
        <f>'11.销售及回款表'!J93</f>
        <v>0</v>
      </c>
      <c r="I88" s="872">
        <f>'11.销售及回款表'!K93</f>
        <v>0</v>
      </c>
      <c r="J88" s="872">
        <f>'11.销售及回款表'!L93</f>
        <v>0</v>
      </c>
      <c r="K88" s="871">
        <f>'11.销售及回款表'!M93</f>
        <v>0</v>
      </c>
      <c r="L88" s="872">
        <f>'11.销售及回款表'!N93</f>
        <v>6988.8</v>
      </c>
      <c r="M88" s="872">
        <f>'11.销售及回款表'!O93</f>
        <v>1747.2</v>
      </c>
      <c r="N88" s="872">
        <f>'11.销售及回款表'!P93</f>
        <v>0</v>
      </c>
      <c r="O88" s="871">
        <f>'11.销售及回款表'!Q93</f>
        <v>0</v>
      </c>
      <c r="P88" s="872">
        <f>'11.销售及回款表'!R93</f>
        <v>0</v>
      </c>
      <c r="Q88" s="872">
        <f>'11.销售及回款表'!S93</f>
        <v>0</v>
      </c>
      <c r="R88" s="872">
        <f>'11.销售及回款表'!T93</f>
        <v>0</v>
      </c>
      <c r="S88" s="871">
        <f>'11.销售及回款表'!U93</f>
        <v>0</v>
      </c>
      <c r="T88" s="872">
        <f>'11.销售及回款表'!V93</f>
        <v>0</v>
      </c>
      <c r="U88" s="872">
        <f>'11.销售及回款表'!W93</f>
        <v>0</v>
      </c>
      <c r="V88" s="872">
        <f>'11.销售及回款表'!X93</f>
        <v>0</v>
      </c>
      <c r="W88" s="871">
        <f>'11.销售及回款表'!Y93</f>
        <v>0</v>
      </c>
      <c r="X88" s="872">
        <f>'11.销售及回款表'!Z93</f>
        <v>0</v>
      </c>
      <c r="Y88" s="872">
        <f>'11.销售及回款表'!AA93</f>
        <v>0</v>
      </c>
      <c r="Z88" s="872">
        <f>'11.销售及回款表'!AB93</f>
        <v>0</v>
      </c>
      <c r="AA88" s="871">
        <f>'11.销售及回款表'!AC93</f>
        <v>0</v>
      </c>
      <c r="AB88" s="872">
        <f>'11.销售及回款表'!AD93</f>
        <v>0</v>
      </c>
      <c r="AC88" s="872">
        <f>'11.销售及回款表'!AE93</f>
        <v>0</v>
      </c>
      <c r="AD88" s="872">
        <f>'11.销售及回款表'!AF93</f>
        <v>0</v>
      </c>
      <c r="AE88" s="871">
        <f>'11.销售及回款表'!AG93</f>
        <v>0</v>
      </c>
      <c r="AF88" s="872">
        <f>'11.销售及回款表'!AH93</f>
        <v>0</v>
      </c>
      <c r="AG88" s="872">
        <f>'11.销售及回款表'!AI93</f>
        <v>0</v>
      </c>
      <c r="AH88" s="872">
        <f>'11.销售及回款表'!AJ93</f>
        <v>0</v>
      </c>
      <c r="AI88" s="871">
        <f>'11.销售及回款表'!AK93</f>
        <v>0</v>
      </c>
      <c r="AJ88" s="872">
        <f>'11.销售及回款表'!AL93</f>
        <v>0</v>
      </c>
      <c r="AK88" s="872">
        <f>'11.销售及回款表'!AM93</f>
        <v>0</v>
      </c>
      <c r="AL88" s="872">
        <f>'11.销售及回款表'!AN93</f>
        <v>0</v>
      </c>
      <c r="AM88" s="871">
        <f>'11.销售及回款表'!AO93</f>
        <v>0</v>
      </c>
      <c r="AN88" s="872">
        <f>'11.销售及回款表'!AP93</f>
        <v>0</v>
      </c>
      <c r="AO88" s="872">
        <f>'11.销售及回款表'!AQ93</f>
        <v>0</v>
      </c>
      <c r="AP88" s="872">
        <f>'11.销售及回款表'!AR93</f>
        <v>0</v>
      </c>
      <c r="AQ88" s="871">
        <f>'11.销售及回款表'!AS93</f>
        <v>0</v>
      </c>
      <c r="AR88" s="872">
        <f>'11.销售及回款表'!AT93</f>
        <v>0</v>
      </c>
      <c r="AS88" s="872">
        <f>'11.销售及回款表'!AU93</f>
        <v>0</v>
      </c>
      <c r="AT88" s="872">
        <f>'11.销售及回款表'!AV93</f>
        <v>0</v>
      </c>
    </row>
    <row r="89" spans="1:46" s="77" customFormat="1" ht="18" customHeight="1" outlineLevel="2">
      <c r="A89" s="869" t="str">
        <f>'8.项目规划指标表'!B$7</f>
        <v>回迁商业</v>
      </c>
      <c r="B89" s="870">
        <f t="shared" si="11"/>
        <v>0</v>
      </c>
      <c r="C89" s="871">
        <f>'11.销售及回款表'!E98</f>
        <v>0</v>
      </c>
      <c r="D89" s="872">
        <f>'11.销售及回款表'!F98</f>
        <v>0</v>
      </c>
      <c r="E89" s="872">
        <f>'11.销售及回款表'!G98</f>
        <v>0</v>
      </c>
      <c r="F89" s="872">
        <f>'11.销售及回款表'!H98</f>
        <v>0</v>
      </c>
      <c r="G89" s="871">
        <f>'11.销售及回款表'!I98</f>
        <v>0</v>
      </c>
      <c r="H89" s="872">
        <f>'11.销售及回款表'!J98</f>
        <v>0</v>
      </c>
      <c r="I89" s="872">
        <f>'11.销售及回款表'!K98</f>
        <v>0</v>
      </c>
      <c r="J89" s="872">
        <f>'11.销售及回款表'!L98</f>
        <v>0</v>
      </c>
      <c r="K89" s="871">
        <f>'11.销售及回款表'!M98</f>
        <v>0</v>
      </c>
      <c r="L89" s="872">
        <f>'11.销售及回款表'!N98</f>
        <v>0</v>
      </c>
      <c r="M89" s="872">
        <f>'11.销售及回款表'!O98</f>
        <v>0</v>
      </c>
      <c r="N89" s="872">
        <f>'11.销售及回款表'!P98</f>
        <v>0</v>
      </c>
      <c r="O89" s="871">
        <f>'11.销售及回款表'!Q98</f>
        <v>0</v>
      </c>
      <c r="P89" s="872">
        <f>'11.销售及回款表'!R98</f>
        <v>0</v>
      </c>
      <c r="Q89" s="872">
        <f>'11.销售及回款表'!S98</f>
        <v>0</v>
      </c>
      <c r="R89" s="872">
        <f>'11.销售及回款表'!T98</f>
        <v>0</v>
      </c>
      <c r="S89" s="871">
        <f>'11.销售及回款表'!U98</f>
        <v>0</v>
      </c>
      <c r="T89" s="872">
        <f>'11.销售及回款表'!V98</f>
        <v>0</v>
      </c>
      <c r="U89" s="872">
        <f>'11.销售及回款表'!W98</f>
        <v>0</v>
      </c>
      <c r="V89" s="872">
        <f>'11.销售及回款表'!X98</f>
        <v>0</v>
      </c>
      <c r="W89" s="871">
        <f>'11.销售及回款表'!Y98</f>
        <v>0</v>
      </c>
      <c r="X89" s="872">
        <f>'11.销售及回款表'!Z98</f>
        <v>0</v>
      </c>
      <c r="Y89" s="872">
        <f>'11.销售及回款表'!AA98</f>
        <v>0</v>
      </c>
      <c r="Z89" s="872">
        <f>'11.销售及回款表'!AB98</f>
        <v>0</v>
      </c>
      <c r="AA89" s="871">
        <f>'11.销售及回款表'!AC98</f>
        <v>0</v>
      </c>
      <c r="AB89" s="872">
        <f>'11.销售及回款表'!AD98</f>
        <v>0</v>
      </c>
      <c r="AC89" s="872">
        <f>'11.销售及回款表'!AE98</f>
        <v>0</v>
      </c>
      <c r="AD89" s="872">
        <f>'11.销售及回款表'!AF98</f>
        <v>0</v>
      </c>
      <c r="AE89" s="871">
        <f>'11.销售及回款表'!AG98</f>
        <v>0</v>
      </c>
      <c r="AF89" s="872">
        <f>'11.销售及回款表'!AH98</f>
        <v>0</v>
      </c>
      <c r="AG89" s="872">
        <f>'11.销售及回款表'!AI98</f>
        <v>0</v>
      </c>
      <c r="AH89" s="872">
        <f>'11.销售及回款表'!AJ98</f>
        <v>0</v>
      </c>
      <c r="AI89" s="871">
        <f>'11.销售及回款表'!AK98</f>
        <v>0</v>
      </c>
      <c r="AJ89" s="872">
        <f>'11.销售及回款表'!AL98</f>
        <v>0</v>
      </c>
      <c r="AK89" s="872">
        <f>'11.销售及回款表'!AM98</f>
        <v>0</v>
      </c>
      <c r="AL89" s="872">
        <f>'11.销售及回款表'!AN98</f>
        <v>0</v>
      </c>
      <c r="AM89" s="871">
        <f>'11.销售及回款表'!AO98</f>
        <v>0</v>
      </c>
      <c r="AN89" s="872">
        <f>'11.销售及回款表'!AP98</f>
        <v>0</v>
      </c>
      <c r="AO89" s="872">
        <f>'11.销售及回款表'!AQ98</f>
        <v>0</v>
      </c>
      <c r="AP89" s="872">
        <f>'11.销售及回款表'!AR98</f>
        <v>0</v>
      </c>
      <c r="AQ89" s="871">
        <f>'11.销售及回款表'!AS98</f>
        <v>0</v>
      </c>
      <c r="AR89" s="872">
        <f>'11.销售及回款表'!AT98</f>
        <v>0</v>
      </c>
      <c r="AS89" s="872">
        <f>'11.销售及回款表'!AU98</f>
        <v>0</v>
      </c>
      <c r="AT89" s="872">
        <f>'11.销售及回款表'!AV98</f>
        <v>0</v>
      </c>
    </row>
    <row r="90" spans="1:46" s="77" customFormat="1" ht="18" customHeight="1" outlineLevel="2">
      <c r="A90" s="869">
        <f>'8.项目规划指标表'!B$8</f>
        <v>0</v>
      </c>
      <c r="B90" s="870">
        <f t="shared" si="11"/>
        <v>0</v>
      </c>
      <c r="C90" s="871">
        <f>'11.销售及回款表'!E103</f>
        <v>0</v>
      </c>
      <c r="D90" s="872">
        <f>'11.销售及回款表'!F103</f>
        <v>0</v>
      </c>
      <c r="E90" s="872">
        <f>'11.销售及回款表'!G103</f>
        <v>0</v>
      </c>
      <c r="F90" s="872">
        <f>'11.销售及回款表'!H103</f>
        <v>0</v>
      </c>
      <c r="G90" s="871">
        <f>'11.销售及回款表'!I103</f>
        <v>0</v>
      </c>
      <c r="H90" s="872">
        <f>'11.销售及回款表'!J103</f>
        <v>0</v>
      </c>
      <c r="I90" s="872">
        <f>'11.销售及回款表'!K103</f>
        <v>0</v>
      </c>
      <c r="J90" s="872">
        <f>'11.销售及回款表'!L103</f>
        <v>0</v>
      </c>
      <c r="K90" s="871">
        <f>'11.销售及回款表'!M103</f>
        <v>0</v>
      </c>
      <c r="L90" s="872">
        <f>'11.销售及回款表'!N103</f>
        <v>0</v>
      </c>
      <c r="M90" s="872">
        <f>'11.销售及回款表'!O103</f>
        <v>0</v>
      </c>
      <c r="N90" s="872">
        <f>'11.销售及回款表'!P103</f>
        <v>0</v>
      </c>
      <c r="O90" s="871">
        <f>'11.销售及回款表'!Q103</f>
        <v>0</v>
      </c>
      <c r="P90" s="872">
        <f>'11.销售及回款表'!R103</f>
        <v>0</v>
      </c>
      <c r="Q90" s="872">
        <f>'11.销售及回款表'!S103</f>
        <v>0</v>
      </c>
      <c r="R90" s="872">
        <f>'11.销售及回款表'!T103</f>
        <v>0</v>
      </c>
      <c r="S90" s="871">
        <f>'11.销售及回款表'!U103</f>
        <v>0</v>
      </c>
      <c r="T90" s="872">
        <f>'11.销售及回款表'!V103</f>
        <v>0</v>
      </c>
      <c r="U90" s="872">
        <f>'11.销售及回款表'!W103</f>
        <v>0</v>
      </c>
      <c r="V90" s="872">
        <f>'11.销售及回款表'!X103</f>
        <v>0</v>
      </c>
      <c r="W90" s="871">
        <f>'11.销售及回款表'!Y103</f>
        <v>0</v>
      </c>
      <c r="X90" s="872">
        <f>'11.销售及回款表'!Z103</f>
        <v>0</v>
      </c>
      <c r="Y90" s="872">
        <f>'11.销售及回款表'!AA103</f>
        <v>0</v>
      </c>
      <c r="Z90" s="872">
        <f>'11.销售及回款表'!AB103</f>
        <v>0</v>
      </c>
      <c r="AA90" s="871">
        <f>'11.销售及回款表'!AC103</f>
        <v>0</v>
      </c>
      <c r="AB90" s="872">
        <f>'11.销售及回款表'!AD103</f>
        <v>0</v>
      </c>
      <c r="AC90" s="872">
        <f>'11.销售及回款表'!AE103</f>
        <v>0</v>
      </c>
      <c r="AD90" s="872">
        <f>'11.销售及回款表'!AF103</f>
        <v>0</v>
      </c>
      <c r="AE90" s="871">
        <f>'11.销售及回款表'!AG103</f>
        <v>0</v>
      </c>
      <c r="AF90" s="872">
        <f>'11.销售及回款表'!AH103</f>
        <v>0</v>
      </c>
      <c r="AG90" s="872">
        <f>'11.销售及回款表'!AI103</f>
        <v>0</v>
      </c>
      <c r="AH90" s="872">
        <f>'11.销售及回款表'!AJ103</f>
        <v>0</v>
      </c>
      <c r="AI90" s="871">
        <f>'11.销售及回款表'!AK103</f>
        <v>0</v>
      </c>
      <c r="AJ90" s="872">
        <f>'11.销售及回款表'!AL103</f>
        <v>0</v>
      </c>
      <c r="AK90" s="872">
        <f>'11.销售及回款表'!AM103</f>
        <v>0</v>
      </c>
      <c r="AL90" s="872">
        <f>'11.销售及回款表'!AN103</f>
        <v>0</v>
      </c>
      <c r="AM90" s="871">
        <f>'11.销售及回款表'!AO103</f>
        <v>0</v>
      </c>
      <c r="AN90" s="872">
        <f>'11.销售及回款表'!AP103</f>
        <v>0</v>
      </c>
      <c r="AO90" s="872">
        <f>'11.销售及回款表'!AQ103</f>
        <v>0</v>
      </c>
      <c r="AP90" s="872">
        <f>'11.销售及回款表'!AR103</f>
        <v>0</v>
      </c>
      <c r="AQ90" s="871">
        <f>'11.销售及回款表'!AS103</f>
        <v>0</v>
      </c>
      <c r="AR90" s="872">
        <f>'11.销售及回款表'!AT103</f>
        <v>0</v>
      </c>
      <c r="AS90" s="872">
        <f>'11.销售及回款表'!AU103</f>
        <v>0</v>
      </c>
      <c r="AT90" s="872">
        <f>'11.销售及回款表'!AV103</f>
        <v>0</v>
      </c>
    </row>
    <row r="91" spans="1:46" s="77" customFormat="1" ht="18" customHeight="1" outlineLevel="2">
      <c r="A91" s="869">
        <f>'8.项目规划指标表'!B$9</f>
        <v>0</v>
      </c>
      <c r="B91" s="870">
        <f t="shared" si="11"/>
        <v>0</v>
      </c>
      <c r="C91" s="871">
        <f>'11.销售及回款表'!E108</f>
        <v>0</v>
      </c>
      <c r="D91" s="872">
        <f>'11.销售及回款表'!F108</f>
        <v>0</v>
      </c>
      <c r="E91" s="872">
        <f>'11.销售及回款表'!G108</f>
        <v>0</v>
      </c>
      <c r="F91" s="872">
        <f>'11.销售及回款表'!H108</f>
        <v>0</v>
      </c>
      <c r="G91" s="871">
        <f>'11.销售及回款表'!I108</f>
        <v>0</v>
      </c>
      <c r="H91" s="872">
        <f>'11.销售及回款表'!J108</f>
        <v>0</v>
      </c>
      <c r="I91" s="872">
        <f>'11.销售及回款表'!K108</f>
        <v>0</v>
      </c>
      <c r="J91" s="872">
        <f>'11.销售及回款表'!L108</f>
        <v>0</v>
      </c>
      <c r="K91" s="871">
        <f>'11.销售及回款表'!M108</f>
        <v>0</v>
      </c>
      <c r="L91" s="872">
        <f>'11.销售及回款表'!N108</f>
        <v>0</v>
      </c>
      <c r="M91" s="872">
        <f>'11.销售及回款表'!O108</f>
        <v>0</v>
      </c>
      <c r="N91" s="872">
        <f>'11.销售及回款表'!P108</f>
        <v>0</v>
      </c>
      <c r="O91" s="871">
        <f>'11.销售及回款表'!Q108</f>
        <v>0</v>
      </c>
      <c r="P91" s="872">
        <f>'11.销售及回款表'!R108</f>
        <v>0</v>
      </c>
      <c r="Q91" s="872">
        <f>'11.销售及回款表'!S108</f>
        <v>0</v>
      </c>
      <c r="R91" s="872">
        <f>'11.销售及回款表'!T108</f>
        <v>0</v>
      </c>
      <c r="S91" s="871">
        <f>'11.销售及回款表'!U108</f>
        <v>0</v>
      </c>
      <c r="T91" s="872">
        <f>'11.销售及回款表'!V108</f>
        <v>0</v>
      </c>
      <c r="U91" s="872">
        <f>'11.销售及回款表'!W108</f>
        <v>0</v>
      </c>
      <c r="V91" s="872">
        <f>'11.销售及回款表'!X108</f>
        <v>0</v>
      </c>
      <c r="W91" s="871">
        <f>'11.销售及回款表'!Y108</f>
        <v>0</v>
      </c>
      <c r="X91" s="872">
        <f>'11.销售及回款表'!Z108</f>
        <v>0</v>
      </c>
      <c r="Y91" s="872">
        <f>'11.销售及回款表'!AA108</f>
        <v>0</v>
      </c>
      <c r="Z91" s="872">
        <f>'11.销售及回款表'!AB108</f>
        <v>0</v>
      </c>
      <c r="AA91" s="871">
        <f>'11.销售及回款表'!AC108</f>
        <v>0</v>
      </c>
      <c r="AB91" s="872">
        <f>'11.销售及回款表'!AD108</f>
        <v>0</v>
      </c>
      <c r="AC91" s="872">
        <f>'11.销售及回款表'!AE108</f>
        <v>0</v>
      </c>
      <c r="AD91" s="872">
        <f>'11.销售及回款表'!AF108</f>
        <v>0</v>
      </c>
      <c r="AE91" s="871">
        <f>'11.销售及回款表'!AG108</f>
        <v>0</v>
      </c>
      <c r="AF91" s="872">
        <f>'11.销售及回款表'!AH108</f>
        <v>0</v>
      </c>
      <c r="AG91" s="872">
        <f>'11.销售及回款表'!AI108</f>
        <v>0</v>
      </c>
      <c r="AH91" s="872">
        <f>'11.销售及回款表'!AJ108</f>
        <v>0</v>
      </c>
      <c r="AI91" s="871">
        <f>'11.销售及回款表'!AK108</f>
        <v>0</v>
      </c>
      <c r="AJ91" s="872">
        <f>'11.销售及回款表'!AL108</f>
        <v>0</v>
      </c>
      <c r="AK91" s="872">
        <f>'11.销售及回款表'!AM108</f>
        <v>0</v>
      </c>
      <c r="AL91" s="872">
        <f>'11.销售及回款表'!AN108</f>
        <v>0</v>
      </c>
      <c r="AM91" s="871">
        <f>'11.销售及回款表'!AO108</f>
        <v>0</v>
      </c>
      <c r="AN91" s="872">
        <f>'11.销售及回款表'!AP108</f>
        <v>0</v>
      </c>
      <c r="AO91" s="872">
        <f>'11.销售及回款表'!AQ108</f>
        <v>0</v>
      </c>
      <c r="AP91" s="872">
        <f>'11.销售及回款表'!AR108</f>
        <v>0</v>
      </c>
      <c r="AQ91" s="871">
        <f>'11.销售及回款表'!AS108</f>
        <v>0</v>
      </c>
      <c r="AR91" s="872">
        <f>'11.销售及回款表'!AT108</f>
        <v>0</v>
      </c>
      <c r="AS91" s="872">
        <f>'11.销售及回款表'!AU108</f>
        <v>0</v>
      </c>
      <c r="AT91" s="872">
        <f>'11.销售及回款表'!AV108</f>
        <v>0</v>
      </c>
    </row>
    <row r="92" spans="1:46" s="77" customFormat="1" ht="18" customHeight="1" outlineLevel="2">
      <c r="A92" s="869">
        <f>'8.项目规划指标表'!B$10</f>
        <v>0</v>
      </c>
      <c r="B92" s="870">
        <f t="shared" si="11"/>
        <v>0</v>
      </c>
      <c r="C92" s="871">
        <f>'11.销售及回款表'!E113</f>
        <v>0</v>
      </c>
      <c r="D92" s="872">
        <f>'11.销售及回款表'!F113</f>
        <v>0</v>
      </c>
      <c r="E92" s="872">
        <f>'11.销售及回款表'!G113</f>
        <v>0</v>
      </c>
      <c r="F92" s="872">
        <f>'11.销售及回款表'!H113</f>
        <v>0</v>
      </c>
      <c r="G92" s="871">
        <f>'11.销售及回款表'!I113</f>
        <v>0</v>
      </c>
      <c r="H92" s="872">
        <f>'11.销售及回款表'!J113</f>
        <v>0</v>
      </c>
      <c r="I92" s="872">
        <f>'11.销售及回款表'!K113</f>
        <v>0</v>
      </c>
      <c r="J92" s="872">
        <f>'11.销售及回款表'!L113</f>
        <v>0</v>
      </c>
      <c r="K92" s="871">
        <f>'11.销售及回款表'!M113</f>
        <v>0</v>
      </c>
      <c r="L92" s="872">
        <f>'11.销售及回款表'!N113</f>
        <v>0</v>
      </c>
      <c r="M92" s="872">
        <f>'11.销售及回款表'!O113</f>
        <v>0</v>
      </c>
      <c r="N92" s="872">
        <f>'11.销售及回款表'!P113</f>
        <v>0</v>
      </c>
      <c r="O92" s="871">
        <f>'11.销售及回款表'!Q113</f>
        <v>0</v>
      </c>
      <c r="P92" s="872">
        <f>'11.销售及回款表'!R113</f>
        <v>0</v>
      </c>
      <c r="Q92" s="872">
        <f>'11.销售及回款表'!S113</f>
        <v>0</v>
      </c>
      <c r="R92" s="872">
        <f>'11.销售及回款表'!T113</f>
        <v>0</v>
      </c>
      <c r="S92" s="871">
        <f>'11.销售及回款表'!U113</f>
        <v>0</v>
      </c>
      <c r="T92" s="872">
        <f>'11.销售及回款表'!V113</f>
        <v>0</v>
      </c>
      <c r="U92" s="872">
        <f>'11.销售及回款表'!W113</f>
        <v>0</v>
      </c>
      <c r="V92" s="872">
        <f>'11.销售及回款表'!X113</f>
        <v>0</v>
      </c>
      <c r="W92" s="871">
        <f>'11.销售及回款表'!Y113</f>
        <v>0</v>
      </c>
      <c r="X92" s="872">
        <f>'11.销售及回款表'!Z113</f>
        <v>0</v>
      </c>
      <c r="Y92" s="872">
        <f>'11.销售及回款表'!AA113</f>
        <v>0</v>
      </c>
      <c r="Z92" s="872">
        <f>'11.销售及回款表'!AB113</f>
        <v>0</v>
      </c>
      <c r="AA92" s="871">
        <f>'11.销售及回款表'!AC113</f>
        <v>0</v>
      </c>
      <c r="AB92" s="872">
        <f>'11.销售及回款表'!AD113</f>
        <v>0</v>
      </c>
      <c r="AC92" s="872">
        <f>'11.销售及回款表'!AE113</f>
        <v>0</v>
      </c>
      <c r="AD92" s="872">
        <f>'11.销售及回款表'!AF113</f>
        <v>0</v>
      </c>
      <c r="AE92" s="871">
        <f>'11.销售及回款表'!AG113</f>
        <v>0</v>
      </c>
      <c r="AF92" s="872">
        <f>'11.销售及回款表'!AH113</f>
        <v>0</v>
      </c>
      <c r="AG92" s="872">
        <f>'11.销售及回款表'!AI113</f>
        <v>0</v>
      </c>
      <c r="AH92" s="872">
        <f>'11.销售及回款表'!AJ113</f>
        <v>0</v>
      </c>
      <c r="AI92" s="871">
        <f>'11.销售及回款表'!AK113</f>
        <v>0</v>
      </c>
      <c r="AJ92" s="872">
        <f>'11.销售及回款表'!AL113</f>
        <v>0</v>
      </c>
      <c r="AK92" s="872">
        <f>'11.销售及回款表'!AM113</f>
        <v>0</v>
      </c>
      <c r="AL92" s="872">
        <f>'11.销售及回款表'!AN113</f>
        <v>0</v>
      </c>
      <c r="AM92" s="871">
        <f>'11.销售及回款表'!AO113</f>
        <v>0</v>
      </c>
      <c r="AN92" s="872">
        <f>'11.销售及回款表'!AP113</f>
        <v>0</v>
      </c>
      <c r="AO92" s="872">
        <f>'11.销售及回款表'!AQ113</f>
        <v>0</v>
      </c>
      <c r="AP92" s="872">
        <f>'11.销售及回款表'!AR113</f>
        <v>0</v>
      </c>
      <c r="AQ92" s="871">
        <f>'11.销售及回款表'!AS113</f>
        <v>0</v>
      </c>
      <c r="AR92" s="872">
        <f>'11.销售及回款表'!AT113</f>
        <v>0</v>
      </c>
      <c r="AS92" s="872">
        <f>'11.销售及回款表'!AU113</f>
        <v>0</v>
      </c>
      <c r="AT92" s="872">
        <f>'11.销售及回款表'!AV113</f>
        <v>0</v>
      </c>
    </row>
    <row r="93" spans="1:46" s="77" customFormat="1" ht="18" customHeight="1" outlineLevel="2">
      <c r="A93" s="869">
        <f>'8.项目规划指标表'!B$11</f>
        <v>0</v>
      </c>
      <c r="B93" s="870">
        <f t="shared" si="11"/>
        <v>0</v>
      </c>
      <c r="C93" s="871">
        <f>'11.销售及回款表'!E118</f>
        <v>0</v>
      </c>
      <c r="D93" s="872">
        <f>'11.销售及回款表'!F118</f>
        <v>0</v>
      </c>
      <c r="E93" s="872">
        <f>'11.销售及回款表'!G118</f>
        <v>0</v>
      </c>
      <c r="F93" s="872">
        <f>'11.销售及回款表'!H118</f>
        <v>0</v>
      </c>
      <c r="G93" s="871">
        <f>'11.销售及回款表'!I118</f>
        <v>0</v>
      </c>
      <c r="H93" s="872">
        <f>'11.销售及回款表'!J118</f>
        <v>0</v>
      </c>
      <c r="I93" s="872">
        <f>'11.销售及回款表'!K118</f>
        <v>0</v>
      </c>
      <c r="J93" s="872">
        <f>'11.销售及回款表'!L118</f>
        <v>0</v>
      </c>
      <c r="K93" s="871">
        <f>'11.销售及回款表'!M118</f>
        <v>0</v>
      </c>
      <c r="L93" s="872">
        <f>'11.销售及回款表'!N118</f>
        <v>0</v>
      </c>
      <c r="M93" s="872">
        <f>'11.销售及回款表'!O118</f>
        <v>0</v>
      </c>
      <c r="N93" s="872">
        <f>'11.销售及回款表'!P118</f>
        <v>0</v>
      </c>
      <c r="O93" s="871">
        <f>'11.销售及回款表'!Q118</f>
        <v>0</v>
      </c>
      <c r="P93" s="872">
        <f>'11.销售及回款表'!R118</f>
        <v>0</v>
      </c>
      <c r="Q93" s="872">
        <f>'11.销售及回款表'!S118</f>
        <v>0</v>
      </c>
      <c r="R93" s="872">
        <f>'11.销售及回款表'!T118</f>
        <v>0</v>
      </c>
      <c r="S93" s="871">
        <f>'11.销售及回款表'!U118</f>
        <v>0</v>
      </c>
      <c r="T93" s="872">
        <f>'11.销售及回款表'!V118</f>
        <v>0</v>
      </c>
      <c r="U93" s="872">
        <f>'11.销售及回款表'!W118</f>
        <v>0</v>
      </c>
      <c r="V93" s="872">
        <f>'11.销售及回款表'!X118</f>
        <v>0</v>
      </c>
      <c r="W93" s="871">
        <f>'11.销售及回款表'!Y118</f>
        <v>0</v>
      </c>
      <c r="X93" s="872">
        <f>'11.销售及回款表'!Z118</f>
        <v>0</v>
      </c>
      <c r="Y93" s="872">
        <f>'11.销售及回款表'!AA118</f>
        <v>0</v>
      </c>
      <c r="Z93" s="872">
        <f>'11.销售及回款表'!AB118</f>
        <v>0</v>
      </c>
      <c r="AA93" s="871">
        <f>'11.销售及回款表'!AC118</f>
        <v>0</v>
      </c>
      <c r="AB93" s="872">
        <f>'11.销售及回款表'!AD118</f>
        <v>0</v>
      </c>
      <c r="AC93" s="872">
        <f>'11.销售及回款表'!AE118</f>
        <v>0</v>
      </c>
      <c r="AD93" s="872">
        <f>'11.销售及回款表'!AF118</f>
        <v>0</v>
      </c>
      <c r="AE93" s="871">
        <f>'11.销售及回款表'!AG118</f>
        <v>0</v>
      </c>
      <c r="AF93" s="872">
        <f>'11.销售及回款表'!AH118</f>
        <v>0</v>
      </c>
      <c r="AG93" s="872">
        <f>'11.销售及回款表'!AI118</f>
        <v>0</v>
      </c>
      <c r="AH93" s="872">
        <f>'11.销售及回款表'!AJ118</f>
        <v>0</v>
      </c>
      <c r="AI93" s="871">
        <f>'11.销售及回款表'!AK118</f>
        <v>0</v>
      </c>
      <c r="AJ93" s="872">
        <f>'11.销售及回款表'!AL118</f>
        <v>0</v>
      </c>
      <c r="AK93" s="872">
        <f>'11.销售及回款表'!AM118</f>
        <v>0</v>
      </c>
      <c r="AL93" s="872">
        <f>'11.销售及回款表'!AN118</f>
        <v>0</v>
      </c>
      <c r="AM93" s="871">
        <f>'11.销售及回款表'!AO118</f>
        <v>0</v>
      </c>
      <c r="AN93" s="872">
        <f>'11.销售及回款表'!AP118</f>
        <v>0</v>
      </c>
      <c r="AO93" s="872">
        <f>'11.销售及回款表'!AQ118</f>
        <v>0</v>
      </c>
      <c r="AP93" s="872">
        <f>'11.销售及回款表'!AR118</f>
        <v>0</v>
      </c>
      <c r="AQ93" s="871">
        <f>'11.销售及回款表'!AS118</f>
        <v>0</v>
      </c>
      <c r="AR93" s="872">
        <f>'11.销售及回款表'!AT118</f>
        <v>0</v>
      </c>
      <c r="AS93" s="872">
        <f>'11.销售及回款表'!AU118</f>
        <v>0</v>
      </c>
      <c r="AT93" s="872">
        <f>'11.销售及回款表'!AV118</f>
        <v>0</v>
      </c>
    </row>
    <row r="94" spans="1:46" s="77" customFormat="1" ht="18" customHeight="1" outlineLevel="2">
      <c r="A94" s="869">
        <f>'8.项目规划指标表'!B$12</f>
        <v>0</v>
      </c>
      <c r="B94" s="870">
        <f t="shared" si="11"/>
        <v>0</v>
      </c>
      <c r="C94" s="871">
        <f>'11.销售及回款表'!E123</f>
        <v>0</v>
      </c>
      <c r="D94" s="872">
        <f>'11.销售及回款表'!F123</f>
        <v>0</v>
      </c>
      <c r="E94" s="872">
        <f>'11.销售及回款表'!G123</f>
        <v>0</v>
      </c>
      <c r="F94" s="872">
        <f>'11.销售及回款表'!H123</f>
        <v>0</v>
      </c>
      <c r="G94" s="871">
        <f>'11.销售及回款表'!I123</f>
        <v>0</v>
      </c>
      <c r="H94" s="872">
        <f>'11.销售及回款表'!J123</f>
        <v>0</v>
      </c>
      <c r="I94" s="872">
        <f>'11.销售及回款表'!K123</f>
        <v>0</v>
      </c>
      <c r="J94" s="872">
        <f>'11.销售及回款表'!L123</f>
        <v>0</v>
      </c>
      <c r="K94" s="871">
        <f>'11.销售及回款表'!M123</f>
        <v>0</v>
      </c>
      <c r="L94" s="872">
        <f>'11.销售及回款表'!N123</f>
        <v>0</v>
      </c>
      <c r="M94" s="872">
        <f>'11.销售及回款表'!O123</f>
        <v>0</v>
      </c>
      <c r="N94" s="872">
        <f>'11.销售及回款表'!P123</f>
        <v>0</v>
      </c>
      <c r="O94" s="871">
        <f>'11.销售及回款表'!Q123</f>
        <v>0</v>
      </c>
      <c r="P94" s="872">
        <f>'11.销售及回款表'!R123</f>
        <v>0</v>
      </c>
      <c r="Q94" s="872">
        <f>'11.销售及回款表'!S123</f>
        <v>0</v>
      </c>
      <c r="R94" s="872">
        <f>'11.销售及回款表'!T123</f>
        <v>0</v>
      </c>
      <c r="S94" s="871">
        <f>'11.销售及回款表'!U123</f>
        <v>0</v>
      </c>
      <c r="T94" s="872">
        <f>'11.销售及回款表'!V123</f>
        <v>0</v>
      </c>
      <c r="U94" s="872">
        <f>'11.销售及回款表'!W123</f>
        <v>0</v>
      </c>
      <c r="V94" s="872">
        <f>'11.销售及回款表'!X123</f>
        <v>0</v>
      </c>
      <c r="W94" s="871">
        <f>'11.销售及回款表'!Y123</f>
        <v>0</v>
      </c>
      <c r="X94" s="872">
        <f>'11.销售及回款表'!Z123</f>
        <v>0</v>
      </c>
      <c r="Y94" s="872">
        <f>'11.销售及回款表'!AA123</f>
        <v>0</v>
      </c>
      <c r="Z94" s="872">
        <f>'11.销售及回款表'!AB123</f>
        <v>0</v>
      </c>
      <c r="AA94" s="871">
        <f>'11.销售及回款表'!AC123</f>
        <v>0</v>
      </c>
      <c r="AB94" s="872">
        <f>'11.销售及回款表'!AD123</f>
        <v>0</v>
      </c>
      <c r="AC94" s="872">
        <f>'11.销售及回款表'!AE123</f>
        <v>0</v>
      </c>
      <c r="AD94" s="872">
        <f>'11.销售及回款表'!AF123</f>
        <v>0</v>
      </c>
      <c r="AE94" s="871">
        <f>'11.销售及回款表'!AG123</f>
        <v>0</v>
      </c>
      <c r="AF94" s="872">
        <f>'11.销售及回款表'!AH123</f>
        <v>0</v>
      </c>
      <c r="AG94" s="872">
        <f>'11.销售及回款表'!AI123</f>
        <v>0</v>
      </c>
      <c r="AH94" s="872">
        <f>'11.销售及回款表'!AJ123</f>
        <v>0</v>
      </c>
      <c r="AI94" s="871">
        <f>'11.销售及回款表'!AK123</f>
        <v>0</v>
      </c>
      <c r="AJ94" s="872">
        <f>'11.销售及回款表'!AL123</f>
        <v>0</v>
      </c>
      <c r="AK94" s="872">
        <f>'11.销售及回款表'!AM123</f>
        <v>0</v>
      </c>
      <c r="AL94" s="872">
        <f>'11.销售及回款表'!AN123</f>
        <v>0</v>
      </c>
      <c r="AM94" s="871">
        <f>'11.销售及回款表'!AO123</f>
        <v>0</v>
      </c>
      <c r="AN94" s="872">
        <f>'11.销售及回款表'!AP123</f>
        <v>0</v>
      </c>
      <c r="AO94" s="872">
        <f>'11.销售及回款表'!AQ123</f>
        <v>0</v>
      </c>
      <c r="AP94" s="872">
        <f>'11.销售及回款表'!AR123</f>
        <v>0</v>
      </c>
      <c r="AQ94" s="871">
        <f>'11.销售及回款表'!AS123</f>
        <v>0</v>
      </c>
      <c r="AR94" s="872">
        <f>'11.销售及回款表'!AT123</f>
        <v>0</v>
      </c>
      <c r="AS94" s="872">
        <f>'11.销售及回款表'!AU123</f>
        <v>0</v>
      </c>
      <c r="AT94" s="872">
        <f>'11.销售及回款表'!AV123</f>
        <v>0</v>
      </c>
    </row>
    <row r="95" spans="1:46" s="77" customFormat="1" ht="18" customHeight="1" outlineLevel="2">
      <c r="A95" s="869">
        <f>'8.项目规划指标表'!B$13</f>
        <v>0</v>
      </c>
      <c r="B95" s="870">
        <f t="shared" si="11"/>
        <v>0</v>
      </c>
      <c r="C95" s="871">
        <f>'11.销售及回款表'!E128</f>
        <v>0</v>
      </c>
      <c r="D95" s="872">
        <f>'11.销售及回款表'!F128</f>
        <v>0</v>
      </c>
      <c r="E95" s="872">
        <f>'11.销售及回款表'!G128</f>
        <v>0</v>
      </c>
      <c r="F95" s="872">
        <f>'11.销售及回款表'!H128</f>
        <v>0</v>
      </c>
      <c r="G95" s="871">
        <f>'11.销售及回款表'!I128</f>
        <v>0</v>
      </c>
      <c r="H95" s="872">
        <f>'11.销售及回款表'!J128</f>
        <v>0</v>
      </c>
      <c r="I95" s="872">
        <f>'11.销售及回款表'!K128</f>
        <v>0</v>
      </c>
      <c r="J95" s="872">
        <f>'11.销售及回款表'!L128</f>
        <v>0</v>
      </c>
      <c r="K95" s="871">
        <f>'11.销售及回款表'!M128</f>
        <v>0</v>
      </c>
      <c r="L95" s="872">
        <f>'11.销售及回款表'!N128</f>
        <v>0</v>
      </c>
      <c r="M95" s="872">
        <f>'11.销售及回款表'!O128</f>
        <v>0</v>
      </c>
      <c r="N95" s="872">
        <f>'11.销售及回款表'!P128</f>
        <v>0</v>
      </c>
      <c r="O95" s="871">
        <f>'11.销售及回款表'!Q128</f>
        <v>0</v>
      </c>
      <c r="P95" s="872">
        <f>'11.销售及回款表'!R128</f>
        <v>0</v>
      </c>
      <c r="Q95" s="872">
        <f>'11.销售及回款表'!S128</f>
        <v>0</v>
      </c>
      <c r="R95" s="872">
        <f>'11.销售及回款表'!T128</f>
        <v>0</v>
      </c>
      <c r="S95" s="871">
        <f>'11.销售及回款表'!U128</f>
        <v>0</v>
      </c>
      <c r="T95" s="872">
        <f>'11.销售及回款表'!V128</f>
        <v>0</v>
      </c>
      <c r="U95" s="872">
        <f>'11.销售及回款表'!W128</f>
        <v>0</v>
      </c>
      <c r="V95" s="872">
        <f>'11.销售及回款表'!X128</f>
        <v>0</v>
      </c>
      <c r="W95" s="871">
        <f>'11.销售及回款表'!Y128</f>
        <v>0</v>
      </c>
      <c r="X95" s="872">
        <f>'11.销售及回款表'!Z128</f>
        <v>0</v>
      </c>
      <c r="Y95" s="872">
        <f>'11.销售及回款表'!AA128</f>
        <v>0</v>
      </c>
      <c r="Z95" s="872">
        <f>'11.销售及回款表'!AB128</f>
        <v>0</v>
      </c>
      <c r="AA95" s="871">
        <f>'11.销售及回款表'!AC128</f>
        <v>0</v>
      </c>
      <c r="AB95" s="872">
        <f>'11.销售及回款表'!AD128</f>
        <v>0</v>
      </c>
      <c r="AC95" s="872">
        <f>'11.销售及回款表'!AE128</f>
        <v>0</v>
      </c>
      <c r="AD95" s="872">
        <f>'11.销售及回款表'!AF128</f>
        <v>0</v>
      </c>
      <c r="AE95" s="871">
        <f>'11.销售及回款表'!AG128</f>
        <v>0</v>
      </c>
      <c r="AF95" s="872">
        <f>'11.销售及回款表'!AH128</f>
        <v>0</v>
      </c>
      <c r="AG95" s="872">
        <f>'11.销售及回款表'!AI128</f>
        <v>0</v>
      </c>
      <c r="AH95" s="872">
        <f>'11.销售及回款表'!AJ128</f>
        <v>0</v>
      </c>
      <c r="AI95" s="871">
        <f>'11.销售及回款表'!AK128</f>
        <v>0</v>
      </c>
      <c r="AJ95" s="872">
        <f>'11.销售及回款表'!AL128</f>
        <v>0</v>
      </c>
      <c r="AK95" s="872">
        <f>'11.销售及回款表'!AM128</f>
        <v>0</v>
      </c>
      <c r="AL95" s="872">
        <f>'11.销售及回款表'!AN128</f>
        <v>0</v>
      </c>
      <c r="AM95" s="871">
        <f>'11.销售及回款表'!AO128</f>
        <v>0</v>
      </c>
      <c r="AN95" s="872">
        <f>'11.销售及回款表'!AP128</f>
        <v>0</v>
      </c>
      <c r="AO95" s="872">
        <f>'11.销售及回款表'!AQ128</f>
        <v>0</v>
      </c>
      <c r="AP95" s="872">
        <f>'11.销售及回款表'!AR128</f>
        <v>0</v>
      </c>
      <c r="AQ95" s="871">
        <f>'11.销售及回款表'!AS128</f>
        <v>0</v>
      </c>
      <c r="AR95" s="872">
        <f>'11.销售及回款表'!AT128</f>
        <v>0</v>
      </c>
      <c r="AS95" s="872">
        <f>'11.销售及回款表'!AU128</f>
        <v>0</v>
      </c>
      <c r="AT95" s="872">
        <f>'11.销售及回款表'!AV128</f>
        <v>0</v>
      </c>
    </row>
    <row r="96" spans="1:46" s="77" customFormat="1" ht="18" customHeight="1" outlineLevel="2">
      <c r="A96" s="869" t="str">
        <f>'8.项目规划指标表'!B$14</f>
        <v>自持物业</v>
      </c>
      <c r="B96" s="870"/>
      <c r="C96" s="871"/>
      <c r="D96" s="872"/>
      <c r="E96" s="872"/>
      <c r="F96" s="872"/>
      <c r="G96" s="871"/>
      <c r="H96" s="872"/>
      <c r="I96" s="872"/>
      <c r="J96" s="872"/>
      <c r="K96" s="871"/>
      <c r="L96" s="872"/>
      <c r="M96" s="872"/>
      <c r="N96" s="872"/>
      <c r="O96" s="871"/>
      <c r="P96" s="872"/>
      <c r="Q96" s="872"/>
      <c r="R96" s="872"/>
      <c r="S96" s="871"/>
      <c r="T96" s="872"/>
      <c r="U96" s="872"/>
      <c r="V96" s="872"/>
      <c r="W96" s="871"/>
      <c r="X96" s="872"/>
      <c r="Y96" s="872"/>
      <c r="Z96" s="872"/>
      <c r="AA96" s="871"/>
      <c r="AB96" s="872"/>
      <c r="AC96" s="872"/>
      <c r="AD96" s="872"/>
      <c r="AE96" s="871"/>
      <c r="AF96" s="872"/>
      <c r="AG96" s="872"/>
      <c r="AH96" s="872"/>
      <c r="AI96" s="871"/>
      <c r="AJ96" s="872"/>
      <c r="AK96" s="872"/>
      <c r="AL96" s="872"/>
      <c r="AM96" s="871"/>
      <c r="AN96" s="872"/>
      <c r="AO96" s="872"/>
      <c r="AP96" s="872"/>
      <c r="AQ96" s="871"/>
      <c r="AR96" s="872"/>
      <c r="AS96" s="872"/>
      <c r="AT96" s="872"/>
    </row>
    <row r="97" spans="1:46" s="77" customFormat="1" ht="18" customHeight="1" outlineLevel="2">
      <c r="A97" s="869" t="str">
        <f>'8.项目规划指标表'!B$18</f>
        <v>有产权车库(个)</v>
      </c>
      <c r="B97" s="870">
        <f t="shared" si="11"/>
        <v>4726.3999999999996</v>
      </c>
      <c r="C97" s="871">
        <f>'11.销售及回款表'!E138</f>
        <v>0</v>
      </c>
      <c r="D97" s="872">
        <f>'11.销售及回款表'!F138</f>
        <v>0</v>
      </c>
      <c r="E97" s="872">
        <f>'11.销售及回款表'!G138</f>
        <v>0</v>
      </c>
      <c r="F97" s="872">
        <f>'11.销售及回款表'!H138</f>
        <v>0</v>
      </c>
      <c r="G97" s="871">
        <f>'11.销售及回款表'!I138</f>
        <v>0</v>
      </c>
      <c r="H97" s="872">
        <f>'11.销售及回款表'!J138</f>
        <v>0</v>
      </c>
      <c r="I97" s="872">
        <f>'11.销售及回款表'!K138</f>
        <v>0</v>
      </c>
      <c r="J97" s="872">
        <f>'11.销售及回款表'!L138</f>
        <v>0</v>
      </c>
      <c r="K97" s="871">
        <f>'11.销售及回款表'!M138</f>
        <v>0</v>
      </c>
      <c r="L97" s="872">
        <f>'11.销售及回款表'!N138</f>
        <v>0</v>
      </c>
      <c r="M97" s="872">
        <f>'11.销售及回款表'!O138</f>
        <v>1772.4</v>
      </c>
      <c r="N97" s="872">
        <f>'11.销售及回款表'!P138</f>
        <v>1772.4</v>
      </c>
      <c r="O97" s="871">
        <f>'11.销售及回款表'!Q138</f>
        <v>1181.5999999999999</v>
      </c>
      <c r="P97" s="872">
        <f>'11.销售及回款表'!R138</f>
        <v>0</v>
      </c>
      <c r="Q97" s="872">
        <f>'11.销售及回款表'!S138</f>
        <v>0</v>
      </c>
      <c r="R97" s="872">
        <f>'11.销售及回款表'!T138</f>
        <v>0</v>
      </c>
      <c r="S97" s="871">
        <f>'11.销售及回款表'!U138</f>
        <v>0</v>
      </c>
      <c r="T97" s="872">
        <f>'11.销售及回款表'!V138</f>
        <v>0</v>
      </c>
      <c r="U97" s="872">
        <f>'11.销售及回款表'!W138</f>
        <v>0</v>
      </c>
      <c r="V97" s="872">
        <f>'11.销售及回款表'!X138</f>
        <v>0</v>
      </c>
      <c r="W97" s="871">
        <f>'11.销售及回款表'!Y138</f>
        <v>0</v>
      </c>
      <c r="X97" s="872">
        <f>'11.销售及回款表'!Z138</f>
        <v>0</v>
      </c>
      <c r="Y97" s="872">
        <f>'11.销售及回款表'!AA138</f>
        <v>0</v>
      </c>
      <c r="Z97" s="872">
        <f>'11.销售及回款表'!AB138</f>
        <v>0</v>
      </c>
      <c r="AA97" s="871">
        <f>'11.销售及回款表'!AC138</f>
        <v>0</v>
      </c>
      <c r="AB97" s="872">
        <f>'11.销售及回款表'!AD138</f>
        <v>0</v>
      </c>
      <c r="AC97" s="872">
        <f>'11.销售及回款表'!AE138</f>
        <v>0</v>
      </c>
      <c r="AD97" s="872">
        <f>'11.销售及回款表'!AF138</f>
        <v>0</v>
      </c>
      <c r="AE97" s="871">
        <f>'11.销售及回款表'!AG138</f>
        <v>0</v>
      </c>
      <c r="AF97" s="872">
        <f>'11.销售及回款表'!AH138</f>
        <v>0</v>
      </c>
      <c r="AG97" s="872">
        <f>'11.销售及回款表'!AI138</f>
        <v>0</v>
      </c>
      <c r="AH97" s="872">
        <f>'11.销售及回款表'!AJ138</f>
        <v>0</v>
      </c>
      <c r="AI97" s="871">
        <f>'11.销售及回款表'!AK138</f>
        <v>0</v>
      </c>
      <c r="AJ97" s="872">
        <f>'11.销售及回款表'!AL138</f>
        <v>0</v>
      </c>
      <c r="AK97" s="872">
        <f>'11.销售及回款表'!AM138</f>
        <v>0</v>
      </c>
      <c r="AL97" s="872">
        <f>'11.销售及回款表'!AN138</f>
        <v>0</v>
      </c>
      <c r="AM97" s="871">
        <f>'11.销售及回款表'!AO138</f>
        <v>0</v>
      </c>
      <c r="AN97" s="872">
        <f>'11.销售及回款表'!AP138</f>
        <v>0</v>
      </c>
      <c r="AO97" s="872">
        <f>'11.销售及回款表'!AQ138</f>
        <v>0</v>
      </c>
      <c r="AP97" s="872">
        <f>'11.销售及回款表'!AR138</f>
        <v>0</v>
      </c>
      <c r="AQ97" s="871">
        <f>'11.销售及回款表'!AS138</f>
        <v>0</v>
      </c>
      <c r="AR97" s="872">
        <f>'11.销售及回款表'!AT138</f>
        <v>0</v>
      </c>
      <c r="AS97" s="872">
        <f>'11.销售及回款表'!AU138</f>
        <v>0</v>
      </c>
      <c r="AT97" s="872">
        <f>'11.销售及回款表'!AV138</f>
        <v>0</v>
      </c>
    </row>
    <row r="98" spans="1:46" s="77" customFormat="1" ht="18" customHeight="1" outlineLevel="2">
      <c r="A98" s="869" t="str">
        <f>'8.项目规划指标表'!B$19</f>
        <v>无产权车库(个)</v>
      </c>
      <c r="B98" s="870">
        <f t="shared" si="11"/>
        <v>0</v>
      </c>
      <c r="C98" s="871">
        <f>'11.销售及回款表'!E143</f>
        <v>0</v>
      </c>
      <c r="D98" s="872">
        <f>'11.销售及回款表'!F143</f>
        <v>0</v>
      </c>
      <c r="E98" s="872">
        <f>'11.销售及回款表'!G143</f>
        <v>0</v>
      </c>
      <c r="F98" s="872">
        <f>'11.销售及回款表'!H143</f>
        <v>0</v>
      </c>
      <c r="G98" s="871">
        <f>'11.销售及回款表'!I143</f>
        <v>0</v>
      </c>
      <c r="H98" s="872">
        <f>'11.销售及回款表'!J143</f>
        <v>0</v>
      </c>
      <c r="I98" s="872">
        <f>'11.销售及回款表'!K143</f>
        <v>0</v>
      </c>
      <c r="J98" s="872">
        <f>'11.销售及回款表'!L143</f>
        <v>0</v>
      </c>
      <c r="K98" s="871">
        <f>'11.销售及回款表'!M143</f>
        <v>0</v>
      </c>
      <c r="L98" s="872">
        <f>'11.销售及回款表'!N143</f>
        <v>0</v>
      </c>
      <c r="M98" s="872">
        <f>'11.销售及回款表'!O143</f>
        <v>0</v>
      </c>
      <c r="N98" s="872">
        <f>'11.销售及回款表'!P143</f>
        <v>0</v>
      </c>
      <c r="O98" s="871">
        <f>'11.销售及回款表'!Q143</f>
        <v>0</v>
      </c>
      <c r="P98" s="872">
        <f>'11.销售及回款表'!R143</f>
        <v>0</v>
      </c>
      <c r="Q98" s="872">
        <f>'11.销售及回款表'!S143</f>
        <v>0</v>
      </c>
      <c r="R98" s="872">
        <f>'11.销售及回款表'!T143</f>
        <v>0</v>
      </c>
      <c r="S98" s="871">
        <f>'11.销售及回款表'!U143</f>
        <v>0</v>
      </c>
      <c r="T98" s="872">
        <f>'11.销售及回款表'!V143</f>
        <v>0</v>
      </c>
      <c r="U98" s="872">
        <f>'11.销售及回款表'!W143</f>
        <v>0</v>
      </c>
      <c r="V98" s="872">
        <f>'11.销售及回款表'!X143</f>
        <v>0</v>
      </c>
      <c r="W98" s="871">
        <f>'11.销售及回款表'!Y143</f>
        <v>0</v>
      </c>
      <c r="X98" s="872">
        <f>'11.销售及回款表'!Z143</f>
        <v>0</v>
      </c>
      <c r="Y98" s="872">
        <f>'11.销售及回款表'!AA143</f>
        <v>0</v>
      </c>
      <c r="Z98" s="872">
        <f>'11.销售及回款表'!AB143</f>
        <v>0</v>
      </c>
      <c r="AA98" s="871">
        <f>'11.销售及回款表'!AC143</f>
        <v>0</v>
      </c>
      <c r="AB98" s="872">
        <f>'11.销售及回款表'!AD143</f>
        <v>0</v>
      </c>
      <c r="AC98" s="872">
        <f>'11.销售及回款表'!AE143</f>
        <v>0</v>
      </c>
      <c r="AD98" s="872">
        <f>'11.销售及回款表'!AF143</f>
        <v>0</v>
      </c>
      <c r="AE98" s="871">
        <f>'11.销售及回款表'!AG143</f>
        <v>0</v>
      </c>
      <c r="AF98" s="872">
        <f>'11.销售及回款表'!AH143</f>
        <v>0</v>
      </c>
      <c r="AG98" s="872">
        <f>'11.销售及回款表'!AI143</f>
        <v>0</v>
      </c>
      <c r="AH98" s="872">
        <f>'11.销售及回款表'!AJ143</f>
        <v>0</v>
      </c>
      <c r="AI98" s="871">
        <f>'11.销售及回款表'!AK143</f>
        <v>0</v>
      </c>
      <c r="AJ98" s="872">
        <f>'11.销售及回款表'!AL143</f>
        <v>0</v>
      </c>
      <c r="AK98" s="872">
        <f>'11.销售及回款表'!AM143</f>
        <v>0</v>
      </c>
      <c r="AL98" s="872">
        <f>'11.销售及回款表'!AN143</f>
        <v>0</v>
      </c>
      <c r="AM98" s="871">
        <f>'11.销售及回款表'!AO143</f>
        <v>0</v>
      </c>
      <c r="AN98" s="872">
        <f>'11.销售及回款表'!AP143</f>
        <v>0</v>
      </c>
      <c r="AO98" s="872">
        <f>'11.销售及回款表'!AQ143</f>
        <v>0</v>
      </c>
      <c r="AP98" s="872">
        <f>'11.销售及回款表'!AR143</f>
        <v>0</v>
      </c>
      <c r="AQ98" s="871">
        <f>'11.销售及回款表'!AS143</f>
        <v>0</v>
      </c>
      <c r="AR98" s="872">
        <f>'11.销售及回款表'!AT143</f>
        <v>0</v>
      </c>
      <c r="AS98" s="872">
        <f>'11.销售及回款表'!AU143</f>
        <v>0</v>
      </c>
      <c r="AT98" s="872">
        <f>'11.销售及回款表'!AV143</f>
        <v>0</v>
      </c>
    </row>
    <row r="99" spans="1:46" s="77" customFormat="1" ht="18" customHeight="1" outlineLevel="1">
      <c r="A99" s="865" t="s">
        <v>20</v>
      </c>
      <c r="B99" s="866">
        <f>SUM(B100:B111)</f>
        <v>0</v>
      </c>
      <c r="C99" s="867">
        <f>SUM(C100:C111)</f>
        <v>0</v>
      </c>
      <c r="D99" s="868">
        <f t="shared" ref="D99:AT99" si="12">SUM(D100:D111)</f>
        <v>0</v>
      </c>
      <c r="E99" s="868">
        <f t="shared" si="12"/>
        <v>0</v>
      </c>
      <c r="F99" s="868">
        <f t="shared" si="12"/>
        <v>0</v>
      </c>
      <c r="G99" s="867">
        <f t="shared" si="12"/>
        <v>0</v>
      </c>
      <c r="H99" s="868">
        <f t="shared" si="12"/>
        <v>0</v>
      </c>
      <c r="I99" s="868">
        <f t="shared" si="12"/>
        <v>0</v>
      </c>
      <c r="J99" s="868">
        <f t="shared" si="12"/>
        <v>0</v>
      </c>
      <c r="K99" s="867">
        <f t="shared" si="12"/>
        <v>0</v>
      </c>
      <c r="L99" s="868">
        <f t="shared" si="12"/>
        <v>0</v>
      </c>
      <c r="M99" s="868">
        <f t="shared" si="12"/>
        <v>0</v>
      </c>
      <c r="N99" s="868">
        <f t="shared" si="12"/>
        <v>0</v>
      </c>
      <c r="O99" s="867">
        <f t="shared" si="12"/>
        <v>0</v>
      </c>
      <c r="P99" s="868">
        <f t="shared" si="12"/>
        <v>0</v>
      </c>
      <c r="Q99" s="868">
        <f t="shared" si="12"/>
        <v>0</v>
      </c>
      <c r="R99" s="868">
        <f t="shared" si="12"/>
        <v>0</v>
      </c>
      <c r="S99" s="867">
        <f t="shared" si="12"/>
        <v>0</v>
      </c>
      <c r="T99" s="868">
        <f t="shared" si="12"/>
        <v>0</v>
      </c>
      <c r="U99" s="868">
        <f t="shared" si="12"/>
        <v>0</v>
      </c>
      <c r="V99" s="868">
        <f t="shared" si="12"/>
        <v>0</v>
      </c>
      <c r="W99" s="867">
        <f t="shared" si="12"/>
        <v>0</v>
      </c>
      <c r="X99" s="868">
        <f t="shared" si="12"/>
        <v>0</v>
      </c>
      <c r="Y99" s="868">
        <f t="shared" si="12"/>
        <v>0</v>
      </c>
      <c r="Z99" s="868">
        <f t="shared" si="12"/>
        <v>0</v>
      </c>
      <c r="AA99" s="867">
        <f t="shared" si="12"/>
        <v>0</v>
      </c>
      <c r="AB99" s="868">
        <f t="shared" si="12"/>
        <v>0</v>
      </c>
      <c r="AC99" s="868">
        <f t="shared" si="12"/>
        <v>0</v>
      </c>
      <c r="AD99" s="868">
        <f t="shared" si="12"/>
        <v>0</v>
      </c>
      <c r="AE99" s="867">
        <f t="shared" si="12"/>
        <v>0</v>
      </c>
      <c r="AF99" s="868">
        <f t="shared" si="12"/>
        <v>0</v>
      </c>
      <c r="AG99" s="868">
        <f t="shared" si="12"/>
        <v>0</v>
      </c>
      <c r="AH99" s="868">
        <f t="shared" si="12"/>
        <v>0</v>
      </c>
      <c r="AI99" s="867">
        <f t="shared" si="12"/>
        <v>0</v>
      </c>
      <c r="AJ99" s="868">
        <f t="shared" si="12"/>
        <v>0</v>
      </c>
      <c r="AK99" s="868">
        <f t="shared" si="12"/>
        <v>0</v>
      </c>
      <c r="AL99" s="868">
        <f t="shared" si="12"/>
        <v>0</v>
      </c>
      <c r="AM99" s="867">
        <f t="shared" si="12"/>
        <v>0</v>
      </c>
      <c r="AN99" s="868">
        <f t="shared" si="12"/>
        <v>0</v>
      </c>
      <c r="AO99" s="868">
        <f t="shared" si="12"/>
        <v>0</v>
      </c>
      <c r="AP99" s="868">
        <f t="shared" si="12"/>
        <v>0</v>
      </c>
      <c r="AQ99" s="867">
        <f t="shared" si="12"/>
        <v>0</v>
      </c>
      <c r="AR99" s="868">
        <f t="shared" si="12"/>
        <v>0</v>
      </c>
      <c r="AS99" s="868">
        <f t="shared" si="12"/>
        <v>0</v>
      </c>
      <c r="AT99" s="868">
        <f t="shared" si="12"/>
        <v>0</v>
      </c>
    </row>
    <row r="100" spans="1:46" s="77" customFormat="1" ht="18" customHeight="1" outlineLevel="2">
      <c r="A100" s="869" t="str">
        <f>'8.项目规划指标表'!B$5</f>
        <v>高层</v>
      </c>
      <c r="B100" s="870">
        <f t="shared" ref="B100:B111" si="13">SUM(C100:AT100)</f>
        <v>0</v>
      </c>
      <c r="C100" s="871">
        <f>'11.销售及回款表'!E158</f>
        <v>0</v>
      </c>
      <c r="D100" s="872">
        <f>'11.销售及回款表'!F158</f>
        <v>0</v>
      </c>
      <c r="E100" s="872">
        <f>'11.销售及回款表'!G158</f>
        <v>0</v>
      </c>
      <c r="F100" s="872">
        <f>'11.销售及回款表'!H158</f>
        <v>0</v>
      </c>
      <c r="G100" s="871">
        <f>'11.销售及回款表'!I158</f>
        <v>0</v>
      </c>
      <c r="H100" s="872">
        <f>'11.销售及回款表'!J158</f>
        <v>0</v>
      </c>
      <c r="I100" s="872">
        <f>'11.销售及回款表'!K158</f>
        <v>0</v>
      </c>
      <c r="J100" s="872">
        <f>'11.销售及回款表'!L158</f>
        <v>0</v>
      </c>
      <c r="K100" s="871">
        <f>'11.销售及回款表'!M158</f>
        <v>0</v>
      </c>
      <c r="L100" s="872">
        <f>'11.销售及回款表'!N158</f>
        <v>0</v>
      </c>
      <c r="M100" s="872">
        <f>'11.销售及回款表'!O158</f>
        <v>0</v>
      </c>
      <c r="N100" s="872">
        <f>'11.销售及回款表'!P158</f>
        <v>0</v>
      </c>
      <c r="O100" s="871">
        <f>'11.销售及回款表'!Q158</f>
        <v>0</v>
      </c>
      <c r="P100" s="872">
        <f>'11.销售及回款表'!R158</f>
        <v>0</v>
      </c>
      <c r="Q100" s="872">
        <f>'11.销售及回款表'!S158</f>
        <v>0</v>
      </c>
      <c r="R100" s="872">
        <f>'11.销售及回款表'!T158</f>
        <v>0</v>
      </c>
      <c r="S100" s="871">
        <f>'11.销售及回款表'!U158</f>
        <v>0</v>
      </c>
      <c r="T100" s="872">
        <f>'11.销售及回款表'!V158</f>
        <v>0</v>
      </c>
      <c r="U100" s="872">
        <f>'11.销售及回款表'!W158</f>
        <v>0</v>
      </c>
      <c r="V100" s="872">
        <f>'11.销售及回款表'!X158</f>
        <v>0</v>
      </c>
      <c r="W100" s="871">
        <f>'11.销售及回款表'!Y158</f>
        <v>0</v>
      </c>
      <c r="X100" s="872">
        <f>'11.销售及回款表'!Z158</f>
        <v>0</v>
      </c>
      <c r="Y100" s="872">
        <f>'11.销售及回款表'!AA158</f>
        <v>0</v>
      </c>
      <c r="Z100" s="872">
        <f>'11.销售及回款表'!AB158</f>
        <v>0</v>
      </c>
      <c r="AA100" s="871">
        <f>'11.销售及回款表'!AC158</f>
        <v>0</v>
      </c>
      <c r="AB100" s="872">
        <f>'11.销售及回款表'!AD158</f>
        <v>0</v>
      </c>
      <c r="AC100" s="872">
        <f>'11.销售及回款表'!AE158</f>
        <v>0</v>
      </c>
      <c r="AD100" s="872">
        <f>'11.销售及回款表'!AF158</f>
        <v>0</v>
      </c>
      <c r="AE100" s="871">
        <f>'11.销售及回款表'!AG158</f>
        <v>0</v>
      </c>
      <c r="AF100" s="872">
        <f>'11.销售及回款表'!AH158</f>
        <v>0</v>
      </c>
      <c r="AG100" s="872">
        <f>'11.销售及回款表'!AI158</f>
        <v>0</v>
      </c>
      <c r="AH100" s="872">
        <f>'11.销售及回款表'!AJ158</f>
        <v>0</v>
      </c>
      <c r="AI100" s="871">
        <f>'11.销售及回款表'!AK158</f>
        <v>0</v>
      </c>
      <c r="AJ100" s="872">
        <f>'11.销售及回款表'!AL158</f>
        <v>0</v>
      </c>
      <c r="AK100" s="872">
        <f>'11.销售及回款表'!AM158</f>
        <v>0</v>
      </c>
      <c r="AL100" s="872">
        <f>'11.销售及回款表'!AN158</f>
        <v>0</v>
      </c>
      <c r="AM100" s="871">
        <f>'11.销售及回款表'!AO158</f>
        <v>0</v>
      </c>
      <c r="AN100" s="872">
        <f>'11.销售及回款表'!AP158</f>
        <v>0</v>
      </c>
      <c r="AO100" s="872">
        <f>'11.销售及回款表'!AQ158</f>
        <v>0</v>
      </c>
      <c r="AP100" s="872">
        <f>'11.销售及回款表'!AR158</f>
        <v>0</v>
      </c>
      <c r="AQ100" s="871">
        <f>'11.销售及回款表'!AS158</f>
        <v>0</v>
      </c>
      <c r="AR100" s="872">
        <f>'11.销售及回款表'!AT158</f>
        <v>0</v>
      </c>
      <c r="AS100" s="872">
        <f>'11.销售及回款表'!AU158</f>
        <v>0</v>
      </c>
      <c r="AT100" s="872">
        <f>'11.销售及回款表'!AV158</f>
        <v>0</v>
      </c>
    </row>
    <row r="101" spans="1:46" s="77" customFormat="1" ht="18" customHeight="1" outlineLevel="2">
      <c r="A101" s="869" t="str">
        <f>'8.项目规划指标表'!B$6</f>
        <v>商铺</v>
      </c>
      <c r="B101" s="870">
        <f t="shared" si="13"/>
        <v>0</v>
      </c>
      <c r="C101" s="871">
        <f>'11.销售及回款表'!E163</f>
        <v>0</v>
      </c>
      <c r="D101" s="872">
        <f>'11.销售及回款表'!F163</f>
        <v>0</v>
      </c>
      <c r="E101" s="872">
        <f>'11.销售及回款表'!G163</f>
        <v>0</v>
      </c>
      <c r="F101" s="872">
        <f>'11.销售及回款表'!H163</f>
        <v>0</v>
      </c>
      <c r="G101" s="871">
        <f>'11.销售及回款表'!I163</f>
        <v>0</v>
      </c>
      <c r="H101" s="872">
        <f>'11.销售及回款表'!J163</f>
        <v>0</v>
      </c>
      <c r="I101" s="872">
        <f>'11.销售及回款表'!K163</f>
        <v>0</v>
      </c>
      <c r="J101" s="872">
        <f>'11.销售及回款表'!L163</f>
        <v>0</v>
      </c>
      <c r="K101" s="871">
        <f>'11.销售及回款表'!M163</f>
        <v>0</v>
      </c>
      <c r="L101" s="872">
        <f>'11.销售及回款表'!N163</f>
        <v>0</v>
      </c>
      <c r="M101" s="872">
        <f>'11.销售及回款表'!O163</f>
        <v>0</v>
      </c>
      <c r="N101" s="872">
        <f>'11.销售及回款表'!P163</f>
        <v>0</v>
      </c>
      <c r="O101" s="871">
        <f>'11.销售及回款表'!Q163</f>
        <v>0</v>
      </c>
      <c r="P101" s="872">
        <f>'11.销售及回款表'!R163</f>
        <v>0</v>
      </c>
      <c r="Q101" s="872">
        <f>'11.销售及回款表'!S163</f>
        <v>0</v>
      </c>
      <c r="R101" s="872">
        <f>'11.销售及回款表'!T163</f>
        <v>0</v>
      </c>
      <c r="S101" s="871">
        <f>'11.销售及回款表'!U163</f>
        <v>0</v>
      </c>
      <c r="T101" s="872">
        <f>'11.销售及回款表'!V163</f>
        <v>0</v>
      </c>
      <c r="U101" s="872">
        <f>'11.销售及回款表'!W163</f>
        <v>0</v>
      </c>
      <c r="V101" s="872">
        <f>'11.销售及回款表'!X163</f>
        <v>0</v>
      </c>
      <c r="W101" s="871">
        <f>'11.销售及回款表'!Y163</f>
        <v>0</v>
      </c>
      <c r="X101" s="872">
        <f>'11.销售及回款表'!Z163</f>
        <v>0</v>
      </c>
      <c r="Y101" s="872">
        <f>'11.销售及回款表'!AA163</f>
        <v>0</v>
      </c>
      <c r="Z101" s="872">
        <f>'11.销售及回款表'!AB163</f>
        <v>0</v>
      </c>
      <c r="AA101" s="871">
        <f>'11.销售及回款表'!AC163</f>
        <v>0</v>
      </c>
      <c r="AB101" s="872">
        <f>'11.销售及回款表'!AD163</f>
        <v>0</v>
      </c>
      <c r="AC101" s="872">
        <f>'11.销售及回款表'!AE163</f>
        <v>0</v>
      </c>
      <c r="AD101" s="872">
        <f>'11.销售及回款表'!AF163</f>
        <v>0</v>
      </c>
      <c r="AE101" s="871">
        <f>'11.销售及回款表'!AG163</f>
        <v>0</v>
      </c>
      <c r="AF101" s="872">
        <f>'11.销售及回款表'!AH163</f>
        <v>0</v>
      </c>
      <c r="AG101" s="872">
        <f>'11.销售及回款表'!AI163</f>
        <v>0</v>
      </c>
      <c r="AH101" s="872">
        <f>'11.销售及回款表'!AJ163</f>
        <v>0</v>
      </c>
      <c r="AI101" s="871">
        <f>'11.销售及回款表'!AK163</f>
        <v>0</v>
      </c>
      <c r="AJ101" s="872">
        <f>'11.销售及回款表'!AL163</f>
        <v>0</v>
      </c>
      <c r="AK101" s="872">
        <f>'11.销售及回款表'!AM163</f>
        <v>0</v>
      </c>
      <c r="AL101" s="872">
        <f>'11.销售及回款表'!AN163</f>
        <v>0</v>
      </c>
      <c r="AM101" s="871">
        <f>'11.销售及回款表'!AO163</f>
        <v>0</v>
      </c>
      <c r="AN101" s="872">
        <f>'11.销售及回款表'!AP163</f>
        <v>0</v>
      </c>
      <c r="AO101" s="872">
        <f>'11.销售及回款表'!AQ163</f>
        <v>0</v>
      </c>
      <c r="AP101" s="872">
        <f>'11.销售及回款表'!AR163</f>
        <v>0</v>
      </c>
      <c r="AQ101" s="871">
        <f>'11.销售及回款表'!AS163</f>
        <v>0</v>
      </c>
      <c r="AR101" s="872">
        <f>'11.销售及回款表'!AT163</f>
        <v>0</v>
      </c>
      <c r="AS101" s="872">
        <f>'11.销售及回款表'!AU163</f>
        <v>0</v>
      </c>
      <c r="AT101" s="872">
        <f>'11.销售及回款表'!AV163</f>
        <v>0</v>
      </c>
    </row>
    <row r="102" spans="1:46" s="77" customFormat="1" ht="18" customHeight="1" outlineLevel="2">
      <c r="A102" s="869" t="str">
        <f>'8.项目规划指标表'!B$7</f>
        <v>回迁商业</v>
      </c>
      <c r="B102" s="870">
        <f t="shared" si="13"/>
        <v>0</v>
      </c>
      <c r="C102" s="871">
        <f>'11.销售及回款表'!E168</f>
        <v>0</v>
      </c>
      <c r="D102" s="872">
        <f>'11.销售及回款表'!F168</f>
        <v>0</v>
      </c>
      <c r="E102" s="872">
        <f>'11.销售及回款表'!G168</f>
        <v>0</v>
      </c>
      <c r="F102" s="872">
        <f>'11.销售及回款表'!H168</f>
        <v>0</v>
      </c>
      <c r="G102" s="871">
        <f>'11.销售及回款表'!I168</f>
        <v>0</v>
      </c>
      <c r="H102" s="872">
        <f>'11.销售及回款表'!J168</f>
        <v>0</v>
      </c>
      <c r="I102" s="872">
        <f>'11.销售及回款表'!K168</f>
        <v>0</v>
      </c>
      <c r="J102" s="872">
        <f>'11.销售及回款表'!L168</f>
        <v>0</v>
      </c>
      <c r="K102" s="871">
        <f>'11.销售及回款表'!M168</f>
        <v>0</v>
      </c>
      <c r="L102" s="872">
        <f>'11.销售及回款表'!N168</f>
        <v>0</v>
      </c>
      <c r="M102" s="872">
        <f>'11.销售及回款表'!O168</f>
        <v>0</v>
      </c>
      <c r="N102" s="872">
        <f>'11.销售及回款表'!P168</f>
        <v>0</v>
      </c>
      <c r="O102" s="871">
        <f>'11.销售及回款表'!Q168</f>
        <v>0</v>
      </c>
      <c r="P102" s="872">
        <f>'11.销售及回款表'!R168</f>
        <v>0</v>
      </c>
      <c r="Q102" s="872">
        <f>'11.销售及回款表'!S168</f>
        <v>0</v>
      </c>
      <c r="R102" s="872">
        <f>'11.销售及回款表'!T168</f>
        <v>0</v>
      </c>
      <c r="S102" s="871">
        <f>'11.销售及回款表'!U168</f>
        <v>0</v>
      </c>
      <c r="T102" s="872">
        <f>'11.销售及回款表'!V168</f>
        <v>0</v>
      </c>
      <c r="U102" s="872">
        <f>'11.销售及回款表'!W168</f>
        <v>0</v>
      </c>
      <c r="V102" s="872">
        <f>'11.销售及回款表'!X168</f>
        <v>0</v>
      </c>
      <c r="W102" s="871">
        <f>'11.销售及回款表'!Y168</f>
        <v>0</v>
      </c>
      <c r="X102" s="872">
        <f>'11.销售及回款表'!Z168</f>
        <v>0</v>
      </c>
      <c r="Y102" s="872">
        <f>'11.销售及回款表'!AA168</f>
        <v>0</v>
      </c>
      <c r="Z102" s="872">
        <f>'11.销售及回款表'!AB168</f>
        <v>0</v>
      </c>
      <c r="AA102" s="871">
        <f>'11.销售及回款表'!AC168</f>
        <v>0</v>
      </c>
      <c r="AB102" s="872">
        <f>'11.销售及回款表'!AD168</f>
        <v>0</v>
      </c>
      <c r="AC102" s="872">
        <f>'11.销售及回款表'!AE168</f>
        <v>0</v>
      </c>
      <c r="AD102" s="872">
        <f>'11.销售及回款表'!AF168</f>
        <v>0</v>
      </c>
      <c r="AE102" s="871">
        <f>'11.销售及回款表'!AG168</f>
        <v>0</v>
      </c>
      <c r="AF102" s="872">
        <f>'11.销售及回款表'!AH168</f>
        <v>0</v>
      </c>
      <c r="AG102" s="872">
        <f>'11.销售及回款表'!AI168</f>
        <v>0</v>
      </c>
      <c r="AH102" s="872">
        <f>'11.销售及回款表'!AJ168</f>
        <v>0</v>
      </c>
      <c r="AI102" s="871">
        <f>'11.销售及回款表'!AK168</f>
        <v>0</v>
      </c>
      <c r="AJ102" s="872">
        <f>'11.销售及回款表'!AL168</f>
        <v>0</v>
      </c>
      <c r="AK102" s="872">
        <f>'11.销售及回款表'!AM168</f>
        <v>0</v>
      </c>
      <c r="AL102" s="872">
        <f>'11.销售及回款表'!AN168</f>
        <v>0</v>
      </c>
      <c r="AM102" s="871">
        <f>'11.销售及回款表'!AO168</f>
        <v>0</v>
      </c>
      <c r="AN102" s="872">
        <f>'11.销售及回款表'!AP168</f>
        <v>0</v>
      </c>
      <c r="AO102" s="872">
        <f>'11.销售及回款表'!AQ168</f>
        <v>0</v>
      </c>
      <c r="AP102" s="872">
        <f>'11.销售及回款表'!AR168</f>
        <v>0</v>
      </c>
      <c r="AQ102" s="871">
        <f>'11.销售及回款表'!AS168</f>
        <v>0</v>
      </c>
      <c r="AR102" s="872">
        <f>'11.销售及回款表'!AT168</f>
        <v>0</v>
      </c>
      <c r="AS102" s="872">
        <f>'11.销售及回款表'!AU168</f>
        <v>0</v>
      </c>
      <c r="AT102" s="872">
        <f>'11.销售及回款表'!AV168</f>
        <v>0</v>
      </c>
    </row>
    <row r="103" spans="1:46" s="77" customFormat="1" ht="18" customHeight="1" outlineLevel="2">
      <c r="A103" s="869">
        <f>'8.项目规划指标表'!B$8</f>
        <v>0</v>
      </c>
      <c r="B103" s="870">
        <f t="shared" si="13"/>
        <v>0</v>
      </c>
      <c r="C103" s="871">
        <f>'11.销售及回款表'!E173</f>
        <v>0</v>
      </c>
      <c r="D103" s="872">
        <f>'11.销售及回款表'!F173</f>
        <v>0</v>
      </c>
      <c r="E103" s="872">
        <f>'11.销售及回款表'!G173</f>
        <v>0</v>
      </c>
      <c r="F103" s="872">
        <f>'11.销售及回款表'!H173</f>
        <v>0</v>
      </c>
      <c r="G103" s="871">
        <f>'11.销售及回款表'!I173</f>
        <v>0</v>
      </c>
      <c r="H103" s="872">
        <f>'11.销售及回款表'!J173</f>
        <v>0</v>
      </c>
      <c r="I103" s="872">
        <f>'11.销售及回款表'!K173</f>
        <v>0</v>
      </c>
      <c r="J103" s="872">
        <f>'11.销售及回款表'!L173</f>
        <v>0</v>
      </c>
      <c r="K103" s="871">
        <f>'11.销售及回款表'!M173</f>
        <v>0</v>
      </c>
      <c r="L103" s="872">
        <f>'11.销售及回款表'!N173</f>
        <v>0</v>
      </c>
      <c r="M103" s="872">
        <f>'11.销售及回款表'!O173</f>
        <v>0</v>
      </c>
      <c r="N103" s="872">
        <f>'11.销售及回款表'!P173</f>
        <v>0</v>
      </c>
      <c r="O103" s="871">
        <f>'11.销售及回款表'!Q173</f>
        <v>0</v>
      </c>
      <c r="P103" s="872">
        <f>'11.销售及回款表'!R173</f>
        <v>0</v>
      </c>
      <c r="Q103" s="872">
        <f>'11.销售及回款表'!S173</f>
        <v>0</v>
      </c>
      <c r="R103" s="872">
        <f>'11.销售及回款表'!T173</f>
        <v>0</v>
      </c>
      <c r="S103" s="871">
        <f>'11.销售及回款表'!U173</f>
        <v>0</v>
      </c>
      <c r="T103" s="872">
        <f>'11.销售及回款表'!V173</f>
        <v>0</v>
      </c>
      <c r="U103" s="872">
        <f>'11.销售及回款表'!W173</f>
        <v>0</v>
      </c>
      <c r="V103" s="872">
        <f>'11.销售及回款表'!X173</f>
        <v>0</v>
      </c>
      <c r="W103" s="871">
        <f>'11.销售及回款表'!Y173</f>
        <v>0</v>
      </c>
      <c r="X103" s="872">
        <f>'11.销售及回款表'!Z173</f>
        <v>0</v>
      </c>
      <c r="Y103" s="872">
        <f>'11.销售及回款表'!AA173</f>
        <v>0</v>
      </c>
      <c r="Z103" s="872">
        <f>'11.销售及回款表'!AB173</f>
        <v>0</v>
      </c>
      <c r="AA103" s="871">
        <f>'11.销售及回款表'!AC173</f>
        <v>0</v>
      </c>
      <c r="AB103" s="872">
        <f>'11.销售及回款表'!AD173</f>
        <v>0</v>
      </c>
      <c r="AC103" s="872">
        <f>'11.销售及回款表'!AE173</f>
        <v>0</v>
      </c>
      <c r="AD103" s="872">
        <f>'11.销售及回款表'!AF173</f>
        <v>0</v>
      </c>
      <c r="AE103" s="871">
        <f>'11.销售及回款表'!AG173</f>
        <v>0</v>
      </c>
      <c r="AF103" s="872">
        <f>'11.销售及回款表'!AH173</f>
        <v>0</v>
      </c>
      <c r="AG103" s="872">
        <f>'11.销售及回款表'!AI173</f>
        <v>0</v>
      </c>
      <c r="AH103" s="872">
        <f>'11.销售及回款表'!AJ173</f>
        <v>0</v>
      </c>
      <c r="AI103" s="871">
        <f>'11.销售及回款表'!AK173</f>
        <v>0</v>
      </c>
      <c r="AJ103" s="872">
        <f>'11.销售及回款表'!AL173</f>
        <v>0</v>
      </c>
      <c r="AK103" s="872">
        <f>'11.销售及回款表'!AM173</f>
        <v>0</v>
      </c>
      <c r="AL103" s="872">
        <f>'11.销售及回款表'!AN173</f>
        <v>0</v>
      </c>
      <c r="AM103" s="871">
        <f>'11.销售及回款表'!AO173</f>
        <v>0</v>
      </c>
      <c r="AN103" s="872">
        <f>'11.销售及回款表'!AP173</f>
        <v>0</v>
      </c>
      <c r="AO103" s="872">
        <f>'11.销售及回款表'!AQ173</f>
        <v>0</v>
      </c>
      <c r="AP103" s="872">
        <f>'11.销售及回款表'!AR173</f>
        <v>0</v>
      </c>
      <c r="AQ103" s="871">
        <f>'11.销售及回款表'!AS173</f>
        <v>0</v>
      </c>
      <c r="AR103" s="872">
        <f>'11.销售及回款表'!AT173</f>
        <v>0</v>
      </c>
      <c r="AS103" s="872">
        <f>'11.销售及回款表'!AU173</f>
        <v>0</v>
      </c>
      <c r="AT103" s="872">
        <f>'11.销售及回款表'!AV173</f>
        <v>0</v>
      </c>
    </row>
    <row r="104" spans="1:46" s="77" customFormat="1" ht="18" customHeight="1" outlineLevel="2">
      <c r="A104" s="869">
        <f>'8.项目规划指标表'!B$9</f>
        <v>0</v>
      </c>
      <c r="B104" s="870">
        <f t="shared" si="13"/>
        <v>0</v>
      </c>
      <c r="C104" s="871">
        <f>'11.销售及回款表'!E178</f>
        <v>0</v>
      </c>
      <c r="D104" s="872">
        <f>'11.销售及回款表'!F178</f>
        <v>0</v>
      </c>
      <c r="E104" s="872">
        <f>'11.销售及回款表'!G178</f>
        <v>0</v>
      </c>
      <c r="F104" s="872">
        <f>'11.销售及回款表'!H178</f>
        <v>0</v>
      </c>
      <c r="G104" s="871">
        <f>'11.销售及回款表'!I178</f>
        <v>0</v>
      </c>
      <c r="H104" s="872">
        <f>'11.销售及回款表'!J178</f>
        <v>0</v>
      </c>
      <c r="I104" s="872">
        <f>'11.销售及回款表'!K178</f>
        <v>0</v>
      </c>
      <c r="J104" s="872">
        <f>'11.销售及回款表'!L178</f>
        <v>0</v>
      </c>
      <c r="K104" s="871">
        <f>'11.销售及回款表'!M178</f>
        <v>0</v>
      </c>
      <c r="L104" s="872">
        <f>'11.销售及回款表'!N178</f>
        <v>0</v>
      </c>
      <c r="M104" s="872">
        <f>'11.销售及回款表'!O178</f>
        <v>0</v>
      </c>
      <c r="N104" s="872">
        <f>'11.销售及回款表'!P178</f>
        <v>0</v>
      </c>
      <c r="O104" s="871">
        <f>'11.销售及回款表'!Q178</f>
        <v>0</v>
      </c>
      <c r="P104" s="872">
        <f>'11.销售及回款表'!R178</f>
        <v>0</v>
      </c>
      <c r="Q104" s="872">
        <f>'11.销售及回款表'!S178</f>
        <v>0</v>
      </c>
      <c r="R104" s="872">
        <f>'11.销售及回款表'!T178</f>
        <v>0</v>
      </c>
      <c r="S104" s="871">
        <f>'11.销售及回款表'!U178</f>
        <v>0</v>
      </c>
      <c r="T104" s="872">
        <f>'11.销售及回款表'!V178</f>
        <v>0</v>
      </c>
      <c r="U104" s="872">
        <f>'11.销售及回款表'!W178</f>
        <v>0</v>
      </c>
      <c r="V104" s="872">
        <f>'11.销售及回款表'!X178</f>
        <v>0</v>
      </c>
      <c r="W104" s="871">
        <f>'11.销售及回款表'!Y178</f>
        <v>0</v>
      </c>
      <c r="X104" s="872">
        <f>'11.销售及回款表'!Z178</f>
        <v>0</v>
      </c>
      <c r="Y104" s="872">
        <f>'11.销售及回款表'!AA178</f>
        <v>0</v>
      </c>
      <c r="Z104" s="872">
        <f>'11.销售及回款表'!AB178</f>
        <v>0</v>
      </c>
      <c r="AA104" s="871">
        <f>'11.销售及回款表'!AC178</f>
        <v>0</v>
      </c>
      <c r="AB104" s="872">
        <f>'11.销售及回款表'!AD178</f>
        <v>0</v>
      </c>
      <c r="AC104" s="872">
        <f>'11.销售及回款表'!AE178</f>
        <v>0</v>
      </c>
      <c r="AD104" s="872">
        <f>'11.销售及回款表'!AF178</f>
        <v>0</v>
      </c>
      <c r="AE104" s="871">
        <f>'11.销售及回款表'!AG178</f>
        <v>0</v>
      </c>
      <c r="AF104" s="872">
        <f>'11.销售及回款表'!AH178</f>
        <v>0</v>
      </c>
      <c r="AG104" s="872">
        <f>'11.销售及回款表'!AI178</f>
        <v>0</v>
      </c>
      <c r="AH104" s="872">
        <f>'11.销售及回款表'!AJ178</f>
        <v>0</v>
      </c>
      <c r="AI104" s="871">
        <f>'11.销售及回款表'!AK178</f>
        <v>0</v>
      </c>
      <c r="AJ104" s="872">
        <f>'11.销售及回款表'!AL178</f>
        <v>0</v>
      </c>
      <c r="AK104" s="872">
        <f>'11.销售及回款表'!AM178</f>
        <v>0</v>
      </c>
      <c r="AL104" s="872">
        <f>'11.销售及回款表'!AN178</f>
        <v>0</v>
      </c>
      <c r="AM104" s="871">
        <f>'11.销售及回款表'!AO178</f>
        <v>0</v>
      </c>
      <c r="AN104" s="872">
        <f>'11.销售及回款表'!AP178</f>
        <v>0</v>
      </c>
      <c r="AO104" s="872">
        <f>'11.销售及回款表'!AQ178</f>
        <v>0</v>
      </c>
      <c r="AP104" s="872">
        <f>'11.销售及回款表'!AR178</f>
        <v>0</v>
      </c>
      <c r="AQ104" s="871">
        <f>'11.销售及回款表'!AS178</f>
        <v>0</v>
      </c>
      <c r="AR104" s="872">
        <f>'11.销售及回款表'!AT178</f>
        <v>0</v>
      </c>
      <c r="AS104" s="872">
        <f>'11.销售及回款表'!AU178</f>
        <v>0</v>
      </c>
      <c r="AT104" s="872">
        <f>'11.销售及回款表'!AV178</f>
        <v>0</v>
      </c>
    </row>
    <row r="105" spans="1:46" s="77" customFormat="1" ht="18" customHeight="1" outlineLevel="2">
      <c r="A105" s="869">
        <f>'8.项目规划指标表'!B$10</f>
        <v>0</v>
      </c>
      <c r="B105" s="870">
        <f t="shared" si="13"/>
        <v>0</v>
      </c>
      <c r="C105" s="871">
        <f>'11.销售及回款表'!E183</f>
        <v>0</v>
      </c>
      <c r="D105" s="872">
        <f>'11.销售及回款表'!F183</f>
        <v>0</v>
      </c>
      <c r="E105" s="872">
        <f>'11.销售及回款表'!G183</f>
        <v>0</v>
      </c>
      <c r="F105" s="872">
        <f>'11.销售及回款表'!H183</f>
        <v>0</v>
      </c>
      <c r="G105" s="871">
        <f>'11.销售及回款表'!I183</f>
        <v>0</v>
      </c>
      <c r="H105" s="872">
        <f>'11.销售及回款表'!J183</f>
        <v>0</v>
      </c>
      <c r="I105" s="872">
        <f>'11.销售及回款表'!K183</f>
        <v>0</v>
      </c>
      <c r="J105" s="872">
        <f>'11.销售及回款表'!L183</f>
        <v>0</v>
      </c>
      <c r="K105" s="871">
        <f>'11.销售及回款表'!M183</f>
        <v>0</v>
      </c>
      <c r="L105" s="872">
        <f>'11.销售及回款表'!N183</f>
        <v>0</v>
      </c>
      <c r="M105" s="872">
        <f>'11.销售及回款表'!O183</f>
        <v>0</v>
      </c>
      <c r="N105" s="872">
        <f>'11.销售及回款表'!P183</f>
        <v>0</v>
      </c>
      <c r="O105" s="871">
        <f>'11.销售及回款表'!Q183</f>
        <v>0</v>
      </c>
      <c r="P105" s="872">
        <f>'11.销售及回款表'!R183</f>
        <v>0</v>
      </c>
      <c r="Q105" s="872">
        <f>'11.销售及回款表'!S183</f>
        <v>0</v>
      </c>
      <c r="R105" s="872">
        <f>'11.销售及回款表'!T183</f>
        <v>0</v>
      </c>
      <c r="S105" s="871">
        <f>'11.销售及回款表'!U183</f>
        <v>0</v>
      </c>
      <c r="T105" s="872">
        <f>'11.销售及回款表'!V183</f>
        <v>0</v>
      </c>
      <c r="U105" s="872">
        <f>'11.销售及回款表'!W183</f>
        <v>0</v>
      </c>
      <c r="V105" s="872">
        <f>'11.销售及回款表'!X183</f>
        <v>0</v>
      </c>
      <c r="W105" s="871">
        <f>'11.销售及回款表'!Y183</f>
        <v>0</v>
      </c>
      <c r="X105" s="872">
        <f>'11.销售及回款表'!Z183</f>
        <v>0</v>
      </c>
      <c r="Y105" s="872">
        <f>'11.销售及回款表'!AA183</f>
        <v>0</v>
      </c>
      <c r="Z105" s="872">
        <f>'11.销售及回款表'!AB183</f>
        <v>0</v>
      </c>
      <c r="AA105" s="871">
        <f>'11.销售及回款表'!AC183</f>
        <v>0</v>
      </c>
      <c r="AB105" s="872">
        <f>'11.销售及回款表'!AD183</f>
        <v>0</v>
      </c>
      <c r="AC105" s="872">
        <f>'11.销售及回款表'!AE183</f>
        <v>0</v>
      </c>
      <c r="AD105" s="872">
        <f>'11.销售及回款表'!AF183</f>
        <v>0</v>
      </c>
      <c r="AE105" s="871">
        <f>'11.销售及回款表'!AG183</f>
        <v>0</v>
      </c>
      <c r="AF105" s="872">
        <f>'11.销售及回款表'!AH183</f>
        <v>0</v>
      </c>
      <c r="AG105" s="872">
        <f>'11.销售及回款表'!AI183</f>
        <v>0</v>
      </c>
      <c r="AH105" s="872">
        <f>'11.销售及回款表'!AJ183</f>
        <v>0</v>
      </c>
      <c r="AI105" s="871">
        <f>'11.销售及回款表'!AK183</f>
        <v>0</v>
      </c>
      <c r="AJ105" s="872">
        <f>'11.销售及回款表'!AL183</f>
        <v>0</v>
      </c>
      <c r="AK105" s="872">
        <f>'11.销售及回款表'!AM183</f>
        <v>0</v>
      </c>
      <c r="AL105" s="872">
        <f>'11.销售及回款表'!AN183</f>
        <v>0</v>
      </c>
      <c r="AM105" s="871">
        <f>'11.销售及回款表'!AO183</f>
        <v>0</v>
      </c>
      <c r="AN105" s="872">
        <f>'11.销售及回款表'!AP183</f>
        <v>0</v>
      </c>
      <c r="AO105" s="872">
        <f>'11.销售及回款表'!AQ183</f>
        <v>0</v>
      </c>
      <c r="AP105" s="872">
        <f>'11.销售及回款表'!AR183</f>
        <v>0</v>
      </c>
      <c r="AQ105" s="871">
        <f>'11.销售及回款表'!AS183</f>
        <v>0</v>
      </c>
      <c r="AR105" s="872">
        <f>'11.销售及回款表'!AT183</f>
        <v>0</v>
      </c>
      <c r="AS105" s="872">
        <f>'11.销售及回款表'!AU183</f>
        <v>0</v>
      </c>
      <c r="AT105" s="872">
        <f>'11.销售及回款表'!AV183</f>
        <v>0</v>
      </c>
    </row>
    <row r="106" spans="1:46" s="77" customFormat="1" ht="18" customHeight="1" outlineLevel="2">
      <c r="A106" s="869">
        <f>'8.项目规划指标表'!B$11</f>
        <v>0</v>
      </c>
      <c r="B106" s="870">
        <f t="shared" si="13"/>
        <v>0</v>
      </c>
      <c r="C106" s="871">
        <f>'11.销售及回款表'!E188</f>
        <v>0</v>
      </c>
      <c r="D106" s="872">
        <f>'11.销售及回款表'!F188</f>
        <v>0</v>
      </c>
      <c r="E106" s="872">
        <f>'11.销售及回款表'!G188</f>
        <v>0</v>
      </c>
      <c r="F106" s="872">
        <f>'11.销售及回款表'!H188</f>
        <v>0</v>
      </c>
      <c r="G106" s="871">
        <f>'11.销售及回款表'!I188</f>
        <v>0</v>
      </c>
      <c r="H106" s="872">
        <f>'11.销售及回款表'!J188</f>
        <v>0</v>
      </c>
      <c r="I106" s="872">
        <f>'11.销售及回款表'!K188</f>
        <v>0</v>
      </c>
      <c r="J106" s="872">
        <f>'11.销售及回款表'!L188</f>
        <v>0</v>
      </c>
      <c r="K106" s="871">
        <f>'11.销售及回款表'!M188</f>
        <v>0</v>
      </c>
      <c r="L106" s="872">
        <f>'11.销售及回款表'!N188</f>
        <v>0</v>
      </c>
      <c r="M106" s="872">
        <f>'11.销售及回款表'!O188</f>
        <v>0</v>
      </c>
      <c r="N106" s="872">
        <f>'11.销售及回款表'!P188</f>
        <v>0</v>
      </c>
      <c r="O106" s="871">
        <f>'11.销售及回款表'!Q188</f>
        <v>0</v>
      </c>
      <c r="P106" s="872">
        <f>'11.销售及回款表'!R188</f>
        <v>0</v>
      </c>
      <c r="Q106" s="872">
        <f>'11.销售及回款表'!S188</f>
        <v>0</v>
      </c>
      <c r="R106" s="872">
        <f>'11.销售及回款表'!T188</f>
        <v>0</v>
      </c>
      <c r="S106" s="871">
        <f>'11.销售及回款表'!U188</f>
        <v>0</v>
      </c>
      <c r="T106" s="872">
        <f>'11.销售及回款表'!V188</f>
        <v>0</v>
      </c>
      <c r="U106" s="872">
        <f>'11.销售及回款表'!W188</f>
        <v>0</v>
      </c>
      <c r="V106" s="872">
        <f>'11.销售及回款表'!X188</f>
        <v>0</v>
      </c>
      <c r="W106" s="871">
        <f>'11.销售及回款表'!Y188</f>
        <v>0</v>
      </c>
      <c r="X106" s="872">
        <f>'11.销售及回款表'!Z188</f>
        <v>0</v>
      </c>
      <c r="Y106" s="872">
        <f>'11.销售及回款表'!AA188</f>
        <v>0</v>
      </c>
      <c r="Z106" s="872">
        <f>'11.销售及回款表'!AB188</f>
        <v>0</v>
      </c>
      <c r="AA106" s="871">
        <f>'11.销售及回款表'!AC188</f>
        <v>0</v>
      </c>
      <c r="AB106" s="872">
        <f>'11.销售及回款表'!AD188</f>
        <v>0</v>
      </c>
      <c r="AC106" s="872">
        <f>'11.销售及回款表'!AE188</f>
        <v>0</v>
      </c>
      <c r="AD106" s="872">
        <f>'11.销售及回款表'!AF188</f>
        <v>0</v>
      </c>
      <c r="AE106" s="871">
        <f>'11.销售及回款表'!AG188</f>
        <v>0</v>
      </c>
      <c r="AF106" s="872">
        <f>'11.销售及回款表'!AH188</f>
        <v>0</v>
      </c>
      <c r="AG106" s="872">
        <f>'11.销售及回款表'!AI188</f>
        <v>0</v>
      </c>
      <c r="AH106" s="872">
        <f>'11.销售及回款表'!AJ188</f>
        <v>0</v>
      </c>
      <c r="AI106" s="871">
        <f>'11.销售及回款表'!AK188</f>
        <v>0</v>
      </c>
      <c r="AJ106" s="872">
        <f>'11.销售及回款表'!AL188</f>
        <v>0</v>
      </c>
      <c r="AK106" s="872">
        <f>'11.销售及回款表'!AM188</f>
        <v>0</v>
      </c>
      <c r="AL106" s="872">
        <f>'11.销售及回款表'!AN188</f>
        <v>0</v>
      </c>
      <c r="AM106" s="871">
        <f>'11.销售及回款表'!AO188</f>
        <v>0</v>
      </c>
      <c r="AN106" s="872">
        <f>'11.销售及回款表'!AP188</f>
        <v>0</v>
      </c>
      <c r="AO106" s="872">
        <f>'11.销售及回款表'!AQ188</f>
        <v>0</v>
      </c>
      <c r="AP106" s="872">
        <f>'11.销售及回款表'!AR188</f>
        <v>0</v>
      </c>
      <c r="AQ106" s="871">
        <f>'11.销售及回款表'!AS188</f>
        <v>0</v>
      </c>
      <c r="AR106" s="872">
        <f>'11.销售及回款表'!AT188</f>
        <v>0</v>
      </c>
      <c r="AS106" s="872">
        <f>'11.销售及回款表'!AU188</f>
        <v>0</v>
      </c>
      <c r="AT106" s="872">
        <f>'11.销售及回款表'!AV188</f>
        <v>0</v>
      </c>
    </row>
    <row r="107" spans="1:46" s="77" customFormat="1" ht="18" customHeight="1" outlineLevel="2">
      <c r="A107" s="869">
        <f>'8.项目规划指标表'!B$12</f>
        <v>0</v>
      </c>
      <c r="B107" s="870">
        <f t="shared" si="13"/>
        <v>0</v>
      </c>
      <c r="C107" s="871">
        <f>'11.销售及回款表'!E193</f>
        <v>0</v>
      </c>
      <c r="D107" s="872">
        <f>'11.销售及回款表'!F193</f>
        <v>0</v>
      </c>
      <c r="E107" s="872">
        <f>'11.销售及回款表'!G193</f>
        <v>0</v>
      </c>
      <c r="F107" s="872">
        <f>'11.销售及回款表'!H193</f>
        <v>0</v>
      </c>
      <c r="G107" s="871">
        <f>'11.销售及回款表'!I193</f>
        <v>0</v>
      </c>
      <c r="H107" s="872">
        <f>'11.销售及回款表'!J193</f>
        <v>0</v>
      </c>
      <c r="I107" s="872">
        <f>'11.销售及回款表'!K193</f>
        <v>0</v>
      </c>
      <c r="J107" s="872">
        <f>'11.销售及回款表'!L193</f>
        <v>0</v>
      </c>
      <c r="K107" s="871">
        <f>'11.销售及回款表'!M193</f>
        <v>0</v>
      </c>
      <c r="L107" s="872">
        <f>'11.销售及回款表'!N193</f>
        <v>0</v>
      </c>
      <c r="M107" s="872">
        <f>'11.销售及回款表'!O193</f>
        <v>0</v>
      </c>
      <c r="N107" s="872">
        <f>'11.销售及回款表'!P193</f>
        <v>0</v>
      </c>
      <c r="O107" s="871">
        <f>'11.销售及回款表'!Q193</f>
        <v>0</v>
      </c>
      <c r="P107" s="872">
        <f>'11.销售及回款表'!R193</f>
        <v>0</v>
      </c>
      <c r="Q107" s="872">
        <f>'11.销售及回款表'!S193</f>
        <v>0</v>
      </c>
      <c r="R107" s="872">
        <f>'11.销售及回款表'!T193</f>
        <v>0</v>
      </c>
      <c r="S107" s="871">
        <f>'11.销售及回款表'!U193</f>
        <v>0</v>
      </c>
      <c r="T107" s="872">
        <f>'11.销售及回款表'!V193</f>
        <v>0</v>
      </c>
      <c r="U107" s="872">
        <f>'11.销售及回款表'!W193</f>
        <v>0</v>
      </c>
      <c r="V107" s="872">
        <f>'11.销售及回款表'!X193</f>
        <v>0</v>
      </c>
      <c r="W107" s="871">
        <f>'11.销售及回款表'!Y193</f>
        <v>0</v>
      </c>
      <c r="X107" s="872">
        <f>'11.销售及回款表'!Z193</f>
        <v>0</v>
      </c>
      <c r="Y107" s="872">
        <f>'11.销售及回款表'!AA193</f>
        <v>0</v>
      </c>
      <c r="Z107" s="872">
        <f>'11.销售及回款表'!AB193</f>
        <v>0</v>
      </c>
      <c r="AA107" s="871">
        <f>'11.销售及回款表'!AC193</f>
        <v>0</v>
      </c>
      <c r="AB107" s="872">
        <f>'11.销售及回款表'!AD193</f>
        <v>0</v>
      </c>
      <c r="AC107" s="872">
        <f>'11.销售及回款表'!AE193</f>
        <v>0</v>
      </c>
      <c r="AD107" s="872">
        <f>'11.销售及回款表'!AF193</f>
        <v>0</v>
      </c>
      <c r="AE107" s="871">
        <f>'11.销售及回款表'!AG193</f>
        <v>0</v>
      </c>
      <c r="AF107" s="872">
        <f>'11.销售及回款表'!AH193</f>
        <v>0</v>
      </c>
      <c r="AG107" s="872">
        <f>'11.销售及回款表'!AI193</f>
        <v>0</v>
      </c>
      <c r="AH107" s="872">
        <f>'11.销售及回款表'!AJ193</f>
        <v>0</v>
      </c>
      <c r="AI107" s="871">
        <f>'11.销售及回款表'!AK193</f>
        <v>0</v>
      </c>
      <c r="AJ107" s="872">
        <f>'11.销售及回款表'!AL193</f>
        <v>0</v>
      </c>
      <c r="AK107" s="872">
        <f>'11.销售及回款表'!AM193</f>
        <v>0</v>
      </c>
      <c r="AL107" s="872">
        <f>'11.销售及回款表'!AN193</f>
        <v>0</v>
      </c>
      <c r="AM107" s="871">
        <f>'11.销售及回款表'!AO193</f>
        <v>0</v>
      </c>
      <c r="AN107" s="872">
        <f>'11.销售及回款表'!AP193</f>
        <v>0</v>
      </c>
      <c r="AO107" s="872">
        <f>'11.销售及回款表'!AQ193</f>
        <v>0</v>
      </c>
      <c r="AP107" s="872">
        <f>'11.销售及回款表'!AR193</f>
        <v>0</v>
      </c>
      <c r="AQ107" s="871">
        <f>'11.销售及回款表'!AS193</f>
        <v>0</v>
      </c>
      <c r="AR107" s="872">
        <f>'11.销售及回款表'!AT193</f>
        <v>0</v>
      </c>
      <c r="AS107" s="872">
        <f>'11.销售及回款表'!AU193</f>
        <v>0</v>
      </c>
      <c r="AT107" s="872">
        <f>'11.销售及回款表'!AV193</f>
        <v>0</v>
      </c>
    </row>
    <row r="108" spans="1:46" s="77" customFormat="1" ht="18" customHeight="1" outlineLevel="2">
      <c r="A108" s="869">
        <f>'8.项目规划指标表'!B$13</f>
        <v>0</v>
      </c>
      <c r="B108" s="870">
        <f t="shared" si="13"/>
        <v>0</v>
      </c>
      <c r="C108" s="871">
        <f>'11.销售及回款表'!E198</f>
        <v>0</v>
      </c>
      <c r="D108" s="872">
        <f>'11.销售及回款表'!F198</f>
        <v>0</v>
      </c>
      <c r="E108" s="872">
        <f>'11.销售及回款表'!G198</f>
        <v>0</v>
      </c>
      <c r="F108" s="872">
        <f>'11.销售及回款表'!H198</f>
        <v>0</v>
      </c>
      <c r="G108" s="871">
        <f>'11.销售及回款表'!I198</f>
        <v>0</v>
      </c>
      <c r="H108" s="872">
        <f>'11.销售及回款表'!J198</f>
        <v>0</v>
      </c>
      <c r="I108" s="872">
        <f>'11.销售及回款表'!K198</f>
        <v>0</v>
      </c>
      <c r="J108" s="872">
        <f>'11.销售及回款表'!L198</f>
        <v>0</v>
      </c>
      <c r="K108" s="871">
        <f>'11.销售及回款表'!M198</f>
        <v>0</v>
      </c>
      <c r="L108" s="872">
        <f>'11.销售及回款表'!N198</f>
        <v>0</v>
      </c>
      <c r="M108" s="872">
        <f>'11.销售及回款表'!O198</f>
        <v>0</v>
      </c>
      <c r="N108" s="872">
        <f>'11.销售及回款表'!P198</f>
        <v>0</v>
      </c>
      <c r="O108" s="871">
        <f>'11.销售及回款表'!Q198</f>
        <v>0</v>
      </c>
      <c r="P108" s="872">
        <f>'11.销售及回款表'!R198</f>
        <v>0</v>
      </c>
      <c r="Q108" s="872">
        <f>'11.销售及回款表'!S198</f>
        <v>0</v>
      </c>
      <c r="R108" s="872">
        <f>'11.销售及回款表'!T198</f>
        <v>0</v>
      </c>
      <c r="S108" s="871">
        <f>'11.销售及回款表'!U198</f>
        <v>0</v>
      </c>
      <c r="T108" s="872">
        <f>'11.销售及回款表'!V198</f>
        <v>0</v>
      </c>
      <c r="U108" s="872">
        <f>'11.销售及回款表'!W198</f>
        <v>0</v>
      </c>
      <c r="V108" s="872">
        <f>'11.销售及回款表'!X198</f>
        <v>0</v>
      </c>
      <c r="W108" s="871">
        <f>'11.销售及回款表'!Y198</f>
        <v>0</v>
      </c>
      <c r="X108" s="872">
        <f>'11.销售及回款表'!Z198</f>
        <v>0</v>
      </c>
      <c r="Y108" s="872">
        <f>'11.销售及回款表'!AA198</f>
        <v>0</v>
      </c>
      <c r="Z108" s="872">
        <f>'11.销售及回款表'!AB198</f>
        <v>0</v>
      </c>
      <c r="AA108" s="871">
        <f>'11.销售及回款表'!AC198</f>
        <v>0</v>
      </c>
      <c r="AB108" s="872">
        <f>'11.销售及回款表'!AD198</f>
        <v>0</v>
      </c>
      <c r="AC108" s="872">
        <f>'11.销售及回款表'!AE198</f>
        <v>0</v>
      </c>
      <c r="AD108" s="872">
        <f>'11.销售及回款表'!AF198</f>
        <v>0</v>
      </c>
      <c r="AE108" s="871">
        <f>'11.销售及回款表'!AG198</f>
        <v>0</v>
      </c>
      <c r="AF108" s="872">
        <f>'11.销售及回款表'!AH198</f>
        <v>0</v>
      </c>
      <c r="AG108" s="872">
        <f>'11.销售及回款表'!AI198</f>
        <v>0</v>
      </c>
      <c r="AH108" s="872">
        <f>'11.销售及回款表'!AJ198</f>
        <v>0</v>
      </c>
      <c r="AI108" s="871">
        <f>'11.销售及回款表'!AK198</f>
        <v>0</v>
      </c>
      <c r="AJ108" s="872">
        <f>'11.销售及回款表'!AL198</f>
        <v>0</v>
      </c>
      <c r="AK108" s="872">
        <f>'11.销售及回款表'!AM198</f>
        <v>0</v>
      </c>
      <c r="AL108" s="872">
        <f>'11.销售及回款表'!AN198</f>
        <v>0</v>
      </c>
      <c r="AM108" s="871">
        <f>'11.销售及回款表'!AO198</f>
        <v>0</v>
      </c>
      <c r="AN108" s="872">
        <f>'11.销售及回款表'!AP198</f>
        <v>0</v>
      </c>
      <c r="AO108" s="872">
        <f>'11.销售及回款表'!AQ198</f>
        <v>0</v>
      </c>
      <c r="AP108" s="872">
        <f>'11.销售及回款表'!AR198</f>
        <v>0</v>
      </c>
      <c r="AQ108" s="871">
        <f>'11.销售及回款表'!AS198</f>
        <v>0</v>
      </c>
      <c r="AR108" s="872">
        <f>'11.销售及回款表'!AT198</f>
        <v>0</v>
      </c>
      <c r="AS108" s="872">
        <f>'11.销售及回款表'!AU198</f>
        <v>0</v>
      </c>
      <c r="AT108" s="872">
        <f>'11.销售及回款表'!AV198</f>
        <v>0</v>
      </c>
    </row>
    <row r="109" spans="1:46" s="77" customFormat="1" ht="18" customHeight="1" outlineLevel="2">
      <c r="A109" s="869" t="str">
        <f>'8.项目规划指标表'!B$14</f>
        <v>自持物业</v>
      </c>
      <c r="B109" s="870">
        <f t="shared" si="13"/>
        <v>0</v>
      </c>
      <c r="C109" s="871">
        <f>'11.销售及回款表'!E203</f>
        <v>0</v>
      </c>
      <c r="D109" s="872">
        <f>'11.销售及回款表'!F203</f>
        <v>0</v>
      </c>
      <c r="E109" s="872">
        <f>'11.销售及回款表'!G203</f>
        <v>0</v>
      </c>
      <c r="F109" s="872">
        <f>'11.销售及回款表'!H203</f>
        <v>0</v>
      </c>
      <c r="G109" s="871">
        <f>'11.销售及回款表'!I203</f>
        <v>0</v>
      </c>
      <c r="H109" s="872">
        <f>'11.销售及回款表'!J203</f>
        <v>0</v>
      </c>
      <c r="I109" s="872">
        <f>'11.销售及回款表'!K203</f>
        <v>0</v>
      </c>
      <c r="J109" s="872">
        <f>'11.销售及回款表'!L203</f>
        <v>0</v>
      </c>
      <c r="K109" s="871">
        <f>'11.销售及回款表'!M203</f>
        <v>0</v>
      </c>
      <c r="L109" s="872">
        <f>'11.销售及回款表'!N203</f>
        <v>0</v>
      </c>
      <c r="M109" s="872">
        <f>'11.销售及回款表'!O203</f>
        <v>0</v>
      </c>
      <c r="N109" s="872">
        <f>'11.销售及回款表'!P203</f>
        <v>0</v>
      </c>
      <c r="O109" s="871">
        <f>'11.销售及回款表'!Q203</f>
        <v>0</v>
      </c>
      <c r="P109" s="872">
        <f>'11.销售及回款表'!R203</f>
        <v>0</v>
      </c>
      <c r="Q109" s="872">
        <f>'11.销售及回款表'!S203</f>
        <v>0</v>
      </c>
      <c r="R109" s="872">
        <f>'11.销售及回款表'!T203</f>
        <v>0</v>
      </c>
      <c r="S109" s="871">
        <f>'11.销售及回款表'!U203</f>
        <v>0</v>
      </c>
      <c r="T109" s="872">
        <f>'11.销售及回款表'!V203</f>
        <v>0</v>
      </c>
      <c r="U109" s="872">
        <f>'11.销售及回款表'!W203</f>
        <v>0</v>
      </c>
      <c r="V109" s="872">
        <f>'11.销售及回款表'!X203</f>
        <v>0</v>
      </c>
      <c r="W109" s="871">
        <f>'11.销售及回款表'!Y203</f>
        <v>0</v>
      </c>
      <c r="X109" s="872">
        <f>'11.销售及回款表'!Z203</f>
        <v>0</v>
      </c>
      <c r="Y109" s="872">
        <f>'11.销售及回款表'!AA203</f>
        <v>0</v>
      </c>
      <c r="Z109" s="872">
        <f>'11.销售及回款表'!AB203</f>
        <v>0</v>
      </c>
      <c r="AA109" s="871">
        <f>'11.销售及回款表'!AC203</f>
        <v>0</v>
      </c>
      <c r="AB109" s="872">
        <f>'11.销售及回款表'!AD203</f>
        <v>0</v>
      </c>
      <c r="AC109" s="872">
        <f>'11.销售及回款表'!AE203</f>
        <v>0</v>
      </c>
      <c r="AD109" s="872">
        <f>'11.销售及回款表'!AF203</f>
        <v>0</v>
      </c>
      <c r="AE109" s="871">
        <f>'11.销售及回款表'!AG203</f>
        <v>0</v>
      </c>
      <c r="AF109" s="872">
        <f>'11.销售及回款表'!AH203</f>
        <v>0</v>
      </c>
      <c r="AG109" s="872">
        <f>'11.销售及回款表'!AI203</f>
        <v>0</v>
      </c>
      <c r="AH109" s="872">
        <f>'11.销售及回款表'!AJ203</f>
        <v>0</v>
      </c>
      <c r="AI109" s="871">
        <f>'11.销售及回款表'!AK203</f>
        <v>0</v>
      </c>
      <c r="AJ109" s="872">
        <f>'11.销售及回款表'!AL203</f>
        <v>0</v>
      </c>
      <c r="AK109" s="872">
        <f>'11.销售及回款表'!AM203</f>
        <v>0</v>
      </c>
      <c r="AL109" s="872">
        <f>'11.销售及回款表'!AN203</f>
        <v>0</v>
      </c>
      <c r="AM109" s="871">
        <f>'11.销售及回款表'!AO203</f>
        <v>0</v>
      </c>
      <c r="AN109" s="872">
        <f>'11.销售及回款表'!AP203</f>
        <v>0</v>
      </c>
      <c r="AO109" s="872">
        <f>'11.销售及回款表'!AQ203</f>
        <v>0</v>
      </c>
      <c r="AP109" s="872">
        <f>'11.销售及回款表'!AR203</f>
        <v>0</v>
      </c>
      <c r="AQ109" s="871">
        <f>'11.销售及回款表'!AS203</f>
        <v>0</v>
      </c>
      <c r="AR109" s="872">
        <f>'11.销售及回款表'!AT203</f>
        <v>0</v>
      </c>
      <c r="AS109" s="872">
        <f>'11.销售及回款表'!AU203</f>
        <v>0</v>
      </c>
      <c r="AT109" s="872">
        <f>'11.销售及回款表'!AV203</f>
        <v>0</v>
      </c>
    </row>
    <row r="110" spans="1:46" s="77" customFormat="1" ht="18" customHeight="1" outlineLevel="2">
      <c r="A110" s="869" t="str">
        <f>'8.项目规划指标表'!B$18</f>
        <v>有产权车库(个)</v>
      </c>
      <c r="B110" s="870">
        <f t="shared" si="13"/>
        <v>0</v>
      </c>
      <c r="C110" s="871">
        <f>'11.销售及回款表'!E208</f>
        <v>0</v>
      </c>
      <c r="D110" s="872">
        <f>'11.销售及回款表'!F208</f>
        <v>0</v>
      </c>
      <c r="E110" s="872">
        <f>'11.销售及回款表'!G208</f>
        <v>0</v>
      </c>
      <c r="F110" s="872">
        <f>'11.销售及回款表'!H208</f>
        <v>0</v>
      </c>
      <c r="G110" s="871">
        <f>'11.销售及回款表'!I208</f>
        <v>0</v>
      </c>
      <c r="H110" s="872">
        <f>'11.销售及回款表'!J208</f>
        <v>0</v>
      </c>
      <c r="I110" s="872">
        <f>'11.销售及回款表'!K208</f>
        <v>0</v>
      </c>
      <c r="J110" s="872">
        <f>'11.销售及回款表'!L208</f>
        <v>0</v>
      </c>
      <c r="K110" s="871">
        <f>'11.销售及回款表'!M208</f>
        <v>0</v>
      </c>
      <c r="L110" s="872">
        <f>'11.销售及回款表'!N208</f>
        <v>0</v>
      </c>
      <c r="M110" s="872">
        <f>'11.销售及回款表'!O208</f>
        <v>0</v>
      </c>
      <c r="N110" s="872">
        <f>'11.销售及回款表'!P208</f>
        <v>0</v>
      </c>
      <c r="O110" s="871">
        <f>'11.销售及回款表'!Q208</f>
        <v>0</v>
      </c>
      <c r="P110" s="872">
        <f>'11.销售及回款表'!R208</f>
        <v>0</v>
      </c>
      <c r="Q110" s="872">
        <f>'11.销售及回款表'!S208</f>
        <v>0</v>
      </c>
      <c r="R110" s="872">
        <f>'11.销售及回款表'!T208</f>
        <v>0</v>
      </c>
      <c r="S110" s="871">
        <f>'11.销售及回款表'!U208</f>
        <v>0</v>
      </c>
      <c r="T110" s="872">
        <f>'11.销售及回款表'!V208</f>
        <v>0</v>
      </c>
      <c r="U110" s="872">
        <f>'11.销售及回款表'!W208</f>
        <v>0</v>
      </c>
      <c r="V110" s="872">
        <f>'11.销售及回款表'!X208</f>
        <v>0</v>
      </c>
      <c r="W110" s="871">
        <f>'11.销售及回款表'!Y208</f>
        <v>0</v>
      </c>
      <c r="X110" s="872">
        <f>'11.销售及回款表'!Z208</f>
        <v>0</v>
      </c>
      <c r="Y110" s="872">
        <f>'11.销售及回款表'!AA208</f>
        <v>0</v>
      </c>
      <c r="Z110" s="872">
        <f>'11.销售及回款表'!AB208</f>
        <v>0</v>
      </c>
      <c r="AA110" s="871">
        <f>'11.销售及回款表'!AC208</f>
        <v>0</v>
      </c>
      <c r="AB110" s="872">
        <f>'11.销售及回款表'!AD208</f>
        <v>0</v>
      </c>
      <c r="AC110" s="872">
        <f>'11.销售及回款表'!AE208</f>
        <v>0</v>
      </c>
      <c r="AD110" s="872">
        <f>'11.销售及回款表'!AF208</f>
        <v>0</v>
      </c>
      <c r="AE110" s="871">
        <f>'11.销售及回款表'!AG208</f>
        <v>0</v>
      </c>
      <c r="AF110" s="872">
        <f>'11.销售及回款表'!AH208</f>
        <v>0</v>
      </c>
      <c r="AG110" s="872">
        <f>'11.销售及回款表'!AI208</f>
        <v>0</v>
      </c>
      <c r="AH110" s="872">
        <f>'11.销售及回款表'!AJ208</f>
        <v>0</v>
      </c>
      <c r="AI110" s="871">
        <f>'11.销售及回款表'!AK208</f>
        <v>0</v>
      </c>
      <c r="AJ110" s="872">
        <f>'11.销售及回款表'!AL208</f>
        <v>0</v>
      </c>
      <c r="AK110" s="872">
        <f>'11.销售及回款表'!AM208</f>
        <v>0</v>
      </c>
      <c r="AL110" s="872">
        <f>'11.销售及回款表'!AN208</f>
        <v>0</v>
      </c>
      <c r="AM110" s="871">
        <f>'11.销售及回款表'!AO208</f>
        <v>0</v>
      </c>
      <c r="AN110" s="872">
        <f>'11.销售及回款表'!AP208</f>
        <v>0</v>
      </c>
      <c r="AO110" s="872">
        <f>'11.销售及回款表'!AQ208</f>
        <v>0</v>
      </c>
      <c r="AP110" s="872">
        <f>'11.销售及回款表'!AR208</f>
        <v>0</v>
      </c>
      <c r="AQ110" s="871">
        <f>'11.销售及回款表'!AS208</f>
        <v>0</v>
      </c>
      <c r="AR110" s="872">
        <f>'11.销售及回款表'!AT208</f>
        <v>0</v>
      </c>
      <c r="AS110" s="872">
        <f>'11.销售及回款表'!AU208</f>
        <v>0</v>
      </c>
      <c r="AT110" s="872">
        <f>'11.销售及回款表'!AV208</f>
        <v>0</v>
      </c>
    </row>
    <row r="111" spans="1:46" s="77" customFormat="1" ht="18" customHeight="1" outlineLevel="2">
      <c r="A111" s="869" t="str">
        <f>'8.项目规划指标表'!B$19</f>
        <v>无产权车库(个)</v>
      </c>
      <c r="B111" s="870">
        <f t="shared" si="13"/>
        <v>0</v>
      </c>
      <c r="C111" s="871">
        <f>'11.销售及回款表'!E213</f>
        <v>0</v>
      </c>
      <c r="D111" s="872">
        <f>'11.销售及回款表'!F213</f>
        <v>0</v>
      </c>
      <c r="E111" s="872">
        <f>'11.销售及回款表'!G213</f>
        <v>0</v>
      </c>
      <c r="F111" s="872">
        <f>'11.销售及回款表'!H213</f>
        <v>0</v>
      </c>
      <c r="G111" s="871">
        <f>'11.销售及回款表'!I213</f>
        <v>0</v>
      </c>
      <c r="H111" s="872">
        <f>'11.销售及回款表'!J213</f>
        <v>0</v>
      </c>
      <c r="I111" s="872">
        <f>'11.销售及回款表'!K213</f>
        <v>0</v>
      </c>
      <c r="J111" s="872">
        <f>'11.销售及回款表'!L213</f>
        <v>0</v>
      </c>
      <c r="K111" s="871">
        <f>'11.销售及回款表'!M213</f>
        <v>0</v>
      </c>
      <c r="L111" s="872">
        <f>'11.销售及回款表'!N213</f>
        <v>0</v>
      </c>
      <c r="M111" s="872">
        <f>'11.销售及回款表'!O213</f>
        <v>0</v>
      </c>
      <c r="N111" s="872">
        <f>'11.销售及回款表'!P213</f>
        <v>0</v>
      </c>
      <c r="O111" s="871">
        <f>'11.销售及回款表'!Q213</f>
        <v>0</v>
      </c>
      <c r="P111" s="872">
        <f>'11.销售及回款表'!R213</f>
        <v>0</v>
      </c>
      <c r="Q111" s="872">
        <f>'11.销售及回款表'!S213</f>
        <v>0</v>
      </c>
      <c r="R111" s="872">
        <f>'11.销售及回款表'!T213</f>
        <v>0</v>
      </c>
      <c r="S111" s="871">
        <f>'11.销售及回款表'!U213</f>
        <v>0</v>
      </c>
      <c r="T111" s="872">
        <f>'11.销售及回款表'!V213</f>
        <v>0</v>
      </c>
      <c r="U111" s="872">
        <f>'11.销售及回款表'!W213</f>
        <v>0</v>
      </c>
      <c r="V111" s="872">
        <f>'11.销售及回款表'!X213</f>
        <v>0</v>
      </c>
      <c r="W111" s="871">
        <f>'11.销售及回款表'!Y213</f>
        <v>0</v>
      </c>
      <c r="X111" s="872">
        <f>'11.销售及回款表'!Z213</f>
        <v>0</v>
      </c>
      <c r="Y111" s="872">
        <f>'11.销售及回款表'!AA213</f>
        <v>0</v>
      </c>
      <c r="Z111" s="872">
        <f>'11.销售及回款表'!AB213</f>
        <v>0</v>
      </c>
      <c r="AA111" s="871">
        <f>'11.销售及回款表'!AC213</f>
        <v>0</v>
      </c>
      <c r="AB111" s="872">
        <f>'11.销售及回款表'!AD213</f>
        <v>0</v>
      </c>
      <c r="AC111" s="872">
        <f>'11.销售及回款表'!AE213</f>
        <v>0</v>
      </c>
      <c r="AD111" s="872">
        <f>'11.销售及回款表'!AF213</f>
        <v>0</v>
      </c>
      <c r="AE111" s="871">
        <f>'11.销售及回款表'!AG213</f>
        <v>0</v>
      </c>
      <c r="AF111" s="872">
        <f>'11.销售及回款表'!AH213</f>
        <v>0</v>
      </c>
      <c r="AG111" s="872">
        <f>'11.销售及回款表'!AI213</f>
        <v>0</v>
      </c>
      <c r="AH111" s="872">
        <f>'11.销售及回款表'!AJ213</f>
        <v>0</v>
      </c>
      <c r="AI111" s="871">
        <f>'11.销售及回款表'!AK213</f>
        <v>0</v>
      </c>
      <c r="AJ111" s="872">
        <f>'11.销售及回款表'!AL213</f>
        <v>0</v>
      </c>
      <c r="AK111" s="872">
        <f>'11.销售及回款表'!AM213</f>
        <v>0</v>
      </c>
      <c r="AL111" s="872">
        <f>'11.销售及回款表'!AN213</f>
        <v>0</v>
      </c>
      <c r="AM111" s="871">
        <f>'11.销售及回款表'!AO213</f>
        <v>0</v>
      </c>
      <c r="AN111" s="872">
        <f>'11.销售及回款表'!AP213</f>
        <v>0</v>
      </c>
      <c r="AO111" s="872">
        <f>'11.销售及回款表'!AQ213</f>
        <v>0</v>
      </c>
      <c r="AP111" s="872">
        <f>'11.销售及回款表'!AR213</f>
        <v>0</v>
      </c>
      <c r="AQ111" s="871">
        <f>'11.销售及回款表'!AS213</f>
        <v>0</v>
      </c>
      <c r="AR111" s="872">
        <f>'11.销售及回款表'!AT213</f>
        <v>0</v>
      </c>
      <c r="AS111" s="872">
        <f>'11.销售及回款表'!AU213</f>
        <v>0</v>
      </c>
      <c r="AT111" s="872">
        <f>'11.销售及回款表'!AV213</f>
        <v>0</v>
      </c>
    </row>
    <row r="112" spans="1:46" s="77" customFormat="1" ht="18" customHeight="1" outlineLevel="1">
      <c r="A112" s="865" t="s">
        <v>21</v>
      </c>
      <c r="B112" s="866">
        <f>SUM(B113:B124)</f>
        <v>0</v>
      </c>
      <c r="C112" s="867">
        <f>SUM(C113:C124)</f>
        <v>0</v>
      </c>
      <c r="D112" s="868">
        <f t="shared" ref="D112:AT112" si="14">SUM(D113:D124)</f>
        <v>0</v>
      </c>
      <c r="E112" s="868">
        <f t="shared" si="14"/>
        <v>0</v>
      </c>
      <c r="F112" s="868">
        <f t="shared" si="14"/>
        <v>0</v>
      </c>
      <c r="G112" s="867">
        <f t="shared" si="14"/>
        <v>0</v>
      </c>
      <c r="H112" s="868">
        <f t="shared" si="14"/>
        <v>0</v>
      </c>
      <c r="I112" s="868">
        <f t="shared" si="14"/>
        <v>0</v>
      </c>
      <c r="J112" s="868">
        <f t="shared" si="14"/>
        <v>0</v>
      </c>
      <c r="K112" s="867">
        <f t="shared" si="14"/>
        <v>0</v>
      </c>
      <c r="L112" s="868">
        <f t="shared" si="14"/>
        <v>0</v>
      </c>
      <c r="M112" s="868">
        <f t="shared" si="14"/>
        <v>0</v>
      </c>
      <c r="N112" s="868">
        <f t="shared" si="14"/>
        <v>0</v>
      </c>
      <c r="O112" s="867">
        <f t="shared" si="14"/>
        <v>0</v>
      </c>
      <c r="P112" s="868">
        <f t="shared" si="14"/>
        <v>0</v>
      </c>
      <c r="Q112" s="868">
        <f t="shared" si="14"/>
        <v>0</v>
      </c>
      <c r="R112" s="868">
        <f t="shared" si="14"/>
        <v>0</v>
      </c>
      <c r="S112" s="867">
        <f t="shared" si="14"/>
        <v>0</v>
      </c>
      <c r="T112" s="868">
        <f t="shared" si="14"/>
        <v>0</v>
      </c>
      <c r="U112" s="868">
        <f t="shared" si="14"/>
        <v>0</v>
      </c>
      <c r="V112" s="868">
        <f t="shared" si="14"/>
        <v>0</v>
      </c>
      <c r="W112" s="867">
        <f t="shared" si="14"/>
        <v>0</v>
      </c>
      <c r="X112" s="868">
        <f t="shared" si="14"/>
        <v>0</v>
      </c>
      <c r="Y112" s="868">
        <f t="shared" si="14"/>
        <v>0</v>
      </c>
      <c r="Z112" s="868">
        <f t="shared" si="14"/>
        <v>0</v>
      </c>
      <c r="AA112" s="867">
        <f t="shared" si="14"/>
        <v>0</v>
      </c>
      <c r="AB112" s="868">
        <f t="shared" si="14"/>
        <v>0</v>
      </c>
      <c r="AC112" s="868">
        <f t="shared" si="14"/>
        <v>0</v>
      </c>
      <c r="AD112" s="868">
        <f t="shared" si="14"/>
        <v>0</v>
      </c>
      <c r="AE112" s="867">
        <f t="shared" si="14"/>
        <v>0</v>
      </c>
      <c r="AF112" s="868">
        <f t="shared" si="14"/>
        <v>0</v>
      </c>
      <c r="AG112" s="868">
        <f t="shared" si="14"/>
        <v>0</v>
      </c>
      <c r="AH112" s="868">
        <f t="shared" si="14"/>
        <v>0</v>
      </c>
      <c r="AI112" s="867">
        <f t="shared" si="14"/>
        <v>0</v>
      </c>
      <c r="AJ112" s="868">
        <f t="shared" si="14"/>
        <v>0</v>
      </c>
      <c r="AK112" s="868">
        <f t="shared" si="14"/>
        <v>0</v>
      </c>
      <c r="AL112" s="868">
        <f t="shared" si="14"/>
        <v>0</v>
      </c>
      <c r="AM112" s="867">
        <f t="shared" si="14"/>
        <v>0</v>
      </c>
      <c r="AN112" s="868">
        <f t="shared" si="14"/>
        <v>0</v>
      </c>
      <c r="AO112" s="868">
        <f t="shared" si="14"/>
        <v>0</v>
      </c>
      <c r="AP112" s="868">
        <f t="shared" si="14"/>
        <v>0</v>
      </c>
      <c r="AQ112" s="867">
        <f t="shared" si="14"/>
        <v>0</v>
      </c>
      <c r="AR112" s="868">
        <f t="shared" si="14"/>
        <v>0</v>
      </c>
      <c r="AS112" s="868">
        <f t="shared" si="14"/>
        <v>0</v>
      </c>
      <c r="AT112" s="868">
        <f t="shared" si="14"/>
        <v>0</v>
      </c>
    </row>
    <row r="113" spans="1:46" s="77" customFormat="1" ht="18" customHeight="1" outlineLevel="2">
      <c r="A113" s="869" t="str">
        <f>'8.项目规划指标表'!B$5</f>
        <v>高层</v>
      </c>
      <c r="B113" s="870">
        <f>SUM(C113:AT113)</f>
        <v>0</v>
      </c>
      <c r="C113" s="871">
        <f>'11.销售及回款表'!E228</f>
        <v>0</v>
      </c>
      <c r="D113" s="872">
        <f>'11.销售及回款表'!F228</f>
        <v>0</v>
      </c>
      <c r="E113" s="872">
        <f>'11.销售及回款表'!G228</f>
        <v>0</v>
      </c>
      <c r="F113" s="872">
        <f>'11.销售及回款表'!H228</f>
        <v>0</v>
      </c>
      <c r="G113" s="871">
        <f>'11.销售及回款表'!I228</f>
        <v>0</v>
      </c>
      <c r="H113" s="872">
        <f>'11.销售及回款表'!J228</f>
        <v>0</v>
      </c>
      <c r="I113" s="872">
        <f>'11.销售及回款表'!K228</f>
        <v>0</v>
      </c>
      <c r="J113" s="872">
        <f>'11.销售及回款表'!L228</f>
        <v>0</v>
      </c>
      <c r="K113" s="871">
        <f>'11.销售及回款表'!M228</f>
        <v>0</v>
      </c>
      <c r="L113" s="872">
        <f>'11.销售及回款表'!N228</f>
        <v>0</v>
      </c>
      <c r="M113" s="872">
        <f>'11.销售及回款表'!O228</f>
        <v>0</v>
      </c>
      <c r="N113" s="872">
        <f>'11.销售及回款表'!P228</f>
        <v>0</v>
      </c>
      <c r="O113" s="871">
        <f>'11.销售及回款表'!Q228</f>
        <v>0</v>
      </c>
      <c r="P113" s="872">
        <f>'11.销售及回款表'!R228</f>
        <v>0</v>
      </c>
      <c r="Q113" s="872">
        <f>'11.销售及回款表'!S228</f>
        <v>0</v>
      </c>
      <c r="R113" s="872">
        <f>'11.销售及回款表'!T228</f>
        <v>0</v>
      </c>
      <c r="S113" s="871">
        <f>'11.销售及回款表'!U228</f>
        <v>0</v>
      </c>
      <c r="T113" s="872">
        <f>'11.销售及回款表'!V228</f>
        <v>0</v>
      </c>
      <c r="U113" s="872">
        <f>'11.销售及回款表'!W228</f>
        <v>0</v>
      </c>
      <c r="V113" s="872">
        <f>'11.销售及回款表'!X228</f>
        <v>0</v>
      </c>
      <c r="W113" s="871">
        <f>'11.销售及回款表'!Y228</f>
        <v>0</v>
      </c>
      <c r="X113" s="872">
        <f>'11.销售及回款表'!Z228</f>
        <v>0</v>
      </c>
      <c r="Y113" s="872">
        <f>'11.销售及回款表'!AA228</f>
        <v>0</v>
      </c>
      <c r="Z113" s="872">
        <f>'11.销售及回款表'!AB228</f>
        <v>0</v>
      </c>
      <c r="AA113" s="871">
        <f>'11.销售及回款表'!AC228</f>
        <v>0</v>
      </c>
      <c r="AB113" s="872">
        <f>'11.销售及回款表'!AD228</f>
        <v>0</v>
      </c>
      <c r="AC113" s="872">
        <f>'11.销售及回款表'!AE228</f>
        <v>0</v>
      </c>
      <c r="AD113" s="872">
        <f>'11.销售及回款表'!AF228</f>
        <v>0</v>
      </c>
      <c r="AE113" s="871">
        <f>'11.销售及回款表'!AG228</f>
        <v>0</v>
      </c>
      <c r="AF113" s="872">
        <f>'11.销售及回款表'!AH228</f>
        <v>0</v>
      </c>
      <c r="AG113" s="872">
        <f>'11.销售及回款表'!AI228</f>
        <v>0</v>
      </c>
      <c r="AH113" s="872">
        <f>'11.销售及回款表'!AJ228</f>
        <v>0</v>
      </c>
      <c r="AI113" s="871">
        <f>'11.销售及回款表'!AK228</f>
        <v>0</v>
      </c>
      <c r="AJ113" s="872">
        <f>'11.销售及回款表'!AL228</f>
        <v>0</v>
      </c>
      <c r="AK113" s="872">
        <f>'11.销售及回款表'!AM228</f>
        <v>0</v>
      </c>
      <c r="AL113" s="872">
        <f>'11.销售及回款表'!AN228</f>
        <v>0</v>
      </c>
      <c r="AM113" s="871">
        <f>'11.销售及回款表'!AO228</f>
        <v>0</v>
      </c>
      <c r="AN113" s="872">
        <f>'11.销售及回款表'!AP228</f>
        <v>0</v>
      </c>
      <c r="AO113" s="872">
        <f>'11.销售及回款表'!AQ228</f>
        <v>0</v>
      </c>
      <c r="AP113" s="872">
        <f>'11.销售及回款表'!AR228</f>
        <v>0</v>
      </c>
      <c r="AQ113" s="871">
        <f>'11.销售及回款表'!AS228</f>
        <v>0</v>
      </c>
      <c r="AR113" s="872">
        <f>'11.销售及回款表'!AT228</f>
        <v>0</v>
      </c>
      <c r="AS113" s="872">
        <f>'11.销售及回款表'!AU228</f>
        <v>0</v>
      </c>
      <c r="AT113" s="872">
        <f>'11.销售及回款表'!AV228</f>
        <v>0</v>
      </c>
    </row>
    <row r="114" spans="1:46" s="77" customFormat="1" ht="18" customHeight="1" outlineLevel="2">
      <c r="A114" s="869" t="str">
        <f>'8.项目规划指标表'!B$6</f>
        <v>商铺</v>
      </c>
      <c r="B114" s="870">
        <f t="shared" ref="B114:B163" si="15">SUM(C114:AT114)</f>
        <v>0</v>
      </c>
      <c r="C114" s="871">
        <f>'11.销售及回款表'!E233</f>
        <v>0</v>
      </c>
      <c r="D114" s="872">
        <f>'11.销售及回款表'!F233</f>
        <v>0</v>
      </c>
      <c r="E114" s="872">
        <f>'11.销售及回款表'!G233</f>
        <v>0</v>
      </c>
      <c r="F114" s="872">
        <f>'11.销售及回款表'!H233</f>
        <v>0</v>
      </c>
      <c r="G114" s="871">
        <f>'11.销售及回款表'!I233</f>
        <v>0</v>
      </c>
      <c r="H114" s="872">
        <f>'11.销售及回款表'!J233</f>
        <v>0</v>
      </c>
      <c r="I114" s="872">
        <f>'11.销售及回款表'!K233</f>
        <v>0</v>
      </c>
      <c r="J114" s="872">
        <f>'11.销售及回款表'!L233</f>
        <v>0</v>
      </c>
      <c r="K114" s="871">
        <f>'11.销售及回款表'!M233</f>
        <v>0</v>
      </c>
      <c r="L114" s="872">
        <f>'11.销售及回款表'!N233</f>
        <v>0</v>
      </c>
      <c r="M114" s="872">
        <f>'11.销售及回款表'!O233</f>
        <v>0</v>
      </c>
      <c r="N114" s="872">
        <f>'11.销售及回款表'!P233</f>
        <v>0</v>
      </c>
      <c r="O114" s="871">
        <f>'11.销售及回款表'!Q233</f>
        <v>0</v>
      </c>
      <c r="P114" s="872">
        <f>'11.销售及回款表'!R233</f>
        <v>0</v>
      </c>
      <c r="Q114" s="872">
        <f>'11.销售及回款表'!S233</f>
        <v>0</v>
      </c>
      <c r="R114" s="872">
        <f>'11.销售及回款表'!T233</f>
        <v>0</v>
      </c>
      <c r="S114" s="871">
        <f>'11.销售及回款表'!U233</f>
        <v>0</v>
      </c>
      <c r="T114" s="872">
        <f>'11.销售及回款表'!V233</f>
        <v>0</v>
      </c>
      <c r="U114" s="872">
        <f>'11.销售及回款表'!W233</f>
        <v>0</v>
      </c>
      <c r="V114" s="872">
        <f>'11.销售及回款表'!X233</f>
        <v>0</v>
      </c>
      <c r="W114" s="871">
        <f>'11.销售及回款表'!Y233</f>
        <v>0</v>
      </c>
      <c r="X114" s="872">
        <f>'11.销售及回款表'!Z233</f>
        <v>0</v>
      </c>
      <c r="Y114" s="872">
        <f>'11.销售及回款表'!AA233</f>
        <v>0</v>
      </c>
      <c r="Z114" s="872">
        <f>'11.销售及回款表'!AB233</f>
        <v>0</v>
      </c>
      <c r="AA114" s="871">
        <f>'11.销售及回款表'!AC233</f>
        <v>0</v>
      </c>
      <c r="AB114" s="872">
        <f>'11.销售及回款表'!AD233</f>
        <v>0</v>
      </c>
      <c r="AC114" s="872">
        <f>'11.销售及回款表'!AE233</f>
        <v>0</v>
      </c>
      <c r="AD114" s="872">
        <f>'11.销售及回款表'!AF233</f>
        <v>0</v>
      </c>
      <c r="AE114" s="871">
        <f>'11.销售及回款表'!AG233</f>
        <v>0</v>
      </c>
      <c r="AF114" s="872">
        <f>'11.销售及回款表'!AH233</f>
        <v>0</v>
      </c>
      <c r="AG114" s="872">
        <f>'11.销售及回款表'!AI233</f>
        <v>0</v>
      </c>
      <c r="AH114" s="872">
        <f>'11.销售及回款表'!AJ233</f>
        <v>0</v>
      </c>
      <c r="AI114" s="871">
        <f>'11.销售及回款表'!AK233</f>
        <v>0</v>
      </c>
      <c r="AJ114" s="872">
        <f>'11.销售及回款表'!AL233</f>
        <v>0</v>
      </c>
      <c r="AK114" s="872">
        <f>'11.销售及回款表'!AM233</f>
        <v>0</v>
      </c>
      <c r="AL114" s="872">
        <f>'11.销售及回款表'!AN233</f>
        <v>0</v>
      </c>
      <c r="AM114" s="871">
        <f>'11.销售及回款表'!AO233</f>
        <v>0</v>
      </c>
      <c r="AN114" s="872">
        <f>'11.销售及回款表'!AP233</f>
        <v>0</v>
      </c>
      <c r="AO114" s="872">
        <f>'11.销售及回款表'!AQ233</f>
        <v>0</v>
      </c>
      <c r="AP114" s="872">
        <f>'11.销售及回款表'!AR233</f>
        <v>0</v>
      </c>
      <c r="AQ114" s="871">
        <f>'11.销售及回款表'!AS233</f>
        <v>0</v>
      </c>
      <c r="AR114" s="872">
        <f>'11.销售及回款表'!AT233</f>
        <v>0</v>
      </c>
      <c r="AS114" s="872">
        <f>'11.销售及回款表'!AU233</f>
        <v>0</v>
      </c>
      <c r="AT114" s="872">
        <f>'11.销售及回款表'!AV233</f>
        <v>0</v>
      </c>
    </row>
    <row r="115" spans="1:46" s="77" customFormat="1" ht="18" customHeight="1" outlineLevel="2">
      <c r="A115" s="869" t="str">
        <f>'8.项目规划指标表'!B$7</f>
        <v>回迁商业</v>
      </c>
      <c r="B115" s="870">
        <f t="shared" si="15"/>
        <v>0</v>
      </c>
      <c r="C115" s="871">
        <f>'11.销售及回款表'!E238</f>
        <v>0</v>
      </c>
      <c r="D115" s="872">
        <f>'11.销售及回款表'!F238</f>
        <v>0</v>
      </c>
      <c r="E115" s="872">
        <f>'11.销售及回款表'!G238</f>
        <v>0</v>
      </c>
      <c r="F115" s="872">
        <f>'11.销售及回款表'!H238</f>
        <v>0</v>
      </c>
      <c r="G115" s="871">
        <f>'11.销售及回款表'!I238</f>
        <v>0</v>
      </c>
      <c r="H115" s="872">
        <f>'11.销售及回款表'!J238</f>
        <v>0</v>
      </c>
      <c r="I115" s="872">
        <f>'11.销售及回款表'!K238</f>
        <v>0</v>
      </c>
      <c r="J115" s="872">
        <f>'11.销售及回款表'!L238</f>
        <v>0</v>
      </c>
      <c r="K115" s="871">
        <f>'11.销售及回款表'!M238</f>
        <v>0</v>
      </c>
      <c r="L115" s="872">
        <f>'11.销售及回款表'!N238</f>
        <v>0</v>
      </c>
      <c r="M115" s="872">
        <f>'11.销售及回款表'!O238</f>
        <v>0</v>
      </c>
      <c r="N115" s="872">
        <f>'11.销售及回款表'!P238</f>
        <v>0</v>
      </c>
      <c r="O115" s="871">
        <f>'11.销售及回款表'!Q238</f>
        <v>0</v>
      </c>
      <c r="P115" s="872">
        <f>'11.销售及回款表'!R238</f>
        <v>0</v>
      </c>
      <c r="Q115" s="872">
        <f>'11.销售及回款表'!S238</f>
        <v>0</v>
      </c>
      <c r="R115" s="872">
        <f>'11.销售及回款表'!T238</f>
        <v>0</v>
      </c>
      <c r="S115" s="871">
        <f>'11.销售及回款表'!U238</f>
        <v>0</v>
      </c>
      <c r="T115" s="872">
        <f>'11.销售及回款表'!V238</f>
        <v>0</v>
      </c>
      <c r="U115" s="872">
        <f>'11.销售及回款表'!W238</f>
        <v>0</v>
      </c>
      <c r="V115" s="872">
        <f>'11.销售及回款表'!X238</f>
        <v>0</v>
      </c>
      <c r="W115" s="871">
        <f>'11.销售及回款表'!Y238</f>
        <v>0</v>
      </c>
      <c r="X115" s="872">
        <f>'11.销售及回款表'!Z238</f>
        <v>0</v>
      </c>
      <c r="Y115" s="872">
        <f>'11.销售及回款表'!AA238</f>
        <v>0</v>
      </c>
      <c r="Z115" s="872">
        <f>'11.销售及回款表'!AB238</f>
        <v>0</v>
      </c>
      <c r="AA115" s="871">
        <f>'11.销售及回款表'!AC238</f>
        <v>0</v>
      </c>
      <c r="AB115" s="872">
        <f>'11.销售及回款表'!AD238</f>
        <v>0</v>
      </c>
      <c r="AC115" s="872">
        <f>'11.销售及回款表'!AE238</f>
        <v>0</v>
      </c>
      <c r="AD115" s="872">
        <f>'11.销售及回款表'!AF238</f>
        <v>0</v>
      </c>
      <c r="AE115" s="871">
        <f>'11.销售及回款表'!AG238</f>
        <v>0</v>
      </c>
      <c r="AF115" s="872">
        <f>'11.销售及回款表'!AH238</f>
        <v>0</v>
      </c>
      <c r="AG115" s="872">
        <f>'11.销售及回款表'!AI238</f>
        <v>0</v>
      </c>
      <c r="AH115" s="872">
        <f>'11.销售及回款表'!AJ238</f>
        <v>0</v>
      </c>
      <c r="AI115" s="871">
        <f>'11.销售及回款表'!AK238</f>
        <v>0</v>
      </c>
      <c r="AJ115" s="872">
        <f>'11.销售及回款表'!AL238</f>
        <v>0</v>
      </c>
      <c r="AK115" s="872">
        <f>'11.销售及回款表'!AM238</f>
        <v>0</v>
      </c>
      <c r="AL115" s="872">
        <f>'11.销售及回款表'!AN238</f>
        <v>0</v>
      </c>
      <c r="AM115" s="871">
        <f>'11.销售及回款表'!AO238</f>
        <v>0</v>
      </c>
      <c r="AN115" s="872">
        <f>'11.销售及回款表'!AP238</f>
        <v>0</v>
      </c>
      <c r="AO115" s="872">
        <f>'11.销售及回款表'!AQ238</f>
        <v>0</v>
      </c>
      <c r="AP115" s="872">
        <f>'11.销售及回款表'!AR238</f>
        <v>0</v>
      </c>
      <c r="AQ115" s="871">
        <f>'11.销售及回款表'!AS238</f>
        <v>0</v>
      </c>
      <c r="AR115" s="872">
        <f>'11.销售及回款表'!AT238</f>
        <v>0</v>
      </c>
      <c r="AS115" s="872">
        <f>'11.销售及回款表'!AU238</f>
        <v>0</v>
      </c>
      <c r="AT115" s="872">
        <f>'11.销售及回款表'!AV238</f>
        <v>0</v>
      </c>
    </row>
    <row r="116" spans="1:46" s="77" customFormat="1" ht="18" customHeight="1" outlineLevel="2">
      <c r="A116" s="869">
        <f>'8.项目规划指标表'!B$8</f>
        <v>0</v>
      </c>
      <c r="B116" s="870">
        <f t="shared" si="15"/>
        <v>0</v>
      </c>
      <c r="C116" s="871">
        <f>'11.销售及回款表'!E243</f>
        <v>0</v>
      </c>
      <c r="D116" s="872">
        <f>'11.销售及回款表'!F243</f>
        <v>0</v>
      </c>
      <c r="E116" s="872">
        <f>'11.销售及回款表'!G243</f>
        <v>0</v>
      </c>
      <c r="F116" s="872">
        <f>'11.销售及回款表'!H243</f>
        <v>0</v>
      </c>
      <c r="G116" s="871">
        <f>'11.销售及回款表'!I243</f>
        <v>0</v>
      </c>
      <c r="H116" s="872">
        <f>'11.销售及回款表'!J243</f>
        <v>0</v>
      </c>
      <c r="I116" s="872">
        <f>'11.销售及回款表'!K243</f>
        <v>0</v>
      </c>
      <c r="J116" s="872">
        <f>'11.销售及回款表'!L243</f>
        <v>0</v>
      </c>
      <c r="K116" s="871">
        <f>'11.销售及回款表'!M243</f>
        <v>0</v>
      </c>
      <c r="L116" s="872">
        <f>'11.销售及回款表'!N243</f>
        <v>0</v>
      </c>
      <c r="M116" s="872">
        <f>'11.销售及回款表'!O243</f>
        <v>0</v>
      </c>
      <c r="N116" s="872">
        <f>'11.销售及回款表'!P243</f>
        <v>0</v>
      </c>
      <c r="O116" s="871">
        <f>'11.销售及回款表'!Q243</f>
        <v>0</v>
      </c>
      <c r="P116" s="872">
        <f>'11.销售及回款表'!R243</f>
        <v>0</v>
      </c>
      <c r="Q116" s="872">
        <f>'11.销售及回款表'!S243</f>
        <v>0</v>
      </c>
      <c r="R116" s="872">
        <f>'11.销售及回款表'!T243</f>
        <v>0</v>
      </c>
      <c r="S116" s="871">
        <f>'11.销售及回款表'!U243</f>
        <v>0</v>
      </c>
      <c r="T116" s="872">
        <f>'11.销售及回款表'!V243</f>
        <v>0</v>
      </c>
      <c r="U116" s="872">
        <f>'11.销售及回款表'!W243</f>
        <v>0</v>
      </c>
      <c r="V116" s="872">
        <f>'11.销售及回款表'!X243</f>
        <v>0</v>
      </c>
      <c r="W116" s="871">
        <f>'11.销售及回款表'!Y243</f>
        <v>0</v>
      </c>
      <c r="X116" s="872">
        <f>'11.销售及回款表'!Z243</f>
        <v>0</v>
      </c>
      <c r="Y116" s="872">
        <f>'11.销售及回款表'!AA243</f>
        <v>0</v>
      </c>
      <c r="Z116" s="872">
        <f>'11.销售及回款表'!AB243</f>
        <v>0</v>
      </c>
      <c r="AA116" s="871">
        <f>'11.销售及回款表'!AC243</f>
        <v>0</v>
      </c>
      <c r="AB116" s="872">
        <f>'11.销售及回款表'!AD243</f>
        <v>0</v>
      </c>
      <c r="AC116" s="872">
        <f>'11.销售及回款表'!AE243</f>
        <v>0</v>
      </c>
      <c r="AD116" s="872">
        <f>'11.销售及回款表'!AF243</f>
        <v>0</v>
      </c>
      <c r="AE116" s="871">
        <f>'11.销售及回款表'!AG243</f>
        <v>0</v>
      </c>
      <c r="AF116" s="872">
        <f>'11.销售及回款表'!AH243</f>
        <v>0</v>
      </c>
      <c r="AG116" s="872">
        <f>'11.销售及回款表'!AI243</f>
        <v>0</v>
      </c>
      <c r="AH116" s="872">
        <f>'11.销售及回款表'!AJ243</f>
        <v>0</v>
      </c>
      <c r="AI116" s="871">
        <f>'11.销售及回款表'!AK243</f>
        <v>0</v>
      </c>
      <c r="AJ116" s="872">
        <f>'11.销售及回款表'!AL243</f>
        <v>0</v>
      </c>
      <c r="AK116" s="872">
        <f>'11.销售及回款表'!AM243</f>
        <v>0</v>
      </c>
      <c r="AL116" s="872">
        <f>'11.销售及回款表'!AN243</f>
        <v>0</v>
      </c>
      <c r="AM116" s="871">
        <f>'11.销售及回款表'!AO243</f>
        <v>0</v>
      </c>
      <c r="AN116" s="872">
        <f>'11.销售及回款表'!AP243</f>
        <v>0</v>
      </c>
      <c r="AO116" s="872">
        <f>'11.销售及回款表'!AQ243</f>
        <v>0</v>
      </c>
      <c r="AP116" s="872">
        <f>'11.销售及回款表'!AR243</f>
        <v>0</v>
      </c>
      <c r="AQ116" s="871">
        <f>'11.销售及回款表'!AS243</f>
        <v>0</v>
      </c>
      <c r="AR116" s="872">
        <f>'11.销售及回款表'!AT243</f>
        <v>0</v>
      </c>
      <c r="AS116" s="872">
        <f>'11.销售及回款表'!AU243</f>
        <v>0</v>
      </c>
      <c r="AT116" s="872">
        <f>'11.销售及回款表'!AV243</f>
        <v>0</v>
      </c>
    </row>
    <row r="117" spans="1:46" s="77" customFormat="1" ht="18" customHeight="1" outlineLevel="2">
      <c r="A117" s="869">
        <f>'8.项目规划指标表'!B$9</f>
        <v>0</v>
      </c>
      <c r="B117" s="870">
        <f t="shared" si="15"/>
        <v>0</v>
      </c>
      <c r="C117" s="871">
        <f>'11.销售及回款表'!E248</f>
        <v>0</v>
      </c>
      <c r="D117" s="872">
        <f>'11.销售及回款表'!F248</f>
        <v>0</v>
      </c>
      <c r="E117" s="872">
        <f>'11.销售及回款表'!G248</f>
        <v>0</v>
      </c>
      <c r="F117" s="872">
        <f>'11.销售及回款表'!H248</f>
        <v>0</v>
      </c>
      <c r="G117" s="871">
        <f>'11.销售及回款表'!I248</f>
        <v>0</v>
      </c>
      <c r="H117" s="872">
        <f>'11.销售及回款表'!J248</f>
        <v>0</v>
      </c>
      <c r="I117" s="872">
        <f>'11.销售及回款表'!K248</f>
        <v>0</v>
      </c>
      <c r="J117" s="872">
        <f>'11.销售及回款表'!L248</f>
        <v>0</v>
      </c>
      <c r="K117" s="871">
        <f>'11.销售及回款表'!M248</f>
        <v>0</v>
      </c>
      <c r="L117" s="872">
        <f>'11.销售及回款表'!N248</f>
        <v>0</v>
      </c>
      <c r="M117" s="872">
        <f>'11.销售及回款表'!O248</f>
        <v>0</v>
      </c>
      <c r="N117" s="872">
        <f>'11.销售及回款表'!P248</f>
        <v>0</v>
      </c>
      <c r="O117" s="871">
        <f>'11.销售及回款表'!Q248</f>
        <v>0</v>
      </c>
      <c r="P117" s="872">
        <f>'11.销售及回款表'!R248</f>
        <v>0</v>
      </c>
      <c r="Q117" s="872">
        <f>'11.销售及回款表'!S248</f>
        <v>0</v>
      </c>
      <c r="R117" s="872">
        <f>'11.销售及回款表'!T248</f>
        <v>0</v>
      </c>
      <c r="S117" s="871">
        <f>'11.销售及回款表'!U248</f>
        <v>0</v>
      </c>
      <c r="T117" s="872">
        <f>'11.销售及回款表'!V248</f>
        <v>0</v>
      </c>
      <c r="U117" s="872">
        <f>'11.销售及回款表'!W248</f>
        <v>0</v>
      </c>
      <c r="V117" s="872">
        <f>'11.销售及回款表'!X248</f>
        <v>0</v>
      </c>
      <c r="W117" s="871">
        <f>'11.销售及回款表'!Y248</f>
        <v>0</v>
      </c>
      <c r="X117" s="872">
        <f>'11.销售及回款表'!Z248</f>
        <v>0</v>
      </c>
      <c r="Y117" s="872">
        <f>'11.销售及回款表'!AA248</f>
        <v>0</v>
      </c>
      <c r="Z117" s="872">
        <f>'11.销售及回款表'!AB248</f>
        <v>0</v>
      </c>
      <c r="AA117" s="871">
        <f>'11.销售及回款表'!AC248</f>
        <v>0</v>
      </c>
      <c r="AB117" s="872">
        <f>'11.销售及回款表'!AD248</f>
        <v>0</v>
      </c>
      <c r="AC117" s="872">
        <f>'11.销售及回款表'!AE248</f>
        <v>0</v>
      </c>
      <c r="AD117" s="872">
        <f>'11.销售及回款表'!AF248</f>
        <v>0</v>
      </c>
      <c r="AE117" s="871">
        <f>'11.销售及回款表'!AG248</f>
        <v>0</v>
      </c>
      <c r="AF117" s="872">
        <f>'11.销售及回款表'!AH248</f>
        <v>0</v>
      </c>
      <c r="AG117" s="872">
        <f>'11.销售及回款表'!AI248</f>
        <v>0</v>
      </c>
      <c r="AH117" s="872">
        <f>'11.销售及回款表'!AJ248</f>
        <v>0</v>
      </c>
      <c r="AI117" s="871">
        <f>'11.销售及回款表'!AK248</f>
        <v>0</v>
      </c>
      <c r="AJ117" s="872">
        <f>'11.销售及回款表'!AL248</f>
        <v>0</v>
      </c>
      <c r="AK117" s="872">
        <f>'11.销售及回款表'!AM248</f>
        <v>0</v>
      </c>
      <c r="AL117" s="872">
        <f>'11.销售及回款表'!AN248</f>
        <v>0</v>
      </c>
      <c r="AM117" s="871">
        <f>'11.销售及回款表'!AO248</f>
        <v>0</v>
      </c>
      <c r="AN117" s="872">
        <f>'11.销售及回款表'!AP248</f>
        <v>0</v>
      </c>
      <c r="AO117" s="872">
        <f>'11.销售及回款表'!AQ248</f>
        <v>0</v>
      </c>
      <c r="AP117" s="872">
        <f>'11.销售及回款表'!AR248</f>
        <v>0</v>
      </c>
      <c r="AQ117" s="871">
        <f>'11.销售及回款表'!AS248</f>
        <v>0</v>
      </c>
      <c r="AR117" s="872">
        <f>'11.销售及回款表'!AT248</f>
        <v>0</v>
      </c>
      <c r="AS117" s="872">
        <f>'11.销售及回款表'!AU248</f>
        <v>0</v>
      </c>
      <c r="AT117" s="872">
        <f>'11.销售及回款表'!AV248</f>
        <v>0</v>
      </c>
    </row>
    <row r="118" spans="1:46" s="77" customFormat="1" ht="18" customHeight="1" outlineLevel="2">
      <c r="A118" s="869">
        <f>'8.项目规划指标表'!B$10</f>
        <v>0</v>
      </c>
      <c r="B118" s="870">
        <f t="shared" si="15"/>
        <v>0</v>
      </c>
      <c r="C118" s="871">
        <f>'11.销售及回款表'!E253</f>
        <v>0</v>
      </c>
      <c r="D118" s="872">
        <f>'11.销售及回款表'!F253</f>
        <v>0</v>
      </c>
      <c r="E118" s="872">
        <f>'11.销售及回款表'!G253</f>
        <v>0</v>
      </c>
      <c r="F118" s="872">
        <f>'11.销售及回款表'!H253</f>
        <v>0</v>
      </c>
      <c r="G118" s="871">
        <f>'11.销售及回款表'!I253</f>
        <v>0</v>
      </c>
      <c r="H118" s="872">
        <f>'11.销售及回款表'!J253</f>
        <v>0</v>
      </c>
      <c r="I118" s="872">
        <f>'11.销售及回款表'!K253</f>
        <v>0</v>
      </c>
      <c r="J118" s="872">
        <f>'11.销售及回款表'!L253</f>
        <v>0</v>
      </c>
      <c r="K118" s="871">
        <f>'11.销售及回款表'!M253</f>
        <v>0</v>
      </c>
      <c r="L118" s="872">
        <f>'11.销售及回款表'!N253</f>
        <v>0</v>
      </c>
      <c r="M118" s="872">
        <f>'11.销售及回款表'!O253</f>
        <v>0</v>
      </c>
      <c r="N118" s="872">
        <f>'11.销售及回款表'!P253</f>
        <v>0</v>
      </c>
      <c r="O118" s="871">
        <f>'11.销售及回款表'!Q253</f>
        <v>0</v>
      </c>
      <c r="P118" s="872">
        <f>'11.销售及回款表'!R253</f>
        <v>0</v>
      </c>
      <c r="Q118" s="872">
        <f>'11.销售及回款表'!S253</f>
        <v>0</v>
      </c>
      <c r="R118" s="872">
        <f>'11.销售及回款表'!T253</f>
        <v>0</v>
      </c>
      <c r="S118" s="871">
        <f>'11.销售及回款表'!U253</f>
        <v>0</v>
      </c>
      <c r="T118" s="872">
        <f>'11.销售及回款表'!V253</f>
        <v>0</v>
      </c>
      <c r="U118" s="872">
        <f>'11.销售及回款表'!W253</f>
        <v>0</v>
      </c>
      <c r="V118" s="872">
        <f>'11.销售及回款表'!X253</f>
        <v>0</v>
      </c>
      <c r="W118" s="871">
        <f>'11.销售及回款表'!Y253</f>
        <v>0</v>
      </c>
      <c r="X118" s="872">
        <f>'11.销售及回款表'!Z253</f>
        <v>0</v>
      </c>
      <c r="Y118" s="872">
        <f>'11.销售及回款表'!AA253</f>
        <v>0</v>
      </c>
      <c r="Z118" s="872">
        <f>'11.销售及回款表'!AB253</f>
        <v>0</v>
      </c>
      <c r="AA118" s="871">
        <f>'11.销售及回款表'!AC253</f>
        <v>0</v>
      </c>
      <c r="AB118" s="872">
        <f>'11.销售及回款表'!AD253</f>
        <v>0</v>
      </c>
      <c r="AC118" s="872">
        <f>'11.销售及回款表'!AE253</f>
        <v>0</v>
      </c>
      <c r="AD118" s="872">
        <f>'11.销售及回款表'!AF253</f>
        <v>0</v>
      </c>
      <c r="AE118" s="871">
        <f>'11.销售及回款表'!AG253</f>
        <v>0</v>
      </c>
      <c r="AF118" s="872">
        <f>'11.销售及回款表'!AH253</f>
        <v>0</v>
      </c>
      <c r="AG118" s="872">
        <f>'11.销售及回款表'!AI253</f>
        <v>0</v>
      </c>
      <c r="AH118" s="872">
        <f>'11.销售及回款表'!AJ253</f>
        <v>0</v>
      </c>
      <c r="AI118" s="871">
        <f>'11.销售及回款表'!AK253</f>
        <v>0</v>
      </c>
      <c r="AJ118" s="872">
        <f>'11.销售及回款表'!AL253</f>
        <v>0</v>
      </c>
      <c r="AK118" s="872">
        <f>'11.销售及回款表'!AM253</f>
        <v>0</v>
      </c>
      <c r="AL118" s="872">
        <f>'11.销售及回款表'!AN253</f>
        <v>0</v>
      </c>
      <c r="AM118" s="871">
        <f>'11.销售及回款表'!AO253</f>
        <v>0</v>
      </c>
      <c r="AN118" s="872">
        <f>'11.销售及回款表'!AP253</f>
        <v>0</v>
      </c>
      <c r="AO118" s="872">
        <f>'11.销售及回款表'!AQ253</f>
        <v>0</v>
      </c>
      <c r="AP118" s="872">
        <f>'11.销售及回款表'!AR253</f>
        <v>0</v>
      </c>
      <c r="AQ118" s="871">
        <f>'11.销售及回款表'!AS253</f>
        <v>0</v>
      </c>
      <c r="AR118" s="872">
        <f>'11.销售及回款表'!AT253</f>
        <v>0</v>
      </c>
      <c r="AS118" s="872">
        <f>'11.销售及回款表'!AU253</f>
        <v>0</v>
      </c>
      <c r="AT118" s="872">
        <f>'11.销售及回款表'!AV253</f>
        <v>0</v>
      </c>
    </row>
    <row r="119" spans="1:46" s="77" customFormat="1" ht="18" customHeight="1" outlineLevel="2">
      <c r="A119" s="869">
        <f>'8.项目规划指标表'!B$11</f>
        <v>0</v>
      </c>
      <c r="B119" s="870">
        <f t="shared" si="15"/>
        <v>0</v>
      </c>
      <c r="C119" s="871">
        <f>'11.销售及回款表'!E258</f>
        <v>0</v>
      </c>
      <c r="D119" s="872">
        <f>'11.销售及回款表'!F258</f>
        <v>0</v>
      </c>
      <c r="E119" s="872">
        <f>'11.销售及回款表'!G258</f>
        <v>0</v>
      </c>
      <c r="F119" s="872">
        <f>'11.销售及回款表'!H258</f>
        <v>0</v>
      </c>
      <c r="G119" s="871">
        <f>'11.销售及回款表'!I258</f>
        <v>0</v>
      </c>
      <c r="H119" s="872">
        <f>'11.销售及回款表'!J258</f>
        <v>0</v>
      </c>
      <c r="I119" s="872">
        <f>'11.销售及回款表'!K258</f>
        <v>0</v>
      </c>
      <c r="J119" s="872">
        <f>'11.销售及回款表'!L258</f>
        <v>0</v>
      </c>
      <c r="K119" s="871">
        <f>'11.销售及回款表'!M258</f>
        <v>0</v>
      </c>
      <c r="L119" s="872">
        <f>'11.销售及回款表'!N258</f>
        <v>0</v>
      </c>
      <c r="M119" s="872">
        <f>'11.销售及回款表'!O258</f>
        <v>0</v>
      </c>
      <c r="N119" s="872">
        <f>'11.销售及回款表'!P258</f>
        <v>0</v>
      </c>
      <c r="O119" s="871">
        <f>'11.销售及回款表'!Q258</f>
        <v>0</v>
      </c>
      <c r="P119" s="872">
        <f>'11.销售及回款表'!R258</f>
        <v>0</v>
      </c>
      <c r="Q119" s="872">
        <f>'11.销售及回款表'!S258</f>
        <v>0</v>
      </c>
      <c r="R119" s="872">
        <f>'11.销售及回款表'!T258</f>
        <v>0</v>
      </c>
      <c r="S119" s="871">
        <f>'11.销售及回款表'!U258</f>
        <v>0</v>
      </c>
      <c r="T119" s="872">
        <f>'11.销售及回款表'!V258</f>
        <v>0</v>
      </c>
      <c r="U119" s="872">
        <f>'11.销售及回款表'!W258</f>
        <v>0</v>
      </c>
      <c r="V119" s="872">
        <f>'11.销售及回款表'!X258</f>
        <v>0</v>
      </c>
      <c r="W119" s="871">
        <f>'11.销售及回款表'!Y258</f>
        <v>0</v>
      </c>
      <c r="X119" s="872">
        <f>'11.销售及回款表'!Z258</f>
        <v>0</v>
      </c>
      <c r="Y119" s="872">
        <f>'11.销售及回款表'!AA258</f>
        <v>0</v>
      </c>
      <c r="Z119" s="872">
        <f>'11.销售及回款表'!AB258</f>
        <v>0</v>
      </c>
      <c r="AA119" s="871">
        <f>'11.销售及回款表'!AC258</f>
        <v>0</v>
      </c>
      <c r="AB119" s="872">
        <f>'11.销售及回款表'!AD258</f>
        <v>0</v>
      </c>
      <c r="AC119" s="872">
        <f>'11.销售及回款表'!AE258</f>
        <v>0</v>
      </c>
      <c r="AD119" s="872">
        <f>'11.销售及回款表'!AF258</f>
        <v>0</v>
      </c>
      <c r="AE119" s="871">
        <f>'11.销售及回款表'!AG258</f>
        <v>0</v>
      </c>
      <c r="AF119" s="872">
        <f>'11.销售及回款表'!AH258</f>
        <v>0</v>
      </c>
      <c r="AG119" s="872">
        <f>'11.销售及回款表'!AI258</f>
        <v>0</v>
      </c>
      <c r="AH119" s="872">
        <f>'11.销售及回款表'!AJ258</f>
        <v>0</v>
      </c>
      <c r="AI119" s="871">
        <f>'11.销售及回款表'!AK258</f>
        <v>0</v>
      </c>
      <c r="AJ119" s="872">
        <f>'11.销售及回款表'!AL258</f>
        <v>0</v>
      </c>
      <c r="AK119" s="872">
        <f>'11.销售及回款表'!AM258</f>
        <v>0</v>
      </c>
      <c r="AL119" s="872">
        <f>'11.销售及回款表'!AN258</f>
        <v>0</v>
      </c>
      <c r="AM119" s="871">
        <f>'11.销售及回款表'!AO258</f>
        <v>0</v>
      </c>
      <c r="AN119" s="872">
        <f>'11.销售及回款表'!AP258</f>
        <v>0</v>
      </c>
      <c r="AO119" s="872">
        <f>'11.销售及回款表'!AQ258</f>
        <v>0</v>
      </c>
      <c r="AP119" s="872">
        <f>'11.销售及回款表'!AR258</f>
        <v>0</v>
      </c>
      <c r="AQ119" s="871">
        <f>'11.销售及回款表'!AS258</f>
        <v>0</v>
      </c>
      <c r="AR119" s="872">
        <f>'11.销售及回款表'!AT258</f>
        <v>0</v>
      </c>
      <c r="AS119" s="872">
        <f>'11.销售及回款表'!AU258</f>
        <v>0</v>
      </c>
      <c r="AT119" s="872">
        <f>'11.销售及回款表'!AV258</f>
        <v>0</v>
      </c>
    </row>
    <row r="120" spans="1:46" s="77" customFormat="1" ht="18" customHeight="1" outlineLevel="2">
      <c r="A120" s="869">
        <f>'8.项目规划指标表'!B$12</f>
        <v>0</v>
      </c>
      <c r="B120" s="870">
        <f t="shared" si="15"/>
        <v>0</v>
      </c>
      <c r="C120" s="871">
        <f>'11.销售及回款表'!E263</f>
        <v>0</v>
      </c>
      <c r="D120" s="872">
        <f>'11.销售及回款表'!F263</f>
        <v>0</v>
      </c>
      <c r="E120" s="872">
        <f>'11.销售及回款表'!G263</f>
        <v>0</v>
      </c>
      <c r="F120" s="872">
        <f>'11.销售及回款表'!H263</f>
        <v>0</v>
      </c>
      <c r="G120" s="871">
        <f>'11.销售及回款表'!I263</f>
        <v>0</v>
      </c>
      <c r="H120" s="872">
        <f>'11.销售及回款表'!J263</f>
        <v>0</v>
      </c>
      <c r="I120" s="872">
        <f>'11.销售及回款表'!K263</f>
        <v>0</v>
      </c>
      <c r="J120" s="872">
        <f>'11.销售及回款表'!L263</f>
        <v>0</v>
      </c>
      <c r="K120" s="871">
        <f>'11.销售及回款表'!M263</f>
        <v>0</v>
      </c>
      <c r="L120" s="872">
        <f>'11.销售及回款表'!N263</f>
        <v>0</v>
      </c>
      <c r="M120" s="872">
        <f>'11.销售及回款表'!O263</f>
        <v>0</v>
      </c>
      <c r="N120" s="872">
        <f>'11.销售及回款表'!P263</f>
        <v>0</v>
      </c>
      <c r="O120" s="871">
        <f>'11.销售及回款表'!Q263</f>
        <v>0</v>
      </c>
      <c r="P120" s="872">
        <f>'11.销售及回款表'!R263</f>
        <v>0</v>
      </c>
      <c r="Q120" s="872">
        <f>'11.销售及回款表'!S263</f>
        <v>0</v>
      </c>
      <c r="R120" s="872">
        <f>'11.销售及回款表'!T263</f>
        <v>0</v>
      </c>
      <c r="S120" s="871">
        <f>'11.销售及回款表'!U263</f>
        <v>0</v>
      </c>
      <c r="T120" s="872">
        <f>'11.销售及回款表'!V263</f>
        <v>0</v>
      </c>
      <c r="U120" s="872">
        <f>'11.销售及回款表'!W263</f>
        <v>0</v>
      </c>
      <c r="V120" s="872">
        <f>'11.销售及回款表'!X263</f>
        <v>0</v>
      </c>
      <c r="W120" s="871">
        <f>'11.销售及回款表'!Y263</f>
        <v>0</v>
      </c>
      <c r="X120" s="872">
        <f>'11.销售及回款表'!Z263</f>
        <v>0</v>
      </c>
      <c r="Y120" s="872">
        <f>'11.销售及回款表'!AA263</f>
        <v>0</v>
      </c>
      <c r="Z120" s="872">
        <f>'11.销售及回款表'!AB263</f>
        <v>0</v>
      </c>
      <c r="AA120" s="871">
        <f>'11.销售及回款表'!AC263</f>
        <v>0</v>
      </c>
      <c r="AB120" s="872">
        <f>'11.销售及回款表'!AD263</f>
        <v>0</v>
      </c>
      <c r="AC120" s="872">
        <f>'11.销售及回款表'!AE263</f>
        <v>0</v>
      </c>
      <c r="AD120" s="872">
        <f>'11.销售及回款表'!AF263</f>
        <v>0</v>
      </c>
      <c r="AE120" s="871">
        <f>'11.销售及回款表'!AG263</f>
        <v>0</v>
      </c>
      <c r="AF120" s="872">
        <f>'11.销售及回款表'!AH263</f>
        <v>0</v>
      </c>
      <c r="AG120" s="872">
        <f>'11.销售及回款表'!AI263</f>
        <v>0</v>
      </c>
      <c r="AH120" s="872">
        <f>'11.销售及回款表'!AJ263</f>
        <v>0</v>
      </c>
      <c r="AI120" s="871">
        <f>'11.销售及回款表'!AK263</f>
        <v>0</v>
      </c>
      <c r="AJ120" s="872">
        <f>'11.销售及回款表'!AL263</f>
        <v>0</v>
      </c>
      <c r="AK120" s="872">
        <f>'11.销售及回款表'!AM263</f>
        <v>0</v>
      </c>
      <c r="AL120" s="872">
        <f>'11.销售及回款表'!AN263</f>
        <v>0</v>
      </c>
      <c r="AM120" s="871">
        <f>'11.销售及回款表'!AO263</f>
        <v>0</v>
      </c>
      <c r="AN120" s="872">
        <f>'11.销售及回款表'!AP263</f>
        <v>0</v>
      </c>
      <c r="AO120" s="872">
        <f>'11.销售及回款表'!AQ263</f>
        <v>0</v>
      </c>
      <c r="AP120" s="872">
        <f>'11.销售及回款表'!AR263</f>
        <v>0</v>
      </c>
      <c r="AQ120" s="871">
        <f>'11.销售及回款表'!AS263</f>
        <v>0</v>
      </c>
      <c r="AR120" s="872">
        <f>'11.销售及回款表'!AT263</f>
        <v>0</v>
      </c>
      <c r="AS120" s="872">
        <f>'11.销售及回款表'!AU263</f>
        <v>0</v>
      </c>
      <c r="AT120" s="872">
        <f>'11.销售及回款表'!AV263</f>
        <v>0</v>
      </c>
    </row>
    <row r="121" spans="1:46" s="77" customFormat="1" ht="18" customHeight="1" outlineLevel="2">
      <c r="A121" s="869">
        <f>'8.项目规划指标表'!B$13</f>
        <v>0</v>
      </c>
      <c r="B121" s="870">
        <f t="shared" si="15"/>
        <v>0</v>
      </c>
      <c r="C121" s="871">
        <f>'11.销售及回款表'!E268</f>
        <v>0</v>
      </c>
      <c r="D121" s="872">
        <f>'11.销售及回款表'!F268</f>
        <v>0</v>
      </c>
      <c r="E121" s="872">
        <f>'11.销售及回款表'!G268</f>
        <v>0</v>
      </c>
      <c r="F121" s="872">
        <f>'11.销售及回款表'!H268</f>
        <v>0</v>
      </c>
      <c r="G121" s="871">
        <f>'11.销售及回款表'!I268</f>
        <v>0</v>
      </c>
      <c r="H121" s="872">
        <f>'11.销售及回款表'!J268</f>
        <v>0</v>
      </c>
      <c r="I121" s="872">
        <f>'11.销售及回款表'!K268</f>
        <v>0</v>
      </c>
      <c r="J121" s="872">
        <f>'11.销售及回款表'!L268</f>
        <v>0</v>
      </c>
      <c r="K121" s="871">
        <f>'11.销售及回款表'!M268</f>
        <v>0</v>
      </c>
      <c r="L121" s="872">
        <f>'11.销售及回款表'!N268</f>
        <v>0</v>
      </c>
      <c r="M121" s="872">
        <f>'11.销售及回款表'!O268</f>
        <v>0</v>
      </c>
      <c r="N121" s="872">
        <f>'11.销售及回款表'!P268</f>
        <v>0</v>
      </c>
      <c r="O121" s="871">
        <f>'11.销售及回款表'!Q268</f>
        <v>0</v>
      </c>
      <c r="P121" s="872">
        <f>'11.销售及回款表'!R268</f>
        <v>0</v>
      </c>
      <c r="Q121" s="872">
        <f>'11.销售及回款表'!S268</f>
        <v>0</v>
      </c>
      <c r="R121" s="872">
        <f>'11.销售及回款表'!T268</f>
        <v>0</v>
      </c>
      <c r="S121" s="871">
        <f>'11.销售及回款表'!U268</f>
        <v>0</v>
      </c>
      <c r="T121" s="872">
        <f>'11.销售及回款表'!V268</f>
        <v>0</v>
      </c>
      <c r="U121" s="872">
        <f>'11.销售及回款表'!W268</f>
        <v>0</v>
      </c>
      <c r="V121" s="872">
        <f>'11.销售及回款表'!X268</f>
        <v>0</v>
      </c>
      <c r="W121" s="871">
        <f>'11.销售及回款表'!Y268</f>
        <v>0</v>
      </c>
      <c r="X121" s="872">
        <f>'11.销售及回款表'!Z268</f>
        <v>0</v>
      </c>
      <c r="Y121" s="872">
        <f>'11.销售及回款表'!AA268</f>
        <v>0</v>
      </c>
      <c r="Z121" s="872">
        <f>'11.销售及回款表'!AB268</f>
        <v>0</v>
      </c>
      <c r="AA121" s="871">
        <f>'11.销售及回款表'!AC268</f>
        <v>0</v>
      </c>
      <c r="AB121" s="872">
        <f>'11.销售及回款表'!AD268</f>
        <v>0</v>
      </c>
      <c r="AC121" s="872">
        <f>'11.销售及回款表'!AE268</f>
        <v>0</v>
      </c>
      <c r="AD121" s="872">
        <f>'11.销售及回款表'!AF268</f>
        <v>0</v>
      </c>
      <c r="AE121" s="871">
        <f>'11.销售及回款表'!AG268</f>
        <v>0</v>
      </c>
      <c r="AF121" s="872">
        <f>'11.销售及回款表'!AH268</f>
        <v>0</v>
      </c>
      <c r="AG121" s="872">
        <f>'11.销售及回款表'!AI268</f>
        <v>0</v>
      </c>
      <c r="AH121" s="872">
        <f>'11.销售及回款表'!AJ268</f>
        <v>0</v>
      </c>
      <c r="AI121" s="871">
        <f>'11.销售及回款表'!AK268</f>
        <v>0</v>
      </c>
      <c r="AJ121" s="872">
        <f>'11.销售及回款表'!AL268</f>
        <v>0</v>
      </c>
      <c r="AK121" s="872">
        <f>'11.销售及回款表'!AM268</f>
        <v>0</v>
      </c>
      <c r="AL121" s="872">
        <f>'11.销售及回款表'!AN268</f>
        <v>0</v>
      </c>
      <c r="AM121" s="871">
        <f>'11.销售及回款表'!AO268</f>
        <v>0</v>
      </c>
      <c r="AN121" s="872">
        <f>'11.销售及回款表'!AP268</f>
        <v>0</v>
      </c>
      <c r="AO121" s="872">
        <f>'11.销售及回款表'!AQ268</f>
        <v>0</v>
      </c>
      <c r="AP121" s="872">
        <f>'11.销售及回款表'!AR268</f>
        <v>0</v>
      </c>
      <c r="AQ121" s="871">
        <f>'11.销售及回款表'!AS268</f>
        <v>0</v>
      </c>
      <c r="AR121" s="872">
        <f>'11.销售及回款表'!AT268</f>
        <v>0</v>
      </c>
      <c r="AS121" s="872">
        <f>'11.销售及回款表'!AU268</f>
        <v>0</v>
      </c>
      <c r="AT121" s="872">
        <f>'11.销售及回款表'!AV268</f>
        <v>0</v>
      </c>
    </row>
    <row r="122" spans="1:46" s="77" customFormat="1" ht="18" customHeight="1" outlineLevel="2">
      <c r="A122" s="869" t="str">
        <f>'8.项目规划指标表'!B$14</f>
        <v>自持物业</v>
      </c>
      <c r="B122" s="870">
        <f t="shared" si="15"/>
        <v>0</v>
      </c>
      <c r="C122" s="871">
        <f>'11.销售及回款表'!E273</f>
        <v>0</v>
      </c>
      <c r="D122" s="872">
        <f>'11.销售及回款表'!F273</f>
        <v>0</v>
      </c>
      <c r="E122" s="872">
        <f>'11.销售及回款表'!G273</f>
        <v>0</v>
      </c>
      <c r="F122" s="872">
        <f>'11.销售及回款表'!H273</f>
        <v>0</v>
      </c>
      <c r="G122" s="871">
        <f>'11.销售及回款表'!I273</f>
        <v>0</v>
      </c>
      <c r="H122" s="872">
        <f>'11.销售及回款表'!J273</f>
        <v>0</v>
      </c>
      <c r="I122" s="872">
        <f>'11.销售及回款表'!K273</f>
        <v>0</v>
      </c>
      <c r="J122" s="872">
        <f>'11.销售及回款表'!L273</f>
        <v>0</v>
      </c>
      <c r="K122" s="871">
        <f>'11.销售及回款表'!M273</f>
        <v>0</v>
      </c>
      <c r="L122" s="872">
        <f>'11.销售及回款表'!N273</f>
        <v>0</v>
      </c>
      <c r="M122" s="872">
        <f>'11.销售及回款表'!O273</f>
        <v>0</v>
      </c>
      <c r="N122" s="872">
        <f>'11.销售及回款表'!P273</f>
        <v>0</v>
      </c>
      <c r="O122" s="871">
        <f>'11.销售及回款表'!Q273</f>
        <v>0</v>
      </c>
      <c r="P122" s="872">
        <f>'11.销售及回款表'!R273</f>
        <v>0</v>
      </c>
      <c r="Q122" s="872">
        <f>'11.销售及回款表'!S273</f>
        <v>0</v>
      </c>
      <c r="R122" s="872">
        <f>'11.销售及回款表'!T273</f>
        <v>0</v>
      </c>
      <c r="S122" s="871">
        <f>'11.销售及回款表'!U273</f>
        <v>0</v>
      </c>
      <c r="T122" s="872">
        <f>'11.销售及回款表'!V273</f>
        <v>0</v>
      </c>
      <c r="U122" s="872">
        <f>'11.销售及回款表'!W273</f>
        <v>0</v>
      </c>
      <c r="V122" s="872">
        <f>'11.销售及回款表'!X273</f>
        <v>0</v>
      </c>
      <c r="W122" s="871">
        <f>'11.销售及回款表'!Y273</f>
        <v>0</v>
      </c>
      <c r="X122" s="872">
        <f>'11.销售及回款表'!Z273</f>
        <v>0</v>
      </c>
      <c r="Y122" s="872">
        <f>'11.销售及回款表'!AA273</f>
        <v>0</v>
      </c>
      <c r="Z122" s="872">
        <f>'11.销售及回款表'!AB273</f>
        <v>0</v>
      </c>
      <c r="AA122" s="871">
        <f>'11.销售及回款表'!AC273</f>
        <v>0</v>
      </c>
      <c r="AB122" s="872">
        <f>'11.销售及回款表'!AD273</f>
        <v>0</v>
      </c>
      <c r="AC122" s="872">
        <f>'11.销售及回款表'!AE273</f>
        <v>0</v>
      </c>
      <c r="AD122" s="872">
        <f>'11.销售及回款表'!AF273</f>
        <v>0</v>
      </c>
      <c r="AE122" s="871">
        <f>'11.销售及回款表'!AG273</f>
        <v>0</v>
      </c>
      <c r="AF122" s="872">
        <f>'11.销售及回款表'!AH273</f>
        <v>0</v>
      </c>
      <c r="AG122" s="872">
        <f>'11.销售及回款表'!AI273</f>
        <v>0</v>
      </c>
      <c r="AH122" s="872">
        <f>'11.销售及回款表'!AJ273</f>
        <v>0</v>
      </c>
      <c r="AI122" s="871">
        <f>'11.销售及回款表'!AK273</f>
        <v>0</v>
      </c>
      <c r="AJ122" s="872">
        <f>'11.销售及回款表'!AL273</f>
        <v>0</v>
      </c>
      <c r="AK122" s="872">
        <f>'11.销售及回款表'!AM273</f>
        <v>0</v>
      </c>
      <c r="AL122" s="872">
        <f>'11.销售及回款表'!AN273</f>
        <v>0</v>
      </c>
      <c r="AM122" s="871">
        <f>'11.销售及回款表'!AO273</f>
        <v>0</v>
      </c>
      <c r="AN122" s="872">
        <f>'11.销售及回款表'!AP273</f>
        <v>0</v>
      </c>
      <c r="AO122" s="872">
        <f>'11.销售及回款表'!AQ273</f>
        <v>0</v>
      </c>
      <c r="AP122" s="872">
        <f>'11.销售及回款表'!AR273</f>
        <v>0</v>
      </c>
      <c r="AQ122" s="871">
        <f>'11.销售及回款表'!AS273</f>
        <v>0</v>
      </c>
      <c r="AR122" s="872">
        <f>'11.销售及回款表'!AT273</f>
        <v>0</v>
      </c>
      <c r="AS122" s="872">
        <f>'11.销售及回款表'!AU273</f>
        <v>0</v>
      </c>
      <c r="AT122" s="872">
        <f>'11.销售及回款表'!AV273</f>
        <v>0</v>
      </c>
    </row>
    <row r="123" spans="1:46" s="77" customFormat="1" ht="18" customHeight="1" outlineLevel="2">
      <c r="A123" s="869" t="str">
        <f>'8.项目规划指标表'!B$18</f>
        <v>有产权车库(个)</v>
      </c>
      <c r="B123" s="870">
        <f t="shared" si="15"/>
        <v>0</v>
      </c>
      <c r="C123" s="871">
        <f>'11.销售及回款表'!E278</f>
        <v>0</v>
      </c>
      <c r="D123" s="872">
        <f>'11.销售及回款表'!F278</f>
        <v>0</v>
      </c>
      <c r="E123" s="872">
        <f>'11.销售及回款表'!G278</f>
        <v>0</v>
      </c>
      <c r="F123" s="872">
        <f>'11.销售及回款表'!H278</f>
        <v>0</v>
      </c>
      <c r="G123" s="871">
        <f>'11.销售及回款表'!I278</f>
        <v>0</v>
      </c>
      <c r="H123" s="872">
        <f>'11.销售及回款表'!J278</f>
        <v>0</v>
      </c>
      <c r="I123" s="872">
        <f>'11.销售及回款表'!K278</f>
        <v>0</v>
      </c>
      <c r="J123" s="872">
        <f>'11.销售及回款表'!L278</f>
        <v>0</v>
      </c>
      <c r="K123" s="871">
        <f>'11.销售及回款表'!M278</f>
        <v>0</v>
      </c>
      <c r="L123" s="872">
        <f>'11.销售及回款表'!N278</f>
        <v>0</v>
      </c>
      <c r="M123" s="872">
        <f>'11.销售及回款表'!O278</f>
        <v>0</v>
      </c>
      <c r="N123" s="872">
        <f>'11.销售及回款表'!P278</f>
        <v>0</v>
      </c>
      <c r="O123" s="871">
        <f>'11.销售及回款表'!Q278</f>
        <v>0</v>
      </c>
      <c r="P123" s="872">
        <f>'11.销售及回款表'!R278</f>
        <v>0</v>
      </c>
      <c r="Q123" s="872">
        <f>'11.销售及回款表'!S278</f>
        <v>0</v>
      </c>
      <c r="R123" s="872">
        <f>'11.销售及回款表'!T278</f>
        <v>0</v>
      </c>
      <c r="S123" s="871">
        <f>'11.销售及回款表'!U278</f>
        <v>0</v>
      </c>
      <c r="T123" s="872">
        <f>'11.销售及回款表'!V278</f>
        <v>0</v>
      </c>
      <c r="U123" s="872">
        <f>'11.销售及回款表'!W278</f>
        <v>0</v>
      </c>
      <c r="V123" s="872">
        <f>'11.销售及回款表'!X278</f>
        <v>0</v>
      </c>
      <c r="W123" s="871">
        <f>'11.销售及回款表'!Y278</f>
        <v>0</v>
      </c>
      <c r="X123" s="872">
        <f>'11.销售及回款表'!Z278</f>
        <v>0</v>
      </c>
      <c r="Y123" s="872">
        <f>'11.销售及回款表'!AA278</f>
        <v>0</v>
      </c>
      <c r="Z123" s="872">
        <f>'11.销售及回款表'!AB278</f>
        <v>0</v>
      </c>
      <c r="AA123" s="871">
        <f>'11.销售及回款表'!AC278</f>
        <v>0</v>
      </c>
      <c r="AB123" s="872">
        <f>'11.销售及回款表'!AD278</f>
        <v>0</v>
      </c>
      <c r="AC123" s="872">
        <f>'11.销售及回款表'!AE278</f>
        <v>0</v>
      </c>
      <c r="AD123" s="872">
        <f>'11.销售及回款表'!AF278</f>
        <v>0</v>
      </c>
      <c r="AE123" s="871">
        <f>'11.销售及回款表'!AG278</f>
        <v>0</v>
      </c>
      <c r="AF123" s="872">
        <f>'11.销售及回款表'!AH278</f>
        <v>0</v>
      </c>
      <c r="AG123" s="872">
        <f>'11.销售及回款表'!AI278</f>
        <v>0</v>
      </c>
      <c r="AH123" s="872">
        <f>'11.销售及回款表'!AJ278</f>
        <v>0</v>
      </c>
      <c r="AI123" s="871">
        <f>'11.销售及回款表'!AK278</f>
        <v>0</v>
      </c>
      <c r="AJ123" s="872">
        <f>'11.销售及回款表'!AL278</f>
        <v>0</v>
      </c>
      <c r="AK123" s="872">
        <f>'11.销售及回款表'!AM278</f>
        <v>0</v>
      </c>
      <c r="AL123" s="872">
        <f>'11.销售及回款表'!AN278</f>
        <v>0</v>
      </c>
      <c r="AM123" s="871">
        <f>'11.销售及回款表'!AO278</f>
        <v>0</v>
      </c>
      <c r="AN123" s="872">
        <f>'11.销售及回款表'!AP278</f>
        <v>0</v>
      </c>
      <c r="AO123" s="872">
        <f>'11.销售及回款表'!AQ278</f>
        <v>0</v>
      </c>
      <c r="AP123" s="872">
        <f>'11.销售及回款表'!AR278</f>
        <v>0</v>
      </c>
      <c r="AQ123" s="871">
        <f>'11.销售及回款表'!AS278</f>
        <v>0</v>
      </c>
      <c r="AR123" s="872">
        <f>'11.销售及回款表'!AT278</f>
        <v>0</v>
      </c>
      <c r="AS123" s="872">
        <f>'11.销售及回款表'!AU278</f>
        <v>0</v>
      </c>
      <c r="AT123" s="872">
        <f>'11.销售及回款表'!AV278</f>
        <v>0</v>
      </c>
    </row>
    <row r="124" spans="1:46" s="77" customFormat="1" ht="18" customHeight="1" outlineLevel="2">
      <c r="A124" s="869" t="str">
        <f>'8.项目规划指标表'!B$19</f>
        <v>无产权车库(个)</v>
      </c>
      <c r="B124" s="870">
        <f t="shared" si="15"/>
        <v>0</v>
      </c>
      <c r="C124" s="871">
        <f>'11.销售及回款表'!E283</f>
        <v>0</v>
      </c>
      <c r="D124" s="872">
        <f>'11.销售及回款表'!F283</f>
        <v>0</v>
      </c>
      <c r="E124" s="872">
        <f>'11.销售及回款表'!G283</f>
        <v>0</v>
      </c>
      <c r="F124" s="872">
        <f>'11.销售及回款表'!H283</f>
        <v>0</v>
      </c>
      <c r="G124" s="871">
        <f>'11.销售及回款表'!I283</f>
        <v>0</v>
      </c>
      <c r="H124" s="872">
        <f>'11.销售及回款表'!J283</f>
        <v>0</v>
      </c>
      <c r="I124" s="872">
        <f>'11.销售及回款表'!K283</f>
        <v>0</v>
      </c>
      <c r="J124" s="872">
        <f>'11.销售及回款表'!L283</f>
        <v>0</v>
      </c>
      <c r="K124" s="871">
        <f>'11.销售及回款表'!M283</f>
        <v>0</v>
      </c>
      <c r="L124" s="872">
        <f>'11.销售及回款表'!N283</f>
        <v>0</v>
      </c>
      <c r="M124" s="872">
        <f>'11.销售及回款表'!O283</f>
        <v>0</v>
      </c>
      <c r="N124" s="872">
        <f>'11.销售及回款表'!P283</f>
        <v>0</v>
      </c>
      <c r="O124" s="871">
        <f>'11.销售及回款表'!Q283</f>
        <v>0</v>
      </c>
      <c r="P124" s="872">
        <f>'11.销售及回款表'!R283</f>
        <v>0</v>
      </c>
      <c r="Q124" s="872">
        <f>'11.销售及回款表'!S283</f>
        <v>0</v>
      </c>
      <c r="R124" s="872">
        <f>'11.销售及回款表'!T283</f>
        <v>0</v>
      </c>
      <c r="S124" s="871">
        <f>'11.销售及回款表'!U283</f>
        <v>0</v>
      </c>
      <c r="T124" s="872">
        <f>'11.销售及回款表'!V283</f>
        <v>0</v>
      </c>
      <c r="U124" s="872">
        <f>'11.销售及回款表'!W283</f>
        <v>0</v>
      </c>
      <c r="V124" s="872">
        <f>'11.销售及回款表'!X283</f>
        <v>0</v>
      </c>
      <c r="W124" s="871">
        <f>'11.销售及回款表'!Y283</f>
        <v>0</v>
      </c>
      <c r="X124" s="872">
        <f>'11.销售及回款表'!Z283</f>
        <v>0</v>
      </c>
      <c r="Y124" s="872">
        <f>'11.销售及回款表'!AA283</f>
        <v>0</v>
      </c>
      <c r="Z124" s="872">
        <f>'11.销售及回款表'!AB283</f>
        <v>0</v>
      </c>
      <c r="AA124" s="871">
        <f>'11.销售及回款表'!AC283</f>
        <v>0</v>
      </c>
      <c r="AB124" s="872">
        <f>'11.销售及回款表'!AD283</f>
        <v>0</v>
      </c>
      <c r="AC124" s="872">
        <f>'11.销售及回款表'!AE283</f>
        <v>0</v>
      </c>
      <c r="AD124" s="872">
        <f>'11.销售及回款表'!AF283</f>
        <v>0</v>
      </c>
      <c r="AE124" s="871">
        <f>'11.销售及回款表'!AG283</f>
        <v>0</v>
      </c>
      <c r="AF124" s="872">
        <f>'11.销售及回款表'!AH283</f>
        <v>0</v>
      </c>
      <c r="AG124" s="872">
        <f>'11.销售及回款表'!AI283</f>
        <v>0</v>
      </c>
      <c r="AH124" s="872">
        <f>'11.销售及回款表'!AJ283</f>
        <v>0</v>
      </c>
      <c r="AI124" s="871">
        <f>'11.销售及回款表'!AK283</f>
        <v>0</v>
      </c>
      <c r="AJ124" s="872">
        <f>'11.销售及回款表'!AL283</f>
        <v>0</v>
      </c>
      <c r="AK124" s="872">
        <f>'11.销售及回款表'!AM283</f>
        <v>0</v>
      </c>
      <c r="AL124" s="872">
        <f>'11.销售及回款表'!AN283</f>
        <v>0</v>
      </c>
      <c r="AM124" s="871">
        <f>'11.销售及回款表'!AO283</f>
        <v>0</v>
      </c>
      <c r="AN124" s="872">
        <f>'11.销售及回款表'!AP283</f>
        <v>0</v>
      </c>
      <c r="AO124" s="872">
        <f>'11.销售及回款表'!AQ283</f>
        <v>0</v>
      </c>
      <c r="AP124" s="872">
        <f>'11.销售及回款表'!AR283</f>
        <v>0</v>
      </c>
      <c r="AQ124" s="871">
        <f>'11.销售及回款表'!AS283</f>
        <v>0</v>
      </c>
      <c r="AR124" s="872">
        <f>'11.销售及回款表'!AT283</f>
        <v>0</v>
      </c>
      <c r="AS124" s="872">
        <f>'11.销售及回款表'!AU283</f>
        <v>0</v>
      </c>
      <c r="AT124" s="872">
        <f>'11.销售及回款表'!AV283</f>
        <v>0</v>
      </c>
    </row>
    <row r="125" spans="1:46" s="77" customFormat="1" ht="18" customHeight="1" outlineLevel="1">
      <c r="A125" s="865" t="s">
        <v>22</v>
      </c>
      <c r="B125" s="866">
        <f>SUM(B126:B137)</f>
        <v>0</v>
      </c>
      <c r="C125" s="867">
        <f>SUM(C126:C137)</f>
        <v>0</v>
      </c>
      <c r="D125" s="868">
        <f t="shared" ref="D125:AT125" si="16">SUM(D126:D137)</f>
        <v>0</v>
      </c>
      <c r="E125" s="868">
        <f t="shared" si="16"/>
        <v>0</v>
      </c>
      <c r="F125" s="868">
        <f t="shared" si="16"/>
        <v>0</v>
      </c>
      <c r="G125" s="867">
        <f t="shared" si="16"/>
        <v>0</v>
      </c>
      <c r="H125" s="868">
        <f t="shared" si="16"/>
        <v>0</v>
      </c>
      <c r="I125" s="868">
        <f t="shared" si="16"/>
        <v>0</v>
      </c>
      <c r="J125" s="868">
        <f t="shared" si="16"/>
        <v>0</v>
      </c>
      <c r="K125" s="867">
        <f t="shared" si="16"/>
        <v>0</v>
      </c>
      <c r="L125" s="868">
        <f t="shared" si="16"/>
        <v>0</v>
      </c>
      <c r="M125" s="868">
        <f t="shared" si="16"/>
        <v>0</v>
      </c>
      <c r="N125" s="868">
        <f t="shared" si="16"/>
        <v>0</v>
      </c>
      <c r="O125" s="867">
        <f t="shared" si="16"/>
        <v>0</v>
      </c>
      <c r="P125" s="868">
        <f t="shared" si="16"/>
        <v>0</v>
      </c>
      <c r="Q125" s="868">
        <f t="shared" si="16"/>
        <v>0</v>
      </c>
      <c r="R125" s="868">
        <f t="shared" si="16"/>
        <v>0</v>
      </c>
      <c r="S125" s="867">
        <f t="shared" si="16"/>
        <v>0</v>
      </c>
      <c r="T125" s="868">
        <f t="shared" si="16"/>
        <v>0</v>
      </c>
      <c r="U125" s="868">
        <f t="shared" si="16"/>
        <v>0</v>
      </c>
      <c r="V125" s="868">
        <f t="shared" si="16"/>
        <v>0</v>
      </c>
      <c r="W125" s="867">
        <f t="shared" si="16"/>
        <v>0</v>
      </c>
      <c r="X125" s="868">
        <f t="shared" si="16"/>
        <v>0</v>
      </c>
      <c r="Y125" s="868">
        <f t="shared" si="16"/>
        <v>0</v>
      </c>
      <c r="Z125" s="868">
        <f t="shared" si="16"/>
        <v>0</v>
      </c>
      <c r="AA125" s="867">
        <f t="shared" si="16"/>
        <v>0</v>
      </c>
      <c r="AB125" s="868">
        <f t="shared" si="16"/>
        <v>0</v>
      </c>
      <c r="AC125" s="868">
        <f t="shared" si="16"/>
        <v>0</v>
      </c>
      <c r="AD125" s="868">
        <f t="shared" si="16"/>
        <v>0</v>
      </c>
      <c r="AE125" s="867">
        <f t="shared" si="16"/>
        <v>0</v>
      </c>
      <c r="AF125" s="868">
        <f t="shared" si="16"/>
        <v>0</v>
      </c>
      <c r="AG125" s="868">
        <f t="shared" si="16"/>
        <v>0</v>
      </c>
      <c r="AH125" s="868">
        <f t="shared" si="16"/>
        <v>0</v>
      </c>
      <c r="AI125" s="867">
        <f t="shared" si="16"/>
        <v>0</v>
      </c>
      <c r="AJ125" s="868">
        <f t="shared" si="16"/>
        <v>0</v>
      </c>
      <c r="AK125" s="868">
        <f t="shared" si="16"/>
        <v>0</v>
      </c>
      <c r="AL125" s="868">
        <f t="shared" si="16"/>
        <v>0</v>
      </c>
      <c r="AM125" s="867">
        <f t="shared" si="16"/>
        <v>0</v>
      </c>
      <c r="AN125" s="868">
        <f t="shared" si="16"/>
        <v>0</v>
      </c>
      <c r="AO125" s="868">
        <f t="shared" si="16"/>
        <v>0</v>
      </c>
      <c r="AP125" s="868">
        <f t="shared" si="16"/>
        <v>0</v>
      </c>
      <c r="AQ125" s="867">
        <f t="shared" si="16"/>
        <v>0</v>
      </c>
      <c r="AR125" s="868">
        <f t="shared" si="16"/>
        <v>0</v>
      </c>
      <c r="AS125" s="868">
        <f t="shared" si="16"/>
        <v>0</v>
      </c>
      <c r="AT125" s="868">
        <f t="shared" si="16"/>
        <v>0</v>
      </c>
    </row>
    <row r="126" spans="1:46" s="77" customFormat="1" ht="18" customHeight="1" outlineLevel="2">
      <c r="A126" s="869" t="str">
        <f>'8.项目规划指标表'!B$5</f>
        <v>高层</v>
      </c>
      <c r="B126" s="870">
        <f t="shared" si="15"/>
        <v>0</v>
      </c>
      <c r="C126" s="871">
        <f>'11.销售及回款表'!E298</f>
        <v>0</v>
      </c>
      <c r="D126" s="872">
        <f>'11.销售及回款表'!F298</f>
        <v>0</v>
      </c>
      <c r="E126" s="872">
        <f>'11.销售及回款表'!G298</f>
        <v>0</v>
      </c>
      <c r="F126" s="872">
        <f>'11.销售及回款表'!H298</f>
        <v>0</v>
      </c>
      <c r="G126" s="871">
        <f>'11.销售及回款表'!I298</f>
        <v>0</v>
      </c>
      <c r="H126" s="872">
        <f>'11.销售及回款表'!J298</f>
        <v>0</v>
      </c>
      <c r="I126" s="872">
        <f>'11.销售及回款表'!K298</f>
        <v>0</v>
      </c>
      <c r="J126" s="872">
        <f>'11.销售及回款表'!L298</f>
        <v>0</v>
      </c>
      <c r="K126" s="871">
        <f>'11.销售及回款表'!M298</f>
        <v>0</v>
      </c>
      <c r="L126" s="872">
        <f>'11.销售及回款表'!N298</f>
        <v>0</v>
      </c>
      <c r="M126" s="872">
        <f>'11.销售及回款表'!O298</f>
        <v>0</v>
      </c>
      <c r="N126" s="872">
        <f>'11.销售及回款表'!P298</f>
        <v>0</v>
      </c>
      <c r="O126" s="871">
        <f>'11.销售及回款表'!Q298</f>
        <v>0</v>
      </c>
      <c r="P126" s="872">
        <f>'11.销售及回款表'!R298</f>
        <v>0</v>
      </c>
      <c r="Q126" s="872">
        <f>'11.销售及回款表'!S298</f>
        <v>0</v>
      </c>
      <c r="R126" s="872">
        <f>'11.销售及回款表'!T298</f>
        <v>0</v>
      </c>
      <c r="S126" s="871">
        <f>'11.销售及回款表'!U298</f>
        <v>0</v>
      </c>
      <c r="T126" s="872">
        <f>'11.销售及回款表'!V298</f>
        <v>0</v>
      </c>
      <c r="U126" s="872">
        <f>'11.销售及回款表'!W298</f>
        <v>0</v>
      </c>
      <c r="V126" s="872">
        <f>'11.销售及回款表'!X298</f>
        <v>0</v>
      </c>
      <c r="W126" s="871">
        <f>'11.销售及回款表'!Y298</f>
        <v>0</v>
      </c>
      <c r="X126" s="872">
        <f>'11.销售及回款表'!Z298</f>
        <v>0</v>
      </c>
      <c r="Y126" s="872">
        <f>'11.销售及回款表'!AA298</f>
        <v>0</v>
      </c>
      <c r="Z126" s="872">
        <f>'11.销售及回款表'!AB298</f>
        <v>0</v>
      </c>
      <c r="AA126" s="871">
        <f>'11.销售及回款表'!AC298</f>
        <v>0</v>
      </c>
      <c r="AB126" s="872">
        <f>'11.销售及回款表'!AD298</f>
        <v>0</v>
      </c>
      <c r="AC126" s="872">
        <f>'11.销售及回款表'!AE298</f>
        <v>0</v>
      </c>
      <c r="AD126" s="872">
        <f>'11.销售及回款表'!AF298</f>
        <v>0</v>
      </c>
      <c r="AE126" s="871">
        <f>'11.销售及回款表'!AG298</f>
        <v>0</v>
      </c>
      <c r="AF126" s="872">
        <f>'11.销售及回款表'!AH298</f>
        <v>0</v>
      </c>
      <c r="AG126" s="872">
        <f>'11.销售及回款表'!AI298</f>
        <v>0</v>
      </c>
      <c r="AH126" s="872">
        <f>'11.销售及回款表'!AJ298</f>
        <v>0</v>
      </c>
      <c r="AI126" s="871">
        <f>'11.销售及回款表'!AK298</f>
        <v>0</v>
      </c>
      <c r="AJ126" s="872">
        <f>'11.销售及回款表'!AL298</f>
        <v>0</v>
      </c>
      <c r="AK126" s="872">
        <f>'11.销售及回款表'!AM298</f>
        <v>0</v>
      </c>
      <c r="AL126" s="872">
        <f>'11.销售及回款表'!AN298</f>
        <v>0</v>
      </c>
      <c r="AM126" s="871">
        <f>'11.销售及回款表'!AO298</f>
        <v>0</v>
      </c>
      <c r="AN126" s="872">
        <f>'11.销售及回款表'!AP298</f>
        <v>0</v>
      </c>
      <c r="AO126" s="872">
        <f>'11.销售及回款表'!AQ298</f>
        <v>0</v>
      </c>
      <c r="AP126" s="872">
        <f>'11.销售及回款表'!AR298</f>
        <v>0</v>
      </c>
      <c r="AQ126" s="871">
        <f>'11.销售及回款表'!AS298</f>
        <v>0</v>
      </c>
      <c r="AR126" s="872">
        <f>'11.销售及回款表'!AT298</f>
        <v>0</v>
      </c>
      <c r="AS126" s="872">
        <f>'11.销售及回款表'!AU298</f>
        <v>0</v>
      </c>
      <c r="AT126" s="872">
        <f>'11.销售及回款表'!AV298</f>
        <v>0</v>
      </c>
    </row>
    <row r="127" spans="1:46" s="77" customFormat="1" ht="18" customHeight="1" outlineLevel="2">
      <c r="A127" s="869" t="str">
        <f>'8.项目规划指标表'!B$6</f>
        <v>商铺</v>
      </c>
      <c r="B127" s="870">
        <f t="shared" si="15"/>
        <v>0</v>
      </c>
      <c r="C127" s="871">
        <f>'11.销售及回款表'!E303</f>
        <v>0</v>
      </c>
      <c r="D127" s="872">
        <f>'11.销售及回款表'!F303</f>
        <v>0</v>
      </c>
      <c r="E127" s="872">
        <f>'11.销售及回款表'!G303</f>
        <v>0</v>
      </c>
      <c r="F127" s="872">
        <f>'11.销售及回款表'!H303</f>
        <v>0</v>
      </c>
      <c r="G127" s="871">
        <f>'11.销售及回款表'!I303</f>
        <v>0</v>
      </c>
      <c r="H127" s="872">
        <f>'11.销售及回款表'!J303</f>
        <v>0</v>
      </c>
      <c r="I127" s="872">
        <f>'11.销售及回款表'!K303</f>
        <v>0</v>
      </c>
      <c r="J127" s="872">
        <f>'11.销售及回款表'!L303</f>
        <v>0</v>
      </c>
      <c r="K127" s="871">
        <f>'11.销售及回款表'!M303</f>
        <v>0</v>
      </c>
      <c r="L127" s="872">
        <f>'11.销售及回款表'!N303</f>
        <v>0</v>
      </c>
      <c r="M127" s="872">
        <f>'11.销售及回款表'!O303</f>
        <v>0</v>
      </c>
      <c r="N127" s="872">
        <f>'11.销售及回款表'!P303</f>
        <v>0</v>
      </c>
      <c r="O127" s="871">
        <f>'11.销售及回款表'!Q303</f>
        <v>0</v>
      </c>
      <c r="P127" s="872">
        <f>'11.销售及回款表'!R303</f>
        <v>0</v>
      </c>
      <c r="Q127" s="872">
        <f>'11.销售及回款表'!S303</f>
        <v>0</v>
      </c>
      <c r="R127" s="872">
        <f>'11.销售及回款表'!T303</f>
        <v>0</v>
      </c>
      <c r="S127" s="871">
        <f>'11.销售及回款表'!U303</f>
        <v>0</v>
      </c>
      <c r="T127" s="872">
        <f>'11.销售及回款表'!V303</f>
        <v>0</v>
      </c>
      <c r="U127" s="872">
        <f>'11.销售及回款表'!W303</f>
        <v>0</v>
      </c>
      <c r="V127" s="872">
        <f>'11.销售及回款表'!X303</f>
        <v>0</v>
      </c>
      <c r="W127" s="871">
        <f>'11.销售及回款表'!Y303</f>
        <v>0</v>
      </c>
      <c r="X127" s="872">
        <f>'11.销售及回款表'!Z303</f>
        <v>0</v>
      </c>
      <c r="Y127" s="872">
        <f>'11.销售及回款表'!AA303</f>
        <v>0</v>
      </c>
      <c r="Z127" s="872">
        <f>'11.销售及回款表'!AB303</f>
        <v>0</v>
      </c>
      <c r="AA127" s="871">
        <f>'11.销售及回款表'!AC303</f>
        <v>0</v>
      </c>
      <c r="AB127" s="872">
        <f>'11.销售及回款表'!AD303</f>
        <v>0</v>
      </c>
      <c r="AC127" s="872">
        <f>'11.销售及回款表'!AE303</f>
        <v>0</v>
      </c>
      <c r="AD127" s="872">
        <f>'11.销售及回款表'!AF303</f>
        <v>0</v>
      </c>
      <c r="AE127" s="871">
        <f>'11.销售及回款表'!AG303</f>
        <v>0</v>
      </c>
      <c r="AF127" s="872">
        <f>'11.销售及回款表'!AH303</f>
        <v>0</v>
      </c>
      <c r="AG127" s="872">
        <f>'11.销售及回款表'!AI303</f>
        <v>0</v>
      </c>
      <c r="AH127" s="872">
        <f>'11.销售及回款表'!AJ303</f>
        <v>0</v>
      </c>
      <c r="AI127" s="871">
        <f>'11.销售及回款表'!AK303</f>
        <v>0</v>
      </c>
      <c r="AJ127" s="872">
        <f>'11.销售及回款表'!AL303</f>
        <v>0</v>
      </c>
      <c r="AK127" s="872">
        <f>'11.销售及回款表'!AM303</f>
        <v>0</v>
      </c>
      <c r="AL127" s="872">
        <f>'11.销售及回款表'!AN303</f>
        <v>0</v>
      </c>
      <c r="AM127" s="871">
        <f>'11.销售及回款表'!AO303</f>
        <v>0</v>
      </c>
      <c r="AN127" s="872">
        <f>'11.销售及回款表'!AP303</f>
        <v>0</v>
      </c>
      <c r="AO127" s="872">
        <f>'11.销售及回款表'!AQ303</f>
        <v>0</v>
      </c>
      <c r="AP127" s="872">
        <f>'11.销售及回款表'!AR303</f>
        <v>0</v>
      </c>
      <c r="AQ127" s="871">
        <f>'11.销售及回款表'!AS303</f>
        <v>0</v>
      </c>
      <c r="AR127" s="872">
        <f>'11.销售及回款表'!AT303</f>
        <v>0</v>
      </c>
      <c r="AS127" s="872">
        <f>'11.销售及回款表'!AU303</f>
        <v>0</v>
      </c>
      <c r="AT127" s="872">
        <f>'11.销售及回款表'!AV303</f>
        <v>0</v>
      </c>
    </row>
    <row r="128" spans="1:46" s="77" customFormat="1" ht="18" customHeight="1" outlineLevel="2">
      <c r="A128" s="869" t="str">
        <f>'8.项目规划指标表'!B$7</f>
        <v>回迁商业</v>
      </c>
      <c r="B128" s="870">
        <f t="shared" si="15"/>
        <v>0</v>
      </c>
      <c r="C128" s="871">
        <f>'11.销售及回款表'!E308</f>
        <v>0</v>
      </c>
      <c r="D128" s="872">
        <f>'11.销售及回款表'!F308</f>
        <v>0</v>
      </c>
      <c r="E128" s="872">
        <f>'11.销售及回款表'!G308</f>
        <v>0</v>
      </c>
      <c r="F128" s="872">
        <f>'11.销售及回款表'!H308</f>
        <v>0</v>
      </c>
      <c r="G128" s="871">
        <f>'11.销售及回款表'!I308</f>
        <v>0</v>
      </c>
      <c r="H128" s="872">
        <f>'11.销售及回款表'!J308</f>
        <v>0</v>
      </c>
      <c r="I128" s="872">
        <f>'11.销售及回款表'!K308</f>
        <v>0</v>
      </c>
      <c r="J128" s="872">
        <f>'11.销售及回款表'!L308</f>
        <v>0</v>
      </c>
      <c r="K128" s="871">
        <f>'11.销售及回款表'!M308</f>
        <v>0</v>
      </c>
      <c r="L128" s="872">
        <f>'11.销售及回款表'!N308</f>
        <v>0</v>
      </c>
      <c r="M128" s="872">
        <f>'11.销售及回款表'!O308</f>
        <v>0</v>
      </c>
      <c r="N128" s="872">
        <f>'11.销售及回款表'!P308</f>
        <v>0</v>
      </c>
      <c r="O128" s="871">
        <f>'11.销售及回款表'!Q308</f>
        <v>0</v>
      </c>
      <c r="P128" s="872">
        <f>'11.销售及回款表'!R308</f>
        <v>0</v>
      </c>
      <c r="Q128" s="872">
        <f>'11.销售及回款表'!S308</f>
        <v>0</v>
      </c>
      <c r="R128" s="872">
        <f>'11.销售及回款表'!T308</f>
        <v>0</v>
      </c>
      <c r="S128" s="871">
        <f>'11.销售及回款表'!U308</f>
        <v>0</v>
      </c>
      <c r="T128" s="872">
        <f>'11.销售及回款表'!V308</f>
        <v>0</v>
      </c>
      <c r="U128" s="872">
        <f>'11.销售及回款表'!W308</f>
        <v>0</v>
      </c>
      <c r="V128" s="872">
        <f>'11.销售及回款表'!X308</f>
        <v>0</v>
      </c>
      <c r="W128" s="871">
        <f>'11.销售及回款表'!Y308</f>
        <v>0</v>
      </c>
      <c r="X128" s="872">
        <f>'11.销售及回款表'!Z308</f>
        <v>0</v>
      </c>
      <c r="Y128" s="872">
        <f>'11.销售及回款表'!AA308</f>
        <v>0</v>
      </c>
      <c r="Z128" s="872">
        <f>'11.销售及回款表'!AB308</f>
        <v>0</v>
      </c>
      <c r="AA128" s="871">
        <f>'11.销售及回款表'!AC308</f>
        <v>0</v>
      </c>
      <c r="AB128" s="872">
        <f>'11.销售及回款表'!AD308</f>
        <v>0</v>
      </c>
      <c r="AC128" s="872">
        <f>'11.销售及回款表'!AE308</f>
        <v>0</v>
      </c>
      <c r="AD128" s="872">
        <f>'11.销售及回款表'!AF308</f>
        <v>0</v>
      </c>
      <c r="AE128" s="871">
        <f>'11.销售及回款表'!AG308</f>
        <v>0</v>
      </c>
      <c r="AF128" s="872">
        <f>'11.销售及回款表'!AH308</f>
        <v>0</v>
      </c>
      <c r="AG128" s="872">
        <f>'11.销售及回款表'!AI308</f>
        <v>0</v>
      </c>
      <c r="AH128" s="872">
        <f>'11.销售及回款表'!AJ308</f>
        <v>0</v>
      </c>
      <c r="AI128" s="871">
        <f>'11.销售及回款表'!AK308</f>
        <v>0</v>
      </c>
      <c r="AJ128" s="872">
        <f>'11.销售及回款表'!AL308</f>
        <v>0</v>
      </c>
      <c r="AK128" s="872">
        <f>'11.销售及回款表'!AM308</f>
        <v>0</v>
      </c>
      <c r="AL128" s="872">
        <f>'11.销售及回款表'!AN308</f>
        <v>0</v>
      </c>
      <c r="AM128" s="871">
        <f>'11.销售及回款表'!AO308</f>
        <v>0</v>
      </c>
      <c r="AN128" s="872">
        <f>'11.销售及回款表'!AP308</f>
        <v>0</v>
      </c>
      <c r="AO128" s="872">
        <f>'11.销售及回款表'!AQ308</f>
        <v>0</v>
      </c>
      <c r="AP128" s="872">
        <f>'11.销售及回款表'!AR308</f>
        <v>0</v>
      </c>
      <c r="AQ128" s="871">
        <f>'11.销售及回款表'!AS308</f>
        <v>0</v>
      </c>
      <c r="AR128" s="872">
        <f>'11.销售及回款表'!AT308</f>
        <v>0</v>
      </c>
      <c r="AS128" s="872">
        <f>'11.销售及回款表'!AU308</f>
        <v>0</v>
      </c>
      <c r="AT128" s="872">
        <f>'11.销售及回款表'!AV308</f>
        <v>0</v>
      </c>
    </row>
    <row r="129" spans="1:46" s="77" customFormat="1" ht="18" customHeight="1" outlineLevel="2">
      <c r="A129" s="869">
        <f>'8.项目规划指标表'!B$8</f>
        <v>0</v>
      </c>
      <c r="B129" s="870">
        <f t="shared" si="15"/>
        <v>0</v>
      </c>
      <c r="C129" s="871">
        <f>'11.销售及回款表'!E313</f>
        <v>0</v>
      </c>
      <c r="D129" s="872">
        <f>'11.销售及回款表'!F313</f>
        <v>0</v>
      </c>
      <c r="E129" s="872">
        <f>'11.销售及回款表'!G313</f>
        <v>0</v>
      </c>
      <c r="F129" s="872">
        <f>'11.销售及回款表'!H313</f>
        <v>0</v>
      </c>
      <c r="G129" s="871">
        <f>'11.销售及回款表'!I313</f>
        <v>0</v>
      </c>
      <c r="H129" s="872">
        <f>'11.销售及回款表'!J313</f>
        <v>0</v>
      </c>
      <c r="I129" s="872">
        <f>'11.销售及回款表'!K313</f>
        <v>0</v>
      </c>
      <c r="J129" s="872">
        <f>'11.销售及回款表'!L313</f>
        <v>0</v>
      </c>
      <c r="K129" s="871">
        <f>'11.销售及回款表'!M313</f>
        <v>0</v>
      </c>
      <c r="L129" s="872">
        <f>'11.销售及回款表'!N313</f>
        <v>0</v>
      </c>
      <c r="M129" s="872">
        <f>'11.销售及回款表'!O313</f>
        <v>0</v>
      </c>
      <c r="N129" s="872">
        <f>'11.销售及回款表'!P313</f>
        <v>0</v>
      </c>
      <c r="O129" s="871">
        <f>'11.销售及回款表'!Q313</f>
        <v>0</v>
      </c>
      <c r="P129" s="872">
        <f>'11.销售及回款表'!R313</f>
        <v>0</v>
      </c>
      <c r="Q129" s="872">
        <f>'11.销售及回款表'!S313</f>
        <v>0</v>
      </c>
      <c r="R129" s="872">
        <f>'11.销售及回款表'!T313</f>
        <v>0</v>
      </c>
      <c r="S129" s="871">
        <f>'11.销售及回款表'!U313</f>
        <v>0</v>
      </c>
      <c r="T129" s="872">
        <f>'11.销售及回款表'!V313</f>
        <v>0</v>
      </c>
      <c r="U129" s="872">
        <f>'11.销售及回款表'!W313</f>
        <v>0</v>
      </c>
      <c r="V129" s="872">
        <f>'11.销售及回款表'!X313</f>
        <v>0</v>
      </c>
      <c r="W129" s="871">
        <f>'11.销售及回款表'!Y313</f>
        <v>0</v>
      </c>
      <c r="X129" s="872">
        <f>'11.销售及回款表'!Z313</f>
        <v>0</v>
      </c>
      <c r="Y129" s="872">
        <f>'11.销售及回款表'!AA313</f>
        <v>0</v>
      </c>
      <c r="Z129" s="872">
        <f>'11.销售及回款表'!AB313</f>
        <v>0</v>
      </c>
      <c r="AA129" s="871">
        <f>'11.销售及回款表'!AC313</f>
        <v>0</v>
      </c>
      <c r="AB129" s="872">
        <f>'11.销售及回款表'!AD313</f>
        <v>0</v>
      </c>
      <c r="AC129" s="872">
        <f>'11.销售及回款表'!AE313</f>
        <v>0</v>
      </c>
      <c r="AD129" s="872">
        <f>'11.销售及回款表'!AF313</f>
        <v>0</v>
      </c>
      <c r="AE129" s="871">
        <f>'11.销售及回款表'!AG313</f>
        <v>0</v>
      </c>
      <c r="AF129" s="872">
        <f>'11.销售及回款表'!AH313</f>
        <v>0</v>
      </c>
      <c r="AG129" s="872">
        <f>'11.销售及回款表'!AI313</f>
        <v>0</v>
      </c>
      <c r="AH129" s="872">
        <f>'11.销售及回款表'!AJ313</f>
        <v>0</v>
      </c>
      <c r="AI129" s="871">
        <f>'11.销售及回款表'!AK313</f>
        <v>0</v>
      </c>
      <c r="AJ129" s="872">
        <f>'11.销售及回款表'!AL313</f>
        <v>0</v>
      </c>
      <c r="AK129" s="872">
        <f>'11.销售及回款表'!AM313</f>
        <v>0</v>
      </c>
      <c r="AL129" s="872">
        <f>'11.销售及回款表'!AN313</f>
        <v>0</v>
      </c>
      <c r="AM129" s="871">
        <f>'11.销售及回款表'!AO313</f>
        <v>0</v>
      </c>
      <c r="AN129" s="872">
        <f>'11.销售及回款表'!AP313</f>
        <v>0</v>
      </c>
      <c r="AO129" s="872">
        <f>'11.销售及回款表'!AQ313</f>
        <v>0</v>
      </c>
      <c r="AP129" s="872">
        <f>'11.销售及回款表'!AR313</f>
        <v>0</v>
      </c>
      <c r="AQ129" s="871">
        <f>'11.销售及回款表'!AS313</f>
        <v>0</v>
      </c>
      <c r="AR129" s="872">
        <f>'11.销售及回款表'!AT313</f>
        <v>0</v>
      </c>
      <c r="AS129" s="872">
        <f>'11.销售及回款表'!AU313</f>
        <v>0</v>
      </c>
      <c r="AT129" s="872">
        <f>'11.销售及回款表'!AV313</f>
        <v>0</v>
      </c>
    </row>
    <row r="130" spans="1:46" s="77" customFormat="1" ht="18" customHeight="1" outlineLevel="2">
      <c r="A130" s="869">
        <f>'8.项目规划指标表'!B$9</f>
        <v>0</v>
      </c>
      <c r="B130" s="870">
        <f t="shared" si="15"/>
        <v>0</v>
      </c>
      <c r="C130" s="871">
        <f>'11.销售及回款表'!E318</f>
        <v>0</v>
      </c>
      <c r="D130" s="872">
        <f>'11.销售及回款表'!F318</f>
        <v>0</v>
      </c>
      <c r="E130" s="872">
        <f>'11.销售及回款表'!G318</f>
        <v>0</v>
      </c>
      <c r="F130" s="872">
        <f>'11.销售及回款表'!H318</f>
        <v>0</v>
      </c>
      <c r="G130" s="871">
        <f>'11.销售及回款表'!I318</f>
        <v>0</v>
      </c>
      <c r="H130" s="872">
        <f>'11.销售及回款表'!J318</f>
        <v>0</v>
      </c>
      <c r="I130" s="872">
        <f>'11.销售及回款表'!K318</f>
        <v>0</v>
      </c>
      <c r="J130" s="872">
        <f>'11.销售及回款表'!L318</f>
        <v>0</v>
      </c>
      <c r="K130" s="871">
        <f>'11.销售及回款表'!M318</f>
        <v>0</v>
      </c>
      <c r="L130" s="872">
        <f>'11.销售及回款表'!N318</f>
        <v>0</v>
      </c>
      <c r="M130" s="872">
        <f>'11.销售及回款表'!O318</f>
        <v>0</v>
      </c>
      <c r="N130" s="872">
        <f>'11.销售及回款表'!P318</f>
        <v>0</v>
      </c>
      <c r="O130" s="871">
        <f>'11.销售及回款表'!Q318</f>
        <v>0</v>
      </c>
      <c r="P130" s="872">
        <f>'11.销售及回款表'!R318</f>
        <v>0</v>
      </c>
      <c r="Q130" s="872">
        <f>'11.销售及回款表'!S318</f>
        <v>0</v>
      </c>
      <c r="R130" s="872">
        <f>'11.销售及回款表'!T318</f>
        <v>0</v>
      </c>
      <c r="S130" s="871">
        <f>'11.销售及回款表'!U318</f>
        <v>0</v>
      </c>
      <c r="T130" s="872">
        <f>'11.销售及回款表'!V318</f>
        <v>0</v>
      </c>
      <c r="U130" s="872">
        <f>'11.销售及回款表'!W318</f>
        <v>0</v>
      </c>
      <c r="V130" s="872">
        <f>'11.销售及回款表'!X318</f>
        <v>0</v>
      </c>
      <c r="W130" s="871">
        <f>'11.销售及回款表'!Y318</f>
        <v>0</v>
      </c>
      <c r="X130" s="872">
        <f>'11.销售及回款表'!Z318</f>
        <v>0</v>
      </c>
      <c r="Y130" s="872">
        <f>'11.销售及回款表'!AA318</f>
        <v>0</v>
      </c>
      <c r="Z130" s="872">
        <f>'11.销售及回款表'!AB318</f>
        <v>0</v>
      </c>
      <c r="AA130" s="871">
        <f>'11.销售及回款表'!AC318</f>
        <v>0</v>
      </c>
      <c r="AB130" s="872">
        <f>'11.销售及回款表'!AD318</f>
        <v>0</v>
      </c>
      <c r="AC130" s="872">
        <f>'11.销售及回款表'!AE318</f>
        <v>0</v>
      </c>
      <c r="AD130" s="872">
        <f>'11.销售及回款表'!AF318</f>
        <v>0</v>
      </c>
      <c r="AE130" s="871">
        <f>'11.销售及回款表'!AG318</f>
        <v>0</v>
      </c>
      <c r="AF130" s="872">
        <f>'11.销售及回款表'!AH318</f>
        <v>0</v>
      </c>
      <c r="AG130" s="872">
        <f>'11.销售及回款表'!AI318</f>
        <v>0</v>
      </c>
      <c r="AH130" s="872">
        <f>'11.销售及回款表'!AJ318</f>
        <v>0</v>
      </c>
      <c r="AI130" s="871">
        <f>'11.销售及回款表'!AK318</f>
        <v>0</v>
      </c>
      <c r="AJ130" s="872">
        <f>'11.销售及回款表'!AL318</f>
        <v>0</v>
      </c>
      <c r="AK130" s="872">
        <f>'11.销售及回款表'!AM318</f>
        <v>0</v>
      </c>
      <c r="AL130" s="872">
        <f>'11.销售及回款表'!AN318</f>
        <v>0</v>
      </c>
      <c r="AM130" s="871">
        <f>'11.销售及回款表'!AO318</f>
        <v>0</v>
      </c>
      <c r="AN130" s="872">
        <f>'11.销售及回款表'!AP318</f>
        <v>0</v>
      </c>
      <c r="AO130" s="872">
        <f>'11.销售及回款表'!AQ318</f>
        <v>0</v>
      </c>
      <c r="AP130" s="872">
        <f>'11.销售及回款表'!AR318</f>
        <v>0</v>
      </c>
      <c r="AQ130" s="871">
        <f>'11.销售及回款表'!AS318</f>
        <v>0</v>
      </c>
      <c r="AR130" s="872">
        <f>'11.销售及回款表'!AT318</f>
        <v>0</v>
      </c>
      <c r="AS130" s="872">
        <f>'11.销售及回款表'!AU318</f>
        <v>0</v>
      </c>
      <c r="AT130" s="872">
        <f>'11.销售及回款表'!AV318</f>
        <v>0</v>
      </c>
    </row>
    <row r="131" spans="1:46" s="77" customFormat="1" ht="18" customHeight="1" outlineLevel="2">
      <c r="A131" s="869">
        <f>'8.项目规划指标表'!B$10</f>
        <v>0</v>
      </c>
      <c r="B131" s="870">
        <f t="shared" si="15"/>
        <v>0</v>
      </c>
      <c r="C131" s="871">
        <f>'11.销售及回款表'!E323</f>
        <v>0</v>
      </c>
      <c r="D131" s="872">
        <f>'11.销售及回款表'!F323</f>
        <v>0</v>
      </c>
      <c r="E131" s="872">
        <f>'11.销售及回款表'!G323</f>
        <v>0</v>
      </c>
      <c r="F131" s="872">
        <f>'11.销售及回款表'!H323</f>
        <v>0</v>
      </c>
      <c r="G131" s="871">
        <f>'11.销售及回款表'!I323</f>
        <v>0</v>
      </c>
      <c r="H131" s="872">
        <f>'11.销售及回款表'!J323</f>
        <v>0</v>
      </c>
      <c r="I131" s="872">
        <f>'11.销售及回款表'!K323</f>
        <v>0</v>
      </c>
      <c r="J131" s="872">
        <f>'11.销售及回款表'!L323</f>
        <v>0</v>
      </c>
      <c r="K131" s="871">
        <f>'11.销售及回款表'!M323</f>
        <v>0</v>
      </c>
      <c r="L131" s="872">
        <f>'11.销售及回款表'!N323</f>
        <v>0</v>
      </c>
      <c r="M131" s="872">
        <f>'11.销售及回款表'!O323</f>
        <v>0</v>
      </c>
      <c r="N131" s="872">
        <f>'11.销售及回款表'!P323</f>
        <v>0</v>
      </c>
      <c r="O131" s="871">
        <f>'11.销售及回款表'!Q323</f>
        <v>0</v>
      </c>
      <c r="P131" s="872">
        <f>'11.销售及回款表'!R323</f>
        <v>0</v>
      </c>
      <c r="Q131" s="872">
        <f>'11.销售及回款表'!S323</f>
        <v>0</v>
      </c>
      <c r="R131" s="872">
        <f>'11.销售及回款表'!T323</f>
        <v>0</v>
      </c>
      <c r="S131" s="871">
        <f>'11.销售及回款表'!U323</f>
        <v>0</v>
      </c>
      <c r="T131" s="872">
        <f>'11.销售及回款表'!V323</f>
        <v>0</v>
      </c>
      <c r="U131" s="872">
        <f>'11.销售及回款表'!W323</f>
        <v>0</v>
      </c>
      <c r="V131" s="872">
        <f>'11.销售及回款表'!X323</f>
        <v>0</v>
      </c>
      <c r="W131" s="871">
        <f>'11.销售及回款表'!Y323</f>
        <v>0</v>
      </c>
      <c r="X131" s="872">
        <f>'11.销售及回款表'!Z323</f>
        <v>0</v>
      </c>
      <c r="Y131" s="872">
        <f>'11.销售及回款表'!AA323</f>
        <v>0</v>
      </c>
      <c r="Z131" s="872">
        <f>'11.销售及回款表'!AB323</f>
        <v>0</v>
      </c>
      <c r="AA131" s="871">
        <f>'11.销售及回款表'!AC323</f>
        <v>0</v>
      </c>
      <c r="AB131" s="872">
        <f>'11.销售及回款表'!AD323</f>
        <v>0</v>
      </c>
      <c r="AC131" s="872">
        <f>'11.销售及回款表'!AE323</f>
        <v>0</v>
      </c>
      <c r="AD131" s="872">
        <f>'11.销售及回款表'!AF323</f>
        <v>0</v>
      </c>
      <c r="AE131" s="871">
        <f>'11.销售及回款表'!AG323</f>
        <v>0</v>
      </c>
      <c r="AF131" s="872">
        <f>'11.销售及回款表'!AH323</f>
        <v>0</v>
      </c>
      <c r="AG131" s="872">
        <f>'11.销售及回款表'!AI323</f>
        <v>0</v>
      </c>
      <c r="AH131" s="872">
        <f>'11.销售及回款表'!AJ323</f>
        <v>0</v>
      </c>
      <c r="AI131" s="871">
        <f>'11.销售及回款表'!AK323</f>
        <v>0</v>
      </c>
      <c r="AJ131" s="872">
        <f>'11.销售及回款表'!AL323</f>
        <v>0</v>
      </c>
      <c r="AK131" s="872">
        <f>'11.销售及回款表'!AM323</f>
        <v>0</v>
      </c>
      <c r="AL131" s="872">
        <f>'11.销售及回款表'!AN323</f>
        <v>0</v>
      </c>
      <c r="AM131" s="871">
        <f>'11.销售及回款表'!AO323</f>
        <v>0</v>
      </c>
      <c r="AN131" s="872">
        <f>'11.销售及回款表'!AP323</f>
        <v>0</v>
      </c>
      <c r="AO131" s="872">
        <f>'11.销售及回款表'!AQ323</f>
        <v>0</v>
      </c>
      <c r="AP131" s="872">
        <f>'11.销售及回款表'!AR323</f>
        <v>0</v>
      </c>
      <c r="AQ131" s="871">
        <f>'11.销售及回款表'!AS323</f>
        <v>0</v>
      </c>
      <c r="AR131" s="872">
        <f>'11.销售及回款表'!AT323</f>
        <v>0</v>
      </c>
      <c r="AS131" s="872">
        <f>'11.销售及回款表'!AU323</f>
        <v>0</v>
      </c>
      <c r="AT131" s="872">
        <f>'11.销售及回款表'!AV323</f>
        <v>0</v>
      </c>
    </row>
    <row r="132" spans="1:46" s="77" customFormat="1" ht="18" customHeight="1" outlineLevel="2">
      <c r="A132" s="869">
        <f>'8.项目规划指标表'!B$11</f>
        <v>0</v>
      </c>
      <c r="B132" s="870">
        <f t="shared" si="15"/>
        <v>0</v>
      </c>
      <c r="C132" s="871">
        <f>'11.销售及回款表'!E328</f>
        <v>0</v>
      </c>
      <c r="D132" s="872">
        <f>'11.销售及回款表'!F328</f>
        <v>0</v>
      </c>
      <c r="E132" s="872">
        <f>'11.销售及回款表'!G328</f>
        <v>0</v>
      </c>
      <c r="F132" s="872">
        <f>'11.销售及回款表'!H328</f>
        <v>0</v>
      </c>
      <c r="G132" s="871">
        <f>'11.销售及回款表'!I328</f>
        <v>0</v>
      </c>
      <c r="H132" s="872">
        <f>'11.销售及回款表'!J328</f>
        <v>0</v>
      </c>
      <c r="I132" s="872">
        <f>'11.销售及回款表'!K328</f>
        <v>0</v>
      </c>
      <c r="J132" s="872">
        <f>'11.销售及回款表'!L328</f>
        <v>0</v>
      </c>
      <c r="K132" s="871">
        <f>'11.销售及回款表'!M328</f>
        <v>0</v>
      </c>
      <c r="L132" s="872">
        <f>'11.销售及回款表'!N328</f>
        <v>0</v>
      </c>
      <c r="M132" s="872">
        <f>'11.销售及回款表'!O328</f>
        <v>0</v>
      </c>
      <c r="N132" s="872">
        <f>'11.销售及回款表'!P328</f>
        <v>0</v>
      </c>
      <c r="O132" s="871">
        <f>'11.销售及回款表'!Q328</f>
        <v>0</v>
      </c>
      <c r="P132" s="872">
        <f>'11.销售及回款表'!R328</f>
        <v>0</v>
      </c>
      <c r="Q132" s="872">
        <f>'11.销售及回款表'!S328</f>
        <v>0</v>
      </c>
      <c r="R132" s="872">
        <f>'11.销售及回款表'!T328</f>
        <v>0</v>
      </c>
      <c r="S132" s="871">
        <f>'11.销售及回款表'!U328</f>
        <v>0</v>
      </c>
      <c r="T132" s="872">
        <f>'11.销售及回款表'!V328</f>
        <v>0</v>
      </c>
      <c r="U132" s="872">
        <f>'11.销售及回款表'!W328</f>
        <v>0</v>
      </c>
      <c r="V132" s="872">
        <f>'11.销售及回款表'!X328</f>
        <v>0</v>
      </c>
      <c r="W132" s="871">
        <f>'11.销售及回款表'!Y328</f>
        <v>0</v>
      </c>
      <c r="X132" s="872">
        <f>'11.销售及回款表'!Z328</f>
        <v>0</v>
      </c>
      <c r="Y132" s="872">
        <f>'11.销售及回款表'!AA328</f>
        <v>0</v>
      </c>
      <c r="Z132" s="872">
        <f>'11.销售及回款表'!AB328</f>
        <v>0</v>
      </c>
      <c r="AA132" s="871">
        <f>'11.销售及回款表'!AC328</f>
        <v>0</v>
      </c>
      <c r="AB132" s="872">
        <f>'11.销售及回款表'!AD328</f>
        <v>0</v>
      </c>
      <c r="AC132" s="872">
        <f>'11.销售及回款表'!AE328</f>
        <v>0</v>
      </c>
      <c r="AD132" s="872">
        <f>'11.销售及回款表'!AF328</f>
        <v>0</v>
      </c>
      <c r="AE132" s="871">
        <f>'11.销售及回款表'!AG328</f>
        <v>0</v>
      </c>
      <c r="AF132" s="872">
        <f>'11.销售及回款表'!AH328</f>
        <v>0</v>
      </c>
      <c r="AG132" s="872">
        <f>'11.销售及回款表'!AI328</f>
        <v>0</v>
      </c>
      <c r="AH132" s="872">
        <f>'11.销售及回款表'!AJ328</f>
        <v>0</v>
      </c>
      <c r="AI132" s="871">
        <f>'11.销售及回款表'!AK328</f>
        <v>0</v>
      </c>
      <c r="AJ132" s="872">
        <f>'11.销售及回款表'!AL328</f>
        <v>0</v>
      </c>
      <c r="AK132" s="872">
        <f>'11.销售及回款表'!AM328</f>
        <v>0</v>
      </c>
      <c r="AL132" s="872">
        <f>'11.销售及回款表'!AN328</f>
        <v>0</v>
      </c>
      <c r="AM132" s="871">
        <f>'11.销售及回款表'!AO328</f>
        <v>0</v>
      </c>
      <c r="AN132" s="872">
        <f>'11.销售及回款表'!AP328</f>
        <v>0</v>
      </c>
      <c r="AO132" s="872">
        <f>'11.销售及回款表'!AQ328</f>
        <v>0</v>
      </c>
      <c r="AP132" s="872">
        <f>'11.销售及回款表'!AR328</f>
        <v>0</v>
      </c>
      <c r="AQ132" s="871">
        <f>'11.销售及回款表'!AS328</f>
        <v>0</v>
      </c>
      <c r="AR132" s="872">
        <f>'11.销售及回款表'!AT328</f>
        <v>0</v>
      </c>
      <c r="AS132" s="872">
        <f>'11.销售及回款表'!AU328</f>
        <v>0</v>
      </c>
      <c r="AT132" s="872">
        <f>'11.销售及回款表'!AV328</f>
        <v>0</v>
      </c>
    </row>
    <row r="133" spans="1:46" s="77" customFormat="1" ht="18" customHeight="1" outlineLevel="2">
      <c r="A133" s="869">
        <f>'8.项目规划指标表'!B$12</f>
        <v>0</v>
      </c>
      <c r="B133" s="870">
        <f t="shared" si="15"/>
        <v>0</v>
      </c>
      <c r="C133" s="871">
        <f>'11.销售及回款表'!E333</f>
        <v>0</v>
      </c>
      <c r="D133" s="872">
        <f>'11.销售及回款表'!F333</f>
        <v>0</v>
      </c>
      <c r="E133" s="872">
        <f>'11.销售及回款表'!G333</f>
        <v>0</v>
      </c>
      <c r="F133" s="872">
        <f>'11.销售及回款表'!H333</f>
        <v>0</v>
      </c>
      <c r="G133" s="871">
        <f>'11.销售及回款表'!I333</f>
        <v>0</v>
      </c>
      <c r="H133" s="872">
        <f>'11.销售及回款表'!J333</f>
        <v>0</v>
      </c>
      <c r="I133" s="872">
        <f>'11.销售及回款表'!K333</f>
        <v>0</v>
      </c>
      <c r="J133" s="872">
        <f>'11.销售及回款表'!L333</f>
        <v>0</v>
      </c>
      <c r="K133" s="871">
        <f>'11.销售及回款表'!M333</f>
        <v>0</v>
      </c>
      <c r="L133" s="872">
        <f>'11.销售及回款表'!N333</f>
        <v>0</v>
      </c>
      <c r="M133" s="872">
        <f>'11.销售及回款表'!O333</f>
        <v>0</v>
      </c>
      <c r="N133" s="872">
        <f>'11.销售及回款表'!P333</f>
        <v>0</v>
      </c>
      <c r="O133" s="871">
        <f>'11.销售及回款表'!Q333</f>
        <v>0</v>
      </c>
      <c r="P133" s="872">
        <f>'11.销售及回款表'!R333</f>
        <v>0</v>
      </c>
      <c r="Q133" s="872">
        <f>'11.销售及回款表'!S333</f>
        <v>0</v>
      </c>
      <c r="R133" s="872">
        <f>'11.销售及回款表'!T333</f>
        <v>0</v>
      </c>
      <c r="S133" s="871">
        <f>'11.销售及回款表'!U333</f>
        <v>0</v>
      </c>
      <c r="T133" s="872">
        <f>'11.销售及回款表'!V333</f>
        <v>0</v>
      </c>
      <c r="U133" s="872">
        <f>'11.销售及回款表'!W333</f>
        <v>0</v>
      </c>
      <c r="V133" s="872">
        <f>'11.销售及回款表'!X333</f>
        <v>0</v>
      </c>
      <c r="W133" s="871">
        <f>'11.销售及回款表'!Y333</f>
        <v>0</v>
      </c>
      <c r="X133" s="872">
        <f>'11.销售及回款表'!Z333</f>
        <v>0</v>
      </c>
      <c r="Y133" s="872">
        <f>'11.销售及回款表'!AA333</f>
        <v>0</v>
      </c>
      <c r="Z133" s="872">
        <f>'11.销售及回款表'!AB333</f>
        <v>0</v>
      </c>
      <c r="AA133" s="871">
        <f>'11.销售及回款表'!AC333</f>
        <v>0</v>
      </c>
      <c r="AB133" s="872">
        <f>'11.销售及回款表'!AD333</f>
        <v>0</v>
      </c>
      <c r="AC133" s="872">
        <f>'11.销售及回款表'!AE333</f>
        <v>0</v>
      </c>
      <c r="AD133" s="872">
        <f>'11.销售及回款表'!AF333</f>
        <v>0</v>
      </c>
      <c r="AE133" s="871">
        <f>'11.销售及回款表'!AG333</f>
        <v>0</v>
      </c>
      <c r="AF133" s="872">
        <f>'11.销售及回款表'!AH333</f>
        <v>0</v>
      </c>
      <c r="AG133" s="872">
        <f>'11.销售及回款表'!AI333</f>
        <v>0</v>
      </c>
      <c r="AH133" s="872">
        <f>'11.销售及回款表'!AJ333</f>
        <v>0</v>
      </c>
      <c r="AI133" s="871">
        <f>'11.销售及回款表'!AK333</f>
        <v>0</v>
      </c>
      <c r="AJ133" s="872">
        <f>'11.销售及回款表'!AL333</f>
        <v>0</v>
      </c>
      <c r="AK133" s="872">
        <f>'11.销售及回款表'!AM333</f>
        <v>0</v>
      </c>
      <c r="AL133" s="872">
        <f>'11.销售及回款表'!AN333</f>
        <v>0</v>
      </c>
      <c r="AM133" s="871">
        <f>'11.销售及回款表'!AO333</f>
        <v>0</v>
      </c>
      <c r="AN133" s="872">
        <f>'11.销售及回款表'!AP333</f>
        <v>0</v>
      </c>
      <c r="AO133" s="872">
        <f>'11.销售及回款表'!AQ333</f>
        <v>0</v>
      </c>
      <c r="AP133" s="872">
        <f>'11.销售及回款表'!AR333</f>
        <v>0</v>
      </c>
      <c r="AQ133" s="871">
        <f>'11.销售及回款表'!AS333</f>
        <v>0</v>
      </c>
      <c r="AR133" s="872">
        <f>'11.销售及回款表'!AT333</f>
        <v>0</v>
      </c>
      <c r="AS133" s="872">
        <f>'11.销售及回款表'!AU333</f>
        <v>0</v>
      </c>
      <c r="AT133" s="872">
        <f>'11.销售及回款表'!AV333</f>
        <v>0</v>
      </c>
    </row>
    <row r="134" spans="1:46" s="77" customFormat="1" ht="18" customHeight="1" outlineLevel="2">
      <c r="A134" s="869">
        <f>'8.项目规划指标表'!B$13</f>
        <v>0</v>
      </c>
      <c r="B134" s="870">
        <f t="shared" si="15"/>
        <v>0</v>
      </c>
      <c r="C134" s="871">
        <f>'11.销售及回款表'!E338</f>
        <v>0</v>
      </c>
      <c r="D134" s="872">
        <f>'11.销售及回款表'!F338</f>
        <v>0</v>
      </c>
      <c r="E134" s="872">
        <f>'11.销售及回款表'!G338</f>
        <v>0</v>
      </c>
      <c r="F134" s="872">
        <f>'11.销售及回款表'!H338</f>
        <v>0</v>
      </c>
      <c r="G134" s="871">
        <f>'11.销售及回款表'!I338</f>
        <v>0</v>
      </c>
      <c r="H134" s="872">
        <f>'11.销售及回款表'!J338</f>
        <v>0</v>
      </c>
      <c r="I134" s="872">
        <f>'11.销售及回款表'!K338</f>
        <v>0</v>
      </c>
      <c r="J134" s="872">
        <f>'11.销售及回款表'!L338</f>
        <v>0</v>
      </c>
      <c r="K134" s="871">
        <f>'11.销售及回款表'!M338</f>
        <v>0</v>
      </c>
      <c r="L134" s="872">
        <f>'11.销售及回款表'!N338</f>
        <v>0</v>
      </c>
      <c r="M134" s="872">
        <f>'11.销售及回款表'!O338</f>
        <v>0</v>
      </c>
      <c r="N134" s="872">
        <f>'11.销售及回款表'!P338</f>
        <v>0</v>
      </c>
      <c r="O134" s="871">
        <f>'11.销售及回款表'!Q338</f>
        <v>0</v>
      </c>
      <c r="P134" s="872">
        <f>'11.销售及回款表'!R338</f>
        <v>0</v>
      </c>
      <c r="Q134" s="872">
        <f>'11.销售及回款表'!S338</f>
        <v>0</v>
      </c>
      <c r="R134" s="872">
        <f>'11.销售及回款表'!T338</f>
        <v>0</v>
      </c>
      <c r="S134" s="871">
        <f>'11.销售及回款表'!U338</f>
        <v>0</v>
      </c>
      <c r="T134" s="872">
        <f>'11.销售及回款表'!V338</f>
        <v>0</v>
      </c>
      <c r="U134" s="872">
        <f>'11.销售及回款表'!W338</f>
        <v>0</v>
      </c>
      <c r="V134" s="872">
        <f>'11.销售及回款表'!X338</f>
        <v>0</v>
      </c>
      <c r="W134" s="871">
        <f>'11.销售及回款表'!Y338</f>
        <v>0</v>
      </c>
      <c r="X134" s="872">
        <f>'11.销售及回款表'!Z338</f>
        <v>0</v>
      </c>
      <c r="Y134" s="872">
        <f>'11.销售及回款表'!AA338</f>
        <v>0</v>
      </c>
      <c r="Z134" s="872">
        <f>'11.销售及回款表'!AB338</f>
        <v>0</v>
      </c>
      <c r="AA134" s="871">
        <f>'11.销售及回款表'!AC338</f>
        <v>0</v>
      </c>
      <c r="AB134" s="872">
        <f>'11.销售及回款表'!AD338</f>
        <v>0</v>
      </c>
      <c r="AC134" s="872">
        <f>'11.销售及回款表'!AE338</f>
        <v>0</v>
      </c>
      <c r="AD134" s="872">
        <f>'11.销售及回款表'!AF338</f>
        <v>0</v>
      </c>
      <c r="AE134" s="871">
        <f>'11.销售及回款表'!AG338</f>
        <v>0</v>
      </c>
      <c r="AF134" s="872">
        <f>'11.销售及回款表'!AH338</f>
        <v>0</v>
      </c>
      <c r="AG134" s="872">
        <f>'11.销售及回款表'!AI338</f>
        <v>0</v>
      </c>
      <c r="AH134" s="872">
        <f>'11.销售及回款表'!AJ338</f>
        <v>0</v>
      </c>
      <c r="AI134" s="871">
        <f>'11.销售及回款表'!AK338</f>
        <v>0</v>
      </c>
      <c r="AJ134" s="872">
        <f>'11.销售及回款表'!AL338</f>
        <v>0</v>
      </c>
      <c r="AK134" s="872">
        <f>'11.销售及回款表'!AM338</f>
        <v>0</v>
      </c>
      <c r="AL134" s="872">
        <f>'11.销售及回款表'!AN338</f>
        <v>0</v>
      </c>
      <c r="AM134" s="871">
        <f>'11.销售及回款表'!AO338</f>
        <v>0</v>
      </c>
      <c r="AN134" s="872">
        <f>'11.销售及回款表'!AP338</f>
        <v>0</v>
      </c>
      <c r="AO134" s="872">
        <f>'11.销售及回款表'!AQ338</f>
        <v>0</v>
      </c>
      <c r="AP134" s="872">
        <f>'11.销售及回款表'!AR338</f>
        <v>0</v>
      </c>
      <c r="AQ134" s="871">
        <f>'11.销售及回款表'!AS338</f>
        <v>0</v>
      </c>
      <c r="AR134" s="872">
        <f>'11.销售及回款表'!AT338</f>
        <v>0</v>
      </c>
      <c r="AS134" s="872">
        <f>'11.销售及回款表'!AU338</f>
        <v>0</v>
      </c>
      <c r="AT134" s="872">
        <f>'11.销售及回款表'!AV338</f>
        <v>0</v>
      </c>
    </row>
    <row r="135" spans="1:46" s="77" customFormat="1" ht="18" customHeight="1" outlineLevel="2">
      <c r="A135" s="869" t="str">
        <f>'8.项目规划指标表'!B$14</f>
        <v>自持物业</v>
      </c>
      <c r="B135" s="870">
        <f t="shared" si="15"/>
        <v>0</v>
      </c>
      <c r="C135" s="871">
        <f>'11.销售及回款表'!E343</f>
        <v>0</v>
      </c>
      <c r="D135" s="872">
        <f>'11.销售及回款表'!F343</f>
        <v>0</v>
      </c>
      <c r="E135" s="872">
        <f>'11.销售及回款表'!G343</f>
        <v>0</v>
      </c>
      <c r="F135" s="872">
        <f>'11.销售及回款表'!H343</f>
        <v>0</v>
      </c>
      <c r="G135" s="871">
        <f>'11.销售及回款表'!I343</f>
        <v>0</v>
      </c>
      <c r="H135" s="872">
        <f>'11.销售及回款表'!J343</f>
        <v>0</v>
      </c>
      <c r="I135" s="872">
        <f>'11.销售及回款表'!K343</f>
        <v>0</v>
      </c>
      <c r="J135" s="872">
        <f>'11.销售及回款表'!L343</f>
        <v>0</v>
      </c>
      <c r="K135" s="871">
        <f>'11.销售及回款表'!M343</f>
        <v>0</v>
      </c>
      <c r="L135" s="872">
        <f>'11.销售及回款表'!N343</f>
        <v>0</v>
      </c>
      <c r="M135" s="872">
        <f>'11.销售及回款表'!O343</f>
        <v>0</v>
      </c>
      <c r="N135" s="872">
        <f>'11.销售及回款表'!P343</f>
        <v>0</v>
      </c>
      <c r="O135" s="871">
        <f>'11.销售及回款表'!Q343</f>
        <v>0</v>
      </c>
      <c r="P135" s="872">
        <f>'11.销售及回款表'!R343</f>
        <v>0</v>
      </c>
      <c r="Q135" s="872">
        <f>'11.销售及回款表'!S343</f>
        <v>0</v>
      </c>
      <c r="R135" s="872">
        <f>'11.销售及回款表'!T343</f>
        <v>0</v>
      </c>
      <c r="S135" s="871">
        <f>'11.销售及回款表'!U343</f>
        <v>0</v>
      </c>
      <c r="T135" s="872">
        <f>'11.销售及回款表'!V343</f>
        <v>0</v>
      </c>
      <c r="U135" s="872">
        <f>'11.销售及回款表'!W343</f>
        <v>0</v>
      </c>
      <c r="V135" s="872">
        <f>'11.销售及回款表'!X343</f>
        <v>0</v>
      </c>
      <c r="W135" s="871">
        <f>'11.销售及回款表'!Y343</f>
        <v>0</v>
      </c>
      <c r="X135" s="872">
        <f>'11.销售及回款表'!Z343</f>
        <v>0</v>
      </c>
      <c r="Y135" s="872">
        <f>'11.销售及回款表'!AA343</f>
        <v>0</v>
      </c>
      <c r="Z135" s="872">
        <f>'11.销售及回款表'!AB343</f>
        <v>0</v>
      </c>
      <c r="AA135" s="871">
        <f>'11.销售及回款表'!AC343</f>
        <v>0</v>
      </c>
      <c r="AB135" s="872">
        <f>'11.销售及回款表'!AD343</f>
        <v>0</v>
      </c>
      <c r="AC135" s="872">
        <f>'11.销售及回款表'!AE343</f>
        <v>0</v>
      </c>
      <c r="AD135" s="872">
        <f>'11.销售及回款表'!AF343</f>
        <v>0</v>
      </c>
      <c r="AE135" s="871">
        <f>'11.销售及回款表'!AG343</f>
        <v>0</v>
      </c>
      <c r="AF135" s="872">
        <f>'11.销售及回款表'!AH343</f>
        <v>0</v>
      </c>
      <c r="AG135" s="872">
        <f>'11.销售及回款表'!AI343</f>
        <v>0</v>
      </c>
      <c r="AH135" s="872">
        <f>'11.销售及回款表'!AJ343</f>
        <v>0</v>
      </c>
      <c r="AI135" s="871">
        <f>'11.销售及回款表'!AK343</f>
        <v>0</v>
      </c>
      <c r="AJ135" s="872">
        <f>'11.销售及回款表'!AL343</f>
        <v>0</v>
      </c>
      <c r="AK135" s="872">
        <f>'11.销售及回款表'!AM343</f>
        <v>0</v>
      </c>
      <c r="AL135" s="872">
        <f>'11.销售及回款表'!AN343</f>
        <v>0</v>
      </c>
      <c r="AM135" s="871">
        <f>'11.销售及回款表'!AO343</f>
        <v>0</v>
      </c>
      <c r="AN135" s="872">
        <f>'11.销售及回款表'!AP343</f>
        <v>0</v>
      </c>
      <c r="AO135" s="872">
        <f>'11.销售及回款表'!AQ343</f>
        <v>0</v>
      </c>
      <c r="AP135" s="872">
        <f>'11.销售及回款表'!AR343</f>
        <v>0</v>
      </c>
      <c r="AQ135" s="871">
        <f>'11.销售及回款表'!AS343</f>
        <v>0</v>
      </c>
      <c r="AR135" s="872">
        <f>'11.销售及回款表'!AT343</f>
        <v>0</v>
      </c>
      <c r="AS135" s="872">
        <f>'11.销售及回款表'!AU343</f>
        <v>0</v>
      </c>
      <c r="AT135" s="872">
        <f>'11.销售及回款表'!AV343</f>
        <v>0</v>
      </c>
    </row>
    <row r="136" spans="1:46" s="77" customFormat="1" ht="18" customHeight="1" outlineLevel="2">
      <c r="A136" s="869" t="str">
        <f>'8.项目规划指标表'!B$18</f>
        <v>有产权车库(个)</v>
      </c>
      <c r="B136" s="870">
        <f t="shared" si="15"/>
        <v>0</v>
      </c>
      <c r="C136" s="871">
        <f>'11.销售及回款表'!E348</f>
        <v>0</v>
      </c>
      <c r="D136" s="872">
        <f>'11.销售及回款表'!F348</f>
        <v>0</v>
      </c>
      <c r="E136" s="872">
        <f>'11.销售及回款表'!G348</f>
        <v>0</v>
      </c>
      <c r="F136" s="872">
        <f>'11.销售及回款表'!H348</f>
        <v>0</v>
      </c>
      <c r="G136" s="871">
        <f>'11.销售及回款表'!I348</f>
        <v>0</v>
      </c>
      <c r="H136" s="872">
        <f>'11.销售及回款表'!J348</f>
        <v>0</v>
      </c>
      <c r="I136" s="872">
        <f>'11.销售及回款表'!K348</f>
        <v>0</v>
      </c>
      <c r="J136" s="872">
        <f>'11.销售及回款表'!L348</f>
        <v>0</v>
      </c>
      <c r="K136" s="871">
        <f>'11.销售及回款表'!M348</f>
        <v>0</v>
      </c>
      <c r="L136" s="872">
        <f>'11.销售及回款表'!N348</f>
        <v>0</v>
      </c>
      <c r="M136" s="872">
        <f>'11.销售及回款表'!O348</f>
        <v>0</v>
      </c>
      <c r="N136" s="872">
        <f>'11.销售及回款表'!P348</f>
        <v>0</v>
      </c>
      <c r="O136" s="871">
        <f>'11.销售及回款表'!Q348</f>
        <v>0</v>
      </c>
      <c r="P136" s="872">
        <f>'11.销售及回款表'!R348</f>
        <v>0</v>
      </c>
      <c r="Q136" s="872">
        <f>'11.销售及回款表'!S348</f>
        <v>0</v>
      </c>
      <c r="R136" s="872">
        <f>'11.销售及回款表'!T348</f>
        <v>0</v>
      </c>
      <c r="S136" s="871">
        <f>'11.销售及回款表'!U348</f>
        <v>0</v>
      </c>
      <c r="T136" s="872">
        <f>'11.销售及回款表'!V348</f>
        <v>0</v>
      </c>
      <c r="U136" s="872">
        <f>'11.销售及回款表'!W348</f>
        <v>0</v>
      </c>
      <c r="V136" s="872">
        <f>'11.销售及回款表'!X348</f>
        <v>0</v>
      </c>
      <c r="W136" s="871">
        <f>'11.销售及回款表'!Y348</f>
        <v>0</v>
      </c>
      <c r="X136" s="872">
        <f>'11.销售及回款表'!Z348</f>
        <v>0</v>
      </c>
      <c r="Y136" s="872">
        <f>'11.销售及回款表'!AA348</f>
        <v>0</v>
      </c>
      <c r="Z136" s="872">
        <f>'11.销售及回款表'!AB348</f>
        <v>0</v>
      </c>
      <c r="AA136" s="871">
        <f>'11.销售及回款表'!AC348</f>
        <v>0</v>
      </c>
      <c r="AB136" s="872">
        <f>'11.销售及回款表'!AD348</f>
        <v>0</v>
      </c>
      <c r="AC136" s="872">
        <f>'11.销售及回款表'!AE348</f>
        <v>0</v>
      </c>
      <c r="AD136" s="872">
        <f>'11.销售及回款表'!AF348</f>
        <v>0</v>
      </c>
      <c r="AE136" s="871">
        <f>'11.销售及回款表'!AG348</f>
        <v>0</v>
      </c>
      <c r="AF136" s="872">
        <f>'11.销售及回款表'!AH348</f>
        <v>0</v>
      </c>
      <c r="AG136" s="872">
        <f>'11.销售及回款表'!AI348</f>
        <v>0</v>
      </c>
      <c r="AH136" s="872">
        <f>'11.销售及回款表'!AJ348</f>
        <v>0</v>
      </c>
      <c r="AI136" s="871">
        <f>'11.销售及回款表'!AK348</f>
        <v>0</v>
      </c>
      <c r="AJ136" s="872">
        <f>'11.销售及回款表'!AL348</f>
        <v>0</v>
      </c>
      <c r="AK136" s="872">
        <f>'11.销售及回款表'!AM348</f>
        <v>0</v>
      </c>
      <c r="AL136" s="872">
        <f>'11.销售及回款表'!AN348</f>
        <v>0</v>
      </c>
      <c r="AM136" s="871">
        <f>'11.销售及回款表'!AO348</f>
        <v>0</v>
      </c>
      <c r="AN136" s="872">
        <f>'11.销售及回款表'!AP348</f>
        <v>0</v>
      </c>
      <c r="AO136" s="872">
        <f>'11.销售及回款表'!AQ348</f>
        <v>0</v>
      </c>
      <c r="AP136" s="872">
        <f>'11.销售及回款表'!AR348</f>
        <v>0</v>
      </c>
      <c r="AQ136" s="871">
        <f>'11.销售及回款表'!AS348</f>
        <v>0</v>
      </c>
      <c r="AR136" s="872">
        <f>'11.销售及回款表'!AT348</f>
        <v>0</v>
      </c>
      <c r="AS136" s="872">
        <f>'11.销售及回款表'!AU348</f>
        <v>0</v>
      </c>
      <c r="AT136" s="872">
        <f>'11.销售及回款表'!AV348</f>
        <v>0</v>
      </c>
    </row>
    <row r="137" spans="1:46" s="77" customFormat="1" ht="18" customHeight="1" outlineLevel="2">
      <c r="A137" s="869" t="str">
        <f>'8.项目规划指标表'!B$19</f>
        <v>无产权车库(个)</v>
      </c>
      <c r="B137" s="870">
        <f t="shared" si="15"/>
        <v>0</v>
      </c>
      <c r="C137" s="871">
        <f>'11.销售及回款表'!E353</f>
        <v>0</v>
      </c>
      <c r="D137" s="872">
        <f>'11.销售及回款表'!F353</f>
        <v>0</v>
      </c>
      <c r="E137" s="872">
        <f>'11.销售及回款表'!G353</f>
        <v>0</v>
      </c>
      <c r="F137" s="872">
        <f>'11.销售及回款表'!H353</f>
        <v>0</v>
      </c>
      <c r="G137" s="871">
        <f>'11.销售及回款表'!I353</f>
        <v>0</v>
      </c>
      <c r="H137" s="872">
        <f>'11.销售及回款表'!J353</f>
        <v>0</v>
      </c>
      <c r="I137" s="872">
        <f>'11.销售及回款表'!K353</f>
        <v>0</v>
      </c>
      <c r="J137" s="872">
        <f>'11.销售及回款表'!L353</f>
        <v>0</v>
      </c>
      <c r="K137" s="871">
        <f>'11.销售及回款表'!M353</f>
        <v>0</v>
      </c>
      <c r="L137" s="872">
        <f>'11.销售及回款表'!N353</f>
        <v>0</v>
      </c>
      <c r="M137" s="872">
        <f>'11.销售及回款表'!O353</f>
        <v>0</v>
      </c>
      <c r="N137" s="872">
        <f>'11.销售及回款表'!P353</f>
        <v>0</v>
      </c>
      <c r="O137" s="871">
        <f>'11.销售及回款表'!Q353</f>
        <v>0</v>
      </c>
      <c r="P137" s="872">
        <f>'11.销售及回款表'!R353</f>
        <v>0</v>
      </c>
      <c r="Q137" s="872">
        <f>'11.销售及回款表'!S353</f>
        <v>0</v>
      </c>
      <c r="R137" s="872">
        <f>'11.销售及回款表'!T353</f>
        <v>0</v>
      </c>
      <c r="S137" s="871">
        <f>'11.销售及回款表'!U353</f>
        <v>0</v>
      </c>
      <c r="T137" s="872">
        <f>'11.销售及回款表'!V353</f>
        <v>0</v>
      </c>
      <c r="U137" s="872">
        <f>'11.销售及回款表'!W353</f>
        <v>0</v>
      </c>
      <c r="V137" s="872">
        <f>'11.销售及回款表'!X353</f>
        <v>0</v>
      </c>
      <c r="W137" s="871">
        <f>'11.销售及回款表'!Y353</f>
        <v>0</v>
      </c>
      <c r="X137" s="872">
        <f>'11.销售及回款表'!Z353</f>
        <v>0</v>
      </c>
      <c r="Y137" s="872">
        <f>'11.销售及回款表'!AA353</f>
        <v>0</v>
      </c>
      <c r="Z137" s="872">
        <f>'11.销售及回款表'!AB353</f>
        <v>0</v>
      </c>
      <c r="AA137" s="871">
        <f>'11.销售及回款表'!AC353</f>
        <v>0</v>
      </c>
      <c r="AB137" s="872">
        <f>'11.销售及回款表'!AD353</f>
        <v>0</v>
      </c>
      <c r="AC137" s="872">
        <f>'11.销售及回款表'!AE353</f>
        <v>0</v>
      </c>
      <c r="AD137" s="872">
        <f>'11.销售及回款表'!AF353</f>
        <v>0</v>
      </c>
      <c r="AE137" s="871">
        <f>'11.销售及回款表'!AG353</f>
        <v>0</v>
      </c>
      <c r="AF137" s="872">
        <f>'11.销售及回款表'!AH353</f>
        <v>0</v>
      </c>
      <c r="AG137" s="872">
        <f>'11.销售及回款表'!AI353</f>
        <v>0</v>
      </c>
      <c r="AH137" s="872">
        <f>'11.销售及回款表'!AJ353</f>
        <v>0</v>
      </c>
      <c r="AI137" s="871">
        <f>'11.销售及回款表'!AK353</f>
        <v>0</v>
      </c>
      <c r="AJ137" s="872">
        <f>'11.销售及回款表'!AL353</f>
        <v>0</v>
      </c>
      <c r="AK137" s="872">
        <f>'11.销售及回款表'!AM353</f>
        <v>0</v>
      </c>
      <c r="AL137" s="872">
        <f>'11.销售及回款表'!AN353</f>
        <v>0</v>
      </c>
      <c r="AM137" s="871">
        <f>'11.销售及回款表'!AO353</f>
        <v>0</v>
      </c>
      <c r="AN137" s="872">
        <f>'11.销售及回款表'!AP353</f>
        <v>0</v>
      </c>
      <c r="AO137" s="872">
        <f>'11.销售及回款表'!AQ353</f>
        <v>0</v>
      </c>
      <c r="AP137" s="872">
        <f>'11.销售及回款表'!AR353</f>
        <v>0</v>
      </c>
      <c r="AQ137" s="871">
        <f>'11.销售及回款表'!AS353</f>
        <v>0</v>
      </c>
      <c r="AR137" s="872">
        <f>'11.销售及回款表'!AT353</f>
        <v>0</v>
      </c>
      <c r="AS137" s="872">
        <f>'11.销售及回款表'!AU353</f>
        <v>0</v>
      </c>
      <c r="AT137" s="872">
        <f>'11.销售及回款表'!AV353</f>
        <v>0</v>
      </c>
    </row>
    <row r="138" spans="1:46" s="77" customFormat="1" ht="18" customHeight="1" outlineLevel="1">
      <c r="A138" s="865" t="s">
        <v>23</v>
      </c>
      <c r="B138" s="866">
        <f>SUM(B139:B150)</f>
        <v>0</v>
      </c>
      <c r="C138" s="867">
        <f>SUM(C139:C150)</f>
        <v>0</v>
      </c>
      <c r="D138" s="868">
        <f t="shared" ref="D138:AT138" si="17">SUM(D139:D150)</f>
        <v>0</v>
      </c>
      <c r="E138" s="868">
        <f t="shared" si="17"/>
        <v>0</v>
      </c>
      <c r="F138" s="868">
        <f t="shared" si="17"/>
        <v>0</v>
      </c>
      <c r="G138" s="867">
        <f t="shared" si="17"/>
        <v>0</v>
      </c>
      <c r="H138" s="868">
        <f t="shared" si="17"/>
        <v>0</v>
      </c>
      <c r="I138" s="868">
        <f t="shared" si="17"/>
        <v>0</v>
      </c>
      <c r="J138" s="868">
        <f t="shared" si="17"/>
        <v>0</v>
      </c>
      <c r="K138" s="867">
        <f t="shared" si="17"/>
        <v>0</v>
      </c>
      <c r="L138" s="868">
        <f t="shared" si="17"/>
        <v>0</v>
      </c>
      <c r="M138" s="868">
        <f t="shared" si="17"/>
        <v>0</v>
      </c>
      <c r="N138" s="868">
        <f t="shared" si="17"/>
        <v>0</v>
      </c>
      <c r="O138" s="867">
        <f t="shared" si="17"/>
        <v>0</v>
      </c>
      <c r="P138" s="868">
        <f t="shared" si="17"/>
        <v>0</v>
      </c>
      <c r="Q138" s="868">
        <f t="shared" si="17"/>
        <v>0</v>
      </c>
      <c r="R138" s="868">
        <f t="shared" si="17"/>
        <v>0</v>
      </c>
      <c r="S138" s="867">
        <f t="shared" si="17"/>
        <v>0</v>
      </c>
      <c r="T138" s="868">
        <f t="shared" si="17"/>
        <v>0</v>
      </c>
      <c r="U138" s="868">
        <f t="shared" si="17"/>
        <v>0</v>
      </c>
      <c r="V138" s="868">
        <f t="shared" si="17"/>
        <v>0</v>
      </c>
      <c r="W138" s="867">
        <f t="shared" si="17"/>
        <v>0</v>
      </c>
      <c r="X138" s="868">
        <f t="shared" si="17"/>
        <v>0</v>
      </c>
      <c r="Y138" s="868">
        <f t="shared" si="17"/>
        <v>0</v>
      </c>
      <c r="Z138" s="868">
        <f t="shared" si="17"/>
        <v>0</v>
      </c>
      <c r="AA138" s="867">
        <f t="shared" si="17"/>
        <v>0</v>
      </c>
      <c r="AB138" s="868">
        <f t="shared" si="17"/>
        <v>0</v>
      </c>
      <c r="AC138" s="868">
        <f t="shared" si="17"/>
        <v>0</v>
      </c>
      <c r="AD138" s="868">
        <f t="shared" si="17"/>
        <v>0</v>
      </c>
      <c r="AE138" s="867">
        <f t="shared" si="17"/>
        <v>0</v>
      </c>
      <c r="AF138" s="868">
        <f t="shared" si="17"/>
        <v>0</v>
      </c>
      <c r="AG138" s="868">
        <f t="shared" si="17"/>
        <v>0</v>
      </c>
      <c r="AH138" s="868">
        <f t="shared" si="17"/>
        <v>0</v>
      </c>
      <c r="AI138" s="867">
        <f t="shared" si="17"/>
        <v>0</v>
      </c>
      <c r="AJ138" s="868">
        <f t="shared" si="17"/>
        <v>0</v>
      </c>
      <c r="AK138" s="868">
        <f t="shared" si="17"/>
        <v>0</v>
      </c>
      <c r="AL138" s="868">
        <f t="shared" si="17"/>
        <v>0</v>
      </c>
      <c r="AM138" s="867">
        <f t="shared" si="17"/>
        <v>0</v>
      </c>
      <c r="AN138" s="868">
        <f t="shared" si="17"/>
        <v>0</v>
      </c>
      <c r="AO138" s="868">
        <f t="shared" si="17"/>
        <v>0</v>
      </c>
      <c r="AP138" s="868">
        <f t="shared" si="17"/>
        <v>0</v>
      </c>
      <c r="AQ138" s="867">
        <f t="shared" si="17"/>
        <v>0</v>
      </c>
      <c r="AR138" s="868">
        <f t="shared" si="17"/>
        <v>0</v>
      </c>
      <c r="AS138" s="868">
        <f t="shared" si="17"/>
        <v>0</v>
      </c>
      <c r="AT138" s="868">
        <f t="shared" si="17"/>
        <v>0</v>
      </c>
    </row>
    <row r="139" spans="1:46" s="77" customFormat="1" ht="18" customHeight="1" outlineLevel="2">
      <c r="A139" s="869" t="str">
        <f>'8.项目规划指标表'!B$5</f>
        <v>高层</v>
      </c>
      <c r="B139" s="870">
        <f t="shared" si="15"/>
        <v>0</v>
      </c>
      <c r="C139" s="871">
        <f>'11.销售及回款表'!E368</f>
        <v>0</v>
      </c>
      <c r="D139" s="872">
        <f>'11.销售及回款表'!F368</f>
        <v>0</v>
      </c>
      <c r="E139" s="872">
        <f>'11.销售及回款表'!G368</f>
        <v>0</v>
      </c>
      <c r="F139" s="872">
        <f>'11.销售及回款表'!H368</f>
        <v>0</v>
      </c>
      <c r="G139" s="871">
        <f>'11.销售及回款表'!I368</f>
        <v>0</v>
      </c>
      <c r="H139" s="872">
        <f>'11.销售及回款表'!J368</f>
        <v>0</v>
      </c>
      <c r="I139" s="872">
        <f>'11.销售及回款表'!K368</f>
        <v>0</v>
      </c>
      <c r="J139" s="872">
        <f>'11.销售及回款表'!L368</f>
        <v>0</v>
      </c>
      <c r="K139" s="871">
        <f>'11.销售及回款表'!M368</f>
        <v>0</v>
      </c>
      <c r="L139" s="872">
        <f>'11.销售及回款表'!N368</f>
        <v>0</v>
      </c>
      <c r="M139" s="872">
        <f>'11.销售及回款表'!O368</f>
        <v>0</v>
      </c>
      <c r="N139" s="872">
        <f>'11.销售及回款表'!P368</f>
        <v>0</v>
      </c>
      <c r="O139" s="871">
        <f>'11.销售及回款表'!Q368</f>
        <v>0</v>
      </c>
      <c r="P139" s="872">
        <f>'11.销售及回款表'!R368</f>
        <v>0</v>
      </c>
      <c r="Q139" s="872">
        <f>'11.销售及回款表'!S368</f>
        <v>0</v>
      </c>
      <c r="R139" s="872">
        <f>'11.销售及回款表'!T368</f>
        <v>0</v>
      </c>
      <c r="S139" s="871">
        <f>'11.销售及回款表'!U368</f>
        <v>0</v>
      </c>
      <c r="T139" s="872">
        <f>'11.销售及回款表'!V368</f>
        <v>0</v>
      </c>
      <c r="U139" s="872">
        <f>'11.销售及回款表'!W368</f>
        <v>0</v>
      </c>
      <c r="V139" s="872">
        <f>'11.销售及回款表'!X368</f>
        <v>0</v>
      </c>
      <c r="W139" s="871">
        <f>'11.销售及回款表'!Y368</f>
        <v>0</v>
      </c>
      <c r="X139" s="872">
        <f>'11.销售及回款表'!Z368</f>
        <v>0</v>
      </c>
      <c r="Y139" s="872">
        <f>'11.销售及回款表'!AA368</f>
        <v>0</v>
      </c>
      <c r="Z139" s="872">
        <f>'11.销售及回款表'!AB368</f>
        <v>0</v>
      </c>
      <c r="AA139" s="871">
        <f>'11.销售及回款表'!AC368</f>
        <v>0</v>
      </c>
      <c r="AB139" s="872">
        <f>'11.销售及回款表'!AD368</f>
        <v>0</v>
      </c>
      <c r="AC139" s="872">
        <f>'11.销售及回款表'!AE368</f>
        <v>0</v>
      </c>
      <c r="AD139" s="872">
        <f>'11.销售及回款表'!AF368</f>
        <v>0</v>
      </c>
      <c r="AE139" s="871">
        <f>'11.销售及回款表'!AG368</f>
        <v>0</v>
      </c>
      <c r="AF139" s="872">
        <f>'11.销售及回款表'!AH368</f>
        <v>0</v>
      </c>
      <c r="AG139" s="872">
        <f>'11.销售及回款表'!AI368</f>
        <v>0</v>
      </c>
      <c r="AH139" s="872">
        <f>'11.销售及回款表'!AJ368</f>
        <v>0</v>
      </c>
      <c r="AI139" s="871">
        <f>'11.销售及回款表'!AK368</f>
        <v>0</v>
      </c>
      <c r="AJ139" s="872">
        <f>'11.销售及回款表'!AL368</f>
        <v>0</v>
      </c>
      <c r="AK139" s="872">
        <f>'11.销售及回款表'!AM368</f>
        <v>0</v>
      </c>
      <c r="AL139" s="872">
        <f>'11.销售及回款表'!AN368</f>
        <v>0</v>
      </c>
      <c r="AM139" s="871">
        <f>'11.销售及回款表'!AO368</f>
        <v>0</v>
      </c>
      <c r="AN139" s="872">
        <f>'11.销售及回款表'!AP368</f>
        <v>0</v>
      </c>
      <c r="AO139" s="872">
        <f>'11.销售及回款表'!AQ368</f>
        <v>0</v>
      </c>
      <c r="AP139" s="872">
        <f>'11.销售及回款表'!AR368</f>
        <v>0</v>
      </c>
      <c r="AQ139" s="871">
        <f>'11.销售及回款表'!AS368</f>
        <v>0</v>
      </c>
      <c r="AR139" s="872">
        <f>'11.销售及回款表'!AT368</f>
        <v>0</v>
      </c>
      <c r="AS139" s="872">
        <f>'11.销售及回款表'!AU368</f>
        <v>0</v>
      </c>
      <c r="AT139" s="872">
        <f>'11.销售及回款表'!AV368</f>
        <v>0</v>
      </c>
    </row>
    <row r="140" spans="1:46" s="77" customFormat="1" ht="18" customHeight="1" outlineLevel="2">
      <c r="A140" s="869" t="str">
        <f>'8.项目规划指标表'!B$6</f>
        <v>商铺</v>
      </c>
      <c r="B140" s="870">
        <f t="shared" si="15"/>
        <v>0</v>
      </c>
      <c r="C140" s="871">
        <f>'11.销售及回款表'!E373</f>
        <v>0</v>
      </c>
      <c r="D140" s="872">
        <f>'11.销售及回款表'!F373</f>
        <v>0</v>
      </c>
      <c r="E140" s="872">
        <f>'11.销售及回款表'!G373</f>
        <v>0</v>
      </c>
      <c r="F140" s="872">
        <f>'11.销售及回款表'!H373</f>
        <v>0</v>
      </c>
      <c r="G140" s="871">
        <f>'11.销售及回款表'!I373</f>
        <v>0</v>
      </c>
      <c r="H140" s="872">
        <f>'11.销售及回款表'!J373</f>
        <v>0</v>
      </c>
      <c r="I140" s="872">
        <f>'11.销售及回款表'!K373</f>
        <v>0</v>
      </c>
      <c r="J140" s="872">
        <f>'11.销售及回款表'!L373</f>
        <v>0</v>
      </c>
      <c r="K140" s="871">
        <f>'11.销售及回款表'!M373</f>
        <v>0</v>
      </c>
      <c r="L140" s="872">
        <f>'11.销售及回款表'!N373</f>
        <v>0</v>
      </c>
      <c r="M140" s="872">
        <f>'11.销售及回款表'!O373</f>
        <v>0</v>
      </c>
      <c r="N140" s="872">
        <f>'11.销售及回款表'!P373</f>
        <v>0</v>
      </c>
      <c r="O140" s="871">
        <f>'11.销售及回款表'!Q373</f>
        <v>0</v>
      </c>
      <c r="P140" s="872">
        <f>'11.销售及回款表'!R373</f>
        <v>0</v>
      </c>
      <c r="Q140" s="872">
        <f>'11.销售及回款表'!S373</f>
        <v>0</v>
      </c>
      <c r="R140" s="872">
        <f>'11.销售及回款表'!T373</f>
        <v>0</v>
      </c>
      <c r="S140" s="871">
        <f>'11.销售及回款表'!U373</f>
        <v>0</v>
      </c>
      <c r="T140" s="872">
        <f>'11.销售及回款表'!V373</f>
        <v>0</v>
      </c>
      <c r="U140" s="872">
        <f>'11.销售及回款表'!W373</f>
        <v>0</v>
      </c>
      <c r="V140" s="872">
        <f>'11.销售及回款表'!X373</f>
        <v>0</v>
      </c>
      <c r="W140" s="871">
        <f>'11.销售及回款表'!Y373</f>
        <v>0</v>
      </c>
      <c r="X140" s="872">
        <f>'11.销售及回款表'!Z373</f>
        <v>0</v>
      </c>
      <c r="Y140" s="872">
        <f>'11.销售及回款表'!AA373</f>
        <v>0</v>
      </c>
      <c r="Z140" s="872">
        <f>'11.销售及回款表'!AB373</f>
        <v>0</v>
      </c>
      <c r="AA140" s="871">
        <f>'11.销售及回款表'!AC373</f>
        <v>0</v>
      </c>
      <c r="AB140" s="872">
        <f>'11.销售及回款表'!AD373</f>
        <v>0</v>
      </c>
      <c r="AC140" s="872">
        <f>'11.销售及回款表'!AE373</f>
        <v>0</v>
      </c>
      <c r="AD140" s="872">
        <f>'11.销售及回款表'!AF373</f>
        <v>0</v>
      </c>
      <c r="AE140" s="871">
        <f>'11.销售及回款表'!AG373</f>
        <v>0</v>
      </c>
      <c r="AF140" s="872">
        <f>'11.销售及回款表'!AH373</f>
        <v>0</v>
      </c>
      <c r="AG140" s="872">
        <f>'11.销售及回款表'!AI373</f>
        <v>0</v>
      </c>
      <c r="AH140" s="872">
        <f>'11.销售及回款表'!AJ373</f>
        <v>0</v>
      </c>
      <c r="AI140" s="871">
        <f>'11.销售及回款表'!AK373</f>
        <v>0</v>
      </c>
      <c r="AJ140" s="872">
        <f>'11.销售及回款表'!AL373</f>
        <v>0</v>
      </c>
      <c r="AK140" s="872">
        <f>'11.销售及回款表'!AM373</f>
        <v>0</v>
      </c>
      <c r="AL140" s="872">
        <f>'11.销售及回款表'!AN373</f>
        <v>0</v>
      </c>
      <c r="AM140" s="871">
        <f>'11.销售及回款表'!AO373</f>
        <v>0</v>
      </c>
      <c r="AN140" s="872">
        <f>'11.销售及回款表'!AP373</f>
        <v>0</v>
      </c>
      <c r="AO140" s="872">
        <f>'11.销售及回款表'!AQ373</f>
        <v>0</v>
      </c>
      <c r="AP140" s="872">
        <f>'11.销售及回款表'!AR373</f>
        <v>0</v>
      </c>
      <c r="AQ140" s="871">
        <f>'11.销售及回款表'!AS373</f>
        <v>0</v>
      </c>
      <c r="AR140" s="872">
        <f>'11.销售及回款表'!AT373</f>
        <v>0</v>
      </c>
      <c r="AS140" s="872">
        <f>'11.销售及回款表'!AU373</f>
        <v>0</v>
      </c>
      <c r="AT140" s="872">
        <f>'11.销售及回款表'!AV373</f>
        <v>0</v>
      </c>
    </row>
    <row r="141" spans="1:46" s="77" customFormat="1" ht="18" customHeight="1" outlineLevel="2">
      <c r="A141" s="869" t="str">
        <f>'8.项目规划指标表'!B$7</f>
        <v>回迁商业</v>
      </c>
      <c r="B141" s="870">
        <f t="shared" si="15"/>
        <v>0</v>
      </c>
      <c r="C141" s="871">
        <f>'11.销售及回款表'!E378</f>
        <v>0</v>
      </c>
      <c r="D141" s="872">
        <f>'11.销售及回款表'!F378</f>
        <v>0</v>
      </c>
      <c r="E141" s="872">
        <f>'11.销售及回款表'!G378</f>
        <v>0</v>
      </c>
      <c r="F141" s="872">
        <f>'11.销售及回款表'!H378</f>
        <v>0</v>
      </c>
      <c r="G141" s="871">
        <f>'11.销售及回款表'!I378</f>
        <v>0</v>
      </c>
      <c r="H141" s="872">
        <f>'11.销售及回款表'!J378</f>
        <v>0</v>
      </c>
      <c r="I141" s="872">
        <f>'11.销售及回款表'!K378</f>
        <v>0</v>
      </c>
      <c r="J141" s="872">
        <f>'11.销售及回款表'!L378</f>
        <v>0</v>
      </c>
      <c r="K141" s="871">
        <f>'11.销售及回款表'!M378</f>
        <v>0</v>
      </c>
      <c r="L141" s="872">
        <f>'11.销售及回款表'!N378</f>
        <v>0</v>
      </c>
      <c r="M141" s="872">
        <f>'11.销售及回款表'!O378</f>
        <v>0</v>
      </c>
      <c r="N141" s="872">
        <f>'11.销售及回款表'!P378</f>
        <v>0</v>
      </c>
      <c r="O141" s="871">
        <f>'11.销售及回款表'!Q378</f>
        <v>0</v>
      </c>
      <c r="P141" s="872">
        <f>'11.销售及回款表'!R378</f>
        <v>0</v>
      </c>
      <c r="Q141" s="872">
        <f>'11.销售及回款表'!S378</f>
        <v>0</v>
      </c>
      <c r="R141" s="872">
        <f>'11.销售及回款表'!T378</f>
        <v>0</v>
      </c>
      <c r="S141" s="871">
        <f>'11.销售及回款表'!U378</f>
        <v>0</v>
      </c>
      <c r="T141" s="872">
        <f>'11.销售及回款表'!V378</f>
        <v>0</v>
      </c>
      <c r="U141" s="872">
        <f>'11.销售及回款表'!W378</f>
        <v>0</v>
      </c>
      <c r="V141" s="872">
        <f>'11.销售及回款表'!X378</f>
        <v>0</v>
      </c>
      <c r="W141" s="871">
        <f>'11.销售及回款表'!Y378</f>
        <v>0</v>
      </c>
      <c r="X141" s="872">
        <f>'11.销售及回款表'!Z378</f>
        <v>0</v>
      </c>
      <c r="Y141" s="872">
        <f>'11.销售及回款表'!AA378</f>
        <v>0</v>
      </c>
      <c r="Z141" s="872">
        <f>'11.销售及回款表'!AB378</f>
        <v>0</v>
      </c>
      <c r="AA141" s="871">
        <f>'11.销售及回款表'!AC378</f>
        <v>0</v>
      </c>
      <c r="AB141" s="872">
        <f>'11.销售及回款表'!AD378</f>
        <v>0</v>
      </c>
      <c r="AC141" s="872">
        <f>'11.销售及回款表'!AE378</f>
        <v>0</v>
      </c>
      <c r="AD141" s="872">
        <f>'11.销售及回款表'!AF378</f>
        <v>0</v>
      </c>
      <c r="AE141" s="871">
        <f>'11.销售及回款表'!AG378</f>
        <v>0</v>
      </c>
      <c r="AF141" s="872">
        <f>'11.销售及回款表'!AH378</f>
        <v>0</v>
      </c>
      <c r="AG141" s="872">
        <f>'11.销售及回款表'!AI378</f>
        <v>0</v>
      </c>
      <c r="AH141" s="872">
        <f>'11.销售及回款表'!AJ378</f>
        <v>0</v>
      </c>
      <c r="AI141" s="871">
        <f>'11.销售及回款表'!AK378</f>
        <v>0</v>
      </c>
      <c r="AJ141" s="872">
        <f>'11.销售及回款表'!AL378</f>
        <v>0</v>
      </c>
      <c r="AK141" s="872">
        <f>'11.销售及回款表'!AM378</f>
        <v>0</v>
      </c>
      <c r="AL141" s="872">
        <f>'11.销售及回款表'!AN378</f>
        <v>0</v>
      </c>
      <c r="AM141" s="871">
        <f>'11.销售及回款表'!AO378</f>
        <v>0</v>
      </c>
      <c r="AN141" s="872">
        <f>'11.销售及回款表'!AP378</f>
        <v>0</v>
      </c>
      <c r="AO141" s="872">
        <f>'11.销售及回款表'!AQ378</f>
        <v>0</v>
      </c>
      <c r="AP141" s="872">
        <f>'11.销售及回款表'!AR378</f>
        <v>0</v>
      </c>
      <c r="AQ141" s="871">
        <f>'11.销售及回款表'!AS378</f>
        <v>0</v>
      </c>
      <c r="AR141" s="872">
        <f>'11.销售及回款表'!AT378</f>
        <v>0</v>
      </c>
      <c r="AS141" s="872">
        <f>'11.销售及回款表'!AU378</f>
        <v>0</v>
      </c>
      <c r="AT141" s="872">
        <f>'11.销售及回款表'!AV378</f>
        <v>0</v>
      </c>
    </row>
    <row r="142" spans="1:46" s="77" customFormat="1" ht="18" customHeight="1" outlineLevel="2">
      <c r="A142" s="869">
        <f>'8.项目规划指标表'!B$8</f>
        <v>0</v>
      </c>
      <c r="B142" s="870">
        <f t="shared" si="15"/>
        <v>0</v>
      </c>
      <c r="C142" s="871">
        <f>'11.销售及回款表'!E383</f>
        <v>0</v>
      </c>
      <c r="D142" s="872">
        <f>'11.销售及回款表'!F383</f>
        <v>0</v>
      </c>
      <c r="E142" s="872">
        <f>'11.销售及回款表'!G383</f>
        <v>0</v>
      </c>
      <c r="F142" s="872">
        <f>'11.销售及回款表'!H383</f>
        <v>0</v>
      </c>
      <c r="G142" s="871">
        <f>'11.销售及回款表'!I383</f>
        <v>0</v>
      </c>
      <c r="H142" s="872">
        <f>'11.销售及回款表'!J383</f>
        <v>0</v>
      </c>
      <c r="I142" s="872">
        <f>'11.销售及回款表'!K383</f>
        <v>0</v>
      </c>
      <c r="J142" s="872">
        <f>'11.销售及回款表'!L383</f>
        <v>0</v>
      </c>
      <c r="K142" s="871">
        <f>'11.销售及回款表'!M383</f>
        <v>0</v>
      </c>
      <c r="L142" s="872">
        <f>'11.销售及回款表'!N383</f>
        <v>0</v>
      </c>
      <c r="M142" s="872">
        <f>'11.销售及回款表'!O383</f>
        <v>0</v>
      </c>
      <c r="N142" s="872">
        <f>'11.销售及回款表'!P383</f>
        <v>0</v>
      </c>
      <c r="O142" s="871">
        <f>'11.销售及回款表'!Q383</f>
        <v>0</v>
      </c>
      <c r="P142" s="872">
        <f>'11.销售及回款表'!R383</f>
        <v>0</v>
      </c>
      <c r="Q142" s="872">
        <f>'11.销售及回款表'!S383</f>
        <v>0</v>
      </c>
      <c r="R142" s="872">
        <f>'11.销售及回款表'!T383</f>
        <v>0</v>
      </c>
      <c r="S142" s="871">
        <f>'11.销售及回款表'!U383</f>
        <v>0</v>
      </c>
      <c r="T142" s="872">
        <f>'11.销售及回款表'!V383</f>
        <v>0</v>
      </c>
      <c r="U142" s="872">
        <f>'11.销售及回款表'!W383</f>
        <v>0</v>
      </c>
      <c r="V142" s="872">
        <f>'11.销售及回款表'!X383</f>
        <v>0</v>
      </c>
      <c r="W142" s="871">
        <f>'11.销售及回款表'!Y383</f>
        <v>0</v>
      </c>
      <c r="X142" s="872">
        <f>'11.销售及回款表'!Z383</f>
        <v>0</v>
      </c>
      <c r="Y142" s="872">
        <f>'11.销售及回款表'!AA383</f>
        <v>0</v>
      </c>
      <c r="Z142" s="872">
        <f>'11.销售及回款表'!AB383</f>
        <v>0</v>
      </c>
      <c r="AA142" s="871">
        <f>'11.销售及回款表'!AC383</f>
        <v>0</v>
      </c>
      <c r="AB142" s="872">
        <f>'11.销售及回款表'!AD383</f>
        <v>0</v>
      </c>
      <c r="AC142" s="872">
        <f>'11.销售及回款表'!AE383</f>
        <v>0</v>
      </c>
      <c r="AD142" s="872">
        <f>'11.销售及回款表'!AF383</f>
        <v>0</v>
      </c>
      <c r="AE142" s="871">
        <f>'11.销售及回款表'!AG383</f>
        <v>0</v>
      </c>
      <c r="AF142" s="872">
        <f>'11.销售及回款表'!AH383</f>
        <v>0</v>
      </c>
      <c r="AG142" s="872">
        <f>'11.销售及回款表'!AI383</f>
        <v>0</v>
      </c>
      <c r="AH142" s="872">
        <f>'11.销售及回款表'!AJ383</f>
        <v>0</v>
      </c>
      <c r="AI142" s="871">
        <f>'11.销售及回款表'!AK383</f>
        <v>0</v>
      </c>
      <c r="AJ142" s="872">
        <f>'11.销售及回款表'!AL383</f>
        <v>0</v>
      </c>
      <c r="AK142" s="872">
        <f>'11.销售及回款表'!AM383</f>
        <v>0</v>
      </c>
      <c r="AL142" s="872">
        <f>'11.销售及回款表'!AN383</f>
        <v>0</v>
      </c>
      <c r="AM142" s="871">
        <f>'11.销售及回款表'!AO383</f>
        <v>0</v>
      </c>
      <c r="AN142" s="872">
        <f>'11.销售及回款表'!AP383</f>
        <v>0</v>
      </c>
      <c r="AO142" s="872">
        <f>'11.销售及回款表'!AQ383</f>
        <v>0</v>
      </c>
      <c r="AP142" s="872">
        <f>'11.销售及回款表'!AR383</f>
        <v>0</v>
      </c>
      <c r="AQ142" s="871">
        <f>'11.销售及回款表'!AS383</f>
        <v>0</v>
      </c>
      <c r="AR142" s="872">
        <f>'11.销售及回款表'!AT383</f>
        <v>0</v>
      </c>
      <c r="AS142" s="872">
        <f>'11.销售及回款表'!AU383</f>
        <v>0</v>
      </c>
      <c r="AT142" s="872">
        <f>'11.销售及回款表'!AV383</f>
        <v>0</v>
      </c>
    </row>
    <row r="143" spans="1:46" s="77" customFormat="1" ht="18" customHeight="1" outlineLevel="2">
      <c r="A143" s="869">
        <f>'8.项目规划指标表'!B$9</f>
        <v>0</v>
      </c>
      <c r="B143" s="870">
        <f t="shared" si="15"/>
        <v>0</v>
      </c>
      <c r="C143" s="871">
        <f>'11.销售及回款表'!E388</f>
        <v>0</v>
      </c>
      <c r="D143" s="872">
        <f>'11.销售及回款表'!F388</f>
        <v>0</v>
      </c>
      <c r="E143" s="872">
        <f>'11.销售及回款表'!G388</f>
        <v>0</v>
      </c>
      <c r="F143" s="872">
        <f>'11.销售及回款表'!H388</f>
        <v>0</v>
      </c>
      <c r="G143" s="871">
        <f>'11.销售及回款表'!I388</f>
        <v>0</v>
      </c>
      <c r="H143" s="872">
        <f>'11.销售及回款表'!J388</f>
        <v>0</v>
      </c>
      <c r="I143" s="872">
        <f>'11.销售及回款表'!K388</f>
        <v>0</v>
      </c>
      <c r="J143" s="872">
        <f>'11.销售及回款表'!L388</f>
        <v>0</v>
      </c>
      <c r="K143" s="871">
        <f>'11.销售及回款表'!M388</f>
        <v>0</v>
      </c>
      <c r="L143" s="872">
        <f>'11.销售及回款表'!N388</f>
        <v>0</v>
      </c>
      <c r="M143" s="872">
        <f>'11.销售及回款表'!O388</f>
        <v>0</v>
      </c>
      <c r="N143" s="872">
        <f>'11.销售及回款表'!P388</f>
        <v>0</v>
      </c>
      <c r="O143" s="871">
        <f>'11.销售及回款表'!Q388</f>
        <v>0</v>
      </c>
      <c r="P143" s="872">
        <f>'11.销售及回款表'!R388</f>
        <v>0</v>
      </c>
      <c r="Q143" s="872">
        <f>'11.销售及回款表'!S388</f>
        <v>0</v>
      </c>
      <c r="R143" s="872">
        <f>'11.销售及回款表'!T388</f>
        <v>0</v>
      </c>
      <c r="S143" s="871">
        <f>'11.销售及回款表'!U388</f>
        <v>0</v>
      </c>
      <c r="T143" s="872">
        <f>'11.销售及回款表'!V388</f>
        <v>0</v>
      </c>
      <c r="U143" s="872">
        <f>'11.销售及回款表'!W388</f>
        <v>0</v>
      </c>
      <c r="V143" s="872">
        <f>'11.销售及回款表'!X388</f>
        <v>0</v>
      </c>
      <c r="W143" s="871">
        <f>'11.销售及回款表'!Y388</f>
        <v>0</v>
      </c>
      <c r="X143" s="872">
        <f>'11.销售及回款表'!Z388</f>
        <v>0</v>
      </c>
      <c r="Y143" s="872">
        <f>'11.销售及回款表'!AA388</f>
        <v>0</v>
      </c>
      <c r="Z143" s="872">
        <f>'11.销售及回款表'!AB388</f>
        <v>0</v>
      </c>
      <c r="AA143" s="871">
        <f>'11.销售及回款表'!AC388</f>
        <v>0</v>
      </c>
      <c r="AB143" s="872">
        <f>'11.销售及回款表'!AD388</f>
        <v>0</v>
      </c>
      <c r="AC143" s="872">
        <f>'11.销售及回款表'!AE388</f>
        <v>0</v>
      </c>
      <c r="AD143" s="872">
        <f>'11.销售及回款表'!AF388</f>
        <v>0</v>
      </c>
      <c r="AE143" s="871">
        <f>'11.销售及回款表'!AG388</f>
        <v>0</v>
      </c>
      <c r="AF143" s="872">
        <f>'11.销售及回款表'!AH388</f>
        <v>0</v>
      </c>
      <c r="AG143" s="872">
        <f>'11.销售及回款表'!AI388</f>
        <v>0</v>
      </c>
      <c r="AH143" s="872">
        <f>'11.销售及回款表'!AJ388</f>
        <v>0</v>
      </c>
      <c r="AI143" s="871">
        <f>'11.销售及回款表'!AK388</f>
        <v>0</v>
      </c>
      <c r="AJ143" s="872">
        <f>'11.销售及回款表'!AL388</f>
        <v>0</v>
      </c>
      <c r="AK143" s="872">
        <f>'11.销售及回款表'!AM388</f>
        <v>0</v>
      </c>
      <c r="AL143" s="872">
        <f>'11.销售及回款表'!AN388</f>
        <v>0</v>
      </c>
      <c r="AM143" s="871">
        <f>'11.销售及回款表'!AO388</f>
        <v>0</v>
      </c>
      <c r="AN143" s="872">
        <f>'11.销售及回款表'!AP388</f>
        <v>0</v>
      </c>
      <c r="AO143" s="872">
        <f>'11.销售及回款表'!AQ388</f>
        <v>0</v>
      </c>
      <c r="AP143" s="872">
        <f>'11.销售及回款表'!AR388</f>
        <v>0</v>
      </c>
      <c r="AQ143" s="871">
        <f>'11.销售及回款表'!AS388</f>
        <v>0</v>
      </c>
      <c r="AR143" s="872">
        <f>'11.销售及回款表'!AT388</f>
        <v>0</v>
      </c>
      <c r="AS143" s="872">
        <f>'11.销售及回款表'!AU388</f>
        <v>0</v>
      </c>
      <c r="AT143" s="872">
        <f>'11.销售及回款表'!AV388</f>
        <v>0</v>
      </c>
    </row>
    <row r="144" spans="1:46" s="77" customFormat="1" ht="18" customHeight="1" outlineLevel="2">
      <c r="A144" s="869">
        <f>'8.项目规划指标表'!B$10</f>
        <v>0</v>
      </c>
      <c r="B144" s="870">
        <f t="shared" si="15"/>
        <v>0</v>
      </c>
      <c r="C144" s="871">
        <f>'11.销售及回款表'!E393</f>
        <v>0</v>
      </c>
      <c r="D144" s="872">
        <f>'11.销售及回款表'!F393</f>
        <v>0</v>
      </c>
      <c r="E144" s="872">
        <f>'11.销售及回款表'!G393</f>
        <v>0</v>
      </c>
      <c r="F144" s="872">
        <f>'11.销售及回款表'!H393</f>
        <v>0</v>
      </c>
      <c r="G144" s="871">
        <f>'11.销售及回款表'!I393</f>
        <v>0</v>
      </c>
      <c r="H144" s="872">
        <f>'11.销售及回款表'!J393</f>
        <v>0</v>
      </c>
      <c r="I144" s="872">
        <f>'11.销售及回款表'!K393</f>
        <v>0</v>
      </c>
      <c r="J144" s="872">
        <f>'11.销售及回款表'!L393</f>
        <v>0</v>
      </c>
      <c r="K144" s="871">
        <f>'11.销售及回款表'!M393</f>
        <v>0</v>
      </c>
      <c r="L144" s="872">
        <f>'11.销售及回款表'!N393</f>
        <v>0</v>
      </c>
      <c r="M144" s="872">
        <f>'11.销售及回款表'!O393</f>
        <v>0</v>
      </c>
      <c r="N144" s="872">
        <f>'11.销售及回款表'!P393</f>
        <v>0</v>
      </c>
      <c r="O144" s="871">
        <f>'11.销售及回款表'!Q393</f>
        <v>0</v>
      </c>
      <c r="P144" s="872">
        <f>'11.销售及回款表'!R393</f>
        <v>0</v>
      </c>
      <c r="Q144" s="872">
        <f>'11.销售及回款表'!S393</f>
        <v>0</v>
      </c>
      <c r="R144" s="872">
        <f>'11.销售及回款表'!T393</f>
        <v>0</v>
      </c>
      <c r="S144" s="871">
        <f>'11.销售及回款表'!U393</f>
        <v>0</v>
      </c>
      <c r="T144" s="872">
        <f>'11.销售及回款表'!V393</f>
        <v>0</v>
      </c>
      <c r="U144" s="872">
        <f>'11.销售及回款表'!W393</f>
        <v>0</v>
      </c>
      <c r="V144" s="872">
        <f>'11.销售及回款表'!X393</f>
        <v>0</v>
      </c>
      <c r="W144" s="871">
        <f>'11.销售及回款表'!Y393</f>
        <v>0</v>
      </c>
      <c r="X144" s="872">
        <f>'11.销售及回款表'!Z393</f>
        <v>0</v>
      </c>
      <c r="Y144" s="872">
        <f>'11.销售及回款表'!AA393</f>
        <v>0</v>
      </c>
      <c r="Z144" s="872">
        <f>'11.销售及回款表'!AB393</f>
        <v>0</v>
      </c>
      <c r="AA144" s="871">
        <f>'11.销售及回款表'!AC393</f>
        <v>0</v>
      </c>
      <c r="AB144" s="872">
        <f>'11.销售及回款表'!AD393</f>
        <v>0</v>
      </c>
      <c r="AC144" s="872">
        <f>'11.销售及回款表'!AE393</f>
        <v>0</v>
      </c>
      <c r="AD144" s="872">
        <f>'11.销售及回款表'!AF393</f>
        <v>0</v>
      </c>
      <c r="AE144" s="871">
        <f>'11.销售及回款表'!AG393</f>
        <v>0</v>
      </c>
      <c r="AF144" s="872">
        <f>'11.销售及回款表'!AH393</f>
        <v>0</v>
      </c>
      <c r="AG144" s="872">
        <f>'11.销售及回款表'!AI393</f>
        <v>0</v>
      </c>
      <c r="AH144" s="872">
        <f>'11.销售及回款表'!AJ393</f>
        <v>0</v>
      </c>
      <c r="AI144" s="871">
        <f>'11.销售及回款表'!AK393</f>
        <v>0</v>
      </c>
      <c r="AJ144" s="872">
        <f>'11.销售及回款表'!AL393</f>
        <v>0</v>
      </c>
      <c r="AK144" s="872">
        <f>'11.销售及回款表'!AM393</f>
        <v>0</v>
      </c>
      <c r="AL144" s="872">
        <f>'11.销售及回款表'!AN393</f>
        <v>0</v>
      </c>
      <c r="AM144" s="871">
        <f>'11.销售及回款表'!AO393</f>
        <v>0</v>
      </c>
      <c r="AN144" s="872">
        <f>'11.销售及回款表'!AP393</f>
        <v>0</v>
      </c>
      <c r="AO144" s="872">
        <f>'11.销售及回款表'!AQ393</f>
        <v>0</v>
      </c>
      <c r="AP144" s="872">
        <f>'11.销售及回款表'!AR393</f>
        <v>0</v>
      </c>
      <c r="AQ144" s="871">
        <f>'11.销售及回款表'!AS393</f>
        <v>0</v>
      </c>
      <c r="AR144" s="872">
        <f>'11.销售及回款表'!AT393</f>
        <v>0</v>
      </c>
      <c r="AS144" s="872">
        <f>'11.销售及回款表'!AU393</f>
        <v>0</v>
      </c>
      <c r="AT144" s="872">
        <f>'11.销售及回款表'!AV393</f>
        <v>0</v>
      </c>
    </row>
    <row r="145" spans="1:46" s="77" customFormat="1" ht="18" customHeight="1" outlineLevel="2">
      <c r="A145" s="869">
        <f>'8.项目规划指标表'!B$11</f>
        <v>0</v>
      </c>
      <c r="B145" s="870">
        <f t="shared" si="15"/>
        <v>0</v>
      </c>
      <c r="C145" s="871">
        <f>'11.销售及回款表'!E398</f>
        <v>0</v>
      </c>
      <c r="D145" s="872">
        <f>'11.销售及回款表'!F398</f>
        <v>0</v>
      </c>
      <c r="E145" s="872">
        <f>'11.销售及回款表'!G398</f>
        <v>0</v>
      </c>
      <c r="F145" s="872">
        <f>'11.销售及回款表'!H398</f>
        <v>0</v>
      </c>
      <c r="G145" s="871">
        <f>'11.销售及回款表'!I398</f>
        <v>0</v>
      </c>
      <c r="H145" s="872">
        <f>'11.销售及回款表'!J398</f>
        <v>0</v>
      </c>
      <c r="I145" s="872">
        <f>'11.销售及回款表'!K398</f>
        <v>0</v>
      </c>
      <c r="J145" s="872">
        <f>'11.销售及回款表'!L398</f>
        <v>0</v>
      </c>
      <c r="K145" s="871">
        <f>'11.销售及回款表'!M398</f>
        <v>0</v>
      </c>
      <c r="L145" s="872">
        <f>'11.销售及回款表'!N398</f>
        <v>0</v>
      </c>
      <c r="M145" s="872">
        <f>'11.销售及回款表'!O398</f>
        <v>0</v>
      </c>
      <c r="N145" s="872">
        <f>'11.销售及回款表'!P398</f>
        <v>0</v>
      </c>
      <c r="O145" s="871">
        <f>'11.销售及回款表'!Q398</f>
        <v>0</v>
      </c>
      <c r="P145" s="872">
        <f>'11.销售及回款表'!R398</f>
        <v>0</v>
      </c>
      <c r="Q145" s="872">
        <f>'11.销售及回款表'!S398</f>
        <v>0</v>
      </c>
      <c r="R145" s="872">
        <f>'11.销售及回款表'!T398</f>
        <v>0</v>
      </c>
      <c r="S145" s="871">
        <f>'11.销售及回款表'!U398</f>
        <v>0</v>
      </c>
      <c r="T145" s="872">
        <f>'11.销售及回款表'!V398</f>
        <v>0</v>
      </c>
      <c r="U145" s="872">
        <f>'11.销售及回款表'!W398</f>
        <v>0</v>
      </c>
      <c r="V145" s="872">
        <f>'11.销售及回款表'!X398</f>
        <v>0</v>
      </c>
      <c r="W145" s="871">
        <f>'11.销售及回款表'!Y398</f>
        <v>0</v>
      </c>
      <c r="X145" s="872">
        <f>'11.销售及回款表'!Z398</f>
        <v>0</v>
      </c>
      <c r="Y145" s="872">
        <f>'11.销售及回款表'!AA398</f>
        <v>0</v>
      </c>
      <c r="Z145" s="872">
        <f>'11.销售及回款表'!AB398</f>
        <v>0</v>
      </c>
      <c r="AA145" s="871">
        <f>'11.销售及回款表'!AC398</f>
        <v>0</v>
      </c>
      <c r="AB145" s="872">
        <f>'11.销售及回款表'!AD398</f>
        <v>0</v>
      </c>
      <c r="AC145" s="872">
        <f>'11.销售及回款表'!AE398</f>
        <v>0</v>
      </c>
      <c r="AD145" s="872">
        <f>'11.销售及回款表'!AF398</f>
        <v>0</v>
      </c>
      <c r="AE145" s="871">
        <f>'11.销售及回款表'!AG398</f>
        <v>0</v>
      </c>
      <c r="AF145" s="872">
        <f>'11.销售及回款表'!AH398</f>
        <v>0</v>
      </c>
      <c r="AG145" s="872">
        <f>'11.销售及回款表'!AI398</f>
        <v>0</v>
      </c>
      <c r="AH145" s="872">
        <f>'11.销售及回款表'!AJ398</f>
        <v>0</v>
      </c>
      <c r="AI145" s="871">
        <f>'11.销售及回款表'!AK398</f>
        <v>0</v>
      </c>
      <c r="AJ145" s="872">
        <f>'11.销售及回款表'!AL398</f>
        <v>0</v>
      </c>
      <c r="AK145" s="872">
        <f>'11.销售及回款表'!AM398</f>
        <v>0</v>
      </c>
      <c r="AL145" s="872">
        <f>'11.销售及回款表'!AN398</f>
        <v>0</v>
      </c>
      <c r="AM145" s="871">
        <f>'11.销售及回款表'!AO398</f>
        <v>0</v>
      </c>
      <c r="AN145" s="872">
        <f>'11.销售及回款表'!AP398</f>
        <v>0</v>
      </c>
      <c r="AO145" s="872">
        <f>'11.销售及回款表'!AQ398</f>
        <v>0</v>
      </c>
      <c r="AP145" s="872">
        <f>'11.销售及回款表'!AR398</f>
        <v>0</v>
      </c>
      <c r="AQ145" s="871">
        <f>'11.销售及回款表'!AS398</f>
        <v>0</v>
      </c>
      <c r="AR145" s="872">
        <f>'11.销售及回款表'!AT398</f>
        <v>0</v>
      </c>
      <c r="AS145" s="872">
        <f>'11.销售及回款表'!AU398</f>
        <v>0</v>
      </c>
      <c r="AT145" s="872">
        <f>'11.销售及回款表'!AV398</f>
        <v>0</v>
      </c>
    </row>
    <row r="146" spans="1:46" s="77" customFormat="1" ht="18" customHeight="1" outlineLevel="2">
      <c r="A146" s="869">
        <f>'8.项目规划指标表'!B$12</f>
        <v>0</v>
      </c>
      <c r="B146" s="870">
        <f t="shared" si="15"/>
        <v>0</v>
      </c>
      <c r="C146" s="871">
        <f>'11.销售及回款表'!E403</f>
        <v>0</v>
      </c>
      <c r="D146" s="872">
        <f>'11.销售及回款表'!F403</f>
        <v>0</v>
      </c>
      <c r="E146" s="872">
        <f>'11.销售及回款表'!G403</f>
        <v>0</v>
      </c>
      <c r="F146" s="872">
        <f>'11.销售及回款表'!H403</f>
        <v>0</v>
      </c>
      <c r="G146" s="871">
        <f>'11.销售及回款表'!I403</f>
        <v>0</v>
      </c>
      <c r="H146" s="872">
        <f>'11.销售及回款表'!J403</f>
        <v>0</v>
      </c>
      <c r="I146" s="872">
        <f>'11.销售及回款表'!K403</f>
        <v>0</v>
      </c>
      <c r="J146" s="872">
        <f>'11.销售及回款表'!L403</f>
        <v>0</v>
      </c>
      <c r="K146" s="871">
        <f>'11.销售及回款表'!M403</f>
        <v>0</v>
      </c>
      <c r="L146" s="872">
        <f>'11.销售及回款表'!N403</f>
        <v>0</v>
      </c>
      <c r="M146" s="872">
        <f>'11.销售及回款表'!O403</f>
        <v>0</v>
      </c>
      <c r="N146" s="872">
        <f>'11.销售及回款表'!P403</f>
        <v>0</v>
      </c>
      <c r="O146" s="871">
        <f>'11.销售及回款表'!Q403</f>
        <v>0</v>
      </c>
      <c r="P146" s="872">
        <f>'11.销售及回款表'!R403</f>
        <v>0</v>
      </c>
      <c r="Q146" s="872">
        <f>'11.销售及回款表'!S403</f>
        <v>0</v>
      </c>
      <c r="R146" s="872">
        <f>'11.销售及回款表'!T403</f>
        <v>0</v>
      </c>
      <c r="S146" s="871">
        <f>'11.销售及回款表'!U403</f>
        <v>0</v>
      </c>
      <c r="T146" s="872">
        <f>'11.销售及回款表'!V403</f>
        <v>0</v>
      </c>
      <c r="U146" s="872">
        <f>'11.销售及回款表'!W403</f>
        <v>0</v>
      </c>
      <c r="V146" s="872">
        <f>'11.销售及回款表'!X403</f>
        <v>0</v>
      </c>
      <c r="W146" s="871">
        <f>'11.销售及回款表'!Y403</f>
        <v>0</v>
      </c>
      <c r="X146" s="872">
        <f>'11.销售及回款表'!Z403</f>
        <v>0</v>
      </c>
      <c r="Y146" s="872">
        <f>'11.销售及回款表'!AA403</f>
        <v>0</v>
      </c>
      <c r="Z146" s="872">
        <f>'11.销售及回款表'!AB403</f>
        <v>0</v>
      </c>
      <c r="AA146" s="871">
        <f>'11.销售及回款表'!AC403</f>
        <v>0</v>
      </c>
      <c r="AB146" s="872">
        <f>'11.销售及回款表'!AD403</f>
        <v>0</v>
      </c>
      <c r="AC146" s="872">
        <f>'11.销售及回款表'!AE403</f>
        <v>0</v>
      </c>
      <c r="AD146" s="872">
        <f>'11.销售及回款表'!AF403</f>
        <v>0</v>
      </c>
      <c r="AE146" s="871">
        <f>'11.销售及回款表'!AG403</f>
        <v>0</v>
      </c>
      <c r="AF146" s="872">
        <f>'11.销售及回款表'!AH403</f>
        <v>0</v>
      </c>
      <c r="AG146" s="872">
        <f>'11.销售及回款表'!AI403</f>
        <v>0</v>
      </c>
      <c r="AH146" s="872">
        <f>'11.销售及回款表'!AJ403</f>
        <v>0</v>
      </c>
      <c r="AI146" s="871">
        <f>'11.销售及回款表'!AK403</f>
        <v>0</v>
      </c>
      <c r="AJ146" s="872">
        <f>'11.销售及回款表'!AL403</f>
        <v>0</v>
      </c>
      <c r="AK146" s="872">
        <f>'11.销售及回款表'!AM403</f>
        <v>0</v>
      </c>
      <c r="AL146" s="872">
        <f>'11.销售及回款表'!AN403</f>
        <v>0</v>
      </c>
      <c r="AM146" s="871">
        <f>'11.销售及回款表'!AO403</f>
        <v>0</v>
      </c>
      <c r="AN146" s="872">
        <f>'11.销售及回款表'!AP403</f>
        <v>0</v>
      </c>
      <c r="AO146" s="872">
        <f>'11.销售及回款表'!AQ403</f>
        <v>0</v>
      </c>
      <c r="AP146" s="872">
        <f>'11.销售及回款表'!AR403</f>
        <v>0</v>
      </c>
      <c r="AQ146" s="871">
        <f>'11.销售及回款表'!AS403</f>
        <v>0</v>
      </c>
      <c r="AR146" s="872">
        <f>'11.销售及回款表'!AT403</f>
        <v>0</v>
      </c>
      <c r="AS146" s="872">
        <f>'11.销售及回款表'!AU403</f>
        <v>0</v>
      </c>
      <c r="AT146" s="872">
        <f>'11.销售及回款表'!AV403</f>
        <v>0</v>
      </c>
    </row>
    <row r="147" spans="1:46" s="77" customFormat="1" ht="18" customHeight="1" outlineLevel="2">
      <c r="A147" s="869">
        <f>'8.项目规划指标表'!B$13</f>
        <v>0</v>
      </c>
      <c r="B147" s="870">
        <f t="shared" si="15"/>
        <v>0</v>
      </c>
      <c r="C147" s="871">
        <f>'11.销售及回款表'!E408</f>
        <v>0</v>
      </c>
      <c r="D147" s="872">
        <f>'11.销售及回款表'!F408</f>
        <v>0</v>
      </c>
      <c r="E147" s="872">
        <f>'11.销售及回款表'!G408</f>
        <v>0</v>
      </c>
      <c r="F147" s="872">
        <f>'11.销售及回款表'!H408</f>
        <v>0</v>
      </c>
      <c r="G147" s="871">
        <f>'11.销售及回款表'!I408</f>
        <v>0</v>
      </c>
      <c r="H147" s="872">
        <f>'11.销售及回款表'!J408</f>
        <v>0</v>
      </c>
      <c r="I147" s="872">
        <f>'11.销售及回款表'!K408</f>
        <v>0</v>
      </c>
      <c r="J147" s="872">
        <f>'11.销售及回款表'!L408</f>
        <v>0</v>
      </c>
      <c r="K147" s="871">
        <f>'11.销售及回款表'!M408</f>
        <v>0</v>
      </c>
      <c r="L147" s="872">
        <f>'11.销售及回款表'!N408</f>
        <v>0</v>
      </c>
      <c r="M147" s="872">
        <f>'11.销售及回款表'!O408</f>
        <v>0</v>
      </c>
      <c r="N147" s="872">
        <f>'11.销售及回款表'!P408</f>
        <v>0</v>
      </c>
      <c r="O147" s="871">
        <f>'11.销售及回款表'!Q408</f>
        <v>0</v>
      </c>
      <c r="P147" s="872">
        <f>'11.销售及回款表'!R408</f>
        <v>0</v>
      </c>
      <c r="Q147" s="872">
        <f>'11.销售及回款表'!S408</f>
        <v>0</v>
      </c>
      <c r="R147" s="872">
        <f>'11.销售及回款表'!T408</f>
        <v>0</v>
      </c>
      <c r="S147" s="871">
        <f>'11.销售及回款表'!U408</f>
        <v>0</v>
      </c>
      <c r="T147" s="872">
        <f>'11.销售及回款表'!V408</f>
        <v>0</v>
      </c>
      <c r="U147" s="872">
        <f>'11.销售及回款表'!W408</f>
        <v>0</v>
      </c>
      <c r="V147" s="872">
        <f>'11.销售及回款表'!X408</f>
        <v>0</v>
      </c>
      <c r="W147" s="871">
        <f>'11.销售及回款表'!Y408</f>
        <v>0</v>
      </c>
      <c r="X147" s="872">
        <f>'11.销售及回款表'!Z408</f>
        <v>0</v>
      </c>
      <c r="Y147" s="872">
        <f>'11.销售及回款表'!AA408</f>
        <v>0</v>
      </c>
      <c r="Z147" s="872">
        <f>'11.销售及回款表'!AB408</f>
        <v>0</v>
      </c>
      <c r="AA147" s="871">
        <f>'11.销售及回款表'!AC408</f>
        <v>0</v>
      </c>
      <c r="AB147" s="872">
        <f>'11.销售及回款表'!AD408</f>
        <v>0</v>
      </c>
      <c r="AC147" s="872">
        <f>'11.销售及回款表'!AE408</f>
        <v>0</v>
      </c>
      <c r="AD147" s="872">
        <f>'11.销售及回款表'!AF408</f>
        <v>0</v>
      </c>
      <c r="AE147" s="871">
        <f>'11.销售及回款表'!AG408</f>
        <v>0</v>
      </c>
      <c r="AF147" s="872">
        <f>'11.销售及回款表'!AH408</f>
        <v>0</v>
      </c>
      <c r="AG147" s="872">
        <f>'11.销售及回款表'!AI408</f>
        <v>0</v>
      </c>
      <c r="AH147" s="872">
        <f>'11.销售及回款表'!AJ408</f>
        <v>0</v>
      </c>
      <c r="AI147" s="871">
        <f>'11.销售及回款表'!AK408</f>
        <v>0</v>
      </c>
      <c r="AJ147" s="872">
        <f>'11.销售及回款表'!AL408</f>
        <v>0</v>
      </c>
      <c r="AK147" s="872">
        <f>'11.销售及回款表'!AM408</f>
        <v>0</v>
      </c>
      <c r="AL147" s="872">
        <f>'11.销售及回款表'!AN408</f>
        <v>0</v>
      </c>
      <c r="AM147" s="871">
        <f>'11.销售及回款表'!AO408</f>
        <v>0</v>
      </c>
      <c r="AN147" s="872">
        <f>'11.销售及回款表'!AP408</f>
        <v>0</v>
      </c>
      <c r="AO147" s="872">
        <f>'11.销售及回款表'!AQ408</f>
        <v>0</v>
      </c>
      <c r="AP147" s="872">
        <f>'11.销售及回款表'!AR408</f>
        <v>0</v>
      </c>
      <c r="AQ147" s="871">
        <f>'11.销售及回款表'!AS408</f>
        <v>0</v>
      </c>
      <c r="AR147" s="872">
        <f>'11.销售及回款表'!AT408</f>
        <v>0</v>
      </c>
      <c r="AS147" s="872">
        <f>'11.销售及回款表'!AU408</f>
        <v>0</v>
      </c>
      <c r="AT147" s="872">
        <f>'11.销售及回款表'!AV408</f>
        <v>0</v>
      </c>
    </row>
    <row r="148" spans="1:46" s="77" customFormat="1" ht="18" customHeight="1" outlineLevel="2">
      <c r="A148" s="869" t="str">
        <f>'8.项目规划指标表'!B$14</f>
        <v>自持物业</v>
      </c>
      <c r="B148" s="870">
        <f t="shared" si="15"/>
        <v>0</v>
      </c>
      <c r="C148" s="871">
        <f>'11.销售及回款表'!E413</f>
        <v>0</v>
      </c>
      <c r="D148" s="872">
        <f>'11.销售及回款表'!F413</f>
        <v>0</v>
      </c>
      <c r="E148" s="872">
        <f>'11.销售及回款表'!G413</f>
        <v>0</v>
      </c>
      <c r="F148" s="872">
        <f>'11.销售及回款表'!H413</f>
        <v>0</v>
      </c>
      <c r="G148" s="871">
        <f>'11.销售及回款表'!I413</f>
        <v>0</v>
      </c>
      <c r="H148" s="872">
        <f>'11.销售及回款表'!J413</f>
        <v>0</v>
      </c>
      <c r="I148" s="872">
        <f>'11.销售及回款表'!K413</f>
        <v>0</v>
      </c>
      <c r="J148" s="872">
        <f>'11.销售及回款表'!L413</f>
        <v>0</v>
      </c>
      <c r="K148" s="871">
        <f>'11.销售及回款表'!M413</f>
        <v>0</v>
      </c>
      <c r="L148" s="872">
        <f>'11.销售及回款表'!N413</f>
        <v>0</v>
      </c>
      <c r="M148" s="872">
        <f>'11.销售及回款表'!O413</f>
        <v>0</v>
      </c>
      <c r="N148" s="872">
        <f>'11.销售及回款表'!P413</f>
        <v>0</v>
      </c>
      <c r="O148" s="871">
        <f>'11.销售及回款表'!Q413</f>
        <v>0</v>
      </c>
      <c r="P148" s="872">
        <f>'11.销售及回款表'!R413</f>
        <v>0</v>
      </c>
      <c r="Q148" s="872">
        <f>'11.销售及回款表'!S413</f>
        <v>0</v>
      </c>
      <c r="R148" s="872">
        <f>'11.销售及回款表'!T413</f>
        <v>0</v>
      </c>
      <c r="S148" s="871">
        <f>'11.销售及回款表'!U413</f>
        <v>0</v>
      </c>
      <c r="T148" s="872">
        <f>'11.销售及回款表'!V413</f>
        <v>0</v>
      </c>
      <c r="U148" s="872">
        <f>'11.销售及回款表'!W413</f>
        <v>0</v>
      </c>
      <c r="V148" s="872">
        <f>'11.销售及回款表'!X413</f>
        <v>0</v>
      </c>
      <c r="W148" s="871">
        <f>'11.销售及回款表'!Y413</f>
        <v>0</v>
      </c>
      <c r="X148" s="872">
        <f>'11.销售及回款表'!Z413</f>
        <v>0</v>
      </c>
      <c r="Y148" s="872">
        <f>'11.销售及回款表'!AA413</f>
        <v>0</v>
      </c>
      <c r="Z148" s="872">
        <f>'11.销售及回款表'!AB413</f>
        <v>0</v>
      </c>
      <c r="AA148" s="871">
        <f>'11.销售及回款表'!AC413</f>
        <v>0</v>
      </c>
      <c r="AB148" s="872">
        <f>'11.销售及回款表'!AD413</f>
        <v>0</v>
      </c>
      <c r="AC148" s="872">
        <f>'11.销售及回款表'!AE413</f>
        <v>0</v>
      </c>
      <c r="AD148" s="872">
        <f>'11.销售及回款表'!AF413</f>
        <v>0</v>
      </c>
      <c r="AE148" s="871">
        <f>'11.销售及回款表'!AG413</f>
        <v>0</v>
      </c>
      <c r="AF148" s="872">
        <f>'11.销售及回款表'!AH413</f>
        <v>0</v>
      </c>
      <c r="AG148" s="872">
        <f>'11.销售及回款表'!AI413</f>
        <v>0</v>
      </c>
      <c r="AH148" s="872">
        <f>'11.销售及回款表'!AJ413</f>
        <v>0</v>
      </c>
      <c r="AI148" s="871">
        <f>'11.销售及回款表'!AK413</f>
        <v>0</v>
      </c>
      <c r="AJ148" s="872">
        <f>'11.销售及回款表'!AL413</f>
        <v>0</v>
      </c>
      <c r="AK148" s="872">
        <f>'11.销售及回款表'!AM413</f>
        <v>0</v>
      </c>
      <c r="AL148" s="872">
        <f>'11.销售及回款表'!AN413</f>
        <v>0</v>
      </c>
      <c r="AM148" s="871">
        <f>'11.销售及回款表'!AO413</f>
        <v>0</v>
      </c>
      <c r="AN148" s="872">
        <f>'11.销售及回款表'!AP413</f>
        <v>0</v>
      </c>
      <c r="AO148" s="872">
        <f>'11.销售及回款表'!AQ413</f>
        <v>0</v>
      </c>
      <c r="AP148" s="872">
        <f>'11.销售及回款表'!AR413</f>
        <v>0</v>
      </c>
      <c r="AQ148" s="871">
        <f>'11.销售及回款表'!AS413</f>
        <v>0</v>
      </c>
      <c r="AR148" s="872">
        <f>'11.销售及回款表'!AT413</f>
        <v>0</v>
      </c>
      <c r="AS148" s="872">
        <f>'11.销售及回款表'!AU413</f>
        <v>0</v>
      </c>
      <c r="AT148" s="872">
        <f>'11.销售及回款表'!AV413</f>
        <v>0</v>
      </c>
    </row>
    <row r="149" spans="1:46" s="77" customFormat="1" ht="18" customHeight="1" outlineLevel="2">
      <c r="A149" s="869" t="str">
        <f>'8.项目规划指标表'!B$18</f>
        <v>有产权车库(个)</v>
      </c>
      <c r="B149" s="870">
        <f t="shared" si="15"/>
        <v>0</v>
      </c>
      <c r="C149" s="871">
        <f>'11.销售及回款表'!E418</f>
        <v>0</v>
      </c>
      <c r="D149" s="872">
        <f>'11.销售及回款表'!F418</f>
        <v>0</v>
      </c>
      <c r="E149" s="872">
        <f>'11.销售及回款表'!G418</f>
        <v>0</v>
      </c>
      <c r="F149" s="872">
        <f>'11.销售及回款表'!H418</f>
        <v>0</v>
      </c>
      <c r="G149" s="871">
        <f>'11.销售及回款表'!I418</f>
        <v>0</v>
      </c>
      <c r="H149" s="872">
        <f>'11.销售及回款表'!J418</f>
        <v>0</v>
      </c>
      <c r="I149" s="872">
        <f>'11.销售及回款表'!K418</f>
        <v>0</v>
      </c>
      <c r="J149" s="872">
        <f>'11.销售及回款表'!L418</f>
        <v>0</v>
      </c>
      <c r="K149" s="871">
        <f>'11.销售及回款表'!M418</f>
        <v>0</v>
      </c>
      <c r="L149" s="872">
        <f>'11.销售及回款表'!N418</f>
        <v>0</v>
      </c>
      <c r="M149" s="872">
        <f>'11.销售及回款表'!O418</f>
        <v>0</v>
      </c>
      <c r="N149" s="872">
        <f>'11.销售及回款表'!P418</f>
        <v>0</v>
      </c>
      <c r="O149" s="871">
        <f>'11.销售及回款表'!Q418</f>
        <v>0</v>
      </c>
      <c r="P149" s="872">
        <f>'11.销售及回款表'!R418</f>
        <v>0</v>
      </c>
      <c r="Q149" s="872">
        <f>'11.销售及回款表'!S418</f>
        <v>0</v>
      </c>
      <c r="R149" s="872">
        <f>'11.销售及回款表'!T418</f>
        <v>0</v>
      </c>
      <c r="S149" s="871">
        <f>'11.销售及回款表'!U418</f>
        <v>0</v>
      </c>
      <c r="T149" s="872">
        <f>'11.销售及回款表'!V418</f>
        <v>0</v>
      </c>
      <c r="U149" s="872">
        <f>'11.销售及回款表'!W418</f>
        <v>0</v>
      </c>
      <c r="V149" s="872">
        <f>'11.销售及回款表'!X418</f>
        <v>0</v>
      </c>
      <c r="W149" s="871">
        <f>'11.销售及回款表'!Y418</f>
        <v>0</v>
      </c>
      <c r="X149" s="872">
        <f>'11.销售及回款表'!Z418</f>
        <v>0</v>
      </c>
      <c r="Y149" s="872">
        <f>'11.销售及回款表'!AA418</f>
        <v>0</v>
      </c>
      <c r="Z149" s="872">
        <f>'11.销售及回款表'!AB418</f>
        <v>0</v>
      </c>
      <c r="AA149" s="871">
        <f>'11.销售及回款表'!AC418</f>
        <v>0</v>
      </c>
      <c r="AB149" s="872">
        <f>'11.销售及回款表'!AD418</f>
        <v>0</v>
      </c>
      <c r="AC149" s="872">
        <f>'11.销售及回款表'!AE418</f>
        <v>0</v>
      </c>
      <c r="AD149" s="872">
        <f>'11.销售及回款表'!AF418</f>
        <v>0</v>
      </c>
      <c r="AE149" s="871">
        <f>'11.销售及回款表'!AG418</f>
        <v>0</v>
      </c>
      <c r="AF149" s="872">
        <f>'11.销售及回款表'!AH418</f>
        <v>0</v>
      </c>
      <c r="AG149" s="872">
        <f>'11.销售及回款表'!AI418</f>
        <v>0</v>
      </c>
      <c r="AH149" s="872">
        <f>'11.销售及回款表'!AJ418</f>
        <v>0</v>
      </c>
      <c r="AI149" s="871">
        <f>'11.销售及回款表'!AK418</f>
        <v>0</v>
      </c>
      <c r="AJ149" s="872">
        <f>'11.销售及回款表'!AL418</f>
        <v>0</v>
      </c>
      <c r="AK149" s="872">
        <f>'11.销售及回款表'!AM418</f>
        <v>0</v>
      </c>
      <c r="AL149" s="872">
        <f>'11.销售及回款表'!AN418</f>
        <v>0</v>
      </c>
      <c r="AM149" s="871">
        <f>'11.销售及回款表'!AO418</f>
        <v>0</v>
      </c>
      <c r="AN149" s="872">
        <f>'11.销售及回款表'!AP418</f>
        <v>0</v>
      </c>
      <c r="AO149" s="872">
        <f>'11.销售及回款表'!AQ418</f>
        <v>0</v>
      </c>
      <c r="AP149" s="872">
        <f>'11.销售及回款表'!AR418</f>
        <v>0</v>
      </c>
      <c r="AQ149" s="871">
        <f>'11.销售及回款表'!AS418</f>
        <v>0</v>
      </c>
      <c r="AR149" s="872">
        <f>'11.销售及回款表'!AT418</f>
        <v>0</v>
      </c>
      <c r="AS149" s="872">
        <f>'11.销售及回款表'!AU418</f>
        <v>0</v>
      </c>
      <c r="AT149" s="872">
        <f>'11.销售及回款表'!AV418</f>
        <v>0</v>
      </c>
    </row>
    <row r="150" spans="1:46" s="77" customFormat="1" ht="18" customHeight="1" outlineLevel="2">
      <c r="A150" s="869" t="str">
        <f>'8.项目规划指标表'!B$19</f>
        <v>无产权车库(个)</v>
      </c>
      <c r="B150" s="870">
        <f t="shared" si="15"/>
        <v>0</v>
      </c>
      <c r="C150" s="871">
        <f>'11.销售及回款表'!E423</f>
        <v>0</v>
      </c>
      <c r="D150" s="872">
        <f>'11.销售及回款表'!F423</f>
        <v>0</v>
      </c>
      <c r="E150" s="872">
        <f>'11.销售及回款表'!G423</f>
        <v>0</v>
      </c>
      <c r="F150" s="872">
        <f>'11.销售及回款表'!H423</f>
        <v>0</v>
      </c>
      <c r="G150" s="871">
        <f>'11.销售及回款表'!I423</f>
        <v>0</v>
      </c>
      <c r="H150" s="872">
        <f>'11.销售及回款表'!J423</f>
        <v>0</v>
      </c>
      <c r="I150" s="872">
        <f>'11.销售及回款表'!K423</f>
        <v>0</v>
      </c>
      <c r="J150" s="872">
        <f>'11.销售及回款表'!L423</f>
        <v>0</v>
      </c>
      <c r="K150" s="871">
        <f>'11.销售及回款表'!M423</f>
        <v>0</v>
      </c>
      <c r="L150" s="872">
        <f>'11.销售及回款表'!N423</f>
        <v>0</v>
      </c>
      <c r="M150" s="872">
        <f>'11.销售及回款表'!O423</f>
        <v>0</v>
      </c>
      <c r="N150" s="872">
        <f>'11.销售及回款表'!P423</f>
        <v>0</v>
      </c>
      <c r="O150" s="871">
        <f>'11.销售及回款表'!Q423</f>
        <v>0</v>
      </c>
      <c r="P150" s="872">
        <f>'11.销售及回款表'!R423</f>
        <v>0</v>
      </c>
      <c r="Q150" s="872">
        <f>'11.销售及回款表'!S423</f>
        <v>0</v>
      </c>
      <c r="R150" s="872">
        <f>'11.销售及回款表'!T423</f>
        <v>0</v>
      </c>
      <c r="S150" s="871">
        <f>'11.销售及回款表'!U423</f>
        <v>0</v>
      </c>
      <c r="T150" s="872">
        <f>'11.销售及回款表'!V423</f>
        <v>0</v>
      </c>
      <c r="U150" s="872">
        <f>'11.销售及回款表'!W423</f>
        <v>0</v>
      </c>
      <c r="V150" s="872">
        <f>'11.销售及回款表'!X423</f>
        <v>0</v>
      </c>
      <c r="W150" s="871">
        <f>'11.销售及回款表'!Y423</f>
        <v>0</v>
      </c>
      <c r="X150" s="872">
        <f>'11.销售及回款表'!Z423</f>
        <v>0</v>
      </c>
      <c r="Y150" s="872">
        <f>'11.销售及回款表'!AA423</f>
        <v>0</v>
      </c>
      <c r="Z150" s="872">
        <f>'11.销售及回款表'!AB423</f>
        <v>0</v>
      </c>
      <c r="AA150" s="871">
        <f>'11.销售及回款表'!AC423</f>
        <v>0</v>
      </c>
      <c r="AB150" s="872">
        <f>'11.销售及回款表'!AD423</f>
        <v>0</v>
      </c>
      <c r="AC150" s="872">
        <f>'11.销售及回款表'!AE423</f>
        <v>0</v>
      </c>
      <c r="AD150" s="872">
        <f>'11.销售及回款表'!AF423</f>
        <v>0</v>
      </c>
      <c r="AE150" s="871">
        <f>'11.销售及回款表'!AG423</f>
        <v>0</v>
      </c>
      <c r="AF150" s="872">
        <f>'11.销售及回款表'!AH423</f>
        <v>0</v>
      </c>
      <c r="AG150" s="872">
        <f>'11.销售及回款表'!AI423</f>
        <v>0</v>
      </c>
      <c r="AH150" s="872">
        <f>'11.销售及回款表'!AJ423</f>
        <v>0</v>
      </c>
      <c r="AI150" s="871">
        <f>'11.销售及回款表'!AK423</f>
        <v>0</v>
      </c>
      <c r="AJ150" s="872">
        <f>'11.销售及回款表'!AL423</f>
        <v>0</v>
      </c>
      <c r="AK150" s="872">
        <f>'11.销售及回款表'!AM423</f>
        <v>0</v>
      </c>
      <c r="AL150" s="872">
        <f>'11.销售及回款表'!AN423</f>
        <v>0</v>
      </c>
      <c r="AM150" s="871">
        <f>'11.销售及回款表'!AO423</f>
        <v>0</v>
      </c>
      <c r="AN150" s="872">
        <f>'11.销售及回款表'!AP423</f>
        <v>0</v>
      </c>
      <c r="AO150" s="872">
        <f>'11.销售及回款表'!AQ423</f>
        <v>0</v>
      </c>
      <c r="AP150" s="872">
        <f>'11.销售及回款表'!AR423</f>
        <v>0</v>
      </c>
      <c r="AQ150" s="871">
        <f>'11.销售及回款表'!AS423</f>
        <v>0</v>
      </c>
      <c r="AR150" s="872">
        <f>'11.销售及回款表'!AT423</f>
        <v>0</v>
      </c>
      <c r="AS150" s="872">
        <f>'11.销售及回款表'!AU423</f>
        <v>0</v>
      </c>
      <c r="AT150" s="872">
        <f>'11.销售及回款表'!AV423</f>
        <v>0</v>
      </c>
    </row>
    <row r="151" spans="1:46" s="77" customFormat="1" ht="18" customHeight="1" outlineLevel="1">
      <c r="A151" s="865" t="s">
        <v>24</v>
      </c>
      <c r="B151" s="866">
        <f>SUM(B152:B163)</f>
        <v>0</v>
      </c>
      <c r="C151" s="867">
        <f>SUM(C152:C163)</f>
        <v>0</v>
      </c>
      <c r="D151" s="868">
        <f t="shared" ref="D151:AT151" si="18">SUM(D152:D163)</f>
        <v>0</v>
      </c>
      <c r="E151" s="868">
        <f t="shared" si="18"/>
        <v>0</v>
      </c>
      <c r="F151" s="868">
        <f t="shared" si="18"/>
        <v>0</v>
      </c>
      <c r="G151" s="867">
        <f t="shared" si="18"/>
        <v>0</v>
      </c>
      <c r="H151" s="868">
        <f t="shared" si="18"/>
        <v>0</v>
      </c>
      <c r="I151" s="868">
        <f t="shared" si="18"/>
        <v>0</v>
      </c>
      <c r="J151" s="868">
        <f t="shared" si="18"/>
        <v>0</v>
      </c>
      <c r="K151" s="867">
        <f t="shared" si="18"/>
        <v>0</v>
      </c>
      <c r="L151" s="868">
        <f t="shared" si="18"/>
        <v>0</v>
      </c>
      <c r="M151" s="868">
        <f t="shared" si="18"/>
        <v>0</v>
      </c>
      <c r="N151" s="868">
        <f t="shared" si="18"/>
        <v>0</v>
      </c>
      <c r="O151" s="867">
        <f t="shared" si="18"/>
        <v>0</v>
      </c>
      <c r="P151" s="868">
        <f t="shared" si="18"/>
        <v>0</v>
      </c>
      <c r="Q151" s="868">
        <f t="shared" si="18"/>
        <v>0</v>
      </c>
      <c r="R151" s="868">
        <f t="shared" si="18"/>
        <v>0</v>
      </c>
      <c r="S151" s="867">
        <f t="shared" si="18"/>
        <v>0</v>
      </c>
      <c r="T151" s="868">
        <f t="shared" si="18"/>
        <v>0</v>
      </c>
      <c r="U151" s="868">
        <f t="shared" si="18"/>
        <v>0</v>
      </c>
      <c r="V151" s="868">
        <f t="shared" si="18"/>
        <v>0</v>
      </c>
      <c r="W151" s="867">
        <f t="shared" si="18"/>
        <v>0</v>
      </c>
      <c r="X151" s="868">
        <f t="shared" si="18"/>
        <v>0</v>
      </c>
      <c r="Y151" s="868">
        <f t="shared" si="18"/>
        <v>0</v>
      </c>
      <c r="Z151" s="868">
        <f t="shared" si="18"/>
        <v>0</v>
      </c>
      <c r="AA151" s="867">
        <f t="shared" si="18"/>
        <v>0</v>
      </c>
      <c r="AB151" s="868">
        <f t="shared" si="18"/>
        <v>0</v>
      </c>
      <c r="AC151" s="868">
        <f t="shared" si="18"/>
        <v>0</v>
      </c>
      <c r="AD151" s="868">
        <f t="shared" si="18"/>
        <v>0</v>
      </c>
      <c r="AE151" s="867">
        <f t="shared" si="18"/>
        <v>0</v>
      </c>
      <c r="AF151" s="868">
        <f t="shared" si="18"/>
        <v>0</v>
      </c>
      <c r="AG151" s="868">
        <f t="shared" si="18"/>
        <v>0</v>
      </c>
      <c r="AH151" s="868">
        <f t="shared" si="18"/>
        <v>0</v>
      </c>
      <c r="AI151" s="867">
        <f t="shared" si="18"/>
        <v>0</v>
      </c>
      <c r="AJ151" s="868">
        <f t="shared" si="18"/>
        <v>0</v>
      </c>
      <c r="AK151" s="868">
        <f t="shared" si="18"/>
        <v>0</v>
      </c>
      <c r="AL151" s="868">
        <f t="shared" si="18"/>
        <v>0</v>
      </c>
      <c r="AM151" s="867">
        <f t="shared" si="18"/>
        <v>0</v>
      </c>
      <c r="AN151" s="868">
        <f t="shared" si="18"/>
        <v>0</v>
      </c>
      <c r="AO151" s="868">
        <f t="shared" si="18"/>
        <v>0</v>
      </c>
      <c r="AP151" s="868">
        <f t="shared" si="18"/>
        <v>0</v>
      </c>
      <c r="AQ151" s="867">
        <f t="shared" si="18"/>
        <v>0</v>
      </c>
      <c r="AR151" s="868">
        <f t="shared" si="18"/>
        <v>0</v>
      </c>
      <c r="AS151" s="868">
        <f t="shared" si="18"/>
        <v>0</v>
      </c>
      <c r="AT151" s="868">
        <f t="shared" si="18"/>
        <v>0</v>
      </c>
    </row>
    <row r="152" spans="1:46" s="77" customFormat="1" ht="18" customHeight="1" outlineLevel="2">
      <c r="A152" s="869" t="str">
        <f>'8.项目规划指标表'!B$5</f>
        <v>高层</v>
      </c>
      <c r="B152" s="870">
        <f t="shared" si="15"/>
        <v>0</v>
      </c>
      <c r="C152" s="871">
        <f>'11.销售及回款表'!E438</f>
        <v>0</v>
      </c>
      <c r="D152" s="872">
        <f>'11.销售及回款表'!F438</f>
        <v>0</v>
      </c>
      <c r="E152" s="872">
        <f>'11.销售及回款表'!G438</f>
        <v>0</v>
      </c>
      <c r="F152" s="872">
        <f>'11.销售及回款表'!H438</f>
        <v>0</v>
      </c>
      <c r="G152" s="871">
        <f>'11.销售及回款表'!I438</f>
        <v>0</v>
      </c>
      <c r="H152" s="872">
        <f>'11.销售及回款表'!J438</f>
        <v>0</v>
      </c>
      <c r="I152" s="872">
        <f>'11.销售及回款表'!K438</f>
        <v>0</v>
      </c>
      <c r="J152" s="872">
        <f>'11.销售及回款表'!L438</f>
        <v>0</v>
      </c>
      <c r="K152" s="871">
        <f>'11.销售及回款表'!M438</f>
        <v>0</v>
      </c>
      <c r="L152" s="872">
        <f>'11.销售及回款表'!N438</f>
        <v>0</v>
      </c>
      <c r="M152" s="872">
        <f>'11.销售及回款表'!O438</f>
        <v>0</v>
      </c>
      <c r="N152" s="872">
        <f>'11.销售及回款表'!P438</f>
        <v>0</v>
      </c>
      <c r="O152" s="871">
        <f>'11.销售及回款表'!Q438</f>
        <v>0</v>
      </c>
      <c r="P152" s="872">
        <f>'11.销售及回款表'!R438</f>
        <v>0</v>
      </c>
      <c r="Q152" s="872">
        <f>'11.销售及回款表'!S438</f>
        <v>0</v>
      </c>
      <c r="R152" s="872">
        <f>'11.销售及回款表'!T438</f>
        <v>0</v>
      </c>
      <c r="S152" s="871">
        <f>'11.销售及回款表'!U438</f>
        <v>0</v>
      </c>
      <c r="T152" s="872">
        <f>'11.销售及回款表'!V438</f>
        <v>0</v>
      </c>
      <c r="U152" s="872">
        <f>'11.销售及回款表'!W438</f>
        <v>0</v>
      </c>
      <c r="V152" s="872">
        <f>'11.销售及回款表'!X438</f>
        <v>0</v>
      </c>
      <c r="W152" s="871">
        <f>'11.销售及回款表'!Y438</f>
        <v>0</v>
      </c>
      <c r="X152" s="872">
        <f>'11.销售及回款表'!Z438</f>
        <v>0</v>
      </c>
      <c r="Y152" s="872">
        <f>'11.销售及回款表'!AA438</f>
        <v>0</v>
      </c>
      <c r="Z152" s="872">
        <f>'11.销售及回款表'!AB438</f>
        <v>0</v>
      </c>
      <c r="AA152" s="871">
        <f>'11.销售及回款表'!AC438</f>
        <v>0</v>
      </c>
      <c r="AB152" s="872">
        <f>'11.销售及回款表'!AD438</f>
        <v>0</v>
      </c>
      <c r="AC152" s="872">
        <f>'11.销售及回款表'!AE438</f>
        <v>0</v>
      </c>
      <c r="AD152" s="872">
        <f>'11.销售及回款表'!AF438</f>
        <v>0</v>
      </c>
      <c r="AE152" s="871">
        <f>'11.销售及回款表'!AG438</f>
        <v>0</v>
      </c>
      <c r="AF152" s="872">
        <f>'11.销售及回款表'!AH438</f>
        <v>0</v>
      </c>
      <c r="AG152" s="872">
        <f>'11.销售及回款表'!AI438</f>
        <v>0</v>
      </c>
      <c r="AH152" s="872">
        <f>'11.销售及回款表'!AJ438</f>
        <v>0</v>
      </c>
      <c r="AI152" s="871">
        <f>'11.销售及回款表'!AK438</f>
        <v>0</v>
      </c>
      <c r="AJ152" s="872">
        <f>'11.销售及回款表'!AL438</f>
        <v>0</v>
      </c>
      <c r="AK152" s="872">
        <f>'11.销售及回款表'!AM438</f>
        <v>0</v>
      </c>
      <c r="AL152" s="872">
        <f>'11.销售及回款表'!AN438</f>
        <v>0</v>
      </c>
      <c r="AM152" s="871">
        <f>'11.销售及回款表'!AO438</f>
        <v>0</v>
      </c>
      <c r="AN152" s="872">
        <f>'11.销售及回款表'!AP438</f>
        <v>0</v>
      </c>
      <c r="AO152" s="872">
        <f>'11.销售及回款表'!AQ438</f>
        <v>0</v>
      </c>
      <c r="AP152" s="872">
        <f>'11.销售及回款表'!AR438</f>
        <v>0</v>
      </c>
      <c r="AQ152" s="871">
        <f>'11.销售及回款表'!AS438</f>
        <v>0</v>
      </c>
      <c r="AR152" s="872">
        <f>'11.销售及回款表'!AT438</f>
        <v>0</v>
      </c>
      <c r="AS152" s="872">
        <f>'11.销售及回款表'!AU438</f>
        <v>0</v>
      </c>
      <c r="AT152" s="872">
        <f>'11.销售及回款表'!AV438</f>
        <v>0</v>
      </c>
    </row>
    <row r="153" spans="1:46" s="77" customFormat="1" ht="18" customHeight="1" outlineLevel="2">
      <c r="A153" s="869" t="str">
        <f>'8.项目规划指标表'!B$6</f>
        <v>商铺</v>
      </c>
      <c r="B153" s="870">
        <f t="shared" si="15"/>
        <v>0</v>
      </c>
      <c r="C153" s="871">
        <f>'11.销售及回款表'!E443</f>
        <v>0</v>
      </c>
      <c r="D153" s="872">
        <f>'11.销售及回款表'!F443</f>
        <v>0</v>
      </c>
      <c r="E153" s="872">
        <f>'11.销售及回款表'!G443</f>
        <v>0</v>
      </c>
      <c r="F153" s="872">
        <f>'11.销售及回款表'!H443</f>
        <v>0</v>
      </c>
      <c r="G153" s="871">
        <f>'11.销售及回款表'!I443</f>
        <v>0</v>
      </c>
      <c r="H153" s="872">
        <f>'11.销售及回款表'!J443</f>
        <v>0</v>
      </c>
      <c r="I153" s="872">
        <f>'11.销售及回款表'!K443</f>
        <v>0</v>
      </c>
      <c r="J153" s="872">
        <f>'11.销售及回款表'!L443</f>
        <v>0</v>
      </c>
      <c r="K153" s="871">
        <f>'11.销售及回款表'!M443</f>
        <v>0</v>
      </c>
      <c r="L153" s="872">
        <f>'11.销售及回款表'!N443</f>
        <v>0</v>
      </c>
      <c r="M153" s="872">
        <f>'11.销售及回款表'!O443</f>
        <v>0</v>
      </c>
      <c r="N153" s="872">
        <f>'11.销售及回款表'!P443</f>
        <v>0</v>
      </c>
      <c r="O153" s="871">
        <f>'11.销售及回款表'!Q443</f>
        <v>0</v>
      </c>
      <c r="P153" s="872">
        <f>'11.销售及回款表'!R443</f>
        <v>0</v>
      </c>
      <c r="Q153" s="872">
        <f>'11.销售及回款表'!S443</f>
        <v>0</v>
      </c>
      <c r="R153" s="872">
        <f>'11.销售及回款表'!T443</f>
        <v>0</v>
      </c>
      <c r="S153" s="871">
        <f>'11.销售及回款表'!U443</f>
        <v>0</v>
      </c>
      <c r="T153" s="872">
        <f>'11.销售及回款表'!V443</f>
        <v>0</v>
      </c>
      <c r="U153" s="872">
        <f>'11.销售及回款表'!W443</f>
        <v>0</v>
      </c>
      <c r="V153" s="872">
        <f>'11.销售及回款表'!X443</f>
        <v>0</v>
      </c>
      <c r="W153" s="871">
        <f>'11.销售及回款表'!Y443</f>
        <v>0</v>
      </c>
      <c r="X153" s="872">
        <f>'11.销售及回款表'!Z443</f>
        <v>0</v>
      </c>
      <c r="Y153" s="872">
        <f>'11.销售及回款表'!AA443</f>
        <v>0</v>
      </c>
      <c r="Z153" s="872">
        <f>'11.销售及回款表'!AB443</f>
        <v>0</v>
      </c>
      <c r="AA153" s="871">
        <f>'11.销售及回款表'!AC443</f>
        <v>0</v>
      </c>
      <c r="AB153" s="872">
        <f>'11.销售及回款表'!AD443</f>
        <v>0</v>
      </c>
      <c r="AC153" s="872">
        <f>'11.销售及回款表'!AE443</f>
        <v>0</v>
      </c>
      <c r="AD153" s="872">
        <f>'11.销售及回款表'!AF443</f>
        <v>0</v>
      </c>
      <c r="AE153" s="871">
        <f>'11.销售及回款表'!AG443</f>
        <v>0</v>
      </c>
      <c r="AF153" s="872">
        <f>'11.销售及回款表'!AH443</f>
        <v>0</v>
      </c>
      <c r="AG153" s="872">
        <f>'11.销售及回款表'!AI443</f>
        <v>0</v>
      </c>
      <c r="AH153" s="872">
        <f>'11.销售及回款表'!AJ443</f>
        <v>0</v>
      </c>
      <c r="AI153" s="871">
        <f>'11.销售及回款表'!AK443</f>
        <v>0</v>
      </c>
      <c r="AJ153" s="872">
        <f>'11.销售及回款表'!AL443</f>
        <v>0</v>
      </c>
      <c r="AK153" s="872">
        <f>'11.销售及回款表'!AM443</f>
        <v>0</v>
      </c>
      <c r="AL153" s="872">
        <f>'11.销售及回款表'!AN443</f>
        <v>0</v>
      </c>
      <c r="AM153" s="871">
        <f>'11.销售及回款表'!AO443</f>
        <v>0</v>
      </c>
      <c r="AN153" s="872">
        <f>'11.销售及回款表'!AP443</f>
        <v>0</v>
      </c>
      <c r="AO153" s="872">
        <f>'11.销售及回款表'!AQ443</f>
        <v>0</v>
      </c>
      <c r="AP153" s="872">
        <f>'11.销售及回款表'!AR443</f>
        <v>0</v>
      </c>
      <c r="AQ153" s="871">
        <f>'11.销售及回款表'!AS443</f>
        <v>0</v>
      </c>
      <c r="AR153" s="872">
        <f>'11.销售及回款表'!AT443</f>
        <v>0</v>
      </c>
      <c r="AS153" s="872">
        <f>'11.销售及回款表'!AU443</f>
        <v>0</v>
      </c>
      <c r="AT153" s="872">
        <f>'11.销售及回款表'!AV443</f>
        <v>0</v>
      </c>
    </row>
    <row r="154" spans="1:46" s="77" customFormat="1" ht="18" customHeight="1" outlineLevel="2">
      <c r="A154" s="869" t="str">
        <f>'8.项目规划指标表'!B$7</f>
        <v>回迁商业</v>
      </c>
      <c r="B154" s="870">
        <f t="shared" si="15"/>
        <v>0</v>
      </c>
      <c r="C154" s="871">
        <f>'11.销售及回款表'!E448</f>
        <v>0</v>
      </c>
      <c r="D154" s="872">
        <f>'11.销售及回款表'!F448</f>
        <v>0</v>
      </c>
      <c r="E154" s="872">
        <f>'11.销售及回款表'!G448</f>
        <v>0</v>
      </c>
      <c r="F154" s="872">
        <f>'11.销售及回款表'!H448</f>
        <v>0</v>
      </c>
      <c r="G154" s="871">
        <f>'11.销售及回款表'!I448</f>
        <v>0</v>
      </c>
      <c r="H154" s="872">
        <f>'11.销售及回款表'!J448</f>
        <v>0</v>
      </c>
      <c r="I154" s="872">
        <f>'11.销售及回款表'!K448</f>
        <v>0</v>
      </c>
      <c r="J154" s="872">
        <f>'11.销售及回款表'!L448</f>
        <v>0</v>
      </c>
      <c r="K154" s="871">
        <f>'11.销售及回款表'!M448</f>
        <v>0</v>
      </c>
      <c r="L154" s="872">
        <f>'11.销售及回款表'!N448</f>
        <v>0</v>
      </c>
      <c r="M154" s="872">
        <f>'11.销售及回款表'!O448</f>
        <v>0</v>
      </c>
      <c r="N154" s="872">
        <f>'11.销售及回款表'!P448</f>
        <v>0</v>
      </c>
      <c r="O154" s="871">
        <f>'11.销售及回款表'!Q448</f>
        <v>0</v>
      </c>
      <c r="P154" s="872">
        <f>'11.销售及回款表'!R448</f>
        <v>0</v>
      </c>
      <c r="Q154" s="872">
        <f>'11.销售及回款表'!S448</f>
        <v>0</v>
      </c>
      <c r="R154" s="872">
        <f>'11.销售及回款表'!T448</f>
        <v>0</v>
      </c>
      <c r="S154" s="871">
        <f>'11.销售及回款表'!U448</f>
        <v>0</v>
      </c>
      <c r="T154" s="872">
        <f>'11.销售及回款表'!V448</f>
        <v>0</v>
      </c>
      <c r="U154" s="872">
        <f>'11.销售及回款表'!W448</f>
        <v>0</v>
      </c>
      <c r="V154" s="872">
        <f>'11.销售及回款表'!X448</f>
        <v>0</v>
      </c>
      <c r="W154" s="871">
        <f>'11.销售及回款表'!Y448</f>
        <v>0</v>
      </c>
      <c r="X154" s="872">
        <f>'11.销售及回款表'!Z448</f>
        <v>0</v>
      </c>
      <c r="Y154" s="872">
        <f>'11.销售及回款表'!AA448</f>
        <v>0</v>
      </c>
      <c r="Z154" s="872">
        <f>'11.销售及回款表'!AB448</f>
        <v>0</v>
      </c>
      <c r="AA154" s="871">
        <f>'11.销售及回款表'!AC448</f>
        <v>0</v>
      </c>
      <c r="AB154" s="872">
        <f>'11.销售及回款表'!AD448</f>
        <v>0</v>
      </c>
      <c r="AC154" s="872">
        <f>'11.销售及回款表'!AE448</f>
        <v>0</v>
      </c>
      <c r="AD154" s="872">
        <f>'11.销售及回款表'!AF448</f>
        <v>0</v>
      </c>
      <c r="AE154" s="871">
        <f>'11.销售及回款表'!AG448</f>
        <v>0</v>
      </c>
      <c r="AF154" s="872">
        <f>'11.销售及回款表'!AH448</f>
        <v>0</v>
      </c>
      <c r="AG154" s="872">
        <f>'11.销售及回款表'!AI448</f>
        <v>0</v>
      </c>
      <c r="AH154" s="872">
        <f>'11.销售及回款表'!AJ448</f>
        <v>0</v>
      </c>
      <c r="AI154" s="871">
        <f>'11.销售及回款表'!AK448</f>
        <v>0</v>
      </c>
      <c r="AJ154" s="872">
        <f>'11.销售及回款表'!AL448</f>
        <v>0</v>
      </c>
      <c r="AK154" s="872">
        <f>'11.销售及回款表'!AM448</f>
        <v>0</v>
      </c>
      <c r="AL154" s="872">
        <f>'11.销售及回款表'!AN448</f>
        <v>0</v>
      </c>
      <c r="AM154" s="871">
        <f>'11.销售及回款表'!AO448</f>
        <v>0</v>
      </c>
      <c r="AN154" s="872">
        <f>'11.销售及回款表'!AP448</f>
        <v>0</v>
      </c>
      <c r="AO154" s="872">
        <f>'11.销售及回款表'!AQ448</f>
        <v>0</v>
      </c>
      <c r="AP154" s="872">
        <f>'11.销售及回款表'!AR448</f>
        <v>0</v>
      </c>
      <c r="AQ154" s="871">
        <f>'11.销售及回款表'!AS448</f>
        <v>0</v>
      </c>
      <c r="AR154" s="872">
        <f>'11.销售及回款表'!AT448</f>
        <v>0</v>
      </c>
      <c r="AS154" s="872">
        <f>'11.销售及回款表'!AU448</f>
        <v>0</v>
      </c>
      <c r="AT154" s="872">
        <f>'11.销售及回款表'!AV448</f>
        <v>0</v>
      </c>
    </row>
    <row r="155" spans="1:46" s="77" customFormat="1" ht="18" customHeight="1" outlineLevel="2">
      <c r="A155" s="869">
        <f>'8.项目规划指标表'!B$8</f>
        <v>0</v>
      </c>
      <c r="B155" s="870">
        <f t="shared" si="15"/>
        <v>0</v>
      </c>
      <c r="C155" s="871">
        <f>'11.销售及回款表'!E453</f>
        <v>0</v>
      </c>
      <c r="D155" s="872">
        <f>'11.销售及回款表'!F453</f>
        <v>0</v>
      </c>
      <c r="E155" s="872">
        <f>'11.销售及回款表'!G453</f>
        <v>0</v>
      </c>
      <c r="F155" s="872">
        <f>'11.销售及回款表'!H453</f>
        <v>0</v>
      </c>
      <c r="G155" s="871">
        <f>'11.销售及回款表'!I453</f>
        <v>0</v>
      </c>
      <c r="H155" s="872">
        <f>'11.销售及回款表'!J453</f>
        <v>0</v>
      </c>
      <c r="I155" s="872">
        <f>'11.销售及回款表'!K453</f>
        <v>0</v>
      </c>
      <c r="J155" s="872">
        <f>'11.销售及回款表'!L453</f>
        <v>0</v>
      </c>
      <c r="K155" s="871">
        <f>'11.销售及回款表'!M453</f>
        <v>0</v>
      </c>
      <c r="L155" s="872">
        <f>'11.销售及回款表'!N453</f>
        <v>0</v>
      </c>
      <c r="M155" s="872">
        <f>'11.销售及回款表'!O453</f>
        <v>0</v>
      </c>
      <c r="N155" s="872">
        <f>'11.销售及回款表'!P453</f>
        <v>0</v>
      </c>
      <c r="O155" s="871">
        <f>'11.销售及回款表'!Q453</f>
        <v>0</v>
      </c>
      <c r="P155" s="872">
        <f>'11.销售及回款表'!R453</f>
        <v>0</v>
      </c>
      <c r="Q155" s="872">
        <f>'11.销售及回款表'!S453</f>
        <v>0</v>
      </c>
      <c r="R155" s="872">
        <f>'11.销售及回款表'!T453</f>
        <v>0</v>
      </c>
      <c r="S155" s="871">
        <f>'11.销售及回款表'!U453</f>
        <v>0</v>
      </c>
      <c r="T155" s="872">
        <f>'11.销售及回款表'!V453</f>
        <v>0</v>
      </c>
      <c r="U155" s="872">
        <f>'11.销售及回款表'!W453</f>
        <v>0</v>
      </c>
      <c r="V155" s="872">
        <f>'11.销售及回款表'!X453</f>
        <v>0</v>
      </c>
      <c r="W155" s="871">
        <f>'11.销售及回款表'!Y453</f>
        <v>0</v>
      </c>
      <c r="X155" s="872">
        <f>'11.销售及回款表'!Z453</f>
        <v>0</v>
      </c>
      <c r="Y155" s="872">
        <f>'11.销售及回款表'!AA453</f>
        <v>0</v>
      </c>
      <c r="Z155" s="872">
        <f>'11.销售及回款表'!AB453</f>
        <v>0</v>
      </c>
      <c r="AA155" s="871">
        <f>'11.销售及回款表'!AC453</f>
        <v>0</v>
      </c>
      <c r="AB155" s="872">
        <f>'11.销售及回款表'!AD453</f>
        <v>0</v>
      </c>
      <c r="AC155" s="872">
        <f>'11.销售及回款表'!AE453</f>
        <v>0</v>
      </c>
      <c r="AD155" s="872">
        <f>'11.销售及回款表'!AF453</f>
        <v>0</v>
      </c>
      <c r="AE155" s="871">
        <f>'11.销售及回款表'!AG453</f>
        <v>0</v>
      </c>
      <c r="AF155" s="872">
        <f>'11.销售及回款表'!AH453</f>
        <v>0</v>
      </c>
      <c r="AG155" s="872">
        <f>'11.销售及回款表'!AI453</f>
        <v>0</v>
      </c>
      <c r="AH155" s="872">
        <f>'11.销售及回款表'!AJ453</f>
        <v>0</v>
      </c>
      <c r="AI155" s="871">
        <f>'11.销售及回款表'!AK453</f>
        <v>0</v>
      </c>
      <c r="AJ155" s="872">
        <f>'11.销售及回款表'!AL453</f>
        <v>0</v>
      </c>
      <c r="AK155" s="872">
        <f>'11.销售及回款表'!AM453</f>
        <v>0</v>
      </c>
      <c r="AL155" s="872">
        <f>'11.销售及回款表'!AN453</f>
        <v>0</v>
      </c>
      <c r="AM155" s="871">
        <f>'11.销售及回款表'!AO453</f>
        <v>0</v>
      </c>
      <c r="AN155" s="872">
        <f>'11.销售及回款表'!AP453</f>
        <v>0</v>
      </c>
      <c r="AO155" s="872">
        <f>'11.销售及回款表'!AQ453</f>
        <v>0</v>
      </c>
      <c r="AP155" s="872">
        <f>'11.销售及回款表'!AR453</f>
        <v>0</v>
      </c>
      <c r="AQ155" s="871">
        <f>'11.销售及回款表'!AS453</f>
        <v>0</v>
      </c>
      <c r="AR155" s="872">
        <f>'11.销售及回款表'!AT453</f>
        <v>0</v>
      </c>
      <c r="AS155" s="872">
        <f>'11.销售及回款表'!AU453</f>
        <v>0</v>
      </c>
      <c r="AT155" s="872">
        <f>'11.销售及回款表'!AV453</f>
        <v>0</v>
      </c>
    </row>
    <row r="156" spans="1:46" s="77" customFormat="1" ht="18" customHeight="1" outlineLevel="2">
      <c r="A156" s="869">
        <f>'8.项目规划指标表'!B$9</f>
        <v>0</v>
      </c>
      <c r="B156" s="870">
        <f t="shared" si="15"/>
        <v>0</v>
      </c>
      <c r="C156" s="871">
        <f>'11.销售及回款表'!E458</f>
        <v>0</v>
      </c>
      <c r="D156" s="872">
        <f>'11.销售及回款表'!F458</f>
        <v>0</v>
      </c>
      <c r="E156" s="872">
        <f>'11.销售及回款表'!G458</f>
        <v>0</v>
      </c>
      <c r="F156" s="872">
        <f>'11.销售及回款表'!H458</f>
        <v>0</v>
      </c>
      <c r="G156" s="871">
        <f>'11.销售及回款表'!I458</f>
        <v>0</v>
      </c>
      <c r="H156" s="872">
        <f>'11.销售及回款表'!J458</f>
        <v>0</v>
      </c>
      <c r="I156" s="872">
        <f>'11.销售及回款表'!K458</f>
        <v>0</v>
      </c>
      <c r="J156" s="872">
        <f>'11.销售及回款表'!L458</f>
        <v>0</v>
      </c>
      <c r="K156" s="871">
        <f>'11.销售及回款表'!M458</f>
        <v>0</v>
      </c>
      <c r="L156" s="872">
        <f>'11.销售及回款表'!N458</f>
        <v>0</v>
      </c>
      <c r="M156" s="872">
        <f>'11.销售及回款表'!O458</f>
        <v>0</v>
      </c>
      <c r="N156" s="872">
        <f>'11.销售及回款表'!P458</f>
        <v>0</v>
      </c>
      <c r="O156" s="871">
        <f>'11.销售及回款表'!Q458</f>
        <v>0</v>
      </c>
      <c r="P156" s="872">
        <f>'11.销售及回款表'!R458</f>
        <v>0</v>
      </c>
      <c r="Q156" s="872">
        <f>'11.销售及回款表'!S458</f>
        <v>0</v>
      </c>
      <c r="R156" s="872">
        <f>'11.销售及回款表'!T458</f>
        <v>0</v>
      </c>
      <c r="S156" s="871">
        <f>'11.销售及回款表'!U458</f>
        <v>0</v>
      </c>
      <c r="T156" s="872">
        <f>'11.销售及回款表'!V458</f>
        <v>0</v>
      </c>
      <c r="U156" s="872">
        <f>'11.销售及回款表'!W458</f>
        <v>0</v>
      </c>
      <c r="V156" s="872">
        <f>'11.销售及回款表'!X458</f>
        <v>0</v>
      </c>
      <c r="W156" s="871">
        <f>'11.销售及回款表'!Y458</f>
        <v>0</v>
      </c>
      <c r="X156" s="872">
        <f>'11.销售及回款表'!Z458</f>
        <v>0</v>
      </c>
      <c r="Y156" s="872">
        <f>'11.销售及回款表'!AA458</f>
        <v>0</v>
      </c>
      <c r="Z156" s="872">
        <f>'11.销售及回款表'!AB458</f>
        <v>0</v>
      </c>
      <c r="AA156" s="871">
        <f>'11.销售及回款表'!AC458</f>
        <v>0</v>
      </c>
      <c r="AB156" s="872">
        <f>'11.销售及回款表'!AD458</f>
        <v>0</v>
      </c>
      <c r="AC156" s="872">
        <f>'11.销售及回款表'!AE458</f>
        <v>0</v>
      </c>
      <c r="AD156" s="872">
        <f>'11.销售及回款表'!AF458</f>
        <v>0</v>
      </c>
      <c r="AE156" s="871">
        <f>'11.销售及回款表'!AG458</f>
        <v>0</v>
      </c>
      <c r="AF156" s="872">
        <f>'11.销售及回款表'!AH458</f>
        <v>0</v>
      </c>
      <c r="AG156" s="872">
        <f>'11.销售及回款表'!AI458</f>
        <v>0</v>
      </c>
      <c r="AH156" s="872">
        <f>'11.销售及回款表'!AJ458</f>
        <v>0</v>
      </c>
      <c r="AI156" s="871">
        <f>'11.销售及回款表'!AK458</f>
        <v>0</v>
      </c>
      <c r="AJ156" s="872">
        <f>'11.销售及回款表'!AL458</f>
        <v>0</v>
      </c>
      <c r="AK156" s="872">
        <f>'11.销售及回款表'!AM458</f>
        <v>0</v>
      </c>
      <c r="AL156" s="872">
        <f>'11.销售及回款表'!AN458</f>
        <v>0</v>
      </c>
      <c r="AM156" s="871">
        <f>'11.销售及回款表'!AO458</f>
        <v>0</v>
      </c>
      <c r="AN156" s="872">
        <f>'11.销售及回款表'!AP458</f>
        <v>0</v>
      </c>
      <c r="AO156" s="872">
        <f>'11.销售及回款表'!AQ458</f>
        <v>0</v>
      </c>
      <c r="AP156" s="872">
        <f>'11.销售及回款表'!AR458</f>
        <v>0</v>
      </c>
      <c r="AQ156" s="871">
        <f>'11.销售及回款表'!AS458</f>
        <v>0</v>
      </c>
      <c r="AR156" s="872">
        <f>'11.销售及回款表'!AT458</f>
        <v>0</v>
      </c>
      <c r="AS156" s="872">
        <f>'11.销售及回款表'!AU458</f>
        <v>0</v>
      </c>
      <c r="AT156" s="872">
        <f>'11.销售及回款表'!AV458</f>
        <v>0</v>
      </c>
    </row>
    <row r="157" spans="1:46" s="77" customFormat="1" ht="18" customHeight="1" outlineLevel="2">
      <c r="A157" s="869">
        <f>'8.项目规划指标表'!B$10</f>
        <v>0</v>
      </c>
      <c r="B157" s="870">
        <f t="shared" si="15"/>
        <v>0</v>
      </c>
      <c r="C157" s="871">
        <f>'11.销售及回款表'!E463</f>
        <v>0</v>
      </c>
      <c r="D157" s="872">
        <f>'11.销售及回款表'!F463</f>
        <v>0</v>
      </c>
      <c r="E157" s="872">
        <f>'11.销售及回款表'!G463</f>
        <v>0</v>
      </c>
      <c r="F157" s="872">
        <f>'11.销售及回款表'!H463</f>
        <v>0</v>
      </c>
      <c r="G157" s="871">
        <f>'11.销售及回款表'!I463</f>
        <v>0</v>
      </c>
      <c r="H157" s="872">
        <f>'11.销售及回款表'!J463</f>
        <v>0</v>
      </c>
      <c r="I157" s="872">
        <f>'11.销售及回款表'!K463</f>
        <v>0</v>
      </c>
      <c r="J157" s="872">
        <f>'11.销售及回款表'!L463</f>
        <v>0</v>
      </c>
      <c r="K157" s="871">
        <f>'11.销售及回款表'!M463</f>
        <v>0</v>
      </c>
      <c r="L157" s="872">
        <f>'11.销售及回款表'!N463</f>
        <v>0</v>
      </c>
      <c r="M157" s="872">
        <f>'11.销售及回款表'!O463</f>
        <v>0</v>
      </c>
      <c r="N157" s="872">
        <f>'11.销售及回款表'!P463</f>
        <v>0</v>
      </c>
      <c r="O157" s="871">
        <f>'11.销售及回款表'!Q463</f>
        <v>0</v>
      </c>
      <c r="P157" s="872">
        <f>'11.销售及回款表'!R463</f>
        <v>0</v>
      </c>
      <c r="Q157" s="872">
        <f>'11.销售及回款表'!S463</f>
        <v>0</v>
      </c>
      <c r="R157" s="872">
        <f>'11.销售及回款表'!T463</f>
        <v>0</v>
      </c>
      <c r="S157" s="871">
        <f>'11.销售及回款表'!U463</f>
        <v>0</v>
      </c>
      <c r="T157" s="872">
        <f>'11.销售及回款表'!V463</f>
        <v>0</v>
      </c>
      <c r="U157" s="872">
        <f>'11.销售及回款表'!W463</f>
        <v>0</v>
      </c>
      <c r="V157" s="872">
        <f>'11.销售及回款表'!X463</f>
        <v>0</v>
      </c>
      <c r="W157" s="871">
        <f>'11.销售及回款表'!Y463</f>
        <v>0</v>
      </c>
      <c r="X157" s="872">
        <f>'11.销售及回款表'!Z463</f>
        <v>0</v>
      </c>
      <c r="Y157" s="872">
        <f>'11.销售及回款表'!AA463</f>
        <v>0</v>
      </c>
      <c r="Z157" s="872">
        <f>'11.销售及回款表'!AB463</f>
        <v>0</v>
      </c>
      <c r="AA157" s="871">
        <f>'11.销售及回款表'!AC463</f>
        <v>0</v>
      </c>
      <c r="AB157" s="872">
        <f>'11.销售及回款表'!AD463</f>
        <v>0</v>
      </c>
      <c r="AC157" s="872">
        <f>'11.销售及回款表'!AE463</f>
        <v>0</v>
      </c>
      <c r="AD157" s="872">
        <f>'11.销售及回款表'!AF463</f>
        <v>0</v>
      </c>
      <c r="AE157" s="871">
        <f>'11.销售及回款表'!AG463</f>
        <v>0</v>
      </c>
      <c r="AF157" s="872">
        <f>'11.销售及回款表'!AH463</f>
        <v>0</v>
      </c>
      <c r="AG157" s="872">
        <f>'11.销售及回款表'!AI463</f>
        <v>0</v>
      </c>
      <c r="AH157" s="872">
        <f>'11.销售及回款表'!AJ463</f>
        <v>0</v>
      </c>
      <c r="AI157" s="871">
        <f>'11.销售及回款表'!AK463</f>
        <v>0</v>
      </c>
      <c r="AJ157" s="872">
        <f>'11.销售及回款表'!AL463</f>
        <v>0</v>
      </c>
      <c r="AK157" s="872">
        <f>'11.销售及回款表'!AM463</f>
        <v>0</v>
      </c>
      <c r="AL157" s="872">
        <f>'11.销售及回款表'!AN463</f>
        <v>0</v>
      </c>
      <c r="AM157" s="871">
        <f>'11.销售及回款表'!AO463</f>
        <v>0</v>
      </c>
      <c r="AN157" s="872">
        <f>'11.销售及回款表'!AP463</f>
        <v>0</v>
      </c>
      <c r="AO157" s="872">
        <f>'11.销售及回款表'!AQ463</f>
        <v>0</v>
      </c>
      <c r="AP157" s="872">
        <f>'11.销售及回款表'!AR463</f>
        <v>0</v>
      </c>
      <c r="AQ157" s="871">
        <f>'11.销售及回款表'!AS463</f>
        <v>0</v>
      </c>
      <c r="AR157" s="872">
        <f>'11.销售及回款表'!AT463</f>
        <v>0</v>
      </c>
      <c r="AS157" s="872">
        <f>'11.销售及回款表'!AU463</f>
        <v>0</v>
      </c>
      <c r="AT157" s="872">
        <f>'11.销售及回款表'!AV463</f>
        <v>0</v>
      </c>
    </row>
    <row r="158" spans="1:46" s="77" customFormat="1" ht="18" customHeight="1" outlineLevel="2">
      <c r="A158" s="869">
        <f>'8.项目规划指标表'!B$11</f>
        <v>0</v>
      </c>
      <c r="B158" s="870">
        <f t="shared" si="15"/>
        <v>0</v>
      </c>
      <c r="C158" s="871">
        <f>'11.销售及回款表'!E468</f>
        <v>0</v>
      </c>
      <c r="D158" s="872">
        <f>'11.销售及回款表'!F468</f>
        <v>0</v>
      </c>
      <c r="E158" s="872">
        <f>'11.销售及回款表'!G468</f>
        <v>0</v>
      </c>
      <c r="F158" s="872">
        <f>'11.销售及回款表'!H468</f>
        <v>0</v>
      </c>
      <c r="G158" s="871">
        <f>'11.销售及回款表'!I468</f>
        <v>0</v>
      </c>
      <c r="H158" s="872">
        <f>'11.销售及回款表'!J468</f>
        <v>0</v>
      </c>
      <c r="I158" s="872">
        <f>'11.销售及回款表'!K468</f>
        <v>0</v>
      </c>
      <c r="J158" s="872">
        <f>'11.销售及回款表'!L468</f>
        <v>0</v>
      </c>
      <c r="K158" s="871">
        <f>'11.销售及回款表'!M468</f>
        <v>0</v>
      </c>
      <c r="L158" s="872">
        <f>'11.销售及回款表'!N468</f>
        <v>0</v>
      </c>
      <c r="M158" s="872">
        <f>'11.销售及回款表'!O468</f>
        <v>0</v>
      </c>
      <c r="N158" s="872">
        <f>'11.销售及回款表'!P468</f>
        <v>0</v>
      </c>
      <c r="O158" s="871">
        <f>'11.销售及回款表'!Q468</f>
        <v>0</v>
      </c>
      <c r="P158" s="872">
        <f>'11.销售及回款表'!R468</f>
        <v>0</v>
      </c>
      <c r="Q158" s="872">
        <f>'11.销售及回款表'!S468</f>
        <v>0</v>
      </c>
      <c r="R158" s="872">
        <f>'11.销售及回款表'!T468</f>
        <v>0</v>
      </c>
      <c r="S158" s="871">
        <f>'11.销售及回款表'!U468</f>
        <v>0</v>
      </c>
      <c r="T158" s="872">
        <f>'11.销售及回款表'!V468</f>
        <v>0</v>
      </c>
      <c r="U158" s="872">
        <f>'11.销售及回款表'!W468</f>
        <v>0</v>
      </c>
      <c r="V158" s="872">
        <f>'11.销售及回款表'!X468</f>
        <v>0</v>
      </c>
      <c r="W158" s="871">
        <f>'11.销售及回款表'!Y468</f>
        <v>0</v>
      </c>
      <c r="X158" s="872">
        <f>'11.销售及回款表'!Z468</f>
        <v>0</v>
      </c>
      <c r="Y158" s="872">
        <f>'11.销售及回款表'!AA468</f>
        <v>0</v>
      </c>
      <c r="Z158" s="872">
        <f>'11.销售及回款表'!AB468</f>
        <v>0</v>
      </c>
      <c r="AA158" s="871">
        <f>'11.销售及回款表'!AC468</f>
        <v>0</v>
      </c>
      <c r="AB158" s="872">
        <f>'11.销售及回款表'!AD468</f>
        <v>0</v>
      </c>
      <c r="AC158" s="872">
        <f>'11.销售及回款表'!AE468</f>
        <v>0</v>
      </c>
      <c r="AD158" s="872">
        <f>'11.销售及回款表'!AF468</f>
        <v>0</v>
      </c>
      <c r="AE158" s="871">
        <f>'11.销售及回款表'!AG468</f>
        <v>0</v>
      </c>
      <c r="AF158" s="872">
        <f>'11.销售及回款表'!AH468</f>
        <v>0</v>
      </c>
      <c r="AG158" s="872">
        <f>'11.销售及回款表'!AI468</f>
        <v>0</v>
      </c>
      <c r="AH158" s="872">
        <f>'11.销售及回款表'!AJ468</f>
        <v>0</v>
      </c>
      <c r="AI158" s="871">
        <f>'11.销售及回款表'!AK468</f>
        <v>0</v>
      </c>
      <c r="AJ158" s="872">
        <f>'11.销售及回款表'!AL468</f>
        <v>0</v>
      </c>
      <c r="AK158" s="872">
        <f>'11.销售及回款表'!AM468</f>
        <v>0</v>
      </c>
      <c r="AL158" s="872">
        <f>'11.销售及回款表'!AN468</f>
        <v>0</v>
      </c>
      <c r="AM158" s="871">
        <f>'11.销售及回款表'!AO468</f>
        <v>0</v>
      </c>
      <c r="AN158" s="872">
        <f>'11.销售及回款表'!AP468</f>
        <v>0</v>
      </c>
      <c r="AO158" s="872">
        <f>'11.销售及回款表'!AQ468</f>
        <v>0</v>
      </c>
      <c r="AP158" s="872">
        <f>'11.销售及回款表'!AR468</f>
        <v>0</v>
      </c>
      <c r="AQ158" s="871">
        <f>'11.销售及回款表'!AS468</f>
        <v>0</v>
      </c>
      <c r="AR158" s="872">
        <f>'11.销售及回款表'!AT468</f>
        <v>0</v>
      </c>
      <c r="AS158" s="872">
        <f>'11.销售及回款表'!AU468</f>
        <v>0</v>
      </c>
      <c r="AT158" s="872">
        <f>'11.销售及回款表'!AV468</f>
        <v>0</v>
      </c>
    </row>
    <row r="159" spans="1:46" s="77" customFormat="1" ht="18" customHeight="1" outlineLevel="2">
      <c r="A159" s="869">
        <f>'8.项目规划指标表'!B$12</f>
        <v>0</v>
      </c>
      <c r="B159" s="870">
        <f t="shared" si="15"/>
        <v>0</v>
      </c>
      <c r="C159" s="871">
        <f>'11.销售及回款表'!E473</f>
        <v>0</v>
      </c>
      <c r="D159" s="872">
        <f>'11.销售及回款表'!F473</f>
        <v>0</v>
      </c>
      <c r="E159" s="872">
        <f>'11.销售及回款表'!G473</f>
        <v>0</v>
      </c>
      <c r="F159" s="872">
        <f>'11.销售及回款表'!H473</f>
        <v>0</v>
      </c>
      <c r="G159" s="871">
        <f>'11.销售及回款表'!I473</f>
        <v>0</v>
      </c>
      <c r="H159" s="872">
        <f>'11.销售及回款表'!J473</f>
        <v>0</v>
      </c>
      <c r="I159" s="872">
        <f>'11.销售及回款表'!K473</f>
        <v>0</v>
      </c>
      <c r="J159" s="872">
        <f>'11.销售及回款表'!L473</f>
        <v>0</v>
      </c>
      <c r="K159" s="871">
        <f>'11.销售及回款表'!M473</f>
        <v>0</v>
      </c>
      <c r="L159" s="872">
        <f>'11.销售及回款表'!N473</f>
        <v>0</v>
      </c>
      <c r="M159" s="872">
        <f>'11.销售及回款表'!O473</f>
        <v>0</v>
      </c>
      <c r="N159" s="872">
        <f>'11.销售及回款表'!P473</f>
        <v>0</v>
      </c>
      <c r="O159" s="871">
        <f>'11.销售及回款表'!Q473</f>
        <v>0</v>
      </c>
      <c r="P159" s="872">
        <f>'11.销售及回款表'!R473</f>
        <v>0</v>
      </c>
      <c r="Q159" s="872">
        <f>'11.销售及回款表'!S473</f>
        <v>0</v>
      </c>
      <c r="R159" s="872">
        <f>'11.销售及回款表'!T473</f>
        <v>0</v>
      </c>
      <c r="S159" s="871">
        <f>'11.销售及回款表'!U473</f>
        <v>0</v>
      </c>
      <c r="T159" s="872">
        <f>'11.销售及回款表'!V473</f>
        <v>0</v>
      </c>
      <c r="U159" s="872">
        <f>'11.销售及回款表'!W473</f>
        <v>0</v>
      </c>
      <c r="V159" s="872">
        <f>'11.销售及回款表'!X473</f>
        <v>0</v>
      </c>
      <c r="W159" s="871">
        <f>'11.销售及回款表'!Y473</f>
        <v>0</v>
      </c>
      <c r="X159" s="872">
        <f>'11.销售及回款表'!Z473</f>
        <v>0</v>
      </c>
      <c r="Y159" s="872">
        <f>'11.销售及回款表'!AA473</f>
        <v>0</v>
      </c>
      <c r="Z159" s="872">
        <f>'11.销售及回款表'!AB473</f>
        <v>0</v>
      </c>
      <c r="AA159" s="871">
        <f>'11.销售及回款表'!AC473</f>
        <v>0</v>
      </c>
      <c r="AB159" s="872">
        <f>'11.销售及回款表'!AD473</f>
        <v>0</v>
      </c>
      <c r="AC159" s="872">
        <f>'11.销售及回款表'!AE473</f>
        <v>0</v>
      </c>
      <c r="AD159" s="872">
        <f>'11.销售及回款表'!AF473</f>
        <v>0</v>
      </c>
      <c r="AE159" s="871">
        <f>'11.销售及回款表'!AG473</f>
        <v>0</v>
      </c>
      <c r="AF159" s="872">
        <f>'11.销售及回款表'!AH473</f>
        <v>0</v>
      </c>
      <c r="AG159" s="872">
        <f>'11.销售及回款表'!AI473</f>
        <v>0</v>
      </c>
      <c r="AH159" s="872">
        <f>'11.销售及回款表'!AJ473</f>
        <v>0</v>
      </c>
      <c r="AI159" s="871">
        <f>'11.销售及回款表'!AK473</f>
        <v>0</v>
      </c>
      <c r="AJ159" s="872">
        <f>'11.销售及回款表'!AL473</f>
        <v>0</v>
      </c>
      <c r="AK159" s="872">
        <f>'11.销售及回款表'!AM473</f>
        <v>0</v>
      </c>
      <c r="AL159" s="872">
        <f>'11.销售及回款表'!AN473</f>
        <v>0</v>
      </c>
      <c r="AM159" s="871">
        <f>'11.销售及回款表'!AO473</f>
        <v>0</v>
      </c>
      <c r="AN159" s="872">
        <f>'11.销售及回款表'!AP473</f>
        <v>0</v>
      </c>
      <c r="AO159" s="872">
        <f>'11.销售及回款表'!AQ473</f>
        <v>0</v>
      </c>
      <c r="AP159" s="872">
        <f>'11.销售及回款表'!AR473</f>
        <v>0</v>
      </c>
      <c r="AQ159" s="871">
        <f>'11.销售及回款表'!AS473</f>
        <v>0</v>
      </c>
      <c r="AR159" s="872">
        <f>'11.销售及回款表'!AT473</f>
        <v>0</v>
      </c>
      <c r="AS159" s="872">
        <f>'11.销售及回款表'!AU473</f>
        <v>0</v>
      </c>
      <c r="AT159" s="872">
        <f>'11.销售及回款表'!AV473</f>
        <v>0</v>
      </c>
    </row>
    <row r="160" spans="1:46" s="77" customFormat="1" ht="18" customHeight="1" outlineLevel="2">
      <c r="A160" s="869">
        <f>'8.项目规划指标表'!B$13</f>
        <v>0</v>
      </c>
      <c r="B160" s="870">
        <f t="shared" si="15"/>
        <v>0</v>
      </c>
      <c r="C160" s="871">
        <f>'11.销售及回款表'!E478</f>
        <v>0</v>
      </c>
      <c r="D160" s="872">
        <f>'11.销售及回款表'!F478</f>
        <v>0</v>
      </c>
      <c r="E160" s="872">
        <f>'11.销售及回款表'!G478</f>
        <v>0</v>
      </c>
      <c r="F160" s="872">
        <f>'11.销售及回款表'!H478</f>
        <v>0</v>
      </c>
      <c r="G160" s="871">
        <f>'11.销售及回款表'!I478</f>
        <v>0</v>
      </c>
      <c r="H160" s="872">
        <f>'11.销售及回款表'!J478</f>
        <v>0</v>
      </c>
      <c r="I160" s="872">
        <f>'11.销售及回款表'!K478</f>
        <v>0</v>
      </c>
      <c r="J160" s="872">
        <f>'11.销售及回款表'!L478</f>
        <v>0</v>
      </c>
      <c r="K160" s="871">
        <f>'11.销售及回款表'!M478</f>
        <v>0</v>
      </c>
      <c r="L160" s="872">
        <f>'11.销售及回款表'!N478</f>
        <v>0</v>
      </c>
      <c r="M160" s="872">
        <f>'11.销售及回款表'!O478</f>
        <v>0</v>
      </c>
      <c r="N160" s="872">
        <f>'11.销售及回款表'!P478</f>
        <v>0</v>
      </c>
      <c r="O160" s="871">
        <f>'11.销售及回款表'!Q478</f>
        <v>0</v>
      </c>
      <c r="P160" s="872">
        <f>'11.销售及回款表'!R478</f>
        <v>0</v>
      </c>
      <c r="Q160" s="872">
        <f>'11.销售及回款表'!S478</f>
        <v>0</v>
      </c>
      <c r="R160" s="872">
        <f>'11.销售及回款表'!T478</f>
        <v>0</v>
      </c>
      <c r="S160" s="871">
        <f>'11.销售及回款表'!U478</f>
        <v>0</v>
      </c>
      <c r="T160" s="872">
        <f>'11.销售及回款表'!V478</f>
        <v>0</v>
      </c>
      <c r="U160" s="872">
        <f>'11.销售及回款表'!W478</f>
        <v>0</v>
      </c>
      <c r="V160" s="872">
        <f>'11.销售及回款表'!X478</f>
        <v>0</v>
      </c>
      <c r="W160" s="871">
        <f>'11.销售及回款表'!Y478</f>
        <v>0</v>
      </c>
      <c r="X160" s="872">
        <f>'11.销售及回款表'!Z478</f>
        <v>0</v>
      </c>
      <c r="Y160" s="872">
        <f>'11.销售及回款表'!AA478</f>
        <v>0</v>
      </c>
      <c r="Z160" s="872">
        <f>'11.销售及回款表'!AB478</f>
        <v>0</v>
      </c>
      <c r="AA160" s="871">
        <f>'11.销售及回款表'!AC478</f>
        <v>0</v>
      </c>
      <c r="AB160" s="872">
        <f>'11.销售及回款表'!AD478</f>
        <v>0</v>
      </c>
      <c r="AC160" s="872">
        <f>'11.销售及回款表'!AE478</f>
        <v>0</v>
      </c>
      <c r="AD160" s="872">
        <f>'11.销售及回款表'!AF478</f>
        <v>0</v>
      </c>
      <c r="AE160" s="871">
        <f>'11.销售及回款表'!AG478</f>
        <v>0</v>
      </c>
      <c r="AF160" s="872">
        <f>'11.销售及回款表'!AH478</f>
        <v>0</v>
      </c>
      <c r="AG160" s="872">
        <f>'11.销售及回款表'!AI478</f>
        <v>0</v>
      </c>
      <c r="AH160" s="872">
        <f>'11.销售及回款表'!AJ478</f>
        <v>0</v>
      </c>
      <c r="AI160" s="871">
        <f>'11.销售及回款表'!AK478</f>
        <v>0</v>
      </c>
      <c r="AJ160" s="872">
        <f>'11.销售及回款表'!AL478</f>
        <v>0</v>
      </c>
      <c r="AK160" s="872">
        <f>'11.销售及回款表'!AM478</f>
        <v>0</v>
      </c>
      <c r="AL160" s="872">
        <f>'11.销售及回款表'!AN478</f>
        <v>0</v>
      </c>
      <c r="AM160" s="871">
        <f>'11.销售及回款表'!AO478</f>
        <v>0</v>
      </c>
      <c r="AN160" s="872">
        <f>'11.销售及回款表'!AP478</f>
        <v>0</v>
      </c>
      <c r="AO160" s="872">
        <f>'11.销售及回款表'!AQ478</f>
        <v>0</v>
      </c>
      <c r="AP160" s="872">
        <f>'11.销售及回款表'!AR478</f>
        <v>0</v>
      </c>
      <c r="AQ160" s="871">
        <f>'11.销售及回款表'!AS478</f>
        <v>0</v>
      </c>
      <c r="AR160" s="872">
        <f>'11.销售及回款表'!AT478</f>
        <v>0</v>
      </c>
      <c r="AS160" s="872">
        <f>'11.销售及回款表'!AU478</f>
        <v>0</v>
      </c>
      <c r="AT160" s="872">
        <f>'11.销售及回款表'!AV478</f>
        <v>0</v>
      </c>
    </row>
    <row r="161" spans="1:46" s="77" customFormat="1" ht="18" customHeight="1" outlineLevel="2">
      <c r="A161" s="869" t="str">
        <f>'8.项目规划指标表'!B$14</f>
        <v>自持物业</v>
      </c>
      <c r="B161" s="870">
        <f t="shared" si="15"/>
        <v>0</v>
      </c>
      <c r="C161" s="871">
        <f>'11.销售及回款表'!E483</f>
        <v>0</v>
      </c>
      <c r="D161" s="872">
        <f>'11.销售及回款表'!F483</f>
        <v>0</v>
      </c>
      <c r="E161" s="872">
        <f>'11.销售及回款表'!G483</f>
        <v>0</v>
      </c>
      <c r="F161" s="872">
        <f>'11.销售及回款表'!H483</f>
        <v>0</v>
      </c>
      <c r="G161" s="871">
        <f>'11.销售及回款表'!I483</f>
        <v>0</v>
      </c>
      <c r="H161" s="872">
        <f>'11.销售及回款表'!J483</f>
        <v>0</v>
      </c>
      <c r="I161" s="872">
        <f>'11.销售及回款表'!K483</f>
        <v>0</v>
      </c>
      <c r="J161" s="872">
        <f>'11.销售及回款表'!L483</f>
        <v>0</v>
      </c>
      <c r="K161" s="871">
        <f>'11.销售及回款表'!M483</f>
        <v>0</v>
      </c>
      <c r="L161" s="872">
        <f>'11.销售及回款表'!N483</f>
        <v>0</v>
      </c>
      <c r="M161" s="872">
        <f>'11.销售及回款表'!O483</f>
        <v>0</v>
      </c>
      <c r="N161" s="872">
        <f>'11.销售及回款表'!P483</f>
        <v>0</v>
      </c>
      <c r="O161" s="871">
        <f>'11.销售及回款表'!Q483</f>
        <v>0</v>
      </c>
      <c r="P161" s="872">
        <f>'11.销售及回款表'!R483</f>
        <v>0</v>
      </c>
      <c r="Q161" s="872">
        <f>'11.销售及回款表'!S483</f>
        <v>0</v>
      </c>
      <c r="R161" s="872">
        <f>'11.销售及回款表'!T483</f>
        <v>0</v>
      </c>
      <c r="S161" s="871">
        <f>'11.销售及回款表'!U483</f>
        <v>0</v>
      </c>
      <c r="T161" s="872">
        <f>'11.销售及回款表'!V483</f>
        <v>0</v>
      </c>
      <c r="U161" s="872">
        <f>'11.销售及回款表'!W483</f>
        <v>0</v>
      </c>
      <c r="V161" s="872">
        <f>'11.销售及回款表'!X483</f>
        <v>0</v>
      </c>
      <c r="W161" s="871">
        <f>'11.销售及回款表'!Y483</f>
        <v>0</v>
      </c>
      <c r="X161" s="872">
        <f>'11.销售及回款表'!Z483</f>
        <v>0</v>
      </c>
      <c r="Y161" s="872">
        <f>'11.销售及回款表'!AA483</f>
        <v>0</v>
      </c>
      <c r="Z161" s="872">
        <f>'11.销售及回款表'!AB483</f>
        <v>0</v>
      </c>
      <c r="AA161" s="871">
        <f>'11.销售及回款表'!AC483</f>
        <v>0</v>
      </c>
      <c r="AB161" s="872">
        <f>'11.销售及回款表'!AD483</f>
        <v>0</v>
      </c>
      <c r="AC161" s="872">
        <f>'11.销售及回款表'!AE483</f>
        <v>0</v>
      </c>
      <c r="AD161" s="872">
        <f>'11.销售及回款表'!AF483</f>
        <v>0</v>
      </c>
      <c r="AE161" s="871">
        <f>'11.销售及回款表'!AG483</f>
        <v>0</v>
      </c>
      <c r="AF161" s="872">
        <f>'11.销售及回款表'!AH483</f>
        <v>0</v>
      </c>
      <c r="AG161" s="872">
        <f>'11.销售及回款表'!AI483</f>
        <v>0</v>
      </c>
      <c r="AH161" s="872">
        <f>'11.销售及回款表'!AJ483</f>
        <v>0</v>
      </c>
      <c r="AI161" s="871">
        <f>'11.销售及回款表'!AK483</f>
        <v>0</v>
      </c>
      <c r="AJ161" s="872">
        <f>'11.销售及回款表'!AL483</f>
        <v>0</v>
      </c>
      <c r="AK161" s="872">
        <f>'11.销售及回款表'!AM483</f>
        <v>0</v>
      </c>
      <c r="AL161" s="872">
        <f>'11.销售及回款表'!AN483</f>
        <v>0</v>
      </c>
      <c r="AM161" s="871">
        <f>'11.销售及回款表'!AO483</f>
        <v>0</v>
      </c>
      <c r="AN161" s="872">
        <f>'11.销售及回款表'!AP483</f>
        <v>0</v>
      </c>
      <c r="AO161" s="872">
        <f>'11.销售及回款表'!AQ483</f>
        <v>0</v>
      </c>
      <c r="AP161" s="872">
        <f>'11.销售及回款表'!AR483</f>
        <v>0</v>
      </c>
      <c r="AQ161" s="871">
        <f>'11.销售及回款表'!AS483</f>
        <v>0</v>
      </c>
      <c r="AR161" s="872">
        <f>'11.销售及回款表'!AT483</f>
        <v>0</v>
      </c>
      <c r="AS161" s="872">
        <f>'11.销售及回款表'!AU483</f>
        <v>0</v>
      </c>
      <c r="AT161" s="872">
        <f>'11.销售及回款表'!AV483</f>
        <v>0</v>
      </c>
    </row>
    <row r="162" spans="1:46" s="77" customFormat="1" ht="18" customHeight="1" outlineLevel="2">
      <c r="A162" s="869" t="str">
        <f>'8.项目规划指标表'!B$18</f>
        <v>有产权车库(个)</v>
      </c>
      <c r="B162" s="870">
        <f t="shared" si="15"/>
        <v>0</v>
      </c>
      <c r="C162" s="871">
        <f>'11.销售及回款表'!E488</f>
        <v>0</v>
      </c>
      <c r="D162" s="872">
        <f>'11.销售及回款表'!F488</f>
        <v>0</v>
      </c>
      <c r="E162" s="872">
        <f>'11.销售及回款表'!G488</f>
        <v>0</v>
      </c>
      <c r="F162" s="872">
        <f>'11.销售及回款表'!H488</f>
        <v>0</v>
      </c>
      <c r="G162" s="871">
        <f>'11.销售及回款表'!I488</f>
        <v>0</v>
      </c>
      <c r="H162" s="872">
        <f>'11.销售及回款表'!J488</f>
        <v>0</v>
      </c>
      <c r="I162" s="872">
        <f>'11.销售及回款表'!K488</f>
        <v>0</v>
      </c>
      <c r="J162" s="872">
        <f>'11.销售及回款表'!L488</f>
        <v>0</v>
      </c>
      <c r="K162" s="871">
        <f>'11.销售及回款表'!M488</f>
        <v>0</v>
      </c>
      <c r="L162" s="872">
        <f>'11.销售及回款表'!N488</f>
        <v>0</v>
      </c>
      <c r="M162" s="872">
        <f>'11.销售及回款表'!O488</f>
        <v>0</v>
      </c>
      <c r="N162" s="872">
        <f>'11.销售及回款表'!P488</f>
        <v>0</v>
      </c>
      <c r="O162" s="871">
        <f>'11.销售及回款表'!Q488</f>
        <v>0</v>
      </c>
      <c r="P162" s="872">
        <f>'11.销售及回款表'!R488</f>
        <v>0</v>
      </c>
      <c r="Q162" s="872">
        <f>'11.销售及回款表'!S488</f>
        <v>0</v>
      </c>
      <c r="R162" s="872">
        <f>'11.销售及回款表'!T488</f>
        <v>0</v>
      </c>
      <c r="S162" s="871">
        <f>'11.销售及回款表'!U488</f>
        <v>0</v>
      </c>
      <c r="T162" s="872">
        <f>'11.销售及回款表'!V488</f>
        <v>0</v>
      </c>
      <c r="U162" s="872">
        <f>'11.销售及回款表'!W488</f>
        <v>0</v>
      </c>
      <c r="V162" s="872">
        <f>'11.销售及回款表'!X488</f>
        <v>0</v>
      </c>
      <c r="W162" s="871">
        <f>'11.销售及回款表'!Y488</f>
        <v>0</v>
      </c>
      <c r="X162" s="872">
        <f>'11.销售及回款表'!Z488</f>
        <v>0</v>
      </c>
      <c r="Y162" s="872">
        <f>'11.销售及回款表'!AA488</f>
        <v>0</v>
      </c>
      <c r="Z162" s="872">
        <f>'11.销售及回款表'!AB488</f>
        <v>0</v>
      </c>
      <c r="AA162" s="871">
        <f>'11.销售及回款表'!AC488</f>
        <v>0</v>
      </c>
      <c r="AB162" s="872">
        <f>'11.销售及回款表'!AD488</f>
        <v>0</v>
      </c>
      <c r="AC162" s="872">
        <f>'11.销售及回款表'!AE488</f>
        <v>0</v>
      </c>
      <c r="AD162" s="872">
        <f>'11.销售及回款表'!AF488</f>
        <v>0</v>
      </c>
      <c r="AE162" s="871">
        <f>'11.销售及回款表'!AG488</f>
        <v>0</v>
      </c>
      <c r="AF162" s="872">
        <f>'11.销售及回款表'!AH488</f>
        <v>0</v>
      </c>
      <c r="AG162" s="872">
        <f>'11.销售及回款表'!AI488</f>
        <v>0</v>
      </c>
      <c r="AH162" s="872">
        <f>'11.销售及回款表'!AJ488</f>
        <v>0</v>
      </c>
      <c r="AI162" s="871">
        <f>'11.销售及回款表'!AK488</f>
        <v>0</v>
      </c>
      <c r="AJ162" s="872">
        <f>'11.销售及回款表'!AL488</f>
        <v>0</v>
      </c>
      <c r="AK162" s="872">
        <f>'11.销售及回款表'!AM488</f>
        <v>0</v>
      </c>
      <c r="AL162" s="872">
        <f>'11.销售及回款表'!AN488</f>
        <v>0</v>
      </c>
      <c r="AM162" s="871">
        <f>'11.销售及回款表'!AO488</f>
        <v>0</v>
      </c>
      <c r="AN162" s="872">
        <f>'11.销售及回款表'!AP488</f>
        <v>0</v>
      </c>
      <c r="AO162" s="872">
        <f>'11.销售及回款表'!AQ488</f>
        <v>0</v>
      </c>
      <c r="AP162" s="872">
        <f>'11.销售及回款表'!AR488</f>
        <v>0</v>
      </c>
      <c r="AQ162" s="871">
        <f>'11.销售及回款表'!AS488</f>
        <v>0</v>
      </c>
      <c r="AR162" s="872">
        <f>'11.销售及回款表'!AT488</f>
        <v>0</v>
      </c>
      <c r="AS162" s="872">
        <f>'11.销售及回款表'!AU488</f>
        <v>0</v>
      </c>
      <c r="AT162" s="872">
        <f>'11.销售及回款表'!AV488</f>
        <v>0</v>
      </c>
    </row>
    <row r="163" spans="1:46" s="77" customFormat="1" ht="18" customHeight="1" outlineLevel="2">
      <c r="A163" s="869" t="str">
        <f>'8.项目规划指标表'!B$19</f>
        <v>无产权车库(个)</v>
      </c>
      <c r="B163" s="870">
        <f t="shared" si="15"/>
        <v>0</v>
      </c>
      <c r="C163" s="871">
        <f>'11.销售及回款表'!E493</f>
        <v>0</v>
      </c>
      <c r="D163" s="872">
        <f>'11.销售及回款表'!F493</f>
        <v>0</v>
      </c>
      <c r="E163" s="872">
        <f>'11.销售及回款表'!G493</f>
        <v>0</v>
      </c>
      <c r="F163" s="872">
        <f>'11.销售及回款表'!H493</f>
        <v>0</v>
      </c>
      <c r="G163" s="871">
        <f>'11.销售及回款表'!I493</f>
        <v>0</v>
      </c>
      <c r="H163" s="872">
        <f>'11.销售及回款表'!J493</f>
        <v>0</v>
      </c>
      <c r="I163" s="872">
        <f>'11.销售及回款表'!K493</f>
        <v>0</v>
      </c>
      <c r="J163" s="872">
        <f>'11.销售及回款表'!L493</f>
        <v>0</v>
      </c>
      <c r="K163" s="871">
        <f>'11.销售及回款表'!M493</f>
        <v>0</v>
      </c>
      <c r="L163" s="872">
        <f>'11.销售及回款表'!N493</f>
        <v>0</v>
      </c>
      <c r="M163" s="872">
        <f>'11.销售及回款表'!O493</f>
        <v>0</v>
      </c>
      <c r="N163" s="872">
        <f>'11.销售及回款表'!P493</f>
        <v>0</v>
      </c>
      <c r="O163" s="871">
        <f>'11.销售及回款表'!Q493</f>
        <v>0</v>
      </c>
      <c r="P163" s="872">
        <f>'11.销售及回款表'!R493</f>
        <v>0</v>
      </c>
      <c r="Q163" s="872">
        <f>'11.销售及回款表'!S493</f>
        <v>0</v>
      </c>
      <c r="R163" s="872">
        <f>'11.销售及回款表'!T493</f>
        <v>0</v>
      </c>
      <c r="S163" s="871">
        <f>'11.销售及回款表'!U493</f>
        <v>0</v>
      </c>
      <c r="T163" s="872">
        <f>'11.销售及回款表'!V493</f>
        <v>0</v>
      </c>
      <c r="U163" s="872">
        <f>'11.销售及回款表'!W493</f>
        <v>0</v>
      </c>
      <c r="V163" s="872">
        <f>'11.销售及回款表'!X493</f>
        <v>0</v>
      </c>
      <c r="W163" s="871">
        <f>'11.销售及回款表'!Y493</f>
        <v>0</v>
      </c>
      <c r="X163" s="872">
        <f>'11.销售及回款表'!Z493</f>
        <v>0</v>
      </c>
      <c r="Y163" s="872">
        <f>'11.销售及回款表'!AA493</f>
        <v>0</v>
      </c>
      <c r="Z163" s="872">
        <f>'11.销售及回款表'!AB493</f>
        <v>0</v>
      </c>
      <c r="AA163" s="871">
        <f>'11.销售及回款表'!AC493</f>
        <v>0</v>
      </c>
      <c r="AB163" s="872">
        <f>'11.销售及回款表'!AD493</f>
        <v>0</v>
      </c>
      <c r="AC163" s="872">
        <f>'11.销售及回款表'!AE493</f>
        <v>0</v>
      </c>
      <c r="AD163" s="872">
        <f>'11.销售及回款表'!AF493</f>
        <v>0</v>
      </c>
      <c r="AE163" s="871">
        <f>'11.销售及回款表'!AG493</f>
        <v>0</v>
      </c>
      <c r="AF163" s="872">
        <f>'11.销售及回款表'!AH493</f>
        <v>0</v>
      </c>
      <c r="AG163" s="872">
        <f>'11.销售及回款表'!AI493</f>
        <v>0</v>
      </c>
      <c r="AH163" s="872">
        <f>'11.销售及回款表'!AJ493</f>
        <v>0</v>
      </c>
      <c r="AI163" s="871">
        <f>'11.销售及回款表'!AK493</f>
        <v>0</v>
      </c>
      <c r="AJ163" s="872">
        <f>'11.销售及回款表'!AL493</f>
        <v>0</v>
      </c>
      <c r="AK163" s="872">
        <f>'11.销售及回款表'!AM493</f>
        <v>0</v>
      </c>
      <c r="AL163" s="872">
        <f>'11.销售及回款表'!AN493</f>
        <v>0</v>
      </c>
      <c r="AM163" s="871">
        <f>'11.销售及回款表'!AO493</f>
        <v>0</v>
      </c>
      <c r="AN163" s="872">
        <f>'11.销售及回款表'!AP493</f>
        <v>0</v>
      </c>
      <c r="AO163" s="872">
        <f>'11.销售及回款表'!AQ493</f>
        <v>0</v>
      </c>
      <c r="AP163" s="872">
        <f>'11.销售及回款表'!AR493</f>
        <v>0</v>
      </c>
      <c r="AQ163" s="871">
        <f>'11.销售及回款表'!AS493</f>
        <v>0</v>
      </c>
      <c r="AR163" s="872">
        <f>'11.销售及回款表'!AT493</f>
        <v>0</v>
      </c>
      <c r="AS163" s="872">
        <f>'11.销售及回款表'!AU493</f>
        <v>0</v>
      </c>
      <c r="AT163" s="872">
        <f>'11.销售及回款表'!AV493</f>
        <v>0</v>
      </c>
    </row>
    <row r="164" spans="1:46" s="77" customFormat="1" ht="18" customHeight="1">
      <c r="A164" s="861" t="s">
        <v>683</v>
      </c>
      <c r="B164" s="862">
        <f>SUM(B165:B176)</f>
        <v>51650.64331496579</v>
      </c>
      <c r="C164" s="863">
        <f>SUM(C165:C176)</f>
        <v>0</v>
      </c>
      <c r="D164" s="862">
        <f t="shared" ref="D164:AT164" si="19">SUM(D165:D176)</f>
        <v>0</v>
      </c>
      <c r="E164" s="862">
        <f t="shared" si="19"/>
        <v>0</v>
      </c>
      <c r="F164" s="862">
        <f t="shared" si="19"/>
        <v>0</v>
      </c>
      <c r="G164" s="863">
        <f t="shared" si="19"/>
        <v>0</v>
      </c>
      <c r="H164" s="862">
        <f t="shared" si="19"/>
        <v>14162.125771402127</v>
      </c>
      <c r="I164" s="862">
        <f t="shared" si="19"/>
        <v>14162.125771402127</v>
      </c>
      <c r="J164" s="862">
        <f t="shared" si="19"/>
        <v>6069.4824734580543</v>
      </c>
      <c r="K164" s="863">
        <f t="shared" si="19"/>
        <v>6069.4824734580543</v>
      </c>
      <c r="L164" s="862">
        <f t="shared" si="19"/>
        <v>7455.4537801963406</v>
      </c>
      <c r="M164" s="862">
        <f t="shared" si="19"/>
        <v>2424.2963250490852</v>
      </c>
      <c r="N164" s="862">
        <f t="shared" si="19"/>
        <v>560.43287999999995</v>
      </c>
      <c r="O164" s="863">
        <f t="shared" si="19"/>
        <v>373.62192000000005</v>
      </c>
      <c r="P164" s="862">
        <f t="shared" si="19"/>
        <v>373.62192000000005</v>
      </c>
      <c r="Q164" s="862">
        <f t="shared" si="19"/>
        <v>0</v>
      </c>
      <c r="R164" s="862">
        <f t="shared" si="19"/>
        <v>0</v>
      </c>
      <c r="S164" s="863">
        <f t="shared" si="19"/>
        <v>0</v>
      </c>
      <c r="T164" s="862">
        <f t="shared" si="19"/>
        <v>0</v>
      </c>
      <c r="U164" s="862">
        <f t="shared" si="19"/>
        <v>0</v>
      </c>
      <c r="V164" s="862">
        <f t="shared" si="19"/>
        <v>0</v>
      </c>
      <c r="W164" s="863">
        <f t="shared" si="19"/>
        <v>0</v>
      </c>
      <c r="X164" s="862">
        <f t="shared" si="19"/>
        <v>0</v>
      </c>
      <c r="Y164" s="862">
        <f t="shared" si="19"/>
        <v>0</v>
      </c>
      <c r="Z164" s="862">
        <f t="shared" si="19"/>
        <v>0</v>
      </c>
      <c r="AA164" s="863">
        <f t="shared" si="19"/>
        <v>0</v>
      </c>
      <c r="AB164" s="862">
        <f t="shared" si="19"/>
        <v>0</v>
      </c>
      <c r="AC164" s="862">
        <f t="shared" si="19"/>
        <v>0</v>
      </c>
      <c r="AD164" s="862">
        <f t="shared" si="19"/>
        <v>0</v>
      </c>
      <c r="AE164" s="863">
        <f t="shared" si="19"/>
        <v>0</v>
      </c>
      <c r="AF164" s="862">
        <f t="shared" si="19"/>
        <v>0</v>
      </c>
      <c r="AG164" s="862">
        <f t="shared" si="19"/>
        <v>0</v>
      </c>
      <c r="AH164" s="862">
        <f t="shared" si="19"/>
        <v>0</v>
      </c>
      <c r="AI164" s="863">
        <f t="shared" si="19"/>
        <v>0</v>
      </c>
      <c r="AJ164" s="862">
        <f t="shared" si="19"/>
        <v>0</v>
      </c>
      <c r="AK164" s="862">
        <f t="shared" si="19"/>
        <v>0</v>
      </c>
      <c r="AL164" s="862">
        <f t="shared" si="19"/>
        <v>0</v>
      </c>
      <c r="AM164" s="863">
        <f t="shared" si="19"/>
        <v>0</v>
      </c>
      <c r="AN164" s="862">
        <f t="shared" si="19"/>
        <v>0</v>
      </c>
      <c r="AO164" s="862">
        <f t="shared" si="19"/>
        <v>0</v>
      </c>
      <c r="AP164" s="862">
        <f t="shared" si="19"/>
        <v>0</v>
      </c>
      <c r="AQ164" s="863">
        <f t="shared" si="19"/>
        <v>0</v>
      </c>
      <c r="AR164" s="862">
        <f t="shared" si="19"/>
        <v>0</v>
      </c>
      <c r="AS164" s="862">
        <f t="shared" si="19"/>
        <v>0</v>
      </c>
      <c r="AT164" s="862">
        <f t="shared" si="19"/>
        <v>0</v>
      </c>
    </row>
    <row r="165" spans="1:46" s="247" customFormat="1" ht="18" customHeight="1" outlineLevel="1">
      <c r="A165" s="874" t="str">
        <f>'8.项目规划指标表'!B5</f>
        <v>高层</v>
      </c>
      <c r="B165" s="870">
        <f>SUM(C165:AT165)</f>
        <v>40463.216489720362</v>
      </c>
      <c r="C165" s="875">
        <f>('4.综合指标表'!$G$81+'4.综合指标表'!$G$94)*C8/10000+('4.综合指标表'!$H$81+'4.综合指标表'!$H$94)*C21/10000+('4.综合指标表'!$I$81+'4.综合指标表'!$I$94)*C34/10000+('4.综合指标表'!$J$81+'4.综合指标表'!$J$94)*C47/10000+('4.综合指标表'!$K$81+'4.综合指标表'!$K$94)*C60/10000+('4.综合指标表'!$L$81+'4.综合指标表'!$L$94)*C73/10000</f>
        <v>0</v>
      </c>
      <c r="D165" s="876">
        <f>('4.综合指标表'!$G$81+'4.综合指标表'!$G$94)*D8/10000+('4.综合指标表'!$H$81+'4.综合指标表'!$H$94)*D21/10000+('4.综合指标表'!$I$81+'4.综合指标表'!$I$94)*D34/10000+('4.综合指标表'!$J$81+'4.综合指标表'!$J$94)*D47/10000+('4.综合指标表'!$K$81+'4.综合指标表'!$K$94)*D60/10000+('4.综合指标表'!$L$81+'4.综合指标表'!$L$94)*D73/10000</f>
        <v>0</v>
      </c>
      <c r="E165" s="876">
        <f>('4.综合指标表'!$G$81+'4.综合指标表'!$G$94)*E8/10000+('4.综合指标表'!$H$81+'4.综合指标表'!$H$94)*E21/10000+('4.综合指标表'!$I$81+'4.综合指标表'!$I$94)*E34/10000+('4.综合指标表'!$J$81+'4.综合指标表'!$J$94)*E47/10000+('4.综合指标表'!$K$81+'4.综合指标表'!$K$94)*E60/10000+('4.综合指标表'!$L$81+'4.综合指标表'!$L$94)*E73/10000</f>
        <v>0</v>
      </c>
      <c r="F165" s="876">
        <f>('4.综合指标表'!$G$81+'4.综合指标表'!$G$94)*F8/10000+('4.综合指标表'!$H$81+'4.综合指标表'!$H$94)*F21/10000+('4.综合指标表'!$I$81+'4.综合指标表'!$I$94)*F34/10000+('4.综合指标表'!$J$81+'4.综合指标表'!$J$94)*F47/10000+('4.综合指标表'!$K$81+'4.综合指标表'!$K$94)*F60/10000+('4.综合指标表'!$L$81+'4.综合指标表'!$L$94)*F73/10000</f>
        <v>0</v>
      </c>
      <c r="G165" s="875">
        <f>('4.综合指标表'!$G$81+'4.综合指标表'!$G$94)*G8/10000+('4.综合指标表'!$H$81+'4.综合指标表'!$H$94)*G21/10000+('4.综合指标表'!$I$81+'4.综合指标表'!$I$94)*G34/10000+('4.综合指标表'!$J$81+'4.综合指标表'!$J$94)*G47/10000+('4.综合指标表'!$K$81+'4.综合指标表'!$K$94)*G60/10000+('4.综合指标表'!$L$81+'4.综合指标表'!$L$94)*G73/10000</f>
        <v>0</v>
      </c>
      <c r="H165" s="876">
        <f>('4.综合指标表'!$G$81+'4.综合指标表'!$G$94)*H8/10000+('4.综合指标表'!$H$81+'4.综合指标表'!$H$94)*H21/10000+('4.综合指标表'!$I$81+'4.综合指标表'!$I$94)*H34/10000+('4.综合指标表'!$J$81+'4.综合指标表'!$J$94)*H47/10000+('4.综合指标表'!$K$81+'4.综合指标表'!$K$94)*H60/10000+('4.综合指标表'!$L$81+'4.综合指标表'!$L$94)*H73/10000</f>
        <v>14162.125771402127</v>
      </c>
      <c r="I165" s="876">
        <f>('4.综合指标表'!$G$81+'4.综合指标表'!$G$94)*I8/10000+('4.综合指标表'!$H$81+'4.综合指标表'!$H$94)*I21/10000+('4.综合指标表'!$I$81+'4.综合指标表'!$I$94)*I34/10000+('4.综合指标表'!$J$81+'4.综合指标表'!$J$94)*I47/10000+('4.综合指标表'!$K$81+'4.综合指标表'!$K$94)*I60/10000+('4.综合指标表'!$L$81+'4.综合指标表'!$L$94)*I73/10000</f>
        <v>14162.125771402127</v>
      </c>
      <c r="J165" s="876">
        <f>('4.综合指标表'!$G$81+'4.综合指标表'!$G$94)*J8/10000+('4.综合指标表'!$H$81+'4.综合指标表'!$H$94)*J21/10000+('4.综合指标表'!$I$81+'4.综合指标表'!$I$94)*J34/10000+('4.综合指标表'!$J$81+'4.综合指标表'!$J$94)*J47/10000+('4.综合指标表'!$K$81+'4.综合指标表'!$K$94)*J60/10000+('4.综合指标表'!$L$81+'4.综合指标表'!$L$94)*J73/10000</f>
        <v>6069.4824734580543</v>
      </c>
      <c r="K165" s="875">
        <f>('4.综合指标表'!$G$81+'4.综合指标表'!$G$94)*K8/10000+('4.综合指标表'!$H$81+'4.综合指标表'!$H$94)*K21/10000+('4.综合指标表'!$I$81+'4.综合指标表'!$I$94)*K34/10000+('4.综合指标表'!$J$81+'4.综合指标表'!$J$94)*K47/10000+('4.综合指标表'!$K$81+'4.综合指标表'!$K$94)*K60/10000+('4.综合指标表'!$L$81+'4.综合指标表'!$L$94)*K73/10000</f>
        <v>6069.4824734580543</v>
      </c>
      <c r="L165" s="876">
        <f>('4.综合指标表'!$G$81+'4.综合指标表'!$G$94)*L8/10000+('4.综合指标表'!$H$81+'4.综合指标表'!$H$94)*L21/10000+('4.综合指标表'!$I$81+'4.综合指标表'!$I$94)*L34/10000+('4.综合指标表'!$J$81+'4.综合指标表'!$J$94)*L47/10000+('4.综合指标表'!$K$81+'4.综合指标表'!$K$94)*L60/10000+('4.综合指标表'!$L$81+'4.综合指标表'!$L$94)*L73/10000</f>
        <v>0</v>
      </c>
      <c r="M165" s="876">
        <f>('4.综合指标表'!$G$81+'4.综合指标表'!$G$94)*M8/10000+('4.综合指标表'!$H$81+'4.综合指标表'!$H$94)*M21/10000+('4.综合指标表'!$I$81+'4.综合指标表'!$I$94)*M34/10000+('4.综合指标表'!$J$81+'4.综合指标表'!$J$94)*M47/10000+('4.综合指标表'!$K$81+'4.综合指标表'!$K$94)*M60/10000+('4.综合指标表'!$L$81+'4.综合指标表'!$L$94)*M73/10000</f>
        <v>0</v>
      </c>
      <c r="N165" s="876">
        <f>('4.综合指标表'!$G$81+'4.综合指标表'!$G$94)*N8/10000+('4.综合指标表'!$H$81+'4.综合指标表'!$H$94)*N21/10000+('4.综合指标表'!$I$81+'4.综合指标表'!$I$94)*N34/10000+('4.综合指标表'!$J$81+'4.综合指标表'!$J$94)*N47/10000+('4.综合指标表'!$K$81+'4.综合指标表'!$K$94)*N60/10000+('4.综合指标表'!$L$81+'4.综合指标表'!$L$94)*N73/10000</f>
        <v>0</v>
      </c>
      <c r="O165" s="875">
        <f>('4.综合指标表'!$G$81+'4.综合指标表'!$G$94)*O8/10000+('4.综合指标表'!$H$81+'4.综合指标表'!$H$94)*O21/10000+('4.综合指标表'!$I$81+'4.综合指标表'!$I$94)*O34/10000+('4.综合指标表'!$J$81+'4.综合指标表'!$J$94)*O47/10000+('4.综合指标表'!$K$81+'4.综合指标表'!$K$94)*O60/10000+('4.综合指标表'!$L$81+'4.综合指标表'!$L$94)*O73/10000</f>
        <v>0</v>
      </c>
      <c r="P165" s="876">
        <f>('4.综合指标表'!$G$81+'4.综合指标表'!$G$94)*P8/10000+('4.综合指标表'!$H$81+'4.综合指标表'!$H$94)*P21/10000+('4.综合指标表'!$I$81+'4.综合指标表'!$I$94)*P34/10000+('4.综合指标表'!$J$81+'4.综合指标表'!$J$94)*P47/10000+('4.综合指标表'!$K$81+'4.综合指标表'!$K$94)*P60/10000+('4.综合指标表'!$L$81+'4.综合指标表'!$L$94)*P73/10000</f>
        <v>0</v>
      </c>
      <c r="Q165" s="876">
        <f>('4.综合指标表'!$G$81+'4.综合指标表'!$G$94)*Q8/10000+('4.综合指标表'!$H$81+'4.综合指标表'!$H$94)*Q21/10000+('4.综合指标表'!$I$81+'4.综合指标表'!$I$94)*Q34/10000+('4.综合指标表'!$J$81+'4.综合指标表'!$J$94)*Q47/10000+('4.综合指标表'!$K$81+'4.综合指标表'!$K$94)*Q60/10000+('4.综合指标表'!$L$81+'4.综合指标表'!$L$94)*Q73/10000</f>
        <v>0</v>
      </c>
      <c r="R165" s="876">
        <f>('4.综合指标表'!$G$81+'4.综合指标表'!$G$94)*R8/10000+('4.综合指标表'!$H$81+'4.综合指标表'!$H$94)*R21/10000+('4.综合指标表'!$I$81+'4.综合指标表'!$I$94)*R34/10000+('4.综合指标表'!$J$81+'4.综合指标表'!$J$94)*R47/10000+('4.综合指标表'!$K$81+'4.综合指标表'!$K$94)*R60/10000+('4.综合指标表'!$L$81+'4.综合指标表'!$L$94)*R73/10000</f>
        <v>0</v>
      </c>
      <c r="S165" s="875">
        <f>('4.综合指标表'!$G$81+'4.综合指标表'!$G$94)*S8/10000+('4.综合指标表'!$H$81+'4.综合指标表'!$H$94)*S21/10000+('4.综合指标表'!$I$81+'4.综合指标表'!$I$94)*S34/10000+('4.综合指标表'!$J$81+'4.综合指标表'!$J$94)*S47/10000+('4.综合指标表'!$K$81+'4.综合指标表'!$K$94)*S60/10000+('4.综合指标表'!$L$81+'4.综合指标表'!$L$94)*S73/10000</f>
        <v>0</v>
      </c>
      <c r="T165" s="876">
        <f>('4.综合指标表'!$G$81+'4.综合指标表'!$G$94)*T8/10000+('4.综合指标表'!$H$81+'4.综合指标表'!$H$94)*T21/10000+('4.综合指标表'!$I$81+'4.综合指标表'!$I$94)*T34/10000+('4.综合指标表'!$J$81+'4.综合指标表'!$J$94)*T47/10000+('4.综合指标表'!$K$81+'4.综合指标表'!$K$94)*T60/10000+('4.综合指标表'!$L$81+'4.综合指标表'!$L$94)*T73/10000</f>
        <v>0</v>
      </c>
      <c r="U165" s="876">
        <f>('4.综合指标表'!$G$81+'4.综合指标表'!$G$94)*U8/10000+('4.综合指标表'!$H$81+'4.综合指标表'!$H$94)*U21/10000+('4.综合指标表'!$I$81+'4.综合指标表'!$I$94)*U34/10000+('4.综合指标表'!$J$81+'4.综合指标表'!$J$94)*U47/10000+('4.综合指标表'!$K$81+'4.综合指标表'!$K$94)*U60/10000+('4.综合指标表'!$L$81+'4.综合指标表'!$L$94)*U73/10000</f>
        <v>0</v>
      </c>
      <c r="V165" s="876">
        <f>('4.综合指标表'!$G$81+'4.综合指标表'!$G$94)*V8/10000+('4.综合指标表'!$H$81+'4.综合指标表'!$H$94)*V21/10000+('4.综合指标表'!$I$81+'4.综合指标表'!$I$94)*V34/10000+('4.综合指标表'!$J$81+'4.综合指标表'!$J$94)*V47/10000+('4.综合指标表'!$K$81+'4.综合指标表'!$K$94)*V60/10000+('4.综合指标表'!$L$81+'4.综合指标表'!$L$94)*V73/10000</f>
        <v>0</v>
      </c>
      <c r="W165" s="875">
        <f>('4.综合指标表'!$G$81+'4.综合指标表'!$G$94)*W8/10000+('4.综合指标表'!$H$81+'4.综合指标表'!$H$94)*W21/10000+('4.综合指标表'!$I$81+'4.综合指标表'!$I$94)*W34/10000+('4.综合指标表'!$J$81+'4.综合指标表'!$J$94)*W47/10000+('4.综合指标表'!$K$81+'4.综合指标表'!$K$94)*W60/10000+('4.综合指标表'!$L$81+'4.综合指标表'!$L$94)*W73/10000</f>
        <v>0</v>
      </c>
      <c r="X165" s="876">
        <f>('4.综合指标表'!$G$81+'4.综合指标表'!$G$94)*X8/10000+('4.综合指标表'!$H$81+'4.综合指标表'!$H$94)*X21/10000+('4.综合指标表'!$I$81+'4.综合指标表'!$I$94)*X34/10000+('4.综合指标表'!$J$81+'4.综合指标表'!$J$94)*X47/10000+('4.综合指标表'!$K$81+'4.综合指标表'!$K$94)*X60/10000+('4.综合指标表'!$L$81+'4.综合指标表'!$L$94)*X73/10000</f>
        <v>0</v>
      </c>
      <c r="Y165" s="876">
        <f>('4.综合指标表'!$G$81+'4.综合指标表'!$G$94)*Y8/10000+('4.综合指标表'!$H$81+'4.综合指标表'!$H$94)*Y21/10000+('4.综合指标表'!$I$81+'4.综合指标表'!$I$94)*Y34/10000+('4.综合指标表'!$J$81+'4.综合指标表'!$J$94)*Y47/10000+('4.综合指标表'!$K$81+'4.综合指标表'!$K$94)*Y60/10000+('4.综合指标表'!$L$81+'4.综合指标表'!$L$94)*Y73/10000</f>
        <v>0</v>
      </c>
      <c r="Z165" s="876">
        <f>('4.综合指标表'!$G$81+'4.综合指标表'!$G$94)*Z8/10000+('4.综合指标表'!$H$81+'4.综合指标表'!$H$94)*Z21/10000+('4.综合指标表'!$I$81+'4.综合指标表'!$I$94)*Z34/10000+('4.综合指标表'!$J$81+'4.综合指标表'!$J$94)*Z47/10000+('4.综合指标表'!$K$81+'4.综合指标表'!$K$94)*Z60/10000+('4.综合指标表'!$L$81+'4.综合指标表'!$L$94)*Z73/10000</f>
        <v>0</v>
      </c>
      <c r="AA165" s="875">
        <f>('4.综合指标表'!$G$81+'4.综合指标表'!$G$94)*AA8/10000+('4.综合指标表'!$H$81+'4.综合指标表'!$H$94)*AA21/10000+('4.综合指标表'!$I$81+'4.综合指标表'!$I$94)*AA34/10000+('4.综合指标表'!$J$81+'4.综合指标表'!$J$94)*AA47/10000+('4.综合指标表'!$K$81+'4.综合指标表'!$K$94)*AA60/10000+('4.综合指标表'!$L$81+'4.综合指标表'!$L$94)*AA73/10000</f>
        <v>0</v>
      </c>
      <c r="AB165" s="876">
        <f>('4.综合指标表'!$G$81+'4.综合指标表'!$G$94)*AB8/10000+('4.综合指标表'!$H$81+'4.综合指标表'!$H$94)*AB21/10000+('4.综合指标表'!$I$81+'4.综合指标表'!$I$94)*AB34/10000+('4.综合指标表'!$J$81+'4.综合指标表'!$J$94)*AB47/10000+('4.综合指标表'!$K$81+'4.综合指标表'!$K$94)*AB60/10000+('4.综合指标表'!$L$81+'4.综合指标表'!$L$94)*AB73/10000</f>
        <v>0</v>
      </c>
      <c r="AC165" s="876">
        <f>('4.综合指标表'!$G$81+'4.综合指标表'!$G$94)*AC8/10000+('4.综合指标表'!$H$81+'4.综合指标表'!$H$94)*AC21/10000+('4.综合指标表'!$I$81+'4.综合指标表'!$I$94)*AC34/10000+('4.综合指标表'!$J$81+'4.综合指标表'!$J$94)*AC47/10000+('4.综合指标表'!$K$81+'4.综合指标表'!$K$94)*AC60/10000+('4.综合指标表'!$L$81+'4.综合指标表'!$L$94)*AC73/10000</f>
        <v>0</v>
      </c>
      <c r="AD165" s="876">
        <f>('4.综合指标表'!$G$81+'4.综合指标表'!$G$94)*AD8/10000+('4.综合指标表'!$H$81+'4.综合指标表'!$H$94)*AD21/10000+('4.综合指标表'!$I$81+'4.综合指标表'!$I$94)*AD34/10000+('4.综合指标表'!$J$81+'4.综合指标表'!$J$94)*AD47/10000+('4.综合指标表'!$K$81+'4.综合指标表'!$K$94)*AD60/10000+('4.综合指标表'!$L$81+'4.综合指标表'!$L$94)*AD73/10000</f>
        <v>0</v>
      </c>
      <c r="AE165" s="875">
        <f>('4.综合指标表'!$G$81+'4.综合指标表'!$G$94)*AE8/10000+('4.综合指标表'!$H$81+'4.综合指标表'!$H$94)*AE21/10000+('4.综合指标表'!$I$81+'4.综合指标表'!$I$94)*AE34/10000+('4.综合指标表'!$J$81+'4.综合指标表'!$J$94)*AE47/10000+('4.综合指标表'!$K$81+'4.综合指标表'!$K$94)*AE60/10000+('4.综合指标表'!$L$81+'4.综合指标表'!$L$94)*AE73/10000</f>
        <v>0</v>
      </c>
      <c r="AF165" s="876">
        <f>('4.综合指标表'!$G$81+'4.综合指标表'!$G$94)*AF8/10000+('4.综合指标表'!$H$81+'4.综合指标表'!$H$94)*AF21/10000+('4.综合指标表'!$I$81+'4.综合指标表'!$I$94)*AF34/10000+('4.综合指标表'!$J$81+'4.综合指标表'!$J$94)*AF47/10000+('4.综合指标表'!$K$81+'4.综合指标表'!$K$94)*AF60/10000+('4.综合指标表'!$L$81+'4.综合指标表'!$L$94)*AF73/10000</f>
        <v>0</v>
      </c>
      <c r="AG165" s="876">
        <f>('4.综合指标表'!$G$81+'4.综合指标表'!$G$94)*AG8/10000+('4.综合指标表'!$H$81+'4.综合指标表'!$H$94)*AG21/10000+('4.综合指标表'!$I$81+'4.综合指标表'!$I$94)*AG34/10000+('4.综合指标表'!$J$81+'4.综合指标表'!$J$94)*AG47/10000+('4.综合指标表'!$K$81+'4.综合指标表'!$K$94)*AG60/10000+('4.综合指标表'!$L$81+'4.综合指标表'!$L$94)*AG73/10000</f>
        <v>0</v>
      </c>
      <c r="AH165" s="876">
        <f>('4.综合指标表'!$G$81+'4.综合指标表'!$G$94)*AH8/10000+('4.综合指标表'!$H$81+'4.综合指标表'!$H$94)*AH21/10000+('4.综合指标表'!$I$81+'4.综合指标表'!$I$94)*AH34/10000+('4.综合指标表'!$J$81+'4.综合指标表'!$J$94)*AH47/10000+('4.综合指标表'!$K$81+'4.综合指标表'!$K$94)*AH60/10000+('4.综合指标表'!$L$81+'4.综合指标表'!$L$94)*AH73/10000</f>
        <v>0</v>
      </c>
      <c r="AI165" s="875">
        <f>('4.综合指标表'!$G$81+'4.综合指标表'!$G$94)*AI8/10000+('4.综合指标表'!$H$81+'4.综合指标表'!$H$94)*AI21/10000+('4.综合指标表'!$I$81+'4.综合指标表'!$I$94)*AI34/10000+('4.综合指标表'!$J$81+'4.综合指标表'!$J$94)*AI47/10000+('4.综合指标表'!$K$81+'4.综合指标表'!$K$94)*AI60/10000+('4.综合指标表'!$L$81+'4.综合指标表'!$L$94)*AI73/10000</f>
        <v>0</v>
      </c>
      <c r="AJ165" s="876">
        <f>('4.综合指标表'!$G$81+'4.综合指标表'!$G$94)*AJ8/10000+('4.综合指标表'!$H$81+'4.综合指标表'!$H$94)*AJ21/10000+('4.综合指标表'!$I$81+'4.综合指标表'!$I$94)*AJ34/10000+('4.综合指标表'!$J$81+'4.综合指标表'!$J$94)*AJ47/10000+('4.综合指标表'!$K$81+'4.综合指标表'!$K$94)*AJ60/10000+('4.综合指标表'!$L$81+'4.综合指标表'!$L$94)*AJ73/10000</f>
        <v>0</v>
      </c>
      <c r="AK165" s="876">
        <f>('4.综合指标表'!$G$81+'4.综合指标表'!$G$94)*AK8/10000+('4.综合指标表'!$H$81+'4.综合指标表'!$H$94)*AK21/10000+('4.综合指标表'!$I$81+'4.综合指标表'!$I$94)*AK34/10000+('4.综合指标表'!$J$81+'4.综合指标表'!$J$94)*AK47/10000+('4.综合指标表'!$K$81+'4.综合指标表'!$K$94)*AK60/10000+('4.综合指标表'!$L$81+'4.综合指标表'!$L$94)*AK73/10000</f>
        <v>0</v>
      </c>
      <c r="AL165" s="876">
        <f>('4.综合指标表'!$G$81+'4.综合指标表'!$G$94)*AL8/10000+('4.综合指标表'!$H$81+'4.综合指标表'!$H$94)*AL21/10000+('4.综合指标表'!$I$81+'4.综合指标表'!$I$94)*AL34/10000+('4.综合指标表'!$J$81+'4.综合指标表'!$J$94)*AL47/10000+('4.综合指标表'!$K$81+'4.综合指标表'!$K$94)*AL60/10000+('4.综合指标表'!$L$81+'4.综合指标表'!$L$94)*AL73/10000</f>
        <v>0</v>
      </c>
      <c r="AM165" s="875">
        <f>('4.综合指标表'!$G$81+'4.综合指标表'!$G$94)*AM8/10000+('4.综合指标表'!$H$81+'4.综合指标表'!$H$94)*AM21/10000+('4.综合指标表'!$I$81+'4.综合指标表'!$I$94)*AM34/10000+('4.综合指标表'!$J$81+'4.综合指标表'!$J$94)*AM47/10000+('4.综合指标表'!$K$81+'4.综合指标表'!$K$94)*AM60/10000+('4.综合指标表'!$L$81+'4.综合指标表'!$L$94)*AM73/10000</f>
        <v>0</v>
      </c>
      <c r="AN165" s="876">
        <f>('4.综合指标表'!$G$81+'4.综合指标表'!$G$94)*AN8/10000+('4.综合指标表'!$H$81+'4.综合指标表'!$H$94)*AN21/10000+('4.综合指标表'!$I$81+'4.综合指标表'!$I$94)*AN34/10000+('4.综合指标表'!$J$81+'4.综合指标表'!$J$94)*AN47/10000+('4.综合指标表'!$K$81+'4.综合指标表'!$K$94)*AN60/10000+('4.综合指标表'!$L$81+'4.综合指标表'!$L$94)*AN73/10000</f>
        <v>0</v>
      </c>
      <c r="AO165" s="876">
        <f>('4.综合指标表'!$G$81+'4.综合指标表'!$G$94)*AO8/10000+('4.综合指标表'!$H$81+'4.综合指标表'!$H$94)*AO21/10000+('4.综合指标表'!$I$81+'4.综合指标表'!$I$94)*AO34/10000+('4.综合指标表'!$J$81+'4.综合指标表'!$J$94)*AO47/10000+('4.综合指标表'!$K$81+'4.综合指标表'!$K$94)*AO60/10000+('4.综合指标表'!$L$81+'4.综合指标表'!$L$94)*AO73/10000</f>
        <v>0</v>
      </c>
      <c r="AP165" s="876">
        <f>('4.综合指标表'!$G$81+'4.综合指标表'!$G$94)*AP8/10000+('4.综合指标表'!$H$81+'4.综合指标表'!$H$94)*AP21/10000+('4.综合指标表'!$I$81+'4.综合指标表'!$I$94)*AP34/10000+('4.综合指标表'!$J$81+'4.综合指标表'!$J$94)*AP47/10000+('4.综合指标表'!$K$81+'4.综合指标表'!$K$94)*AP60/10000+('4.综合指标表'!$L$81+'4.综合指标表'!$L$94)*AP73/10000</f>
        <v>0</v>
      </c>
      <c r="AQ165" s="875">
        <f>('4.综合指标表'!$G$81+'4.综合指标表'!$G$94)*AQ8/10000+('4.综合指标表'!$H$81+'4.综合指标表'!$H$94)*AQ21/10000+('4.综合指标表'!$I$81+'4.综合指标表'!$I$94)*AQ34/10000+('4.综合指标表'!$J$81+'4.综合指标表'!$J$94)*AQ47/10000+('4.综合指标表'!$K$81+'4.综合指标表'!$K$94)*AQ60/10000+('4.综合指标表'!$L$81+'4.综合指标表'!$L$94)*AQ73/10000</f>
        <v>0</v>
      </c>
      <c r="AR165" s="876">
        <f>('4.综合指标表'!$G$81+'4.综合指标表'!$G$94)*AR8/10000+('4.综合指标表'!$H$81+'4.综合指标表'!$H$94)*AR21/10000+('4.综合指标表'!$I$81+'4.综合指标表'!$I$94)*AR34/10000+('4.综合指标表'!$J$81+'4.综合指标表'!$J$94)*AR47/10000+('4.综合指标表'!$K$81+'4.综合指标表'!$K$94)*AR60/10000+('4.综合指标表'!$L$81+'4.综合指标表'!$L$94)*AR73/10000</f>
        <v>0</v>
      </c>
      <c r="AS165" s="876">
        <f>('4.综合指标表'!$G$81+'4.综合指标表'!$G$94)*AS8/10000+('4.综合指标表'!$H$81+'4.综合指标表'!$H$94)*AS21/10000+('4.综合指标表'!$I$81+'4.综合指标表'!$I$94)*AS34/10000+('4.综合指标表'!$J$81+'4.综合指标表'!$J$94)*AS47/10000+('4.综合指标表'!$K$81+'4.综合指标表'!$K$94)*AS60/10000+('4.综合指标表'!$L$81+'4.综合指标表'!$L$94)*AS73/10000</f>
        <v>0</v>
      </c>
      <c r="AT165" s="876">
        <f>('4.综合指标表'!$G$81+'4.综合指标表'!$G$94)*AT8/10000+('4.综合指标表'!$H$81+'4.综合指标表'!$H$94)*AT21/10000+('4.综合指标表'!$I$81+'4.综合指标表'!$I$94)*AT34/10000+('4.综合指标表'!$J$81+'4.综合指标表'!$J$94)*AT47/10000+('4.综合指标表'!$K$81+'4.综合指标表'!$K$94)*AT60/10000+('4.综合指标表'!$L$81+'4.综合指标表'!$L$94)*AT73/10000</f>
        <v>0</v>
      </c>
    </row>
    <row r="166" spans="1:46" s="247" customFormat="1" ht="18" customHeight="1" outlineLevel="1">
      <c r="A166" s="874" t="str">
        <f>'8.项目规划指标表'!B6</f>
        <v>商铺</v>
      </c>
      <c r="B166" s="870">
        <f t="shared" ref="B166:B180" si="20">SUM(C166:AT166)</f>
        <v>9319.317225245426</v>
      </c>
      <c r="C166" s="875">
        <f>('4.综合指标表'!$G$82+'4.综合指标表'!$G$95)*C9/10000+('4.综合指标表'!$H$82+'4.综合指标表'!$H$95)*C22/10000+('4.综合指标表'!$I$82+'4.综合指标表'!$I$95)*C35/10000+('4.综合指标表'!$J$82+'4.综合指标表'!$J$95)*C48/10000+('4.综合指标表'!$K$82+'4.综合指标表'!$K$95)*C61/10000+('4.综合指标表'!$L$82+'4.综合指标表'!$L$95)*C74/10000</f>
        <v>0</v>
      </c>
      <c r="D166" s="876">
        <f>('4.综合指标表'!$G$82+'4.综合指标表'!$G$95)*D9/10000+('4.综合指标表'!$H$82+'4.综合指标表'!$H$95)*D22/10000+('4.综合指标表'!$I$82+'4.综合指标表'!$I$95)*D35/10000+('4.综合指标表'!$J$82+'4.综合指标表'!$J$95)*D48/10000+('4.综合指标表'!$K$82+'4.综合指标表'!$K$95)*D61/10000+('4.综合指标表'!$L$82+'4.综合指标表'!$L$95)*D74/10000</f>
        <v>0</v>
      </c>
      <c r="E166" s="876">
        <f>('4.综合指标表'!$G$82+'4.综合指标表'!$G$95)*E9/10000+('4.综合指标表'!$H$82+'4.综合指标表'!$H$95)*E22/10000+('4.综合指标表'!$I$82+'4.综合指标表'!$I$95)*E35/10000+('4.综合指标表'!$J$82+'4.综合指标表'!$J$95)*E48/10000+('4.综合指标表'!$K$82+'4.综合指标表'!$K$95)*E61/10000+('4.综合指标表'!$L$82+'4.综合指标表'!$L$95)*E74/10000</f>
        <v>0</v>
      </c>
      <c r="F166" s="876">
        <f>('4.综合指标表'!$G$82+'4.综合指标表'!$G$95)*F9/10000+('4.综合指标表'!$H$82+'4.综合指标表'!$H$95)*F22/10000+('4.综合指标表'!$I$82+'4.综合指标表'!$I$95)*F35/10000+('4.综合指标表'!$J$82+'4.综合指标表'!$J$95)*F48/10000+('4.综合指标表'!$K$82+'4.综合指标表'!$K$95)*F61/10000+('4.综合指标表'!$L$82+'4.综合指标表'!$L$95)*F74/10000</f>
        <v>0</v>
      </c>
      <c r="G166" s="875">
        <f>('4.综合指标表'!$G$82+'4.综合指标表'!$G$95)*G9/10000+('4.综合指标表'!$H$82+'4.综合指标表'!$H$95)*G22/10000+('4.综合指标表'!$I$82+'4.综合指标表'!$I$95)*G35/10000+('4.综合指标表'!$J$82+'4.综合指标表'!$J$95)*G48/10000+('4.综合指标表'!$K$82+'4.综合指标表'!$K$95)*G61/10000+('4.综合指标表'!$L$82+'4.综合指标表'!$L$95)*G74/10000</f>
        <v>0</v>
      </c>
      <c r="H166" s="876">
        <f>('4.综合指标表'!$G$82+'4.综合指标表'!$G$95)*H9/10000+('4.综合指标表'!$H$82+'4.综合指标表'!$H$95)*H22/10000+('4.综合指标表'!$I$82+'4.综合指标表'!$I$95)*H35/10000+('4.综合指标表'!$J$82+'4.综合指标表'!$J$95)*H48/10000+('4.综合指标表'!$K$82+'4.综合指标表'!$K$95)*H61/10000+('4.综合指标表'!$L$82+'4.综合指标表'!$L$95)*H74/10000</f>
        <v>0</v>
      </c>
      <c r="I166" s="876">
        <f>('4.综合指标表'!$G$82+'4.综合指标表'!$G$95)*I9/10000+('4.综合指标表'!$H$82+'4.综合指标表'!$H$95)*I22/10000+('4.综合指标表'!$I$82+'4.综合指标表'!$I$95)*I35/10000+('4.综合指标表'!$J$82+'4.综合指标表'!$J$95)*I48/10000+('4.综合指标表'!$K$82+'4.综合指标表'!$K$95)*I61/10000+('4.综合指标表'!$L$82+'4.综合指标表'!$L$95)*I74/10000</f>
        <v>0</v>
      </c>
      <c r="J166" s="876">
        <f>('4.综合指标表'!$G$82+'4.综合指标表'!$G$95)*J9/10000+('4.综合指标表'!$H$82+'4.综合指标表'!$H$95)*J22/10000+('4.综合指标表'!$I$82+'4.综合指标表'!$I$95)*J35/10000+('4.综合指标表'!$J$82+'4.综合指标表'!$J$95)*J48/10000+('4.综合指标表'!$K$82+'4.综合指标表'!$K$95)*J61/10000+('4.综合指标表'!$L$82+'4.综合指标表'!$L$95)*J74/10000</f>
        <v>0</v>
      </c>
      <c r="K166" s="875">
        <f>('4.综合指标表'!$G$82+'4.综合指标表'!$G$95)*K9/10000+('4.综合指标表'!$H$82+'4.综合指标表'!$H$95)*K22/10000+('4.综合指标表'!$I$82+'4.综合指标表'!$I$95)*K35/10000+('4.综合指标表'!$J$82+'4.综合指标表'!$J$95)*K48/10000+('4.综合指标表'!$K$82+'4.综合指标表'!$K$95)*K61/10000+('4.综合指标表'!$L$82+'4.综合指标表'!$L$95)*K74/10000</f>
        <v>0</v>
      </c>
      <c r="L166" s="876">
        <f>('4.综合指标表'!$G$82+'4.综合指标表'!$G$95)*L9/10000+('4.综合指标表'!$H$82+'4.综合指标表'!$H$95)*L22/10000+('4.综合指标表'!$I$82+'4.综合指标表'!$I$95)*L35/10000+('4.综合指标表'!$J$82+'4.综合指标表'!$J$95)*L48/10000+('4.综合指标表'!$K$82+'4.综合指标表'!$K$95)*L61/10000+('4.综合指标表'!$L$82+'4.综合指标表'!$L$95)*L74/10000</f>
        <v>7455.4537801963406</v>
      </c>
      <c r="M166" s="876">
        <f>('4.综合指标表'!$G$82+'4.综合指标表'!$G$95)*M9/10000+('4.综合指标表'!$H$82+'4.综合指标表'!$H$95)*M22/10000+('4.综合指标表'!$I$82+'4.综合指标表'!$I$95)*M35/10000+('4.综合指标表'!$J$82+'4.综合指标表'!$J$95)*M48/10000+('4.综合指标表'!$K$82+'4.综合指标表'!$K$95)*M61/10000+('4.综合指标表'!$L$82+'4.综合指标表'!$L$95)*M74/10000</f>
        <v>1863.8634450490852</v>
      </c>
      <c r="N166" s="876">
        <f>('4.综合指标表'!$G$82+'4.综合指标表'!$G$95)*N9/10000+('4.综合指标表'!$H$82+'4.综合指标表'!$H$95)*N22/10000+('4.综合指标表'!$I$82+'4.综合指标表'!$I$95)*N35/10000+('4.综合指标表'!$J$82+'4.综合指标表'!$J$95)*N48/10000+('4.综合指标表'!$K$82+'4.综合指标表'!$K$95)*N61/10000+('4.综合指标表'!$L$82+'4.综合指标表'!$L$95)*N74/10000</f>
        <v>0</v>
      </c>
      <c r="O166" s="875">
        <f>('4.综合指标表'!$G$82+'4.综合指标表'!$G$95)*O9/10000+('4.综合指标表'!$H$82+'4.综合指标表'!$H$95)*O22/10000+('4.综合指标表'!$I$82+'4.综合指标表'!$I$95)*O35/10000+('4.综合指标表'!$J$82+'4.综合指标表'!$J$95)*O48/10000+('4.综合指标表'!$K$82+'4.综合指标表'!$K$95)*O61/10000+('4.综合指标表'!$L$82+'4.综合指标表'!$L$95)*O74/10000</f>
        <v>0</v>
      </c>
      <c r="P166" s="876">
        <f>('4.综合指标表'!$G$82+'4.综合指标表'!$G$95)*P9/10000+('4.综合指标表'!$H$82+'4.综合指标表'!$H$95)*P22/10000+('4.综合指标表'!$I$82+'4.综合指标表'!$I$95)*P35/10000+('4.综合指标表'!$J$82+'4.综合指标表'!$J$95)*P48/10000+('4.综合指标表'!$K$82+'4.综合指标表'!$K$95)*P61/10000+('4.综合指标表'!$L$82+'4.综合指标表'!$L$95)*P74/10000</f>
        <v>0</v>
      </c>
      <c r="Q166" s="876">
        <f>('4.综合指标表'!$G$82+'4.综合指标表'!$G$95)*Q9/10000+('4.综合指标表'!$H$82+'4.综合指标表'!$H$95)*Q22/10000+('4.综合指标表'!$I$82+'4.综合指标表'!$I$95)*Q35/10000+('4.综合指标表'!$J$82+'4.综合指标表'!$J$95)*Q48/10000+('4.综合指标表'!$K$82+'4.综合指标表'!$K$95)*Q61/10000+('4.综合指标表'!$L$82+'4.综合指标表'!$L$95)*Q74/10000</f>
        <v>0</v>
      </c>
      <c r="R166" s="876">
        <f>('4.综合指标表'!$G$82+'4.综合指标表'!$G$95)*R9/10000+('4.综合指标表'!$H$82+'4.综合指标表'!$H$95)*R22/10000+('4.综合指标表'!$I$82+'4.综合指标表'!$I$95)*R35/10000+('4.综合指标表'!$J$82+'4.综合指标表'!$J$95)*R48/10000+('4.综合指标表'!$K$82+'4.综合指标表'!$K$95)*R61/10000+('4.综合指标表'!$L$82+'4.综合指标表'!$L$95)*R74/10000</f>
        <v>0</v>
      </c>
      <c r="S166" s="875">
        <f>('4.综合指标表'!$G$82+'4.综合指标表'!$G$95)*S9/10000+('4.综合指标表'!$H$82+'4.综合指标表'!$H$95)*S22/10000+('4.综合指标表'!$I$82+'4.综合指标表'!$I$95)*S35/10000+('4.综合指标表'!$J$82+'4.综合指标表'!$J$95)*S48/10000+('4.综合指标表'!$K$82+'4.综合指标表'!$K$95)*S61/10000+('4.综合指标表'!$L$82+'4.综合指标表'!$L$95)*S74/10000</f>
        <v>0</v>
      </c>
      <c r="T166" s="876">
        <f>('4.综合指标表'!$G$82+'4.综合指标表'!$G$95)*T9/10000+('4.综合指标表'!$H$82+'4.综合指标表'!$H$95)*T22/10000+('4.综合指标表'!$I$82+'4.综合指标表'!$I$95)*T35/10000+('4.综合指标表'!$J$82+'4.综合指标表'!$J$95)*T48/10000+('4.综合指标表'!$K$82+'4.综合指标表'!$K$95)*T61/10000+('4.综合指标表'!$L$82+'4.综合指标表'!$L$95)*T74/10000</f>
        <v>0</v>
      </c>
      <c r="U166" s="876">
        <f>('4.综合指标表'!$G$82+'4.综合指标表'!$G$95)*U9/10000+('4.综合指标表'!$H$82+'4.综合指标表'!$H$95)*U22/10000+('4.综合指标表'!$I$82+'4.综合指标表'!$I$95)*U35/10000+('4.综合指标表'!$J$82+'4.综合指标表'!$J$95)*U48/10000+('4.综合指标表'!$K$82+'4.综合指标表'!$K$95)*U61/10000+('4.综合指标表'!$L$82+'4.综合指标表'!$L$95)*U74/10000</f>
        <v>0</v>
      </c>
      <c r="V166" s="876">
        <f>('4.综合指标表'!$G$82+'4.综合指标表'!$G$95)*V9/10000+('4.综合指标表'!$H$82+'4.综合指标表'!$H$95)*V22/10000+('4.综合指标表'!$I$82+'4.综合指标表'!$I$95)*V35/10000+('4.综合指标表'!$J$82+'4.综合指标表'!$J$95)*V48/10000+('4.综合指标表'!$K$82+'4.综合指标表'!$K$95)*V61/10000+('4.综合指标表'!$L$82+'4.综合指标表'!$L$95)*V74/10000</f>
        <v>0</v>
      </c>
      <c r="W166" s="875">
        <f>('4.综合指标表'!$G$82+'4.综合指标表'!$G$95)*W9/10000+('4.综合指标表'!$H$82+'4.综合指标表'!$H$95)*W22/10000+('4.综合指标表'!$I$82+'4.综合指标表'!$I$95)*W35/10000+('4.综合指标表'!$J$82+'4.综合指标表'!$J$95)*W48/10000+('4.综合指标表'!$K$82+'4.综合指标表'!$K$95)*W61/10000+('4.综合指标表'!$L$82+'4.综合指标表'!$L$95)*W74/10000</f>
        <v>0</v>
      </c>
      <c r="X166" s="876">
        <f>('4.综合指标表'!$G$82+'4.综合指标表'!$G$95)*X9/10000+('4.综合指标表'!$H$82+'4.综合指标表'!$H$95)*X22/10000+('4.综合指标表'!$I$82+'4.综合指标表'!$I$95)*X35/10000+('4.综合指标表'!$J$82+'4.综合指标表'!$J$95)*X48/10000+('4.综合指标表'!$K$82+'4.综合指标表'!$K$95)*X61/10000+('4.综合指标表'!$L$82+'4.综合指标表'!$L$95)*X74/10000</f>
        <v>0</v>
      </c>
      <c r="Y166" s="876">
        <f>('4.综合指标表'!$G$82+'4.综合指标表'!$G$95)*Y9/10000+('4.综合指标表'!$H$82+'4.综合指标表'!$H$95)*Y22/10000+('4.综合指标表'!$I$82+'4.综合指标表'!$I$95)*Y35/10000+('4.综合指标表'!$J$82+'4.综合指标表'!$J$95)*Y48/10000+('4.综合指标表'!$K$82+'4.综合指标表'!$K$95)*Y61/10000+('4.综合指标表'!$L$82+'4.综合指标表'!$L$95)*Y74/10000</f>
        <v>0</v>
      </c>
      <c r="Z166" s="876">
        <f>('4.综合指标表'!$G$82+'4.综合指标表'!$G$95)*Z9/10000+('4.综合指标表'!$H$82+'4.综合指标表'!$H$95)*Z22/10000+('4.综合指标表'!$I$82+'4.综合指标表'!$I$95)*Z35/10000+('4.综合指标表'!$J$82+'4.综合指标表'!$J$95)*Z48/10000+('4.综合指标表'!$K$82+'4.综合指标表'!$K$95)*Z61/10000+('4.综合指标表'!$L$82+'4.综合指标表'!$L$95)*Z74/10000</f>
        <v>0</v>
      </c>
      <c r="AA166" s="875">
        <f>('4.综合指标表'!$G$82+'4.综合指标表'!$G$95)*AA9/10000+('4.综合指标表'!$H$82+'4.综合指标表'!$H$95)*AA22/10000+('4.综合指标表'!$I$82+'4.综合指标表'!$I$95)*AA35/10000+('4.综合指标表'!$J$82+'4.综合指标表'!$J$95)*AA48/10000+('4.综合指标表'!$K$82+'4.综合指标表'!$K$95)*AA61/10000+('4.综合指标表'!$L$82+'4.综合指标表'!$L$95)*AA74/10000</f>
        <v>0</v>
      </c>
      <c r="AB166" s="876">
        <f>('4.综合指标表'!$G$82+'4.综合指标表'!$G$95)*AB9/10000+('4.综合指标表'!$H$82+'4.综合指标表'!$H$95)*AB22/10000+('4.综合指标表'!$I$82+'4.综合指标表'!$I$95)*AB35/10000+('4.综合指标表'!$J$82+'4.综合指标表'!$J$95)*AB48/10000+('4.综合指标表'!$K$82+'4.综合指标表'!$K$95)*AB61/10000+('4.综合指标表'!$L$82+'4.综合指标表'!$L$95)*AB74/10000</f>
        <v>0</v>
      </c>
      <c r="AC166" s="876">
        <f>('4.综合指标表'!$G$82+'4.综合指标表'!$G$95)*AC9/10000+('4.综合指标表'!$H$82+'4.综合指标表'!$H$95)*AC22/10000+('4.综合指标表'!$I$82+'4.综合指标表'!$I$95)*AC35/10000+('4.综合指标表'!$J$82+'4.综合指标表'!$J$95)*AC48/10000+('4.综合指标表'!$K$82+'4.综合指标表'!$K$95)*AC61/10000+('4.综合指标表'!$L$82+'4.综合指标表'!$L$95)*AC74/10000</f>
        <v>0</v>
      </c>
      <c r="AD166" s="876">
        <f>('4.综合指标表'!$G$82+'4.综合指标表'!$G$95)*AD9/10000+('4.综合指标表'!$H$82+'4.综合指标表'!$H$95)*AD22/10000+('4.综合指标表'!$I$82+'4.综合指标表'!$I$95)*AD35/10000+('4.综合指标表'!$J$82+'4.综合指标表'!$J$95)*AD48/10000+('4.综合指标表'!$K$82+'4.综合指标表'!$K$95)*AD61/10000+('4.综合指标表'!$L$82+'4.综合指标表'!$L$95)*AD74/10000</f>
        <v>0</v>
      </c>
      <c r="AE166" s="875">
        <f>('4.综合指标表'!$G$82+'4.综合指标表'!$G$95)*AE9/10000+('4.综合指标表'!$H$82+'4.综合指标表'!$H$95)*AE22/10000+('4.综合指标表'!$I$82+'4.综合指标表'!$I$95)*AE35/10000+('4.综合指标表'!$J$82+'4.综合指标表'!$J$95)*AE48/10000+('4.综合指标表'!$K$82+'4.综合指标表'!$K$95)*AE61/10000+('4.综合指标表'!$L$82+'4.综合指标表'!$L$95)*AE74/10000</f>
        <v>0</v>
      </c>
      <c r="AF166" s="876">
        <f>('4.综合指标表'!$G$82+'4.综合指标表'!$G$95)*AF9/10000+('4.综合指标表'!$H$82+'4.综合指标表'!$H$95)*AF22/10000+('4.综合指标表'!$I$82+'4.综合指标表'!$I$95)*AF35/10000+('4.综合指标表'!$J$82+'4.综合指标表'!$J$95)*AF48/10000+('4.综合指标表'!$K$82+'4.综合指标表'!$K$95)*AF61/10000+('4.综合指标表'!$L$82+'4.综合指标表'!$L$95)*AF74/10000</f>
        <v>0</v>
      </c>
      <c r="AG166" s="876">
        <f>('4.综合指标表'!$G$82+'4.综合指标表'!$G$95)*AG9/10000+('4.综合指标表'!$H$82+'4.综合指标表'!$H$95)*AG22/10000+('4.综合指标表'!$I$82+'4.综合指标表'!$I$95)*AG35/10000+('4.综合指标表'!$J$82+'4.综合指标表'!$J$95)*AG48/10000+('4.综合指标表'!$K$82+'4.综合指标表'!$K$95)*AG61/10000+('4.综合指标表'!$L$82+'4.综合指标表'!$L$95)*AG74/10000</f>
        <v>0</v>
      </c>
      <c r="AH166" s="876">
        <f>('4.综合指标表'!$G$82+'4.综合指标表'!$G$95)*AH9/10000+('4.综合指标表'!$H$82+'4.综合指标表'!$H$95)*AH22/10000+('4.综合指标表'!$I$82+'4.综合指标表'!$I$95)*AH35/10000+('4.综合指标表'!$J$82+'4.综合指标表'!$J$95)*AH48/10000+('4.综合指标表'!$K$82+'4.综合指标表'!$K$95)*AH61/10000+('4.综合指标表'!$L$82+'4.综合指标表'!$L$95)*AH74/10000</f>
        <v>0</v>
      </c>
      <c r="AI166" s="875">
        <f>('4.综合指标表'!$G$82+'4.综合指标表'!$G$95)*AI9/10000+('4.综合指标表'!$H$82+'4.综合指标表'!$H$95)*AI22/10000+('4.综合指标表'!$I$82+'4.综合指标表'!$I$95)*AI35/10000+('4.综合指标表'!$J$82+'4.综合指标表'!$J$95)*AI48/10000+('4.综合指标表'!$K$82+'4.综合指标表'!$K$95)*AI61/10000+('4.综合指标表'!$L$82+'4.综合指标表'!$L$95)*AI74/10000</f>
        <v>0</v>
      </c>
      <c r="AJ166" s="876">
        <f>('4.综合指标表'!$G$82+'4.综合指标表'!$G$95)*AJ9/10000+('4.综合指标表'!$H$82+'4.综合指标表'!$H$95)*AJ22/10000+('4.综合指标表'!$I$82+'4.综合指标表'!$I$95)*AJ35/10000+('4.综合指标表'!$J$82+'4.综合指标表'!$J$95)*AJ48/10000+('4.综合指标表'!$K$82+'4.综合指标表'!$K$95)*AJ61/10000+('4.综合指标表'!$L$82+'4.综合指标表'!$L$95)*AJ74/10000</f>
        <v>0</v>
      </c>
      <c r="AK166" s="876">
        <f>('4.综合指标表'!$G$82+'4.综合指标表'!$G$95)*AK9/10000+('4.综合指标表'!$H$82+'4.综合指标表'!$H$95)*AK22/10000+('4.综合指标表'!$I$82+'4.综合指标表'!$I$95)*AK35/10000+('4.综合指标表'!$J$82+'4.综合指标表'!$J$95)*AK48/10000+('4.综合指标表'!$K$82+'4.综合指标表'!$K$95)*AK61/10000+('4.综合指标表'!$L$82+'4.综合指标表'!$L$95)*AK74/10000</f>
        <v>0</v>
      </c>
      <c r="AL166" s="876">
        <f>('4.综合指标表'!$G$82+'4.综合指标表'!$G$95)*AL9/10000+('4.综合指标表'!$H$82+'4.综合指标表'!$H$95)*AL22/10000+('4.综合指标表'!$I$82+'4.综合指标表'!$I$95)*AL35/10000+('4.综合指标表'!$J$82+'4.综合指标表'!$J$95)*AL48/10000+('4.综合指标表'!$K$82+'4.综合指标表'!$K$95)*AL61/10000+('4.综合指标表'!$L$82+'4.综合指标表'!$L$95)*AL74/10000</f>
        <v>0</v>
      </c>
      <c r="AM166" s="875">
        <f>('4.综合指标表'!$G$82+'4.综合指标表'!$G$95)*AM9/10000+('4.综合指标表'!$H$82+'4.综合指标表'!$H$95)*AM22/10000+('4.综合指标表'!$I$82+'4.综合指标表'!$I$95)*AM35/10000+('4.综合指标表'!$J$82+'4.综合指标表'!$J$95)*AM48/10000+('4.综合指标表'!$K$82+'4.综合指标表'!$K$95)*AM61/10000+('4.综合指标表'!$L$82+'4.综合指标表'!$L$95)*AM74/10000</f>
        <v>0</v>
      </c>
      <c r="AN166" s="876">
        <f>('4.综合指标表'!$G$82+'4.综合指标表'!$G$95)*AN9/10000+('4.综合指标表'!$H$82+'4.综合指标表'!$H$95)*AN22/10000+('4.综合指标表'!$I$82+'4.综合指标表'!$I$95)*AN35/10000+('4.综合指标表'!$J$82+'4.综合指标表'!$J$95)*AN48/10000+('4.综合指标表'!$K$82+'4.综合指标表'!$K$95)*AN61/10000+('4.综合指标表'!$L$82+'4.综合指标表'!$L$95)*AN74/10000</f>
        <v>0</v>
      </c>
      <c r="AO166" s="876">
        <f>('4.综合指标表'!$G$82+'4.综合指标表'!$G$95)*AO9/10000+('4.综合指标表'!$H$82+'4.综合指标表'!$H$95)*AO22/10000+('4.综合指标表'!$I$82+'4.综合指标表'!$I$95)*AO35/10000+('4.综合指标表'!$J$82+'4.综合指标表'!$J$95)*AO48/10000+('4.综合指标表'!$K$82+'4.综合指标表'!$K$95)*AO61/10000+('4.综合指标表'!$L$82+'4.综合指标表'!$L$95)*AO74/10000</f>
        <v>0</v>
      </c>
      <c r="AP166" s="876">
        <f>('4.综合指标表'!$G$82+'4.综合指标表'!$G$95)*AP9/10000+('4.综合指标表'!$H$82+'4.综合指标表'!$H$95)*AP22/10000+('4.综合指标表'!$I$82+'4.综合指标表'!$I$95)*AP35/10000+('4.综合指标表'!$J$82+'4.综合指标表'!$J$95)*AP48/10000+('4.综合指标表'!$K$82+'4.综合指标表'!$K$95)*AP61/10000+('4.综合指标表'!$L$82+'4.综合指标表'!$L$95)*AP74/10000</f>
        <v>0</v>
      </c>
      <c r="AQ166" s="875">
        <f>('4.综合指标表'!$G$82+'4.综合指标表'!$G$95)*AQ9/10000+('4.综合指标表'!$H$82+'4.综合指标表'!$H$95)*AQ22/10000+('4.综合指标表'!$I$82+'4.综合指标表'!$I$95)*AQ35/10000+('4.综合指标表'!$J$82+'4.综合指标表'!$J$95)*AQ48/10000+('4.综合指标表'!$K$82+'4.综合指标表'!$K$95)*AQ61/10000+('4.综合指标表'!$L$82+'4.综合指标表'!$L$95)*AQ74/10000</f>
        <v>0</v>
      </c>
      <c r="AR166" s="876">
        <f>('4.综合指标表'!$G$82+'4.综合指标表'!$G$95)*AR9/10000+('4.综合指标表'!$H$82+'4.综合指标表'!$H$95)*AR22/10000+('4.综合指标表'!$I$82+'4.综合指标表'!$I$95)*AR35/10000+('4.综合指标表'!$J$82+'4.综合指标表'!$J$95)*AR48/10000+('4.综合指标表'!$K$82+'4.综合指标表'!$K$95)*AR61/10000+('4.综合指标表'!$L$82+'4.综合指标表'!$L$95)*AR74/10000</f>
        <v>0</v>
      </c>
      <c r="AS166" s="876">
        <f>('4.综合指标表'!$G$82+'4.综合指标表'!$G$95)*AS9/10000+('4.综合指标表'!$H$82+'4.综合指标表'!$H$95)*AS22/10000+('4.综合指标表'!$I$82+'4.综合指标表'!$I$95)*AS35/10000+('4.综合指标表'!$J$82+'4.综合指标表'!$J$95)*AS48/10000+('4.综合指标表'!$K$82+'4.综合指标表'!$K$95)*AS61/10000+('4.综合指标表'!$L$82+'4.综合指标表'!$L$95)*AS74/10000</f>
        <v>0</v>
      </c>
      <c r="AT166" s="876">
        <f>('4.综合指标表'!$G$82+'4.综合指标表'!$G$95)*AT9/10000+('4.综合指标表'!$H$82+'4.综合指标表'!$H$95)*AT22/10000+('4.综合指标表'!$I$82+'4.综合指标表'!$I$95)*AT35/10000+('4.综合指标表'!$J$82+'4.综合指标表'!$J$95)*AT48/10000+('4.综合指标表'!$K$82+'4.综合指标表'!$K$95)*AT61/10000+('4.综合指标表'!$L$82+'4.综合指标表'!$L$95)*AT74/10000</f>
        <v>0</v>
      </c>
    </row>
    <row r="167" spans="1:46" s="247" customFormat="1" ht="18" customHeight="1" outlineLevel="1">
      <c r="A167" s="874" t="str">
        <f>'8.项目规划指标表'!B7</f>
        <v>回迁商业</v>
      </c>
      <c r="B167" s="870">
        <f t="shared" si="20"/>
        <v>0</v>
      </c>
      <c r="C167" s="875">
        <f>('4.综合指标表'!$G$83+'4.综合指标表'!$G$96)*C10/10000+('4.综合指标表'!$H$83+'4.综合指标表'!$H$96)*C23/10000+('4.综合指标表'!$I$83+'4.综合指标表'!$I$96)*C36/10000+('4.综合指标表'!$J$83+'4.综合指标表'!$J$96)*C49/10000+('4.综合指标表'!$K$83+'4.综合指标表'!$K$96)*C62/10000+('4.综合指标表'!$L$83+'4.综合指标表'!$L$96)*C75/10000</f>
        <v>0</v>
      </c>
      <c r="D167" s="876">
        <f>('4.综合指标表'!$G$83+'4.综合指标表'!$G$96)*D10/10000+('4.综合指标表'!$H$83+'4.综合指标表'!$H$96)*D23/10000+('4.综合指标表'!$I$83+'4.综合指标表'!$I$96)*D36/10000+('4.综合指标表'!$J$83+'4.综合指标表'!$J$96)*D49/10000+('4.综合指标表'!$K$83+'4.综合指标表'!$K$96)*D62/10000+('4.综合指标表'!$L$83+'4.综合指标表'!$L$96)*D75/10000</f>
        <v>0</v>
      </c>
      <c r="E167" s="876">
        <f>('4.综合指标表'!$G$83+'4.综合指标表'!$G$96)*E10/10000+('4.综合指标表'!$H$83+'4.综合指标表'!$H$96)*E23/10000+('4.综合指标表'!$I$83+'4.综合指标表'!$I$96)*E36/10000+('4.综合指标表'!$J$83+'4.综合指标表'!$J$96)*E49/10000+('4.综合指标表'!$K$83+'4.综合指标表'!$K$96)*E62/10000+('4.综合指标表'!$L$83+'4.综合指标表'!$L$96)*E75/10000</f>
        <v>0</v>
      </c>
      <c r="F167" s="876">
        <f>('4.综合指标表'!$G$83+'4.综合指标表'!$G$96)*F10/10000+('4.综合指标表'!$H$83+'4.综合指标表'!$H$96)*F23/10000+('4.综合指标表'!$I$83+'4.综合指标表'!$I$96)*F36/10000+('4.综合指标表'!$J$83+'4.综合指标表'!$J$96)*F49/10000+('4.综合指标表'!$K$83+'4.综合指标表'!$K$96)*F62/10000+('4.综合指标表'!$L$83+'4.综合指标表'!$L$96)*F75/10000</f>
        <v>0</v>
      </c>
      <c r="G167" s="875">
        <f>('4.综合指标表'!$G$83+'4.综合指标表'!$G$96)*G10/10000+('4.综合指标表'!$H$83+'4.综合指标表'!$H$96)*G23/10000+('4.综合指标表'!$I$83+'4.综合指标表'!$I$96)*G36/10000+('4.综合指标表'!$J$83+'4.综合指标表'!$J$96)*G49/10000+('4.综合指标表'!$K$83+'4.综合指标表'!$K$96)*G62/10000+('4.综合指标表'!$L$83+'4.综合指标表'!$L$96)*G75/10000</f>
        <v>0</v>
      </c>
      <c r="H167" s="876">
        <f>('4.综合指标表'!$G$83+'4.综合指标表'!$G$96)*H10/10000+('4.综合指标表'!$H$83+'4.综合指标表'!$H$96)*H23/10000+('4.综合指标表'!$I$83+'4.综合指标表'!$I$96)*H36/10000+('4.综合指标表'!$J$83+'4.综合指标表'!$J$96)*H49/10000+('4.综合指标表'!$K$83+'4.综合指标表'!$K$96)*H62/10000+('4.综合指标表'!$L$83+'4.综合指标表'!$L$96)*H75/10000</f>
        <v>0</v>
      </c>
      <c r="I167" s="876">
        <f>('4.综合指标表'!$G$83+'4.综合指标表'!$G$96)*I10/10000+('4.综合指标表'!$H$83+'4.综合指标表'!$H$96)*I23/10000+('4.综合指标表'!$I$83+'4.综合指标表'!$I$96)*I36/10000+('4.综合指标表'!$J$83+'4.综合指标表'!$J$96)*I49/10000+('4.综合指标表'!$K$83+'4.综合指标表'!$K$96)*I62/10000+('4.综合指标表'!$L$83+'4.综合指标表'!$L$96)*I75/10000</f>
        <v>0</v>
      </c>
      <c r="J167" s="876">
        <f>('4.综合指标表'!$G$83+'4.综合指标表'!$G$96)*J10/10000+('4.综合指标表'!$H$83+'4.综合指标表'!$H$96)*J23/10000+('4.综合指标表'!$I$83+'4.综合指标表'!$I$96)*J36/10000+('4.综合指标表'!$J$83+'4.综合指标表'!$J$96)*J49/10000+('4.综合指标表'!$K$83+'4.综合指标表'!$K$96)*J62/10000+('4.综合指标表'!$L$83+'4.综合指标表'!$L$96)*J75/10000</f>
        <v>0</v>
      </c>
      <c r="K167" s="875">
        <f>('4.综合指标表'!$G$83+'4.综合指标表'!$G$96)*K10/10000+('4.综合指标表'!$H$83+'4.综合指标表'!$H$96)*K23/10000+('4.综合指标表'!$I$83+'4.综合指标表'!$I$96)*K36/10000+('4.综合指标表'!$J$83+'4.综合指标表'!$J$96)*K49/10000+('4.综合指标表'!$K$83+'4.综合指标表'!$K$96)*K62/10000+('4.综合指标表'!$L$83+'4.综合指标表'!$L$96)*K75/10000</f>
        <v>0</v>
      </c>
      <c r="L167" s="876">
        <f>('4.综合指标表'!$G$83+'4.综合指标表'!$G$96)*L10/10000+('4.综合指标表'!$H$83+'4.综合指标表'!$H$96)*L23/10000+('4.综合指标表'!$I$83+'4.综合指标表'!$I$96)*L36/10000+('4.综合指标表'!$J$83+'4.综合指标表'!$J$96)*L49/10000+('4.综合指标表'!$K$83+'4.综合指标表'!$K$96)*L62/10000+('4.综合指标表'!$L$83+'4.综合指标表'!$L$96)*L75/10000</f>
        <v>0</v>
      </c>
      <c r="M167" s="876">
        <f>('4.综合指标表'!$G$83+'4.综合指标表'!$G$96)*M10/10000+('4.综合指标表'!$H$83+'4.综合指标表'!$H$96)*M23/10000+('4.综合指标表'!$I$83+'4.综合指标表'!$I$96)*M36/10000+('4.综合指标表'!$J$83+'4.综合指标表'!$J$96)*M49/10000+('4.综合指标表'!$K$83+'4.综合指标表'!$K$96)*M62/10000+('4.综合指标表'!$L$83+'4.综合指标表'!$L$96)*M75/10000</f>
        <v>0</v>
      </c>
      <c r="N167" s="876">
        <f>('4.综合指标表'!$G$83+'4.综合指标表'!$G$96)*N10/10000+('4.综合指标表'!$H$83+'4.综合指标表'!$H$96)*N23/10000+('4.综合指标表'!$I$83+'4.综合指标表'!$I$96)*N36/10000+('4.综合指标表'!$J$83+'4.综合指标表'!$J$96)*N49/10000+('4.综合指标表'!$K$83+'4.综合指标表'!$K$96)*N62/10000+('4.综合指标表'!$L$83+'4.综合指标表'!$L$96)*N75/10000</f>
        <v>0</v>
      </c>
      <c r="O167" s="875">
        <f>('4.综合指标表'!$G$83+'4.综合指标表'!$G$96)*O10/10000+('4.综合指标表'!$H$83+'4.综合指标表'!$H$96)*O23/10000+('4.综合指标表'!$I$83+'4.综合指标表'!$I$96)*O36/10000+('4.综合指标表'!$J$83+'4.综合指标表'!$J$96)*O49/10000+('4.综合指标表'!$K$83+'4.综合指标表'!$K$96)*O62/10000+('4.综合指标表'!$L$83+'4.综合指标表'!$L$96)*O75/10000</f>
        <v>0</v>
      </c>
      <c r="P167" s="876">
        <f>('4.综合指标表'!$G$83+'4.综合指标表'!$G$96)*P10/10000+('4.综合指标表'!$H$83+'4.综合指标表'!$H$96)*P23/10000+('4.综合指标表'!$I$83+'4.综合指标表'!$I$96)*P36/10000+('4.综合指标表'!$J$83+'4.综合指标表'!$J$96)*P49/10000+('4.综合指标表'!$K$83+'4.综合指标表'!$K$96)*P62/10000+('4.综合指标表'!$L$83+'4.综合指标表'!$L$96)*P75/10000</f>
        <v>0</v>
      </c>
      <c r="Q167" s="876">
        <f>('4.综合指标表'!$G$83+'4.综合指标表'!$G$96)*Q10/10000+('4.综合指标表'!$H$83+'4.综合指标表'!$H$96)*Q23/10000+('4.综合指标表'!$I$83+'4.综合指标表'!$I$96)*Q36/10000+('4.综合指标表'!$J$83+'4.综合指标表'!$J$96)*Q49/10000+('4.综合指标表'!$K$83+'4.综合指标表'!$K$96)*Q62/10000+('4.综合指标表'!$L$83+'4.综合指标表'!$L$96)*Q75/10000</f>
        <v>0</v>
      </c>
      <c r="R167" s="876">
        <f>('4.综合指标表'!$G$83+'4.综合指标表'!$G$96)*R10/10000+('4.综合指标表'!$H$83+'4.综合指标表'!$H$96)*R23/10000+('4.综合指标表'!$I$83+'4.综合指标表'!$I$96)*R36/10000+('4.综合指标表'!$J$83+'4.综合指标表'!$J$96)*R49/10000+('4.综合指标表'!$K$83+'4.综合指标表'!$K$96)*R62/10000+('4.综合指标表'!$L$83+'4.综合指标表'!$L$96)*R75/10000</f>
        <v>0</v>
      </c>
      <c r="S167" s="875">
        <f>('4.综合指标表'!$G$83+'4.综合指标表'!$G$96)*S10/10000+('4.综合指标表'!$H$83+'4.综合指标表'!$H$96)*S23/10000+('4.综合指标表'!$I$83+'4.综合指标表'!$I$96)*S36/10000+('4.综合指标表'!$J$83+'4.综合指标表'!$J$96)*S49/10000+('4.综合指标表'!$K$83+'4.综合指标表'!$K$96)*S62/10000+('4.综合指标表'!$L$83+'4.综合指标表'!$L$96)*S75/10000</f>
        <v>0</v>
      </c>
      <c r="T167" s="876">
        <f>('4.综合指标表'!$G$83+'4.综合指标表'!$G$96)*T10/10000+('4.综合指标表'!$H$83+'4.综合指标表'!$H$96)*T23/10000+('4.综合指标表'!$I$83+'4.综合指标表'!$I$96)*T36/10000+('4.综合指标表'!$J$83+'4.综合指标表'!$J$96)*T49/10000+('4.综合指标表'!$K$83+'4.综合指标表'!$K$96)*T62/10000+('4.综合指标表'!$L$83+'4.综合指标表'!$L$96)*T75/10000</f>
        <v>0</v>
      </c>
      <c r="U167" s="876">
        <f>('4.综合指标表'!$G$83+'4.综合指标表'!$G$96)*U10/10000+('4.综合指标表'!$H$83+'4.综合指标表'!$H$96)*U23/10000+('4.综合指标表'!$I$83+'4.综合指标表'!$I$96)*U36/10000+('4.综合指标表'!$J$83+'4.综合指标表'!$J$96)*U49/10000+('4.综合指标表'!$K$83+'4.综合指标表'!$K$96)*U62/10000+('4.综合指标表'!$L$83+'4.综合指标表'!$L$96)*U75/10000</f>
        <v>0</v>
      </c>
      <c r="V167" s="876">
        <f>('4.综合指标表'!$G$83+'4.综合指标表'!$G$96)*V10/10000+('4.综合指标表'!$H$83+'4.综合指标表'!$H$96)*V23/10000+('4.综合指标表'!$I$83+'4.综合指标表'!$I$96)*V36/10000+('4.综合指标表'!$J$83+'4.综合指标表'!$J$96)*V49/10000+('4.综合指标表'!$K$83+'4.综合指标表'!$K$96)*V62/10000+('4.综合指标表'!$L$83+'4.综合指标表'!$L$96)*V75/10000</f>
        <v>0</v>
      </c>
      <c r="W167" s="875">
        <f>('4.综合指标表'!$G$83+'4.综合指标表'!$G$96)*W10/10000+('4.综合指标表'!$H$83+'4.综合指标表'!$H$96)*W23/10000+('4.综合指标表'!$I$83+'4.综合指标表'!$I$96)*W36/10000+('4.综合指标表'!$J$83+'4.综合指标表'!$J$96)*W49/10000+('4.综合指标表'!$K$83+'4.综合指标表'!$K$96)*W62/10000+('4.综合指标表'!$L$83+'4.综合指标表'!$L$96)*W75/10000</f>
        <v>0</v>
      </c>
      <c r="X167" s="876">
        <f>('4.综合指标表'!$G$83+'4.综合指标表'!$G$96)*X10/10000+('4.综合指标表'!$H$83+'4.综合指标表'!$H$96)*X23/10000+('4.综合指标表'!$I$83+'4.综合指标表'!$I$96)*X36/10000+('4.综合指标表'!$J$83+'4.综合指标表'!$J$96)*X49/10000+('4.综合指标表'!$K$83+'4.综合指标表'!$K$96)*X62/10000+('4.综合指标表'!$L$83+'4.综合指标表'!$L$96)*X75/10000</f>
        <v>0</v>
      </c>
      <c r="Y167" s="876">
        <f>('4.综合指标表'!$G$83+'4.综合指标表'!$G$96)*Y10/10000+('4.综合指标表'!$H$83+'4.综合指标表'!$H$96)*Y23/10000+('4.综合指标表'!$I$83+'4.综合指标表'!$I$96)*Y36/10000+('4.综合指标表'!$J$83+'4.综合指标表'!$J$96)*Y49/10000+('4.综合指标表'!$K$83+'4.综合指标表'!$K$96)*Y62/10000+('4.综合指标表'!$L$83+'4.综合指标表'!$L$96)*Y75/10000</f>
        <v>0</v>
      </c>
      <c r="Z167" s="876">
        <f>('4.综合指标表'!$G$83+'4.综合指标表'!$G$96)*Z10/10000+('4.综合指标表'!$H$83+'4.综合指标表'!$H$96)*Z23/10000+('4.综合指标表'!$I$83+'4.综合指标表'!$I$96)*Z36/10000+('4.综合指标表'!$J$83+'4.综合指标表'!$J$96)*Z49/10000+('4.综合指标表'!$K$83+'4.综合指标表'!$K$96)*Z62/10000+('4.综合指标表'!$L$83+'4.综合指标表'!$L$96)*Z75/10000</f>
        <v>0</v>
      </c>
      <c r="AA167" s="875">
        <f>('4.综合指标表'!$G$83+'4.综合指标表'!$G$96)*AA10/10000+('4.综合指标表'!$H$83+'4.综合指标表'!$H$96)*AA23/10000+('4.综合指标表'!$I$83+'4.综合指标表'!$I$96)*AA36/10000+('4.综合指标表'!$J$83+'4.综合指标表'!$J$96)*AA49/10000+('4.综合指标表'!$K$83+'4.综合指标表'!$K$96)*AA62/10000+('4.综合指标表'!$L$83+'4.综合指标表'!$L$96)*AA75/10000</f>
        <v>0</v>
      </c>
      <c r="AB167" s="876">
        <f>('4.综合指标表'!$G$83+'4.综合指标表'!$G$96)*AB10/10000+('4.综合指标表'!$H$83+'4.综合指标表'!$H$96)*AB23/10000+('4.综合指标表'!$I$83+'4.综合指标表'!$I$96)*AB36/10000+('4.综合指标表'!$J$83+'4.综合指标表'!$J$96)*AB49/10000+('4.综合指标表'!$K$83+'4.综合指标表'!$K$96)*AB62/10000+('4.综合指标表'!$L$83+'4.综合指标表'!$L$96)*AB75/10000</f>
        <v>0</v>
      </c>
      <c r="AC167" s="876">
        <f>('4.综合指标表'!$G$83+'4.综合指标表'!$G$96)*AC10/10000+('4.综合指标表'!$H$83+'4.综合指标表'!$H$96)*AC23/10000+('4.综合指标表'!$I$83+'4.综合指标表'!$I$96)*AC36/10000+('4.综合指标表'!$J$83+'4.综合指标表'!$J$96)*AC49/10000+('4.综合指标表'!$K$83+'4.综合指标表'!$K$96)*AC62/10000+('4.综合指标表'!$L$83+'4.综合指标表'!$L$96)*AC75/10000</f>
        <v>0</v>
      </c>
      <c r="AD167" s="876">
        <f>('4.综合指标表'!$G$83+'4.综合指标表'!$G$96)*AD10/10000+('4.综合指标表'!$H$83+'4.综合指标表'!$H$96)*AD23/10000+('4.综合指标表'!$I$83+'4.综合指标表'!$I$96)*AD36/10000+('4.综合指标表'!$J$83+'4.综合指标表'!$J$96)*AD49/10000+('4.综合指标表'!$K$83+'4.综合指标表'!$K$96)*AD62/10000+('4.综合指标表'!$L$83+'4.综合指标表'!$L$96)*AD75/10000</f>
        <v>0</v>
      </c>
      <c r="AE167" s="875">
        <f>('4.综合指标表'!$G$83+'4.综合指标表'!$G$96)*AE10/10000+('4.综合指标表'!$H$83+'4.综合指标表'!$H$96)*AE23/10000+('4.综合指标表'!$I$83+'4.综合指标表'!$I$96)*AE36/10000+('4.综合指标表'!$J$83+'4.综合指标表'!$J$96)*AE49/10000+('4.综合指标表'!$K$83+'4.综合指标表'!$K$96)*AE62/10000+('4.综合指标表'!$L$83+'4.综合指标表'!$L$96)*AE75/10000</f>
        <v>0</v>
      </c>
      <c r="AF167" s="876">
        <f>('4.综合指标表'!$G$83+'4.综合指标表'!$G$96)*AF10/10000+('4.综合指标表'!$H$83+'4.综合指标表'!$H$96)*AF23/10000+('4.综合指标表'!$I$83+'4.综合指标表'!$I$96)*AF36/10000+('4.综合指标表'!$J$83+'4.综合指标表'!$J$96)*AF49/10000+('4.综合指标表'!$K$83+'4.综合指标表'!$K$96)*AF62/10000+('4.综合指标表'!$L$83+'4.综合指标表'!$L$96)*AF75/10000</f>
        <v>0</v>
      </c>
      <c r="AG167" s="876">
        <f>('4.综合指标表'!$G$83+'4.综合指标表'!$G$96)*AG10/10000+('4.综合指标表'!$H$83+'4.综合指标表'!$H$96)*AG23/10000+('4.综合指标表'!$I$83+'4.综合指标表'!$I$96)*AG36/10000+('4.综合指标表'!$J$83+'4.综合指标表'!$J$96)*AG49/10000+('4.综合指标表'!$K$83+'4.综合指标表'!$K$96)*AG62/10000+('4.综合指标表'!$L$83+'4.综合指标表'!$L$96)*AG75/10000</f>
        <v>0</v>
      </c>
      <c r="AH167" s="876">
        <f>('4.综合指标表'!$G$83+'4.综合指标表'!$G$96)*AH10/10000+('4.综合指标表'!$H$83+'4.综合指标表'!$H$96)*AH23/10000+('4.综合指标表'!$I$83+'4.综合指标表'!$I$96)*AH36/10000+('4.综合指标表'!$J$83+'4.综合指标表'!$J$96)*AH49/10000+('4.综合指标表'!$K$83+'4.综合指标表'!$K$96)*AH62/10000+('4.综合指标表'!$L$83+'4.综合指标表'!$L$96)*AH75/10000</f>
        <v>0</v>
      </c>
      <c r="AI167" s="875">
        <f>('4.综合指标表'!$G$83+'4.综合指标表'!$G$96)*AI10/10000+('4.综合指标表'!$H$83+'4.综合指标表'!$H$96)*AI23/10000+('4.综合指标表'!$I$83+'4.综合指标表'!$I$96)*AI36/10000+('4.综合指标表'!$J$83+'4.综合指标表'!$J$96)*AI49/10000+('4.综合指标表'!$K$83+'4.综合指标表'!$K$96)*AI62/10000+('4.综合指标表'!$L$83+'4.综合指标表'!$L$96)*AI75/10000</f>
        <v>0</v>
      </c>
      <c r="AJ167" s="876">
        <f>('4.综合指标表'!$G$83+'4.综合指标表'!$G$96)*AJ10/10000+('4.综合指标表'!$H$83+'4.综合指标表'!$H$96)*AJ23/10000+('4.综合指标表'!$I$83+'4.综合指标表'!$I$96)*AJ36/10000+('4.综合指标表'!$J$83+'4.综合指标表'!$J$96)*AJ49/10000+('4.综合指标表'!$K$83+'4.综合指标表'!$K$96)*AJ62/10000+('4.综合指标表'!$L$83+'4.综合指标表'!$L$96)*AJ75/10000</f>
        <v>0</v>
      </c>
      <c r="AK167" s="876">
        <f>('4.综合指标表'!$G$83+'4.综合指标表'!$G$96)*AK10/10000+('4.综合指标表'!$H$83+'4.综合指标表'!$H$96)*AK23/10000+('4.综合指标表'!$I$83+'4.综合指标表'!$I$96)*AK36/10000+('4.综合指标表'!$J$83+'4.综合指标表'!$J$96)*AK49/10000+('4.综合指标表'!$K$83+'4.综合指标表'!$K$96)*AK62/10000+('4.综合指标表'!$L$83+'4.综合指标表'!$L$96)*AK75/10000</f>
        <v>0</v>
      </c>
      <c r="AL167" s="876">
        <f>('4.综合指标表'!$G$83+'4.综合指标表'!$G$96)*AL10/10000+('4.综合指标表'!$H$83+'4.综合指标表'!$H$96)*AL23/10000+('4.综合指标表'!$I$83+'4.综合指标表'!$I$96)*AL36/10000+('4.综合指标表'!$J$83+'4.综合指标表'!$J$96)*AL49/10000+('4.综合指标表'!$K$83+'4.综合指标表'!$K$96)*AL62/10000+('4.综合指标表'!$L$83+'4.综合指标表'!$L$96)*AL75/10000</f>
        <v>0</v>
      </c>
      <c r="AM167" s="875">
        <f>('4.综合指标表'!$G$83+'4.综合指标表'!$G$96)*AM10/10000+('4.综合指标表'!$H$83+'4.综合指标表'!$H$96)*AM23/10000+('4.综合指标表'!$I$83+'4.综合指标表'!$I$96)*AM36/10000+('4.综合指标表'!$J$83+'4.综合指标表'!$J$96)*AM49/10000+('4.综合指标表'!$K$83+'4.综合指标表'!$K$96)*AM62/10000+('4.综合指标表'!$L$83+'4.综合指标表'!$L$96)*AM75/10000</f>
        <v>0</v>
      </c>
      <c r="AN167" s="876">
        <f>('4.综合指标表'!$G$83+'4.综合指标表'!$G$96)*AN10/10000+('4.综合指标表'!$H$83+'4.综合指标表'!$H$96)*AN23/10000+('4.综合指标表'!$I$83+'4.综合指标表'!$I$96)*AN36/10000+('4.综合指标表'!$J$83+'4.综合指标表'!$J$96)*AN49/10000+('4.综合指标表'!$K$83+'4.综合指标表'!$K$96)*AN62/10000+('4.综合指标表'!$L$83+'4.综合指标表'!$L$96)*AN75/10000</f>
        <v>0</v>
      </c>
      <c r="AO167" s="876">
        <f>('4.综合指标表'!$G$83+'4.综合指标表'!$G$96)*AO10/10000+('4.综合指标表'!$H$83+'4.综合指标表'!$H$96)*AO23/10000+('4.综合指标表'!$I$83+'4.综合指标表'!$I$96)*AO36/10000+('4.综合指标表'!$J$83+'4.综合指标表'!$J$96)*AO49/10000+('4.综合指标表'!$K$83+'4.综合指标表'!$K$96)*AO62/10000+('4.综合指标表'!$L$83+'4.综合指标表'!$L$96)*AO75/10000</f>
        <v>0</v>
      </c>
      <c r="AP167" s="876">
        <f>('4.综合指标表'!$G$83+'4.综合指标表'!$G$96)*AP10/10000+('4.综合指标表'!$H$83+'4.综合指标表'!$H$96)*AP23/10000+('4.综合指标表'!$I$83+'4.综合指标表'!$I$96)*AP36/10000+('4.综合指标表'!$J$83+'4.综合指标表'!$J$96)*AP49/10000+('4.综合指标表'!$K$83+'4.综合指标表'!$K$96)*AP62/10000+('4.综合指标表'!$L$83+'4.综合指标表'!$L$96)*AP75/10000</f>
        <v>0</v>
      </c>
      <c r="AQ167" s="875">
        <f>('4.综合指标表'!$G$83+'4.综合指标表'!$G$96)*AQ10/10000+('4.综合指标表'!$H$83+'4.综合指标表'!$H$96)*AQ23/10000+('4.综合指标表'!$I$83+'4.综合指标表'!$I$96)*AQ36/10000+('4.综合指标表'!$J$83+'4.综合指标表'!$J$96)*AQ49/10000+('4.综合指标表'!$K$83+'4.综合指标表'!$K$96)*AQ62/10000+('4.综合指标表'!$L$83+'4.综合指标表'!$L$96)*AQ75/10000</f>
        <v>0</v>
      </c>
      <c r="AR167" s="876">
        <f>('4.综合指标表'!$G$83+'4.综合指标表'!$G$96)*AR10/10000+('4.综合指标表'!$H$83+'4.综合指标表'!$H$96)*AR23/10000+('4.综合指标表'!$I$83+'4.综合指标表'!$I$96)*AR36/10000+('4.综合指标表'!$J$83+'4.综合指标表'!$J$96)*AR49/10000+('4.综合指标表'!$K$83+'4.综合指标表'!$K$96)*AR62/10000+('4.综合指标表'!$L$83+'4.综合指标表'!$L$96)*AR75/10000</f>
        <v>0</v>
      </c>
      <c r="AS167" s="876">
        <f>('4.综合指标表'!$G$83+'4.综合指标表'!$G$96)*AS10/10000+('4.综合指标表'!$H$83+'4.综合指标表'!$H$96)*AS23/10000+('4.综合指标表'!$I$83+'4.综合指标表'!$I$96)*AS36/10000+('4.综合指标表'!$J$83+'4.综合指标表'!$J$96)*AS49/10000+('4.综合指标表'!$K$83+'4.综合指标表'!$K$96)*AS62/10000+('4.综合指标表'!$L$83+'4.综合指标表'!$L$96)*AS75/10000</f>
        <v>0</v>
      </c>
      <c r="AT167" s="876">
        <f>('4.综合指标表'!$G$83+'4.综合指标表'!$G$96)*AT10/10000+('4.综合指标表'!$H$83+'4.综合指标表'!$H$96)*AT23/10000+('4.综合指标表'!$I$83+'4.综合指标表'!$I$96)*AT36/10000+('4.综合指标表'!$J$83+'4.综合指标表'!$J$96)*AT49/10000+('4.综合指标表'!$K$83+'4.综合指标表'!$K$96)*AT62/10000+('4.综合指标表'!$L$83+'4.综合指标表'!$L$96)*AT75/10000</f>
        <v>0</v>
      </c>
    </row>
    <row r="168" spans="1:46" s="247" customFormat="1" ht="18" customHeight="1" outlineLevel="1">
      <c r="A168" s="874">
        <f>'8.项目规划指标表'!B8</f>
        <v>0</v>
      </c>
      <c r="B168" s="870">
        <f t="shared" si="20"/>
        <v>0</v>
      </c>
      <c r="C168" s="875">
        <f>('4.综合指标表'!$G$84+'4.综合指标表'!$G$97)*C11/10000+('4.综合指标表'!$H$84+'4.综合指标表'!$H$97)*C24/10000+('4.综合指标表'!$I$84+'4.综合指标表'!$I$97)*C37/10000+('4.综合指标表'!$J$84+'4.综合指标表'!$J$97)*C50/10000+('4.综合指标表'!$K$84+'4.综合指标表'!$K$97)*C63/10000+('4.综合指标表'!$L$84+'4.综合指标表'!$L$97)*C76/10000</f>
        <v>0</v>
      </c>
      <c r="D168" s="876">
        <f>('4.综合指标表'!$G$84+'4.综合指标表'!$G$97)*D11/10000+('4.综合指标表'!$H$84+'4.综合指标表'!$H$97)*D24/10000+('4.综合指标表'!$I$84+'4.综合指标表'!$I$97)*D37/10000+('4.综合指标表'!$J$84+'4.综合指标表'!$J$97)*D50/10000+('4.综合指标表'!$K$84+'4.综合指标表'!$K$97)*D63/10000+('4.综合指标表'!$L$84+'4.综合指标表'!$L$97)*D76/10000</f>
        <v>0</v>
      </c>
      <c r="E168" s="876">
        <f>('4.综合指标表'!$G$84+'4.综合指标表'!$G$97)*E11/10000+('4.综合指标表'!$H$84+'4.综合指标表'!$H$97)*E24/10000+('4.综合指标表'!$I$84+'4.综合指标表'!$I$97)*E37/10000+('4.综合指标表'!$J$84+'4.综合指标表'!$J$97)*E50/10000+('4.综合指标表'!$K$84+'4.综合指标表'!$K$97)*E63/10000+('4.综合指标表'!$L$84+'4.综合指标表'!$L$97)*E76/10000</f>
        <v>0</v>
      </c>
      <c r="F168" s="876">
        <f>('4.综合指标表'!$G$84+'4.综合指标表'!$G$97)*F11/10000+('4.综合指标表'!$H$84+'4.综合指标表'!$H$97)*F24/10000+('4.综合指标表'!$I$84+'4.综合指标表'!$I$97)*F37/10000+('4.综合指标表'!$J$84+'4.综合指标表'!$J$97)*F50/10000+('4.综合指标表'!$K$84+'4.综合指标表'!$K$97)*F63/10000+('4.综合指标表'!$L$84+'4.综合指标表'!$L$97)*F76/10000</f>
        <v>0</v>
      </c>
      <c r="G168" s="875">
        <f>('4.综合指标表'!$G$84+'4.综合指标表'!$G$97)*G11/10000+('4.综合指标表'!$H$84+'4.综合指标表'!$H$97)*G24/10000+('4.综合指标表'!$I$84+'4.综合指标表'!$I$97)*G37/10000+('4.综合指标表'!$J$84+'4.综合指标表'!$J$97)*G50/10000+('4.综合指标表'!$K$84+'4.综合指标表'!$K$97)*G63/10000+('4.综合指标表'!$L$84+'4.综合指标表'!$L$97)*G76/10000</f>
        <v>0</v>
      </c>
      <c r="H168" s="876">
        <f>('4.综合指标表'!$G$84+'4.综合指标表'!$G$97)*H11/10000+('4.综合指标表'!$H$84+'4.综合指标表'!$H$97)*H24/10000+('4.综合指标表'!$I$84+'4.综合指标表'!$I$97)*H37/10000+('4.综合指标表'!$J$84+'4.综合指标表'!$J$97)*H50/10000+('4.综合指标表'!$K$84+'4.综合指标表'!$K$97)*H63/10000+('4.综合指标表'!$L$84+'4.综合指标表'!$L$97)*H76/10000</f>
        <v>0</v>
      </c>
      <c r="I168" s="876">
        <f>('4.综合指标表'!$G$84+'4.综合指标表'!$G$97)*I11/10000+('4.综合指标表'!$H$84+'4.综合指标表'!$H$97)*I24/10000+('4.综合指标表'!$I$84+'4.综合指标表'!$I$97)*I37/10000+('4.综合指标表'!$J$84+'4.综合指标表'!$J$97)*I50/10000+('4.综合指标表'!$K$84+'4.综合指标表'!$K$97)*I63/10000+('4.综合指标表'!$L$84+'4.综合指标表'!$L$97)*I76/10000</f>
        <v>0</v>
      </c>
      <c r="J168" s="876">
        <f>('4.综合指标表'!$G$84+'4.综合指标表'!$G$97)*J11/10000+('4.综合指标表'!$H$84+'4.综合指标表'!$H$97)*J24/10000+('4.综合指标表'!$I$84+'4.综合指标表'!$I$97)*J37/10000+('4.综合指标表'!$J$84+'4.综合指标表'!$J$97)*J50/10000+('4.综合指标表'!$K$84+'4.综合指标表'!$K$97)*J63/10000+('4.综合指标表'!$L$84+'4.综合指标表'!$L$97)*J76/10000</f>
        <v>0</v>
      </c>
      <c r="K168" s="875">
        <f>('4.综合指标表'!$G$84+'4.综合指标表'!$G$97)*K11/10000+('4.综合指标表'!$H$84+'4.综合指标表'!$H$97)*K24/10000+('4.综合指标表'!$I$84+'4.综合指标表'!$I$97)*K37/10000+('4.综合指标表'!$J$84+'4.综合指标表'!$J$97)*K50/10000+('4.综合指标表'!$K$84+'4.综合指标表'!$K$97)*K63/10000+('4.综合指标表'!$L$84+'4.综合指标表'!$L$97)*K76/10000</f>
        <v>0</v>
      </c>
      <c r="L168" s="876">
        <f>('4.综合指标表'!$G$84+'4.综合指标表'!$G$97)*L11/10000+('4.综合指标表'!$H$84+'4.综合指标表'!$H$97)*L24/10000+('4.综合指标表'!$I$84+'4.综合指标表'!$I$97)*L37/10000+('4.综合指标表'!$J$84+'4.综合指标表'!$J$97)*L50/10000+('4.综合指标表'!$K$84+'4.综合指标表'!$K$97)*L63/10000+('4.综合指标表'!$L$84+'4.综合指标表'!$L$97)*L76/10000</f>
        <v>0</v>
      </c>
      <c r="M168" s="876">
        <f>('4.综合指标表'!$G$84+'4.综合指标表'!$G$97)*M11/10000+('4.综合指标表'!$H$84+'4.综合指标表'!$H$97)*M24/10000+('4.综合指标表'!$I$84+'4.综合指标表'!$I$97)*M37/10000+('4.综合指标表'!$J$84+'4.综合指标表'!$J$97)*M50/10000+('4.综合指标表'!$K$84+'4.综合指标表'!$K$97)*M63/10000+('4.综合指标表'!$L$84+'4.综合指标表'!$L$97)*M76/10000</f>
        <v>0</v>
      </c>
      <c r="N168" s="876">
        <f>('4.综合指标表'!$G$84+'4.综合指标表'!$G$97)*N11/10000+('4.综合指标表'!$H$84+'4.综合指标表'!$H$97)*N24/10000+('4.综合指标表'!$I$84+'4.综合指标表'!$I$97)*N37/10000+('4.综合指标表'!$J$84+'4.综合指标表'!$J$97)*N50/10000+('4.综合指标表'!$K$84+'4.综合指标表'!$K$97)*N63/10000+('4.综合指标表'!$L$84+'4.综合指标表'!$L$97)*N76/10000</f>
        <v>0</v>
      </c>
      <c r="O168" s="875">
        <f>('4.综合指标表'!$G$84+'4.综合指标表'!$G$97)*O11/10000+('4.综合指标表'!$H$84+'4.综合指标表'!$H$97)*O24/10000+('4.综合指标表'!$I$84+'4.综合指标表'!$I$97)*O37/10000+('4.综合指标表'!$J$84+'4.综合指标表'!$J$97)*O50/10000+('4.综合指标表'!$K$84+'4.综合指标表'!$K$97)*O63/10000+('4.综合指标表'!$L$84+'4.综合指标表'!$L$97)*O76/10000</f>
        <v>0</v>
      </c>
      <c r="P168" s="876">
        <f>('4.综合指标表'!$G$84+'4.综合指标表'!$G$97)*P11/10000+('4.综合指标表'!$H$84+'4.综合指标表'!$H$97)*P24/10000+('4.综合指标表'!$I$84+'4.综合指标表'!$I$97)*P37/10000+('4.综合指标表'!$J$84+'4.综合指标表'!$J$97)*P50/10000+('4.综合指标表'!$K$84+'4.综合指标表'!$K$97)*P63/10000+('4.综合指标表'!$L$84+'4.综合指标表'!$L$97)*P76/10000</f>
        <v>0</v>
      </c>
      <c r="Q168" s="876">
        <f>('4.综合指标表'!$G$84+'4.综合指标表'!$G$97)*Q11/10000+('4.综合指标表'!$H$84+'4.综合指标表'!$H$97)*Q24/10000+('4.综合指标表'!$I$84+'4.综合指标表'!$I$97)*Q37/10000+('4.综合指标表'!$J$84+'4.综合指标表'!$J$97)*Q50/10000+('4.综合指标表'!$K$84+'4.综合指标表'!$K$97)*Q63/10000+('4.综合指标表'!$L$84+'4.综合指标表'!$L$97)*Q76/10000</f>
        <v>0</v>
      </c>
      <c r="R168" s="876">
        <f>('4.综合指标表'!$G$84+'4.综合指标表'!$G$97)*R11/10000+('4.综合指标表'!$H$84+'4.综合指标表'!$H$97)*R24/10000+('4.综合指标表'!$I$84+'4.综合指标表'!$I$97)*R37/10000+('4.综合指标表'!$J$84+'4.综合指标表'!$J$97)*R50/10000+('4.综合指标表'!$K$84+'4.综合指标表'!$K$97)*R63/10000+('4.综合指标表'!$L$84+'4.综合指标表'!$L$97)*R76/10000</f>
        <v>0</v>
      </c>
      <c r="S168" s="875">
        <f>('4.综合指标表'!$G$84+'4.综合指标表'!$G$97)*S11/10000+('4.综合指标表'!$H$84+'4.综合指标表'!$H$97)*S24/10000+('4.综合指标表'!$I$84+'4.综合指标表'!$I$97)*S37/10000+('4.综合指标表'!$J$84+'4.综合指标表'!$J$97)*S50/10000+('4.综合指标表'!$K$84+'4.综合指标表'!$K$97)*S63/10000+('4.综合指标表'!$L$84+'4.综合指标表'!$L$97)*S76/10000</f>
        <v>0</v>
      </c>
      <c r="T168" s="876">
        <f>('4.综合指标表'!$G$84+'4.综合指标表'!$G$97)*T11/10000+('4.综合指标表'!$H$84+'4.综合指标表'!$H$97)*T24/10000+('4.综合指标表'!$I$84+'4.综合指标表'!$I$97)*T37/10000+('4.综合指标表'!$J$84+'4.综合指标表'!$J$97)*T50/10000+('4.综合指标表'!$K$84+'4.综合指标表'!$K$97)*T63/10000+('4.综合指标表'!$L$84+'4.综合指标表'!$L$97)*T76/10000</f>
        <v>0</v>
      </c>
      <c r="U168" s="876">
        <f>('4.综合指标表'!$G$84+'4.综合指标表'!$G$97)*U11/10000+('4.综合指标表'!$H$84+'4.综合指标表'!$H$97)*U24/10000+('4.综合指标表'!$I$84+'4.综合指标表'!$I$97)*U37/10000+('4.综合指标表'!$J$84+'4.综合指标表'!$J$97)*U50/10000+('4.综合指标表'!$K$84+'4.综合指标表'!$K$97)*U63/10000+('4.综合指标表'!$L$84+'4.综合指标表'!$L$97)*U76/10000</f>
        <v>0</v>
      </c>
      <c r="V168" s="876">
        <f>('4.综合指标表'!$G$84+'4.综合指标表'!$G$97)*V11/10000+('4.综合指标表'!$H$84+'4.综合指标表'!$H$97)*V24/10000+('4.综合指标表'!$I$84+'4.综合指标表'!$I$97)*V37/10000+('4.综合指标表'!$J$84+'4.综合指标表'!$J$97)*V50/10000+('4.综合指标表'!$K$84+'4.综合指标表'!$K$97)*V63/10000+('4.综合指标表'!$L$84+'4.综合指标表'!$L$97)*V76/10000</f>
        <v>0</v>
      </c>
      <c r="W168" s="875">
        <f>('4.综合指标表'!$G$84+'4.综合指标表'!$G$97)*W11/10000+('4.综合指标表'!$H$84+'4.综合指标表'!$H$97)*W24/10000+('4.综合指标表'!$I$84+'4.综合指标表'!$I$97)*W37/10000+('4.综合指标表'!$J$84+'4.综合指标表'!$J$97)*W50/10000+('4.综合指标表'!$K$84+'4.综合指标表'!$K$97)*W63/10000+('4.综合指标表'!$L$84+'4.综合指标表'!$L$97)*W76/10000</f>
        <v>0</v>
      </c>
      <c r="X168" s="876">
        <f>('4.综合指标表'!$G$84+'4.综合指标表'!$G$97)*X11/10000+('4.综合指标表'!$H$84+'4.综合指标表'!$H$97)*X24/10000+('4.综合指标表'!$I$84+'4.综合指标表'!$I$97)*X37/10000+('4.综合指标表'!$J$84+'4.综合指标表'!$J$97)*X50/10000+('4.综合指标表'!$K$84+'4.综合指标表'!$K$97)*X63/10000+('4.综合指标表'!$L$84+'4.综合指标表'!$L$97)*X76/10000</f>
        <v>0</v>
      </c>
      <c r="Y168" s="876">
        <f>('4.综合指标表'!$G$84+'4.综合指标表'!$G$97)*Y11/10000+('4.综合指标表'!$H$84+'4.综合指标表'!$H$97)*Y24/10000+('4.综合指标表'!$I$84+'4.综合指标表'!$I$97)*Y37/10000+('4.综合指标表'!$J$84+'4.综合指标表'!$J$97)*Y50/10000+('4.综合指标表'!$K$84+'4.综合指标表'!$K$97)*Y63/10000+('4.综合指标表'!$L$84+'4.综合指标表'!$L$97)*Y76/10000</f>
        <v>0</v>
      </c>
      <c r="Z168" s="876">
        <f>('4.综合指标表'!$G$84+'4.综合指标表'!$G$97)*Z11/10000+('4.综合指标表'!$H$84+'4.综合指标表'!$H$97)*Z24/10000+('4.综合指标表'!$I$84+'4.综合指标表'!$I$97)*Z37/10000+('4.综合指标表'!$J$84+'4.综合指标表'!$J$97)*Z50/10000+('4.综合指标表'!$K$84+'4.综合指标表'!$K$97)*Z63/10000+('4.综合指标表'!$L$84+'4.综合指标表'!$L$97)*Z76/10000</f>
        <v>0</v>
      </c>
      <c r="AA168" s="875">
        <f>('4.综合指标表'!$G$84+'4.综合指标表'!$G$97)*AA11/10000+('4.综合指标表'!$H$84+'4.综合指标表'!$H$97)*AA24/10000+('4.综合指标表'!$I$84+'4.综合指标表'!$I$97)*AA37/10000+('4.综合指标表'!$J$84+'4.综合指标表'!$J$97)*AA50/10000+('4.综合指标表'!$K$84+'4.综合指标表'!$K$97)*AA63/10000+('4.综合指标表'!$L$84+'4.综合指标表'!$L$97)*AA76/10000</f>
        <v>0</v>
      </c>
      <c r="AB168" s="876">
        <f>('4.综合指标表'!$G$84+'4.综合指标表'!$G$97)*AB11/10000+('4.综合指标表'!$H$84+'4.综合指标表'!$H$97)*AB24/10000+('4.综合指标表'!$I$84+'4.综合指标表'!$I$97)*AB37/10000+('4.综合指标表'!$J$84+'4.综合指标表'!$J$97)*AB50/10000+('4.综合指标表'!$K$84+'4.综合指标表'!$K$97)*AB63/10000+('4.综合指标表'!$L$84+'4.综合指标表'!$L$97)*AB76/10000</f>
        <v>0</v>
      </c>
      <c r="AC168" s="876">
        <f>('4.综合指标表'!$G$84+'4.综合指标表'!$G$97)*AC11/10000+('4.综合指标表'!$H$84+'4.综合指标表'!$H$97)*AC24/10000+('4.综合指标表'!$I$84+'4.综合指标表'!$I$97)*AC37/10000+('4.综合指标表'!$J$84+'4.综合指标表'!$J$97)*AC50/10000+('4.综合指标表'!$K$84+'4.综合指标表'!$K$97)*AC63/10000+('4.综合指标表'!$L$84+'4.综合指标表'!$L$97)*AC76/10000</f>
        <v>0</v>
      </c>
      <c r="AD168" s="876">
        <f>('4.综合指标表'!$G$84+'4.综合指标表'!$G$97)*AD11/10000+('4.综合指标表'!$H$84+'4.综合指标表'!$H$97)*AD24/10000+('4.综合指标表'!$I$84+'4.综合指标表'!$I$97)*AD37/10000+('4.综合指标表'!$J$84+'4.综合指标表'!$J$97)*AD50/10000+('4.综合指标表'!$K$84+'4.综合指标表'!$K$97)*AD63/10000+('4.综合指标表'!$L$84+'4.综合指标表'!$L$97)*AD76/10000</f>
        <v>0</v>
      </c>
      <c r="AE168" s="875">
        <f>('4.综合指标表'!$G$84+'4.综合指标表'!$G$97)*AE11/10000+('4.综合指标表'!$H$84+'4.综合指标表'!$H$97)*AE24/10000+('4.综合指标表'!$I$84+'4.综合指标表'!$I$97)*AE37/10000+('4.综合指标表'!$J$84+'4.综合指标表'!$J$97)*AE50/10000+('4.综合指标表'!$K$84+'4.综合指标表'!$K$97)*AE63/10000+('4.综合指标表'!$L$84+'4.综合指标表'!$L$97)*AE76/10000</f>
        <v>0</v>
      </c>
      <c r="AF168" s="876">
        <f>('4.综合指标表'!$G$84+'4.综合指标表'!$G$97)*AF11/10000+('4.综合指标表'!$H$84+'4.综合指标表'!$H$97)*AF24/10000+('4.综合指标表'!$I$84+'4.综合指标表'!$I$97)*AF37/10000+('4.综合指标表'!$J$84+'4.综合指标表'!$J$97)*AF50/10000+('4.综合指标表'!$K$84+'4.综合指标表'!$K$97)*AF63/10000+('4.综合指标表'!$L$84+'4.综合指标表'!$L$97)*AF76/10000</f>
        <v>0</v>
      </c>
      <c r="AG168" s="876">
        <f>('4.综合指标表'!$G$84+'4.综合指标表'!$G$97)*AG11/10000+('4.综合指标表'!$H$84+'4.综合指标表'!$H$97)*AG24/10000+('4.综合指标表'!$I$84+'4.综合指标表'!$I$97)*AG37/10000+('4.综合指标表'!$J$84+'4.综合指标表'!$J$97)*AG50/10000+('4.综合指标表'!$K$84+'4.综合指标表'!$K$97)*AG63/10000+('4.综合指标表'!$L$84+'4.综合指标表'!$L$97)*AG76/10000</f>
        <v>0</v>
      </c>
      <c r="AH168" s="876">
        <f>('4.综合指标表'!$G$84+'4.综合指标表'!$G$97)*AH11/10000+('4.综合指标表'!$H$84+'4.综合指标表'!$H$97)*AH24/10000+('4.综合指标表'!$I$84+'4.综合指标表'!$I$97)*AH37/10000+('4.综合指标表'!$J$84+'4.综合指标表'!$J$97)*AH50/10000+('4.综合指标表'!$K$84+'4.综合指标表'!$K$97)*AH63/10000+('4.综合指标表'!$L$84+'4.综合指标表'!$L$97)*AH76/10000</f>
        <v>0</v>
      </c>
      <c r="AI168" s="875">
        <f>('4.综合指标表'!$G$84+'4.综合指标表'!$G$97)*AI11/10000+('4.综合指标表'!$H$84+'4.综合指标表'!$H$97)*AI24/10000+('4.综合指标表'!$I$84+'4.综合指标表'!$I$97)*AI37/10000+('4.综合指标表'!$J$84+'4.综合指标表'!$J$97)*AI50/10000+('4.综合指标表'!$K$84+'4.综合指标表'!$K$97)*AI63/10000+('4.综合指标表'!$L$84+'4.综合指标表'!$L$97)*AI76/10000</f>
        <v>0</v>
      </c>
      <c r="AJ168" s="876">
        <f>('4.综合指标表'!$G$84+'4.综合指标表'!$G$97)*AJ11/10000+('4.综合指标表'!$H$84+'4.综合指标表'!$H$97)*AJ24/10000+('4.综合指标表'!$I$84+'4.综合指标表'!$I$97)*AJ37/10000+('4.综合指标表'!$J$84+'4.综合指标表'!$J$97)*AJ50/10000+('4.综合指标表'!$K$84+'4.综合指标表'!$K$97)*AJ63/10000+('4.综合指标表'!$L$84+'4.综合指标表'!$L$97)*AJ76/10000</f>
        <v>0</v>
      </c>
      <c r="AK168" s="876">
        <f>('4.综合指标表'!$G$84+'4.综合指标表'!$G$97)*AK11/10000+('4.综合指标表'!$H$84+'4.综合指标表'!$H$97)*AK24/10000+('4.综合指标表'!$I$84+'4.综合指标表'!$I$97)*AK37/10000+('4.综合指标表'!$J$84+'4.综合指标表'!$J$97)*AK50/10000+('4.综合指标表'!$K$84+'4.综合指标表'!$K$97)*AK63/10000+('4.综合指标表'!$L$84+'4.综合指标表'!$L$97)*AK76/10000</f>
        <v>0</v>
      </c>
      <c r="AL168" s="876">
        <f>('4.综合指标表'!$G$84+'4.综合指标表'!$G$97)*AL11/10000+('4.综合指标表'!$H$84+'4.综合指标表'!$H$97)*AL24/10000+('4.综合指标表'!$I$84+'4.综合指标表'!$I$97)*AL37/10000+('4.综合指标表'!$J$84+'4.综合指标表'!$J$97)*AL50/10000+('4.综合指标表'!$K$84+'4.综合指标表'!$K$97)*AL63/10000+('4.综合指标表'!$L$84+'4.综合指标表'!$L$97)*AL76/10000</f>
        <v>0</v>
      </c>
      <c r="AM168" s="875">
        <f>('4.综合指标表'!$G$84+'4.综合指标表'!$G$97)*AM11/10000+('4.综合指标表'!$H$84+'4.综合指标表'!$H$97)*AM24/10000+('4.综合指标表'!$I$84+'4.综合指标表'!$I$97)*AM37/10000+('4.综合指标表'!$J$84+'4.综合指标表'!$J$97)*AM50/10000+('4.综合指标表'!$K$84+'4.综合指标表'!$K$97)*AM63/10000+('4.综合指标表'!$L$84+'4.综合指标表'!$L$97)*AM76/10000</f>
        <v>0</v>
      </c>
      <c r="AN168" s="876">
        <f>('4.综合指标表'!$G$84+'4.综合指标表'!$G$97)*AN11/10000+('4.综合指标表'!$H$84+'4.综合指标表'!$H$97)*AN24/10000+('4.综合指标表'!$I$84+'4.综合指标表'!$I$97)*AN37/10000+('4.综合指标表'!$J$84+'4.综合指标表'!$J$97)*AN50/10000+('4.综合指标表'!$K$84+'4.综合指标表'!$K$97)*AN63/10000+('4.综合指标表'!$L$84+'4.综合指标表'!$L$97)*AN76/10000</f>
        <v>0</v>
      </c>
      <c r="AO168" s="876">
        <f>('4.综合指标表'!$G$84+'4.综合指标表'!$G$97)*AO11/10000+('4.综合指标表'!$H$84+'4.综合指标表'!$H$97)*AO24/10000+('4.综合指标表'!$I$84+'4.综合指标表'!$I$97)*AO37/10000+('4.综合指标表'!$J$84+'4.综合指标表'!$J$97)*AO50/10000+('4.综合指标表'!$K$84+'4.综合指标表'!$K$97)*AO63/10000+('4.综合指标表'!$L$84+'4.综合指标表'!$L$97)*AO76/10000</f>
        <v>0</v>
      </c>
      <c r="AP168" s="876">
        <f>('4.综合指标表'!$G$84+'4.综合指标表'!$G$97)*AP11/10000+('4.综合指标表'!$H$84+'4.综合指标表'!$H$97)*AP24/10000+('4.综合指标表'!$I$84+'4.综合指标表'!$I$97)*AP37/10000+('4.综合指标表'!$J$84+'4.综合指标表'!$J$97)*AP50/10000+('4.综合指标表'!$K$84+'4.综合指标表'!$K$97)*AP63/10000+('4.综合指标表'!$L$84+'4.综合指标表'!$L$97)*AP76/10000</f>
        <v>0</v>
      </c>
      <c r="AQ168" s="875">
        <f>('4.综合指标表'!$G$84+'4.综合指标表'!$G$97)*AQ11/10000+('4.综合指标表'!$H$84+'4.综合指标表'!$H$97)*AQ24/10000+('4.综合指标表'!$I$84+'4.综合指标表'!$I$97)*AQ37/10000+('4.综合指标表'!$J$84+'4.综合指标表'!$J$97)*AQ50/10000+('4.综合指标表'!$K$84+'4.综合指标表'!$K$97)*AQ63/10000+('4.综合指标表'!$L$84+'4.综合指标表'!$L$97)*AQ76/10000</f>
        <v>0</v>
      </c>
      <c r="AR168" s="876">
        <f>('4.综合指标表'!$G$84+'4.综合指标表'!$G$97)*AR11/10000+('4.综合指标表'!$H$84+'4.综合指标表'!$H$97)*AR24/10000+('4.综合指标表'!$I$84+'4.综合指标表'!$I$97)*AR37/10000+('4.综合指标表'!$J$84+'4.综合指标表'!$J$97)*AR50/10000+('4.综合指标表'!$K$84+'4.综合指标表'!$K$97)*AR63/10000+('4.综合指标表'!$L$84+'4.综合指标表'!$L$97)*AR76/10000</f>
        <v>0</v>
      </c>
      <c r="AS168" s="876">
        <f>('4.综合指标表'!$G$84+'4.综合指标表'!$G$97)*AS11/10000+('4.综合指标表'!$H$84+'4.综合指标表'!$H$97)*AS24/10000+('4.综合指标表'!$I$84+'4.综合指标表'!$I$97)*AS37/10000+('4.综合指标表'!$J$84+'4.综合指标表'!$J$97)*AS50/10000+('4.综合指标表'!$K$84+'4.综合指标表'!$K$97)*AS63/10000+('4.综合指标表'!$L$84+'4.综合指标表'!$L$97)*AS76/10000</f>
        <v>0</v>
      </c>
      <c r="AT168" s="876">
        <f>('4.综合指标表'!$G$84+'4.综合指标表'!$G$97)*AT11/10000+('4.综合指标表'!$H$84+'4.综合指标表'!$H$97)*AT24/10000+('4.综合指标表'!$I$84+'4.综合指标表'!$I$97)*AT37/10000+('4.综合指标表'!$J$84+'4.综合指标表'!$J$97)*AT50/10000+('4.综合指标表'!$K$84+'4.综合指标表'!$K$97)*AT63/10000+('4.综合指标表'!$L$84+'4.综合指标表'!$L$97)*AT76/10000</f>
        <v>0</v>
      </c>
    </row>
    <row r="169" spans="1:46" s="247" customFormat="1" ht="18" customHeight="1" outlineLevel="1">
      <c r="A169" s="874">
        <f>'8.项目规划指标表'!B9</f>
        <v>0</v>
      </c>
      <c r="B169" s="870">
        <f t="shared" si="20"/>
        <v>0</v>
      </c>
      <c r="C169" s="875">
        <f>('4.综合指标表'!$G$85+'4.综合指标表'!$G$98)*C12/10000+('4.综合指标表'!$H$85+'4.综合指标表'!$H$98)*C25/10000+('4.综合指标表'!$I$85+'4.综合指标表'!$I$98)*C38/10000+('4.综合指标表'!$J$85+'4.综合指标表'!$J$98)*C51/10000+('4.综合指标表'!$K$85+'4.综合指标表'!$K$98)*C64/10000+('4.综合指标表'!$L$85+'4.综合指标表'!$L$98)*C77/10000</f>
        <v>0</v>
      </c>
      <c r="D169" s="876">
        <f>('4.综合指标表'!$G$85+'4.综合指标表'!$G$98)*D12/10000+('4.综合指标表'!$H$85+'4.综合指标表'!$H$98)*D25/10000+('4.综合指标表'!$I$85+'4.综合指标表'!$I$98)*D38/10000+('4.综合指标表'!$J$85+'4.综合指标表'!$J$98)*D51/10000+('4.综合指标表'!$K$85+'4.综合指标表'!$K$98)*D64/10000+('4.综合指标表'!$L$85+'4.综合指标表'!$L$98)*D77/10000</f>
        <v>0</v>
      </c>
      <c r="E169" s="876">
        <f>('4.综合指标表'!$G$85+'4.综合指标表'!$G$98)*E12/10000+('4.综合指标表'!$H$85+'4.综合指标表'!$H$98)*E25/10000+('4.综合指标表'!$I$85+'4.综合指标表'!$I$98)*E38/10000+('4.综合指标表'!$J$85+'4.综合指标表'!$J$98)*E51/10000+('4.综合指标表'!$K$85+'4.综合指标表'!$K$98)*E64/10000+('4.综合指标表'!$L$85+'4.综合指标表'!$L$98)*E77/10000</f>
        <v>0</v>
      </c>
      <c r="F169" s="876">
        <f>('4.综合指标表'!$G$85+'4.综合指标表'!$G$98)*F12/10000+('4.综合指标表'!$H$85+'4.综合指标表'!$H$98)*F25/10000+('4.综合指标表'!$I$85+'4.综合指标表'!$I$98)*F38/10000+('4.综合指标表'!$J$85+'4.综合指标表'!$J$98)*F51/10000+('4.综合指标表'!$K$85+'4.综合指标表'!$K$98)*F64/10000+('4.综合指标表'!$L$85+'4.综合指标表'!$L$98)*F77/10000</f>
        <v>0</v>
      </c>
      <c r="G169" s="875">
        <f>('4.综合指标表'!$G$85+'4.综合指标表'!$G$98)*G12/10000+('4.综合指标表'!$H$85+'4.综合指标表'!$H$98)*G25/10000+('4.综合指标表'!$I$85+'4.综合指标表'!$I$98)*G38/10000+('4.综合指标表'!$J$85+'4.综合指标表'!$J$98)*G51/10000+('4.综合指标表'!$K$85+'4.综合指标表'!$K$98)*G64/10000+('4.综合指标表'!$L$85+'4.综合指标表'!$L$98)*G77/10000</f>
        <v>0</v>
      </c>
      <c r="H169" s="876">
        <f>('4.综合指标表'!$G$85+'4.综合指标表'!$G$98)*H12/10000+('4.综合指标表'!$H$85+'4.综合指标表'!$H$98)*H25/10000+('4.综合指标表'!$I$85+'4.综合指标表'!$I$98)*H38/10000+('4.综合指标表'!$J$85+'4.综合指标表'!$J$98)*H51/10000+('4.综合指标表'!$K$85+'4.综合指标表'!$K$98)*H64/10000+('4.综合指标表'!$L$85+'4.综合指标表'!$L$98)*H77/10000</f>
        <v>0</v>
      </c>
      <c r="I169" s="876">
        <f>('4.综合指标表'!$G$85+'4.综合指标表'!$G$98)*I12/10000+('4.综合指标表'!$H$85+'4.综合指标表'!$H$98)*I25/10000+('4.综合指标表'!$I$85+'4.综合指标表'!$I$98)*I38/10000+('4.综合指标表'!$J$85+'4.综合指标表'!$J$98)*I51/10000+('4.综合指标表'!$K$85+'4.综合指标表'!$K$98)*I64/10000+('4.综合指标表'!$L$85+'4.综合指标表'!$L$98)*I77/10000</f>
        <v>0</v>
      </c>
      <c r="J169" s="876">
        <f>('4.综合指标表'!$G$85+'4.综合指标表'!$G$98)*J12/10000+('4.综合指标表'!$H$85+'4.综合指标表'!$H$98)*J25/10000+('4.综合指标表'!$I$85+'4.综合指标表'!$I$98)*J38/10000+('4.综合指标表'!$J$85+'4.综合指标表'!$J$98)*J51/10000+('4.综合指标表'!$K$85+'4.综合指标表'!$K$98)*J64/10000+('4.综合指标表'!$L$85+'4.综合指标表'!$L$98)*J77/10000</f>
        <v>0</v>
      </c>
      <c r="K169" s="875">
        <f>('4.综合指标表'!$G$85+'4.综合指标表'!$G$98)*K12/10000+('4.综合指标表'!$H$85+'4.综合指标表'!$H$98)*K25/10000+('4.综合指标表'!$I$85+'4.综合指标表'!$I$98)*K38/10000+('4.综合指标表'!$J$85+'4.综合指标表'!$J$98)*K51/10000+('4.综合指标表'!$K$85+'4.综合指标表'!$K$98)*K64/10000+('4.综合指标表'!$L$85+'4.综合指标表'!$L$98)*K77/10000</f>
        <v>0</v>
      </c>
      <c r="L169" s="876">
        <f>('4.综合指标表'!$G$85+'4.综合指标表'!$G$98)*L12/10000+('4.综合指标表'!$H$85+'4.综合指标表'!$H$98)*L25/10000+('4.综合指标表'!$I$85+'4.综合指标表'!$I$98)*L38/10000+('4.综合指标表'!$J$85+'4.综合指标表'!$J$98)*L51/10000+('4.综合指标表'!$K$85+'4.综合指标表'!$K$98)*L64/10000+('4.综合指标表'!$L$85+'4.综合指标表'!$L$98)*L77/10000</f>
        <v>0</v>
      </c>
      <c r="M169" s="876">
        <f>('4.综合指标表'!$G$85+'4.综合指标表'!$G$98)*M12/10000+('4.综合指标表'!$H$85+'4.综合指标表'!$H$98)*M25/10000+('4.综合指标表'!$I$85+'4.综合指标表'!$I$98)*M38/10000+('4.综合指标表'!$J$85+'4.综合指标表'!$J$98)*M51/10000+('4.综合指标表'!$K$85+'4.综合指标表'!$K$98)*M64/10000+('4.综合指标表'!$L$85+'4.综合指标表'!$L$98)*M77/10000</f>
        <v>0</v>
      </c>
      <c r="N169" s="876">
        <f>('4.综合指标表'!$G$85+'4.综合指标表'!$G$98)*N12/10000+('4.综合指标表'!$H$85+'4.综合指标表'!$H$98)*N25/10000+('4.综合指标表'!$I$85+'4.综合指标表'!$I$98)*N38/10000+('4.综合指标表'!$J$85+'4.综合指标表'!$J$98)*N51/10000+('4.综合指标表'!$K$85+'4.综合指标表'!$K$98)*N64/10000+('4.综合指标表'!$L$85+'4.综合指标表'!$L$98)*N77/10000</f>
        <v>0</v>
      </c>
      <c r="O169" s="875">
        <f>('4.综合指标表'!$G$85+'4.综合指标表'!$G$98)*O12/10000+('4.综合指标表'!$H$85+'4.综合指标表'!$H$98)*O25/10000+('4.综合指标表'!$I$85+'4.综合指标表'!$I$98)*O38/10000+('4.综合指标表'!$J$85+'4.综合指标表'!$J$98)*O51/10000+('4.综合指标表'!$K$85+'4.综合指标表'!$K$98)*O64/10000+('4.综合指标表'!$L$85+'4.综合指标表'!$L$98)*O77/10000</f>
        <v>0</v>
      </c>
      <c r="P169" s="876">
        <f>('4.综合指标表'!$G$85+'4.综合指标表'!$G$98)*P12/10000+('4.综合指标表'!$H$85+'4.综合指标表'!$H$98)*P25/10000+('4.综合指标表'!$I$85+'4.综合指标表'!$I$98)*P38/10000+('4.综合指标表'!$J$85+'4.综合指标表'!$J$98)*P51/10000+('4.综合指标表'!$K$85+'4.综合指标表'!$K$98)*P64/10000+('4.综合指标表'!$L$85+'4.综合指标表'!$L$98)*P77/10000</f>
        <v>0</v>
      </c>
      <c r="Q169" s="876">
        <f>('4.综合指标表'!$G$85+'4.综合指标表'!$G$98)*Q12/10000+('4.综合指标表'!$H$85+'4.综合指标表'!$H$98)*Q25/10000+('4.综合指标表'!$I$85+'4.综合指标表'!$I$98)*Q38/10000+('4.综合指标表'!$J$85+'4.综合指标表'!$J$98)*Q51/10000+('4.综合指标表'!$K$85+'4.综合指标表'!$K$98)*Q64/10000+('4.综合指标表'!$L$85+'4.综合指标表'!$L$98)*Q77/10000</f>
        <v>0</v>
      </c>
      <c r="R169" s="876">
        <f>('4.综合指标表'!$G$85+'4.综合指标表'!$G$98)*R12/10000+('4.综合指标表'!$H$85+'4.综合指标表'!$H$98)*R25/10000+('4.综合指标表'!$I$85+'4.综合指标表'!$I$98)*R38/10000+('4.综合指标表'!$J$85+'4.综合指标表'!$J$98)*R51/10000+('4.综合指标表'!$K$85+'4.综合指标表'!$K$98)*R64/10000+('4.综合指标表'!$L$85+'4.综合指标表'!$L$98)*R77/10000</f>
        <v>0</v>
      </c>
      <c r="S169" s="875">
        <f>('4.综合指标表'!$G$85+'4.综合指标表'!$G$98)*S12/10000+('4.综合指标表'!$H$85+'4.综合指标表'!$H$98)*S25/10000+('4.综合指标表'!$I$85+'4.综合指标表'!$I$98)*S38/10000+('4.综合指标表'!$J$85+'4.综合指标表'!$J$98)*S51/10000+('4.综合指标表'!$K$85+'4.综合指标表'!$K$98)*S64/10000+('4.综合指标表'!$L$85+'4.综合指标表'!$L$98)*S77/10000</f>
        <v>0</v>
      </c>
      <c r="T169" s="876">
        <f>('4.综合指标表'!$G$85+'4.综合指标表'!$G$98)*T12/10000+('4.综合指标表'!$H$85+'4.综合指标表'!$H$98)*T25/10000+('4.综合指标表'!$I$85+'4.综合指标表'!$I$98)*T38/10000+('4.综合指标表'!$J$85+'4.综合指标表'!$J$98)*T51/10000+('4.综合指标表'!$K$85+'4.综合指标表'!$K$98)*T64/10000+('4.综合指标表'!$L$85+'4.综合指标表'!$L$98)*T77/10000</f>
        <v>0</v>
      </c>
      <c r="U169" s="876">
        <f>('4.综合指标表'!$G$85+'4.综合指标表'!$G$98)*U12/10000+('4.综合指标表'!$H$85+'4.综合指标表'!$H$98)*U25/10000+('4.综合指标表'!$I$85+'4.综合指标表'!$I$98)*U38/10000+('4.综合指标表'!$J$85+'4.综合指标表'!$J$98)*U51/10000+('4.综合指标表'!$K$85+'4.综合指标表'!$K$98)*U64/10000+('4.综合指标表'!$L$85+'4.综合指标表'!$L$98)*U77/10000</f>
        <v>0</v>
      </c>
      <c r="V169" s="876">
        <f>('4.综合指标表'!$G$85+'4.综合指标表'!$G$98)*V12/10000+('4.综合指标表'!$H$85+'4.综合指标表'!$H$98)*V25/10000+('4.综合指标表'!$I$85+'4.综合指标表'!$I$98)*V38/10000+('4.综合指标表'!$J$85+'4.综合指标表'!$J$98)*V51/10000+('4.综合指标表'!$K$85+'4.综合指标表'!$K$98)*V64/10000+('4.综合指标表'!$L$85+'4.综合指标表'!$L$98)*V77/10000</f>
        <v>0</v>
      </c>
      <c r="W169" s="875">
        <f>('4.综合指标表'!$G$85+'4.综合指标表'!$G$98)*W12/10000+('4.综合指标表'!$H$85+'4.综合指标表'!$H$98)*W25/10000+('4.综合指标表'!$I$85+'4.综合指标表'!$I$98)*W38/10000+('4.综合指标表'!$J$85+'4.综合指标表'!$J$98)*W51/10000+('4.综合指标表'!$K$85+'4.综合指标表'!$K$98)*W64/10000+('4.综合指标表'!$L$85+'4.综合指标表'!$L$98)*W77/10000</f>
        <v>0</v>
      </c>
      <c r="X169" s="876">
        <f>('4.综合指标表'!$G$85+'4.综合指标表'!$G$98)*X12/10000+('4.综合指标表'!$H$85+'4.综合指标表'!$H$98)*X25/10000+('4.综合指标表'!$I$85+'4.综合指标表'!$I$98)*X38/10000+('4.综合指标表'!$J$85+'4.综合指标表'!$J$98)*X51/10000+('4.综合指标表'!$K$85+'4.综合指标表'!$K$98)*X64/10000+('4.综合指标表'!$L$85+'4.综合指标表'!$L$98)*X77/10000</f>
        <v>0</v>
      </c>
      <c r="Y169" s="876">
        <f>('4.综合指标表'!$G$85+'4.综合指标表'!$G$98)*Y12/10000+('4.综合指标表'!$H$85+'4.综合指标表'!$H$98)*Y25/10000+('4.综合指标表'!$I$85+'4.综合指标表'!$I$98)*Y38/10000+('4.综合指标表'!$J$85+'4.综合指标表'!$J$98)*Y51/10000+('4.综合指标表'!$K$85+'4.综合指标表'!$K$98)*Y64/10000+('4.综合指标表'!$L$85+'4.综合指标表'!$L$98)*Y77/10000</f>
        <v>0</v>
      </c>
      <c r="Z169" s="876">
        <f>('4.综合指标表'!$G$85+'4.综合指标表'!$G$98)*Z12/10000+('4.综合指标表'!$H$85+'4.综合指标表'!$H$98)*Z25/10000+('4.综合指标表'!$I$85+'4.综合指标表'!$I$98)*Z38/10000+('4.综合指标表'!$J$85+'4.综合指标表'!$J$98)*Z51/10000+('4.综合指标表'!$K$85+'4.综合指标表'!$K$98)*Z64/10000+('4.综合指标表'!$L$85+'4.综合指标表'!$L$98)*Z77/10000</f>
        <v>0</v>
      </c>
      <c r="AA169" s="875">
        <f>('4.综合指标表'!$G$85+'4.综合指标表'!$G$98)*AA12/10000+('4.综合指标表'!$H$85+'4.综合指标表'!$H$98)*AA25/10000+('4.综合指标表'!$I$85+'4.综合指标表'!$I$98)*AA38/10000+('4.综合指标表'!$J$85+'4.综合指标表'!$J$98)*AA51/10000+('4.综合指标表'!$K$85+'4.综合指标表'!$K$98)*AA64/10000+('4.综合指标表'!$L$85+'4.综合指标表'!$L$98)*AA77/10000</f>
        <v>0</v>
      </c>
      <c r="AB169" s="876">
        <f>('4.综合指标表'!$G$85+'4.综合指标表'!$G$98)*AB12/10000+('4.综合指标表'!$H$85+'4.综合指标表'!$H$98)*AB25/10000+('4.综合指标表'!$I$85+'4.综合指标表'!$I$98)*AB38/10000+('4.综合指标表'!$J$85+'4.综合指标表'!$J$98)*AB51/10000+('4.综合指标表'!$K$85+'4.综合指标表'!$K$98)*AB64/10000+('4.综合指标表'!$L$85+'4.综合指标表'!$L$98)*AB77/10000</f>
        <v>0</v>
      </c>
      <c r="AC169" s="876">
        <f>('4.综合指标表'!$G$85+'4.综合指标表'!$G$98)*AC12/10000+('4.综合指标表'!$H$85+'4.综合指标表'!$H$98)*AC25/10000+('4.综合指标表'!$I$85+'4.综合指标表'!$I$98)*AC38/10000+('4.综合指标表'!$J$85+'4.综合指标表'!$J$98)*AC51/10000+('4.综合指标表'!$K$85+'4.综合指标表'!$K$98)*AC64/10000+('4.综合指标表'!$L$85+'4.综合指标表'!$L$98)*AC77/10000</f>
        <v>0</v>
      </c>
      <c r="AD169" s="876">
        <f>('4.综合指标表'!$G$85+'4.综合指标表'!$G$98)*AD12/10000+('4.综合指标表'!$H$85+'4.综合指标表'!$H$98)*AD25/10000+('4.综合指标表'!$I$85+'4.综合指标表'!$I$98)*AD38/10000+('4.综合指标表'!$J$85+'4.综合指标表'!$J$98)*AD51/10000+('4.综合指标表'!$K$85+'4.综合指标表'!$K$98)*AD64/10000+('4.综合指标表'!$L$85+'4.综合指标表'!$L$98)*AD77/10000</f>
        <v>0</v>
      </c>
      <c r="AE169" s="875">
        <f>('4.综合指标表'!$G$85+'4.综合指标表'!$G$98)*AE12/10000+('4.综合指标表'!$H$85+'4.综合指标表'!$H$98)*AE25/10000+('4.综合指标表'!$I$85+'4.综合指标表'!$I$98)*AE38/10000+('4.综合指标表'!$J$85+'4.综合指标表'!$J$98)*AE51/10000+('4.综合指标表'!$K$85+'4.综合指标表'!$K$98)*AE64/10000+('4.综合指标表'!$L$85+'4.综合指标表'!$L$98)*AE77/10000</f>
        <v>0</v>
      </c>
      <c r="AF169" s="876">
        <f>('4.综合指标表'!$G$85+'4.综合指标表'!$G$98)*AF12/10000+('4.综合指标表'!$H$85+'4.综合指标表'!$H$98)*AF25/10000+('4.综合指标表'!$I$85+'4.综合指标表'!$I$98)*AF38/10000+('4.综合指标表'!$J$85+'4.综合指标表'!$J$98)*AF51/10000+('4.综合指标表'!$K$85+'4.综合指标表'!$K$98)*AF64/10000+('4.综合指标表'!$L$85+'4.综合指标表'!$L$98)*AF77/10000</f>
        <v>0</v>
      </c>
      <c r="AG169" s="876">
        <f>('4.综合指标表'!$G$85+'4.综合指标表'!$G$98)*AG12/10000+('4.综合指标表'!$H$85+'4.综合指标表'!$H$98)*AG25/10000+('4.综合指标表'!$I$85+'4.综合指标表'!$I$98)*AG38/10000+('4.综合指标表'!$J$85+'4.综合指标表'!$J$98)*AG51/10000+('4.综合指标表'!$K$85+'4.综合指标表'!$K$98)*AG64/10000+('4.综合指标表'!$L$85+'4.综合指标表'!$L$98)*AG77/10000</f>
        <v>0</v>
      </c>
      <c r="AH169" s="876">
        <f>('4.综合指标表'!$G$85+'4.综合指标表'!$G$98)*AH12/10000+('4.综合指标表'!$H$85+'4.综合指标表'!$H$98)*AH25/10000+('4.综合指标表'!$I$85+'4.综合指标表'!$I$98)*AH38/10000+('4.综合指标表'!$J$85+'4.综合指标表'!$J$98)*AH51/10000+('4.综合指标表'!$K$85+'4.综合指标表'!$K$98)*AH64/10000+('4.综合指标表'!$L$85+'4.综合指标表'!$L$98)*AH77/10000</f>
        <v>0</v>
      </c>
      <c r="AI169" s="875">
        <f>('4.综合指标表'!$G$85+'4.综合指标表'!$G$98)*AI12/10000+('4.综合指标表'!$H$85+'4.综合指标表'!$H$98)*AI25/10000+('4.综合指标表'!$I$85+'4.综合指标表'!$I$98)*AI38/10000+('4.综合指标表'!$J$85+'4.综合指标表'!$J$98)*AI51/10000+('4.综合指标表'!$K$85+'4.综合指标表'!$K$98)*AI64/10000+('4.综合指标表'!$L$85+'4.综合指标表'!$L$98)*AI77/10000</f>
        <v>0</v>
      </c>
      <c r="AJ169" s="876">
        <f>('4.综合指标表'!$G$85+'4.综合指标表'!$G$98)*AJ12/10000+('4.综合指标表'!$H$85+'4.综合指标表'!$H$98)*AJ25/10000+('4.综合指标表'!$I$85+'4.综合指标表'!$I$98)*AJ38/10000+('4.综合指标表'!$J$85+'4.综合指标表'!$J$98)*AJ51/10000+('4.综合指标表'!$K$85+'4.综合指标表'!$K$98)*AJ64/10000+('4.综合指标表'!$L$85+'4.综合指标表'!$L$98)*AJ77/10000</f>
        <v>0</v>
      </c>
      <c r="AK169" s="876">
        <f>('4.综合指标表'!$G$85+'4.综合指标表'!$G$98)*AK12/10000+('4.综合指标表'!$H$85+'4.综合指标表'!$H$98)*AK25/10000+('4.综合指标表'!$I$85+'4.综合指标表'!$I$98)*AK38/10000+('4.综合指标表'!$J$85+'4.综合指标表'!$J$98)*AK51/10000+('4.综合指标表'!$K$85+'4.综合指标表'!$K$98)*AK64/10000+('4.综合指标表'!$L$85+'4.综合指标表'!$L$98)*AK77/10000</f>
        <v>0</v>
      </c>
      <c r="AL169" s="876">
        <f>('4.综合指标表'!$G$85+'4.综合指标表'!$G$98)*AL12/10000+('4.综合指标表'!$H$85+'4.综合指标表'!$H$98)*AL25/10000+('4.综合指标表'!$I$85+'4.综合指标表'!$I$98)*AL38/10000+('4.综合指标表'!$J$85+'4.综合指标表'!$J$98)*AL51/10000+('4.综合指标表'!$K$85+'4.综合指标表'!$K$98)*AL64/10000+('4.综合指标表'!$L$85+'4.综合指标表'!$L$98)*AL77/10000</f>
        <v>0</v>
      </c>
      <c r="AM169" s="875">
        <f>('4.综合指标表'!$G$85+'4.综合指标表'!$G$98)*AM12/10000+('4.综合指标表'!$H$85+'4.综合指标表'!$H$98)*AM25/10000+('4.综合指标表'!$I$85+'4.综合指标表'!$I$98)*AM38/10000+('4.综合指标表'!$J$85+'4.综合指标表'!$J$98)*AM51/10000+('4.综合指标表'!$K$85+'4.综合指标表'!$K$98)*AM64/10000+('4.综合指标表'!$L$85+'4.综合指标表'!$L$98)*AM77/10000</f>
        <v>0</v>
      </c>
      <c r="AN169" s="876">
        <f>('4.综合指标表'!$G$85+'4.综合指标表'!$G$98)*AN12/10000+('4.综合指标表'!$H$85+'4.综合指标表'!$H$98)*AN25/10000+('4.综合指标表'!$I$85+'4.综合指标表'!$I$98)*AN38/10000+('4.综合指标表'!$J$85+'4.综合指标表'!$J$98)*AN51/10000+('4.综合指标表'!$K$85+'4.综合指标表'!$K$98)*AN64/10000+('4.综合指标表'!$L$85+'4.综合指标表'!$L$98)*AN77/10000</f>
        <v>0</v>
      </c>
      <c r="AO169" s="876">
        <f>('4.综合指标表'!$G$85+'4.综合指标表'!$G$98)*AO12/10000+('4.综合指标表'!$H$85+'4.综合指标表'!$H$98)*AO25/10000+('4.综合指标表'!$I$85+'4.综合指标表'!$I$98)*AO38/10000+('4.综合指标表'!$J$85+'4.综合指标表'!$J$98)*AO51/10000+('4.综合指标表'!$K$85+'4.综合指标表'!$K$98)*AO64/10000+('4.综合指标表'!$L$85+'4.综合指标表'!$L$98)*AO77/10000</f>
        <v>0</v>
      </c>
      <c r="AP169" s="876">
        <f>('4.综合指标表'!$G$85+'4.综合指标表'!$G$98)*AP12/10000+('4.综合指标表'!$H$85+'4.综合指标表'!$H$98)*AP25/10000+('4.综合指标表'!$I$85+'4.综合指标表'!$I$98)*AP38/10000+('4.综合指标表'!$J$85+'4.综合指标表'!$J$98)*AP51/10000+('4.综合指标表'!$K$85+'4.综合指标表'!$K$98)*AP64/10000+('4.综合指标表'!$L$85+'4.综合指标表'!$L$98)*AP77/10000</f>
        <v>0</v>
      </c>
      <c r="AQ169" s="875">
        <f>('4.综合指标表'!$G$85+'4.综合指标表'!$G$98)*AQ12/10000+('4.综合指标表'!$H$85+'4.综合指标表'!$H$98)*AQ25/10000+('4.综合指标表'!$I$85+'4.综合指标表'!$I$98)*AQ38/10000+('4.综合指标表'!$J$85+'4.综合指标表'!$J$98)*AQ51/10000+('4.综合指标表'!$K$85+'4.综合指标表'!$K$98)*AQ64/10000+('4.综合指标表'!$L$85+'4.综合指标表'!$L$98)*AQ77/10000</f>
        <v>0</v>
      </c>
      <c r="AR169" s="876">
        <f>('4.综合指标表'!$G$85+'4.综合指标表'!$G$98)*AR12/10000+('4.综合指标表'!$H$85+'4.综合指标表'!$H$98)*AR25/10000+('4.综合指标表'!$I$85+'4.综合指标表'!$I$98)*AR38/10000+('4.综合指标表'!$J$85+'4.综合指标表'!$J$98)*AR51/10000+('4.综合指标表'!$K$85+'4.综合指标表'!$K$98)*AR64/10000+('4.综合指标表'!$L$85+'4.综合指标表'!$L$98)*AR77/10000</f>
        <v>0</v>
      </c>
      <c r="AS169" s="876">
        <f>('4.综合指标表'!$G$85+'4.综合指标表'!$G$98)*AS12/10000+('4.综合指标表'!$H$85+'4.综合指标表'!$H$98)*AS25/10000+('4.综合指标表'!$I$85+'4.综合指标表'!$I$98)*AS38/10000+('4.综合指标表'!$J$85+'4.综合指标表'!$J$98)*AS51/10000+('4.综合指标表'!$K$85+'4.综合指标表'!$K$98)*AS64/10000+('4.综合指标表'!$L$85+'4.综合指标表'!$L$98)*AS77/10000</f>
        <v>0</v>
      </c>
      <c r="AT169" s="876">
        <f>('4.综合指标表'!$G$85+'4.综合指标表'!$G$98)*AT12/10000+('4.综合指标表'!$H$85+'4.综合指标表'!$H$98)*AT25/10000+('4.综合指标表'!$I$85+'4.综合指标表'!$I$98)*AT38/10000+('4.综合指标表'!$J$85+'4.综合指标表'!$J$98)*AT51/10000+('4.综合指标表'!$K$85+'4.综合指标表'!$K$98)*AT64/10000+('4.综合指标表'!$L$85+'4.综合指标表'!$L$98)*AT77/10000</f>
        <v>0</v>
      </c>
    </row>
    <row r="170" spans="1:46" s="247" customFormat="1" ht="18" customHeight="1" outlineLevel="1">
      <c r="A170" s="874">
        <f>'8.项目规划指标表'!B10</f>
        <v>0</v>
      </c>
      <c r="B170" s="870">
        <f t="shared" si="20"/>
        <v>0</v>
      </c>
      <c r="C170" s="875">
        <f>('4.综合指标表'!$G$86+'4.综合指标表'!$G$99)*C13/10000+('4.综合指标表'!$H$86+'4.综合指标表'!$H$99)*C26/10000+('4.综合指标表'!$I$86+'4.综合指标表'!$I$99)*C39/10000+('4.综合指标表'!$J$86+'4.综合指标表'!$J$99)*C52/10000+('4.综合指标表'!$K$86+'4.综合指标表'!$K$99)*C65/10000+('4.综合指标表'!$L$86+'4.综合指标表'!$L$99)*C78/10000</f>
        <v>0</v>
      </c>
      <c r="D170" s="876">
        <f>('4.综合指标表'!$G$86+'4.综合指标表'!$G$99)*D13/10000+('4.综合指标表'!$H$86+'4.综合指标表'!$H$99)*D26/10000+('4.综合指标表'!$I$86+'4.综合指标表'!$I$99)*D39/10000+('4.综合指标表'!$J$86+'4.综合指标表'!$J$99)*D52/10000+('4.综合指标表'!$K$86+'4.综合指标表'!$K$99)*D65/10000+('4.综合指标表'!$L$86+'4.综合指标表'!$L$99)*D78/10000</f>
        <v>0</v>
      </c>
      <c r="E170" s="876">
        <f>('4.综合指标表'!$G$86+'4.综合指标表'!$G$99)*E13/10000+('4.综合指标表'!$H$86+'4.综合指标表'!$H$99)*E26/10000+('4.综合指标表'!$I$86+'4.综合指标表'!$I$99)*E39/10000+('4.综合指标表'!$J$86+'4.综合指标表'!$J$99)*E52/10000+('4.综合指标表'!$K$86+'4.综合指标表'!$K$99)*E65/10000+('4.综合指标表'!$L$86+'4.综合指标表'!$L$99)*E78/10000</f>
        <v>0</v>
      </c>
      <c r="F170" s="876">
        <f>('4.综合指标表'!$G$86+'4.综合指标表'!$G$99)*F13/10000+('4.综合指标表'!$H$86+'4.综合指标表'!$H$99)*F26/10000+('4.综合指标表'!$I$86+'4.综合指标表'!$I$99)*F39/10000+('4.综合指标表'!$J$86+'4.综合指标表'!$J$99)*F52/10000+('4.综合指标表'!$K$86+'4.综合指标表'!$K$99)*F65/10000+('4.综合指标表'!$L$86+'4.综合指标表'!$L$99)*F78/10000</f>
        <v>0</v>
      </c>
      <c r="G170" s="875">
        <f>('4.综合指标表'!$G$86+'4.综合指标表'!$G$99)*G13/10000+('4.综合指标表'!$H$86+'4.综合指标表'!$H$99)*G26/10000+('4.综合指标表'!$I$86+'4.综合指标表'!$I$99)*G39/10000+('4.综合指标表'!$J$86+'4.综合指标表'!$J$99)*G52/10000+('4.综合指标表'!$K$86+'4.综合指标表'!$K$99)*G65/10000+('4.综合指标表'!$L$86+'4.综合指标表'!$L$99)*G78/10000</f>
        <v>0</v>
      </c>
      <c r="H170" s="876">
        <f>('4.综合指标表'!$G$86+'4.综合指标表'!$G$99)*H13/10000+('4.综合指标表'!$H$86+'4.综合指标表'!$H$99)*H26/10000+('4.综合指标表'!$I$86+'4.综合指标表'!$I$99)*H39/10000+('4.综合指标表'!$J$86+'4.综合指标表'!$J$99)*H52/10000+('4.综合指标表'!$K$86+'4.综合指标表'!$K$99)*H65/10000+('4.综合指标表'!$L$86+'4.综合指标表'!$L$99)*H78/10000</f>
        <v>0</v>
      </c>
      <c r="I170" s="876">
        <f>('4.综合指标表'!$G$86+'4.综合指标表'!$G$99)*I13/10000+('4.综合指标表'!$H$86+'4.综合指标表'!$H$99)*I26/10000+('4.综合指标表'!$I$86+'4.综合指标表'!$I$99)*I39/10000+('4.综合指标表'!$J$86+'4.综合指标表'!$J$99)*I52/10000+('4.综合指标表'!$K$86+'4.综合指标表'!$K$99)*I65/10000+('4.综合指标表'!$L$86+'4.综合指标表'!$L$99)*I78/10000</f>
        <v>0</v>
      </c>
      <c r="J170" s="876">
        <f>('4.综合指标表'!$G$86+'4.综合指标表'!$G$99)*J13/10000+('4.综合指标表'!$H$86+'4.综合指标表'!$H$99)*J26/10000+('4.综合指标表'!$I$86+'4.综合指标表'!$I$99)*J39/10000+('4.综合指标表'!$J$86+'4.综合指标表'!$J$99)*J52/10000+('4.综合指标表'!$K$86+'4.综合指标表'!$K$99)*J65/10000+('4.综合指标表'!$L$86+'4.综合指标表'!$L$99)*J78/10000</f>
        <v>0</v>
      </c>
      <c r="K170" s="875">
        <f>('4.综合指标表'!$G$86+'4.综合指标表'!$G$99)*K13/10000+('4.综合指标表'!$H$86+'4.综合指标表'!$H$99)*K26/10000+('4.综合指标表'!$I$86+'4.综合指标表'!$I$99)*K39/10000+('4.综合指标表'!$J$86+'4.综合指标表'!$J$99)*K52/10000+('4.综合指标表'!$K$86+'4.综合指标表'!$K$99)*K65/10000+('4.综合指标表'!$L$86+'4.综合指标表'!$L$99)*K78/10000</f>
        <v>0</v>
      </c>
      <c r="L170" s="876">
        <f>('4.综合指标表'!$G$86+'4.综合指标表'!$G$99)*L13/10000+('4.综合指标表'!$H$86+'4.综合指标表'!$H$99)*L26/10000+('4.综合指标表'!$I$86+'4.综合指标表'!$I$99)*L39/10000+('4.综合指标表'!$J$86+'4.综合指标表'!$J$99)*L52/10000+('4.综合指标表'!$K$86+'4.综合指标表'!$K$99)*L65/10000+('4.综合指标表'!$L$86+'4.综合指标表'!$L$99)*L78/10000</f>
        <v>0</v>
      </c>
      <c r="M170" s="876">
        <f>('4.综合指标表'!$G$86+'4.综合指标表'!$G$99)*M13/10000+('4.综合指标表'!$H$86+'4.综合指标表'!$H$99)*M26/10000+('4.综合指标表'!$I$86+'4.综合指标表'!$I$99)*M39/10000+('4.综合指标表'!$J$86+'4.综合指标表'!$J$99)*M52/10000+('4.综合指标表'!$K$86+'4.综合指标表'!$K$99)*M65/10000+('4.综合指标表'!$L$86+'4.综合指标表'!$L$99)*M78/10000</f>
        <v>0</v>
      </c>
      <c r="N170" s="876">
        <f>('4.综合指标表'!$G$86+'4.综合指标表'!$G$99)*N13/10000+('4.综合指标表'!$H$86+'4.综合指标表'!$H$99)*N26/10000+('4.综合指标表'!$I$86+'4.综合指标表'!$I$99)*N39/10000+('4.综合指标表'!$J$86+'4.综合指标表'!$J$99)*N52/10000+('4.综合指标表'!$K$86+'4.综合指标表'!$K$99)*N65/10000+('4.综合指标表'!$L$86+'4.综合指标表'!$L$99)*N78/10000</f>
        <v>0</v>
      </c>
      <c r="O170" s="875">
        <f>('4.综合指标表'!$G$86+'4.综合指标表'!$G$99)*O13/10000+('4.综合指标表'!$H$86+'4.综合指标表'!$H$99)*O26/10000+('4.综合指标表'!$I$86+'4.综合指标表'!$I$99)*O39/10000+('4.综合指标表'!$J$86+'4.综合指标表'!$J$99)*O52/10000+('4.综合指标表'!$K$86+'4.综合指标表'!$K$99)*O65/10000+('4.综合指标表'!$L$86+'4.综合指标表'!$L$99)*O78/10000</f>
        <v>0</v>
      </c>
      <c r="P170" s="876">
        <f>('4.综合指标表'!$G$86+'4.综合指标表'!$G$99)*P13/10000+('4.综合指标表'!$H$86+'4.综合指标表'!$H$99)*P26/10000+('4.综合指标表'!$I$86+'4.综合指标表'!$I$99)*P39/10000+('4.综合指标表'!$J$86+'4.综合指标表'!$J$99)*P52/10000+('4.综合指标表'!$K$86+'4.综合指标表'!$K$99)*P65/10000+('4.综合指标表'!$L$86+'4.综合指标表'!$L$99)*P78/10000</f>
        <v>0</v>
      </c>
      <c r="Q170" s="876">
        <f>('4.综合指标表'!$G$86+'4.综合指标表'!$G$99)*Q13/10000+('4.综合指标表'!$H$86+'4.综合指标表'!$H$99)*Q26/10000+('4.综合指标表'!$I$86+'4.综合指标表'!$I$99)*Q39/10000+('4.综合指标表'!$J$86+'4.综合指标表'!$J$99)*Q52/10000+('4.综合指标表'!$K$86+'4.综合指标表'!$K$99)*Q65/10000+('4.综合指标表'!$L$86+'4.综合指标表'!$L$99)*Q78/10000</f>
        <v>0</v>
      </c>
      <c r="R170" s="876">
        <f>('4.综合指标表'!$G$86+'4.综合指标表'!$G$99)*R13/10000+('4.综合指标表'!$H$86+'4.综合指标表'!$H$99)*R26/10000+('4.综合指标表'!$I$86+'4.综合指标表'!$I$99)*R39/10000+('4.综合指标表'!$J$86+'4.综合指标表'!$J$99)*R52/10000+('4.综合指标表'!$K$86+'4.综合指标表'!$K$99)*R65/10000+('4.综合指标表'!$L$86+'4.综合指标表'!$L$99)*R78/10000</f>
        <v>0</v>
      </c>
      <c r="S170" s="875">
        <f>('4.综合指标表'!$G$86+'4.综合指标表'!$G$99)*S13/10000+('4.综合指标表'!$H$86+'4.综合指标表'!$H$99)*S26/10000+('4.综合指标表'!$I$86+'4.综合指标表'!$I$99)*S39/10000+('4.综合指标表'!$J$86+'4.综合指标表'!$J$99)*S52/10000+('4.综合指标表'!$K$86+'4.综合指标表'!$K$99)*S65/10000+('4.综合指标表'!$L$86+'4.综合指标表'!$L$99)*S78/10000</f>
        <v>0</v>
      </c>
      <c r="T170" s="876">
        <f>('4.综合指标表'!$G$86+'4.综合指标表'!$G$99)*T13/10000+('4.综合指标表'!$H$86+'4.综合指标表'!$H$99)*T26/10000+('4.综合指标表'!$I$86+'4.综合指标表'!$I$99)*T39/10000+('4.综合指标表'!$J$86+'4.综合指标表'!$J$99)*T52/10000+('4.综合指标表'!$K$86+'4.综合指标表'!$K$99)*T65/10000+('4.综合指标表'!$L$86+'4.综合指标表'!$L$99)*T78/10000</f>
        <v>0</v>
      </c>
      <c r="U170" s="876">
        <f>('4.综合指标表'!$G$86+'4.综合指标表'!$G$99)*U13/10000+('4.综合指标表'!$H$86+'4.综合指标表'!$H$99)*U26/10000+('4.综合指标表'!$I$86+'4.综合指标表'!$I$99)*U39/10000+('4.综合指标表'!$J$86+'4.综合指标表'!$J$99)*U52/10000+('4.综合指标表'!$K$86+'4.综合指标表'!$K$99)*U65/10000+('4.综合指标表'!$L$86+'4.综合指标表'!$L$99)*U78/10000</f>
        <v>0</v>
      </c>
      <c r="V170" s="876">
        <f>('4.综合指标表'!$G$86+'4.综合指标表'!$G$99)*V13/10000+('4.综合指标表'!$H$86+'4.综合指标表'!$H$99)*V26/10000+('4.综合指标表'!$I$86+'4.综合指标表'!$I$99)*V39/10000+('4.综合指标表'!$J$86+'4.综合指标表'!$J$99)*V52/10000+('4.综合指标表'!$K$86+'4.综合指标表'!$K$99)*V65/10000+('4.综合指标表'!$L$86+'4.综合指标表'!$L$99)*V78/10000</f>
        <v>0</v>
      </c>
      <c r="W170" s="875">
        <f>('4.综合指标表'!$G$86+'4.综合指标表'!$G$99)*W13/10000+('4.综合指标表'!$H$86+'4.综合指标表'!$H$99)*W26/10000+('4.综合指标表'!$I$86+'4.综合指标表'!$I$99)*W39/10000+('4.综合指标表'!$J$86+'4.综合指标表'!$J$99)*W52/10000+('4.综合指标表'!$K$86+'4.综合指标表'!$K$99)*W65/10000+('4.综合指标表'!$L$86+'4.综合指标表'!$L$99)*W78/10000</f>
        <v>0</v>
      </c>
      <c r="X170" s="876">
        <f>('4.综合指标表'!$G$86+'4.综合指标表'!$G$99)*X13/10000+('4.综合指标表'!$H$86+'4.综合指标表'!$H$99)*X26/10000+('4.综合指标表'!$I$86+'4.综合指标表'!$I$99)*X39/10000+('4.综合指标表'!$J$86+'4.综合指标表'!$J$99)*X52/10000+('4.综合指标表'!$K$86+'4.综合指标表'!$K$99)*X65/10000+('4.综合指标表'!$L$86+'4.综合指标表'!$L$99)*X78/10000</f>
        <v>0</v>
      </c>
      <c r="Y170" s="876">
        <f>('4.综合指标表'!$G$86+'4.综合指标表'!$G$99)*Y13/10000+('4.综合指标表'!$H$86+'4.综合指标表'!$H$99)*Y26/10000+('4.综合指标表'!$I$86+'4.综合指标表'!$I$99)*Y39/10000+('4.综合指标表'!$J$86+'4.综合指标表'!$J$99)*Y52/10000+('4.综合指标表'!$K$86+'4.综合指标表'!$K$99)*Y65/10000+('4.综合指标表'!$L$86+'4.综合指标表'!$L$99)*Y78/10000</f>
        <v>0</v>
      </c>
      <c r="Z170" s="876">
        <f>('4.综合指标表'!$G$86+'4.综合指标表'!$G$99)*Z13/10000+('4.综合指标表'!$H$86+'4.综合指标表'!$H$99)*Z26/10000+('4.综合指标表'!$I$86+'4.综合指标表'!$I$99)*Z39/10000+('4.综合指标表'!$J$86+'4.综合指标表'!$J$99)*Z52/10000+('4.综合指标表'!$K$86+'4.综合指标表'!$K$99)*Z65/10000+('4.综合指标表'!$L$86+'4.综合指标表'!$L$99)*Z78/10000</f>
        <v>0</v>
      </c>
      <c r="AA170" s="875">
        <f>('4.综合指标表'!$G$86+'4.综合指标表'!$G$99)*AA13/10000+('4.综合指标表'!$H$86+'4.综合指标表'!$H$99)*AA26/10000+('4.综合指标表'!$I$86+'4.综合指标表'!$I$99)*AA39/10000+('4.综合指标表'!$J$86+'4.综合指标表'!$J$99)*AA52/10000+('4.综合指标表'!$K$86+'4.综合指标表'!$K$99)*AA65/10000+('4.综合指标表'!$L$86+'4.综合指标表'!$L$99)*AA78/10000</f>
        <v>0</v>
      </c>
      <c r="AB170" s="876">
        <f>('4.综合指标表'!$G$86+'4.综合指标表'!$G$99)*AB13/10000+('4.综合指标表'!$H$86+'4.综合指标表'!$H$99)*AB26/10000+('4.综合指标表'!$I$86+'4.综合指标表'!$I$99)*AB39/10000+('4.综合指标表'!$J$86+'4.综合指标表'!$J$99)*AB52/10000+('4.综合指标表'!$K$86+'4.综合指标表'!$K$99)*AB65/10000+('4.综合指标表'!$L$86+'4.综合指标表'!$L$99)*AB78/10000</f>
        <v>0</v>
      </c>
      <c r="AC170" s="876">
        <f>('4.综合指标表'!$G$86+'4.综合指标表'!$G$99)*AC13/10000+('4.综合指标表'!$H$86+'4.综合指标表'!$H$99)*AC26/10000+('4.综合指标表'!$I$86+'4.综合指标表'!$I$99)*AC39/10000+('4.综合指标表'!$J$86+'4.综合指标表'!$J$99)*AC52/10000+('4.综合指标表'!$K$86+'4.综合指标表'!$K$99)*AC65/10000+('4.综合指标表'!$L$86+'4.综合指标表'!$L$99)*AC78/10000</f>
        <v>0</v>
      </c>
      <c r="AD170" s="876">
        <f>('4.综合指标表'!$G$86+'4.综合指标表'!$G$99)*AD13/10000+('4.综合指标表'!$H$86+'4.综合指标表'!$H$99)*AD26/10000+('4.综合指标表'!$I$86+'4.综合指标表'!$I$99)*AD39/10000+('4.综合指标表'!$J$86+'4.综合指标表'!$J$99)*AD52/10000+('4.综合指标表'!$K$86+'4.综合指标表'!$K$99)*AD65/10000+('4.综合指标表'!$L$86+'4.综合指标表'!$L$99)*AD78/10000</f>
        <v>0</v>
      </c>
      <c r="AE170" s="875">
        <f>('4.综合指标表'!$G$86+'4.综合指标表'!$G$99)*AE13/10000+('4.综合指标表'!$H$86+'4.综合指标表'!$H$99)*AE26/10000+('4.综合指标表'!$I$86+'4.综合指标表'!$I$99)*AE39/10000+('4.综合指标表'!$J$86+'4.综合指标表'!$J$99)*AE52/10000+('4.综合指标表'!$K$86+'4.综合指标表'!$K$99)*AE65/10000+('4.综合指标表'!$L$86+'4.综合指标表'!$L$99)*AE78/10000</f>
        <v>0</v>
      </c>
      <c r="AF170" s="876">
        <f>('4.综合指标表'!$G$86+'4.综合指标表'!$G$99)*AF13/10000+('4.综合指标表'!$H$86+'4.综合指标表'!$H$99)*AF26/10000+('4.综合指标表'!$I$86+'4.综合指标表'!$I$99)*AF39/10000+('4.综合指标表'!$J$86+'4.综合指标表'!$J$99)*AF52/10000+('4.综合指标表'!$K$86+'4.综合指标表'!$K$99)*AF65/10000+('4.综合指标表'!$L$86+'4.综合指标表'!$L$99)*AF78/10000</f>
        <v>0</v>
      </c>
      <c r="AG170" s="876">
        <f>('4.综合指标表'!$G$86+'4.综合指标表'!$G$99)*AG13/10000+('4.综合指标表'!$H$86+'4.综合指标表'!$H$99)*AG26/10000+('4.综合指标表'!$I$86+'4.综合指标表'!$I$99)*AG39/10000+('4.综合指标表'!$J$86+'4.综合指标表'!$J$99)*AG52/10000+('4.综合指标表'!$K$86+'4.综合指标表'!$K$99)*AG65/10000+('4.综合指标表'!$L$86+'4.综合指标表'!$L$99)*AG78/10000</f>
        <v>0</v>
      </c>
      <c r="AH170" s="876">
        <f>('4.综合指标表'!$G$86+'4.综合指标表'!$G$99)*AH13/10000+('4.综合指标表'!$H$86+'4.综合指标表'!$H$99)*AH26/10000+('4.综合指标表'!$I$86+'4.综合指标表'!$I$99)*AH39/10000+('4.综合指标表'!$J$86+'4.综合指标表'!$J$99)*AH52/10000+('4.综合指标表'!$K$86+'4.综合指标表'!$K$99)*AH65/10000+('4.综合指标表'!$L$86+'4.综合指标表'!$L$99)*AH78/10000</f>
        <v>0</v>
      </c>
      <c r="AI170" s="875">
        <f>('4.综合指标表'!$G$86+'4.综合指标表'!$G$99)*AI13/10000+('4.综合指标表'!$H$86+'4.综合指标表'!$H$99)*AI26/10000+('4.综合指标表'!$I$86+'4.综合指标表'!$I$99)*AI39/10000+('4.综合指标表'!$J$86+'4.综合指标表'!$J$99)*AI52/10000+('4.综合指标表'!$K$86+'4.综合指标表'!$K$99)*AI65/10000+('4.综合指标表'!$L$86+'4.综合指标表'!$L$99)*AI78/10000</f>
        <v>0</v>
      </c>
      <c r="AJ170" s="876">
        <f>('4.综合指标表'!$G$86+'4.综合指标表'!$G$99)*AJ13/10000+('4.综合指标表'!$H$86+'4.综合指标表'!$H$99)*AJ26/10000+('4.综合指标表'!$I$86+'4.综合指标表'!$I$99)*AJ39/10000+('4.综合指标表'!$J$86+'4.综合指标表'!$J$99)*AJ52/10000+('4.综合指标表'!$K$86+'4.综合指标表'!$K$99)*AJ65/10000+('4.综合指标表'!$L$86+'4.综合指标表'!$L$99)*AJ78/10000</f>
        <v>0</v>
      </c>
      <c r="AK170" s="876">
        <f>('4.综合指标表'!$G$86+'4.综合指标表'!$G$99)*AK13/10000+('4.综合指标表'!$H$86+'4.综合指标表'!$H$99)*AK26/10000+('4.综合指标表'!$I$86+'4.综合指标表'!$I$99)*AK39/10000+('4.综合指标表'!$J$86+'4.综合指标表'!$J$99)*AK52/10000+('4.综合指标表'!$K$86+'4.综合指标表'!$K$99)*AK65/10000+('4.综合指标表'!$L$86+'4.综合指标表'!$L$99)*AK78/10000</f>
        <v>0</v>
      </c>
      <c r="AL170" s="876">
        <f>('4.综合指标表'!$G$86+'4.综合指标表'!$G$99)*AL13/10000+('4.综合指标表'!$H$86+'4.综合指标表'!$H$99)*AL26/10000+('4.综合指标表'!$I$86+'4.综合指标表'!$I$99)*AL39/10000+('4.综合指标表'!$J$86+'4.综合指标表'!$J$99)*AL52/10000+('4.综合指标表'!$K$86+'4.综合指标表'!$K$99)*AL65/10000+('4.综合指标表'!$L$86+'4.综合指标表'!$L$99)*AL78/10000</f>
        <v>0</v>
      </c>
      <c r="AM170" s="875">
        <f>('4.综合指标表'!$G$86+'4.综合指标表'!$G$99)*AM13/10000+('4.综合指标表'!$H$86+'4.综合指标表'!$H$99)*AM26/10000+('4.综合指标表'!$I$86+'4.综合指标表'!$I$99)*AM39/10000+('4.综合指标表'!$J$86+'4.综合指标表'!$J$99)*AM52/10000+('4.综合指标表'!$K$86+'4.综合指标表'!$K$99)*AM65/10000+('4.综合指标表'!$L$86+'4.综合指标表'!$L$99)*AM78/10000</f>
        <v>0</v>
      </c>
      <c r="AN170" s="876">
        <f>('4.综合指标表'!$G$86+'4.综合指标表'!$G$99)*AN13/10000+('4.综合指标表'!$H$86+'4.综合指标表'!$H$99)*AN26/10000+('4.综合指标表'!$I$86+'4.综合指标表'!$I$99)*AN39/10000+('4.综合指标表'!$J$86+'4.综合指标表'!$J$99)*AN52/10000+('4.综合指标表'!$K$86+'4.综合指标表'!$K$99)*AN65/10000+('4.综合指标表'!$L$86+'4.综合指标表'!$L$99)*AN78/10000</f>
        <v>0</v>
      </c>
      <c r="AO170" s="876">
        <f>('4.综合指标表'!$G$86+'4.综合指标表'!$G$99)*AO13/10000+('4.综合指标表'!$H$86+'4.综合指标表'!$H$99)*AO26/10000+('4.综合指标表'!$I$86+'4.综合指标表'!$I$99)*AO39/10000+('4.综合指标表'!$J$86+'4.综合指标表'!$J$99)*AO52/10000+('4.综合指标表'!$K$86+'4.综合指标表'!$K$99)*AO65/10000+('4.综合指标表'!$L$86+'4.综合指标表'!$L$99)*AO78/10000</f>
        <v>0</v>
      </c>
      <c r="AP170" s="876">
        <f>('4.综合指标表'!$G$86+'4.综合指标表'!$G$99)*AP13/10000+('4.综合指标表'!$H$86+'4.综合指标表'!$H$99)*AP26/10000+('4.综合指标表'!$I$86+'4.综合指标表'!$I$99)*AP39/10000+('4.综合指标表'!$J$86+'4.综合指标表'!$J$99)*AP52/10000+('4.综合指标表'!$K$86+'4.综合指标表'!$K$99)*AP65/10000+('4.综合指标表'!$L$86+'4.综合指标表'!$L$99)*AP78/10000</f>
        <v>0</v>
      </c>
      <c r="AQ170" s="875">
        <f>('4.综合指标表'!$G$86+'4.综合指标表'!$G$99)*AQ13/10000+('4.综合指标表'!$H$86+'4.综合指标表'!$H$99)*AQ26/10000+('4.综合指标表'!$I$86+'4.综合指标表'!$I$99)*AQ39/10000+('4.综合指标表'!$J$86+'4.综合指标表'!$J$99)*AQ52/10000+('4.综合指标表'!$K$86+'4.综合指标表'!$K$99)*AQ65/10000+('4.综合指标表'!$L$86+'4.综合指标表'!$L$99)*AQ78/10000</f>
        <v>0</v>
      </c>
      <c r="AR170" s="876">
        <f>('4.综合指标表'!$G$86+'4.综合指标表'!$G$99)*AR13/10000+('4.综合指标表'!$H$86+'4.综合指标表'!$H$99)*AR26/10000+('4.综合指标表'!$I$86+'4.综合指标表'!$I$99)*AR39/10000+('4.综合指标表'!$J$86+'4.综合指标表'!$J$99)*AR52/10000+('4.综合指标表'!$K$86+'4.综合指标表'!$K$99)*AR65/10000+('4.综合指标表'!$L$86+'4.综合指标表'!$L$99)*AR78/10000</f>
        <v>0</v>
      </c>
      <c r="AS170" s="876">
        <f>('4.综合指标表'!$G$86+'4.综合指标表'!$G$99)*AS13/10000+('4.综合指标表'!$H$86+'4.综合指标表'!$H$99)*AS26/10000+('4.综合指标表'!$I$86+'4.综合指标表'!$I$99)*AS39/10000+('4.综合指标表'!$J$86+'4.综合指标表'!$J$99)*AS52/10000+('4.综合指标表'!$K$86+'4.综合指标表'!$K$99)*AS65/10000+('4.综合指标表'!$L$86+'4.综合指标表'!$L$99)*AS78/10000</f>
        <v>0</v>
      </c>
      <c r="AT170" s="876">
        <f>('4.综合指标表'!$G$86+'4.综合指标表'!$G$99)*AT13/10000+('4.综合指标表'!$H$86+'4.综合指标表'!$H$99)*AT26/10000+('4.综合指标表'!$I$86+'4.综合指标表'!$I$99)*AT39/10000+('4.综合指标表'!$J$86+'4.综合指标表'!$J$99)*AT52/10000+('4.综合指标表'!$K$86+'4.综合指标表'!$K$99)*AT65/10000+('4.综合指标表'!$L$86+'4.综合指标表'!$L$99)*AT78/10000</f>
        <v>0</v>
      </c>
    </row>
    <row r="171" spans="1:46" s="247" customFormat="1" ht="18" customHeight="1" outlineLevel="1">
      <c r="A171" s="874">
        <f>'8.项目规划指标表'!B11</f>
        <v>0</v>
      </c>
      <c r="B171" s="870">
        <f t="shared" si="20"/>
        <v>0</v>
      </c>
      <c r="C171" s="875">
        <f>('4.综合指标表'!$G$87+'4.综合指标表'!$G$100)*C14/10000+('4.综合指标表'!$H$87+'4.综合指标表'!$H$100)*C27/10000+('4.综合指标表'!$I$87+'4.综合指标表'!$I$100)*C40/10000+('4.综合指标表'!$J$87+'4.综合指标表'!$J$100)*C53/10000+('4.综合指标表'!$K$87+'4.综合指标表'!$K$100)*C66/10000+('4.综合指标表'!$L$87+'4.综合指标表'!$L$100)*C79/10000</f>
        <v>0</v>
      </c>
      <c r="D171" s="876">
        <f>('4.综合指标表'!$G$87+'4.综合指标表'!$G$100)*D14/10000+('4.综合指标表'!$H$87+'4.综合指标表'!$H$100)*D27/10000+('4.综合指标表'!$I$87+'4.综合指标表'!$I$100)*D40/10000+('4.综合指标表'!$J$87+'4.综合指标表'!$J$100)*D53/10000+('4.综合指标表'!$K$87+'4.综合指标表'!$K$100)*D66/10000+('4.综合指标表'!$L$87+'4.综合指标表'!$L$100)*D79/10000</f>
        <v>0</v>
      </c>
      <c r="E171" s="876">
        <f>('4.综合指标表'!$G$87+'4.综合指标表'!$G$100)*E14/10000+('4.综合指标表'!$H$87+'4.综合指标表'!$H$100)*E27/10000+('4.综合指标表'!$I$87+'4.综合指标表'!$I$100)*E40/10000+('4.综合指标表'!$J$87+'4.综合指标表'!$J$100)*E53/10000+('4.综合指标表'!$K$87+'4.综合指标表'!$K$100)*E66/10000+('4.综合指标表'!$L$87+'4.综合指标表'!$L$100)*E79/10000</f>
        <v>0</v>
      </c>
      <c r="F171" s="876">
        <f>('4.综合指标表'!$G$87+'4.综合指标表'!$G$100)*F14/10000+('4.综合指标表'!$H$87+'4.综合指标表'!$H$100)*F27/10000+('4.综合指标表'!$I$87+'4.综合指标表'!$I$100)*F40/10000+('4.综合指标表'!$J$87+'4.综合指标表'!$J$100)*F53/10000+('4.综合指标表'!$K$87+'4.综合指标表'!$K$100)*F66/10000+('4.综合指标表'!$L$87+'4.综合指标表'!$L$100)*F79/10000</f>
        <v>0</v>
      </c>
      <c r="G171" s="875">
        <f>('4.综合指标表'!$G$87+'4.综合指标表'!$G$100)*G14/10000+('4.综合指标表'!$H$87+'4.综合指标表'!$H$100)*G27/10000+('4.综合指标表'!$I$87+'4.综合指标表'!$I$100)*G40/10000+('4.综合指标表'!$J$87+'4.综合指标表'!$J$100)*G53/10000+('4.综合指标表'!$K$87+'4.综合指标表'!$K$100)*G66/10000+('4.综合指标表'!$L$87+'4.综合指标表'!$L$100)*G79/10000</f>
        <v>0</v>
      </c>
      <c r="H171" s="876">
        <f>('4.综合指标表'!$G$87+'4.综合指标表'!$G$100)*H14/10000+('4.综合指标表'!$H$87+'4.综合指标表'!$H$100)*H27/10000+('4.综合指标表'!$I$87+'4.综合指标表'!$I$100)*H40/10000+('4.综合指标表'!$J$87+'4.综合指标表'!$J$100)*H53/10000+('4.综合指标表'!$K$87+'4.综合指标表'!$K$100)*H66/10000+('4.综合指标表'!$L$87+'4.综合指标表'!$L$100)*H79/10000</f>
        <v>0</v>
      </c>
      <c r="I171" s="876">
        <f>('4.综合指标表'!$G$87+'4.综合指标表'!$G$100)*I14/10000+('4.综合指标表'!$H$87+'4.综合指标表'!$H$100)*I27/10000+('4.综合指标表'!$I$87+'4.综合指标表'!$I$100)*I40/10000+('4.综合指标表'!$J$87+'4.综合指标表'!$J$100)*I53/10000+('4.综合指标表'!$K$87+'4.综合指标表'!$K$100)*I66/10000+('4.综合指标表'!$L$87+'4.综合指标表'!$L$100)*I79/10000</f>
        <v>0</v>
      </c>
      <c r="J171" s="876">
        <f>('4.综合指标表'!$G$87+'4.综合指标表'!$G$100)*J14/10000+('4.综合指标表'!$H$87+'4.综合指标表'!$H$100)*J27/10000+('4.综合指标表'!$I$87+'4.综合指标表'!$I$100)*J40/10000+('4.综合指标表'!$J$87+'4.综合指标表'!$J$100)*J53/10000+('4.综合指标表'!$K$87+'4.综合指标表'!$K$100)*J66/10000+('4.综合指标表'!$L$87+'4.综合指标表'!$L$100)*J79/10000</f>
        <v>0</v>
      </c>
      <c r="K171" s="875">
        <f>('4.综合指标表'!$G$87+'4.综合指标表'!$G$100)*K14/10000+('4.综合指标表'!$H$87+'4.综合指标表'!$H$100)*K27/10000+('4.综合指标表'!$I$87+'4.综合指标表'!$I$100)*K40/10000+('4.综合指标表'!$J$87+'4.综合指标表'!$J$100)*K53/10000+('4.综合指标表'!$K$87+'4.综合指标表'!$K$100)*K66/10000+('4.综合指标表'!$L$87+'4.综合指标表'!$L$100)*K79/10000</f>
        <v>0</v>
      </c>
      <c r="L171" s="876">
        <f>('4.综合指标表'!$G$87+'4.综合指标表'!$G$100)*L14/10000+('4.综合指标表'!$H$87+'4.综合指标表'!$H$100)*L27/10000+('4.综合指标表'!$I$87+'4.综合指标表'!$I$100)*L40/10000+('4.综合指标表'!$J$87+'4.综合指标表'!$J$100)*L53/10000+('4.综合指标表'!$K$87+'4.综合指标表'!$K$100)*L66/10000+('4.综合指标表'!$L$87+'4.综合指标表'!$L$100)*L79/10000</f>
        <v>0</v>
      </c>
      <c r="M171" s="876">
        <f>('4.综合指标表'!$G$87+'4.综合指标表'!$G$100)*M14/10000+('4.综合指标表'!$H$87+'4.综合指标表'!$H$100)*M27/10000+('4.综合指标表'!$I$87+'4.综合指标表'!$I$100)*M40/10000+('4.综合指标表'!$J$87+'4.综合指标表'!$J$100)*M53/10000+('4.综合指标表'!$K$87+'4.综合指标表'!$K$100)*M66/10000+('4.综合指标表'!$L$87+'4.综合指标表'!$L$100)*M79/10000</f>
        <v>0</v>
      </c>
      <c r="N171" s="876">
        <f>('4.综合指标表'!$G$87+'4.综合指标表'!$G$100)*N14/10000+('4.综合指标表'!$H$87+'4.综合指标表'!$H$100)*N27/10000+('4.综合指标表'!$I$87+'4.综合指标表'!$I$100)*N40/10000+('4.综合指标表'!$J$87+'4.综合指标表'!$J$100)*N53/10000+('4.综合指标表'!$K$87+'4.综合指标表'!$K$100)*N66/10000+('4.综合指标表'!$L$87+'4.综合指标表'!$L$100)*N79/10000</f>
        <v>0</v>
      </c>
      <c r="O171" s="875">
        <f>('4.综合指标表'!$G$87+'4.综合指标表'!$G$100)*O14/10000+('4.综合指标表'!$H$87+'4.综合指标表'!$H$100)*O27/10000+('4.综合指标表'!$I$87+'4.综合指标表'!$I$100)*O40/10000+('4.综合指标表'!$J$87+'4.综合指标表'!$J$100)*O53/10000+('4.综合指标表'!$K$87+'4.综合指标表'!$K$100)*O66/10000+('4.综合指标表'!$L$87+'4.综合指标表'!$L$100)*O79/10000</f>
        <v>0</v>
      </c>
      <c r="P171" s="876">
        <f>('4.综合指标表'!$G$87+'4.综合指标表'!$G$100)*P14/10000+('4.综合指标表'!$H$87+'4.综合指标表'!$H$100)*P27/10000+('4.综合指标表'!$I$87+'4.综合指标表'!$I$100)*P40/10000+('4.综合指标表'!$J$87+'4.综合指标表'!$J$100)*P53/10000+('4.综合指标表'!$K$87+'4.综合指标表'!$K$100)*P66/10000+('4.综合指标表'!$L$87+'4.综合指标表'!$L$100)*P79/10000</f>
        <v>0</v>
      </c>
      <c r="Q171" s="876">
        <f>('4.综合指标表'!$G$87+'4.综合指标表'!$G$100)*Q14/10000+('4.综合指标表'!$H$87+'4.综合指标表'!$H$100)*Q27/10000+('4.综合指标表'!$I$87+'4.综合指标表'!$I$100)*Q40/10000+('4.综合指标表'!$J$87+'4.综合指标表'!$J$100)*Q53/10000+('4.综合指标表'!$K$87+'4.综合指标表'!$K$100)*Q66/10000+('4.综合指标表'!$L$87+'4.综合指标表'!$L$100)*Q79/10000</f>
        <v>0</v>
      </c>
      <c r="R171" s="876">
        <f>('4.综合指标表'!$G$87+'4.综合指标表'!$G$100)*R14/10000+('4.综合指标表'!$H$87+'4.综合指标表'!$H$100)*R27/10000+('4.综合指标表'!$I$87+'4.综合指标表'!$I$100)*R40/10000+('4.综合指标表'!$J$87+'4.综合指标表'!$J$100)*R53/10000+('4.综合指标表'!$K$87+'4.综合指标表'!$K$100)*R66/10000+('4.综合指标表'!$L$87+'4.综合指标表'!$L$100)*R79/10000</f>
        <v>0</v>
      </c>
      <c r="S171" s="875">
        <f>('4.综合指标表'!$G$87+'4.综合指标表'!$G$100)*S14/10000+('4.综合指标表'!$H$87+'4.综合指标表'!$H$100)*S27/10000+('4.综合指标表'!$I$87+'4.综合指标表'!$I$100)*S40/10000+('4.综合指标表'!$J$87+'4.综合指标表'!$J$100)*S53/10000+('4.综合指标表'!$K$87+'4.综合指标表'!$K$100)*S66/10000+('4.综合指标表'!$L$87+'4.综合指标表'!$L$100)*S79/10000</f>
        <v>0</v>
      </c>
      <c r="T171" s="876">
        <f>('4.综合指标表'!$G$87+'4.综合指标表'!$G$100)*T14/10000+('4.综合指标表'!$H$87+'4.综合指标表'!$H$100)*T27/10000+('4.综合指标表'!$I$87+'4.综合指标表'!$I$100)*T40/10000+('4.综合指标表'!$J$87+'4.综合指标表'!$J$100)*T53/10000+('4.综合指标表'!$K$87+'4.综合指标表'!$K$100)*T66/10000+('4.综合指标表'!$L$87+'4.综合指标表'!$L$100)*T79/10000</f>
        <v>0</v>
      </c>
      <c r="U171" s="876">
        <f>('4.综合指标表'!$G$87+'4.综合指标表'!$G$100)*U14/10000+('4.综合指标表'!$H$87+'4.综合指标表'!$H$100)*U27/10000+('4.综合指标表'!$I$87+'4.综合指标表'!$I$100)*U40/10000+('4.综合指标表'!$J$87+'4.综合指标表'!$J$100)*U53/10000+('4.综合指标表'!$K$87+'4.综合指标表'!$K$100)*U66/10000+('4.综合指标表'!$L$87+'4.综合指标表'!$L$100)*U79/10000</f>
        <v>0</v>
      </c>
      <c r="V171" s="876">
        <f>('4.综合指标表'!$G$87+'4.综合指标表'!$G$100)*V14/10000+('4.综合指标表'!$H$87+'4.综合指标表'!$H$100)*V27/10000+('4.综合指标表'!$I$87+'4.综合指标表'!$I$100)*V40/10000+('4.综合指标表'!$J$87+'4.综合指标表'!$J$100)*V53/10000+('4.综合指标表'!$K$87+'4.综合指标表'!$K$100)*V66/10000+('4.综合指标表'!$L$87+'4.综合指标表'!$L$100)*V79/10000</f>
        <v>0</v>
      </c>
      <c r="W171" s="875">
        <f>('4.综合指标表'!$G$87+'4.综合指标表'!$G$100)*W14/10000+('4.综合指标表'!$H$87+'4.综合指标表'!$H$100)*W27/10000+('4.综合指标表'!$I$87+'4.综合指标表'!$I$100)*W40/10000+('4.综合指标表'!$J$87+'4.综合指标表'!$J$100)*W53/10000+('4.综合指标表'!$K$87+'4.综合指标表'!$K$100)*W66/10000+('4.综合指标表'!$L$87+'4.综合指标表'!$L$100)*W79/10000</f>
        <v>0</v>
      </c>
      <c r="X171" s="876">
        <f>('4.综合指标表'!$G$87+'4.综合指标表'!$G$100)*X14/10000+('4.综合指标表'!$H$87+'4.综合指标表'!$H$100)*X27/10000+('4.综合指标表'!$I$87+'4.综合指标表'!$I$100)*X40/10000+('4.综合指标表'!$J$87+'4.综合指标表'!$J$100)*X53/10000+('4.综合指标表'!$K$87+'4.综合指标表'!$K$100)*X66/10000+('4.综合指标表'!$L$87+'4.综合指标表'!$L$100)*X79/10000</f>
        <v>0</v>
      </c>
      <c r="Y171" s="876">
        <f>('4.综合指标表'!$G$87+'4.综合指标表'!$G$100)*Y14/10000+('4.综合指标表'!$H$87+'4.综合指标表'!$H$100)*Y27/10000+('4.综合指标表'!$I$87+'4.综合指标表'!$I$100)*Y40/10000+('4.综合指标表'!$J$87+'4.综合指标表'!$J$100)*Y53/10000+('4.综合指标表'!$K$87+'4.综合指标表'!$K$100)*Y66/10000+('4.综合指标表'!$L$87+'4.综合指标表'!$L$100)*Y79/10000</f>
        <v>0</v>
      </c>
      <c r="Z171" s="876">
        <f>('4.综合指标表'!$G$87+'4.综合指标表'!$G$100)*Z14/10000+('4.综合指标表'!$H$87+'4.综合指标表'!$H$100)*Z27/10000+('4.综合指标表'!$I$87+'4.综合指标表'!$I$100)*Z40/10000+('4.综合指标表'!$J$87+'4.综合指标表'!$J$100)*Z53/10000+('4.综合指标表'!$K$87+'4.综合指标表'!$K$100)*Z66/10000+('4.综合指标表'!$L$87+'4.综合指标表'!$L$100)*Z79/10000</f>
        <v>0</v>
      </c>
      <c r="AA171" s="875">
        <f>('4.综合指标表'!$G$87+'4.综合指标表'!$G$100)*AA14/10000+('4.综合指标表'!$H$87+'4.综合指标表'!$H$100)*AA27/10000+('4.综合指标表'!$I$87+'4.综合指标表'!$I$100)*AA40/10000+('4.综合指标表'!$J$87+'4.综合指标表'!$J$100)*AA53/10000+('4.综合指标表'!$K$87+'4.综合指标表'!$K$100)*AA66/10000+('4.综合指标表'!$L$87+'4.综合指标表'!$L$100)*AA79/10000</f>
        <v>0</v>
      </c>
      <c r="AB171" s="876">
        <f>('4.综合指标表'!$G$87+'4.综合指标表'!$G$100)*AB14/10000+('4.综合指标表'!$H$87+'4.综合指标表'!$H$100)*AB27/10000+('4.综合指标表'!$I$87+'4.综合指标表'!$I$100)*AB40/10000+('4.综合指标表'!$J$87+'4.综合指标表'!$J$100)*AB53/10000+('4.综合指标表'!$K$87+'4.综合指标表'!$K$100)*AB66/10000+('4.综合指标表'!$L$87+'4.综合指标表'!$L$100)*AB79/10000</f>
        <v>0</v>
      </c>
      <c r="AC171" s="876">
        <f>('4.综合指标表'!$G$87+'4.综合指标表'!$G$100)*AC14/10000+('4.综合指标表'!$H$87+'4.综合指标表'!$H$100)*AC27/10000+('4.综合指标表'!$I$87+'4.综合指标表'!$I$100)*AC40/10000+('4.综合指标表'!$J$87+'4.综合指标表'!$J$100)*AC53/10000+('4.综合指标表'!$K$87+'4.综合指标表'!$K$100)*AC66/10000+('4.综合指标表'!$L$87+'4.综合指标表'!$L$100)*AC79/10000</f>
        <v>0</v>
      </c>
      <c r="AD171" s="876">
        <f>('4.综合指标表'!$G$87+'4.综合指标表'!$G$100)*AD14/10000+('4.综合指标表'!$H$87+'4.综合指标表'!$H$100)*AD27/10000+('4.综合指标表'!$I$87+'4.综合指标表'!$I$100)*AD40/10000+('4.综合指标表'!$J$87+'4.综合指标表'!$J$100)*AD53/10000+('4.综合指标表'!$K$87+'4.综合指标表'!$K$100)*AD66/10000+('4.综合指标表'!$L$87+'4.综合指标表'!$L$100)*AD79/10000</f>
        <v>0</v>
      </c>
      <c r="AE171" s="875">
        <f>('4.综合指标表'!$G$87+'4.综合指标表'!$G$100)*AE14/10000+('4.综合指标表'!$H$87+'4.综合指标表'!$H$100)*AE27/10000+('4.综合指标表'!$I$87+'4.综合指标表'!$I$100)*AE40/10000+('4.综合指标表'!$J$87+'4.综合指标表'!$J$100)*AE53/10000+('4.综合指标表'!$K$87+'4.综合指标表'!$K$100)*AE66/10000+('4.综合指标表'!$L$87+'4.综合指标表'!$L$100)*AE79/10000</f>
        <v>0</v>
      </c>
      <c r="AF171" s="876">
        <f>('4.综合指标表'!$G$87+'4.综合指标表'!$G$100)*AF14/10000+('4.综合指标表'!$H$87+'4.综合指标表'!$H$100)*AF27/10000+('4.综合指标表'!$I$87+'4.综合指标表'!$I$100)*AF40/10000+('4.综合指标表'!$J$87+'4.综合指标表'!$J$100)*AF53/10000+('4.综合指标表'!$K$87+'4.综合指标表'!$K$100)*AF66/10000+('4.综合指标表'!$L$87+'4.综合指标表'!$L$100)*AF79/10000</f>
        <v>0</v>
      </c>
      <c r="AG171" s="876">
        <f>('4.综合指标表'!$G$87+'4.综合指标表'!$G$100)*AG14/10000+('4.综合指标表'!$H$87+'4.综合指标表'!$H$100)*AG27/10000+('4.综合指标表'!$I$87+'4.综合指标表'!$I$100)*AG40/10000+('4.综合指标表'!$J$87+'4.综合指标表'!$J$100)*AG53/10000+('4.综合指标表'!$K$87+'4.综合指标表'!$K$100)*AG66/10000+('4.综合指标表'!$L$87+'4.综合指标表'!$L$100)*AG79/10000</f>
        <v>0</v>
      </c>
      <c r="AH171" s="876">
        <f>('4.综合指标表'!$G$87+'4.综合指标表'!$G$100)*AH14/10000+('4.综合指标表'!$H$87+'4.综合指标表'!$H$100)*AH27/10000+('4.综合指标表'!$I$87+'4.综合指标表'!$I$100)*AH40/10000+('4.综合指标表'!$J$87+'4.综合指标表'!$J$100)*AH53/10000+('4.综合指标表'!$K$87+'4.综合指标表'!$K$100)*AH66/10000+('4.综合指标表'!$L$87+'4.综合指标表'!$L$100)*AH79/10000</f>
        <v>0</v>
      </c>
      <c r="AI171" s="875">
        <f>('4.综合指标表'!$G$87+'4.综合指标表'!$G$100)*AI14/10000+('4.综合指标表'!$H$87+'4.综合指标表'!$H$100)*AI27/10000+('4.综合指标表'!$I$87+'4.综合指标表'!$I$100)*AI40/10000+('4.综合指标表'!$J$87+'4.综合指标表'!$J$100)*AI53/10000+('4.综合指标表'!$K$87+'4.综合指标表'!$K$100)*AI66/10000+('4.综合指标表'!$L$87+'4.综合指标表'!$L$100)*AI79/10000</f>
        <v>0</v>
      </c>
      <c r="AJ171" s="876">
        <f>('4.综合指标表'!$G$87+'4.综合指标表'!$G$100)*AJ14/10000+('4.综合指标表'!$H$87+'4.综合指标表'!$H$100)*AJ27/10000+('4.综合指标表'!$I$87+'4.综合指标表'!$I$100)*AJ40/10000+('4.综合指标表'!$J$87+'4.综合指标表'!$J$100)*AJ53/10000+('4.综合指标表'!$K$87+'4.综合指标表'!$K$100)*AJ66/10000+('4.综合指标表'!$L$87+'4.综合指标表'!$L$100)*AJ79/10000</f>
        <v>0</v>
      </c>
      <c r="AK171" s="876">
        <f>('4.综合指标表'!$G$87+'4.综合指标表'!$G$100)*AK14/10000+('4.综合指标表'!$H$87+'4.综合指标表'!$H$100)*AK27/10000+('4.综合指标表'!$I$87+'4.综合指标表'!$I$100)*AK40/10000+('4.综合指标表'!$J$87+'4.综合指标表'!$J$100)*AK53/10000+('4.综合指标表'!$K$87+'4.综合指标表'!$K$100)*AK66/10000+('4.综合指标表'!$L$87+'4.综合指标表'!$L$100)*AK79/10000</f>
        <v>0</v>
      </c>
      <c r="AL171" s="876">
        <f>('4.综合指标表'!$G$87+'4.综合指标表'!$G$100)*AL14/10000+('4.综合指标表'!$H$87+'4.综合指标表'!$H$100)*AL27/10000+('4.综合指标表'!$I$87+'4.综合指标表'!$I$100)*AL40/10000+('4.综合指标表'!$J$87+'4.综合指标表'!$J$100)*AL53/10000+('4.综合指标表'!$K$87+'4.综合指标表'!$K$100)*AL66/10000+('4.综合指标表'!$L$87+'4.综合指标表'!$L$100)*AL79/10000</f>
        <v>0</v>
      </c>
      <c r="AM171" s="875">
        <f>('4.综合指标表'!$G$87+'4.综合指标表'!$G$100)*AM14/10000+('4.综合指标表'!$H$87+'4.综合指标表'!$H$100)*AM27/10000+('4.综合指标表'!$I$87+'4.综合指标表'!$I$100)*AM40/10000+('4.综合指标表'!$J$87+'4.综合指标表'!$J$100)*AM53/10000+('4.综合指标表'!$K$87+'4.综合指标表'!$K$100)*AM66/10000+('4.综合指标表'!$L$87+'4.综合指标表'!$L$100)*AM79/10000</f>
        <v>0</v>
      </c>
      <c r="AN171" s="876">
        <f>('4.综合指标表'!$G$87+'4.综合指标表'!$G$100)*AN14/10000+('4.综合指标表'!$H$87+'4.综合指标表'!$H$100)*AN27/10000+('4.综合指标表'!$I$87+'4.综合指标表'!$I$100)*AN40/10000+('4.综合指标表'!$J$87+'4.综合指标表'!$J$100)*AN53/10000+('4.综合指标表'!$K$87+'4.综合指标表'!$K$100)*AN66/10000+('4.综合指标表'!$L$87+'4.综合指标表'!$L$100)*AN79/10000</f>
        <v>0</v>
      </c>
      <c r="AO171" s="876">
        <f>('4.综合指标表'!$G$87+'4.综合指标表'!$G$100)*AO14/10000+('4.综合指标表'!$H$87+'4.综合指标表'!$H$100)*AO27/10000+('4.综合指标表'!$I$87+'4.综合指标表'!$I$100)*AO40/10000+('4.综合指标表'!$J$87+'4.综合指标表'!$J$100)*AO53/10000+('4.综合指标表'!$K$87+'4.综合指标表'!$K$100)*AO66/10000+('4.综合指标表'!$L$87+'4.综合指标表'!$L$100)*AO79/10000</f>
        <v>0</v>
      </c>
      <c r="AP171" s="876">
        <f>('4.综合指标表'!$G$87+'4.综合指标表'!$G$100)*AP14/10000+('4.综合指标表'!$H$87+'4.综合指标表'!$H$100)*AP27/10000+('4.综合指标表'!$I$87+'4.综合指标表'!$I$100)*AP40/10000+('4.综合指标表'!$J$87+'4.综合指标表'!$J$100)*AP53/10000+('4.综合指标表'!$K$87+'4.综合指标表'!$K$100)*AP66/10000+('4.综合指标表'!$L$87+'4.综合指标表'!$L$100)*AP79/10000</f>
        <v>0</v>
      </c>
      <c r="AQ171" s="875">
        <f>('4.综合指标表'!$G$87+'4.综合指标表'!$G$100)*AQ14/10000+('4.综合指标表'!$H$87+'4.综合指标表'!$H$100)*AQ27/10000+('4.综合指标表'!$I$87+'4.综合指标表'!$I$100)*AQ40/10000+('4.综合指标表'!$J$87+'4.综合指标表'!$J$100)*AQ53/10000+('4.综合指标表'!$K$87+'4.综合指标表'!$K$100)*AQ66/10000+('4.综合指标表'!$L$87+'4.综合指标表'!$L$100)*AQ79/10000</f>
        <v>0</v>
      </c>
      <c r="AR171" s="876">
        <f>('4.综合指标表'!$G$87+'4.综合指标表'!$G$100)*AR14/10000+('4.综合指标表'!$H$87+'4.综合指标表'!$H$100)*AR27/10000+('4.综合指标表'!$I$87+'4.综合指标表'!$I$100)*AR40/10000+('4.综合指标表'!$J$87+'4.综合指标表'!$J$100)*AR53/10000+('4.综合指标表'!$K$87+'4.综合指标表'!$K$100)*AR66/10000+('4.综合指标表'!$L$87+'4.综合指标表'!$L$100)*AR79/10000</f>
        <v>0</v>
      </c>
      <c r="AS171" s="876">
        <f>('4.综合指标表'!$G$87+'4.综合指标表'!$G$100)*AS14/10000+('4.综合指标表'!$H$87+'4.综合指标表'!$H$100)*AS27/10000+('4.综合指标表'!$I$87+'4.综合指标表'!$I$100)*AS40/10000+('4.综合指标表'!$J$87+'4.综合指标表'!$J$100)*AS53/10000+('4.综合指标表'!$K$87+'4.综合指标表'!$K$100)*AS66/10000+('4.综合指标表'!$L$87+'4.综合指标表'!$L$100)*AS79/10000</f>
        <v>0</v>
      </c>
      <c r="AT171" s="876">
        <f>('4.综合指标表'!$G$87+'4.综合指标表'!$G$100)*AT14/10000+('4.综合指标表'!$H$87+'4.综合指标表'!$H$100)*AT27/10000+('4.综合指标表'!$I$87+'4.综合指标表'!$I$100)*AT40/10000+('4.综合指标表'!$J$87+'4.综合指标表'!$J$100)*AT53/10000+('4.综合指标表'!$K$87+'4.综合指标表'!$K$100)*AT66/10000+('4.综合指标表'!$L$87+'4.综合指标表'!$L$100)*AT79/10000</f>
        <v>0</v>
      </c>
    </row>
    <row r="172" spans="1:46" s="247" customFormat="1" ht="18" customHeight="1" outlineLevel="1">
      <c r="A172" s="874">
        <f>'8.项目规划指标表'!B12</f>
        <v>0</v>
      </c>
      <c r="B172" s="870">
        <f t="shared" si="20"/>
        <v>0</v>
      </c>
      <c r="C172" s="875">
        <f>('4.综合指标表'!$G$88+'4.综合指标表'!$G$101)*C15/10000+('4.综合指标表'!$H$88+'4.综合指标表'!$H$101)*C28/10000+('4.综合指标表'!$I$88+'4.综合指标表'!$I$101)*C41/10000+('4.综合指标表'!$J$88+'4.综合指标表'!$J$101)*C54/10000+('4.综合指标表'!$K$88+'4.综合指标表'!$K$101)*C67/10000+('4.综合指标表'!$L$88+'4.综合指标表'!$L$101)*C80/10000</f>
        <v>0</v>
      </c>
      <c r="D172" s="876">
        <f>('4.综合指标表'!$G$88+'4.综合指标表'!$G$101)*D15/10000+('4.综合指标表'!$H$88+'4.综合指标表'!$H$101)*D28/10000+('4.综合指标表'!$I$88+'4.综合指标表'!$I$101)*D41/10000+('4.综合指标表'!$J$88+'4.综合指标表'!$J$101)*D54/10000+('4.综合指标表'!$K$88+'4.综合指标表'!$K$101)*D67/10000+('4.综合指标表'!$L$88+'4.综合指标表'!$L$101)*D80/10000</f>
        <v>0</v>
      </c>
      <c r="E172" s="876">
        <f>('4.综合指标表'!$G$88+'4.综合指标表'!$G$101)*E15/10000+('4.综合指标表'!$H$88+'4.综合指标表'!$H$101)*E28/10000+('4.综合指标表'!$I$88+'4.综合指标表'!$I$101)*E41/10000+('4.综合指标表'!$J$88+'4.综合指标表'!$J$101)*E54/10000+('4.综合指标表'!$K$88+'4.综合指标表'!$K$101)*E67/10000+('4.综合指标表'!$L$88+'4.综合指标表'!$L$101)*E80/10000</f>
        <v>0</v>
      </c>
      <c r="F172" s="876">
        <f>('4.综合指标表'!$G$88+'4.综合指标表'!$G$101)*F15/10000+('4.综合指标表'!$H$88+'4.综合指标表'!$H$101)*F28/10000+('4.综合指标表'!$I$88+'4.综合指标表'!$I$101)*F41/10000+('4.综合指标表'!$J$88+'4.综合指标表'!$J$101)*F54/10000+('4.综合指标表'!$K$88+'4.综合指标表'!$K$101)*F67/10000+('4.综合指标表'!$L$88+'4.综合指标表'!$L$101)*F80/10000</f>
        <v>0</v>
      </c>
      <c r="G172" s="875">
        <f>('4.综合指标表'!$G$88+'4.综合指标表'!$G$101)*G15/10000+('4.综合指标表'!$H$88+'4.综合指标表'!$H$101)*G28/10000+('4.综合指标表'!$I$88+'4.综合指标表'!$I$101)*G41/10000+('4.综合指标表'!$J$88+'4.综合指标表'!$J$101)*G54/10000+('4.综合指标表'!$K$88+'4.综合指标表'!$K$101)*G67/10000+('4.综合指标表'!$L$88+'4.综合指标表'!$L$101)*G80/10000</f>
        <v>0</v>
      </c>
      <c r="H172" s="876">
        <f>('4.综合指标表'!$G$88+'4.综合指标表'!$G$101)*H15/10000+('4.综合指标表'!$H$88+'4.综合指标表'!$H$101)*H28/10000+('4.综合指标表'!$I$88+'4.综合指标表'!$I$101)*H41/10000+('4.综合指标表'!$J$88+'4.综合指标表'!$J$101)*H54/10000+('4.综合指标表'!$K$88+'4.综合指标表'!$K$101)*H67/10000+('4.综合指标表'!$L$88+'4.综合指标表'!$L$101)*H80/10000</f>
        <v>0</v>
      </c>
      <c r="I172" s="876">
        <f>('4.综合指标表'!$G$88+'4.综合指标表'!$G$101)*I15/10000+('4.综合指标表'!$H$88+'4.综合指标表'!$H$101)*I28/10000+('4.综合指标表'!$I$88+'4.综合指标表'!$I$101)*I41/10000+('4.综合指标表'!$J$88+'4.综合指标表'!$J$101)*I54/10000+('4.综合指标表'!$K$88+'4.综合指标表'!$K$101)*I67/10000+('4.综合指标表'!$L$88+'4.综合指标表'!$L$101)*I80/10000</f>
        <v>0</v>
      </c>
      <c r="J172" s="876">
        <f>('4.综合指标表'!$G$88+'4.综合指标表'!$G$101)*J15/10000+('4.综合指标表'!$H$88+'4.综合指标表'!$H$101)*J28/10000+('4.综合指标表'!$I$88+'4.综合指标表'!$I$101)*J41/10000+('4.综合指标表'!$J$88+'4.综合指标表'!$J$101)*J54/10000+('4.综合指标表'!$K$88+'4.综合指标表'!$K$101)*J67/10000+('4.综合指标表'!$L$88+'4.综合指标表'!$L$101)*J80/10000</f>
        <v>0</v>
      </c>
      <c r="K172" s="875">
        <f>('4.综合指标表'!$G$88+'4.综合指标表'!$G$101)*K15/10000+('4.综合指标表'!$H$88+'4.综合指标表'!$H$101)*K28/10000+('4.综合指标表'!$I$88+'4.综合指标表'!$I$101)*K41/10000+('4.综合指标表'!$J$88+'4.综合指标表'!$J$101)*K54/10000+('4.综合指标表'!$K$88+'4.综合指标表'!$K$101)*K67/10000+('4.综合指标表'!$L$88+'4.综合指标表'!$L$101)*K80/10000</f>
        <v>0</v>
      </c>
      <c r="L172" s="876">
        <f>('4.综合指标表'!$G$88+'4.综合指标表'!$G$101)*L15/10000+('4.综合指标表'!$H$88+'4.综合指标表'!$H$101)*L28/10000+('4.综合指标表'!$I$88+'4.综合指标表'!$I$101)*L41/10000+('4.综合指标表'!$J$88+'4.综合指标表'!$J$101)*L54/10000+('4.综合指标表'!$K$88+'4.综合指标表'!$K$101)*L67/10000+('4.综合指标表'!$L$88+'4.综合指标表'!$L$101)*L80/10000</f>
        <v>0</v>
      </c>
      <c r="M172" s="876">
        <f>('4.综合指标表'!$G$88+'4.综合指标表'!$G$101)*M15/10000+('4.综合指标表'!$H$88+'4.综合指标表'!$H$101)*M28/10000+('4.综合指标表'!$I$88+'4.综合指标表'!$I$101)*M41/10000+('4.综合指标表'!$J$88+'4.综合指标表'!$J$101)*M54/10000+('4.综合指标表'!$K$88+'4.综合指标表'!$K$101)*M67/10000+('4.综合指标表'!$L$88+'4.综合指标表'!$L$101)*M80/10000</f>
        <v>0</v>
      </c>
      <c r="N172" s="876">
        <f>('4.综合指标表'!$G$88+'4.综合指标表'!$G$101)*N15/10000+('4.综合指标表'!$H$88+'4.综合指标表'!$H$101)*N28/10000+('4.综合指标表'!$I$88+'4.综合指标表'!$I$101)*N41/10000+('4.综合指标表'!$J$88+'4.综合指标表'!$J$101)*N54/10000+('4.综合指标表'!$K$88+'4.综合指标表'!$K$101)*N67/10000+('4.综合指标表'!$L$88+'4.综合指标表'!$L$101)*N80/10000</f>
        <v>0</v>
      </c>
      <c r="O172" s="875">
        <f>('4.综合指标表'!$G$88+'4.综合指标表'!$G$101)*O15/10000+('4.综合指标表'!$H$88+'4.综合指标表'!$H$101)*O28/10000+('4.综合指标表'!$I$88+'4.综合指标表'!$I$101)*O41/10000+('4.综合指标表'!$J$88+'4.综合指标表'!$J$101)*O54/10000+('4.综合指标表'!$K$88+'4.综合指标表'!$K$101)*O67/10000+('4.综合指标表'!$L$88+'4.综合指标表'!$L$101)*O80/10000</f>
        <v>0</v>
      </c>
      <c r="P172" s="876">
        <f>('4.综合指标表'!$G$88+'4.综合指标表'!$G$101)*P15/10000+('4.综合指标表'!$H$88+'4.综合指标表'!$H$101)*P28/10000+('4.综合指标表'!$I$88+'4.综合指标表'!$I$101)*P41/10000+('4.综合指标表'!$J$88+'4.综合指标表'!$J$101)*P54/10000+('4.综合指标表'!$K$88+'4.综合指标表'!$K$101)*P67/10000+('4.综合指标表'!$L$88+'4.综合指标表'!$L$101)*P80/10000</f>
        <v>0</v>
      </c>
      <c r="Q172" s="876">
        <f>('4.综合指标表'!$G$88+'4.综合指标表'!$G$101)*Q15/10000+('4.综合指标表'!$H$88+'4.综合指标表'!$H$101)*Q28/10000+('4.综合指标表'!$I$88+'4.综合指标表'!$I$101)*Q41/10000+('4.综合指标表'!$J$88+'4.综合指标表'!$J$101)*Q54/10000+('4.综合指标表'!$K$88+'4.综合指标表'!$K$101)*Q67/10000+('4.综合指标表'!$L$88+'4.综合指标表'!$L$101)*Q80/10000</f>
        <v>0</v>
      </c>
      <c r="R172" s="876">
        <f>('4.综合指标表'!$G$88+'4.综合指标表'!$G$101)*R15/10000+('4.综合指标表'!$H$88+'4.综合指标表'!$H$101)*R28/10000+('4.综合指标表'!$I$88+'4.综合指标表'!$I$101)*R41/10000+('4.综合指标表'!$J$88+'4.综合指标表'!$J$101)*R54/10000+('4.综合指标表'!$K$88+'4.综合指标表'!$K$101)*R67/10000+('4.综合指标表'!$L$88+'4.综合指标表'!$L$101)*R80/10000</f>
        <v>0</v>
      </c>
      <c r="S172" s="875">
        <f>('4.综合指标表'!$G$88+'4.综合指标表'!$G$101)*S15/10000+('4.综合指标表'!$H$88+'4.综合指标表'!$H$101)*S28/10000+('4.综合指标表'!$I$88+'4.综合指标表'!$I$101)*S41/10000+('4.综合指标表'!$J$88+'4.综合指标表'!$J$101)*S54/10000+('4.综合指标表'!$K$88+'4.综合指标表'!$K$101)*S67/10000+('4.综合指标表'!$L$88+'4.综合指标表'!$L$101)*S80/10000</f>
        <v>0</v>
      </c>
      <c r="T172" s="876">
        <f>('4.综合指标表'!$G$88+'4.综合指标表'!$G$101)*T15/10000+('4.综合指标表'!$H$88+'4.综合指标表'!$H$101)*T28/10000+('4.综合指标表'!$I$88+'4.综合指标表'!$I$101)*T41/10000+('4.综合指标表'!$J$88+'4.综合指标表'!$J$101)*T54/10000+('4.综合指标表'!$K$88+'4.综合指标表'!$K$101)*T67/10000+('4.综合指标表'!$L$88+'4.综合指标表'!$L$101)*T80/10000</f>
        <v>0</v>
      </c>
      <c r="U172" s="876">
        <f>('4.综合指标表'!$G$88+'4.综合指标表'!$G$101)*U15/10000+('4.综合指标表'!$H$88+'4.综合指标表'!$H$101)*U28/10000+('4.综合指标表'!$I$88+'4.综合指标表'!$I$101)*U41/10000+('4.综合指标表'!$J$88+'4.综合指标表'!$J$101)*U54/10000+('4.综合指标表'!$K$88+'4.综合指标表'!$K$101)*U67/10000+('4.综合指标表'!$L$88+'4.综合指标表'!$L$101)*U80/10000</f>
        <v>0</v>
      </c>
      <c r="V172" s="876">
        <f>('4.综合指标表'!$G$88+'4.综合指标表'!$G$101)*V15/10000+('4.综合指标表'!$H$88+'4.综合指标表'!$H$101)*V28/10000+('4.综合指标表'!$I$88+'4.综合指标表'!$I$101)*V41/10000+('4.综合指标表'!$J$88+'4.综合指标表'!$J$101)*V54/10000+('4.综合指标表'!$K$88+'4.综合指标表'!$K$101)*V67/10000+('4.综合指标表'!$L$88+'4.综合指标表'!$L$101)*V80/10000</f>
        <v>0</v>
      </c>
      <c r="W172" s="875">
        <f>('4.综合指标表'!$G$88+'4.综合指标表'!$G$101)*W15/10000+('4.综合指标表'!$H$88+'4.综合指标表'!$H$101)*W28/10000+('4.综合指标表'!$I$88+'4.综合指标表'!$I$101)*W41/10000+('4.综合指标表'!$J$88+'4.综合指标表'!$J$101)*W54/10000+('4.综合指标表'!$K$88+'4.综合指标表'!$K$101)*W67/10000+('4.综合指标表'!$L$88+'4.综合指标表'!$L$101)*W80/10000</f>
        <v>0</v>
      </c>
      <c r="X172" s="876">
        <f>('4.综合指标表'!$G$88+'4.综合指标表'!$G$101)*X15/10000+('4.综合指标表'!$H$88+'4.综合指标表'!$H$101)*X28/10000+('4.综合指标表'!$I$88+'4.综合指标表'!$I$101)*X41/10000+('4.综合指标表'!$J$88+'4.综合指标表'!$J$101)*X54/10000+('4.综合指标表'!$K$88+'4.综合指标表'!$K$101)*X67/10000+('4.综合指标表'!$L$88+'4.综合指标表'!$L$101)*X80/10000</f>
        <v>0</v>
      </c>
      <c r="Y172" s="876">
        <f>('4.综合指标表'!$G$88+'4.综合指标表'!$G$101)*Y15/10000+('4.综合指标表'!$H$88+'4.综合指标表'!$H$101)*Y28/10000+('4.综合指标表'!$I$88+'4.综合指标表'!$I$101)*Y41/10000+('4.综合指标表'!$J$88+'4.综合指标表'!$J$101)*Y54/10000+('4.综合指标表'!$K$88+'4.综合指标表'!$K$101)*Y67/10000+('4.综合指标表'!$L$88+'4.综合指标表'!$L$101)*Y80/10000</f>
        <v>0</v>
      </c>
      <c r="Z172" s="876">
        <f>('4.综合指标表'!$G$88+'4.综合指标表'!$G$101)*Z15/10000+('4.综合指标表'!$H$88+'4.综合指标表'!$H$101)*Z28/10000+('4.综合指标表'!$I$88+'4.综合指标表'!$I$101)*Z41/10000+('4.综合指标表'!$J$88+'4.综合指标表'!$J$101)*Z54/10000+('4.综合指标表'!$K$88+'4.综合指标表'!$K$101)*Z67/10000+('4.综合指标表'!$L$88+'4.综合指标表'!$L$101)*Z80/10000</f>
        <v>0</v>
      </c>
      <c r="AA172" s="875">
        <f>('4.综合指标表'!$G$88+'4.综合指标表'!$G$101)*AA15/10000+('4.综合指标表'!$H$88+'4.综合指标表'!$H$101)*AA28/10000+('4.综合指标表'!$I$88+'4.综合指标表'!$I$101)*AA41/10000+('4.综合指标表'!$J$88+'4.综合指标表'!$J$101)*AA54/10000+('4.综合指标表'!$K$88+'4.综合指标表'!$K$101)*AA67/10000+('4.综合指标表'!$L$88+'4.综合指标表'!$L$101)*AA80/10000</f>
        <v>0</v>
      </c>
      <c r="AB172" s="876">
        <f>('4.综合指标表'!$G$88+'4.综合指标表'!$G$101)*AB15/10000+('4.综合指标表'!$H$88+'4.综合指标表'!$H$101)*AB28/10000+('4.综合指标表'!$I$88+'4.综合指标表'!$I$101)*AB41/10000+('4.综合指标表'!$J$88+'4.综合指标表'!$J$101)*AB54/10000+('4.综合指标表'!$K$88+'4.综合指标表'!$K$101)*AB67/10000+('4.综合指标表'!$L$88+'4.综合指标表'!$L$101)*AB80/10000</f>
        <v>0</v>
      </c>
      <c r="AC172" s="876">
        <f>('4.综合指标表'!$G$88+'4.综合指标表'!$G$101)*AC15/10000+('4.综合指标表'!$H$88+'4.综合指标表'!$H$101)*AC28/10000+('4.综合指标表'!$I$88+'4.综合指标表'!$I$101)*AC41/10000+('4.综合指标表'!$J$88+'4.综合指标表'!$J$101)*AC54/10000+('4.综合指标表'!$K$88+'4.综合指标表'!$K$101)*AC67/10000+('4.综合指标表'!$L$88+'4.综合指标表'!$L$101)*AC80/10000</f>
        <v>0</v>
      </c>
      <c r="AD172" s="876">
        <f>('4.综合指标表'!$G$88+'4.综合指标表'!$G$101)*AD15/10000+('4.综合指标表'!$H$88+'4.综合指标表'!$H$101)*AD28/10000+('4.综合指标表'!$I$88+'4.综合指标表'!$I$101)*AD41/10000+('4.综合指标表'!$J$88+'4.综合指标表'!$J$101)*AD54/10000+('4.综合指标表'!$K$88+'4.综合指标表'!$K$101)*AD67/10000+('4.综合指标表'!$L$88+'4.综合指标表'!$L$101)*AD80/10000</f>
        <v>0</v>
      </c>
      <c r="AE172" s="875">
        <f>('4.综合指标表'!$G$88+'4.综合指标表'!$G$101)*AE15/10000+('4.综合指标表'!$H$88+'4.综合指标表'!$H$101)*AE28/10000+('4.综合指标表'!$I$88+'4.综合指标表'!$I$101)*AE41/10000+('4.综合指标表'!$J$88+'4.综合指标表'!$J$101)*AE54/10000+('4.综合指标表'!$K$88+'4.综合指标表'!$K$101)*AE67/10000+('4.综合指标表'!$L$88+'4.综合指标表'!$L$101)*AE80/10000</f>
        <v>0</v>
      </c>
      <c r="AF172" s="876">
        <f>('4.综合指标表'!$G$88+'4.综合指标表'!$G$101)*AF15/10000+('4.综合指标表'!$H$88+'4.综合指标表'!$H$101)*AF28/10000+('4.综合指标表'!$I$88+'4.综合指标表'!$I$101)*AF41/10000+('4.综合指标表'!$J$88+'4.综合指标表'!$J$101)*AF54/10000+('4.综合指标表'!$K$88+'4.综合指标表'!$K$101)*AF67/10000+('4.综合指标表'!$L$88+'4.综合指标表'!$L$101)*AF80/10000</f>
        <v>0</v>
      </c>
      <c r="AG172" s="876">
        <f>('4.综合指标表'!$G$88+'4.综合指标表'!$G$101)*AG15/10000+('4.综合指标表'!$H$88+'4.综合指标表'!$H$101)*AG28/10000+('4.综合指标表'!$I$88+'4.综合指标表'!$I$101)*AG41/10000+('4.综合指标表'!$J$88+'4.综合指标表'!$J$101)*AG54/10000+('4.综合指标表'!$K$88+'4.综合指标表'!$K$101)*AG67/10000+('4.综合指标表'!$L$88+'4.综合指标表'!$L$101)*AG80/10000</f>
        <v>0</v>
      </c>
      <c r="AH172" s="876">
        <f>('4.综合指标表'!$G$88+'4.综合指标表'!$G$101)*AH15/10000+('4.综合指标表'!$H$88+'4.综合指标表'!$H$101)*AH28/10000+('4.综合指标表'!$I$88+'4.综合指标表'!$I$101)*AH41/10000+('4.综合指标表'!$J$88+'4.综合指标表'!$J$101)*AH54/10000+('4.综合指标表'!$K$88+'4.综合指标表'!$K$101)*AH67/10000+('4.综合指标表'!$L$88+'4.综合指标表'!$L$101)*AH80/10000</f>
        <v>0</v>
      </c>
      <c r="AI172" s="875">
        <f>('4.综合指标表'!$G$88+'4.综合指标表'!$G$101)*AI15/10000+('4.综合指标表'!$H$88+'4.综合指标表'!$H$101)*AI28/10000+('4.综合指标表'!$I$88+'4.综合指标表'!$I$101)*AI41/10000+('4.综合指标表'!$J$88+'4.综合指标表'!$J$101)*AI54/10000+('4.综合指标表'!$K$88+'4.综合指标表'!$K$101)*AI67/10000+('4.综合指标表'!$L$88+'4.综合指标表'!$L$101)*AI80/10000</f>
        <v>0</v>
      </c>
      <c r="AJ172" s="876">
        <f>('4.综合指标表'!$G$88+'4.综合指标表'!$G$101)*AJ15/10000+('4.综合指标表'!$H$88+'4.综合指标表'!$H$101)*AJ28/10000+('4.综合指标表'!$I$88+'4.综合指标表'!$I$101)*AJ41/10000+('4.综合指标表'!$J$88+'4.综合指标表'!$J$101)*AJ54/10000+('4.综合指标表'!$K$88+'4.综合指标表'!$K$101)*AJ67/10000+('4.综合指标表'!$L$88+'4.综合指标表'!$L$101)*AJ80/10000</f>
        <v>0</v>
      </c>
      <c r="AK172" s="876">
        <f>('4.综合指标表'!$G$88+'4.综合指标表'!$G$101)*AK15/10000+('4.综合指标表'!$H$88+'4.综合指标表'!$H$101)*AK28/10000+('4.综合指标表'!$I$88+'4.综合指标表'!$I$101)*AK41/10000+('4.综合指标表'!$J$88+'4.综合指标表'!$J$101)*AK54/10000+('4.综合指标表'!$K$88+'4.综合指标表'!$K$101)*AK67/10000+('4.综合指标表'!$L$88+'4.综合指标表'!$L$101)*AK80/10000</f>
        <v>0</v>
      </c>
      <c r="AL172" s="876">
        <f>('4.综合指标表'!$G$88+'4.综合指标表'!$G$101)*AL15/10000+('4.综合指标表'!$H$88+'4.综合指标表'!$H$101)*AL28/10000+('4.综合指标表'!$I$88+'4.综合指标表'!$I$101)*AL41/10000+('4.综合指标表'!$J$88+'4.综合指标表'!$J$101)*AL54/10000+('4.综合指标表'!$K$88+'4.综合指标表'!$K$101)*AL67/10000+('4.综合指标表'!$L$88+'4.综合指标表'!$L$101)*AL80/10000</f>
        <v>0</v>
      </c>
      <c r="AM172" s="875">
        <f>('4.综合指标表'!$G$88+'4.综合指标表'!$G$101)*AM15/10000+('4.综合指标表'!$H$88+'4.综合指标表'!$H$101)*AM28/10000+('4.综合指标表'!$I$88+'4.综合指标表'!$I$101)*AM41/10000+('4.综合指标表'!$J$88+'4.综合指标表'!$J$101)*AM54/10000+('4.综合指标表'!$K$88+'4.综合指标表'!$K$101)*AM67/10000+('4.综合指标表'!$L$88+'4.综合指标表'!$L$101)*AM80/10000</f>
        <v>0</v>
      </c>
      <c r="AN172" s="876">
        <f>('4.综合指标表'!$G$88+'4.综合指标表'!$G$101)*AN15/10000+('4.综合指标表'!$H$88+'4.综合指标表'!$H$101)*AN28/10000+('4.综合指标表'!$I$88+'4.综合指标表'!$I$101)*AN41/10000+('4.综合指标表'!$J$88+'4.综合指标表'!$J$101)*AN54/10000+('4.综合指标表'!$K$88+'4.综合指标表'!$K$101)*AN67/10000+('4.综合指标表'!$L$88+'4.综合指标表'!$L$101)*AN80/10000</f>
        <v>0</v>
      </c>
      <c r="AO172" s="876">
        <f>('4.综合指标表'!$G$88+'4.综合指标表'!$G$101)*AO15/10000+('4.综合指标表'!$H$88+'4.综合指标表'!$H$101)*AO28/10000+('4.综合指标表'!$I$88+'4.综合指标表'!$I$101)*AO41/10000+('4.综合指标表'!$J$88+'4.综合指标表'!$J$101)*AO54/10000+('4.综合指标表'!$K$88+'4.综合指标表'!$K$101)*AO67/10000+('4.综合指标表'!$L$88+'4.综合指标表'!$L$101)*AO80/10000</f>
        <v>0</v>
      </c>
      <c r="AP172" s="876">
        <f>('4.综合指标表'!$G$88+'4.综合指标表'!$G$101)*AP15/10000+('4.综合指标表'!$H$88+'4.综合指标表'!$H$101)*AP28/10000+('4.综合指标表'!$I$88+'4.综合指标表'!$I$101)*AP41/10000+('4.综合指标表'!$J$88+'4.综合指标表'!$J$101)*AP54/10000+('4.综合指标表'!$K$88+'4.综合指标表'!$K$101)*AP67/10000+('4.综合指标表'!$L$88+'4.综合指标表'!$L$101)*AP80/10000</f>
        <v>0</v>
      </c>
      <c r="AQ172" s="875">
        <f>('4.综合指标表'!$G$88+'4.综合指标表'!$G$101)*AQ15/10000+('4.综合指标表'!$H$88+'4.综合指标表'!$H$101)*AQ28/10000+('4.综合指标表'!$I$88+'4.综合指标表'!$I$101)*AQ41/10000+('4.综合指标表'!$J$88+'4.综合指标表'!$J$101)*AQ54/10000+('4.综合指标表'!$K$88+'4.综合指标表'!$K$101)*AQ67/10000+('4.综合指标表'!$L$88+'4.综合指标表'!$L$101)*AQ80/10000</f>
        <v>0</v>
      </c>
      <c r="AR172" s="876">
        <f>('4.综合指标表'!$G$88+'4.综合指标表'!$G$101)*AR15/10000+('4.综合指标表'!$H$88+'4.综合指标表'!$H$101)*AR28/10000+('4.综合指标表'!$I$88+'4.综合指标表'!$I$101)*AR41/10000+('4.综合指标表'!$J$88+'4.综合指标表'!$J$101)*AR54/10000+('4.综合指标表'!$K$88+'4.综合指标表'!$K$101)*AR67/10000+('4.综合指标表'!$L$88+'4.综合指标表'!$L$101)*AR80/10000</f>
        <v>0</v>
      </c>
      <c r="AS172" s="876">
        <f>('4.综合指标表'!$G$88+'4.综合指标表'!$G$101)*AS15/10000+('4.综合指标表'!$H$88+'4.综合指标表'!$H$101)*AS28/10000+('4.综合指标表'!$I$88+'4.综合指标表'!$I$101)*AS41/10000+('4.综合指标表'!$J$88+'4.综合指标表'!$J$101)*AS54/10000+('4.综合指标表'!$K$88+'4.综合指标表'!$K$101)*AS67/10000+('4.综合指标表'!$L$88+'4.综合指标表'!$L$101)*AS80/10000</f>
        <v>0</v>
      </c>
      <c r="AT172" s="876">
        <f>('4.综合指标表'!$G$88+'4.综合指标表'!$G$101)*AT15/10000+('4.综合指标表'!$H$88+'4.综合指标表'!$H$101)*AT28/10000+('4.综合指标表'!$I$88+'4.综合指标表'!$I$101)*AT41/10000+('4.综合指标表'!$J$88+'4.综合指标表'!$J$101)*AT54/10000+('4.综合指标表'!$K$88+'4.综合指标表'!$K$101)*AT67/10000+('4.综合指标表'!$L$88+'4.综合指标表'!$L$101)*AT80/10000</f>
        <v>0</v>
      </c>
    </row>
    <row r="173" spans="1:46" s="247" customFormat="1" ht="18" customHeight="1" outlineLevel="1">
      <c r="A173" s="874">
        <f>'8.项目规划指标表'!B13</f>
        <v>0</v>
      </c>
      <c r="B173" s="870">
        <f t="shared" si="20"/>
        <v>0</v>
      </c>
      <c r="C173" s="875">
        <f>('4.综合指标表'!$G$89+'4.综合指标表'!$G$102)*C16/10000+('4.综合指标表'!$H$89+'4.综合指标表'!$H$102)*C29/10000+('4.综合指标表'!$I$89+'4.综合指标表'!$I$102)*C42/10000+('4.综合指标表'!$J$89+'4.综合指标表'!$J$102)*C55/10000+('4.综合指标表'!$K$89+'4.综合指标表'!$K$102)*C68/10000+('4.综合指标表'!$L$89+'4.综合指标表'!$L$102)*C81/10000</f>
        <v>0</v>
      </c>
      <c r="D173" s="876">
        <f>('4.综合指标表'!$G$89+'4.综合指标表'!$G$102)*D16/10000+('4.综合指标表'!$H$89+'4.综合指标表'!$H$102)*D29/10000+('4.综合指标表'!$I$89+'4.综合指标表'!$I$102)*D42/10000+('4.综合指标表'!$J$89+'4.综合指标表'!$J$102)*D55/10000+('4.综合指标表'!$K$89+'4.综合指标表'!$K$102)*D68/10000+('4.综合指标表'!$L$89+'4.综合指标表'!$L$102)*D81/10000</f>
        <v>0</v>
      </c>
      <c r="E173" s="876">
        <f>('4.综合指标表'!$G$89+'4.综合指标表'!$G$102)*E16/10000+('4.综合指标表'!$H$89+'4.综合指标表'!$H$102)*E29/10000+('4.综合指标表'!$I$89+'4.综合指标表'!$I$102)*E42/10000+('4.综合指标表'!$J$89+'4.综合指标表'!$J$102)*E55/10000+('4.综合指标表'!$K$89+'4.综合指标表'!$K$102)*E68/10000+('4.综合指标表'!$L$89+'4.综合指标表'!$L$102)*E81/10000</f>
        <v>0</v>
      </c>
      <c r="F173" s="876">
        <f>('4.综合指标表'!$G$89+'4.综合指标表'!$G$102)*F16/10000+('4.综合指标表'!$H$89+'4.综合指标表'!$H$102)*F29/10000+('4.综合指标表'!$I$89+'4.综合指标表'!$I$102)*F42/10000+('4.综合指标表'!$J$89+'4.综合指标表'!$J$102)*F55/10000+('4.综合指标表'!$K$89+'4.综合指标表'!$K$102)*F68/10000+('4.综合指标表'!$L$89+'4.综合指标表'!$L$102)*F81/10000</f>
        <v>0</v>
      </c>
      <c r="G173" s="875">
        <f>('4.综合指标表'!$G$89+'4.综合指标表'!$G$102)*G16/10000+('4.综合指标表'!$H$89+'4.综合指标表'!$H$102)*G29/10000+('4.综合指标表'!$I$89+'4.综合指标表'!$I$102)*G42/10000+('4.综合指标表'!$J$89+'4.综合指标表'!$J$102)*G55/10000+('4.综合指标表'!$K$89+'4.综合指标表'!$K$102)*G68/10000+('4.综合指标表'!$L$89+'4.综合指标表'!$L$102)*G81/10000</f>
        <v>0</v>
      </c>
      <c r="H173" s="876">
        <f>('4.综合指标表'!$G$89+'4.综合指标表'!$G$102)*H16/10000+('4.综合指标表'!$H$89+'4.综合指标表'!$H$102)*H29/10000+('4.综合指标表'!$I$89+'4.综合指标表'!$I$102)*H42/10000+('4.综合指标表'!$J$89+'4.综合指标表'!$J$102)*H55/10000+('4.综合指标表'!$K$89+'4.综合指标表'!$K$102)*H68/10000+('4.综合指标表'!$L$89+'4.综合指标表'!$L$102)*H81/10000</f>
        <v>0</v>
      </c>
      <c r="I173" s="876">
        <f>('4.综合指标表'!$G$89+'4.综合指标表'!$G$102)*I16/10000+('4.综合指标表'!$H$89+'4.综合指标表'!$H$102)*I29/10000+('4.综合指标表'!$I$89+'4.综合指标表'!$I$102)*I42/10000+('4.综合指标表'!$J$89+'4.综合指标表'!$J$102)*I55/10000+('4.综合指标表'!$K$89+'4.综合指标表'!$K$102)*I68/10000+('4.综合指标表'!$L$89+'4.综合指标表'!$L$102)*I81/10000</f>
        <v>0</v>
      </c>
      <c r="J173" s="876">
        <f>('4.综合指标表'!$G$89+'4.综合指标表'!$G$102)*J16/10000+('4.综合指标表'!$H$89+'4.综合指标表'!$H$102)*J29/10000+('4.综合指标表'!$I$89+'4.综合指标表'!$I$102)*J42/10000+('4.综合指标表'!$J$89+'4.综合指标表'!$J$102)*J55/10000+('4.综合指标表'!$K$89+'4.综合指标表'!$K$102)*J68/10000+('4.综合指标表'!$L$89+'4.综合指标表'!$L$102)*J81/10000</f>
        <v>0</v>
      </c>
      <c r="K173" s="875">
        <f>('4.综合指标表'!$G$89+'4.综合指标表'!$G$102)*K16/10000+('4.综合指标表'!$H$89+'4.综合指标表'!$H$102)*K29/10000+('4.综合指标表'!$I$89+'4.综合指标表'!$I$102)*K42/10000+('4.综合指标表'!$J$89+'4.综合指标表'!$J$102)*K55/10000+('4.综合指标表'!$K$89+'4.综合指标表'!$K$102)*K68/10000+('4.综合指标表'!$L$89+'4.综合指标表'!$L$102)*K81/10000</f>
        <v>0</v>
      </c>
      <c r="L173" s="876">
        <f>('4.综合指标表'!$G$89+'4.综合指标表'!$G$102)*L16/10000+('4.综合指标表'!$H$89+'4.综合指标表'!$H$102)*L29/10000+('4.综合指标表'!$I$89+'4.综合指标表'!$I$102)*L42/10000+('4.综合指标表'!$J$89+'4.综合指标表'!$J$102)*L55/10000+('4.综合指标表'!$K$89+'4.综合指标表'!$K$102)*L68/10000+('4.综合指标表'!$L$89+'4.综合指标表'!$L$102)*L81/10000</f>
        <v>0</v>
      </c>
      <c r="M173" s="876">
        <f>('4.综合指标表'!$G$89+'4.综合指标表'!$G$102)*M16/10000+('4.综合指标表'!$H$89+'4.综合指标表'!$H$102)*M29/10000+('4.综合指标表'!$I$89+'4.综合指标表'!$I$102)*M42/10000+('4.综合指标表'!$J$89+'4.综合指标表'!$J$102)*M55/10000+('4.综合指标表'!$K$89+'4.综合指标表'!$K$102)*M68/10000+('4.综合指标表'!$L$89+'4.综合指标表'!$L$102)*M81/10000</f>
        <v>0</v>
      </c>
      <c r="N173" s="876">
        <f>('4.综合指标表'!$G$89+'4.综合指标表'!$G$102)*N16/10000+('4.综合指标表'!$H$89+'4.综合指标表'!$H$102)*N29/10000+('4.综合指标表'!$I$89+'4.综合指标表'!$I$102)*N42/10000+('4.综合指标表'!$J$89+'4.综合指标表'!$J$102)*N55/10000+('4.综合指标表'!$K$89+'4.综合指标表'!$K$102)*N68/10000+('4.综合指标表'!$L$89+'4.综合指标表'!$L$102)*N81/10000</f>
        <v>0</v>
      </c>
      <c r="O173" s="875">
        <f>('4.综合指标表'!$G$89+'4.综合指标表'!$G$102)*O16/10000+('4.综合指标表'!$H$89+'4.综合指标表'!$H$102)*O29/10000+('4.综合指标表'!$I$89+'4.综合指标表'!$I$102)*O42/10000+('4.综合指标表'!$J$89+'4.综合指标表'!$J$102)*O55/10000+('4.综合指标表'!$K$89+'4.综合指标表'!$K$102)*O68/10000+('4.综合指标表'!$L$89+'4.综合指标表'!$L$102)*O81/10000</f>
        <v>0</v>
      </c>
      <c r="P173" s="876">
        <f>('4.综合指标表'!$G$89+'4.综合指标表'!$G$102)*P16/10000+('4.综合指标表'!$H$89+'4.综合指标表'!$H$102)*P29/10000+('4.综合指标表'!$I$89+'4.综合指标表'!$I$102)*P42/10000+('4.综合指标表'!$J$89+'4.综合指标表'!$J$102)*P55/10000+('4.综合指标表'!$K$89+'4.综合指标表'!$K$102)*P68/10000+('4.综合指标表'!$L$89+'4.综合指标表'!$L$102)*P81/10000</f>
        <v>0</v>
      </c>
      <c r="Q173" s="876">
        <f>('4.综合指标表'!$G$89+'4.综合指标表'!$G$102)*Q16/10000+('4.综合指标表'!$H$89+'4.综合指标表'!$H$102)*Q29/10000+('4.综合指标表'!$I$89+'4.综合指标表'!$I$102)*Q42/10000+('4.综合指标表'!$J$89+'4.综合指标表'!$J$102)*Q55/10000+('4.综合指标表'!$K$89+'4.综合指标表'!$K$102)*Q68/10000+('4.综合指标表'!$L$89+'4.综合指标表'!$L$102)*Q81/10000</f>
        <v>0</v>
      </c>
      <c r="R173" s="876">
        <f>('4.综合指标表'!$G$89+'4.综合指标表'!$G$102)*R16/10000+('4.综合指标表'!$H$89+'4.综合指标表'!$H$102)*R29/10000+('4.综合指标表'!$I$89+'4.综合指标表'!$I$102)*R42/10000+('4.综合指标表'!$J$89+'4.综合指标表'!$J$102)*R55/10000+('4.综合指标表'!$K$89+'4.综合指标表'!$K$102)*R68/10000+('4.综合指标表'!$L$89+'4.综合指标表'!$L$102)*R81/10000</f>
        <v>0</v>
      </c>
      <c r="S173" s="875">
        <f>('4.综合指标表'!$G$89+'4.综合指标表'!$G$102)*S16/10000+('4.综合指标表'!$H$89+'4.综合指标表'!$H$102)*S29/10000+('4.综合指标表'!$I$89+'4.综合指标表'!$I$102)*S42/10000+('4.综合指标表'!$J$89+'4.综合指标表'!$J$102)*S55/10000+('4.综合指标表'!$K$89+'4.综合指标表'!$K$102)*S68/10000+('4.综合指标表'!$L$89+'4.综合指标表'!$L$102)*S81/10000</f>
        <v>0</v>
      </c>
      <c r="T173" s="876">
        <f>('4.综合指标表'!$G$89+'4.综合指标表'!$G$102)*T16/10000+('4.综合指标表'!$H$89+'4.综合指标表'!$H$102)*T29/10000+('4.综合指标表'!$I$89+'4.综合指标表'!$I$102)*T42/10000+('4.综合指标表'!$J$89+'4.综合指标表'!$J$102)*T55/10000+('4.综合指标表'!$K$89+'4.综合指标表'!$K$102)*T68/10000+('4.综合指标表'!$L$89+'4.综合指标表'!$L$102)*T81/10000</f>
        <v>0</v>
      </c>
      <c r="U173" s="876">
        <f>('4.综合指标表'!$G$89+'4.综合指标表'!$G$102)*U16/10000+('4.综合指标表'!$H$89+'4.综合指标表'!$H$102)*U29/10000+('4.综合指标表'!$I$89+'4.综合指标表'!$I$102)*U42/10000+('4.综合指标表'!$J$89+'4.综合指标表'!$J$102)*U55/10000+('4.综合指标表'!$K$89+'4.综合指标表'!$K$102)*U68/10000+('4.综合指标表'!$L$89+'4.综合指标表'!$L$102)*U81/10000</f>
        <v>0</v>
      </c>
      <c r="V173" s="876">
        <f>('4.综合指标表'!$G$89+'4.综合指标表'!$G$102)*V16/10000+('4.综合指标表'!$H$89+'4.综合指标表'!$H$102)*V29/10000+('4.综合指标表'!$I$89+'4.综合指标表'!$I$102)*V42/10000+('4.综合指标表'!$J$89+'4.综合指标表'!$J$102)*V55/10000+('4.综合指标表'!$K$89+'4.综合指标表'!$K$102)*V68/10000+('4.综合指标表'!$L$89+'4.综合指标表'!$L$102)*V81/10000</f>
        <v>0</v>
      </c>
      <c r="W173" s="875">
        <f>('4.综合指标表'!$G$89+'4.综合指标表'!$G$102)*W16/10000+('4.综合指标表'!$H$89+'4.综合指标表'!$H$102)*W29/10000+('4.综合指标表'!$I$89+'4.综合指标表'!$I$102)*W42/10000+('4.综合指标表'!$J$89+'4.综合指标表'!$J$102)*W55/10000+('4.综合指标表'!$K$89+'4.综合指标表'!$K$102)*W68/10000+('4.综合指标表'!$L$89+'4.综合指标表'!$L$102)*W81/10000</f>
        <v>0</v>
      </c>
      <c r="X173" s="876">
        <f>('4.综合指标表'!$G$89+'4.综合指标表'!$G$102)*X16/10000+('4.综合指标表'!$H$89+'4.综合指标表'!$H$102)*X29/10000+('4.综合指标表'!$I$89+'4.综合指标表'!$I$102)*X42/10000+('4.综合指标表'!$J$89+'4.综合指标表'!$J$102)*X55/10000+('4.综合指标表'!$K$89+'4.综合指标表'!$K$102)*X68/10000+('4.综合指标表'!$L$89+'4.综合指标表'!$L$102)*X81/10000</f>
        <v>0</v>
      </c>
      <c r="Y173" s="876">
        <f>('4.综合指标表'!$G$89+'4.综合指标表'!$G$102)*Y16/10000+('4.综合指标表'!$H$89+'4.综合指标表'!$H$102)*Y29/10000+('4.综合指标表'!$I$89+'4.综合指标表'!$I$102)*Y42/10000+('4.综合指标表'!$J$89+'4.综合指标表'!$J$102)*Y55/10000+('4.综合指标表'!$K$89+'4.综合指标表'!$K$102)*Y68/10000+('4.综合指标表'!$L$89+'4.综合指标表'!$L$102)*Y81/10000</f>
        <v>0</v>
      </c>
      <c r="Z173" s="876">
        <f>('4.综合指标表'!$G$89+'4.综合指标表'!$G$102)*Z16/10000+('4.综合指标表'!$H$89+'4.综合指标表'!$H$102)*Z29/10000+('4.综合指标表'!$I$89+'4.综合指标表'!$I$102)*Z42/10000+('4.综合指标表'!$J$89+'4.综合指标表'!$J$102)*Z55/10000+('4.综合指标表'!$K$89+'4.综合指标表'!$K$102)*Z68/10000+('4.综合指标表'!$L$89+'4.综合指标表'!$L$102)*Z81/10000</f>
        <v>0</v>
      </c>
      <c r="AA173" s="875">
        <f>('4.综合指标表'!$G$89+'4.综合指标表'!$G$102)*AA16/10000+('4.综合指标表'!$H$89+'4.综合指标表'!$H$102)*AA29/10000+('4.综合指标表'!$I$89+'4.综合指标表'!$I$102)*AA42/10000+('4.综合指标表'!$J$89+'4.综合指标表'!$J$102)*AA55/10000+('4.综合指标表'!$K$89+'4.综合指标表'!$K$102)*AA68/10000+('4.综合指标表'!$L$89+'4.综合指标表'!$L$102)*AA81/10000</f>
        <v>0</v>
      </c>
      <c r="AB173" s="876">
        <f>('4.综合指标表'!$G$89+'4.综合指标表'!$G$102)*AB16/10000+('4.综合指标表'!$H$89+'4.综合指标表'!$H$102)*AB29/10000+('4.综合指标表'!$I$89+'4.综合指标表'!$I$102)*AB42/10000+('4.综合指标表'!$J$89+'4.综合指标表'!$J$102)*AB55/10000+('4.综合指标表'!$K$89+'4.综合指标表'!$K$102)*AB68/10000+('4.综合指标表'!$L$89+'4.综合指标表'!$L$102)*AB81/10000</f>
        <v>0</v>
      </c>
      <c r="AC173" s="876">
        <f>('4.综合指标表'!$G$89+'4.综合指标表'!$G$102)*AC16/10000+('4.综合指标表'!$H$89+'4.综合指标表'!$H$102)*AC29/10000+('4.综合指标表'!$I$89+'4.综合指标表'!$I$102)*AC42/10000+('4.综合指标表'!$J$89+'4.综合指标表'!$J$102)*AC55/10000+('4.综合指标表'!$K$89+'4.综合指标表'!$K$102)*AC68/10000+('4.综合指标表'!$L$89+'4.综合指标表'!$L$102)*AC81/10000</f>
        <v>0</v>
      </c>
      <c r="AD173" s="876">
        <f>('4.综合指标表'!$G$89+'4.综合指标表'!$G$102)*AD16/10000+('4.综合指标表'!$H$89+'4.综合指标表'!$H$102)*AD29/10000+('4.综合指标表'!$I$89+'4.综合指标表'!$I$102)*AD42/10000+('4.综合指标表'!$J$89+'4.综合指标表'!$J$102)*AD55/10000+('4.综合指标表'!$K$89+'4.综合指标表'!$K$102)*AD68/10000+('4.综合指标表'!$L$89+'4.综合指标表'!$L$102)*AD81/10000</f>
        <v>0</v>
      </c>
      <c r="AE173" s="875">
        <f>('4.综合指标表'!$G$89+'4.综合指标表'!$G$102)*AE16/10000+('4.综合指标表'!$H$89+'4.综合指标表'!$H$102)*AE29/10000+('4.综合指标表'!$I$89+'4.综合指标表'!$I$102)*AE42/10000+('4.综合指标表'!$J$89+'4.综合指标表'!$J$102)*AE55/10000+('4.综合指标表'!$K$89+'4.综合指标表'!$K$102)*AE68/10000+('4.综合指标表'!$L$89+'4.综合指标表'!$L$102)*AE81/10000</f>
        <v>0</v>
      </c>
      <c r="AF173" s="876">
        <f>('4.综合指标表'!$G$89+'4.综合指标表'!$G$102)*AF16/10000+('4.综合指标表'!$H$89+'4.综合指标表'!$H$102)*AF29/10000+('4.综合指标表'!$I$89+'4.综合指标表'!$I$102)*AF42/10000+('4.综合指标表'!$J$89+'4.综合指标表'!$J$102)*AF55/10000+('4.综合指标表'!$K$89+'4.综合指标表'!$K$102)*AF68/10000+('4.综合指标表'!$L$89+'4.综合指标表'!$L$102)*AF81/10000</f>
        <v>0</v>
      </c>
      <c r="AG173" s="876">
        <f>('4.综合指标表'!$G$89+'4.综合指标表'!$G$102)*AG16/10000+('4.综合指标表'!$H$89+'4.综合指标表'!$H$102)*AG29/10000+('4.综合指标表'!$I$89+'4.综合指标表'!$I$102)*AG42/10000+('4.综合指标表'!$J$89+'4.综合指标表'!$J$102)*AG55/10000+('4.综合指标表'!$K$89+'4.综合指标表'!$K$102)*AG68/10000+('4.综合指标表'!$L$89+'4.综合指标表'!$L$102)*AG81/10000</f>
        <v>0</v>
      </c>
      <c r="AH173" s="876">
        <f>('4.综合指标表'!$G$89+'4.综合指标表'!$G$102)*AH16/10000+('4.综合指标表'!$H$89+'4.综合指标表'!$H$102)*AH29/10000+('4.综合指标表'!$I$89+'4.综合指标表'!$I$102)*AH42/10000+('4.综合指标表'!$J$89+'4.综合指标表'!$J$102)*AH55/10000+('4.综合指标表'!$K$89+'4.综合指标表'!$K$102)*AH68/10000+('4.综合指标表'!$L$89+'4.综合指标表'!$L$102)*AH81/10000</f>
        <v>0</v>
      </c>
      <c r="AI173" s="875">
        <f>('4.综合指标表'!$G$89+'4.综合指标表'!$G$102)*AI16/10000+('4.综合指标表'!$H$89+'4.综合指标表'!$H$102)*AI29/10000+('4.综合指标表'!$I$89+'4.综合指标表'!$I$102)*AI42/10000+('4.综合指标表'!$J$89+'4.综合指标表'!$J$102)*AI55/10000+('4.综合指标表'!$K$89+'4.综合指标表'!$K$102)*AI68/10000+('4.综合指标表'!$L$89+'4.综合指标表'!$L$102)*AI81/10000</f>
        <v>0</v>
      </c>
      <c r="AJ173" s="876">
        <f>('4.综合指标表'!$G$89+'4.综合指标表'!$G$102)*AJ16/10000+('4.综合指标表'!$H$89+'4.综合指标表'!$H$102)*AJ29/10000+('4.综合指标表'!$I$89+'4.综合指标表'!$I$102)*AJ42/10000+('4.综合指标表'!$J$89+'4.综合指标表'!$J$102)*AJ55/10000+('4.综合指标表'!$K$89+'4.综合指标表'!$K$102)*AJ68/10000+('4.综合指标表'!$L$89+'4.综合指标表'!$L$102)*AJ81/10000</f>
        <v>0</v>
      </c>
      <c r="AK173" s="876">
        <f>('4.综合指标表'!$G$89+'4.综合指标表'!$G$102)*AK16/10000+('4.综合指标表'!$H$89+'4.综合指标表'!$H$102)*AK29/10000+('4.综合指标表'!$I$89+'4.综合指标表'!$I$102)*AK42/10000+('4.综合指标表'!$J$89+'4.综合指标表'!$J$102)*AK55/10000+('4.综合指标表'!$K$89+'4.综合指标表'!$K$102)*AK68/10000+('4.综合指标表'!$L$89+'4.综合指标表'!$L$102)*AK81/10000</f>
        <v>0</v>
      </c>
      <c r="AL173" s="876">
        <f>('4.综合指标表'!$G$89+'4.综合指标表'!$G$102)*AL16/10000+('4.综合指标表'!$H$89+'4.综合指标表'!$H$102)*AL29/10000+('4.综合指标表'!$I$89+'4.综合指标表'!$I$102)*AL42/10000+('4.综合指标表'!$J$89+'4.综合指标表'!$J$102)*AL55/10000+('4.综合指标表'!$K$89+'4.综合指标表'!$K$102)*AL68/10000+('4.综合指标表'!$L$89+'4.综合指标表'!$L$102)*AL81/10000</f>
        <v>0</v>
      </c>
      <c r="AM173" s="875">
        <f>('4.综合指标表'!$G$89+'4.综合指标表'!$G$102)*AM16/10000+('4.综合指标表'!$H$89+'4.综合指标表'!$H$102)*AM29/10000+('4.综合指标表'!$I$89+'4.综合指标表'!$I$102)*AM42/10000+('4.综合指标表'!$J$89+'4.综合指标表'!$J$102)*AM55/10000+('4.综合指标表'!$K$89+'4.综合指标表'!$K$102)*AM68/10000+('4.综合指标表'!$L$89+'4.综合指标表'!$L$102)*AM81/10000</f>
        <v>0</v>
      </c>
      <c r="AN173" s="876">
        <f>('4.综合指标表'!$G$89+'4.综合指标表'!$G$102)*AN16/10000+('4.综合指标表'!$H$89+'4.综合指标表'!$H$102)*AN29/10000+('4.综合指标表'!$I$89+'4.综合指标表'!$I$102)*AN42/10000+('4.综合指标表'!$J$89+'4.综合指标表'!$J$102)*AN55/10000+('4.综合指标表'!$K$89+'4.综合指标表'!$K$102)*AN68/10000+('4.综合指标表'!$L$89+'4.综合指标表'!$L$102)*AN81/10000</f>
        <v>0</v>
      </c>
      <c r="AO173" s="876">
        <f>('4.综合指标表'!$G$89+'4.综合指标表'!$G$102)*AO16/10000+('4.综合指标表'!$H$89+'4.综合指标表'!$H$102)*AO29/10000+('4.综合指标表'!$I$89+'4.综合指标表'!$I$102)*AO42/10000+('4.综合指标表'!$J$89+'4.综合指标表'!$J$102)*AO55/10000+('4.综合指标表'!$K$89+'4.综合指标表'!$K$102)*AO68/10000+('4.综合指标表'!$L$89+'4.综合指标表'!$L$102)*AO81/10000</f>
        <v>0</v>
      </c>
      <c r="AP173" s="876">
        <f>('4.综合指标表'!$G$89+'4.综合指标表'!$G$102)*AP16/10000+('4.综合指标表'!$H$89+'4.综合指标表'!$H$102)*AP29/10000+('4.综合指标表'!$I$89+'4.综合指标表'!$I$102)*AP42/10000+('4.综合指标表'!$J$89+'4.综合指标表'!$J$102)*AP55/10000+('4.综合指标表'!$K$89+'4.综合指标表'!$K$102)*AP68/10000+('4.综合指标表'!$L$89+'4.综合指标表'!$L$102)*AP81/10000</f>
        <v>0</v>
      </c>
      <c r="AQ173" s="875">
        <f>('4.综合指标表'!$G$89+'4.综合指标表'!$G$102)*AQ16/10000+('4.综合指标表'!$H$89+'4.综合指标表'!$H$102)*AQ29/10000+('4.综合指标表'!$I$89+'4.综合指标表'!$I$102)*AQ42/10000+('4.综合指标表'!$J$89+'4.综合指标表'!$J$102)*AQ55/10000+('4.综合指标表'!$K$89+'4.综合指标表'!$K$102)*AQ68/10000+('4.综合指标表'!$L$89+'4.综合指标表'!$L$102)*AQ81/10000</f>
        <v>0</v>
      </c>
      <c r="AR173" s="876">
        <f>('4.综合指标表'!$G$89+'4.综合指标表'!$G$102)*AR16/10000+('4.综合指标表'!$H$89+'4.综合指标表'!$H$102)*AR29/10000+('4.综合指标表'!$I$89+'4.综合指标表'!$I$102)*AR42/10000+('4.综合指标表'!$J$89+'4.综合指标表'!$J$102)*AR55/10000+('4.综合指标表'!$K$89+'4.综合指标表'!$K$102)*AR68/10000+('4.综合指标表'!$L$89+'4.综合指标表'!$L$102)*AR81/10000</f>
        <v>0</v>
      </c>
      <c r="AS173" s="876">
        <f>('4.综合指标表'!$G$89+'4.综合指标表'!$G$102)*AS16/10000+('4.综合指标表'!$H$89+'4.综合指标表'!$H$102)*AS29/10000+('4.综合指标表'!$I$89+'4.综合指标表'!$I$102)*AS42/10000+('4.综合指标表'!$J$89+'4.综合指标表'!$J$102)*AS55/10000+('4.综合指标表'!$K$89+'4.综合指标表'!$K$102)*AS68/10000+('4.综合指标表'!$L$89+'4.综合指标表'!$L$102)*AS81/10000</f>
        <v>0</v>
      </c>
      <c r="AT173" s="876">
        <f>('4.综合指标表'!$G$89+'4.综合指标表'!$G$102)*AT16/10000+('4.综合指标表'!$H$89+'4.综合指标表'!$H$102)*AT29/10000+('4.综合指标表'!$I$89+'4.综合指标表'!$I$102)*AT42/10000+('4.综合指标表'!$J$89+'4.综合指标表'!$J$102)*AT55/10000+('4.综合指标表'!$K$89+'4.综合指标表'!$K$102)*AT68/10000+('4.综合指标表'!$L$89+'4.综合指标表'!$L$102)*AT81/10000</f>
        <v>0</v>
      </c>
    </row>
    <row r="174" spans="1:46" s="247" customFormat="1" ht="18" customHeight="1" outlineLevel="1">
      <c r="A174" s="874" t="str">
        <f>'8.项目规划指标表'!B14</f>
        <v>自持物业</v>
      </c>
      <c r="B174" s="870"/>
      <c r="C174" s="875"/>
      <c r="D174" s="876"/>
      <c r="E174" s="876"/>
      <c r="F174" s="876"/>
      <c r="G174" s="875"/>
      <c r="H174" s="876"/>
      <c r="I174" s="876"/>
      <c r="J174" s="876"/>
      <c r="K174" s="875"/>
      <c r="L174" s="876"/>
      <c r="M174" s="876"/>
      <c r="N174" s="876"/>
      <c r="O174" s="875"/>
      <c r="P174" s="876"/>
      <c r="Q174" s="876"/>
      <c r="R174" s="876"/>
      <c r="S174" s="875"/>
      <c r="T174" s="876"/>
      <c r="U174" s="876"/>
      <c r="V174" s="876"/>
      <c r="W174" s="875"/>
      <c r="X174" s="876"/>
      <c r="Y174" s="876"/>
      <c r="Z174" s="876"/>
      <c r="AA174" s="875"/>
      <c r="AB174" s="876"/>
      <c r="AC174" s="876"/>
      <c r="AD174" s="876"/>
      <c r="AE174" s="875"/>
      <c r="AF174" s="876"/>
      <c r="AG174" s="876"/>
      <c r="AH174" s="876"/>
      <c r="AI174" s="875"/>
      <c r="AJ174" s="876"/>
      <c r="AK174" s="876"/>
      <c r="AL174" s="876"/>
      <c r="AM174" s="875"/>
      <c r="AN174" s="876"/>
      <c r="AO174" s="876"/>
      <c r="AP174" s="876"/>
      <c r="AQ174" s="875"/>
      <c r="AR174" s="876"/>
      <c r="AS174" s="876"/>
      <c r="AT174" s="876"/>
    </row>
    <row r="175" spans="1:46" s="247" customFormat="1" ht="18" customHeight="1" outlineLevel="1">
      <c r="A175" s="874" t="str">
        <f>'8.项目规划指标表'!B18</f>
        <v>有产权车库(个)</v>
      </c>
      <c r="B175" s="870">
        <f t="shared" si="20"/>
        <v>1868.1096</v>
      </c>
      <c r="C175" s="875">
        <f>('4.综合指标表'!$G$91+'4.综合指标表'!$G$104)*C18/10000+('4.综合指标表'!$H$91+'4.综合指标表'!$H$104)*C31/10000+('4.综合指标表'!$I$91+'4.综合指标表'!$I$104)*C44/10000+('4.综合指标表'!$J$91+'4.综合指标表'!$J$104)*C57/10000+('4.综合指标表'!$K$91+'4.综合指标表'!$K$104)*C70/10000+('4.综合指标表'!$L$91+'4.综合指标表'!$L$104)*C83/10000</f>
        <v>0</v>
      </c>
      <c r="D175" s="876">
        <f>('4.综合指标表'!$G$91+'4.综合指标表'!$G$104)*D18/10000+('4.综合指标表'!$H$91+'4.综合指标表'!$H$104)*D31/10000+('4.综合指标表'!$I$91+'4.综合指标表'!$I$104)*D44/10000+('4.综合指标表'!$J$91+'4.综合指标表'!$J$104)*D57/10000+('4.综合指标表'!$K$91+'4.综合指标表'!$K$104)*D70/10000+('4.综合指标表'!$L$91+'4.综合指标表'!$L$104)*D83/10000</f>
        <v>0</v>
      </c>
      <c r="E175" s="876">
        <f>('4.综合指标表'!$G$91+'4.综合指标表'!$G$104)*E18/10000+('4.综合指标表'!$H$91+'4.综合指标表'!$H$104)*E31/10000+('4.综合指标表'!$I$91+'4.综合指标表'!$I$104)*E44/10000+('4.综合指标表'!$J$91+'4.综合指标表'!$J$104)*E57/10000+('4.综合指标表'!$K$91+'4.综合指标表'!$K$104)*E70/10000+('4.综合指标表'!$L$91+'4.综合指标表'!$L$104)*E83/10000</f>
        <v>0</v>
      </c>
      <c r="F175" s="876">
        <f>('4.综合指标表'!$G$91+'4.综合指标表'!$G$104)*F18/10000+('4.综合指标表'!$H$91+'4.综合指标表'!$H$104)*F31/10000+('4.综合指标表'!$I$91+'4.综合指标表'!$I$104)*F44/10000+('4.综合指标表'!$J$91+'4.综合指标表'!$J$104)*F57/10000+('4.综合指标表'!$K$91+'4.综合指标表'!$K$104)*F70/10000+('4.综合指标表'!$L$91+'4.综合指标表'!$L$104)*F83/10000</f>
        <v>0</v>
      </c>
      <c r="G175" s="875">
        <f>('4.综合指标表'!$G$91+'4.综合指标表'!$G$104)*G18/10000+('4.综合指标表'!$H$91+'4.综合指标表'!$H$104)*G31/10000+('4.综合指标表'!$I$91+'4.综合指标表'!$I$104)*G44/10000+('4.综合指标表'!$J$91+'4.综合指标表'!$J$104)*G57/10000+('4.综合指标表'!$K$91+'4.综合指标表'!$K$104)*G70/10000+('4.综合指标表'!$L$91+'4.综合指标表'!$L$104)*G83/10000</f>
        <v>0</v>
      </c>
      <c r="H175" s="876">
        <f>('4.综合指标表'!$G$91+'4.综合指标表'!$G$104)*H18/10000+('4.综合指标表'!$H$91+'4.综合指标表'!$H$104)*H31/10000+('4.综合指标表'!$I$91+'4.综合指标表'!$I$104)*H44/10000+('4.综合指标表'!$J$91+'4.综合指标表'!$J$104)*H57/10000+('4.综合指标表'!$K$91+'4.综合指标表'!$K$104)*H70/10000+('4.综合指标表'!$L$91+'4.综合指标表'!$L$104)*H83/10000</f>
        <v>0</v>
      </c>
      <c r="I175" s="876">
        <f>('4.综合指标表'!$G$91+'4.综合指标表'!$G$104)*I18/10000+('4.综合指标表'!$H$91+'4.综合指标表'!$H$104)*I31/10000+('4.综合指标表'!$I$91+'4.综合指标表'!$I$104)*I44/10000+('4.综合指标表'!$J$91+'4.综合指标表'!$J$104)*I57/10000+('4.综合指标表'!$K$91+'4.综合指标表'!$K$104)*I70/10000+('4.综合指标表'!$L$91+'4.综合指标表'!$L$104)*I83/10000</f>
        <v>0</v>
      </c>
      <c r="J175" s="876">
        <f>('4.综合指标表'!$G$91+'4.综合指标表'!$G$104)*J18/10000+('4.综合指标表'!$H$91+'4.综合指标表'!$H$104)*J31/10000+('4.综合指标表'!$I$91+'4.综合指标表'!$I$104)*J44/10000+('4.综合指标表'!$J$91+'4.综合指标表'!$J$104)*J57/10000+('4.综合指标表'!$K$91+'4.综合指标表'!$K$104)*J70/10000+('4.综合指标表'!$L$91+'4.综合指标表'!$L$104)*J83/10000</f>
        <v>0</v>
      </c>
      <c r="K175" s="875">
        <f>('4.综合指标表'!$G$91+'4.综合指标表'!$G$104)*K18/10000+('4.综合指标表'!$H$91+'4.综合指标表'!$H$104)*K31/10000+('4.综合指标表'!$I$91+'4.综合指标表'!$I$104)*K44/10000+('4.综合指标表'!$J$91+'4.综合指标表'!$J$104)*K57/10000+('4.综合指标表'!$K$91+'4.综合指标表'!$K$104)*K70/10000+('4.综合指标表'!$L$91+'4.综合指标表'!$L$104)*K83/10000</f>
        <v>0</v>
      </c>
      <c r="L175" s="876">
        <f>('4.综合指标表'!$G$91+'4.综合指标表'!$G$104)*L18/10000+('4.综合指标表'!$H$91+'4.综合指标表'!$H$104)*L31/10000+('4.综合指标表'!$I$91+'4.综合指标表'!$I$104)*L44/10000+('4.综合指标表'!$J$91+'4.综合指标表'!$J$104)*L57/10000+('4.综合指标表'!$K$91+'4.综合指标表'!$K$104)*L70/10000+('4.综合指标表'!$L$91+'4.综合指标表'!$L$104)*L83/10000</f>
        <v>0</v>
      </c>
      <c r="M175" s="876">
        <f>('4.综合指标表'!$G$91+'4.综合指标表'!$G$104)*M18/10000+('4.综合指标表'!$H$91+'4.综合指标表'!$H$104)*M31/10000+('4.综合指标表'!$I$91+'4.综合指标表'!$I$104)*M44/10000+('4.综合指标表'!$J$91+'4.综合指标表'!$J$104)*M57/10000+('4.综合指标表'!$K$91+'4.综合指标表'!$K$104)*M70/10000+('4.综合指标表'!$L$91+'4.综合指标表'!$L$104)*M83/10000</f>
        <v>560.43287999999995</v>
      </c>
      <c r="N175" s="876">
        <f>('4.综合指标表'!$G$91+'4.综合指标表'!$G$104)*N18/10000+('4.综合指标表'!$H$91+'4.综合指标表'!$H$104)*N31/10000+('4.综合指标表'!$I$91+'4.综合指标表'!$I$104)*N44/10000+('4.综合指标表'!$J$91+'4.综合指标表'!$J$104)*N57/10000+('4.综合指标表'!$K$91+'4.综合指标表'!$K$104)*N70/10000+('4.综合指标表'!$L$91+'4.综合指标表'!$L$104)*N83/10000</f>
        <v>560.43287999999995</v>
      </c>
      <c r="O175" s="875">
        <f>('4.综合指标表'!$G$91+'4.综合指标表'!$G$104)*O18/10000+('4.综合指标表'!$H$91+'4.综合指标表'!$H$104)*O31/10000+('4.综合指标表'!$I$91+'4.综合指标表'!$I$104)*O44/10000+('4.综合指标表'!$J$91+'4.综合指标表'!$J$104)*O57/10000+('4.综合指标表'!$K$91+'4.综合指标表'!$K$104)*O70/10000+('4.综合指标表'!$L$91+'4.综合指标表'!$L$104)*O83/10000</f>
        <v>373.62192000000005</v>
      </c>
      <c r="P175" s="876">
        <f>('4.综合指标表'!$G$91+'4.综合指标表'!$G$104)*P18/10000+('4.综合指标表'!$H$91+'4.综合指标表'!$H$104)*P31/10000+('4.综合指标表'!$I$91+'4.综合指标表'!$I$104)*P44/10000+('4.综合指标表'!$J$91+'4.综合指标表'!$J$104)*P57/10000+('4.综合指标表'!$K$91+'4.综合指标表'!$K$104)*P70/10000+('4.综合指标表'!$L$91+'4.综合指标表'!$L$104)*P83/10000</f>
        <v>373.62192000000005</v>
      </c>
      <c r="Q175" s="876">
        <f>('4.综合指标表'!$G$91+'4.综合指标表'!$G$104)*Q18/10000+('4.综合指标表'!$H$91+'4.综合指标表'!$H$104)*Q31/10000+('4.综合指标表'!$I$91+'4.综合指标表'!$I$104)*Q44/10000+('4.综合指标表'!$J$91+'4.综合指标表'!$J$104)*Q57/10000+('4.综合指标表'!$K$91+'4.综合指标表'!$K$104)*Q70/10000+('4.综合指标表'!$L$91+'4.综合指标表'!$L$104)*Q83/10000</f>
        <v>0</v>
      </c>
      <c r="R175" s="876">
        <f>('4.综合指标表'!$G$91+'4.综合指标表'!$G$104)*R18/10000+('4.综合指标表'!$H$91+'4.综合指标表'!$H$104)*R31/10000+('4.综合指标表'!$I$91+'4.综合指标表'!$I$104)*R44/10000+('4.综合指标表'!$J$91+'4.综合指标表'!$J$104)*R57/10000+('4.综合指标表'!$K$91+'4.综合指标表'!$K$104)*R70/10000+('4.综合指标表'!$L$91+'4.综合指标表'!$L$104)*R83/10000</f>
        <v>0</v>
      </c>
      <c r="S175" s="875">
        <f>('4.综合指标表'!$G$91+'4.综合指标表'!$G$104)*S18/10000+('4.综合指标表'!$H$91+'4.综合指标表'!$H$104)*S31/10000+('4.综合指标表'!$I$91+'4.综合指标表'!$I$104)*S44/10000+('4.综合指标表'!$J$91+'4.综合指标表'!$J$104)*S57/10000+('4.综合指标表'!$K$91+'4.综合指标表'!$K$104)*S70/10000+('4.综合指标表'!$L$91+'4.综合指标表'!$L$104)*S83/10000</f>
        <v>0</v>
      </c>
      <c r="T175" s="876">
        <f>('4.综合指标表'!$G$91+'4.综合指标表'!$G$104)*T18/10000+('4.综合指标表'!$H$91+'4.综合指标表'!$H$104)*T31/10000+('4.综合指标表'!$I$91+'4.综合指标表'!$I$104)*T44/10000+('4.综合指标表'!$J$91+'4.综合指标表'!$J$104)*T57/10000+('4.综合指标表'!$K$91+'4.综合指标表'!$K$104)*T70/10000+('4.综合指标表'!$L$91+'4.综合指标表'!$L$104)*T83/10000</f>
        <v>0</v>
      </c>
      <c r="U175" s="876">
        <f>('4.综合指标表'!$G$91+'4.综合指标表'!$G$104)*U18/10000+('4.综合指标表'!$H$91+'4.综合指标表'!$H$104)*U31/10000+('4.综合指标表'!$I$91+'4.综合指标表'!$I$104)*U44/10000+('4.综合指标表'!$J$91+'4.综合指标表'!$J$104)*U57/10000+('4.综合指标表'!$K$91+'4.综合指标表'!$K$104)*U70/10000+('4.综合指标表'!$L$91+'4.综合指标表'!$L$104)*U83/10000</f>
        <v>0</v>
      </c>
      <c r="V175" s="876">
        <f>('4.综合指标表'!$G$91+'4.综合指标表'!$G$104)*V18/10000+('4.综合指标表'!$H$91+'4.综合指标表'!$H$104)*V31/10000+('4.综合指标表'!$I$91+'4.综合指标表'!$I$104)*V44/10000+('4.综合指标表'!$J$91+'4.综合指标表'!$J$104)*V57/10000+('4.综合指标表'!$K$91+'4.综合指标表'!$K$104)*V70/10000+('4.综合指标表'!$L$91+'4.综合指标表'!$L$104)*V83/10000</f>
        <v>0</v>
      </c>
      <c r="W175" s="875">
        <f>('4.综合指标表'!$G$91+'4.综合指标表'!$G$104)*W18/10000+('4.综合指标表'!$H$91+'4.综合指标表'!$H$104)*W31/10000+('4.综合指标表'!$I$91+'4.综合指标表'!$I$104)*W44/10000+('4.综合指标表'!$J$91+'4.综合指标表'!$J$104)*W57/10000+('4.综合指标表'!$K$91+'4.综合指标表'!$K$104)*W70/10000+('4.综合指标表'!$L$91+'4.综合指标表'!$L$104)*W83/10000</f>
        <v>0</v>
      </c>
      <c r="X175" s="876">
        <f>('4.综合指标表'!$G$91+'4.综合指标表'!$G$104)*X18/10000+('4.综合指标表'!$H$91+'4.综合指标表'!$H$104)*X31/10000+('4.综合指标表'!$I$91+'4.综合指标表'!$I$104)*X44/10000+('4.综合指标表'!$J$91+'4.综合指标表'!$J$104)*X57/10000+('4.综合指标表'!$K$91+'4.综合指标表'!$K$104)*X70/10000+('4.综合指标表'!$L$91+'4.综合指标表'!$L$104)*X83/10000</f>
        <v>0</v>
      </c>
      <c r="Y175" s="876">
        <f>('4.综合指标表'!$G$91+'4.综合指标表'!$G$104)*Y18/10000+('4.综合指标表'!$H$91+'4.综合指标表'!$H$104)*Y31/10000+('4.综合指标表'!$I$91+'4.综合指标表'!$I$104)*Y44/10000+('4.综合指标表'!$J$91+'4.综合指标表'!$J$104)*Y57/10000+('4.综合指标表'!$K$91+'4.综合指标表'!$K$104)*Y70/10000+('4.综合指标表'!$L$91+'4.综合指标表'!$L$104)*Y83/10000</f>
        <v>0</v>
      </c>
      <c r="Z175" s="876">
        <f>('4.综合指标表'!$G$91+'4.综合指标表'!$G$104)*Z18/10000+('4.综合指标表'!$H$91+'4.综合指标表'!$H$104)*Z31/10000+('4.综合指标表'!$I$91+'4.综合指标表'!$I$104)*Z44/10000+('4.综合指标表'!$J$91+'4.综合指标表'!$J$104)*Z57/10000+('4.综合指标表'!$K$91+'4.综合指标表'!$K$104)*Z70/10000+('4.综合指标表'!$L$91+'4.综合指标表'!$L$104)*Z83/10000</f>
        <v>0</v>
      </c>
      <c r="AA175" s="875">
        <f>('4.综合指标表'!$G$91+'4.综合指标表'!$G$104)*AA18/10000+('4.综合指标表'!$H$91+'4.综合指标表'!$H$104)*AA31/10000+('4.综合指标表'!$I$91+'4.综合指标表'!$I$104)*AA44/10000+('4.综合指标表'!$J$91+'4.综合指标表'!$J$104)*AA57/10000+('4.综合指标表'!$K$91+'4.综合指标表'!$K$104)*AA70/10000+('4.综合指标表'!$L$91+'4.综合指标表'!$L$104)*AA83/10000</f>
        <v>0</v>
      </c>
      <c r="AB175" s="876">
        <f>('4.综合指标表'!$G$91+'4.综合指标表'!$G$104)*AB18/10000+('4.综合指标表'!$H$91+'4.综合指标表'!$H$104)*AB31/10000+('4.综合指标表'!$I$91+'4.综合指标表'!$I$104)*AB44/10000+('4.综合指标表'!$J$91+'4.综合指标表'!$J$104)*AB57/10000+('4.综合指标表'!$K$91+'4.综合指标表'!$K$104)*AB70/10000+('4.综合指标表'!$L$91+'4.综合指标表'!$L$104)*AB83/10000</f>
        <v>0</v>
      </c>
      <c r="AC175" s="876">
        <f>('4.综合指标表'!$G$91+'4.综合指标表'!$G$104)*AC18/10000+('4.综合指标表'!$H$91+'4.综合指标表'!$H$104)*AC31/10000+('4.综合指标表'!$I$91+'4.综合指标表'!$I$104)*AC44/10000+('4.综合指标表'!$J$91+'4.综合指标表'!$J$104)*AC57/10000+('4.综合指标表'!$K$91+'4.综合指标表'!$K$104)*AC70/10000+('4.综合指标表'!$L$91+'4.综合指标表'!$L$104)*AC83/10000</f>
        <v>0</v>
      </c>
      <c r="AD175" s="876">
        <f>('4.综合指标表'!$G$91+'4.综合指标表'!$G$104)*AD18/10000+('4.综合指标表'!$H$91+'4.综合指标表'!$H$104)*AD31/10000+('4.综合指标表'!$I$91+'4.综合指标表'!$I$104)*AD44/10000+('4.综合指标表'!$J$91+'4.综合指标表'!$J$104)*AD57/10000+('4.综合指标表'!$K$91+'4.综合指标表'!$K$104)*AD70/10000+('4.综合指标表'!$L$91+'4.综合指标表'!$L$104)*AD83/10000</f>
        <v>0</v>
      </c>
      <c r="AE175" s="875">
        <f>('4.综合指标表'!$G$91+'4.综合指标表'!$G$104)*AE18/10000+('4.综合指标表'!$H$91+'4.综合指标表'!$H$104)*AE31/10000+('4.综合指标表'!$I$91+'4.综合指标表'!$I$104)*AE44/10000+('4.综合指标表'!$J$91+'4.综合指标表'!$J$104)*AE57/10000+('4.综合指标表'!$K$91+'4.综合指标表'!$K$104)*AE70/10000+('4.综合指标表'!$L$91+'4.综合指标表'!$L$104)*AE83/10000</f>
        <v>0</v>
      </c>
      <c r="AF175" s="876">
        <f>('4.综合指标表'!$G$91+'4.综合指标表'!$G$104)*AF18/10000+('4.综合指标表'!$H$91+'4.综合指标表'!$H$104)*AF31/10000+('4.综合指标表'!$I$91+'4.综合指标表'!$I$104)*AF44/10000+('4.综合指标表'!$J$91+'4.综合指标表'!$J$104)*AF57/10000+('4.综合指标表'!$K$91+'4.综合指标表'!$K$104)*AF70/10000+('4.综合指标表'!$L$91+'4.综合指标表'!$L$104)*AF83/10000</f>
        <v>0</v>
      </c>
      <c r="AG175" s="876">
        <f>('4.综合指标表'!$G$91+'4.综合指标表'!$G$104)*AG18/10000+('4.综合指标表'!$H$91+'4.综合指标表'!$H$104)*AG31/10000+('4.综合指标表'!$I$91+'4.综合指标表'!$I$104)*AG44/10000+('4.综合指标表'!$J$91+'4.综合指标表'!$J$104)*AG57/10000+('4.综合指标表'!$K$91+'4.综合指标表'!$K$104)*AG70/10000+('4.综合指标表'!$L$91+'4.综合指标表'!$L$104)*AG83/10000</f>
        <v>0</v>
      </c>
      <c r="AH175" s="876">
        <f>('4.综合指标表'!$G$91+'4.综合指标表'!$G$104)*AH18/10000+('4.综合指标表'!$H$91+'4.综合指标表'!$H$104)*AH31/10000+('4.综合指标表'!$I$91+'4.综合指标表'!$I$104)*AH44/10000+('4.综合指标表'!$J$91+'4.综合指标表'!$J$104)*AH57/10000+('4.综合指标表'!$K$91+'4.综合指标表'!$K$104)*AH70/10000+('4.综合指标表'!$L$91+'4.综合指标表'!$L$104)*AH83/10000</f>
        <v>0</v>
      </c>
      <c r="AI175" s="875">
        <f>('4.综合指标表'!$G$91+'4.综合指标表'!$G$104)*AI18/10000+('4.综合指标表'!$H$91+'4.综合指标表'!$H$104)*AI31/10000+('4.综合指标表'!$I$91+'4.综合指标表'!$I$104)*AI44/10000+('4.综合指标表'!$J$91+'4.综合指标表'!$J$104)*AI57/10000+('4.综合指标表'!$K$91+'4.综合指标表'!$K$104)*AI70/10000+('4.综合指标表'!$L$91+'4.综合指标表'!$L$104)*AI83/10000</f>
        <v>0</v>
      </c>
      <c r="AJ175" s="876">
        <f>('4.综合指标表'!$G$91+'4.综合指标表'!$G$104)*AJ18/10000+('4.综合指标表'!$H$91+'4.综合指标表'!$H$104)*AJ31/10000+('4.综合指标表'!$I$91+'4.综合指标表'!$I$104)*AJ44/10000+('4.综合指标表'!$J$91+'4.综合指标表'!$J$104)*AJ57/10000+('4.综合指标表'!$K$91+'4.综合指标表'!$K$104)*AJ70/10000+('4.综合指标表'!$L$91+'4.综合指标表'!$L$104)*AJ83/10000</f>
        <v>0</v>
      </c>
      <c r="AK175" s="876">
        <f>('4.综合指标表'!$G$91+'4.综合指标表'!$G$104)*AK18/10000+('4.综合指标表'!$H$91+'4.综合指标表'!$H$104)*AK31/10000+('4.综合指标表'!$I$91+'4.综合指标表'!$I$104)*AK44/10000+('4.综合指标表'!$J$91+'4.综合指标表'!$J$104)*AK57/10000+('4.综合指标表'!$K$91+'4.综合指标表'!$K$104)*AK70/10000+('4.综合指标表'!$L$91+'4.综合指标表'!$L$104)*AK83/10000</f>
        <v>0</v>
      </c>
      <c r="AL175" s="876">
        <f>('4.综合指标表'!$G$91+'4.综合指标表'!$G$104)*AL18/10000+('4.综合指标表'!$H$91+'4.综合指标表'!$H$104)*AL31/10000+('4.综合指标表'!$I$91+'4.综合指标表'!$I$104)*AL44/10000+('4.综合指标表'!$J$91+'4.综合指标表'!$J$104)*AL57/10000+('4.综合指标表'!$K$91+'4.综合指标表'!$K$104)*AL70/10000+('4.综合指标表'!$L$91+'4.综合指标表'!$L$104)*AL83/10000</f>
        <v>0</v>
      </c>
      <c r="AM175" s="875">
        <f>('4.综合指标表'!$G$91+'4.综合指标表'!$G$104)*AM18/10000+('4.综合指标表'!$H$91+'4.综合指标表'!$H$104)*AM31/10000+('4.综合指标表'!$I$91+'4.综合指标表'!$I$104)*AM44/10000+('4.综合指标表'!$J$91+'4.综合指标表'!$J$104)*AM57/10000+('4.综合指标表'!$K$91+'4.综合指标表'!$K$104)*AM70/10000+('4.综合指标表'!$L$91+'4.综合指标表'!$L$104)*AM83/10000</f>
        <v>0</v>
      </c>
      <c r="AN175" s="876">
        <f>('4.综合指标表'!$G$91+'4.综合指标表'!$G$104)*AN18/10000+('4.综合指标表'!$H$91+'4.综合指标表'!$H$104)*AN31/10000+('4.综合指标表'!$I$91+'4.综合指标表'!$I$104)*AN44/10000+('4.综合指标表'!$J$91+'4.综合指标表'!$J$104)*AN57/10000+('4.综合指标表'!$K$91+'4.综合指标表'!$K$104)*AN70/10000+('4.综合指标表'!$L$91+'4.综合指标表'!$L$104)*AN83/10000</f>
        <v>0</v>
      </c>
      <c r="AO175" s="876">
        <f>('4.综合指标表'!$G$91+'4.综合指标表'!$G$104)*AO18/10000+('4.综合指标表'!$H$91+'4.综合指标表'!$H$104)*AO31/10000+('4.综合指标表'!$I$91+'4.综合指标表'!$I$104)*AO44/10000+('4.综合指标表'!$J$91+'4.综合指标表'!$J$104)*AO57/10000+('4.综合指标表'!$K$91+'4.综合指标表'!$K$104)*AO70/10000+('4.综合指标表'!$L$91+'4.综合指标表'!$L$104)*AO83/10000</f>
        <v>0</v>
      </c>
      <c r="AP175" s="876">
        <f>('4.综合指标表'!$G$91+'4.综合指标表'!$G$104)*AP18/10000+('4.综合指标表'!$H$91+'4.综合指标表'!$H$104)*AP31/10000+('4.综合指标表'!$I$91+'4.综合指标表'!$I$104)*AP44/10000+('4.综合指标表'!$J$91+'4.综合指标表'!$J$104)*AP57/10000+('4.综合指标表'!$K$91+'4.综合指标表'!$K$104)*AP70/10000+('4.综合指标表'!$L$91+'4.综合指标表'!$L$104)*AP83/10000</f>
        <v>0</v>
      </c>
      <c r="AQ175" s="875">
        <f>('4.综合指标表'!$G$91+'4.综合指标表'!$G$104)*AQ18/10000+('4.综合指标表'!$H$91+'4.综合指标表'!$H$104)*AQ31/10000+('4.综合指标表'!$I$91+'4.综合指标表'!$I$104)*AQ44/10000+('4.综合指标表'!$J$91+'4.综合指标表'!$J$104)*AQ57/10000+('4.综合指标表'!$K$91+'4.综合指标表'!$K$104)*AQ70/10000+('4.综合指标表'!$L$91+'4.综合指标表'!$L$104)*AQ83/10000</f>
        <v>0</v>
      </c>
      <c r="AR175" s="876">
        <f>('4.综合指标表'!$G$91+'4.综合指标表'!$G$104)*AR18/10000+('4.综合指标表'!$H$91+'4.综合指标表'!$H$104)*AR31/10000+('4.综合指标表'!$I$91+'4.综合指标表'!$I$104)*AR44/10000+('4.综合指标表'!$J$91+'4.综合指标表'!$J$104)*AR57/10000+('4.综合指标表'!$K$91+'4.综合指标表'!$K$104)*AR70/10000+('4.综合指标表'!$L$91+'4.综合指标表'!$L$104)*AR83/10000</f>
        <v>0</v>
      </c>
      <c r="AS175" s="876">
        <f>('4.综合指标表'!$G$91+'4.综合指标表'!$G$104)*AS18/10000+('4.综合指标表'!$H$91+'4.综合指标表'!$H$104)*AS31/10000+('4.综合指标表'!$I$91+'4.综合指标表'!$I$104)*AS44/10000+('4.综合指标表'!$J$91+'4.综合指标表'!$J$104)*AS57/10000+('4.综合指标表'!$K$91+'4.综合指标表'!$K$104)*AS70/10000+('4.综合指标表'!$L$91+'4.综合指标表'!$L$104)*AS83/10000</f>
        <v>0</v>
      </c>
      <c r="AT175" s="876">
        <f>('4.综合指标表'!$G$91+'4.综合指标表'!$G$104)*AT18/10000+('4.综合指标表'!$H$91+'4.综合指标表'!$H$104)*AT31/10000+('4.综合指标表'!$I$91+'4.综合指标表'!$I$104)*AT44/10000+('4.综合指标表'!$J$91+'4.综合指标表'!$J$104)*AT57/10000+('4.综合指标表'!$K$91+'4.综合指标表'!$K$104)*AT70/10000+('4.综合指标表'!$L$91+'4.综合指标表'!$L$104)*AT83/10000</f>
        <v>0</v>
      </c>
    </row>
    <row r="176" spans="1:46" s="247" customFormat="1" ht="18" customHeight="1" outlineLevel="1">
      <c r="A176" s="874" t="str">
        <f>'8.项目规划指标表'!B19</f>
        <v>无产权车库(个)</v>
      </c>
      <c r="B176" s="870">
        <f t="shared" si="20"/>
        <v>0</v>
      </c>
      <c r="C176" s="875">
        <f>('4.综合指标表'!$G$92+'4.综合指标表'!$G$105)*C19/10000+('4.综合指标表'!$H$92+'4.综合指标表'!$H$105)*C32/10000+('4.综合指标表'!$I$92+'4.综合指标表'!$I$105)*C45/10000+('4.综合指标表'!$J$92+'4.综合指标表'!$J$105)*C58/10000+('4.综合指标表'!$K$92+'4.综合指标表'!$K$105)*C71/10000+('4.综合指标表'!$L$92+'4.综合指标表'!$L$105)*C84/10000</f>
        <v>0</v>
      </c>
      <c r="D176" s="876">
        <f>('4.综合指标表'!$G$92+'4.综合指标表'!$G$105)*D19/10000+('4.综合指标表'!$H$92+'4.综合指标表'!$H$105)*D32/10000+('4.综合指标表'!$I$92+'4.综合指标表'!$I$105)*D45/10000+('4.综合指标表'!$J$92+'4.综合指标表'!$J$105)*D58/10000+('4.综合指标表'!$K$92+'4.综合指标表'!$K$105)*D71/10000+('4.综合指标表'!$L$92+'4.综合指标表'!$L$105)*D84/10000</f>
        <v>0</v>
      </c>
      <c r="E176" s="876">
        <f>('4.综合指标表'!$G$92+'4.综合指标表'!$G$105)*E19/10000+('4.综合指标表'!$H$92+'4.综合指标表'!$H$105)*E32/10000+('4.综合指标表'!$I$92+'4.综合指标表'!$I$105)*E45/10000+('4.综合指标表'!$J$92+'4.综合指标表'!$J$105)*E58/10000+('4.综合指标表'!$K$92+'4.综合指标表'!$K$105)*E71/10000+('4.综合指标表'!$L$92+'4.综合指标表'!$L$105)*E84/10000</f>
        <v>0</v>
      </c>
      <c r="F176" s="876">
        <f>('4.综合指标表'!$G$92+'4.综合指标表'!$G$105)*F19/10000+('4.综合指标表'!$H$92+'4.综合指标表'!$H$105)*F32/10000+('4.综合指标表'!$I$92+'4.综合指标表'!$I$105)*F45/10000+('4.综合指标表'!$J$92+'4.综合指标表'!$J$105)*F58/10000+('4.综合指标表'!$K$92+'4.综合指标表'!$K$105)*F71/10000+('4.综合指标表'!$L$92+'4.综合指标表'!$L$105)*F84/10000</f>
        <v>0</v>
      </c>
      <c r="G176" s="875">
        <f>('4.综合指标表'!$G$92+'4.综合指标表'!$G$105)*G19/10000+('4.综合指标表'!$H$92+'4.综合指标表'!$H$105)*G32/10000+('4.综合指标表'!$I$92+'4.综合指标表'!$I$105)*G45/10000+('4.综合指标表'!$J$92+'4.综合指标表'!$J$105)*G58/10000+('4.综合指标表'!$K$92+'4.综合指标表'!$K$105)*G71/10000+('4.综合指标表'!$L$92+'4.综合指标表'!$L$105)*G84/10000</f>
        <v>0</v>
      </c>
      <c r="H176" s="876">
        <f>('4.综合指标表'!$G$92+'4.综合指标表'!$G$105)*H19/10000+('4.综合指标表'!$H$92+'4.综合指标表'!$H$105)*H32/10000+('4.综合指标表'!$I$92+'4.综合指标表'!$I$105)*H45/10000+('4.综合指标表'!$J$92+'4.综合指标表'!$J$105)*H58/10000+('4.综合指标表'!$K$92+'4.综合指标表'!$K$105)*H71/10000+('4.综合指标表'!$L$92+'4.综合指标表'!$L$105)*H84/10000</f>
        <v>0</v>
      </c>
      <c r="I176" s="876">
        <f>('4.综合指标表'!$G$92+'4.综合指标表'!$G$105)*I19/10000+('4.综合指标表'!$H$92+'4.综合指标表'!$H$105)*I32/10000+('4.综合指标表'!$I$92+'4.综合指标表'!$I$105)*I45/10000+('4.综合指标表'!$J$92+'4.综合指标表'!$J$105)*I58/10000+('4.综合指标表'!$K$92+'4.综合指标表'!$K$105)*I71/10000+('4.综合指标表'!$L$92+'4.综合指标表'!$L$105)*I84/10000</f>
        <v>0</v>
      </c>
      <c r="J176" s="876">
        <f>('4.综合指标表'!$G$92+'4.综合指标表'!$G$105)*J19/10000+('4.综合指标表'!$H$92+'4.综合指标表'!$H$105)*J32/10000+('4.综合指标表'!$I$92+'4.综合指标表'!$I$105)*J45/10000+('4.综合指标表'!$J$92+'4.综合指标表'!$J$105)*J58/10000+('4.综合指标表'!$K$92+'4.综合指标表'!$K$105)*J71/10000+('4.综合指标表'!$L$92+'4.综合指标表'!$L$105)*J84/10000</f>
        <v>0</v>
      </c>
      <c r="K176" s="875">
        <f>('4.综合指标表'!$G$92+'4.综合指标表'!$G$105)*K19/10000+('4.综合指标表'!$H$92+'4.综合指标表'!$H$105)*K32/10000+('4.综合指标表'!$I$92+'4.综合指标表'!$I$105)*K45/10000+('4.综合指标表'!$J$92+'4.综合指标表'!$J$105)*K58/10000+('4.综合指标表'!$K$92+'4.综合指标表'!$K$105)*K71/10000+('4.综合指标表'!$L$92+'4.综合指标表'!$L$105)*K84/10000</f>
        <v>0</v>
      </c>
      <c r="L176" s="876">
        <f>('4.综合指标表'!$G$92+'4.综合指标表'!$G$105)*L19/10000+('4.综合指标表'!$H$92+'4.综合指标表'!$H$105)*L32/10000+('4.综合指标表'!$I$92+'4.综合指标表'!$I$105)*L45/10000+('4.综合指标表'!$J$92+'4.综合指标表'!$J$105)*L58/10000+('4.综合指标表'!$K$92+'4.综合指标表'!$K$105)*L71/10000+('4.综合指标表'!$L$92+'4.综合指标表'!$L$105)*L84/10000</f>
        <v>0</v>
      </c>
      <c r="M176" s="876">
        <f>('4.综合指标表'!$G$92+'4.综合指标表'!$G$105)*M19/10000+('4.综合指标表'!$H$92+'4.综合指标表'!$H$105)*M32/10000+('4.综合指标表'!$I$92+'4.综合指标表'!$I$105)*M45/10000+('4.综合指标表'!$J$92+'4.综合指标表'!$J$105)*M58/10000+('4.综合指标表'!$K$92+'4.综合指标表'!$K$105)*M71/10000+('4.综合指标表'!$L$92+'4.综合指标表'!$L$105)*M84/10000</f>
        <v>0</v>
      </c>
      <c r="N176" s="876">
        <f>('4.综合指标表'!$G$92+'4.综合指标表'!$G$105)*N19/10000+('4.综合指标表'!$H$92+'4.综合指标表'!$H$105)*N32/10000+('4.综合指标表'!$I$92+'4.综合指标表'!$I$105)*N45/10000+('4.综合指标表'!$J$92+'4.综合指标表'!$J$105)*N58/10000+('4.综合指标表'!$K$92+'4.综合指标表'!$K$105)*N71/10000+('4.综合指标表'!$L$92+'4.综合指标表'!$L$105)*N84/10000</f>
        <v>0</v>
      </c>
      <c r="O176" s="875">
        <f>('4.综合指标表'!$G$92+'4.综合指标表'!$G$105)*O19/10000+('4.综合指标表'!$H$92+'4.综合指标表'!$H$105)*O32/10000+('4.综合指标表'!$I$92+'4.综合指标表'!$I$105)*O45/10000+('4.综合指标表'!$J$92+'4.综合指标表'!$J$105)*O58/10000+('4.综合指标表'!$K$92+'4.综合指标表'!$K$105)*O71/10000+('4.综合指标表'!$L$92+'4.综合指标表'!$L$105)*O84/10000</f>
        <v>0</v>
      </c>
      <c r="P176" s="876">
        <f>('4.综合指标表'!$G$92+'4.综合指标表'!$G$105)*P19/10000+('4.综合指标表'!$H$92+'4.综合指标表'!$H$105)*P32/10000+('4.综合指标表'!$I$92+'4.综合指标表'!$I$105)*P45/10000+('4.综合指标表'!$J$92+'4.综合指标表'!$J$105)*P58/10000+('4.综合指标表'!$K$92+'4.综合指标表'!$K$105)*P71/10000+('4.综合指标表'!$L$92+'4.综合指标表'!$L$105)*P84/10000</f>
        <v>0</v>
      </c>
      <c r="Q176" s="876">
        <f>('4.综合指标表'!$G$92+'4.综合指标表'!$G$105)*Q19/10000+('4.综合指标表'!$H$92+'4.综合指标表'!$H$105)*Q32/10000+('4.综合指标表'!$I$92+'4.综合指标表'!$I$105)*Q45/10000+('4.综合指标表'!$J$92+'4.综合指标表'!$J$105)*Q58/10000+('4.综合指标表'!$K$92+'4.综合指标表'!$K$105)*Q71/10000+('4.综合指标表'!$L$92+'4.综合指标表'!$L$105)*Q84/10000</f>
        <v>0</v>
      </c>
      <c r="R176" s="876">
        <f>('4.综合指标表'!$G$92+'4.综合指标表'!$G$105)*R19/10000+('4.综合指标表'!$H$92+'4.综合指标表'!$H$105)*R32/10000+('4.综合指标表'!$I$92+'4.综合指标表'!$I$105)*R45/10000+('4.综合指标表'!$J$92+'4.综合指标表'!$J$105)*R58/10000+('4.综合指标表'!$K$92+'4.综合指标表'!$K$105)*R71/10000+('4.综合指标表'!$L$92+'4.综合指标表'!$L$105)*R84/10000</f>
        <v>0</v>
      </c>
      <c r="S176" s="875">
        <f>('4.综合指标表'!$G$92+'4.综合指标表'!$G$105)*S19/10000+('4.综合指标表'!$H$92+'4.综合指标表'!$H$105)*S32/10000+('4.综合指标表'!$I$92+'4.综合指标表'!$I$105)*S45/10000+('4.综合指标表'!$J$92+'4.综合指标表'!$J$105)*S58/10000+('4.综合指标表'!$K$92+'4.综合指标表'!$K$105)*S71/10000+('4.综合指标表'!$L$92+'4.综合指标表'!$L$105)*S84/10000</f>
        <v>0</v>
      </c>
      <c r="T176" s="876">
        <f>('4.综合指标表'!$G$92+'4.综合指标表'!$G$105)*T19/10000+('4.综合指标表'!$H$92+'4.综合指标表'!$H$105)*T32/10000+('4.综合指标表'!$I$92+'4.综合指标表'!$I$105)*T45/10000+('4.综合指标表'!$J$92+'4.综合指标表'!$J$105)*T58/10000+('4.综合指标表'!$K$92+'4.综合指标表'!$K$105)*T71/10000+('4.综合指标表'!$L$92+'4.综合指标表'!$L$105)*T84/10000</f>
        <v>0</v>
      </c>
      <c r="U176" s="876">
        <f>('4.综合指标表'!$G$92+'4.综合指标表'!$G$105)*U19/10000+('4.综合指标表'!$H$92+'4.综合指标表'!$H$105)*U32/10000+('4.综合指标表'!$I$92+'4.综合指标表'!$I$105)*U45/10000+('4.综合指标表'!$J$92+'4.综合指标表'!$J$105)*U58/10000+('4.综合指标表'!$K$92+'4.综合指标表'!$K$105)*U71/10000+('4.综合指标表'!$L$92+'4.综合指标表'!$L$105)*U84/10000</f>
        <v>0</v>
      </c>
      <c r="V176" s="876">
        <f>('4.综合指标表'!$G$92+'4.综合指标表'!$G$105)*V19/10000+('4.综合指标表'!$H$92+'4.综合指标表'!$H$105)*V32/10000+('4.综合指标表'!$I$92+'4.综合指标表'!$I$105)*V45/10000+('4.综合指标表'!$J$92+'4.综合指标表'!$J$105)*V58/10000+('4.综合指标表'!$K$92+'4.综合指标表'!$K$105)*V71/10000+('4.综合指标表'!$L$92+'4.综合指标表'!$L$105)*V84/10000</f>
        <v>0</v>
      </c>
      <c r="W176" s="875">
        <f>('4.综合指标表'!$G$92+'4.综合指标表'!$G$105)*W19/10000+('4.综合指标表'!$H$92+'4.综合指标表'!$H$105)*W32/10000+('4.综合指标表'!$I$92+'4.综合指标表'!$I$105)*W45/10000+('4.综合指标表'!$J$92+'4.综合指标表'!$J$105)*W58/10000+('4.综合指标表'!$K$92+'4.综合指标表'!$K$105)*W71/10000+('4.综合指标表'!$L$92+'4.综合指标表'!$L$105)*W84/10000</f>
        <v>0</v>
      </c>
      <c r="X176" s="876">
        <f>('4.综合指标表'!$G$92+'4.综合指标表'!$G$105)*X19/10000+('4.综合指标表'!$H$92+'4.综合指标表'!$H$105)*X32/10000+('4.综合指标表'!$I$92+'4.综合指标表'!$I$105)*X45/10000+('4.综合指标表'!$J$92+'4.综合指标表'!$J$105)*X58/10000+('4.综合指标表'!$K$92+'4.综合指标表'!$K$105)*X71/10000+('4.综合指标表'!$L$92+'4.综合指标表'!$L$105)*X84/10000</f>
        <v>0</v>
      </c>
      <c r="Y176" s="876">
        <f>('4.综合指标表'!$G$92+'4.综合指标表'!$G$105)*Y19/10000+('4.综合指标表'!$H$92+'4.综合指标表'!$H$105)*Y32/10000+('4.综合指标表'!$I$92+'4.综合指标表'!$I$105)*Y45/10000+('4.综合指标表'!$J$92+'4.综合指标表'!$J$105)*Y58/10000+('4.综合指标表'!$K$92+'4.综合指标表'!$K$105)*Y71/10000+('4.综合指标表'!$L$92+'4.综合指标表'!$L$105)*Y84/10000</f>
        <v>0</v>
      </c>
      <c r="Z176" s="876">
        <f>('4.综合指标表'!$G$92+'4.综合指标表'!$G$105)*Z19/10000+('4.综合指标表'!$H$92+'4.综合指标表'!$H$105)*Z32/10000+('4.综合指标表'!$I$92+'4.综合指标表'!$I$105)*Z45/10000+('4.综合指标表'!$J$92+'4.综合指标表'!$J$105)*Z58/10000+('4.综合指标表'!$K$92+'4.综合指标表'!$K$105)*Z71/10000+('4.综合指标表'!$L$92+'4.综合指标表'!$L$105)*Z84/10000</f>
        <v>0</v>
      </c>
      <c r="AA176" s="875">
        <f>('4.综合指标表'!$G$92+'4.综合指标表'!$G$105)*AA19/10000+('4.综合指标表'!$H$92+'4.综合指标表'!$H$105)*AA32/10000+('4.综合指标表'!$I$92+'4.综合指标表'!$I$105)*AA45/10000+('4.综合指标表'!$J$92+'4.综合指标表'!$J$105)*AA58/10000+('4.综合指标表'!$K$92+'4.综合指标表'!$K$105)*AA71/10000+('4.综合指标表'!$L$92+'4.综合指标表'!$L$105)*AA84/10000</f>
        <v>0</v>
      </c>
      <c r="AB176" s="876">
        <f>('4.综合指标表'!$G$92+'4.综合指标表'!$G$105)*AB19/10000+('4.综合指标表'!$H$92+'4.综合指标表'!$H$105)*AB32/10000+('4.综合指标表'!$I$92+'4.综合指标表'!$I$105)*AB45/10000+('4.综合指标表'!$J$92+'4.综合指标表'!$J$105)*AB58/10000+('4.综合指标表'!$K$92+'4.综合指标表'!$K$105)*AB71/10000+('4.综合指标表'!$L$92+'4.综合指标表'!$L$105)*AB84/10000</f>
        <v>0</v>
      </c>
      <c r="AC176" s="876">
        <f>('4.综合指标表'!$G$92+'4.综合指标表'!$G$105)*AC19/10000+('4.综合指标表'!$H$92+'4.综合指标表'!$H$105)*AC32/10000+('4.综合指标表'!$I$92+'4.综合指标表'!$I$105)*AC45/10000+('4.综合指标表'!$J$92+'4.综合指标表'!$J$105)*AC58/10000+('4.综合指标表'!$K$92+'4.综合指标表'!$K$105)*AC71/10000+('4.综合指标表'!$L$92+'4.综合指标表'!$L$105)*AC84/10000</f>
        <v>0</v>
      </c>
      <c r="AD176" s="876">
        <f>('4.综合指标表'!$G$92+'4.综合指标表'!$G$105)*AD19/10000+('4.综合指标表'!$H$92+'4.综合指标表'!$H$105)*AD32/10000+('4.综合指标表'!$I$92+'4.综合指标表'!$I$105)*AD45/10000+('4.综合指标表'!$J$92+'4.综合指标表'!$J$105)*AD58/10000+('4.综合指标表'!$K$92+'4.综合指标表'!$K$105)*AD71/10000+('4.综合指标表'!$L$92+'4.综合指标表'!$L$105)*AD84/10000</f>
        <v>0</v>
      </c>
      <c r="AE176" s="875">
        <f>('4.综合指标表'!$G$92+'4.综合指标表'!$G$105)*AE19/10000+('4.综合指标表'!$H$92+'4.综合指标表'!$H$105)*AE32/10000+('4.综合指标表'!$I$92+'4.综合指标表'!$I$105)*AE45/10000+('4.综合指标表'!$J$92+'4.综合指标表'!$J$105)*AE58/10000+('4.综合指标表'!$K$92+'4.综合指标表'!$K$105)*AE71/10000+('4.综合指标表'!$L$92+'4.综合指标表'!$L$105)*AE84/10000</f>
        <v>0</v>
      </c>
      <c r="AF176" s="876">
        <f>('4.综合指标表'!$G$92+'4.综合指标表'!$G$105)*AF19/10000+('4.综合指标表'!$H$92+'4.综合指标表'!$H$105)*AF32/10000+('4.综合指标表'!$I$92+'4.综合指标表'!$I$105)*AF45/10000+('4.综合指标表'!$J$92+'4.综合指标表'!$J$105)*AF58/10000+('4.综合指标表'!$K$92+'4.综合指标表'!$K$105)*AF71/10000+('4.综合指标表'!$L$92+'4.综合指标表'!$L$105)*AF84/10000</f>
        <v>0</v>
      </c>
      <c r="AG176" s="876">
        <f>('4.综合指标表'!$G$92+'4.综合指标表'!$G$105)*AG19/10000+('4.综合指标表'!$H$92+'4.综合指标表'!$H$105)*AG32/10000+('4.综合指标表'!$I$92+'4.综合指标表'!$I$105)*AG45/10000+('4.综合指标表'!$J$92+'4.综合指标表'!$J$105)*AG58/10000+('4.综合指标表'!$K$92+'4.综合指标表'!$K$105)*AG71/10000+('4.综合指标表'!$L$92+'4.综合指标表'!$L$105)*AG84/10000</f>
        <v>0</v>
      </c>
      <c r="AH176" s="876">
        <f>('4.综合指标表'!$G$92+'4.综合指标表'!$G$105)*AH19/10000+('4.综合指标表'!$H$92+'4.综合指标表'!$H$105)*AH32/10000+('4.综合指标表'!$I$92+'4.综合指标表'!$I$105)*AH45/10000+('4.综合指标表'!$J$92+'4.综合指标表'!$J$105)*AH58/10000+('4.综合指标表'!$K$92+'4.综合指标表'!$K$105)*AH71/10000+('4.综合指标表'!$L$92+'4.综合指标表'!$L$105)*AH84/10000</f>
        <v>0</v>
      </c>
      <c r="AI176" s="875">
        <f>('4.综合指标表'!$G$92+'4.综合指标表'!$G$105)*AI19/10000+('4.综合指标表'!$H$92+'4.综合指标表'!$H$105)*AI32/10000+('4.综合指标表'!$I$92+'4.综合指标表'!$I$105)*AI45/10000+('4.综合指标表'!$J$92+'4.综合指标表'!$J$105)*AI58/10000+('4.综合指标表'!$K$92+'4.综合指标表'!$K$105)*AI71/10000+('4.综合指标表'!$L$92+'4.综合指标表'!$L$105)*AI84/10000</f>
        <v>0</v>
      </c>
      <c r="AJ176" s="876">
        <f>('4.综合指标表'!$G$92+'4.综合指标表'!$G$105)*AJ19/10000+('4.综合指标表'!$H$92+'4.综合指标表'!$H$105)*AJ32/10000+('4.综合指标表'!$I$92+'4.综合指标表'!$I$105)*AJ45/10000+('4.综合指标表'!$J$92+'4.综合指标表'!$J$105)*AJ58/10000+('4.综合指标表'!$K$92+'4.综合指标表'!$K$105)*AJ71/10000+('4.综合指标表'!$L$92+'4.综合指标表'!$L$105)*AJ84/10000</f>
        <v>0</v>
      </c>
      <c r="AK176" s="876">
        <f>('4.综合指标表'!$G$92+'4.综合指标表'!$G$105)*AK19/10000+('4.综合指标表'!$H$92+'4.综合指标表'!$H$105)*AK32/10000+('4.综合指标表'!$I$92+'4.综合指标表'!$I$105)*AK45/10000+('4.综合指标表'!$J$92+'4.综合指标表'!$J$105)*AK58/10000+('4.综合指标表'!$K$92+'4.综合指标表'!$K$105)*AK71/10000+('4.综合指标表'!$L$92+'4.综合指标表'!$L$105)*AK84/10000</f>
        <v>0</v>
      </c>
      <c r="AL176" s="876">
        <f>('4.综合指标表'!$G$92+'4.综合指标表'!$G$105)*AL19/10000+('4.综合指标表'!$H$92+'4.综合指标表'!$H$105)*AL32/10000+('4.综合指标表'!$I$92+'4.综合指标表'!$I$105)*AL45/10000+('4.综合指标表'!$J$92+'4.综合指标表'!$J$105)*AL58/10000+('4.综合指标表'!$K$92+'4.综合指标表'!$K$105)*AL71/10000+('4.综合指标表'!$L$92+'4.综合指标表'!$L$105)*AL84/10000</f>
        <v>0</v>
      </c>
      <c r="AM176" s="875">
        <f>('4.综合指标表'!$G$92+'4.综合指标表'!$G$105)*AM19/10000+('4.综合指标表'!$H$92+'4.综合指标表'!$H$105)*AM32/10000+('4.综合指标表'!$I$92+'4.综合指标表'!$I$105)*AM45/10000+('4.综合指标表'!$J$92+'4.综合指标表'!$J$105)*AM58/10000+('4.综合指标表'!$K$92+'4.综合指标表'!$K$105)*AM71/10000+('4.综合指标表'!$L$92+'4.综合指标表'!$L$105)*AM84/10000</f>
        <v>0</v>
      </c>
      <c r="AN176" s="876">
        <f>('4.综合指标表'!$G$92+'4.综合指标表'!$G$105)*AN19/10000+('4.综合指标表'!$H$92+'4.综合指标表'!$H$105)*AN32/10000+('4.综合指标表'!$I$92+'4.综合指标表'!$I$105)*AN45/10000+('4.综合指标表'!$J$92+'4.综合指标表'!$J$105)*AN58/10000+('4.综合指标表'!$K$92+'4.综合指标表'!$K$105)*AN71/10000+('4.综合指标表'!$L$92+'4.综合指标表'!$L$105)*AN84/10000</f>
        <v>0</v>
      </c>
      <c r="AO176" s="876">
        <f>('4.综合指标表'!$G$92+'4.综合指标表'!$G$105)*AO19/10000+('4.综合指标表'!$H$92+'4.综合指标表'!$H$105)*AO32/10000+('4.综合指标表'!$I$92+'4.综合指标表'!$I$105)*AO45/10000+('4.综合指标表'!$J$92+'4.综合指标表'!$J$105)*AO58/10000+('4.综合指标表'!$K$92+'4.综合指标表'!$K$105)*AO71/10000+('4.综合指标表'!$L$92+'4.综合指标表'!$L$105)*AO84/10000</f>
        <v>0</v>
      </c>
      <c r="AP176" s="876">
        <f>('4.综合指标表'!$G$92+'4.综合指标表'!$G$105)*AP19/10000+('4.综合指标表'!$H$92+'4.综合指标表'!$H$105)*AP32/10000+('4.综合指标表'!$I$92+'4.综合指标表'!$I$105)*AP45/10000+('4.综合指标表'!$J$92+'4.综合指标表'!$J$105)*AP58/10000+('4.综合指标表'!$K$92+'4.综合指标表'!$K$105)*AP71/10000+('4.综合指标表'!$L$92+'4.综合指标表'!$L$105)*AP84/10000</f>
        <v>0</v>
      </c>
      <c r="AQ176" s="875">
        <f>('4.综合指标表'!$G$92+'4.综合指标表'!$G$105)*AQ19/10000+('4.综合指标表'!$H$92+'4.综合指标表'!$H$105)*AQ32/10000+('4.综合指标表'!$I$92+'4.综合指标表'!$I$105)*AQ45/10000+('4.综合指标表'!$J$92+'4.综合指标表'!$J$105)*AQ58/10000+('4.综合指标表'!$K$92+'4.综合指标表'!$K$105)*AQ71/10000+('4.综合指标表'!$L$92+'4.综合指标表'!$L$105)*AQ84/10000</f>
        <v>0</v>
      </c>
      <c r="AR176" s="876">
        <f>('4.综合指标表'!$G$92+'4.综合指标表'!$G$105)*AR19/10000+('4.综合指标表'!$H$92+'4.综合指标表'!$H$105)*AR32/10000+('4.综合指标表'!$I$92+'4.综合指标表'!$I$105)*AR45/10000+('4.综合指标表'!$J$92+'4.综合指标表'!$J$105)*AR58/10000+('4.综合指标表'!$K$92+'4.综合指标表'!$K$105)*AR71/10000+('4.综合指标表'!$L$92+'4.综合指标表'!$L$105)*AR84/10000</f>
        <v>0</v>
      </c>
      <c r="AS176" s="876">
        <f>('4.综合指标表'!$G$92+'4.综合指标表'!$G$105)*AS19/10000+('4.综合指标表'!$H$92+'4.综合指标表'!$H$105)*AS32/10000+('4.综合指标表'!$I$92+'4.综合指标表'!$I$105)*AS45/10000+('4.综合指标表'!$J$92+'4.综合指标表'!$J$105)*AS58/10000+('4.综合指标表'!$K$92+'4.综合指标表'!$K$105)*AS71/10000+('4.综合指标表'!$L$92+'4.综合指标表'!$L$105)*AS84/10000</f>
        <v>0</v>
      </c>
      <c r="AT176" s="876">
        <f>('4.综合指标表'!$G$92+'4.综合指标表'!$G$105)*AT19/10000+('4.综合指标表'!$H$92+'4.综合指标表'!$H$105)*AT32/10000+('4.综合指标表'!$I$92+'4.综合指标表'!$I$105)*AT45/10000+('4.综合指标表'!$J$92+'4.综合指标表'!$J$105)*AT58/10000+('4.综合指标表'!$K$92+'4.综合指标表'!$K$105)*AT71/10000+('4.综合指标表'!$L$92+'4.综合指标表'!$L$105)*AT84/10000</f>
        <v>0</v>
      </c>
    </row>
    <row r="177" spans="1:47" s="77" customFormat="1" ht="18" customHeight="1">
      <c r="A177" s="877" t="s">
        <v>208</v>
      </c>
      <c r="B177" s="878">
        <f t="shared" si="20"/>
        <v>48942.551645034211</v>
      </c>
      <c r="C177" s="879">
        <f t="shared" ref="C177:AT177" si="21">C85-C164</f>
        <v>0</v>
      </c>
      <c r="D177" s="878">
        <f t="shared" si="21"/>
        <v>0</v>
      </c>
      <c r="E177" s="878">
        <f t="shared" si="21"/>
        <v>0</v>
      </c>
      <c r="F177" s="878">
        <f t="shared" si="21"/>
        <v>0</v>
      </c>
      <c r="G177" s="879">
        <f t="shared" si="21"/>
        <v>0</v>
      </c>
      <c r="H177" s="878">
        <f t="shared" si="21"/>
        <v>15290.374228597873</v>
      </c>
      <c r="I177" s="878">
        <f t="shared" si="21"/>
        <v>16468.474228597872</v>
      </c>
      <c r="J177" s="878">
        <f t="shared" si="21"/>
        <v>7320.465526541946</v>
      </c>
      <c r="K177" s="879">
        <f t="shared" si="21"/>
        <v>7588.2644865419443</v>
      </c>
      <c r="L177" s="878">
        <f t="shared" si="21"/>
        <v>-466.65378019634045</v>
      </c>
      <c r="M177" s="878">
        <f t="shared" si="21"/>
        <v>1095.3036749509151</v>
      </c>
      <c r="N177" s="878">
        <f t="shared" si="21"/>
        <v>1211.9671200000003</v>
      </c>
      <c r="O177" s="879">
        <f t="shared" si="21"/>
        <v>807.97807999999986</v>
      </c>
      <c r="P177" s="878">
        <f t="shared" si="21"/>
        <v>-373.62192000000005</v>
      </c>
      <c r="Q177" s="878">
        <f t="shared" si="21"/>
        <v>0</v>
      </c>
      <c r="R177" s="878">
        <f t="shared" si="21"/>
        <v>0</v>
      </c>
      <c r="S177" s="879">
        <f t="shared" si="21"/>
        <v>0</v>
      </c>
      <c r="T177" s="878">
        <f t="shared" si="21"/>
        <v>0</v>
      </c>
      <c r="U177" s="878">
        <f t="shared" si="21"/>
        <v>0</v>
      </c>
      <c r="V177" s="878">
        <f t="shared" si="21"/>
        <v>0</v>
      </c>
      <c r="W177" s="879">
        <f t="shared" si="21"/>
        <v>0</v>
      </c>
      <c r="X177" s="878">
        <f t="shared" si="21"/>
        <v>0</v>
      </c>
      <c r="Y177" s="878">
        <f t="shared" si="21"/>
        <v>0</v>
      </c>
      <c r="Z177" s="878">
        <f t="shared" si="21"/>
        <v>0</v>
      </c>
      <c r="AA177" s="879">
        <f t="shared" si="21"/>
        <v>0</v>
      </c>
      <c r="AB177" s="878">
        <f t="shared" si="21"/>
        <v>0</v>
      </c>
      <c r="AC177" s="878">
        <f t="shared" si="21"/>
        <v>0</v>
      </c>
      <c r="AD177" s="878">
        <f t="shared" si="21"/>
        <v>0</v>
      </c>
      <c r="AE177" s="879">
        <f t="shared" si="21"/>
        <v>0</v>
      </c>
      <c r="AF177" s="878">
        <f t="shared" si="21"/>
        <v>0</v>
      </c>
      <c r="AG177" s="878">
        <f t="shared" si="21"/>
        <v>0</v>
      </c>
      <c r="AH177" s="878">
        <f t="shared" si="21"/>
        <v>0</v>
      </c>
      <c r="AI177" s="879">
        <f t="shared" si="21"/>
        <v>0</v>
      </c>
      <c r="AJ177" s="878">
        <f t="shared" si="21"/>
        <v>0</v>
      </c>
      <c r="AK177" s="878">
        <f t="shared" si="21"/>
        <v>0</v>
      </c>
      <c r="AL177" s="878">
        <f t="shared" si="21"/>
        <v>0</v>
      </c>
      <c r="AM177" s="879">
        <f t="shared" si="21"/>
        <v>0</v>
      </c>
      <c r="AN177" s="878">
        <f t="shared" si="21"/>
        <v>0</v>
      </c>
      <c r="AO177" s="878">
        <f t="shared" si="21"/>
        <v>0</v>
      </c>
      <c r="AP177" s="878">
        <f t="shared" si="21"/>
        <v>0</v>
      </c>
      <c r="AQ177" s="879">
        <f t="shared" si="21"/>
        <v>0</v>
      </c>
      <c r="AR177" s="878">
        <f t="shared" si="21"/>
        <v>0</v>
      </c>
      <c r="AS177" s="878">
        <f t="shared" si="21"/>
        <v>0</v>
      </c>
      <c r="AT177" s="878">
        <f t="shared" si="21"/>
        <v>0</v>
      </c>
    </row>
    <row r="178" spans="1:47" s="77" customFormat="1" ht="18" customHeight="1">
      <c r="A178" s="861" t="s">
        <v>416</v>
      </c>
      <c r="B178" s="862">
        <f t="shared" si="20"/>
        <v>5573.1218406316921</v>
      </c>
      <c r="C178" s="863">
        <f>('11.销售及回款表'!E78+'11.销售及回款表'!E83)*'2.税率表'!$D$7+('11.销售及回款表'!E148+'11.销售及回款表'!E153)*'2.税率表'!$D$8+('11.销售及回款表'!E218+'11.销售及回款表'!E223)*'2.税率表'!$D$9+('11.销售及回款表'!E288+'11.销售及回款表'!E293)*'2.税率表'!$D$10+('11.销售及回款表'!E358+'11.销售及回款表'!E363)*'2.税率表'!$D$11+('11.销售及回款表'!E428+'11.销售及回款表'!E433)*'2.税率表'!$D$12+'14.增值税计算表'!E376</f>
        <v>0</v>
      </c>
      <c r="D178" s="864">
        <f>('11.销售及回款表'!F78+'11.销售及回款表'!F83)*'2.税率表'!$D$7+('11.销售及回款表'!F148+'11.销售及回款表'!F153)*'2.税率表'!$D$8+('11.销售及回款表'!F218+'11.销售及回款表'!F223)*'2.税率表'!$D$9+('11.销售及回款表'!F288+'11.销售及回款表'!F293)*'2.税率表'!$D$10+('11.销售及回款表'!F358+'11.销售及回款表'!F363)*'2.税率表'!$D$11+('11.销售及回款表'!F428+'11.销售及回款表'!F433)*'2.税率表'!$D$12+'14.增值税计算表'!F376</f>
        <v>0</v>
      </c>
      <c r="E178" s="864">
        <f>('11.销售及回款表'!G78+'11.销售及回款表'!G83)*'2.税率表'!$D$7+('11.销售及回款表'!G148+'11.销售及回款表'!G153)*'2.税率表'!$D$8+('11.销售及回款表'!G218+'11.销售及回款表'!G223)*'2.税率表'!$D$9+('11.销售及回款表'!G288+'11.销售及回款表'!G293)*'2.税率表'!$D$10+('11.销售及回款表'!G358+'11.销售及回款表'!G363)*'2.税率表'!$D$11+('11.销售及回款表'!G428+'11.销售及回款表'!G433)*'2.税率表'!$D$12+'14.增值税计算表'!G376</f>
        <v>0</v>
      </c>
      <c r="F178" s="864">
        <f>('11.销售及回款表'!H78+'11.销售及回款表'!H83)*'2.税率表'!$D$7+('11.销售及回款表'!H148+'11.销售及回款表'!H153)*'2.税率表'!$D$8+('11.销售及回款表'!H218+'11.销售及回款表'!H223)*'2.税率表'!$D$9+('11.销售及回款表'!H288+'11.销售及回款表'!H293)*'2.税率表'!$D$10+('11.销售及回款表'!H358+'11.销售及回款表'!H363)*'2.税率表'!$D$11+('11.销售及回款表'!H428+'11.销售及回款表'!H433)*'2.税率表'!$D$12+'14.增值税计算表'!H376</f>
        <v>0</v>
      </c>
      <c r="G178" s="863">
        <f>('11.销售及回款表'!I78+'11.销售及回款表'!I83)*'2.税率表'!$D$7+('11.销售及回款表'!I148+'11.销售及回款表'!I153)*'2.税率表'!$D$8+('11.销售及回款表'!I218+'11.销售及回款表'!I223)*'2.税率表'!$D$9+('11.销售及回款表'!I288+'11.销售及回款表'!I293)*'2.税率表'!$D$10+('11.销售及回款表'!I358+'11.销售及回款表'!I363)*'2.税率表'!$D$11+('11.销售及回款表'!I428+'11.销售及回款表'!I433)*'2.税率表'!$D$12+'14.增值税计算表'!I376</f>
        <v>0</v>
      </c>
      <c r="H178" s="864">
        <f>('11.销售及回款表'!J78+'11.销售及回款表'!J83)*'2.税率表'!$D$7+('11.销售及回款表'!J148+'11.销售及回款表'!J153)*'2.税率表'!$D$8+('11.销售及回款表'!J218+'11.销售及回款表'!J223)*'2.税率表'!$D$9+('11.销售及回款表'!J288+'11.销售及回款表'!J293)*'2.税率表'!$D$10+('11.销售及回款表'!J358+'11.销售及回款表'!J363)*'2.税率表'!$D$11+('11.销售及回款表'!J428+'11.销售及回款表'!J433)*'2.税率表'!$D$12+'14.增值税计算表'!J376</f>
        <v>1631.744285251847</v>
      </c>
      <c r="I178" s="864">
        <f>('11.销售及回款表'!K78+'11.销售及回款表'!K83)*'2.税率表'!$D$7+('11.销售及回款表'!K148+'11.销售及回款表'!K153)*'2.税率表'!$D$8+('11.销售及回款表'!K218+'11.销售及回款表'!K223)*'2.税率表'!$D$9+('11.销售及回款表'!K288+'11.销售及回款表'!K293)*'2.税率表'!$D$10+('11.销售及回款表'!K358+'11.销售及回款表'!K363)*'2.税率表'!$D$11+('11.销售及回款表'!K428+'11.销售及回款表'!K433)*'2.税率表'!$D$12+'14.增值税计算表'!K376</f>
        <v>1697.0140566619209</v>
      </c>
      <c r="J178" s="864">
        <f>('11.销售及回款表'!L78+'11.销售及回款表'!L83)*'2.税率表'!$D$7+('11.销售及回款表'!L148+'11.销售及回款表'!L153)*'2.税率表'!$D$8+('11.销售及回款表'!L218+'11.销售及回款表'!L223)*'2.税率表'!$D$9+('11.销售及回款表'!L288+'11.销售及回款表'!L293)*'2.税率表'!$D$10+('11.销售及回款表'!L358+'11.销售及回款表'!L363)*'2.税率表'!$D$11+('11.销售及回款表'!L428+'11.销售及回款表'!L433)*'2.税率表'!$D$12+'14.增值税计算表'!L376</f>
        <v>741.83757334078257</v>
      </c>
      <c r="K178" s="863">
        <f>('11.销售及回款表'!M78+'11.销售及回款表'!M83)*'2.税率表'!$D$7+('11.销售及回款表'!M148+'11.销售及回款表'!M153)*'2.税率表'!$D$8+('11.销售及回款表'!M218+'11.销售及回款表'!M223)*'2.税率表'!$D$9+('11.销售及回款表'!M288+'11.销售及回款表'!M293)*'2.税率表'!$D$10+('11.销售及回款表'!M358+'11.销售及回款表'!M363)*'2.税率表'!$D$11+('11.销售及回款表'!M428+'11.销售及回款表'!M433)*'2.税率表'!$D$12+'14.增值税计算表'!M376</f>
        <v>756.67432480759817</v>
      </c>
      <c r="L178" s="864">
        <f>('11.销售及回款表'!N78+'11.销售及回款表'!N83)*'2.税率表'!$D$7+('11.销售及回款表'!N148+'11.销售及回款表'!N153)*'2.税率表'!$D$8+('11.销售及回款表'!N218+'11.销售及回款表'!N223)*'2.税率表'!$D$9+('11.销售及回款表'!N288+'11.销售及回款表'!N293)*'2.税率表'!$D$10+('11.销售及回款表'!N358+'11.销售及回款表'!N363)*'2.税率表'!$D$11+('11.销售及回款表'!N428+'11.销售及回款表'!N433)*'2.税率表'!$D$12+'14.增值税计算表'!N376</f>
        <v>387.19750312428857</v>
      </c>
      <c r="M178" s="864">
        <f>('11.销售及回款表'!O78+'11.销售及回款表'!O83)*'2.税率表'!$D$7+('11.销售及回款表'!O148+'11.销售及回款表'!O153)*'2.税率表'!$D$8+('11.销售及回款表'!O218+'11.销售及回款表'!O223)*'2.税率表'!$D$9+('11.销售及回款表'!O288+'11.销售及回款表'!O293)*'2.税率表'!$D$10+('11.销售及回款表'!O358+'11.销售及回款表'!O363)*'2.税率表'!$D$11+('11.销售及回款表'!O428+'11.销售及回款表'!O433)*'2.税率表'!$D$12+'14.增值税计算表'!O376</f>
        <v>194.99489640514054</v>
      </c>
      <c r="N178" s="864">
        <f>('11.销售及回款表'!P78+'11.销售及回款表'!P83)*'2.税率表'!$D$7+('11.销售及回款表'!P148+'11.销售及回款表'!P153)*'2.税率表'!$D$8+('11.销售及回款表'!P218+'11.销售及回款表'!P223)*'2.税率表'!$D$9+('11.销售及回款表'!P288+'11.销售及回款表'!P293)*'2.税率表'!$D$10+('11.销售及回款表'!P358+'11.销售及回款表'!P363)*'2.税率表'!$D$11+('11.销售及回款表'!P428+'11.销售及回款表'!P433)*'2.税率表'!$D$12+'14.增值税计算表'!P376</f>
        <v>98.195520624068379</v>
      </c>
      <c r="O178" s="863">
        <f>('11.销售及回款表'!Q78+'11.销售及回款表'!Q83)*'2.税率表'!$D$7+('11.销售及回款表'!Q148+'11.销售及回款表'!Q153)*'2.税率表'!$D$8+('11.销售及回款表'!Q218+'11.销售及回款表'!Q223)*'2.税率表'!$D$9+('11.销售及回款表'!Q288+'11.销售及回款表'!Q293)*'2.税率表'!$D$10+('11.销售及回款表'!Q358+'11.销售及回款表'!Q363)*'2.税率表'!$D$11+('11.销售及回款表'!Q428+'11.销售及回款表'!Q433)*'2.税率表'!$D$12+'14.增值税计算表'!Q376</f>
        <v>65.463680416045577</v>
      </c>
      <c r="P178" s="864">
        <f>('11.销售及回款表'!R78+'11.销售及回款表'!R83)*'2.税率表'!$D$7+('11.销售及回款表'!R148+'11.销售及回款表'!R153)*'2.税率表'!$D$8+('11.销售及回款表'!R218+'11.销售及回款表'!R223)*'2.税率表'!$D$9+('11.销售及回款表'!R288+'11.销售及回款表'!R293)*'2.税率表'!$D$10+('11.销售及回款表'!R358+'11.销售及回款表'!R363)*'2.税率表'!$D$11+('11.销售及回款表'!R428+'11.销售及回款表'!R433)*'2.税率表'!$D$12+'14.增值税计算表'!R376</f>
        <v>0</v>
      </c>
      <c r="Q178" s="864">
        <f>('11.销售及回款表'!S78+'11.销售及回款表'!S83)*'2.税率表'!$D$7+('11.销售及回款表'!S148+'11.销售及回款表'!S153)*'2.税率表'!$D$8+('11.销售及回款表'!S218+'11.销售及回款表'!S223)*'2.税率表'!$D$9+('11.销售及回款表'!S288+'11.销售及回款表'!S293)*'2.税率表'!$D$10+('11.销售及回款表'!S358+'11.销售及回款表'!S363)*'2.税率表'!$D$11+('11.销售及回款表'!S428+'11.销售及回款表'!S433)*'2.税率表'!$D$12+'14.增值税计算表'!S376</f>
        <v>0</v>
      </c>
      <c r="R178" s="864">
        <f>('11.销售及回款表'!T78+'11.销售及回款表'!T83)*'2.税率表'!$D$7+('11.销售及回款表'!T148+'11.销售及回款表'!T153)*'2.税率表'!$D$8+('11.销售及回款表'!T218+'11.销售及回款表'!T223)*'2.税率表'!$D$9+('11.销售及回款表'!T288+'11.销售及回款表'!T293)*'2.税率表'!$D$10+('11.销售及回款表'!T358+'11.销售及回款表'!T363)*'2.税率表'!$D$11+('11.销售及回款表'!T428+'11.销售及回款表'!T433)*'2.税率表'!$D$12+'14.增值税计算表'!T376</f>
        <v>0</v>
      </c>
      <c r="S178" s="863">
        <f>('11.销售及回款表'!U78+'11.销售及回款表'!U83)*'2.税率表'!$D$7+('11.销售及回款表'!U148+'11.销售及回款表'!U153)*'2.税率表'!$D$8+('11.销售及回款表'!U218+'11.销售及回款表'!U223)*'2.税率表'!$D$9+('11.销售及回款表'!U288+'11.销售及回款表'!U293)*'2.税率表'!$D$10+('11.销售及回款表'!U358+'11.销售及回款表'!U363)*'2.税率表'!$D$11+('11.销售及回款表'!U428+'11.销售及回款表'!U433)*'2.税率表'!$D$12+'14.增值税计算表'!U376</f>
        <v>0</v>
      </c>
      <c r="T178" s="864">
        <f>('11.销售及回款表'!V78+'11.销售及回款表'!V83)*'2.税率表'!$D$7+('11.销售及回款表'!V148+'11.销售及回款表'!V153)*'2.税率表'!$D$8+('11.销售及回款表'!V218+'11.销售及回款表'!V223)*'2.税率表'!$D$9+('11.销售及回款表'!V288+'11.销售及回款表'!V293)*'2.税率表'!$D$10+('11.销售及回款表'!V358+'11.销售及回款表'!V363)*'2.税率表'!$D$11+('11.销售及回款表'!V428+'11.销售及回款表'!V433)*'2.税率表'!$D$12+'14.增值税计算表'!V376</f>
        <v>0</v>
      </c>
      <c r="U178" s="864">
        <f>('11.销售及回款表'!W78+'11.销售及回款表'!W83)*'2.税率表'!$D$7+('11.销售及回款表'!W148+'11.销售及回款表'!W153)*'2.税率表'!$D$8+('11.销售及回款表'!W218+'11.销售及回款表'!W223)*'2.税率表'!$D$9+('11.销售及回款表'!W288+'11.销售及回款表'!W293)*'2.税率表'!$D$10+('11.销售及回款表'!W358+'11.销售及回款表'!W363)*'2.税率表'!$D$11+('11.销售及回款表'!W428+'11.销售及回款表'!W433)*'2.税率表'!$D$12+'14.增值税计算表'!W376</f>
        <v>0</v>
      </c>
      <c r="V178" s="864">
        <f>('11.销售及回款表'!X78+'11.销售及回款表'!X83)*'2.税率表'!$D$7+('11.销售及回款表'!X148+'11.销售及回款表'!X153)*'2.税率表'!$D$8+('11.销售及回款表'!X218+'11.销售及回款表'!X223)*'2.税率表'!$D$9+('11.销售及回款表'!X288+'11.销售及回款表'!X293)*'2.税率表'!$D$10+('11.销售及回款表'!X358+'11.销售及回款表'!X363)*'2.税率表'!$D$11+('11.销售及回款表'!X428+'11.销售及回款表'!X433)*'2.税率表'!$D$12+'14.增值税计算表'!X376</f>
        <v>0</v>
      </c>
      <c r="W178" s="863">
        <f>('11.销售及回款表'!Y78+'11.销售及回款表'!Y83)*'2.税率表'!$D$7+('11.销售及回款表'!Y148+'11.销售及回款表'!Y153)*'2.税率表'!$D$8+('11.销售及回款表'!Y218+'11.销售及回款表'!Y223)*'2.税率表'!$D$9+('11.销售及回款表'!Y288+'11.销售及回款表'!Y293)*'2.税率表'!$D$10+('11.销售及回款表'!Y358+'11.销售及回款表'!Y363)*'2.税率表'!$D$11+('11.销售及回款表'!Y428+'11.销售及回款表'!Y433)*'2.税率表'!$D$12+'14.增值税计算表'!Y376</f>
        <v>0</v>
      </c>
      <c r="X178" s="864">
        <f>('11.销售及回款表'!Z78+'11.销售及回款表'!Z83)*'2.税率表'!$D$7+('11.销售及回款表'!Z148+'11.销售及回款表'!Z153)*'2.税率表'!$D$8+('11.销售及回款表'!Z218+'11.销售及回款表'!Z223)*'2.税率表'!$D$9+('11.销售及回款表'!Z288+'11.销售及回款表'!Z293)*'2.税率表'!$D$10+('11.销售及回款表'!Z358+'11.销售及回款表'!Z363)*'2.税率表'!$D$11+('11.销售及回款表'!Z428+'11.销售及回款表'!Z433)*'2.税率表'!$D$12+'14.增值税计算表'!Z376</f>
        <v>0</v>
      </c>
      <c r="Y178" s="864">
        <f>('11.销售及回款表'!AA78+'11.销售及回款表'!AA83)*'2.税率表'!$D$7+('11.销售及回款表'!AA148+'11.销售及回款表'!AA153)*'2.税率表'!$D$8+('11.销售及回款表'!AA218+'11.销售及回款表'!AA223)*'2.税率表'!$D$9+('11.销售及回款表'!AA288+'11.销售及回款表'!AA293)*'2.税率表'!$D$10+('11.销售及回款表'!AA358+'11.销售及回款表'!AA363)*'2.税率表'!$D$11+('11.销售及回款表'!AA428+'11.销售及回款表'!AA433)*'2.税率表'!$D$12+'14.增值税计算表'!AA376</f>
        <v>0</v>
      </c>
      <c r="Z178" s="864">
        <f>('11.销售及回款表'!AB78+'11.销售及回款表'!AB83)*'2.税率表'!$D$7+('11.销售及回款表'!AB148+'11.销售及回款表'!AB153)*'2.税率表'!$D$8+('11.销售及回款表'!AB218+'11.销售及回款表'!AB223)*'2.税率表'!$D$9+('11.销售及回款表'!AB288+'11.销售及回款表'!AB293)*'2.税率表'!$D$10+('11.销售及回款表'!AB358+'11.销售及回款表'!AB363)*'2.税率表'!$D$11+('11.销售及回款表'!AB428+'11.销售及回款表'!AB433)*'2.税率表'!$D$12+'14.增值税计算表'!AB376</f>
        <v>0</v>
      </c>
      <c r="AA178" s="863">
        <f>('11.销售及回款表'!AC78+'11.销售及回款表'!AC83)*'2.税率表'!$D$7+('11.销售及回款表'!AC148+'11.销售及回款表'!AC153)*'2.税率表'!$D$8+('11.销售及回款表'!AC218+'11.销售及回款表'!AC223)*'2.税率表'!$D$9+('11.销售及回款表'!AC288+'11.销售及回款表'!AC293)*'2.税率表'!$D$10+('11.销售及回款表'!AC358+'11.销售及回款表'!AC363)*'2.税率表'!$D$11+('11.销售及回款表'!AC428+'11.销售及回款表'!AC433)*'2.税率表'!$D$12+'14.增值税计算表'!AC376</f>
        <v>0</v>
      </c>
      <c r="AB178" s="864">
        <f>('11.销售及回款表'!AD78+'11.销售及回款表'!AD83)*'2.税率表'!$D$7+('11.销售及回款表'!AD148+'11.销售及回款表'!AD153)*'2.税率表'!$D$8+('11.销售及回款表'!AD218+'11.销售及回款表'!AD223)*'2.税率表'!$D$9+('11.销售及回款表'!AD288+'11.销售及回款表'!AD293)*'2.税率表'!$D$10+('11.销售及回款表'!AD358+'11.销售及回款表'!AD363)*'2.税率表'!$D$11+('11.销售及回款表'!AD428+'11.销售及回款表'!AD433)*'2.税率表'!$D$12+'14.增值税计算表'!AD376</f>
        <v>0</v>
      </c>
      <c r="AC178" s="864">
        <f>('11.销售及回款表'!AE78+'11.销售及回款表'!AE83)*'2.税率表'!$D$7+('11.销售及回款表'!AE148+'11.销售及回款表'!AE153)*'2.税率表'!$D$8+('11.销售及回款表'!AE218+'11.销售及回款表'!AE223)*'2.税率表'!$D$9+('11.销售及回款表'!AE288+'11.销售及回款表'!AE293)*'2.税率表'!$D$10+('11.销售及回款表'!AE358+'11.销售及回款表'!AE363)*'2.税率表'!$D$11+('11.销售及回款表'!AE428+'11.销售及回款表'!AE433)*'2.税率表'!$D$12+'14.增值税计算表'!AE376</f>
        <v>0</v>
      </c>
      <c r="AD178" s="864">
        <f>('11.销售及回款表'!AF78+'11.销售及回款表'!AF83)*'2.税率表'!$D$7+('11.销售及回款表'!AF148+'11.销售及回款表'!AF153)*'2.税率表'!$D$8+('11.销售及回款表'!AF218+'11.销售及回款表'!AF223)*'2.税率表'!$D$9+('11.销售及回款表'!AF288+'11.销售及回款表'!AF293)*'2.税率表'!$D$10+('11.销售及回款表'!AF358+'11.销售及回款表'!AF363)*'2.税率表'!$D$11+('11.销售及回款表'!AF428+'11.销售及回款表'!AF433)*'2.税率表'!$D$12+'14.增值税计算表'!AF376</f>
        <v>0</v>
      </c>
      <c r="AE178" s="863">
        <f>('11.销售及回款表'!AG78+'11.销售及回款表'!AG83)*'2.税率表'!$D$7+('11.销售及回款表'!AG148+'11.销售及回款表'!AG153)*'2.税率表'!$D$8+('11.销售及回款表'!AG218+'11.销售及回款表'!AG223)*'2.税率表'!$D$9+('11.销售及回款表'!AG288+'11.销售及回款表'!AG293)*'2.税率表'!$D$10+('11.销售及回款表'!AG358+'11.销售及回款表'!AG363)*'2.税率表'!$D$11+('11.销售及回款表'!AG428+'11.销售及回款表'!AG433)*'2.税率表'!$D$12+'14.增值税计算表'!AG376</f>
        <v>0</v>
      </c>
      <c r="AF178" s="864">
        <f>('11.销售及回款表'!AH78+'11.销售及回款表'!AH83)*'2.税率表'!$D$7+('11.销售及回款表'!AH148+'11.销售及回款表'!AH153)*'2.税率表'!$D$8+('11.销售及回款表'!AH218+'11.销售及回款表'!AH223)*'2.税率表'!$D$9+('11.销售及回款表'!AH288+'11.销售及回款表'!AH293)*'2.税率表'!$D$10+('11.销售及回款表'!AH358+'11.销售及回款表'!AH363)*'2.税率表'!$D$11+('11.销售及回款表'!AH428+'11.销售及回款表'!AH433)*'2.税率表'!$D$12+'14.增值税计算表'!AH376</f>
        <v>0</v>
      </c>
      <c r="AG178" s="864">
        <f>('11.销售及回款表'!AI78+'11.销售及回款表'!AI83)*'2.税率表'!$D$7+('11.销售及回款表'!AI148+'11.销售及回款表'!AI153)*'2.税率表'!$D$8+('11.销售及回款表'!AI218+'11.销售及回款表'!AI223)*'2.税率表'!$D$9+('11.销售及回款表'!AI288+'11.销售及回款表'!AI293)*'2.税率表'!$D$10+('11.销售及回款表'!AI358+'11.销售及回款表'!AI363)*'2.税率表'!$D$11+('11.销售及回款表'!AI428+'11.销售及回款表'!AI433)*'2.税率表'!$D$12+'14.增值税计算表'!AI376</f>
        <v>0</v>
      </c>
      <c r="AH178" s="864">
        <f>('11.销售及回款表'!AJ78+'11.销售及回款表'!AJ83)*'2.税率表'!$D$7+('11.销售及回款表'!AJ148+'11.销售及回款表'!AJ153)*'2.税率表'!$D$8+('11.销售及回款表'!AJ218+'11.销售及回款表'!AJ223)*'2.税率表'!$D$9+('11.销售及回款表'!AJ288+'11.销售及回款表'!AJ293)*'2.税率表'!$D$10+('11.销售及回款表'!AJ358+'11.销售及回款表'!AJ363)*'2.税率表'!$D$11+('11.销售及回款表'!AJ428+'11.销售及回款表'!AJ433)*'2.税率表'!$D$12+'14.增值税计算表'!AJ376</f>
        <v>0</v>
      </c>
      <c r="AI178" s="863">
        <f>('11.销售及回款表'!AK78+'11.销售及回款表'!AK83)*'2.税率表'!$D$7+('11.销售及回款表'!AK148+'11.销售及回款表'!AK153)*'2.税率表'!$D$8+('11.销售及回款表'!AK218+'11.销售及回款表'!AK223)*'2.税率表'!$D$9+('11.销售及回款表'!AK288+'11.销售及回款表'!AK293)*'2.税率表'!$D$10+('11.销售及回款表'!AK358+'11.销售及回款表'!AK363)*'2.税率表'!$D$11+('11.销售及回款表'!AK428+'11.销售及回款表'!AK433)*'2.税率表'!$D$12+'14.增值税计算表'!AK376</f>
        <v>0</v>
      </c>
      <c r="AJ178" s="864">
        <f>('11.销售及回款表'!AL78+'11.销售及回款表'!AL83)*'2.税率表'!$D$7+('11.销售及回款表'!AL148+'11.销售及回款表'!AL153)*'2.税率表'!$D$8+('11.销售及回款表'!AL218+'11.销售及回款表'!AL223)*'2.税率表'!$D$9+('11.销售及回款表'!AL288+'11.销售及回款表'!AL293)*'2.税率表'!$D$10+('11.销售及回款表'!AL358+'11.销售及回款表'!AL363)*'2.税率表'!$D$11+('11.销售及回款表'!AL428+'11.销售及回款表'!AL433)*'2.税率表'!$D$12+'14.增值税计算表'!AL376</f>
        <v>0</v>
      </c>
      <c r="AK178" s="864">
        <f>('11.销售及回款表'!AM78+'11.销售及回款表'!AM83)*'2.税率表'!$D$7+('11.销售及回款表'!AM148+'11.销售及回款表'!AM153)*'2.税率表'!$D$8+('11.销售及回款表'!AM218+'11.销售及回款表'!AM223)*'2.税率表'!$D$9+('11.销售及回款表'!AM288+'11.销售及回款表'!AM293)*'2.税率表'!$D$10+('11.销售及回款表'!AM358+'11.销售及回款表'!AM363)*'2.税率表'!$D$11+('11.销售及回款表'!AM428+'11.销售及回款表'!AM433)*'2.税率表'!$D$12+'14.增值税计算表'!AM376</f>
        <v>0</v>
      </c>
      <c r="AL178" s="864">
        <f>('11.销售及回款表'!AN78+'11.销售及回款表'!AN83)*'2.税率表'!$D$7+('11.销售及回款表'!AN148+'11.销售及回款表'!AN153)*'2.税率表'!$D$8+('11.销售及回款表'!AN218+'11.销售及回款表'!AN223)*'2.税率表'!$D$9+('11.销售及回款表'!AN288+'11.销售及回款表'!AN293)*'2.税率表'!$D$10+('11.销售及回款表'!AN358+'11.销售及回款表'!AN363)*'2.税率表'!$D$11+('11.销售及回款表'!AN428+'11.销售及回款表'!AN433)*'2.税率表'!$D$12+'14.增值税计算表'!AN376</f>
        <v>0</v>
      </c>
      <c r="AM178" s="863">
        <f>('11.销售及回款表'!AO78+'11.销售及回款表'!AO83)*'2.税率表'!$D$7+('11.销售及回款表'!AO148+'11.销售及回款表'!AO153)*'2.税率表'!$D$8+('11.销售及回款表'!AO218+'11.销售及回款表'!AO223)*'2.税率表'!$D$9+('11.销售及回款表'!AO288+'11.销售及回款表'!AO293)*'2.税率表'!$D$10+('11.销售及回款表'!AO358+'11.销售及回款表'!AO363)*'2.税率表'!$D$11+('11.销售及回款表'!AO428+'11.销售及回款表'!AO433)*'2.税率表'!$D$12+'14.增值税计算表'!AO376</f>
        <v>0</v>
      </c>
      <c r="AN178" s="864">
        <f>('11.销售及回款表'!AP78+'11.销售及回款表'!AP83)*'2.税率表'!$D$7+('11.销售及回款表'!AP148+'11.销售及回款表'!AP153)*'2.税率表'!$D$8+('11.销售及回款表'!AP218+'11.销售及回款表'!AP223)*'2.税率表'!$D$9+('11.销售及回款表'!AP288+'11.销售及回款表'!AP293)*'2.税率表'!$D$10+('11.销售及回款表'!AP358+'11.销售及回款表'!AP363)*'2.税率表'!$D$11+('11.销售及回款表'!AP428+'11.销售及回款表'!AP433)*'2.税率表'!$D$12+'14.增值税计算表'!AP376</f>
        <v>0</v>
      </c>
      <c r="AO178" s="864">
        <f>('11.销售及回款表'!AQ78+'11.销售及回款表'!AQ83)*'2.税率表'!$D$7+('11.销售及回款表'!AQ148+'11.销售及回款表'!AQ153)*'2.税率表'!$D$8+('11.销售及回款表'!AQ218+'11.销售及回款表'!AQ223)*'2.税率表'!$D$9+('11.销售及回款表'!AQ288+'11.销售及回款表'!AQ293)*'2.税率表'!$D$10+('11.销售及回款表'!AQ358+'11.销售及回款表'!AQ363)*'2.税率表'!$D$11+('11.销售及回款表'!AQ428+'11.销售及回款表'!AQ433)*'2.税率表'!$D$12+'14.增值税计算表'!AQ376</f>
        <v>0</v>
      </c>
      <c r="AP178" s="864">
        <f>('11.销售及回款表'!AR78+'11.销售及回款表'!AR83)*'2.税率表'!$D$7+('11.销售及回款表'!AR148+'11.销售及回款表'!AR153)*'2.税率表'!$D$8+('11.销售及回款表'!AR218+'11.销售及回款表'!AR223)*'2.税率表'!$D$9+('11.销售及回款表'!AR288+'11.销售及回款表'!AR293)*'2.税率表'!$D$10+('11.销售及回款表'!AR358+'11.销售及回款表'!AR363)*'2.税率表'!$D$11+('11.销售及回款表'!AR428+'11.销售及回款表'!AR433)*'2.税率表'!$D$12+'14.增值税计算表'!AR376</f>
        <v>0</v>
      </c>
      <c r="AQ178" s="863">
        <f>('11.销售及回款表'!AS78+'11.销售及回款表'!AS83)*'2.税率表'!$D$7+('11.销售及回款表'!AS148+'11.销售及回款表'!AS153)*'2.税率表'!$D$8+('11.销售及回款表'!AS218+'11.销售及回款表'!AS223)*'2.税率表'!$D$9+('11.销售及回款表'!AS288+'11.销售及回款表'!AS293)*'2.税率表'!$D$10+('11.销售及回款表'!AS358+'11.销售及回款表'!AS363)*'2.税率表'!$D$11+('11.销售及回款表'!AS428+'11.销售及回款表'!AS433)*'2.税率表'!$D$12+'14.增值税计算表'!AS376</f>
        <v>0</v>
      </c>
      <c r="AR178" s="864">
        <f>('11.销售及回款表'!AT78+'11.销售及回款表'!AT83)*'2.税率表'!$D$7+('11.销售及回款表'!AT148+'11.销售及回款表'!AT153)*'2.税率表'!$D$8+('11.销售及回款表'!AT218+'11.销售及回款表'!AT223)*'2.税率表'!$D$9+('11.销售及回款表'!AT288+'11.销售及回款表'!AT293)*'2.税率表'!$D$10+('11.销售及回款表'!AT358+'11.销售及回款表'!AT363)*'2.税率表'!$D$11+('11.销售及回款表'!AT428+'11.销售及回款表'!AT433)*'2.税率表'!$D$12+'14.增值税计算表'!AT376</f>
        <v>0</v>
      </c>
      <c r="AS178" s="864">
        <f>('11.销售及回款表'!AU78+'11.销售及回款表'!AU83)*'2.税率表'!$D$7+('11.销售及回款表'!AU148+'11.销售及回款表'!AU153)*'2.税率表'!$D$8+('11.销售及回款表'!AU218+'11.销售及回款表'!AU223)*'2.税率表'!$D$9+('11.销售及回款表'!AU288+'11.销售及回款表'!AU293)*'2.税率表'!$D$10+('11.销售及回款表'!AU358+'11.销售及回款表'!AU363)*'2.税率表'!$D$11+('11.销售及回款表'!AU428+'11.销售及回款表'!AU433)*'2.税率表'!$D$12+'14.增值税计算表'!AU376</f>
        <v>0</v>
      </c>
      <c r="AT178" s="864">
        <f>('11.销售及回款表'!AV78+'11.销售及回款表'!AV83)*'2.税率表'!$D$7+('11.销售及回款表'!AV148+'11.销售及回款表'!AV153)*'2.税率表'!$D$8+('11.销售及回款表'!AV218+'11.销售及回款表'!AV223)*'2.税率表'!$D$9+('11.销售及回款表'!AV288+'11.销售及回款表'!AV293)*'2.税率表'!$D$10+('11.销售及回款表'!AV358+'11.销售及回款表'!AV363)*'2.税率表'!$D$11+('11.销售及回款表'!AV428+'11.销售及回款表'!AV433)*'2.税率表'!$D$12+'14.增值税计算表'!AV376</f>
        <v>0</v>
      </c>
    </row>
    <row r="179" spans="1:47" s="77" customFormat="1" ht="18" customHeight="1">
      <c r="A179" s="861" t="s">
        <v>581</v>
      </c>
      <c r="B179" s="862">
        <f t="shared" si="20"/>
        <v>557.31218406316918</v>
      </c>
      <c r="C179" s="863">
        <f>C178*('2.税率表'!$D$13+'2.税率表'!$D$14+'2.税率表'!$D$17)</f>
        <v>0</v>
      </c>
      <c r="D179" s="864">
        <f>D178*('2.税率表'!$D$13+'2.税率表'!$D$14+'2.税率表'!$D$17)</f>
        <v>0</v>
      </c>
      <c r="E179" s="864">
        <f>E178*('2.税率表'!$D$13+'2.税率表'!$D$14+'2.税率表'!$D$17)</f>
        <v>0</v>
      </c>
      <c r="F179" s="864">
        <f>F178*('2.税率表'!$D$13+'2.税率表'!$D$14+'2.税率表'!$D$17)</f>
        <v>0</v>
      </c>
      <c r="G179" s="863">
        <f>G178*('2.税率表'!$D$13+'2.税率表'!$D$14+'2.税率表'!$D$17)</f>
        <v>0</v>
      </c>
      <c r="H179" s="864">
        <f>H178*('2.税率表'!$D$13+'2.税率表'!$D$14+'2.税率表'!$D$17)</f>
        <v>163.17442852518471</v>
      </c>
      <c r="I179" s="864">
        <f>I178*('2.税率表'!$D$13+'2.税率表'!$D$14+'2.税率表'!$D$17)</f>
        <v>169.7014056661921</v>
      </c>
      <c r="J179" s="864">
        <f>J178*('2.税率表'!$D$13+'2.税率表'!$D$14+'2.税率表'!$D$17)</f>
        <v>74.183757334078265</v>
      </c>
      <c r="K179" s="863">
        <f>K178*('2.税率表'!$D$13+'2.税率表'!$D$14+'2.税率表'!$D$17)</f>
        <v>75.667432480759814</v>
      </c>
      <c r="L179" s="864">
        <f>L178*('2.税率表'!$D$13+'2.税率表'!$D$14+'2.税率表'!$D$17)</f>
        <v>38.719750312428857</v>
      </c>
      <c r="M179" s="864">
        <f>M178*('2.税率表'!$D$13+'2.税率表'!$D$14+'2.税率表'!$D$17)</f>
        <v>19.499489640514057</v>
      </c>
      <c r="N179" s="864">
        <f>N178*('2.税率表'!$D$13+'2.税率表'!$D$14+'2.税率表'!$D$17)</f>
        <v>9.8195520624068386</v>
      </c>
      <c r="O179" s="863">
        <f>O178*('2.税率表'!$D$13+'2.税率表'!$D$14+'2.税率表'!$D$17)</f>
        <v>6.5463680416045582</v>
      </c>
      <c r="P179" s="864">
        <f>P178*('2.税率表'!$D$13+'2.税率表'!$D$14+'2.税率表'!$D$17)</f>
        <v>0</v>
      </c>
      <c r="Q179" s="864">
        <f>Q178*('2.税率表'!$D$13+'2.税率表'!$D$14+'2.税率表'!$D$17)</f>
        <v>0</v>
      </c>
      <c r="R179" s="864">
        <f>R178*('2.税率表'!$D$13+'2.税率表'!$D$14+'2.税率表'!$D$17)</f>
        <v>0</v>
      </c>
      <c r="S179" s="863">
        <f>S178*('2.税率表'!$D$13+'2.税率表'!$D$14+'2.税率表'!$D$17)</f>
        <v>0</v>
      </c>
      <c r="T179" s="864">
        <f>T178*('2.税率表'!$D$13+'2.税率表'!$D$14+'2.税率表'!$D$17)</f>
        <v>0</v>
      </c>
      <c r="U179" s="864">
        <f>U178*('2.税率表'!$D$13+'2.税率表'!$D$14+'2.税率表'!$D$17)</f>
        <v>0</v>
      </c>
      <c r="V179" s="864">
        <f>V178*('2.税率表'!$D$13+'2.税率表'!$D$14+'2.税率表'!$D$17)</f>
        <v>0</v>
      </c>
      <c r="W179" s="863">
        <f>W178*('2.税率表'!$D$13+'2.税率表'!$D$14+'2.税率表'!$D$17)</f>
        <v>0</v>
      </c>
      <c r="X179" s="864">
        <f>X178*('2.税率表'!$D$13+'2.税率表'!$D$14+'2.税率表'!$D$17)</f>
        <v>0</v>
      </c>
      <c r="Y179" s="864">
        <f>Y178*('2.税率表'!$D$13+'2.税率表'!$D$14+'2.税率表'!$D$17)</f>
        <v>0</v>
      </c>
      <c r="Z179" s="864">
        <f>Z178*('2.税率表'!$D$13+'2.税率表'!$D$14+'2.税率表'!$D$17)</f>
        <v>0</v>
      </c>
      <c r="AA179" s="863">
        <f>AA178*('2.税率表'!$D$13+'2.税率表'!$D$14+'2.税率表'!$D$17)</f>
        <v>0</v>
      </c>
      <c r="AB179" s="864">
        <f>AB178*('2.税率表'!$D$13+'2.税率表'!$D$14+'2.税率表'!$D$17)</f>
        <v>0</v>
      </c>
      <c r="AC179" s="864">
        <f>AC178*('2.税率表'!$D$13+'2.税率表'!$D$14+'2.税率表'!$D$17)</f>
        <v>0</v>
      </c>
      <c r="AD179" s="864">
        <f>AD178*('2.税率表'!$D$13+'2.税率表'!$D$14+'2.税率表'!$D$17)</f>
        <v>0</v>
      </c>
      <c r="AE179" s="863">
        <f>AE178*('2.税率表'!$D$13+'2.税率表'!$D$14+'2.税率表'!$D$17)</f>
        <v>0</v>
      </c>
      <c r="AF179" s="864">
        <f>AF178*('2.税率表'!$D$13+'2.税率表'!$D$14+'2.税率表'!$D$17)</f>
        <v>0</v>
      </c>
      <c r="AG179" s="864">
        <f>AG178*('2.税率表'!$D$13+'2.税率表'!$D$14+'2.税率表'!$D$17)</f>
        <v>0</v>
      </c>
      <c r="AH179" s="864">
        <f>AH178*('2.税率表'!$D$13+'2.税率表'!$D$14+'2.税率表'!$D$17)</f>
        <v>0</v>
      </c>
      <c r="AI179" s="863">
        <f>AI178*('2.税率表'!$D$13+'2.税率表'!$D$14+'2.税率表'!$D$17)</f>
        <v>0</v>
      </c>
      <c r="AJ179" s="864">
        <f>AJ178*('2.税率表'!$D$13+'2.税率表'!$D$14+'2.税率表'!$D$17)</f>
        <v>0</v>
      </c>
      <c r="AK179" s="864">
        <f>AK178*('2.税率表'!$D$13+'2.税率表'!$D$14+'2.税率表'!$D$17)</f>
        <v>0</v>
      </c>
      <c r="AL179" s="864">
        <f>AL178*('2.税率表'!$D$13+'2.税率表'!$D$14+'2.税率表'!$D$17)</f>
        <v>0</v>
      </c>
      <c r="AM179" s="863">
        <f>AM178*('2.税率表'!$D$13+'2.税率表'!$D$14+'2.税率表'!$D$17)</f>
        <v>0</v>
      </c>
      <c r="AN179" s="864">
        <f>AN178*('2.税率表'!$D$13+'2.税率表'!$D$14+'2.税率表'!$D$17)</f>
        <v>0</v>
      </c>
      <c r="AO179" s="864">
        <f>AO178*('2.税率表'!$D$13+'2.税率表'!$D$14+'2.税率表'!$D$17)</f>
        <v>0</v>
      </c>
      <c r="AP179" s="864">
        <f>AP178*('2.税率表'!$D$13+'2.税率表'!$D$14+'2.税率表'!$D$17)</f>
        <v>0</v>
      </c>
      <c r="AQ179" s="863">
        <f>AQ178*('2.税率表'!$D$13+'2.税率表'!$D$14+'2.税率表'!$D$17)</f>
        <v>0</v>
      </c>
      <c r="AR179" s="864">
        <f>AR178*('2.税率表'!$D$13+'2.税率表'!$D$14+'2.税率表'!$D$17)</f>
        <v>0</v>
      </c>
      <c r="AS179" s="864">
        <f>AS178*('2.税率表'!$D$13+'2.税率表'!$D$14+'2.税率表'!$D$17)</f>
        <v>0</v>
      </c>
      <c r="AT179" s="864">
        <f>AT178*('2.税率表'!$D$13+'2.税率表'!$D$14+'2.税率表'!$D$17)</f>
        <v>0</v>
      </c>
    </row>
    <row r="180" spans="1:47" s="77" customFormat="1" ht="18" customHeight="1">
      <c r="A180" s="861" t="s">
        <v>582</v>
      </c>
      <c r="B180" s="862">
        <f t="shared" si="20"/>
        <v>50.296597480000003</v>
      </c>
      <c r="C180" s="863">
        <f>C85*('2.税率表'!$D$15+'2.税率表'!$D$16+'2.税率表'!$D$18)</f>
        <v>0</v>
      </c>
      <c r="D180" s="864">
        <f>D85*('2.税率表'!$D$15+'2.税率表'!$D$16+'2.税率表'!$D$18)</f>
        <v>0</v>
      </c>
      <c r="E180" s="864">
        <f>E85*('2.税率表'!$D$15+'2.税率表'!$D$16+'2.税率表'!$D$18)</f>
        <v>0</v>
      </c>
      <c r="F180" s="864">
        <f>F85*('2.税率表'!$D$15+'2.税率表'!$D$16+'2.税率表'!$D$18)</f>
        <v>0</v>
      </c>
      <c r="G180" s="863">
        <f>G85*('2.税率表'!$D$15+'2.税率表'!$D$16+'2.税率表'!$D$18)</f>
        <v>0</v>
      </c>
      <c r="H180" s="864">
        <f>H85*('2.税率表'!$D$15+'2.税率表'!$D$16+'2.税率表'!$D$18)</f>
        <v>14.72625</v>
      </c>
      <c r="I180" s="864">
        <f>I85*('2.税率表'!$D$15+'2.税率表'!$D$16+'2.税率表'!$D$18)</f>
        <v>15.315299999999999</v>
      </c>
      <c r="J180" s="864">
        <f>J85*('2.税率表'!$D$15+'2.税率表'!$D$16+'2.税率表'!$D$18)</f>
        <v>6.6949740000000002</v>
      </c>
      <c r="K180" s="863">
        <f>K85*('2.税率表'!$D$15+'2.税率表'!$D$16+'2.税率表'!$D$18)</f>
        <v>6.8288734799999995</v>
      </c>
      <c r="L180" s="864">
        <f>L85*('2.税率表'!$D$15+'2.税率表'!$D$16+'2.税率表'!$D$18)</f>
        <v>3.4944000000000002</v>
      </c>
      <c r="M180" s="864">
        <f>M85*('2.税率表'!$D$15+'2.税率表'!$D$16+'2.税率表'!$D$18)</f>
        <v>1.7598000000000003</v>
      </c>
      <c r="N180" s="864">
        <f>N85*('2.税率表'!$D$15+'2.税率表'!$D$16+'2.税率表'!$D$18)</f>
        <v>0.8862000000000001</v>
      </c>
      <c r="O180" s="863">
        <f>O85*('2.税率表'!$D$15+'2.税率表'!$D$16+'2.税率表'!$D$18)</f>
        <v>0.59079999999999999</v>
      </c>
      <c r="P180" s="864">
        <f>P85*('2.税率表'!$D$15+'2.税率表'!$D$16+'2.税率表'!$D$18)</f>
        <v>0</v>
      </c>
      <c r="Q180" s="864">
        <f>Q85*('2.税率表'!$D$15+'2.税率表'!$D$16+'2.税率表'!$D$18)</f>
        <v>0</v>
      </c>
      <c r="R180" s="864">
        <f>R85*('2.税率表'!$D$15+'2.税率表'!$D$16+'2.税率表'!$D$18)</f>
        <v>0</v>
      </c>
      <c r="S180" s="863">
        <f>S85*('2.税率表'!$D$15+'2.税率表'!$D$16+'2.税率表'!$D$18)</f>
        <v>0</v>
      </c>
      <c r="T180" s="864">
        <f>T85*('2.税率表'!$D$15+'2.税率表'!$D$16+'2.税率表'!$D$18)</f>
        <v>0</v>
      </c>
      <c r="U180" s="864">
        <f>U85*('2.税率表'!$D$15+'2.税率表'!$D$16+'2.税率表'!$D$18)</f>
        <v>0</v>
      </c>
      <c r="V180" s="864">
        <f>V85*('2.税率表'!$D$15+'2.税率表'!$D$16+'2.税率表'!$D$18)</f>
        <v>0</v>
      </c>
      <c r="W180" s="863">
        <f>W85*('2.税率表'!$D$15+'2.税率表'!$D$16+'2.税率表'!$D$18)</f>
        <v>0</v>
      </c>
      <c r="X180" s="864">
        <f>X85*('2.税率表'!$D$15+'2.税率表'!$D$16+'2.税率表'!$D$18)</f>
        <v>0</v>
      </c>
      <c r="Y180" s="864">
        <f>Y85*('2.税率表'!$D$15+'2.税率表'!$D$16+'2.税率表'!$D$18)</f>
        <v>0</v>
      </c>
      <c r="Z180" s="864">
        <f>Z85*('2.税率表'!$D$15+'2.税率表'!$D$16+'2.税率表'!$D$18)</f>
        <v>0</v>
      </c>
      <c r="AA180" s="863">
        <f>AA85*('2.税率表'!$D$15+'2.税率表'!$D$16+'2.税率表'!$D$18)</f>
        <v>0</v>
      </c>
      <c r="AB180" s="864">
        <f>AB85*('2.税率表'!$D$15+'2.税率表'!$D$16+'2.税率表'!$D$18)</f>
        <v>0</v>
      </c>
      <c r="AC180" s="864">
        <f>AC85*('2.税率表'!$D$15+'2.税率表'!$D$16+'2.税率表'!$D$18)</f>
        <v>0</v>
      </c>
      <c r="AD180" s="864">
        <f>AD85*('2.税率表'!$D$15+'2.税率表'!$D$16+'2.税率表'!$D$18)</f>
        <v>0</v>
      </c>
      <c r="AE180" s="863">
        <f>AE85*('2.税率表'!$D$15+'2.税率表'!$D$16+'2.税率表'!$D$18)</f>
        <v>0</v>
      </c>
      <c r="AF180" s="864">
        <f>AF85*('2.税率表'!$D$15+'2.税率表'!$D$16+'2.税率表'!$D$18)</f>
        <v>0</v>
      </c>
      <c r="AG180" s="864">
        <f>AG85*('2.税率表'!$D$15+'2.税率表'!$D$16+'2.税率表'!$D$18)</f>
        <v>0</v>
      </c>
      <c r="AH180" s="864">
        <f>AH85*('2.税率表'!$D$15+'2.税率表'!$D$16+'2.税率表'!$D$18)</f>
        <v>0</v>
      </c>
      <c r="AI180" s="863">
        <f>AI85*('2.税率表'!$D$15+'2.税率表'!$D$16+'2.税率表'!$D$18)</f>
        <v>0</v>
      </c>
      <c r="AJ180" s="864">
        <f>AJ85*('2.税率表'!$D$15+'2.税率表'!$D$16+'2.税率表'!$D$18)</f>
        <v>0</v>
      </c>
      <c r="AK180" s="864">
        <f>AK85*('2.税率表'!$D$15+'2.税率表'!$D$16+'2.税率表'!$D$18)</f>
        <v>0</v>
      </c>
      <c r="AL180" s="864">
        <f>AL85*('2.税率表'!$D$15+'2.税率表'!$D$16+'2.税率表'!$D$18)</f>
        <v>0</v>
      </c>
      <c r="AM180" s="863">
        <f>AM85*('2.税率表'!$D$15+'2.税率表'!$D$16+'2.税率表'!$D$18)</f>
        <v>0</v>
      </c>
      <c r="AN180" s="864">
        <f>AN85*('2.税率表'!$D$15+'2.税率表'!$D$16+'2.税率表'!$D$18)</f>
        <v>0</v>
      </c>
      <c r="AO180" s="864">
        <f>AO85*('2.税率表'!$D$15+'2.税率表'!$D$16+'2.税率表'!$D$18)</f>
        <v>0</v>
      </c>
      <c r="AP180" s="864">
        <f>AP85*('2.税率表'!$D$15+'2.税率表'!$D$16+'2.税率表'!$D$18)</f>
        <v>0</v>
      </c>
      <c r="AQ180" s="863">
        <f>AQ85*('2.税率表'!$D$15+'2.税率表'!$D$16+'2.税率表'!$D$18)</f>
        <v>0</v>
      </c>
      <c r="AR180" s="864">
        <f>AR85*('2.税率表'!$D$15+'2.税率表'!$D$16+'2.税率表'!$D$18)</f>
        <v>0</v>
      </c>
      <c r="AS180" s="864">
        <f>AS85*('2.税率表'!$D$15+'2.税率表'!$D$16+'2.税率表'!$D$18)</f>
        <v>0</v>
      </c>
      <c r="AT180" s="864">
        <f>AT85*('2.税率表'!$D$15+'2.税率表'!$D$16+'2.税率表'!$D$18)</f>
        <v>0</v>
      </c>
    </row>
    <row r="181" spans="1:47" s="77" customFormat="1" ht="18" customHeight="1">
      <c r="A181" s="861" t="s">
        <v>377</v>
      </c>
      <c r="B181" s="862">
        <f t="shared" ref="B181:AT181" ca="1" si="22">SUM(B182,B195,B208,B221,B234,B247)</f>
        <v>9523.1454048467731</v>
      </c>
      <c r="C181" s="863">
        <f t="shared" ca="1" si="22"/>
        <v>0</v>
      </c>
      <c r="D181" s="864">
        <f t="shared" ca="1" si="22"/>
        <v>0</v>
      </c>
      <c r="E181" s="864">
        <f t="shared" ca="1" si="22"/>
        <v>0</v>
      </c>
      <c r="F181" s="864">
        <f t="shared" ca="1" si="22"/>
        <v>0</v>
      </c>
      <c r="G181" s="863">
        <f t="shared" ca="1" si="22"/>
        <v>0</v>
      </c>
      <c r="H181" s="864">
        <f t="shared" ca="1" si="22"/>
        <v>3333.1008916963706</v>
      </c>
      <c r="I181" s="864">
        <f t="shared" ca="1" si="22"/>
        <v>3333.1008916963706</v>
      </c>
      <c r="J181" s="864">
        <f t="shared" ca="1" si="22"/>
        <v>1428.471810727016</v>
      </c>
      <c r="K181" s="863">
        <f t="shared" ca="1" si="22"/>
        <v>1428.471810727016</v>
      </c>
      <c r="L181" s="864">
        <f t="shared" ca="1" si="22"/>
        <v>0</v>
      </c>
      <c r="M181" s="864">
        <f t="shared" ca="1" si="22"/>
        <v>0</v>
      </c>
      <c r="N181" s="864">
        <f t="shared" ca="1" si="22"/>
        <v>0</v>
      </c>
      <c r="O181" s="863">
        <f t="shared" ca="1" si="22"/>
        <v>0</v>
      </c>
      <c r="P181" s="864">
        <f t="shared" ca="1" si="22"/>
        <v>0</v>
      </c>
      <c r="Q181" s="864">
        <f t="shared" ca="1" si="22"/>
        <v>0</v>
      </c>
      <c r="R181" s="864">
        <f t="shared" ca="1" si="22"/>
        <v>0</v>
      </c>
      <c r="S181" s="863">
        <f t="shared" ca="1" si="22"/>
        <v>0</v>
      </c>
      <c r="T181" s="864">
        <f t="shared" ca="1" si="22"/>
        <v>0</v>
      </c>
      <c r="U181" s="864">
        <f t="shared" ca="1" si="22"/>
        <v>0</v>
      </c>
      <c r="V181" s="864">
        <f t="shared" ca="1" si="22"/>
        <v>0</v>
      </c>
      <c r="W181" s="863">
        <f t="shared" ca="1" si="22"/>
        <v>0</v>
      </c>
      <c r="X181" s="864">
        <f t="shared" ca="1" si="22"/>
        <v>0</v>
      </c>
      <c r="Y181" s="864">
        <f t="shared" ca="1" si="22"/>
        <v>0</v>
      </c>
      <c r="Z181" s="864">
        <f t="shared" ca="1" si="22"/>
        <v>0</v>
      </c>
      <c r="AA181" s="863">
        <f t="shared" ca="1" si="22"/>
        <v>0</v>
      </c>
      <c r="AB181" s="864">
        <f t="shared" ca="1" si="22"/>
        <v>0</v>
      </c>
      <c r="AC181" s="864">
        <f t="shared" ca="1" si="22"/>
        <v>0</v>
      </c>
      <c r="AD181" s="864">
        <f t="shared" ca="1" si="22"/>
        <v>0</v>
      </c>
      <c r="AE181" s="863">
        <f t="shared" ca="1" si="22"/>
        <v>0</v>
      </c>
      <c r="AF181" s="864">
        <f t="shared" ca="1" si="22"/>
        <v>0</v>
      </c>
      <c r="AG181" s="864">
        <f t="shared" ca="1" si="22"/>
        <v>0</v>
      </c>
      <c r="AH181" s="864">
        <f t="shared" ca="1" si="22"/>
        <v>0</v>
      </c>
      <c r="AI181" s="863">
        <f t="shared" ca="1" si="22"/>
        <v>0</v>
      </c>
      <c r="AJ181" s="864">
        <f t="shared" ca="1" si="22"/>
        <v>0</v>
      </c>
      <c r="AK181" s="864">
        <f t="shared" ca="1" si="22"/>
        <v>0</v>
      </c>
      <c r="AL181" s="864">
        <f t="shared" ca="1" si="22"/>
        <v>0</v>
      </c>
      <c r="AM181" s="863">
        <f t="shared" ca="1" si="22"/>
        <v>0</v>
      </c>
      <c r="AN181" s="864">
        <f t="shared" ca="1" si="22"/>
        <v>0</v>
      </c>
      <c r="AO181" s="864">
        <f t="shared" ca="1" si="22"/>
        <v>0</v>
      </c>
      <c r="AP181" s="864">
        <f t="shared" ca="1" si="22"/>
        <v>0</v>
      </c>
      <c r="AQ181" s="863">
        <f t="shared" ca="1" si="22"/>
        <v>0</v>
      </c>
      <c r="AR181" s="864">
        <f t="shared" ca="1" si="22"/>
        <v>0</v>
      </c>
      <c r="AS181" s="864">
        <f t="shared" ca="1" si="22"/>
        <v>0</v>
      </c>
      <c r="AT181" s="864">
        <f t="shared" ca="1" si="22"/>
        <v>0</v>
      </c>
    </row>
    <row r="182" spans="1:47" s="77" customFormat="1" ht="18" customHeight="1" outlineLevel="1">
      <c r="A182" s="865" t="s">
        <v>19</v>
      </c>
      <c r="B182" s="866">
        <f ca="1">SUM(B183:B194)</f>
        <v>9523.1454048467731</v>
      </c>
      <c r="C182" s="867">
        <f ca="1">SUM(C183:C194)</f>
        <v>0</v>
      </c>
      <c r="D182" s="868">
        <f t="shared" ref="D182:AT182" ca="1" si="23">SUM(D183:D194)</f>
        <v>0</v>
      </c>
      <c r="E182" s="868">
        <f t="shared" ca="1" si="23"/>
        <v>0</v>
      </c>
      <c r="F182" s="868">
        <f t="shared" ca="1" si="23"/>
        <v>0</v>
      </c>
      <c r="G182" s="867">
        <f t="shared" ca="1" si="23"/>
        <v>0</v>
      </c>
      <c r="H182" s="868">
        <f t="shared" ca="1" si="23"/>
        <v>3333.1008916963706</v>
      </c>
      <c r="I182" s="868">
        <f t="shared" ca="1" si="23"/>
        <v>3333.1008916963706</v>
      </c>
      <c r="J182" s="868">
        <f t="shared" ca="1" si="23"/>
        <v>1428.471810727016</v>
      </c>
      <c r="K182" s="867">
        <f t="shared" ca="1" si="23"/>
        <v>1428.471810727016</v>
      </c>
      <c r="L182" s="868">
        <f t="shared" ca="1" si="23"/>
        <v>0</v>
      </c>
      <c r="M182" s="868">
        <f t="shared" ca="1" si="23"/>
        <v>0</v>
      </c>
      <c r="N182" s="868">
        <f t="shared" ca="1" si="23"/>
        <v>0</v>
      </c>
      <c r="O182" s="867">
        <f t="shared" ca="1" si="23"/>
        <v>0</v>
      </c>
      <c r="P182" s="868">
        <f t="shared" ca="1" si="23"/>
        <v>0</v>
      </c>
      <c r="Q182" s="868">
        <f t="shared" ca="1" si="23"/>
        <v>0</v>
      </c>
      <c r="R182" s="868">
        <f t="shared" ca="1" si="23"/>
        <v>0</v>
      </c>
      <c r="S182" s="867">
        <f t="shared" ca="1" si="23"/>
        <v>0</v>
      </c>
      <c r="T182" s="868">
        <f t="shared" ca="1" si="23"/>
        <v>0</v>
      </c>
      <c r="U182" s="868">
        <f t="shared" ca="1" si="23"/>
        <v>0</v>
      </c>
      <c r="V182" s="868">
        <f t="shared" ca="1" si="23"/>
        <v>0</v>
      </c>
      <c r="W182" s="867">
        <f t="shared" ca="1" si="23"/>
        <v>0</v>
      </c>
      <c r="X182" s="868">
        <f t="shared" ca="1" si="23"/>
        <v>0</v>
      </c>
      <c r="Y182" s="868">
        <f t="shared" ca="1" si="23"/>
        <v>0</v>
      </c>
      <c r="Z182" s="868">
        <f t="shared" ca="1" si="23"/>
        <v>0</v>
      </c>
      <c r="AA182" s="867">
        <f t="shared" ca="1" si="23"/>
        <v>0</v>
      </c>
      <c r="AB182" s="868">
        <f t="shared" ca="1" si="23"/>
        <v>0</v>
      </c>
      <c r="AC182" s="868">
        <f t="shared" ca="1" si="23"/>
        <v>0</v>
      </c>
      <c r="AD182" s="868">
        <f t="shared" ca="1" si="23"/>
        <v>0</v>
      </c>
      <c r="AE182" s="867">
        <f t="shared" ca="1" si="23"/>
        <v>0</v>
      </c>
      <c r="AF182" s="868">
        <f t="shared" ca="1" si="23"/>
        <v>0</v>
      </c>
      <c r="AG182" s="868">
        <f t="shared" ca="1" si="23"/>
        <v>0</v>
      </c>
      <c r="AH182" s="868">
        <f t="shared" ca="1" si="23"/>
        <v>0</v>
      </c>
      <c r="AI182" s="867">
        <f t="shared" ca="1" si="23"/>
        <v>0</v>
      </c>
      <c r="AJ182" s="868">
        <f t="shared" ca="1" si="23"/>
        <v>0</v>
      </c>
      <c r="AK182" s="868">
        <f t="shared" ca="1" si="23"/>
        <v>0</v>
      </c>
      <c r="AL182" s="868">
        <f t="shared" ca="1" si="23"/>
        <v>0</v>
      </c>
      <c r="AM182" s="867">
        <f t="shared" ca="1" si="23"/>
        <v>0</v>
      </c>
      <c r="AN182" s="868">
        <f t="shared" ca="1" si="23"/>
        <v>0</v>
      </c>
      <c r="AO182" s="868">
        <f t="shared" ca="1" si="23"/>
        <v>0</v>
      </c>
      <c r="AP182" s="868">
        <f t="shared" ca="1" si="23"/>
        <v>0</v>
      </c>
      <c r="AQ182" s="867">
        <f t="shared" ca="1" si="23"/>
        <v>0</v>
      </c>
      <c r="AR182" s="868">
        <f t="shared" ca="1" si="23"/>
        <v>0</v>
      </c>
      <c r="AS182" s="868">
        <f t="shared" ca="1" si="23"/>
        <v>0</v>
      </c>
      <c r="AT182" s="868">
        <f t="shared" ca="1" si="23"/>
        <v>0</v>
      </c>
    </row>
    <row r="183" spans="1:47" s="77" customFormat="1" ht="18" customHeight="1" outlineLevel="2">
      <c r="A183" s="869" t="str">
        <f>'8.项目规划指标表'!B$5</f>
        <v>高层</v>
      </c>
      <c r="B183" s="870">
        <f ca="1">'15.土地增值税'!D$21</f>
        <v>9523.1454048467731</v>
      </c>
      <c r="C183" s="871">
        <f ca="1">IFERROR($B183/$B8*C8,0)</f>
        <v>0</v>
      </c>
      <c r="D183" s="872">
        <f t="shared" ref="D183:AT183" ca="1" si="24">IFERROR($B183/$B8*D8,0)</f>
        <v>0</v>
      </c>
      <c r="E183" s="872">
        <f t="shared" ca="1" si="24"/>
        <v>0</v>
      </c>
      <c r="F183" s="872">
        <f t="shared" ca="1" si="24"/>
        <v>0</v>
      </c>
      <c r="G183" s="871">
        <f t="shared" ca="1" si="24"/>
        <v>0</v>
      </c>
      <c r="H183" s="872">
        <f t="shared" ca="1" si="24"/>
        <v>3333.1008916963706</v>
      </c>
      <c r="I183" s="872">
        <f t="shared" ca="1" si="24"/>
        <v>3333.1008916963706</v>
      </c>
      <c r="J183" s="872">
        <f t="shared" ca="1" si="24"/>
        <v>1428.471810727016</v>
      </c>
      <c r="K183" s="871">
        <f t="shared" ca="1" si="24"/>
        <v>1428.471810727016</v>
      </c>
      <c r="L183" s="872">
        <f t="shared" ca="1" si="24"/>
        <v>0</v>
      </c>
      <c r="M183" s="872">
        <f t="shared" ca="1" si="24"/>
        <v>0</v>
      </c>
      <c r="N183" s="872">
        <f t="shared" ca="1" si="24"/>
        <v>0</v>
      </c>
      <c r="O183" s="871">
        <f t="shared" ca="1" si="24"/>
        <v>0</v>
      </c>
      <c r="P183" s="872">
        <f t="shared" ca="1" si="24"/>
        <v>0</v>
      </c>
      <c r="Q183" s="872">
        <f t="shared" ca="1" si="24"/>
        <v>0</v>
      </c>
      <c r="R183" s="872">
        <f t="shared" ca="1" si="24"/>
        <v>0</v>
      </c>
      <c r="S183" s="871">
        <f t="shared" ca="1" si="24"/>
        <v>0</v>
      </c>
      <c r="T183" s="872">
        <f t="shared" ca="1" si="24"/>
        <v>0</v>
      </c>
      <c r="U183" s="872">
        <f t="shared" ca="1" si="24"/>
        <v>0</v>
      </c>
      <c r="V183" s="872">
        <f t="shared" ca="1" si="24"/>
        <v>0</v>
      </c>
      <c r="W183" s="871">
        <f t="shared" ca="1" si="24"/>
        <v>0</v>
      </c>
      <c r="X183" s="872">
        <f t="shared" ca="1" si="24"/>
        <v>0</v>
      </c>
      <c r="Y183" s="872">
        <f t="shared" ca="1" si="24"/>
        <v>0</v>
      </c>
      <c r="Z183" s="872">
        <f t="shared" ca="1" si="24"/>
        <v>0</v>
      </c>
      <c r="AA183" s="871">
        <f t="shared" ca="1" si="24"/>
        <v>0</v>
      </c>
      <c r="AB183" s="872">
        <f t="shared" ca="1" si="24"/>
        <v>0</v>
      </c>
      <c r="AC183" s="872">
        <f t="shared" ca="1" si="24"/>
        <v>0</v>
      </c>
      <c r="AD183" s="872">
        <f t="shared" ca="1" si="24"/>
        <v>0</v>
      </c>
      <c r="AE183" s="871">
        <f t="shared" ca="1" si="24"/>
        <v>0</v>
      </c>
      <c r="AF183" s="872">
        <f t="shared" ca="1" si="24"/>
        <v>0</v>
      </c>
      <c r="AG183" s="872">
        <f t="shared" ca="1" si="24"/>
        <v>0</v>
      </c>
      <c r="AH183" s="872">
        <f t="shared" ca="1" si="24"/>
        <v>0</v>
      </c>
      <c r="AI183" s="871">
        <f t="shared" ca="1" si="24"/>
        <v>0</v>
      </c>
      <c r="AJ183" s="872">
        <f t="shared" ca="1" si="24"/>
        <v>0</v>
      </c>
      <c r="AK183" s="872">
        <f t="shared" ca="1" si="24"/>
        <v>0</v>
      </c>
      <c r="AL183" s="872">
        <f t="shared" ca="1" si="24"/>
        <v>0</v>
      </c>
      <c r="AM183" s="871">
        <f t="shared" ca="1" si="24"/>
        <v>0</v>
      </c>
      <c r="AN183" s="872">
        <f t="shared" ca="1" si="24"/>
        <v>0</v>
      </c>
      <c r="AO183" s="872">
        <f t="shared" ca="1" si="24"/>
        <v>0</v>
      </c>
      <c r="AP183" s="872">
        <f t="shared" ca="1" si="24"/>
        <v>0</v>
      </c>
      <c r="AQ183" s="871">
        <f t="shared" ca="1" si="24"/>
        <v>0</v>
      </c>
      <c r="AR183" s="872">
        <f t="shared" ca="1" si="24"/>
        <v>0</v>
      </c>
      <c r="AS183" s="872">
        <f t="shared" ca="1" si="24"/>
        <v>0</v>
      </c>
      <c r="AT183" s="872">
        <f t="shared" ca="1" si="24"/>
        <v>0</v>
      </c>
      <c r="AU183" s="823">
        <f ca="1">SUM(C183:AT183)-B183</f>
        <v>0</v>
      </c>
    </row>
    <row r="184" spans="1:47" s="77" customFormat="1" ht="18" customHeight="1" outlineLevel="2">
      <c r="A184" s="869" t="str">
        <f>'8.项目规划指标表'!B$6</f>
        <v>商铺</v>
      </c>
      <c r="B184" s="870">
        <f ca="1">'15.土地增值税'!E$21</f>
        <v>0</v>
      </c>
      <c r="C184" s="871">
        <f t="shared" ref="C184:AT184" ca="1" si="25">IFERROR($B184/$B9*C9,0)</f>
        <v>0</v>
      </c>
      <c r="D184" s="872">
        <f t="shared" ca="1" si="25"/>
        <v>0</v>
      </c>
      <c r="E184" s="872">
        <f t="shared" ca="1" si="25"/>
        <v>0</v>
      </c>
      <c r="F184" s="872">
        <f t="shared" ca="1" si="25"/>
        <v>0</v>
      </c>
      <c r="G184" s="871">
        <f t="shared" ca="1" si="25"/>
        <v>0</v>
      </c>
      <c r="H184" s="872">
        <f t="shared" ca="1" si="25"/>
        <v>0</v>
      </c>
      <c r="I184" s="872">
        <f t="shared" ca="1" si="25"/>
        <v>0</v>
      </c>
      <c r="J184" s="872">
        <f t="shared" ca="1" si="25"/>
        <v>0</v>
      </c>
      <c r="K184" s="871">
        <f t="shared" ca="1" si="25"/>
        <v>0</v>
      </c>
      <c r="L184" s="872">
        <f t="shared" ca="1" si="25"/>
        <v>0</v>
      </c>
      <c r="M184" s="872">
        <f t="shared" ca="1" si="25"/>
        <v>0</v>
      </c>
      <c r="N184" s="872">
        <f t="shared" ca="1" si="25"/>
        <v>0</v>
      </c>
      <c r="O184" s="871">
        <f t="shared" ca="1" si="25"/>
        <v>0</v>
      </c>
      <c r="P184" s="872">
        <f t="shared" ca="1" si="25"/>
        <v>0</v>
      </c>
      <c r="Q184" s="872">
        <f t="shared" ca="1" si="25"/>
        <v>0</v>
      </c>
      <c r="R184" s="872">
        <f t="shared" ca="1" si="25"/>
        <v>0</v>
      </c>
      <c r="S184" s="871">
        <f t="shared" ca="1" si="25"/>
        <v>0</v>
      </c>
      <c r="T184" s="872">
        <f t="shared" ca="1" si="25"/>
        <v>0</v>
      </c>
      <c r="U184" s="872">
        <f t="shared" ca="1" si="25"/>
        <v>0</v>
      </c>
      <c r="V184" s="872">
        <f t="shared" ca="1" si="25"/>
        <v>0</v>
      </c>
      <c r="W184" s="871">
        <f t="shared" ca="1" si="25"/>
        <v>0</v>
      </c>
      <c r="X184" s="872">
        <f t="shared" ca="1" si="25"/>
        <v>0</v>
      </c>
      <c r="Y184" s="872">
        <f t="shared" ca="1" si="25"/>
        <v>0</v>
      </c>
      <c r="Z184" s="872">
        <f t="shared" ca="1" si="25"/>
        <v>0</v>
      </c>
      <c r="AA184" s="871">
        <f t="shared" ca="1" si="25"/>
        <v>0</v>
      </c>
      <c r="AB184" s="872">
        <f t="shared" ca="1" si="25"/>
        <v>0</v>
      </c>
      <c r="AC184" s="872">
        <f t="shared" ca="1" si="25"/>
        <v>0</v>
      </c>
      <c r="AD184" s="872">
        <f t="shared" ca="1" si="25"/>
        <v>0</v>
      </c>
      <c r="AE184" s="871">
        <f t="shared" ca="1" si="25"/>
        <v>0</v>
      </c>
      <c r="AF184" s="872">
        <f t="shared" ca="1" si="25"/>
        <v>0</v>
      </c>
      <c r="AG184" s="872">
        <f t="shared" ca="1" si="25"/>
        <v>0</v>
      </c>
      <c r="AH184" s="872">
        <f t="shared" ca="1" si="25"/>
        <v>0</v>
      </c>
      <c r="AI184" s="871">
        <f t="shared" ca="1" si="25"/>
        <v>0</v>
      </c>
      <c r="AJ184" s="872">
        <f t="shared" ca="1" si="25"/>
        <v>0</v>
      </c>
      <c r="AK184" s="872">
        <f t="shared" ca="1" si="25"/>
        <v>0</v>
      </c>
      <c r="AL184" s="872">
        <f t="shared" ca="1" si="25"/>
        <v>0</v>
      </c>
      <c r="AM184" s="871">
        <f t="shared" ca="1" si="25"/>
        <v>0</v>
      </c>
      <c r="AN184" s="872">
        <f t="shared" ca="1" si="25"/>
        <v>0</v>
      </c>
      <c r="AO184" s="872">
        <f t="shared" ca="1" si="25"/>
        <v>0</v>
      </c>
      <c r="AP184" s="872">
        <f t="shared" ca="1" si="25"/>
        <v>0</v>
      </c>
      <c r="AQ184" s="871">
        <f t="shared" ca="1" si="25"/>
        <v>0</v>
      </c>
      <c r="AR184" s="872">
        <f t="shared" ca="1" si="25"/>
        <v>0</v>
      </c>
      <c r="AS184" s="872">
        <f t="shared" ca="1" si="25"/>
        <v>0</v>
      </c>
      <c r="AT184" s="872">
        <f t="shared" ca="1" si="25"/>
        <v>0</v>
      </c>
      <c r="AU184" s="823">
        <f t="shared" ref="AU184:AU194" ca="1" si="26">SUM(C184:AT184)-B184</f>
        <v>0</v>
      </c>
    </row>
    <row r="185" spans="1:47" s="77" customFormat="1" ht="18" customHeight="1" outlineLevel="2">
      <c r="A185" s="869" t="str">
        <f>'8.项目规划指标表'!B$7</f>
        <v>回迁商业</v>
      </c>
      <c r="B185" s="870">
        <f>'15.土地增值税'!F$21</f>
        <v>0</v>
      </c>
      <c r="C185" s="871">
        <f t="shared" ref="C185:AT185" si="27">IFERROR($B185/$B10*C10,0)</f>
        <v>0</v>
      </c>
      <c r="D185" s="872">
        <f t="shared" si="27"/>
        <v>0</v>
      </c>
      <c r="E185" s="872">
        <f t="shared" si="27"/>
        <v>0</v>
      </c>
      <c r="F185" s="872">
        <f t="shared" si="27"/>
        <v>0</v>
      </c>
      <c r="G185" s="871">
        <f t="shared" si="27"/>
        <v>0</v>
      </c>
      <c r="H185" s="872">
        <f t="shared" si="27"/>
        <v>0</v>
      </c>
      <c r="I185" s="872">
        <f t="shared" si="27"/>
        <v>0</v>
      </c>
      <c r="J185" s="872">
        <f t="shared" si="27"/>
        <v>0</v>
      </c>
      <c r="K185" s="871">
        <f t="shared" si="27"/>
        <v>0</v>
      </c>
      <c r="L185" s="872">
        <f t="shared" si="27"/>
        <v>0</v>
      </c>
      <c r="M185" s="872">
        <f t="shared" si="27"/>
        <v>0</v>
      </c>
      <c r="N185" s="872">
        <f t="shared" si="27"/>
        <v>0</v>
      </c>
      <c r="O185" s="871">
        <f t="shared" si="27"/>
        <v>0</v>
      </c>
      <c r="P185" s="872">
        <f t="shared" si="27"/>
        <v>0</v>
      </c>
      <c r="Q185" s="872">
        <f t="shared" si="27"/>
        <v>0</v>
      </c>
      <c r="R185" s="872">
        <f t="shared" si="27"/>
        <v>0</v>
      </c>
      <c r="S185" s="871">
        <f t="shared" si="27"/>
        <v>0</v>
      </c>
      <c r="T185" s="872">
        <f t="shared" si="27"/>
        <v>0</v>
      </c>
      <c r="U185" s="872">
        <f t="shared" si="27"/>
        <v>0</v>
      </c>
      <c r="V185" s="872">
        <f t="shared" si="27"/>
        <v>0</v>
      </c>
      <c r="W185" s="871">
        <f t="shared" si="27"/>
        <v>0</v>
      </c>
      <c r="X185" s="872">
        <f t="shared" si="27"/>
        <v>0</v>
      </c>
      <c r="Y185" s="872">
        <f t="shared" si="27"/>
        <v>0</v>
      </c>
      <c r="Z185" s="872">
        <f t="shared" si="27"/>
        <v>0</v>
      </c>
      <c r="AA185" s="871">
        <f t="shared" si="27"/>
        <v>0</v>
      </c>
      <c r="AB185" s="872">
        <f t="shared" si="27"/>
        <v>0</v>
      </c>
      <c r="AC185" s="872">
        <f t="shared" si="27"/>
        <v>0</v>
      </c>
      <c r="AD185" s="872">
        <f t="shared" si="27"/>
        <v>0</v>
      </c>
      <c r="AE185" s="871">
        <f t="shared" si="27"/>
        <v>0</v>
      </c>
      <c r="AF185" s="872">
        <f t="shared" si="27"/>
        <v>0</v>
      </c>
      <c r="AG185" s="872">
        <f t="shared" si="27"/>
        <v>0</v>
      </c>
      <c r="AH185" s="872">
        <f t="shared" si="27"/>
        <v>0</v>
      </c>
      <c r="AI185" s="871">
        <f t="shared" si="27"/>
        <v>0</v>
      </c>
      <c r="AJ185" s="872">
        <f t="shared" si="27"/>
        <v>0</v>
      </c>
      <c r="AK185" s="872">
        <f t="shared" si="27"/>
        <v>0</v>
      </c>
      <c r="AL185" s="872">
        <f t="shared" si="27"/>
        <v>0</v>
      </c>
      <c r="AM185" s="871">
        <f t="shared" si="27"/>
        <v>0</v>
      </c>
      <c r="AN185" s="872">
        <f t="shared" si="27"/>
        <v>0</v>
      </c>
      <c r="AO185" s="872">
        <f t="shared" si="27"/>
        <v>0</v>
      </c>
      <c r="AP185" s="872">
        <f t="shared" si="27"/>
        <v>0</v>
      </c>
      <c r="AQ185" s="871">
        <f t="shared" si="27"/>
        <v>0</v>
      </c>
      <c r="AR185" s="872">
        <f t="shared" si="27"/>
        <v>0</v>
      </c>
      <c r="AS185" s="872">
        <f t="shared" si="27"/>
        <v>0</v>
      </c>
      <c r="AT185" s="872">
        <f t="shared" si="27"/>
        <v>0</v>
      </c>
      <c r="AU185" s="823">
        <f t="shared" si="26"/>
        <v>0</v>
      </c>
    </row>
    <row r="186" spans="1:47" s="77" customFormat="1" ht="18" customHeight="1" outlineLevel="2">
      <c r="A186" s="869">
        <f>'8.项目规划指标表'!B$8</f>
        <v>0</v>
      </c>
      <c r="B186" s="870">
        <f>'15.土地增值税'!G$21</f>
        <v>0</v>
      </c>
      <c r="C186" s="871">
        <f t="shared" ref="C186:AT186" si="28">IFERROR($B186/$B11*C11,0)</f>
        <v>0</v>
      </c>
      <c r="D186" s="872">
        <f t="shared" si="28"/>
        <v>0</v>
      </c>
      <c r="E186" s="872">
        <f t="shared" si="28"/>
        <v>0</v>
      </c>
      <c r="F186" s="872">
        <f t="shared" si="28"/>
        <v>0</v>
      </c>
      <c r="G186" s="871">
        <f t="shared" si="28"/>
        <v>0</v>
      </c>
      <c r="H186" s="872">
        <f t="shared" si="28"/>
        <v>0</v>
      </c>
      <c r="I186" s="872">
        <f t="shared" si="28"/>
        <v>0</v>
      </c>
      <c r="J186" s="872">
        <f t="shared" si="28"/>
        <v>0</v>
      </c>
      <c r="K186" s="871">
        <f t="shared" si="28"/>
        <v>0</v>
      </c>
      <c r="L186" s="872">
        <f t="shared" si="28"/>
        <v>0</v>
      </c>
      <c r="M186" s="872">
        <f t="shared" si="28"/>
        <v>0</v>
      </c>
      <c r="N186" s="872">
        <f t="shared" si="28"/>
        <v>0</v>
      </c>
      <c r="O186" s="871">
        <f t="shared" si="28"/>
        <v>0</v>
      </c>
      <c r="P186" s="872">
        <f t="shared" si="28"/>
        <v>0</v>
      </c>
      <c r="Q186" s="872">
        <f t="shared" si="28"/>
        <v>0</v>
      </c>
      <c r="R186" s="872">
        <f t="shared" si="28"/>
        <v>0</v>
      </c>
      <c r="S186" s="871">
        <f t="shared" si="28"/>
        <v>0</v>
      </c>
      <c r="T186" s="872">
        <f t="shared" si="28"/>
        <v>0</v>
      </c>
      <c r="U186" s="872">
        <f t="shared" si="28"/>
        <v>0</v>
      </c>
      <c r="V186" s="872">
        <f t="shared" si="28"/>
        <v>0</v>
      </c>
      <c r="W186" s="871">
        <f t="shared" si="28"/>
        <v>0</v>
      </c>
      <c r="X186" s="872">
        <f t="shared" si="28"/>
        <v>0</v>
      </c>
      <c r="Y186" s="872">
        <f t="shared" si="28"/>
        <v>0</v>
      </c>
      <c r="Z186" s="872">
        <f t="shared" si="28"/>
        <v>0</v>
      </c>
      <c r="AA186" s="871">
        <f t="shared" si="28"/>
        <v>0</v>
      </c>
      <c r="AB186" s="872">
        <f t="shared" si="28"/>
        <v>0</v>
      </c>
      <c r="AC186" s="872">
        <f t="shared" si="28"/>
        <v>0</v>
      </c>
      <c r="AD186" s="872">
        <f t="shared" si="28"/>
        <v>0</v>
      </c>
      <c r="AE186" s="871">
        <f t="shared" si="28"/>
        <v>0</v>
      </c>
      <c r="AF186" s="872">
        <f t="shared" si="28"/>
        <v>0</v>
      </c>
      <c r="AG186" s="872">
        <f t="shared" si="28"/>
        <v>0</v>
      </c>
      <c r="AH186" s="872">
        <f t="shared" si="28"/>
        <v>0</v>
      </c>
      <c r="AI186" s="871">
        <f t="shared" si="28"/>
        <v>0</v>
      </c>
      <c r="AJ186" s="872">
        <f t="shared" si="28"/>
        <v>0</v>
      </c>
      <c r="AK186" s="872">
        <f t="shared" si="28"/>
        <v>0</v>
      </c>
      <c r="AL186" s="872">
        <f t="shared" si="28"/>
        <v>0</v>
      </c>
      <c r="AM186" s="871">
        <f t="shared" si="28"/>
        <v>0</v>
      </c>
      <c r="AN186" s="872">
        <f t="shared" si="28"/>
        <v>0</v>
      </c>
      <c r="AO186" s="872">
        <f t="shared" si="28"/>
        <v>0</v>
      </c>
      <c r="AP186" s="872">
        <f t="shared" si="28"/>
        <v>0</v>
      </c>
      <c r="AQ186" s="871">
        <f t="shared" si="28"/>
        <v>0</v>
      </c>
      <c r="AR186" s="872">
        <f t="shared" si="28"/>
        <v>0</v>
      </c>
      <c r="AS186" s="872">
        <f t="shared" si="28"/>
        <v>0</v>
      </c>
      <c r="AT186" s="872">
        <f t="shared" si="28"/>
        <v>0</v>
      </c>
      <c r="AU186" s="823">
        <f t="shared" si="26"/>
        <v>0</v>
      </c>
    </row>
    <row r="187" spans="1:47" s="77" customFormat="1" ht="18" customHeight="1" outlineLevel="2">
      <c r="A187" s="869">
        <f>'8.项目规划指标表'!B$9</f>
        <v>0</v>
      </c>
      <c r="B187" s="870">
        <f>'15.土地增值税'!H$21</f>
        <v>0</v>
      </c>
      <c r="C187" s="871">
        <f t="shared" ref="C187:AT187" si="29">IFERROR($B187/$B12*C12,0)</f>
        <v>0</v>
      </c>
      <c r="D187" s="872">
        <f t="shared" si="29"/>
        <v>0</v>
      </c>
      <c r="E187" s="872">
        <f t="shared" si="29"/>
        <v>0</v>
      </c>
      <c r="F187" s="872">
        <f t="shared" si="29"/>
        <v>0</v>
      </c>
      <c r="G187" s="871">
        <f t="shared" si="29"/>
        <v>0</v>
      </c>
      <c r="H187" s="872">
        <f t="shared" si="29"/>
        <v>0</v>
      </c>
      <c r="I187" s="872">
        <f t="shared" si="29"/>
        <v>0</v>
      </c>
      <c r="J187" s="872">
        <f t="shared" si="29"/>
        <v>0</v>
      </c>
      <c r="K187" s="871">
        <f t="shared" si="29"/>
        <v>0</v>
      </c>
      <c r="L187" s="872">
        <f t="shared" si="29"/>
        <v>0</v>
      </c>
      <c r="M187" s="872">
        <f t="shared" si="29"/>
        <v>0</v>
      </c>
      <c r="N187" s="872">
        <f t="shared" si="29"/>
        <v>0</v>
      </c>
      <c r="O187" s="871">
        <f t="shared" si="29"/>
        <v>0</v>
      </c>
      <c r="P187" s="872">
        <f t="shared" si="29"/>
        <v>0</v>
      </c>
      <c r="Q187" s="872">
        <f t="shared" si="29"/>
        <v>0</v>
      </c>
      <c r="R187" s="872">
        <f t="shared" si="29"/>
        <v>0</v>
      </c>
      <c r="S187" s="871">
        <f t="shared" si="29"/>
        <v>0</v>
      </c>
      <c r="T187" s="872">
        <f t="shared" si="29"/>
        <v>0</v>
      </c>
      <c r="U187" s="872">
        <f t="shared" si="29"/>
        <v>0</v>
      </c>
      <c r="V187" s="872">
        <f t="shared" si="29"/>
        <v>0</v>
      </c>
      <c r="W187" s="871">
        <f t="shared" si="29"/>
        <v>0</v>
      </c>
      <c r="X187" s="872">
        <f t="shared" si="29"/>
        <v>0</v>
      </c>
      <c r="Y187" s="872">
        <f t="shared" si="29"/>
        <v>0</v>
      </c>
      <c r="Z187" s="872">
        <f t="shared" si="29"/>
        <v>0</v>
      </c>
      <c r="AA187" s="871">
        <f t="shared" si="29"/>
        <v>0</v>
      </c>
      <c r="AB187" s="872">
        <f t="shared" si="29"/>
        <v>0</v>
      </c>
      <c r="AC187" s="872">
        <f t="shared" si="29"/>
        <v>0</v>
      </c>
      <c r="AD187" s="872">
        <f t="shared" si="29"/>
        <v>0</v>
      </c>
      <c r="AE187" s="871">
        <f t="shared" si="29"/>
        <v>0</v>
      </c>
      <c r="AF187" s="872">
        <f t="shared" si="29"/>
        <v>0</v>
      </c>
      <c r="AG187" s="872">
        <f t="shared" si="29"/>
        <v>0</v>
      </c>
      <c r="AH187" s="872">
        <f t="shared" si="29"/>
        <v>0</v>
      </c>
      <c r="AI187" s="871">
        <f t="shared" si="29"/>
        <v>0</v>
      </c>
      <c r="AJ187" s="872">
        <f t="shared" si="29"/>
        <v>0</v>
      </c>
      <c r="AK187" s="872">
        <f t="shared" si="29"/>
        <v>0</v>
      </c>
      <c r="AL187" s="872">
        <f t="shared" si="29"/>
        <v>0</v>
      </c>
      <c r="AM187" s="871">
        <f t="shared" si="29"/>
        <v>0</v>
      </c>
      <c r="AN187" s="872">
        <f t="shared" si="29"/>
        <v>0</v>
      </c>
      <c r="AO187" s="872">
        <f t="shared" si="29"/>
        <v>0</v>
      </c>
      <c r="AP187" s="872">
        <f t="shared" si="29"/>
        <v>0</v>
      </c>
      <c r="AQ187" s="871">
        <f t="shared" si="29"/>
        <v>0</v>
      </c>
      <c r="AR187" s="872">
        <f t="shared" si="29"/>
        <v>0</v>
      </c>
      <c r="AS187" s="872">
        <f t="shared" si="29"/>
        <v>0</v>
      </c>
      <c r="AT187" s="872">
        <f t="shared" si="29"/>
        <v>0</v>
      </c>
      <c r="AU187" s="823">
        <f t="shared" si="26"/>
        <v>0</v>
      </c>
    </row>
    <row r="188" spans="1:47" s="77" customFormat="1" ht="18" customHeight="1" outlineLevel="2">
      <c r="A188" s="869">
        <f>'8.项目规划指标表'!B$10</f>
        <v>0</v>
      </c>
      <c r="B188" s="870">
        <f>'15.土地增值税'!I$21</f>
        <v>0</v>
      </c>
      <c r="C188" s="871">
        <f t="shared" ref="C188:AT188" si="30">IFERROR($B188/$B13*C13,0)</f>
        <v>0</v>
      </c>
      <c r="D188" s="872">
        <f t="shared" si="30"/>
        <v>0</v>
      </c>
      <c r="E188" s="872">
        <f t="shared" si="30"/>
        <v>0</v>
      </c>
      <c r="F188" s="872">
        <f t="shared" si="30"/>
        <v>0</v>
      </c>
      <c r="G188" s="871">
        <f t="shared" si="30"/>
        <v>0</v>
      </c>
      <c r="H188" s="872">
        <f t="shared" si="30"/>
        <v>0</v>
      </c>
      <c r="I188" s="872">
        <f t="shared" si="30"/>
        <v>0</v>
      </c>
      <c r="J188" s="872">
        <f t="shared" si="30"/>
        <v>0</v>
      </c>
      <c r="K188" s="871">
        <f t="shared" si="30"/>
        <v>0</v>
      </c>
      <c r="L188" s="872">
        <f t="shared" si="30"/>
        <v>0</v>
      </c>
      <c r="M188" s="872">
        <f t="shared" si="30"/>
        <v>0</v>
      </c>
      <c r="N188" s="872">
        <f t="shared" si="30"/>
        <v>0</v>
      </c>
      <c r="O188" s="871">
        <f t="shared" si="30"/>
        <v>0</v>
      </c>
      <c r="P188" s="872">
        <f t="shared" si="30"/>
        <v>0</v>
      </c>
      <c r="Q188" s="872">
        <f t="shared" si="30"/>
        <v>0</v>
      </c>
      <c r="R188" s="872">
        <f t="shared" si="30"/>
        <v>0</v>
      </c>
      <c r="S188" s="871">
        <f t="shared" si="30"/>
        <v>0</v>
      </c>
      <c r="T188" s="872">
        <f t="shared" si="30"/>
        <v>0</v>
      </c>
      <c r="U188" s="872">
        <f t="shared" si="30"/>
        <v>0</v>
      </c>
      <c r="V188" s="872">
        <f t="shared" si="30"/>
        <v>0</v>
      </c>
      <c r="W188" s="871">
        <f t="shared" si="30"/>
        <v>0</v>
      </c>
      <c r="X188" s="872">
        <f t="shared" si="30"/>
        <v>0</v>
      </c>
      <c r="Y188" s="872">
        <f t="shared" si="30"/>
        <v>0</v>
      </c>
      <c r="Z188" s="872">
        <f t="shared" si="30"/>
        <v>0</v>
      </c>
      <c r="AA188" s="871">
        <f t="shared" si="30"/>
        <v>0</v>
      </c>
      <c r="AB188" s="872">
        <f t="shared" si="30"/>
        <v>0</v>
      </c>
      <c r="AC188" s="872">
        <f t="shared" si="30"/>
        <v>0</v>
      </c>
      <c r="AD188" s="872">
        <f t="shared" si="30"/>
        <v>0</v>
      </c>
      <c r="AE188" s="871">
        <f t="shared" si="30"/>
        <v>0</v>
      </c>
      <c r="AF188" s="872">
        <f t="shared" si="30"/>
        <v>0</v>
      </c>
      <c r="AG188" s="872">
        <f t="shared" si="30"/>
        <v>0</v>
      </c>
      <c r="AH188" s="872">
        <f t="shared" si="30"/>
        <v>0</v>
      </c>
      <c r="AI188" s="871">
        <f t="shared" si="30"/>
        <v>0</v>
      </c>
      <c r="AJ188" s="872">
        <f t="shared" si="30"/>
        <v>0</v>
      </c>
      <c r="AK188" s="872">
        <f t="shared" si="30"/>
        <v>0</v>
      </c>
      <c r="AL188" s="872">
        <f t="shared" si="30"/>
        <v>0</v>
      </c>
      <c r="AM188" s="871">
        <f t="shared" si="30"/>
        <v>0</v>
      </c>
      <c r="AN188" s="872">
        <f t="shared" si="30"/>
        <v>0</v>
      </c>
      <c r="AO188" s="872">
        <f t="shared" si="30"/>
        <v>0</v>
      </c>
      <c r="AP188" s="872">
        <f t="shared" si="30"/>
        <v>0</v>
      </c>
      <c r="AQ188" s="871">
        <f t="shared" si="30"/>
        <v>0</v>
      </c>
      <c r="AR188" s="872">
        <f t="shared" si="30"/>
        <v>0</v>
      </c>
      <c r="AS188" s="872">
        <f t="shared" si="30"/>
        <v>0</v>
      </c>
      <c r="AT188" s="872">
        <f t="shared" si="30"/>
        <v>0</v>
      </c>
      <c r="AU188" s="823">
        <f t="shared" si="26"/>
        <v>0</v>
      </c>
    </row>
    <row r="189" spans="1:47" s="77" customFormat="1" ht="18" customHeight="1" outlineLevel="2">
      <c r="A189" s="869">
        <f>'8.项目规划指标表'!B$11</f>
        <v>0</v>
      </c>
      <c r="B189" s="870">
        <f>'15.土地增值税'!J$21</f>
        <v>0</v>
      </c>
      <c r="C189" s="871">
        <f t="shared" ref="C189:AT189" si="31">IFERROR($B189/$B14*C14,0)</f>
        <v>0</v>
      </c>
      <c r="D189" s="872">
        <f t="shared" si="31"/>
        <v>0</v>
      </c>
      <c r="E189" s="872">
        <f t="shared" si="31"/>
        <v>0</v>
      </c>
      <c r="F189" s="872">
        <f t="shared" si="31"/>
        <v>0</v>
      </c>
      <c r="G189" s="871">
        <f t="shared" si="31"/>
        <v>0</v>
      </c>
      <c r="H189" s="872">
        <f t="shared" si="31"/>
        <v>0</v>
      </c>
      <c r="I189" s="872">
        <f t="shared" si="31"/>
        <v>0</v>
      </c>
      <c r="J189" s="872">
        <f t="shared" si="31"/>
        <v>0</v>
      </c>
      <c r="K189" s="871">
        <f t="shared" si="31"/>
        <v>0</v>
      </c>
      <c r="L189" s="872">
        <f t="shared" si="31"/>
        <v>0</v>
      </c>
      <c r="M189" s="872">
        <f t="shared" si="31"/>
        <v>0</v>
      </c>
      <c r="N189" s="872">
        <f t="shared" si="31"/>
        <v>0</v>
      </c>
      <c r="O189" s="871">
        <f t="shared" si="31"/>
        <v>0</v>
      </c>
      <c r="P189" s="872">
        <f t="shared" si="31"/>
        <v>0</v>
      </c>
      <c r="Q189" s="872">
        <f t="shared" si="31"/>
        <v>0</v>
      </c>
      <c r="R189" s="872">
        <f t="shared" si="31"/>
        <v>0</v>
      </c>
      <c r="S189" s="871">
        <f t="shared" si="31"/>
        <v>0</v>
      </c>
      <c r="T189" s="872">
        <f t="shared" si="31"/>
        <v>0</v>
      </c>
      <c r="U189" s="872">
        <f t="shared" si="31"/>
        <v>0</v>
      </c>
      <c r="V189" s="872">
        <f t="shared" si="31"/>
        <v>0</v>
      </c>
      <c r="W189" s="871">
        <f t="shared" si="31"/>
        <v>0</v>
      </c>
      <c r="X189" s="872">
        <f t="shared" si="31"/>
        <v>0</v>
      </c>
      <c r="Y189" s="872">
        <f t="shared" si="31"/>
        <v>0</v>
      </c>
      <c r="Z189" s="872">
        <f t="shared" si="31"/>
        <v>0</v>
      </c>
      <c r="AA189" s="871">
        <f t="shared" si="31"/>
        <v>0</v>
      </c>
      <c r="AB189" s="872">
        <f t="shared" si="31"/>
        <v>0</v>
      </c>
      <c r="AC189" s="872">
        <f t="shared" si="31"/>
        <v>0</v>
      </c>
      <c r="AD189" s="872">
        <f t="shared" si="31"/>
        <v>0</v>
      </c>
      <c r="AE189" s="871">
        <f t="shared" si="31"/>
        <v>0</v>
      </c>
      <c r="AF189" s="872">
        <f t="shared" si="31"/>
        <v>0</v>
      </c>
      <c r="AG189" s="872">
        <f t="shared" si="31"/>
        <v>0</v>
      </c>
      <c r="AH189" s="872">
        <f t="shared" si="31"/>
        <v>0</v>
      </c>
      <c r="AI189" s="871">
        <f t="shared" si="31"/>
        <v>0</v>
      </c>
      <c r="AJ189" s="872">
        <f t="shared" si="31"/>
        <v>0</v>
      </c>
      <c r="AK189" s="872">
        <f t="shared" si="31"/>
        <v>0</v>
      </c>
      <c r="AL189" s="872">
        <f t="shared" si="31"/>
        <v>0</v>
      </c>
      <c r="AM189" s="871">
        <f t="shared" si="31"/>
        <v>0</v>
      </c>
      <c r="AN189" s="872">
        <f t="shared" si="31"/>
        <v>0</v>
      </c>
      <c r="AO189" s="872">
        <f t="shared" si="31"/>
        <v>0</v>
      </c>
      <c r="AP189" s="872">
        <f t="shared" si="31"/>
        <v>0</v>
      </c>
      <c r="AQ189" s="871">
        <f t="shared" si="31"/>
        <v>0</v>
      </c>
      <c r="AR189" s="872">
        <f t="shared" si="31"/>
        <v>0</v>
      </c>
      <c r="AS189" s="872">
        <f t="shared" si="31"/>
        <v>0</v>
      </c>
      <c r="AT189" s="872">
        <f t="shared" si="31"/>
        <v>0</v>
      </c>
      <c r="AU189" s="823">
        <f t="shared" si="26"/>
        <v>0</v>
      </c>
    </row>
    <row r="190" spans="1:47" s="77" customFormat="1" ht="18" customHeight="1" outlineLevel="2">
      <c r="A190" s="869">
        <f>'8.项目规划指标表'!B$12</f>
        <v>0</v>
      </c>
      <c r="B190" s="870">
        <f>'15.土地增值税'!K$21</f>
        <v>0</v>
      </c>
      <c r="C190" s="871">
        <f t="shared" ref="C190:AT190" si="32">IFERROR($B190/$B15*C15,0)</f>
        <v>0</v>
      </c>
      <c r="D190" s="872">
        <f t="shared" si="32"/>
        <v>0</v>
      </c>
      <c r="E190" s="872">
        <f t="shared" si="32"/>
        <v>0</v>
      </c>
      <c r="F190" s="872">
        <f t="shared" si="32"/>
        <v>0</v>
      </c>
      <c r="G190" s="871">
        <f t="shared" si="32"/>
        <v>0</v>
      </c>
      <c r="H190" s="872">
        <f t="shared" si="32"/>
        <v>0</v>
      </c>
      <c r="I190" s="872">
        <f t="shared" si="32"/>
        <v>0</v>
      </c>
      <c r="J190" s="872">
        <f t="shared" si="32"/>
        <v>0</v>
      </c>
      <c r="K190" s="871">
        <f t="shared" si="32"/>
        <v>0</v>
      </c>
      <c r="L190" s="872">
        <f t="shared" si="32"/>
        <v>0</v>
      </c>
      <c r="M190" s="872">
        <f t="shared" si="32"/>
        <v>0</v>
      </c>
      <c r="N190" s="872">
        <f t="shared" si="32"/>
        <v>0</v>
      </c>
      <c r="O190" s="871">
        <f t="shared" si="32"/>
        <v>0</v>
      </c>
      <c r="P190" s="872">
        <f t="shared" si="32"/>
        <v>0</v>
      </c>
      <c r="Q190" s="872">
        <f t="shared" si="32"/>
        <v>0</v>
      </c>
      <c r="R190" s="872">
        <f t="shared" si="32"/>
        <v>0</v>
      </c>
      <c r="S190" s="871">
        <f t="shared" si="32"/>
        <v>0</v>
      </c>
      <c r="T190" s="872">
        <f t="shared" si="32"/>
        <v>0</v>
      </c>
      <c r="U190" s="872">
        <f t="shared" si="32"/>
        <v>0</v>
      </c>
      <c r="V190" s="872">
        <f t="shared" si="32"/>
        <v>0</v>
      </c>
      <c r="W190" s="871">
        <f t="shared" si="32"/>
        <v>0</v>
      </c>
      <c r="X190" s="872">
        <f t="shared" si="32"/>
        <v>0</v>
      </c>
      <c r="Y190" s="872">
        <f t="shared" si="32"/>
        <v>0</v>
      </c>
      <c r="Z190" s="872">
        <f t="shared" si="32"/>
        <v>0</v>
      </c>
      <c r="AA190" s="871">
        <f t="shared" si="32"/>
        <v>0</v>
      </c>
      <c r="AB190" s="872">
        <f t="shared" si="32"/>
        <v>0</v>
      </c>
      <c r="AC190" s="872">
        <f t="shared" si="32"/>
        <v>0</v>
      </c>
      <c r="AD190" s="872">
        <f t="shared" si="32"/>
        <v>0</v>
      </c>
      <c r="AE190" s="871">
        <f t="shared" si="32"/>
        <v>0</v>
      </c>
      <c r="AF190" s="872">
        <f t="shared" si="32"/>
        <v>0</v>
      </c>
      <c r="AG190" s="872">
        <f t="shared" si="32"/>
        <v>0</v>
      </c>
      <c r="AH190" s="872">
        <f t="shared" si="32"/>
        <v>0</v>
      </c>
      <c r="AI190" s="871">
        <f t="shared" si="32"/>
        <v>0</v>
      </c>
      <c r="AJ190" s="872">
        <f t="shared" si="32"/>
        <v>0</v>
      </c>
      <c r="AK190" s="872">
        <f t="shared" si="32"/>
        <v>0</v>
      </c>
      <c r="AL190" s="872">
        <f t="shared" si="32"/>
        <v>0</v>
      </c>
      <c r="AM190" s="871">
        <f t="shared" si="32"/>
        <v>0</v>
      </c>
      <c r="AN190" s="872">
        <f t="shared" si="32"/>
        <v>0</v>
      </c>
      <c r="AO190" s="872">
        <f t="shared" si="32"/>
        <v>0</v>
      </c>
      <c r="AP190" s="872">
        <f t="shared" si="32"/>
        <v>0</v>
      </c>
      <c r="AQ190" s="871">
        <f t="shared" si="32"/>
        <v>0</v>
      </c>
      <c r="AR190" s="872">
        <f t="shared" si="32"/>
        <v>0</v>
      </c>
      <c r="AS190" s="872">
        <f t="shared" si="32"/>
        <v>0</v>
      </c>
      <c r="AT190" s="872">
        <f t="shared" si="32"/>
        <v>0</v>
      </c>
      <c r="AU190" s="823">
        <f t="shared" si="26"/>
        <v>0</v>
      </c>
    </row>
    <row r="191" spans="1:47" s="77" customFormat="1" ht="18" customHeight="1" outlineLevel="2">
      <c r="A191" s="869">
        <f>'8.项目规划指标表'!B$13</f>
        <v>0</v>
      </c>
      <c r="B191" s="870">
        <f>'15.土地增值税'!L$21</f>
        <v>0</v>
      </c>
      <c r="C191" s="871">
        <f t="shared" ref="C191:AT191" si="33">IFERROR($B191/$B16*C16,0)</f>
        <v>0</v>
      </c>
      <c r="D191" s="872">
        <f t="shared" si="33"/>
        <v>0</v>
      </c>
      <c r="E191" s="872">
        <f t="shared" si="33"/>
        <v>0</v>
      </c>
      <c r="F191" s="872">
        <f t="shared" si="33"/>
        <v>0</v>
      </c>
      <c r="G191" s="871">
        <f t="shared" si="33"/>
        <v>0</v>
      </c>
      <c r="H191" s="872">
        <f t="shared" si="33"/>
        <v>0</v>
      </c>
      <c r="I191" s="872">
        <f t="shared" si="33"/>
        <v>0</v>
      </c>
      <c r="J191" s="872">
        <f t="shared" si="33"/>
        <v>0</v>
      </c>
      <c r="K191" s="871">
        <f t="shared" si="33"/>
        <v>0</v>
      </c>
      <c r="L191" s="872">
        <f t="shared" si="33"/>
        <v>0</v>
      </c>
      <c r="M191" s="872">
        <f t="shared" si="33"/>
        <v>0</v>
      </c>
      <c r="N191" s="872">
        <f t="shared" si="33"/>
        <v>0</v>
      </c>
      <c r="O191" s="871">
        <f t="shared" si="33"/>
        <v>0</v>
      </c>
      <c r="P191" s="872">
        <f t="shared" si="33"/>
        <v>0</v>
      </c>
      <c r="Q191" s="872">
        <f t="shared" si="33"/>
        <v>0</v>
      </c>
      <c r="R191" s="872">
        <f t="shared" si="33"/>
        <v>0</v>
      </c>
      <c r="S191" s="871">
        <f t="shared" si="33"/>
        <v>0</v>
      </c>
      <c r="T191" s="872">
        <f t="shared" si="33"/>
        <v>0</v>
      </c>
      <c r="U191" s="872">
        <f t="shared" si="33"/>
        <v>0</v>
      </c>
      <c r="V191" s="872">
        <f t="shared" si="33"/>
        <v>0</v>
      </c>
      <c r="W191" s="871">
        <f t="shared" si="33"/>
        <v>0</v>
      </c>
      <c r="X191" s="872">
        <f t="shared" si="33"/>
        <v>0</v>
      </c>
      <c r="Y191" s="872">
        <f t="shared" si="33"/>
        <v>0</v>
      </c>
      <c r="Z191" s="872">
        <f t="shared" si="33"/>
        <v>0</v>
      </c>
      <c r="AA191" s="871">
        <f t="shared" si="33"/>
        <v>0</v>
      </c>
      <c r="AB191" s="872">
        <f t="shared" si="33"/>
        <v>0</v>
      </c>
      <c r="AC191" s="872">
        <f t="shared" si="33"/>
        <v>0</v>
      </c>
      <c r="AD191" s="872">
        <f t="shared" si="33"/>
        <v>0</v>
      </c>
      <c r="AE191" s="871">
        <f t="shared" si="33"/>
        <v>0</v>
      </c>
      <c r="AF191" s="872">
        <f t="shared" si="33"/>
        <v>0</v>
      </c>
      <c r="AG191" s="872">
        <f t="shared" si="33"/>
        <v>0</v>
      </c>
      <c r="AH191" s="872">
        <f t="shared" si="33"/>
        <v>0</v>
      </c>
      <c r="AI191" s="871">
        <f t="shared" si="33"/>
        <v>0</v>
      </c>
      <c r="AJ191" s="872">
        <f t="shared" si="33"/>
        <v>0</v>
      </c>
      <c r="AK191" s="872">
        <f t="shared" si="33"/>
        <v>0</v>
      </c>
      <c r="AL191" s="872">
        <f t="shared" si="33"/>
        <v>0</v>
      </c>
      <c r="AM191" s="871">
        <f t="shared" si="33"/>
        <v>0</v>
      </c>
      <c r="AN191" s="872">
        <f t="shared" si="33"/>
        <v>0</v>
      </c>
      <c r="AO191" s="872">
        <f t="shared" si="33"/>
        <v>0</v>
      </c>
      <c r="AP191" s="872">
        <f t="shared" si="33"/>
        <v>0</v>
      </c>
      <c r="AQ191" s="871">
        <f t="shared" si="33"/>
        <v>0</v>
      </c>
      <c r="AR191" s="872">
        <f t="shared" si="33"/>
        <v>0</v>
      </c>
      <c r="AS191" s="872">
        <f t="shared" si="33"/>
        <v>0</v>
      </c>
      <c r="AT191" s="872">
        <f t="shared" si="33"/>
        <v>0</v>
      </c>
      <c r="AU191" s="823">
        <f t="shared" si="26"/>
        <v>0</v>
      </c>
    </row>
    <row r="192" spans="1:47" s="77" customFormat="1" ht="18" customHeight="1" outlineLevel="2">
      <c r="A192" s="869" t="str">
        <f>'8.项目规划指标表'!B$14</f>
        <v>自持物业</v>
      </c>
      <c r="B192" s="870">
        <f>'15.土地增值税'!M$21</f>
        <v>0</v>
      </c>
      <c r="C192" s="871">
        <f t="shared" ref="C192:AT192" si="34">IFERROR($B192/$B17*C17,0)</f>
        <v>0</v>
      </c>
      <c r="D192" s="872">
        <f t="shared" si="34"/>
        <v>0</v>
      </c>
      <c r="E192" s="872">
        <f t="shared" si="34"/>
        <v>0</v>
      </c>
      <c r="F192" s="872">
        <f t="shared" si="34"/>
        <v>0</v>
      </c>
      <c r="G192" s="871">
        <f t="shared" si="34"/>
        <v>0</v>
      </c>
      <c r="H192" s="872">
        <f t="shared" si="34"/>
        <v>0</v>
      </c>
      <c r="I192" s="872">
        <f t="shared" si="34"/>
        <v>0</v>
      </c>
      <c r="J192" s="872">
        <f t="shared" si="34"/>
        <v>0</v>
      </c>
      <c r="K192" s="871">
        <f t="shared" si="34"/>
        <v>0</v>
      </c>
      <c r="L192" s="872">
        <f t="shared" si="34"/>
        <v>0</v>
      </c>
      <c r="M192" s="872">
        <f t="shared" si="34"/>
        <v>0</v>
      </c>
      <c r="N192" s="872">
        <f t="shared" si="34"/>
        <v>0</v>
      </c>
      <c r="O192" s="871">
        <f t="shared" si="34"/>
        <v>0</v>
      </c>
      <c r="P192" s="872">
        <f t="shared" si="34"/>
        <v>0</v>
      </c>
      <c r="Q192" s="872">
        <f t="shared" si="34"/>
        <v>0</v>
      </c>
      <c r="R192" s="872">
        <f t="shared" si="34"/>
        <v>0</v>
      </c>
      <c r="S192" s="871">
        <f t="shared" si="34"/>
        <v>0</v>
      </c>
      <c r="T192" s="872">
        <f t="shared" si="34"/>
        <v>0</v>
      </c>
      <c r="U192" s="872">
        <f t="shared" si="34"/>
        <v>0</v>
      </c>
      <c r="V192" s="872">
        <f t="shared" si="34"/>
        <v>0</v>
      </c>
      <c r="W192" s="871">
        <f t="shared" si="34"/>
        <v>0</v>
      </c>
      <c r="X192" s="872">
        <f t="shared" si="34"/>
        <v>0</v>
      </c>
      <c r="Y192" s="872">
        <f t="shared" si="34"/>
        <v>0</v>
      </c>
      <c r="Z192" s="872">
        <f t="shared" si="34"/>
        <v>0</v>
      </c>
      <c r="AA192" s="871">
        <f t="shared" si="34"/>
        <v>0</v>
      </c>
      <c r="AB192" s="872">
        <f t="shared" si="34"/>
        <v>0</v>
      </c>
      <c r="AC192" s="872">
        <f t="shared" si="34"/>
        <v>0</v>
      </c>
      <c r="AD192" s="872">
        <f t="shared" si="34"/>
        <v>0</v>
      </c>
      <c r="AE192" s="871">
        <f t="shared" si="34"/>
        <v>0</v>
      </c>
      <c r="AF192" s="872">
        <f t="shared" si="34"/>
        <v>0</v>
      </c>
      <c r="AG192" s="872">
        <f t="shared" si="34"/>
        <v>0</v>
      </c>
      <c r="AH192" s="872">
        <f t="shared" si="34"/>
        <v>0</v>
      </c>
      <c r="AI192" s="871">
        <f t="shared" si="34"/>
        <v>0</v>
      </c>
      <c r="AJ192" s="872">
        <f t="shared" si="34"/>
        <v>0</v>
      </c>
      <c r="AK192" s="872">
        <f t="shared" si="34"/>
        <v>0</v>
      </c>
      <c r="AL192" s="872">
        <f t="shared" si="34"/>
        <v>0</v>
      </c>
      <c r="AM192" s="871">
        <f t="shared" si="34"/>
        <v>0</v>
      </c>
      <c r="AN192" s="872">
        <f t="shared" si="34"/>
        <v>0</v>
      </c>
      <c r="AO192" s="872">
        <f t="shared" si="34"/>
        <v>0</v>
      </c>
      <c r="AP192" s="872">
        <f t="shared" si="34"/>
        <v>0</v>
      </c>
      <c r="AQ192" s="871">
        <f t="shared" si="34"/>
        <v>0</v>
      </c>
      <c r="AR192" s="872">
        <f t="shared" si="34"/>
        <v>0</v>
      </c>
      <c r="AS192" s="872">
        <f t="shared" si="34"/>
        <v>0</v>
      </c>
      <c r="AT192" s="872">
        <f t="shared" si="34"/>
        <v>0</v>
      </c>
      <c r="AU192" s="823">
        <f t="shared" si="26"/>
        <v>0</v>
      </c>
    </row>
    <row r="193" spans="1:47" s="77" customFormat="1" ht="18" customHeight="1" outlineLevel="2">
      <c r="A193" s="869" t="str">
        <f>'8.项目规划指标表'!B$18</f>
        <v>有产权车库(个)</v>
      </c>
      <c r="B193" s="870">
        <f ca="1">'15.土地增值税'!N$21</f>
        <v>0</v>
      </c>
      <c r="C193" s="871">
        <f t="shared" ref="C193:AT193" ca="1" si="35">IFERROR($B193/$B18*C18,0)</f>
        <v>0</v>
      </c>
      <c r="D193" s="872">
        <f t="shared" ca="1" si="35"/>
        <v>0</v>
      </c>
      <c r="E193" s="872">
        <f t="shared" ca="1" si="35"/>
        <v>0</v>
      </c>
      <c r="F193" s="872">
        <f t="shared" ca="1" si="35"/>
        <v>0</v>
      </c>
      <c r="G193" s="871">
        <f t="shared" ca="1" si="35"/>
        <v>0</v>
      </c>
      <c r="H193" s="872">
        <f t="shared" ca="1" si="35"/>
        <v>0</v>
      </c>
      <c r="I193" s="872">
        <f t="shared" ca="1" si="35"/>
        <v>0</v>
      </c>
      <c r="J193" s="872">
        <f t="shared" ca="1" si="35"/>
        <v>0</v>
      </c>
      <c r="K193" s="871">
        <f t="shared" ca="1" si="35"/>
        <v>0</v>
      </c>
      <c r="L193" s="872">
        <f t="shared" ca="1" si="35"/>
        <v>0</v>
      </c>
      <c r="M193" s="872">
        <f t="shared" ca="1" si="35"/>
        <v>0</v>
      </c>
      <c r="N193" s="872">
        <f t="shared" ca="1" si="35"/>
        <v>0</v>
      </c>
      <c r="O193" s="871">
        <f t="shared" ca="1" si="35"/>
        <v>0</v>
      </c>
      <c r="P193" s="872">
        <f t="shared" ca="1" si="35"/>
        <v>0</v>
      </c>
      <c r="Q193" s="872">
        <f t="shared" ca="1" si="35"/>
        <v>0</v>
      </c>
      <c r="R193" s="872">
        <f t="shared" ca="1" si="35"/>
        <v>0</v>
      </c>
      <c r="S193" s="871">
        <f t="shared" ca="1" si="35"/>
        <v>0</v>
      </c>
      <c r="T193" s="872">
        <f t="shared" ca="1" si="35"/>
        <v>0</v>
      </c>
      <c r="U193" s="872">
        <f t="shared" ca="1" si="35"/>
        <v>0</v>
      </c>
      <c r="V193" s="872">
        <f t="shared" ca="1" si="35"/>
        <v>0</v>
      </c>
      <c r="W193" s="871">
        <f t="shared" ca="1" si="35"/>
        <v>0</v>
      </c>
      <c r="X193" s="872">
        <f t="shared" ca="1" si="35"/>
        <v>0</v>
      </c>
      <c r="Y193" s="872">
        <f t="shared" ca="1" si="35"/>
        <v>0</v>
      </c>
      <c r="Z193" s="872">
        <f t="shared" ca="1" si="35"/>
        <v>0</v>
      </c>
      <c r="AA193" s="871">
        <f t="shared" ca="1" si="35"/>
        <v>0</v>
      </c>
      <c r="AB193" s="872">
        <f t="shared" ca="1" si="35"/>
        <v>0</v>
      </c>
      <c r="AC193" s="872">
        <f t="shared" ca="1" si="35"/>
        <v>0</v>
      </c>
      <c r="AD193" s="872">
        <f t="shared" ca="1" si="35"/>
        <v>0</v>
      </c>
      <c r="AE193" s="871">
        <f t="shared" ca="1" si="35"/>
        <v>0</v>
      </c>
      <c r="AF193" s="872">
        <f t="shared" ca="1" si="35"/>
        <v>0</v>
      </c>
      <c r="AG193" s="872">
        <f t="shared" ca="1" si="35"/>
        <v>0</v>
      </c>
      <c r="AH193" s="872">
        <f t="shared" ca="1" si="35"/>
        <v>0</v>
      </c>
      <c r="AI193" s="871">
        <f t="shared" ca="1" si="35"/>
        <v>0</v>
      </c>
      <c r="AJ193" s="872">
        <f t="shared" ca="1" si="35"/>
        <v>0</v>
      </c>
      <c r="AK193" s="872">
        <f t="shared" ca="1" si="35"/>
        <v>0</v>
      </c>
      <c r="AL193" s="872">
        <f t="shared" ca="1" si="35"/>
        <v>0</v>
      </c>
      <c r="AM193" s="871">
        <f t="shared" ca="1" si="35"/>
        <v>0</v>
      </c>
      <c r="AN193" s="872">
        <f t="shared" ca="1" si="35"/>
        <v>0</v>
      </c>
      <c r="AO193" s="872">
        <f t="shared" ca="1" si="35"/>
        <v>0</v>
      </c>
      <c r="AP193" s="872">
        <f t="shared" ca="1" si="35"/>
        <v>0</v>
      </c>
      <c r="AQ193" s="871">
        <f t="shared" ca="1" si="35"/>
        <v>0</v>
      </c>
      <c r="AR193" s="872">
        <f t="shared" ca="1" si="35"/>
        <v>0</v>
      </c>
      <c r="AS193" s="872">
        <f t="shared" ca="1" si="35"/>
        <v>0</v>
      </c>
      <c r="AT193" s="872">
        <f t="shared" ca="1" si="35"/>
        <v>0</v>
      </c>
      <c r="AU193" s="823">
        <f t="shared" ca="1" si="26"/>
        <v>0</v>
      </c>
    </row>
    <row r="194" spans="1:47" s="77" customFormat="1" ht="18" customHeight="1" outlineLevel="2">
      <c r="A194" s="869" t="str">
        <f>'8.项目规划指标表'!B$19</f>
        <v>无产权车库(个)</v>
      </c>
      <c r="B194" s="870">
        <f>'15.土地增值税'!O$21</f>
        <v>0</v>
      </c>
      <c r="C194" s="871">
        <f t="shared" ref="C194:AT194" si="36">IFERROR($B194/$B19*C19,0)</f>
        <v>0</v>
      </c>
      <c r="D194" s="872">
        <f t="shared" si="36"/>
        <v>0</v>
      </c>
      <c r="E194" s="872">
        <f t="shared" si="36"/>
        <v>0</v>
      </c>
      <c r="F194" s="872">
        <f t="shared" si="36"/>
        <v>0</v>
      </c>
      <c r="G194" s="871">
        <f t="shared" si="36"/>
        <v>0</v>
      </c>
      <c r="H194" s="872">
        <f t="shared" si="36"/>
        <v>0</v>
      </c>
      <c r="I194" s="872">
        <f t="shared" si="36"/>
        <v>0</v>
      </c>
      <c r="J194" s="872">
        <f t="shared" si="36"/>
        <v>0</v>
      </c>
      <c r="K194" s="871">
        <f t="shared" si="36"/>
        <v>0</v>
      </c>
      <c r="L194" s="872">
        <f t="shared" si="36"/>
        <v>0</v>
      </c>
      <c r="M194" s="872">
        <f t="shared" si="36"/>
        <v>0</v>
      </c>
      <c r="N194" s="872">
        <f t="shared" si="36"/>
        <v>0</v>
      </c>
      <c r="O194" s="871">
        <f t="shared" si="36"/>
        <v>0</v>
      </c>
      <c r="P194" s="872">
        <f t="shared" si="36"/>
        <v>0</v>
      </c>
      <c r="Q194" s="872">
        <f t="shared" si="36"/>
        <v>0</v>
      </c>
      <c r="R194" s="872">
        <f t="shared" si="36"/>
        <v>0</v>
      </c>
      <c r="S194" s="871">
        <f t="shared" si="36"/>
        <v>0</v>
      </c>
      <c r="T194" s="872">
        <f t="shared" si="36"/>
        <v>0</v>
      </c>
      <c r="U194" s="872">
        <f t="shared" si="36"/>
        <v>0</v>
      </c>
      <c r="V194" s="872">
        <f t="shared" si="36"/>
        <v>0</v>
      </c>
      <c r="W194" s="871">
        <f t="shared" si="36"/>
        <v>0</v>
      </c>
      <c r="X194" s="872">
        <f t="shared" si="36"/>
        <v>0</v>
      </c>
      <c r="Y194" s="872">
        <f t="shared" si="36"/>
        <v>0</v>
      </c>
      <c r="Z194" s="872">
        <f t="shared" si="36"/>
        <v>0</v>
      </c>
      <c r="AA194" s="871">
        <f t="shared" si="36"/>
        <v>0</v>
      </c>
      <c r="AB194" s="872">
        <f t="shared" si="36"/>
        <v>0</v>
      </c>
      <c r="AC194" s="872">
        <f t="shared" si="36"/>
        <v>0</v>
      </c>
      <c r="AD194" s="872">
        <f t="shared" si="36"/>
        <v>0</v>
      </c>
      <c r="AE194" s="871">
        <f t="shared" si="36"/>
        <v>0</v>
      </c>
      <c r="AF194" s="872">
        <f t="shared" si="36"/>
        <v>0</v>
      </c>
      <c r="AG194" s="872">
        <f t="shared" si="36"/>
        <v>0</v>
      </c>
      <c r="AH194" s="872">
        <f t="shared" si="36"/>
        <v>0</v>
      </c>
      <c r="AI194" s="871">
        <f t="shared" si="36"/>
        <v>0</v>
      </c>
      <c r="AJ194" s="872">
        <f t="shared" si="36"/>
        <v>0</v>
      </c>
      <c r="AK194" s="872">
        <f t="shared" si="36"/>
        <v>0</v>
      </c>
      <c r="AL194" s="872">
        <f t="shared" si="36"/>
        <v>0</v>
      </c>
      <c r="AM194" s="871">
        <f t="shared" si="36"/>
        <v>0</v>
      </c>
      <c r="AN194" s="872">
        <f t="shared" si="36"/>
        <v>0</v>
      </c>
      <c r="AO194" s="872">
        <f t="shared" si="36"/>
        <v>0</v>
      </c>
      <c r="AP194" s="872">
        <f t="shared" si="36"/>
        <v>0</v>
      </c>
      <c r="AQ194" s="871">
        <f t="shared" si="36"/>
        <v>0</v>
      </c>
      <c r="AR194" s="872">
        <f t="shared" si="36"/>
        <v>0</v>
      </c>
      <c r="AS194" s="872">
        <f t="shared" si="36"/>
        <v>0</v>
      </c>
      <c r="AT194" s="872">
        <f t="shared" si="36"/>
        <v>0</v>
      </c>
      <c r="AU194" s="823">
        <f t="shared" si="26"/>
        <v>0</v>
      </c>
    </row>
    <row r="195" spans="1:47" s="77" customFormat="1" ht="18" customHeight="1" outlineLevel="1">
      <c r="A195" s="865" t="s">
        <v>20</v>
      </c>
      <c r="B195" s="866">
        <f ca="1">SUM(B196:B207)</f>
        <v>0</v>
      </c>
      <c r="C195" s="867">
        <f ca="1">SUM(C196:C207)</f>
        <v>0</v>
      </c>
      <c r="D195" s="868">
        <f t="shared" ref="D195:AT195" ca="1" si="37">SUM(D196:D207)</f>
        <v>0</v>
      </c>
      <c r="E195" s="868">
        <f t="shared" ca="1" si="37"/>
        <v>0</v>
      </c>
      <c r="F195" s="868">
        <f t="shared" ca="1" si="37"/>
        <v>0</v>
      </c>
      <c r="G195" s="867">
        <f t="shared" ca="1" si="37"/>
        <v>0</v>
      </c>
      <c r="H195" s="868">
        <f t="shared" ca="1" si="37"/>
        <v>0</v>
      </c>
      <c r="I195" s="868">
        <f t="shared" ca="1" si="37"/>
        <v>0</v>
      </c>
      <c r="J195" s="868">
        <f t="shared" ca="1" si="37"/>
        <v>0</v>
      </c>
      <c r="K195" s="867">
        <f t="shared" ca="1" si="37"/>
        <v>0</v>
      </c>
      <c r="L195" s="868">
        <f t="shared" ca="1" si="37"/>
        <v>0</v>
      </c>
      <c r="M195" s="868">
        <f t="shared" ca="1" si="37"/>
        <v>0</v>
      </c>
      <c r="N195" s="868">
        <f t="shared" ca="1" si="37"/>
        <v>0</v>
      </c>
      <c r="O195" s="867">
        <f t="shared" ca="1" si="37"/>
        <v>0</v>
      </c>
      <c r="P195" s="868">
        <f t="shared" ca="1" si="37"/>
        <v>0</v>
      </c>
      <c r="Q195" s="868">
        <f t="shared" ca="1" si="37"/>
        <v>0</v>
      </c>
      <c r="R195" s="868">
        <f t="shared" ca="1" si="37"/>
        <v>0</v>
      </c>
      <c r="S195" s="867">
        <f t="shared" ca="1" si="37"/>
        <v>0</v>
      </c>
      <c r="T195" s="868">
        <f t="shared" ca="1" si="37"/>
        <v>0</v>
      </c>
      <c r="U195" s="868">
        <f t="shared" ca="1" si="37"/>
        <v>0</v>
      </c>
      <c r="V195" s="868">
        <f t="shared" ca="1" si="37"/>
        <v>0</v>
      </c>
      <c r="W195" s="867">
        <f t="shared" ca="1" si="37"/>
        <v>0</v>
      </c>
      <c r="X195" s="868">
        <f t="shared" ca="1" si="37"/>
        <v>0</v>
      </c>
      <c r="Y195" s="868">
        <f t="shared" ca="1" si="37"/>
        <v>0</v>
      </c>
      <c r="Z195" s="868">
        <f t="shared" ca="1" si="37"/>
        <v>0</v>
      </c>
      <c r="AA195" s="867">
        <f t="shared" ca="1" si="37"/>
        <v>0</v>
      </c>
      <c r="AB195" s="868">
        <f t="shared" ca="1" si="37"/>
        <v>0</v>
      </c>
      <c r="AC195" s="868">
        <f t="shared" ca="1" si="37"/>
        <v>0</v>
      </c>
      <c r="AD195" s="868">
        <f t="shared" ca="1" si="37"/>
        <v>0</v>
      </c>
      <c r="AE195" s="867">
        <f t="shared" ca="1" si="37"/>
        <v>0</v>
      </c>
      <c r="AF195" s="868">
        <f t="shared" ca="1" si="37"/>
        <v>0</v>
      </c>
      <c r="AG195" s="868">
        <f t="shared" ca="1" si="37"/>
        <v>0</v>
      </c>
      <c r="AH195" s="868">
        <f t="shared" ca="1" si="37"/>
        <v>0</v>
      </c>
      <c r="AI195" s="867">
        <f t="shared" ca="1" si="37"/>
        <v>0</v>
      </c>
      <c r="AJ195" s="868">
        <f t="shared" ca="1" si="37"/>
        <v>0</v>
      </c>
      <c r="AK195" s="868">
        <f t="shared" ca="1" si="37"/>
        <v>0</v>
      </c>
      <c r="AL195" s="868">
        <f t="shared" ca="1" si="37"/>
        <v>0</v>
      </c>
      <c r="AM195" s="867">
        <f t="shared" ca="1" si="37"/>
        <v>0</v>
      </c>
      <c r="AN195" s="868">
        <f t="shared" ca="1" si="37"/>
        <v>0</v>
      </c>
      <c r="AO195" s="868">
        <f t="shared" ca="1" si="37"/>
        <v>0</v>
      </c>
      <c r="AP195" s="868">
        <f t="shared" ca="1" si="37"/>
        <v>0</v>
      </c>
      <c r="AQ195" s="867">
        <f t="shared" ca="1" si="37"/>
        <v>0</v>
      </c>
      <c r="AR195" s="868">
        <f t="shared" ca="1" si="37"/>
        <v>0</v>
      </c>
      <c r="AS195" s="868">
        <f t="shared" ca="1" si="37"/>
        <v>0</v>
      </c>
      <c r="AT195" s="868">
        <f t="shared" ca="1" si="37"/>
        <v>0</v>
      </c>
    </row>
    <row r="196" spans="1:47" s="77" customFormat="1" ht="18" customHeight="1" outlineLevel="2">
      <c r="A196" s="869" t="str">
        <f>'8.项目规划指标表'!B$5</f>
        <v>高层</v>
      </c>
      <c r="B196" s="870">
        <f ca="1">'15.土地增值税'!D$39</f>
        <v>0</v>
      </c>
      <c r="C196" s="871">
        <f ca="1">IFERROR($B196/$B21*C21,0)</f>
        <v>0</v>
      </c>
      <c r="D196" s="872">
        <f t="shared" ref="D196:AT196" ca="1" si="38">IFERROR($B196/$B21*D21,0)</f>
        <v>0</v>
      </c>
      <c r="E196" s="872">
        <f t="shared" ca="1" si="38"/>
        <v>0</v>
      </c>
      <c r="F196" s="872">
        <f t="shared" ca="1" si="38"/>
        <v>0</v>
      </c>
      <c r="G196" s="871">
        <f t="shared" ca="1" si="38"/>
        <v>0</v>
      </c>
      <c r="H196" s="872">
        <f t="shared" ca="1" si="38"/>
        <v>0</v>
      </c>
      <c r="I196" s="872">
        <f t="shared" ca="1" si="38"/>
        <v>0</v>
      </c>
      <c r="J196" s="872">
        <f t="shared" ca="1" si="38"/>
        <v>0</v>
      </c>
      <c r="K196" s="871">
        <f t="shared" ca="1" si="38"/>
        <v>0</v>
      </c>
      <c r="L196" s="872">
        <f t="shared" ca="1" si="38"/>
        <v>0</v>
      </c>
      <c r="M196" s="872">
        <f t="shared" ca="1" si="38"/>
        <v>0</v>
      </c>
      <c r="N196" s="872">
        <f t="shared" ca="1" si="38"/>
        <v>0</v>
      </c>
      <c r="O196" s="871">
        <f t="shared" ca="1" si="38"/>
        <v>0</v>
      </c>
      <c r="P196" s="872">
        <f t="shared" ca="1" si="38"/>
        <v>0</v>
      </c>
      <c r="Q196" s="872">
        <f t="shared" ca="1" si="38"/>
        <v>0</v>
      </c>
      <c r="R196" s="872">
        <f t="shared" ca="1" si="38"/>
        <v>0</v>
      </c>
      <c r="S196" s="871">
        <f t="shared" ca="1" si="38"/>
        <v>0</v>
      </c>
      <c r="T196" s="872">
        <f t="shared" ca="1" si="38"/>
        <v>0</v>
      </c>
      <c r="U196" s="872">
        <f t="shared" ca="1" si="38"/>
        <v>0</v>
      </c>
      <c r="V196" s="872">
        <f t="shared" ca="1" si="38"/>
        <v>0</v>
      </c>
      <c r="W196" s="871">
        <f t="shared" ca="1" si="38"/>
        <v>0</v>
      </c>
      <c r="X196" s="872">
        <f t="shared" ca="1" si="38"/>
        <v>0</v>
      </c>
      <c r="Y196" s="872">
        <f t="shared" ca="1" si="38"/>
        <v>0</v>
      </c>
      <c r="Z196" s="872">
        <f t="shared" ca="1" si="38"/>
        <v>0</v>
      </c>
      <c r="AA196" s="871">
        <f t="shared" ca="1" si="38"/>
        <v>0</v>
      </c>
      <c r="AB196" s="872">
        <f t="shared" ca="1" si="38"/>
        <v>0</v>
      </c>
      <c r="AC196" s="872">
        <f t="shared" ca="1" si="38"/>
        <v>0</v>
      </c>
      <c r="AD196" s="872">
        <f t="shared" ca="1" si="38"/>
        <v>0</v>
      </c>
      <c r="AE196" s="871">
        <f t="shared" ca="1" si="38"/>
        <v>0</v>
      </c>
      <c r="AF196" s="872">
        <f t="shared" ca="1" si="38"/>
        <v>0</v>
      </c>
      <c r="AG196" s="872">
        <f t="shared" ca="1" si="38"/>
        <v>0</v>
      </c>
      <c r="AH196" s="872">
        <f t="shared" ca="1" si="38"/>
        <v>0</v>
      </c>
      <c r="AI196" s="871">
        <f t="shared" ca="1" si="38"/>
        <v>0</v>
      </c>
      <c r="AJ196" s="872">
        <f t="shared" ca="1" si="38"/>
        <v>0</v>
      </c>
      <c r="AK196" s="872">
        <f t="shared" ca="1" si="38"/>
        <v>0</v>
      </c>
      <c r="AL196" s="872">
        <f t="shared" ca="1" si="38"/>
        <v>0</v>
      </c>
      <c r="AM196" s="871">
        <f t="shared" ca="1" si="38"/>
        <v>0</v>
      </c>
      <c r="AN196" s="872">
        <f t="shared" ca="1" si="38"/>
        <v>0</v>
      </c>
      <c r="AO196" s="872">
        <f t="shared" ca="1" si="38"/>
        <v>0</v>
      </c>
      <c r="AP196" s="872">
        <f t="shared" ca="1" si="38"/>
        <v>0</v>
      </c>
      <c r="AQ196" s="871">
        <f t="shared" ca="1" si="38"/>
        <v>0</v>
      </c>
      <c r="AR196" s="872">
        <f t="shared" ca="1" si="38"/>
        <v>0</v>
      </c>
      <c r="AS196" s="872">
        <f t="shared" ca="1" si="38"/>
        <v>0</v>
      </c>
      <c r="AT196" s="872">
        <f t="shared" ca="1" si="38"/>
        <v>0</v>
      </c>
      <c r="AU196" s="823">
        <f ca="1">SUM(C196:AT196)-B196</f>
        <v>0</v>
      </c>
    </row>
    <row r="197" spans="1:47" s="77" customFormat="1" ht="18" customHeight="1" outlineLevel="2">
      <c r="A197" s="869" t="str">
        <f>'8.项目规划指标表'!B$6</f>
        <v>商铺</v>
      </c>
      <c r="B197" s="870">
        <f ca="1">'15.土地增值税'!E$39</f>
        <v>0</v>
      </c>
      <c r="C197" s="871">
        <f t="shared" ref="C197:AT197" ca="1" si="39">IFERROR($B197/$B22*C22,0)</f>
        <v>0</v>
      </c>
      <c r="D197" s="872">
        <f t="shared" ca="1" si="39"/>
        <v>0</v>
      </c>
      <c r="E197" s="872">
        <f t="shared" ca="1" si="39"/>
        <v>0</v>
      </c>
      <c r="F197" s="872">
        <f t="shared" ca="1" si="39"/>
        <v>0</v>
      </c>
      <c r="G197" s="871">
        <f t="shared" ca="1" si="39"/>
        <v>0</v>
      </c>
      <c r="H197" s="872">
        <f t="shared" ca="1" si="39"/>
        <v>0</v>
      </c>
      <c r="I197" s="872">
        <f t="shared" ca="1" si="39"/>
        <v>0</v>
      </c>
      <c r="J197" s="872">
        <f t="shared" ca="1" si="39"/>
        <v>0</v>
      </c>
      <c r="K197" s="871">
        <f t="shared" ca="1" si="39"/>
        <v>0</v>
      </c>
      <c r="L197" s="872">
        <f t="shared" ca="1" si="39"/>
        <v>0</v>
      </c>
      <c r="M197" s="872">
        <f t="shared" ca="1" si="39"/>
        <v>0</v>
      </c>
      <c r="N197" s="872">
        <f t="shared" ca="1" si="39"/>
        <v>0</v>
      </c>
      <c r="O197" s="871">
        <f t="shared" ca="1" si="39"/>
        <v>0</v>
      </c>
      <c r="P197" s="872">
        <f t="shared" ca="1" si="39"/>
        <v>0</v>
      </c>
      <c r="Q197" s="872">
        <f t="shared" ca="1" si="39"/>
        <v>0</v>
      </c>
      <c r="R197" s="872">
        <f t="shared" ca="1" si="39"/>
        <v>0</v>
      </c>
      <c r="S197" s="871">
        <f t="shared" ca="1" si="39"/>
        <v>0</v>
      </c>
      <c r="T197" s="872">
        <f t="shared" ca="1" si="39"/>
        <v>0</v>
      </c>
      <c r="U197" s="872">
        <f t="shared" ca="1" si="39"/>
        <v>0</v>
      </c>
      <c r="V197" s="872">
        <f t="shared" ca="1" si="39"/>
        <v>0</v>
      </c>
      <c r="W197" s="871">
        <f t="shared" ca="1" si="39"/>
        <v>0</v>
      </c>
      <c r="X197" s="872">
        <f t="shared" ca="1" si="39"/>
        <v>0</v>
      </c>
      <c r="Y197" s="872">
        <f t="shared" ca="1" si="39"/>
        <v>0</v>
      </c>
      <c r="Z197" s="872">
        <f t="shared" ca="1" si="39"/>
        <v>0</v>
      </c>
      <c r="AA197" s="871">
        <f t="shared" ca="1" si="39"/>
        <v>0</v>
      </c>
      <c r="AB197" s="872">
        <f t="shared" ca="1" si="39"/>
        <v>0</v>
      </c>
      <c r="AC197" s="872">
        <f t="shared" ca="1" si="39"/>
        <v>0</v>
      </c>
      <c r="AD197" s="872">
        <f t="shared" ca="1" si="39"/>
        <v>0</v>
      </c>
      <c r="AE197" s="871">
        <f t="shared" ca="1" si="39"/>
        <v>0</v>
      </c>
      <c r="AF197" s="872">
        <f t="shared" ca="1" si="39"/>
        <v>0</v>
      </c>
      <c r="AG197" s="872">
        <f t="shared" ca="1" si="39"/>
        <v>0</v>
      </c>
      <c r="AH197" s="872">
        <f t="shared" ca="1" si="39"/>
        <v>0</v>
      </c>
      <c r="AI197" s="871">
        <f t="shared" ca="1" si="39"/>
        <v>0</v>
      </c>
      <c r="AJ197" s="872">
        <f t="shared" ca="1" si="39"/>
        <v>0</v>
      </c>
      <c r="AK197" s="872">
        <f t="shared" ca="1" si="39"/>
        <v>0</v>
      </c>
      <c r="AL197" s="872">
        <f t="shared" ca="1" si="39"/>
        <v>0</v>
      </c>
      <c r="AM197" s="871">
        <f t="shared" ca="1" si="39"/>
        <v>0</v>
      </c>
      <c r="AN197" s="872">
        <f t="shared" ca="1" si="39"/>
        <v>0</v>
      </c>
      <c r="AO197" s="872">
        <f t="shared" ca="1" si="39"/>
        <v>0</v>
      </c>
      <c r="AP197" s="872">
        <f t="shared" ca="1" si="39"/>
        <v>0</v>
      </c>
      <c r="AQ197" s="871">
        <f t="shared" ca="1" si="39"/>
        <v>0</v>
      </c>
      <c r="AR197" s="872">
        <f t="shared" ca="1" si="39"/>
        <v>0</v>
      </c>
      <c r="AS197" s="872">
        <f t="shared" ca="1" si="39"/>
        <v>0</v>
      </c>
      <c r="AT197" s="872">
        <f t="shared" ca="1" si="39"/>
        <v>0</v>
      </c>
      <c r="AU197" s="823">
        <f t="shared" ref="AU197:AU207" ca="1" si="40">SUM(C197:AT197)-B197</f>
        <v>0</v>
      </c>
    </row>
    <row r="198" spans="1:47" s="77" customFormat="1" ht="18" customHeight="1" outlineLevel="2">
      <c r="A198" s="869" t="str">
        <f>'8.项目规划指标表'!B$7</f>
        <v>回迁商业</v>
      </c>
      <c r="B198" s="870">
        <f ca="1">'15.土地增值税'!F$39</f>
        <v>0</v>
      </c>
      <c r="C198" s="871">
        <f t="shared" ref="C198:AT198" ca="1" si="41">IFERROR($B198/$B23*C23,0)</f>
        <v>0</v>
      </c>
      <c r="D198" s="872">
        <f t="shared" ca="1" si="41"/>
        <v>0</v>
      </c>
      <c r="E198" s="872">
        <f t="shared" ca="1" si="41"/>
        <v>0</v>
      </c>
      <c r="F198" s="872">
        <f t="shared" ca="1" si="41"/>
        <v>0</v>
      </c>
      <c r="G198" s="871">
        <f t="shared" ca="1" si="41"/>
        <v>0</v>
      </c>
      <c r="H198" s="872">
        <f t="shared" ca="1" si="41"/>
        <v>0</v>
      </c>
      <c r="I198" s="872">
        <f t="shared" ca="1" si="41"/>
        <v>0</v>
      </c>
      <c r="J198" s="872">
        <f t="shared" ca="1" si="41"/>
        <v>0</v>
      </c>
      <c r="K198" s="871">
        <f t="shared" ca="1" si="41"/>
        <v>0</v>
      </c>
      <c r="L198" s="872">
        <f t="shared" ca="1" si="41"/>
        <v>0</v>
      </c>
      <c r="M198" s="872">
        <f t="shared" ca="1" si="41"/>
        <v>0</v>
      </c>
      <c r="N198" s="872">
        <f t="shared" ca="1" si="41"/>
        <v>0</v>
      </c>
      <c r="O198" s="871">
        <f t="shared" ca="1" si="41"/>
        <v>0</v>
      </c>
      <c r="P198" s="872">
        <f t="shared" ca="1" si="41"/>
        <v>0</v>
      </c>
      <c r="Q198" s="872">
        <f t="shared" ca="1" si="41"/>
        <v>0</v>
      </c>
      <c r="R198" s="872">
        <f t="shared" ca="1" si="41"/>
        <v>0</v>
      </c>
      <c r="S198" s="871">
        <f t="shared" ca="1" si="41"/>
        <v>0</v>
      </c>
      <c r="T198" s="872">
        <f t="shared" ca="1" si="41"/>
        <v>0</v>
      </c>
      <c r="U198" s="872">
        <f t="shared" ca="1" si="41"/>
        <v>0</v>
      </c>
      <c r="V198" s="872">
        <f t="shared" ca="1" si="41"/>
        <v>0</v>
      </c>
      <c r="W198" s="871">
        <f t="shared" ca="1" si="41"/>
        <v>0</v>
      </c>
      <c r="X198" s="872">
        <f t="shared" ca="1" si="41"/>
        <v>0</v>
      </c>
      <c r="Y198" s="872">
        <f t="shared" ca="1" si="41"/>
        <v>0</v>
      </c>
      <c r="Z198" s="872">
        <f t="shared" ca="1" si="41"/>
        <v>0</v>
      </c>
      <c r="AA198" s="871">
        <f t="shared" ca="1" si="41"/>
        <v>0</v>
      </c>
      <c r="AB198" s="872">
        <f t="shared" ca="1" si="41"/>
        <v>0</v>
      </c>
      <c r="AC198" s="872">
        <f t="shared" ca="1" si="41"/>
        <v>0</v>
      </c>
      <c r="AD198" s="872">
        <f t="shared" ca="1" si="41"/>
        <v>0</v>
      </c>
      <c r="AE198" s="871">
        <f t="shared" ca="1" si="41"/>
        <v>0</v>
      </c>
      <c r="AF198" s="872">
        <f t="shared" ca="1" si="41"/>
        <v>0</v>
      </c>
      <c r="AG198" s="872">
        <f t="shared" ca="1" si="41"/>
        <v>0</v>
      </c>
      <c r="AH198" s="872">
        <f t="shared" ca="1" si="41"/>
        <v>0</v>
      </c>
      <c r="AI198" s="871">
        <f t="shared" ca="1" si="41"/>
        <v>0</v>
      </c>
      <c r="AJ198" s="872">
        <f t="shared" ca="1" si="41"/>
        <v>0</v>
      </c>
      <c r="AK198" s="872">
        <f t="shared" ca="1" si="41"/>
        <v>0</v>
      </c>
      <c r="AL198" s="872">
        <f t="shared" ca="1" si="41"/>
        <v>0</v>
      </c>
      <c r="AM198" s="871">
        <f t="shared" ca="1" si="41"/>
        <v>0</v>
      </c>
      <c r="AN198" s="872">
        <f t="shared" ca="1" si="41"/>
        <v>0</v>
      </c>
      <c r="AO198" s="872">
        <f t="shared" ca="1" si="41"/>
        <v>0</v>
      </c>
      <c r="AP198" s="872">
        <f t="shared" ca="1" si="41"/>
        <v>0</v>
      </c>
      <c r="AQ198" s="871">
        <f t="shared" ca="1" si="41"/>
        <v>0</v>
      </c>
      <c r="AR198" s="872">
        <f t="shared" ca="1" si="41"/>
        <v>0</v>
      </c>
      <c r="AS198" s="872">
        <f t="shared" ca="1" si="41"/>
        <v>0</v>
      </c>
      <c r="AT198" s="872">
        <f t="shared" ca="1" si="41"/>
        <v>0</v>
      </c>
      <c r="AU198" s="823">
        <f t="shared" ca="1" si="40"/>
        <v>0</v>
      </c>
    </row>
    <row r="199" spans="1:47" s="77" customFormat="1" ht="18" customHeight="1" outlineLevel="2">
      <c r="A199" s="869">
        <f>'8.项目规划指标表'!B$8</f>
        <v>0</v>
      </c>
      <c r="B199" s="870">
        <f ca="1">'15.土地增值税'!G$39</f>
        <v>0</v>
      </c>
      <c r="C199" s="871">
        <f t="shared" ref="C199:AT199" ca="1" si="42">IFERROR($B199/$B24*C24,0)</f>
        <v>0</v>
      </c>
      <c r="D199" s="872">
        <f t="shared" ca="1" si="42"/>
        <v>0</v>
      </c>
      <c r="E199" s="872">
        <f t="shared" ca="1" si="42"/>
        <v>0</v>
      </c>
      <c r="F199" s="872">
        <f t="shared" ca="1" si="42"/>
        <v>0</v>
      </c>
      <c r="G199" s="871">
        <f t="shared" ca="1" si="42"/>
        <v>0</v>
      </c>
      <c r="H199" s="872">
        <f t="shared" ca="1" si="42"/>
        <v>0</v>
      </c>
      <c r="I199" s="872">
        <f t="shared" ca="1" si="42"/>
        <v>0</v>
      </c>
      <c r="J199" s="872">
        <f t="shared" ca="1" si="42"/>
        <v>0</v>
      </c>
      <c r="K199" s="871">
        <f t="shared" ca="1" si="42"/>
        <v>0</v>
      </c>
      <c r="L199" s="872">
        <f t="shared" ca="1" si="42"/>
        <v>0</v>
      </c>
      <c r="M199" s="872">
        <f t="shared" ca="1" si="42"/>
        <v>0</v>
      </c>
      <c r="N199" s="872">
        <f t="shared" ca="1" si="42"/>
        <v>0</v>
      </c>
      <c r="O199" s="871">
        <f t="shared" ca="1" si="42"/>
        <v>0</v>
      </c>
      <c r="P199" s="872">
        <f t="shared" ca="1" si="42"/>
        <v>0</v>
      </c>
      <c r="Q199" s="872">
        <f t="shared" ca="1" si="42"/>
        <v>0</v>
      </c>
      <c r="R199" s="872">
        <f t="shared" ca="1" si="42"/>
        <v>0</v>
      </c>
      <c r="S199" s="871">
        <f t="shared" ca="1" si="42"/>
        <v>0</v>
      </c>
      <c r="T199" s="872">
        <f t="shared" ca="1" si="42"/>
        <v>0</v>
      </c>
      <c r="U199" s="872">
        <f t="shared" ca="1" si="42"/>
        <v>0</v>
      </c>
      <c r="V199" s="872">
        <f t="shared" ca="1" si="42"/>
        <v>0</v>
      </c>
      <c r="W199" s="871">
        <f t="shared" ca="1" si="42"/>
        <v>0</v>
      </c>
      <c r="X199" s="872">
        <f t="shared" ca="1" si="42"/>
        <v>0</v>
      </c>
      <c r="Y199" s="872">
        <f t="shared" ca="1" si="42"/>
        <v>0</v>
      </c>
      <c r="Z199" s="872">
        <f t="shared" ca="1" si="42"/>
        <v>0</v>
      </c>
      <c r="AA199" s="871">
        <f t="shared" ca="1" si="42"/>
        <v>0</v>
      </c>
      <c r="AB199" s="872">
        <f t="shared" ca="1" si="42"/>
        <v>0</v>
      </c>
      <c r="AC199" s="872">
        <f t="shared" ca="1" si="42"/>
        <v>0</v>
      </c>
      <c r="AD199" s="872">
        <f t="shared" ca="1" si="42"/>
        <v>0</v>
      </c>
      <c r="AE199" s="871">
        <f t="shared" ca="1" si="42"/>
        <v>0</v>
      </c>
      <c r="AF199" s="872">
        <f t="shared" ca="1" si="42"/>
        <v>0</v>
      </c>
      <c r="AG199" s="872">
        <f t="shared" ca="1" si="42"/>
        <v>0</v>
      </c>
      <c r="AH199" s="872">
        <f t="shared" ca="1" si="42"/>
        <v>0</v>
      </c>
      <c r="AI199" s="871">
        <f t="shared" ca="1" si="42"/>
        <v>0</v>
      </c>
      <c r="AJ199" s="872">
        <f t="shared" ca="1" si="42"/>
        <v>0</v>
      </c>
      <c r="AK199" s="872">
        <f t="shared" ca="1" si="42"/>
        <v>0</v>
      </c>
      <c r="AL199" s="872">
        <f t="shared" ca="1" si="42"/>
        <v>0</v>
      </c>
      <c r="AM199" s="871">
        <f t="shared" ca="1" si="42"/>
        <v>0</v>
      </c>
      <c r="AN199" s="872">
        <f t="shared" ca="1" si="42"/>
        <v>0</v>
      </c>
      <c r="AO199" s="872">
        <f t="shared" ca="1" si="42"/>
        <v>0</v>
      </c>
      <c r="AP199" s="872">
        <f t="shared" ca="1" si="42"/>
        <v>0</v>
      </c>
      <c r="AQ199" s="871">
        <f t="shared" ca="1" si="42"/>
        <v>0</v>
      </c>
      <c r="AR199" s="872">
        <f t="shared" ca="1" si="42"/>
        <v>0</v>
      </c>
      <c r="AS199" s="872">
        <f t="shared" ca="1" si="42"/>
        <v>0</v>
      </c>
      <c r="AT199" s="872">
        <f t="shared" ca="1" si="42"/>
        <v>0</v>
      </c>
      <c r="AU199" s="823">
        <f t="shared" ca="1" si="40"/>
        <v>0</v>
      </c>
    </row>
    <row r="200" spans="1:47" s="77" customFormat="1" ht="18" customHeight="1" outlineLevel="2">
      <c r="A200" s="869">
        <f>'8.项目规划指标表'!B$9</f>
        <v>0</v>
      </c>
      <c r="B200" s="870">
        <f ca="1">'15.土地增值税'!H$39</f>
        <v>0</v>
      </c>
      <c r="C200" s="871">
        <f t="shared" ref="C200:AT200" ca="1" si="43">IFERROR($B200/$B25*C25,0)</f>
        <v>0</v>
      </c>
      <c r="D200" s="872">
        <f t="shared" ca="1" si="43"/>
        <v>0</v>
      </c>
      <c r="E200" s="872">
        <f t="shared" ca="1" si="43"/>
        <v>0</v>
      </c>
      <c r="F200" s="872">
        <f t="shared" ca="1" si="43"/>
        <v>0</v>
      </c>
      <c r="G200" s="871">
        <f t="shared" ca="1" si="43"/>
        <v>0</v>
      </c>
      <c r="H200" s="872">
        <f t="shared" ca="1" si="43"/>
        <v>0</v>
      </c>
      <c r="I200" s="872">
        <f t="shared" ca="1" si="43"/>
        <v>0</v>
      </c>
      <c r="J200" s="872">
        <f t="shared" ca="1" si="43"/>
        <v>0</v>
      </c>
      <c r="K200" s="871">
        <f t="shared" ca="1" si="43"/>
        <v>0</v>
      </c>
      <c r="L200" s="872">
        <f t="shared" ca="1" si="43"/>
        <v>0</v>
      </c>
      <c r="M200" s="872">
        <f t="shared" ca="1" si="43"/>
        <v>0</v>
      </c>
      <c r="N200" s="872">
        <f t="shared" ca="1" si="43"/>
        <v>0</v>
      </c>
      <c r="O200" s="871">
        <f t="shared" ca="1" si="43"/>
        <v>0</v>
      </c>
      <c r="P200" s="872">
        <f t="shared" ca="1" si="43"/>
        <v>0</v>
      </c>
      <c r="Q200" s="872">
        <f t="shared" ca="1" si="43"/>
        <v>0</v>
      </c>
      <c r="R200" s="872">
        <f t="shared" ca="1" si="43"/>
        <v>0</v>
      </c>
      <c r="S200" s="871">
        <f t="shared" ca="1" si="43"/>
        <v>0</v>
      </c>
      <c r="T200" s="872">
        <f t="shared" ca="1" si="43"/>
        <v>0</v>
      </c>
      <c r="U200" s="872">
        <f t="shared" ca="1" si="43"/>
        <v>0</v>
      </c>
      <c r="V200" s="872">
        <f t="shared" ca="1" si="43"/>
        <v>0</v>
      </c>
      <c r="W200" s="871">
        <f t="shared" ca="1" si="43"/>
        <v>0</v>
      </c>
      <c r="X200" s="872">
        <f t="shared" ca="1" si="43"/>
        <v>0</v>
      </c>
      <c r="Y200" s="872">
        <f t="shared" ca="1" si="43"/>
        <v>0</v>
      </c>
      <c r="Z200" s="872">
        <f t="shared" ca="1" si="43"/>
        <v>0</v>
      </c>
      <c r="AA200" s="871">
        <f t="shared" ca="1" si="43"/>
        <v>0</v>
      </c>
      <c r="AB200" s="872">
        <f t="shared" ca="1" si="43"/>
        <v>0</v>
      </c>
      <c r="AC200" s="872">
        <f t="shared" ca="1" si="43"/>
        <v>0</v>
      </c>
      <c r="AD200" s="872">
        <f t="shared" ca="1" si="43"/>
        <v>0</v>
      </c>
      <c r="AE200" s="871">
        <f t="shared" ca="1" si="43"/>
        <v>0</v>
      </c>
      <c r="AF200" s="872">
        <f t="shared" ca="1" si="43"/>
        <v>0</v>
      </c>
      <c r="AG200" s="872">
        <f t="shared" ca="1" si="43"/>
        <v>0</v>
      </c>
      <c r="AH200" s="872">
        <f t="shared" ca="1" si="43"/>
        <v>0</v>
      </c>
      <c r="AI200" s="871">
        <f t="shared" ca="1" si="43"/>
        <v>0</v>
      </c>
      <c r="AJ200" s="872">
        <f t="shared" ca="1" si="43"/>
        <v>0</v>
      </c>
      <c r="AK200" s="872">
        <f t="shared" ca="1" si="43"/>
        <v>0</v>
      </c>
      <c r="AL200" s="872">
        <f t="shared" ca="1" si="43"/>
        <v>0</v>
      </c>
      <c r="AM200" s="871">
        <f t="shared" ca="1" si="43"/>
        <v>0</v>
      </c>
      <c r="AN200" s="872">
        <f t="shared" ca="1" si="43"/>
        <v>0</v>
      </c>
      <c r="AO200" s="872">
        <f t="shared" ca="1" si="43"/>
        <v>0</v>
      </c>
      <c r="AP200" s="872">
        <f t="shared" ca="1" si="43"/>
        <v>0</v>
      </c>
      <c r="AQ200" s="871">
        <f t="shared" ca="1" si="43"/>
        <v>0</v>
      </c>
      <c r="AR200" s="872">
        <f t="shared" ca="1" si="43"/>
        <v>0</v>
      </c>
      <c r="AS200" s="872">
        <f t="shared" ca="1" si="43"/>
        <v>0</v>
      </c>
      <c r="AT200" s="872">
        <f t="shared" ca="1" si="43"/>
        <v>0</v>
      </c>
      <c r="AU200" s="823">
        <f t="shared" ca="1" si="40"/>
        <v>0</v>
      </c>
    </row>
    <row r="201" spans="1:47" s="77" customFormat="1" ht="18" customHeight="1" outlineLevel="2">
      <c r="A201" s="869">
        <f>'8.项目规划指标表'!B$10</f>
        <v>0</v>
      </c>
      <c r="B201" s="870">
        <f ca="1">'15.土地增值税'!I$39</f>
        <v>0</v>
      </c>
      <c r="C201" s="871">
        <f t="shared" ref="C201:AT201" ca="1" si="44">IFERROR($B201/$B26*C26,0)</f>
        <v>0</v>
      </c>
      <c r="D201" s="872">
        <f t="shared" ca="1" si="44"/>
        <v>0</v>
      </c>
      <c r="E201" s="872">
        <f t="shared" ca="1" si="44"/>
        <v>0</v>
      </c>
      <c r="F201" s="872">
        <f t="shared" ca="1" si="44"/>
        <v>0</v>
      </c>
      <c r="G201" s="871">
        <f t="shared" ca="1" si="44"/>
        <v>0</v>
      </c>
      <c r="H201" s="872">
        <f t="shared" ca="1" si="44"/>
        <v>0</v>
      </c>
      <c r="I201" s="872">
        <f t="shared" ca="1" si="44"/>
        <v>0</v>
      </c>
      <c r="J201" s="872">
        <f t="shared" ca="1" si="44"/>
        <v>0</v>
      </c>
      <c r="K201" s="871">
        <f t="shared" ca="1" si="44"/>
        <v>0</v>
      </c>
      <c r="L201" s="872">
        <f t="shared" ca="1" si="44"/>
        <v>0</v>
      </c>
      <c r="M201" s="872">
        <f t="shared" ca="1" si="44"/>
        <v>0</v>
      </c>
      <c r="N201" s="872">
        <f t="shared" ca="1" si="44"/>
        <v>0</v>
      </c>
      <c r="O201" s="871">
        <f t="shared" ca="1" si="44"/>
        <v>0</v>
      </c>
      <c r="P201" s="872">
        <f t="shared" ca="1" si="44"/>
        <v>0</v>
      </c>
      <c r="Q201" s="872">
        <f t="shared" ca="1" si="44"/>
        <v>0</v>
      </c>
      <c r="R201" s="872">
        <f t="shared" ca="1" si="44"/>
        <v>0</v>
      </c>
      <c r="S201" s="871">
        <f t="shared" ca="1" si="44"/>
        <v>0</v>
      </c>
      <c r="T201" s="872">
        <f t="shared" ca="1" si="44"/>
        <v>0</v>
      </c>
      <c r="U201" s="872">
        <f t="shared" ca="1" si="44"/>
        <v>0</v>
      </c>
      <c r="V201" s="872">
        <f t="shared" ca="1" si="44"/>
        <v>0</v>
      </c>
      <c r="W201" s="871">
        <f t="shared" ca="1" si="44"/>
        <v>0</v>
      </c>
      <c r="X201" s="872">
        <f t="shared" ca="1" si="44"/>
        <v>0</v>
      </c>
      <c r="Y201" s="872">
        <f t="shared" ca="1" si="44"/>
        <v>0</v>
      </c>
      <c r="Z201" s="872">
        <f t="shared" ca="1" si="44"/>
        <v>0</v>
      </c>
      <c r="AA201" s="871">
        <f t="shared" ca="1" si="44"/>
        <v>0</v>
      </c>
      <c r="AB201" s="872">
        <f t="shared" ca="1" si="44"/>
        <v>0</v>
      </c>
      <c r="AC201" s="872">
        <f t="shared" ca="1" si="44"/>
        <v>0</v>
      </c>
      <c r="AD201" s="872">
        <f t="shared" ca="1" si="44"/>
        <v>0</v>
      </c>
      <c r="AE201" s="871">
        <f t="shared" ca="1" si="44"/>
        <v>0</v>
      </c>
      <c r="AF201" s="872">
        <f t="shared" ca="1" si="44"/>
        <v>0</v>
      </c>
      <c r="AG201" s="872">
        <f t="shared" ca="1" si="44"/>
        <v>0</v>
      </c>
      <c r="AH201" s="872">
        <f t="shared" ca="1" si="44"/>
        <v>0</v>
      </c>
      <c r="AI201" s="871">
        <f t="shared" ca="1" si="44"/>
        <v>0</v>
      </c>
      <c r="AJ201" s="872">
        <f t="shared" ca="1" si="44"/>
        <v>0</v>
      </c>
      <c r="AK201" s="872">
        <f t="shared" ca="1" si="44"/>
        <v>0</v>
      </c>
      <c r="AL201" s="872">
        <f t="shared" ca="1" si="44"/>
        <v>0</v>
      </c>
      <c r="AM201" s="871">
        <f t="shared" ca="1" si="44"/>
        <v>0</v>
      </c>
      <c r="AN201" s="872">
        <f t="shared" ca="1" si="44"/>
        <v>0</v>
      </c>
      <c r="AO201" s="872">
        <f t="shared" ca="1" si="44"/>
        <v>0</v>
      </c>
      <c r="AP201" s="872">
        <f t="shared" ca="1" si="44"/>
        <v>0</v>
      </c>
      <c r="AQ201" s="871">
        <f t="shared" ca="1" si="44"/>
        <v>0</v>
      </c>
      <c r="AR201" s="872">
        <f t="shared" ca="1" si="44"/>
        <v>0</v>
      </c>
      <c r="AS201" s="872">
        <f t="shared" ca="1" si="44"/>
        <v>0</v>
      </c>
      <c r="AT201" s="872">
        <f t="shared" ca="1" si="44"/>
        <v>0</v>
      </c>
      <c r="AU201" s="823">
        <f t="shared" ca="1" si="40"/>
        <v>0</v>
      </c>
    </row>
    <row r="202" spans="1:47" s="77" customFormat="1" ht="18" customHeight="1" outlineLevel="2">
      <c r="A202" s="869">
        <f>'8.项目规划指标表'!B$11</f>
        <v>0</v>
      </c>
      <c r="B202" s="870">
        <f ca="1">'15.土地增值税'!J$39</f>
        <v>0</v>
      </c>
      <c r="C202" s="871">
        <f t="shared" ref="C202:AT202" ca="1" si="45">IFERROR($B202/$B27*C27,0)</f>
        <v>0</v>
      </c>
      <c r="D202" s="872">
        <f t="shared" ca="1" si="45"/>
        <v>0</v>
      </c>
      <c r="E202" s="872">
        <f t="shared" ca="1" si="45"/>
        <v>0</v>
      </c>
      <c r="F202" s="872">
        <f t="shared" ca="1" si="45"/>
        <v>0</v>
      </c>
      <c r="G202" s="871">
        <f t="shared" ca="1" si="45"/>
        <v>0</v>
      </c>
      <c r="H202" s="872">
        <f t="shared" ca="1" si="45"/>
        <v>0</v>
      </c>
      <c r="I202" s="872">
        <f t="shared" ca="1" si="45"/>
        <v>0</v>
      </c>
      <c r="J202" s="872">
        <f t="shared" ca="1" si="45"/>
        <v>0</v>
      </c>
      <c r="K202" s="871">
        <f t="shared" ca="1" si="45"/>
        <v>0</v>
      </c>
      <c r="L202" s="872">
        <f t="shared" ca="1" si="45"/>
        <v>0</v>
      </c>
      <c r="M202" s="872">
        <f t="shared" ca="1" si="45"/>
        <v>0</v>
      </c>
      <c r="N202" s="872">
        <f t="shared" ca="1" si="45"/>
        <v>0</v>
      </c>
      <c r="O202" s="871">
        <f t="shared" ca="1" si="45"/>
        <v>0</v>
      </c>
      <c r="P202" s="872">
        <f t="shared" ca="1" si="45"/>
        <v>0</v>
      </c>
      <c r="Q202" s="872">
        <f t="shared" ca="1" si="45"/>
        <v>0</v>
      </c>
      <c r="R202" s="872">
        <f t="shared" ca="1" si="45"/>
        <v>0</v>
      </c>
      <c r="S202" s="871">
        <f t="shared" ca="1" si="45"/>
        <v>0</v>
      </c>
      <c r="T202" s="872">
        <f t="shared" ca="1" si="45"/>
        <v>0</v>
      </c>
      <c r="U202" s="872">
        <f t="shared" ca="1" si="45"/>
        <v>0</v>
      </c>
      <c r="V202" s="872">
        <f t="shared" ca="1" si="45"/>
        <v>0</v>
      </c>
      <c r="W202" s="871">
        <f t="shared" ca="1" si="45"/>
        <v>0</v>
      </c>
      <c r="X202" s="872">
        <f t="shared" ca="1" si="45"/>
        <v>0</v>
      </c>
      <c r="Y202" s="872">
        <f t="shared" ca="1" si="45"/>
        <v>0</v>
      </c>
      <c r="Z202" s="872">
        <f t="shared" ca="1" si="45"/>
        <v>0</v>
      </c>
      <c r="AA202" s="871">
        <f t="shared" ca="1" si="45"/>
        <v>0</v>
      </c>
      <c r="AB202" s="872">
        <f t="shared" ca="1" si="45"/>
        <v>0</v>
      </c>
      <c r="AC202" s="872">
        <f t="shared" ca="1" si="45"/>
        <v>0</v>
      </c>
      <c r="AD202" s="872">
        <f t="shared" ca="1" si="45"/>
        <v>0</v>
      </c>
      <c r="AE202" s="871">
        <f t="shared" ca="1" si="45"/>
        <v>0</v>
      </c>
      <c r="AF202" s="872">
        <f t="shared" ca="1" si="45"/>
        <v>0</v>
      </c>
      <c r="AG202" s="872">
        <f t="shared" ca="1" si="45"/>
        <v>0</v>
      </c>
      <c r="AH202" s="872">
        <f t="shared" ca="1" si="45"/>
        <v>0</v>
      </c>
      <c r="AI202" s="871">
        <f t="shared" ca="1" si="45"/>
        <v>0</v>
      </c>
      <c r="AJ202" s="872">
        <f t="shared" ca="1" si="45"/>
        <v>0</v>
      </c>
      <c r="AK202" s="872">
        <f t="shared" ca="1" si="45"/>
        <v>0</v>
      </c>
      <c r="AL202" s="872">
        <f t="shared" ca="1" si="45"/>
        <v>0</v>
      </c>
      <c r="AM202" s="871">
        <f t="shared" ca="1" si="45"/>
        <v>0</v>
      </c>
      <c r="AN202" s="872">
        <f t="shared" ca="1" si="45"/>
        <v>0</v>
      </c>
      <c r="AO202" s="872">
        <f t="shared" ca="1" si="45"/>
        <v>0</v>
      </c>
      <c r="AP202" s="872">
        <f t="shared" ca="1" si="45"/>
        <v>0</v>
      </c>
      <c r="AQ202" s="871">
        <f t="shared" ca="1" si="45"/>
        <v>0</v>
      </c>
      <c r="AR202" s="872">
        <f t="shared" ca="1" si="45"/>
        <v>0</v>
      </c>
      <c r="AS202" s="872">
        <f t="shared" ca="1" si="45"/>
        <v>0</v>
      </c>
      <c r="AT202" s="872">
        <f t="shared" ca="1" si="45"/>
        <v>0</v>
      </c>
      <c r="AU202" s="823">
        <f t="shared" ca="1" si="40"/>
        <v>0</v>
      </c>
    </row>
    <row r="203" spans="1:47" s="77" customFormat="1" ht="18" customHeight="1" outlineLevel="2">
      <c r="A203" s="869">
        <f>'8.项目规划指标表'!B$12</f>
        <v>0</v>
      </c>
      <c r="B203" s="870">
        <f ca="1">'15.土地增值税'!K$39</f>
        <v>0</v>
      </c>
      <c r="C203" s="871">
        <f t="shared" ref="C203:AT203" ca="1" si="46">IFERROR($B203/$B28*C28,0)</f>
        <v>0</v>
      </c>
      <c r="D203" s="872">
        <f t="shared" ca="1" si="46"/>
        <v>0</v>
      </c>
      <c r="E203" s="872">
        <f t="shared" ca="1" si="46"/>
        <v>0</v>
      </c>
      <c r="F203" s="872">
        <f t="shared" ca="1" si="46"/>
        <v>0</v>
      </c>
      <c r="G203" s="871">
        <f t="shared" ca="1" si="46"/>
        <v>0</v>
      </c>
      <c r="H203" s="872">
        <f t="shared" ca="1" si="46"/>
        <v>0</v>
      </c>
      <c r="I203" s="872">
        <f t="shared" ca="1" si="46"/>
        <v>0</v>
      </c>
      <c r="J203" s="872">
        <f t="shared" ca="1" si="46"/>
        <v>0</v>
      </c>
      <c r="K203" s="871">
        <f t="shared" ca="1" si="46"/>
        <v>0</v>
      </c>
      <c r="L203" s="872">
        <f t="shared" ca="1" si="46"/>
        <v>0</v>
      </c>
      <c r="M203" s="872">
        <f t="shared" ca="1" si="46"/>
        <v>0</v>
      </c>
      <c r="N203" s="872">
        <f t="shared" ca="1" si="46"/>
        <v>0</v>
      </c>
      <c r="O203" s="871">
        <f t="shared" ca="1" si="46"/>
        <v>0</v>
      </c>
      <c r="P203" s="872">
        <f t="shared" ca="1" si="46"/>
        <v>0</v>
      </c>
      <c r="Q203" s="872">
        <f t="shared" ca="1" si="46"/>
        <v>0</v>
      </c>
      <c r="R203" s="872">
        <f t="shared" ca="1" si="46"/>
        <v>0</v>
      </c>
      <c r="S203" s="871">
        <f t="shared" ca="1" si="46"/>
        <v>0</v>
      </c>
      <c r="T203" s="872">
        <f t="shared" ca="1" si="46"/>
        <v>0</v>
      </c>
      <c r="U203" s="872">
        <f t="shared" ca="1" si="46"/>
        <v>0</v>
      </c>
      <c r="V203" s="872">
        <f t="shared" ca="1" si="46"/>
        <v>0</v>
      </c>
      <c r="W203" s="871">
        <f t="shared" ca="1" si="46"/>
        <v>0</v>
      </c>
      <c r="X203" s="872">
        <f t="shared" ca="1" si="46"/>
        <v>0</v>
      </c>
      <c r="Y203" s="872">
        <f t="shared" ca="1" si="46"/>
        <v>0</v>
      </c>
      <c r="Z203" s="872">
        <f t="shared" ca="1" si="46"/>
        <v>0</v>
      </c>
      <c r="AA203" s="871">
        <f t="shared" ca="1" si="46"/>
        <v>0</v>
      </c>
      <c r="AB203" s="872">
        <f t="shared" ca="1" si="46"/>
        <v>0</v>
      </c>
      <c r="AC203" s="872">
        <f t="shared" ca="1" si="46"/>
        <v>0</v>
      </c>
      <c r="AD203" s="872">
        <f t="shared" ca="1" si="46"/>
        <v>0</v>
      </c>
      <c r="AE203" s="871">
        <f t="shared" ca="1" si="46"/>
        <v>0</v>
      </c>
      <c r="AF203" s="872">
        <f t="shared" ca="1" si="46"/>
        <v>0</v>
      </c>
      <c r="AG203" s="872">
        <f t="shared" ca="1" si="46"/>
        <v>0</v>
      </c>
      <c r="AH203" s="872">
        <f t="shared" ca="1" si="46"/>
        <v>0</v>
      </c>
      <c r="AI203" s="871">
        <f t="shared" ca="1" si="46"/>
        <v>0</v>
      </c>
      <c r="AJ203" s="872">
        <f t="shared" ca="1" si="46"/>
        <v>0</v>
      </c>
      <c r="AK203" s="872">
        <f t="shared" ca="1" si="46"/>
        <v>0</v>
      </c>
      <c r="AL203" s="872">
        <f t="shared" ca="1" si="46"/>
        <v>0</v>
      </c>
      <c r="AM203" s="871">
        <f t="shared" ca="1" si="46"/>
        <v>0</v>
      </c>
      <c r="AN203" s="872">
        <f t="shared" ca="1" si="46"/>
        <v>0</v>
      </c>
      <c r="AO203" s="872">
        <f t="shared" ca="1" si="46"/>
        <v>0</v>
      </c>
      <c r="AP203" s="872">
        <f t="shared" ca="1" si="46"/>
        <v>0</v>
      </c>
      <c r="AQ203" s="871">
        <f t="shared" ca="1" si="46"/>
        <v>0</v>
      </c>
      <c r="AR203" s="872">
        <f t="shared" ca="1" si="46"/>
        <v>0</v>
      </c>
      <c r="AS203" s="872">
        <f t="shared" ca="1" si="46"/>
        <v>0</v>
      </c>
      <c r="AT203" s="872">
        <f t="shared" ca="1" si="46"/>
        <v>0</v>
      </c>
      <c r="AU203" s="823">
        <f t="shared" ca="1" si="40"/>
        <v>0</v>
      </c>
    </row>
    <row r="204" spans="1:47" s="77" customFormat="1" ht="18" customHeight="1" outlineLevel="2">
      <c r="A204" s="869">
        <f>'8.项目规划指标表'!B$13</f>
        <v>0</v>
      </c>
      <c r="B204" s="870">
        <f ca="1">'15.土地增值税'!L$39</f>
        <v>0</v>
      </c>
      <c r="C204" s="871">
        <f t="shared" ref="C204:AT204" ca="1" si="47">IFERROR($B204/$B29*C29,0)</f>
        <v>0</v>
      </c>
      <c r="D204" s="872">
        <f t="shared" ca="1" si="47"/>
        <v>0</v>
      </c>
      <c r="E204" s="872">
        <f t="shared" ca="1" si="47"/>
        <v>0</v>
      </c>
      <c r="F204" s="872">
        <f t="shared" ca="1" si="47"/>
        <v>0</v>
      </c>
      <c r="G204" s="871">
        <f t="shared" ca="1" si="47"/>
        <v>0</v>
      </c>
      <c r="H204" s="872">
        <f t="shared" ca="1" si="47"/>
        <v>0</v>
      </c>
      <c r="I204" s="872">
        <f t="shared" ca="1" si="47"/>
        <v>0</v>
      </c>
      <c r="J204" s="872">
        <f t="shared" ca="1" si="47"/>
        <v>0</v>
      </c>
      <c r="K204" s="871">
        <f t="shared" ca="1" si="47"/>
        <v>0</v>
      </c>
      <c r="L204" s="872">
        <f t="shared" ca="1" si="47"/>
        <v>0</v>
      </c>
      <c r="M204" s="872">
        <f t="shared" ca="1" si="47"/>
        <v>0</v>
      </c>
      <c r="N204" s="872">
        <f t="shared" ca="1" si="47"/>
        <v>0</v>
      </c>
      <c r="O204" s="871">
        <f t="shared" ca="1" si="47"/>
        <v>0</v>
      </c>
      <c r="P204" s="872">
        <f t="shared" ca="1" si="47"/>
        <v>0</v>
      </c>
      <c r="Q204" s="872">
        <f t="shared" ca="1" si="47"/>
        <v>0</v>
      </c>
      <c r="R204" s="872">
        <f t="shared" ca="1" si="47"/>
        <v>0</v>
      </c>
      <c r="S204" s="871">
        <f t="shared" ca="1" si="47"/>
        <v>0</v>
      </c>
      <c r="T204" s="872">
        <f t="shared" ca="1" si="47"/>
        <v>0</v>
      </c>
      <c r="U204" s="872">
        <f t="shared" ca="1" si="47"/>
        <v>0</v>
      </c>
      <c r="V204" s="872">
        <f t="shared" ca="1" si="47"/>
        <v>0</v>
      </c>
      <c r="W204" s="871">
        <f t="shared" ca="1" si="47"/>
        <v>0</v>
      </c>
      <c r="X204" s="872">
        <f t="shared" ca="1" si="47"/>
        <v>0</v>
      </c>
      <c r="Y204" s="872">
        <f t="shared" ca="1" si="47"/>
        <v>0</v>
      </c>
      <c r="Z204" s="872">
        <f t="shared" ca="1" si="47"/>
        <v>0</v>
      </c>
      <c r="AA204" s="871">
        <f t="shared" ca="1" si="47"/>
        <v>0</v>
      </c>
      <c r="AB204" s="872">
        <f t="shared" ca="1" si="47"/>
        <v>0</v>
      </c>
      <c r="AC204" s="872">
        <f t="shared" ca="1" si="47"/>
        <v>0</v>
      </c>
      <c r="AD204" s="872">
        <f t="shared" ca="1" si="47"/>
        <v>0</v>
      </c>
      <c r="AE204" s="871">
        <f t="shared" ca="1" si="47"/>
        <v>0</v>
      </c>
      <c r="AF204" s="872">
        <f t="shared" ca="1" si="47"/>
        <v>0</v>
      </c>
      <c r="AG204" s="872">
        <f t="shared" ca="1" si="47"/>
        <v>0</v>
      </c>
      <c r="AH204" s="872">
        <f t="shared" ca="1" si="47"/>
        <v>0</v>
      </c>
      <c r="AI204" s="871">
        <f t="shared" ca="1" si="47"/>
        <v>0</v>
      </c>
      <c r="AJ204" s="872">
        <f t="shared" ca="1" si="47"/>
        <v>0</v>
      </c>
      <c r="AK204" s="872">
        <f t="shared" ca="1" si="47"/>
        <v>0</v>
      </c>
      <c r="AL204" s="872">
        <f t="shared" ca="1" si="47"/>
        <v>0</v>
      </c>
      <c r="AM204" s="871">
        <f t="shared" ca="1" si="47"/>
        <v>0</v>
      </c>
      <c r="AN204" s="872">
        <f t="shared" ca="1" si="47"/>
        <v>0</v>
      </c>
      <c r="AO204" s="872">
        <f t="shared" ca="1" si="47"/>
        <v>0</v>
      </c>
      <c r="AP204" s="872">
        <f t="shared" ca="1" si="47"/>
        <v>0</v>
      </c>
      <c r="AQ204" s="871">
        <f t="shared" ca="1" si="47"/>
        <v>0</v>
      </c>
      <c r="AR204" s="872">
        <f t="shared" ca="1" si="47"/>
        <v>0</v>
      </c>
      <c r="AS204" s="872">
        <f t="shared" ca="1" si="47"/>
        <v>0</v>
      </c>
      <c r="AT204" s="872">
        <f t="shared" ca="1" si="47"/>
        <v>0</v>
      </c>
      <c r="AU204" s="823">
        <f t="shared" ca="1" si="40"/>
        <v>0</v>
      </c>
    </row>
    <row r="205" spans="1:47" s="77" customFormat="1" ht="18" customHeight="1" outlineLevel="2">
      <c r="A205" s="869" t="str">
        <f>'8.项目规划指标表'!B$14</f>
        <v>自持物业</v>
      </c>
      <c r="B205" s="870">
        <f ca="1">'15.土地增值税'!M$39</f>
        <v>0</v>
      </c>
      <c r="C205" s="871">
        <f t="shared" ref="C205:AT205" ca="1" si="48">IFERROR($B205/$B30*C30,0)</f>
        <v>0</v>
      </c>
      <c r="D205" s="872">
        <f t="shared" ca="1" si="48"/>
        <v>0</v>
      </c>
      <c r="E205" s="872">
        <f t="shared" ca="1" si="48"/>
        <v>0</v>
      </c>
      <c r="F205" s="872">
        <f t="shared" ca="1" si="48"/>
        <v>0</v>
      </c>
      <c r="G205" s="871">
        <f t="shared" ca="1" si="48"/>
        <v>0</v>
      </c>
      <c r="H205" s="872">
        <f t="shared" ca="1" si="48"/>
        <v>0</v>
      </c>
      <c r="I205" s="872">
        <f t="shared" ca="1" si="48"/>
        <v>0</v>
      </c>
      <c r="J205" s="872">
        <f t="shared" ca="1" si="48"/>
        <v>0</v>
      </c>
      <c r="K205" s="871">
        <f t="shared" ca="1" si="48"/>
        <v>0</v>
      </c>
      <c r="L205" s="872">
        <f t="shared" ca="1" si="48"/>
        <v>0</v>
      </c>
      <c r="M205" s="872">
        <f t="shared" ca="1" si="48"/>
        <v>0</v>
      </c>
      <c r="N205" s="872">
        <f t="shared" ca="1" si="48"/>
        <v>0</v>
      </c>
      <c r="O205" s="871">
        <f t="shared" ca="1" si="48"/>
        <v>0</v>
      </c>
      <c r="P205" s="872">
        <f t="shared" ca="1" si="48"/>
        <v>0</v>
      </c>
      <c r="Q205" s="872">
        <f t="shared" ca="1" si="48"/>
        <v>0</v>
      </c>
      <c r="R205" s="872">
        <f t="shared" ca="1" si="48"/>
        <v>0</v>
      </c>
      <c r="S205" s="871">
        <f t="shared" ca="1" si="48"/>
        <v>0</v>
      </c>
      <c r="T205" s="872">
        <f t="shared" ca="1" si="48"/>
        <v>0</v>
      </c>
      <c r="U205" s="872">
        <f t="shared" ca="1" si="48"/>
        <v>0</v>
      </c>
      <c r="V205" s="872">
        <f t="shared" ca="1" si="48"/>
        <v>0</v>
      </c>
      <c r="W205" s="871">
        <f t="shared" ca="1" si="48"/>
        <v>0</v>
      </c>
      <c r="X205" s="872">
        <f t="shared" ca="1" si="48"/>
        <v>0</v>
      </c>
      <c r="Y205" s="872">
        <f t="shared" ca="1" si="48"/>
        <v>0</v>
      </c>
      <c r="Z205" s="872">
        <f t="shared" ca="1" si="48"/>
        <v>0</v>
      </c>
      <c r="AA205" s="871">
        <f t="shared" ca="1" si="48"/>
        <v>0</v>
      </c>
      <c r="AB205" s="872">
        <f t="shared" ca="1" si="48"/>
        <v>0</v>
      </c>
      <c r="AC205" s="872">
        <f t="shared" ca="1" si="48"/>
        <v>0</v>
      </c>
      <c r="AD205" s="872">
        <f t="shared" ca="1" si="48"/>
        <v>0</v>
      </c>
      <c r="AE205" s="871">
        <f t="shared" ca="1" si="48"/>
        <v>0</v>
      </c>
      <c r="AF205" s="872">
        <f t="shared" ca="1" si="48"/>
        <v>0</v>
      </c>
      <c r="AG205" s="872">
        <f t="shared" ca="1" si="48"/>
        <v>0</v>
      </c>
      <c r="AH205" s="872">
        <f t="shared" ca="1" si="48"/>
        <v>0</v>
      </c>
      <c r="AI205" s="871">
        <f t="shared" ca="1" si="48"/>
        <v>0</v>
      </c>
      <c r="AJ205" s="872">
        <f t="shared" ca="1" si="48"/>
        <v>0</v>
      </c>
      <c r="AK205" s="872">
        <f t="shared" ca="1" si="48"/>
        <v>0</v>
      </c>
      <c r="AL205" s="872">
        <f t="shared" ca="1" si="48"/>
        <v>0</v>
      </c>
      <c r="AM205" s="871">
        <f t="shared" ca="1" si="48"/>
        <v>0</v>
      </c>
      <c r="AN205" s="872">
        <f t="shared" ca="1" si="48"/>
        <v>0</v>
      </c>
      <c r="AO205" s="872">
        <f t="shared" ca="1" si="48"/>
        <v>0</v>
      </c>
      <c r="AP205" s="872">
        <f t="shared" ca="1" si="48"/>
        <v>0</v>
      </c>
      <c r="AQ205" s="871">
        <f t="shared" ca="1" si="48"/>
        <v>0</v>
      </c>
      <c r="AR205" s="872">
        <f t="shared" ca="1" si="48"/>
        <v>0</v>
      </c>
      <c r="AS205" s="872">
        <f t="shared" ca="1" si="48"/>
        <v>0</v>
      </c>
      <c r="AT205" s="872">
        <f t="shared" ca="1" si="48"/>
        <v>0</v>
      </c>
      <c r="AU205" s="823">
        <f t="shared" ca="1" si="40"/>
        <v>0</v>
      </c>
    </row>
    <row r="206" spans="1:47" s="77" customFormat="1" ht="18" customHeight="1" outlineLevel="2">
      <c r="A206" s="869" t="str">
        <f>'8.项目规划指标表'!B$18</f>
        <v>有产权车库(个)</v>
      </c>
      <c r="B206" s="870">
        <f ca="1">'15.土地增值税'!N$39</f>
        <v>0</v>
      </c>
      <c r="C206" s="871">
        <f t="shared" ref="C206:AT206" ca="1" si="49">IFERROR($B206/$B31*C31,0)</f>
        <v>0</v>
      </c>
      <c r="D206" s="872">
        <f t="shared" ca="1" si="49"/>
        <v>0</v>
      </c>
      <c r="E206" s="872">
        <f t="shared" ca="1" si="49"/>
        <v>0</v>
      </c>
      <c r="F206" s="872">
        <f t="shared" ca="1" si="49"/>
        <v>0</v>
      </c>
      <c r="G206" s="871">
        <f t="shared" ca="1" si="49"/>
        <v>0</v>
      </c>
      <c r="H206" s="872">
        <f t="shared" ca="1" si="49"/>
        <v>0</v>
      </c>
      <c r="I206" s="872">
        <f t="shared" ca="1" si="49"/>
        <v>0</v>
      </c>
      <c r="J206" s="872">
        <f t="shared" ca="1" si="49"/>
        <v>0</v>
      </c>
      <c r="K206" s="871">
        <f t="shared" ca="1" si="49"/>
        <v>0</v>
      </c>
      <c r="L206" s="872">
        <f t="shared" ca="1" si="49"/>
        <v>0</v>
      </c>
      <c r="M206" s="872">
        <f t="shared" ca="1" si="49"/>
        <v>0</v>
      </c>
      <c r="N206" s="872">
        <f t="shared" ca="1" si="49"/>
        <v>0</v>
      </c>
      <c r="O206" s="871">
        <f t="shared" ca="1" si="49"/>
        <v>0</v>
      </c>
      <c r="P206" s="872">
        <f t="shared" ca="1" si="49"/>
        <v>0</v>
      </c>
      <c r="Q206" s="872">
        <f t="shared" ca="1" si="49"/>
        <v>0</v>
      </c>
      <c r="R206" s="872">
        <f t="shared" ca="1" si="49"/>
        <v>0</v>
      </c>
      <c r="S206" s="871">
        <f t="shared" ca="1" si="49"/>
        <v>0</v>
      </c>
      <c r="T206" s="872">
        <f t="shared" ca="1" si="49"/>
        <v>0</v>
      </c>
      <c r="U206" s="872">
        <f t="shared" ca="1" si="49"/>
        <v>0</v>
      </c>
      <c r="V206" s="872">
        <f t="shared" ca="1" si="49"/>
        <v>0</v>
      </c>
      <c r="W206" s="871">
        <f t="shared" ca="1" si="49"/>
        <v>0</v>
      </c>
      <c r="X206" s="872">
        <f t="shared" ca="1" si="49"/>
        <v>0</v>
      </c>
      <c r="Y206" s="872">
        <f t="shared" ca="1" si="49"/>
        <v>0</v>
      </c>
      <c r="Z206" s="872">
        <f t="shared" ca="1" si="49"/>
        <v>0</v>
      </c>
      <c r="AA206" s="871">
        <f t="shared" ca="1" si="49"/>
        <v>0</v>
      </c>
      <c r="AB206" s="872">
        <f t="shared" ca="1" si="49"/>
        <v>0</v>
      </c>
      <c r="AC206" s="872">
        <f t="shared" ca="1" si="49"/>
        <v>0</v>
      </c>
      <c r="AD206" s="872">
        <f t="shared" ca="1" si="49"/>
        <v>0</v>
      </c>
      <c r="AE206" s="871">
        <f t="shared" ca="1" si="49"/>
        <v>0</v>
      </c>
      <c r="AF206" s="872">
        <f t="shared" ca="1" si="49"/>
        <v>0</v>
      </c>
      <c r="AG206" s="872">
        <f t="shared" ca="1" si="49"/>
        <v>0</v>
      </c>
      <c r="AH206" s="872">
        <f t="shared" ca="1" si="49"/>
        <v>0</v>
      </c>
      <c r="AI206" s="871">
        <f t="shared" ca="1" si="49"/>
        <v>0</v>
      </c>
      <c r="AJ206" s="872">
        <f t="shared" ca="1" si="49"/>
        <v>0</v>
      </c>
      <c r="AK206" s="872">
        <f t="shared" ca="1" si="49"/>
        <v>0</v>
      </c>
      <c r="AL206" s="872">
        <f t="shared" ca="1" si="49"/>
        <v>0</v>
      </c>
      <c r="AM206" s="871">
        <f t="shared" ca="1" si="49"/>
        <v>0</v>
      </c>
      <c r="AN206" s="872">
        <f t="shared" ca="1" si="49"/>
        <v>0</v>
      </c>
      <c r="AO206" s="872">
        <f t="shared" ca="1" si="49"/>
        <v>0</v>
      </c>
      <c r="AP206" s="872">
        <f t="shared" ca="1" si="49"/>
        <v>0</v>
      </c>
      <c r="AQ206" s="871">
        <f t="shared" ca="1" si="49"/>
        <v>0</v>
      </c>
      <c r="AR206" s="872">
        <f t="shared" ca="1" si="49"/>
        <v>0</v>
      </c>
      <c r="AS206" s="872">
        <f t="shared" ca="1" si="49"/>
        <v>0</v>
      </c>
      <c r="AT206" s="872">
        <f t="shared" ca="1" si="49"/>
        <v>0</v>
      </c>
      <c r="AU206" s="823">
        <f t="shared" ca="1" si="40"/>
        <v>0</v>
      </c>
    </row>
    <row r="207" spans="1:47" s="77" customFormat="1" ht="18" customHeight="1" outlineLevel="2">
      <c r="A207" s="869" t="str">
        <f>'8.项目规划指标表'!B$19</f>
        <v>无产权车库(个)</v>
      </c>
      <c r="B207" s="870">
        <f ca="1">'15.土地增值税'!O$39</f>
        <v>0</v>
      </c>
      <c r="C207" s="871">
        <f t="shared" ref="C207:AT207" ca="1" si="50">IFERROR($B207/$B32*C32,0)</f>
        <v>0</v>
      </c>
      <c r="D207" s="872">
        <f t="shared" ca="1" si="50"/>
        <v>0</v>
      </c>
      <c r="E207" s="872">
        <f t="shared" ca="1" si="50"/>
        <v>0</v>
      </c>
      <c r="F207" s="872">
        <f t="shared" ca="1" si="50"/>
        <v>0</v>
      </c>
      <c r="G207" s="871">
        <f t="shared" ca="1" si="50"/>
        <v>0</v>
      </c>
      <c r="H207" s="872">
        <f t="shared" ca="1" si="50"/>
        <v>0</v>
      </c>
      <c r="I207" s="872">
        <f t="shared" ca="1" si="50"/>
        <v>0</v>
      </c>
      <c r="J207" s="872">
        <f t="shared" ca="1" si="50"/>
        <v>0</v>
      </c>
      <c r="K207" s="871">
        <f t="shared" ca="1" si="50"/>
        <v>0</v>
      </c>
      <c r="L207" s="872">
        <f t="shared" ca="1" si="50"/>
        <v>0</v>
      </c>
      <c r="M207" s="872">
        <f t="shared" ca="1" si="50"/>
        <v>0</v>
      </c>
      <c r="N207" s="872">
        <f t="shared" ca="1" si="50"/>
        <v>0</v>
      </c>
      <c r="O207" s="871">
        <f t="shared" ca="1" si="50"/>
        <v>0</v>
      </c>
      <c r="P207" s="872">
        <f t="shared" ca="1" si="50"/>
        <v>0</v>
      </c>
      <c r="Q207" s="872">
        <f t="shared" ca="1" si="50"/>
        <v>0</v>
      </c>
      <c r="R207" s="872">
        <f t="shared" ca="1" si="50"/>
        <v>0</v>
      </c>
      <c r="S207" s="871">
        <f t="shared" ca="1" si="50"/>
        <v>0</v>
      </c>
      <c r="T207" s="872">
        <f t="shared" ca="1" si="50"/>
        <v>0</v>
      </c>
      <c r="U207" s="872">
        <f t="shared" ca="1" si="50"/>
        <v>0</v>
      </c>
      <c r="V207" s="872">
        <f t="shared" ca="1" si="50"/>
        <v>0</v>
      </c>
      <c r="W207" s="871">
        <f t="shared" ca="1" si="50"/>
        <v>0</v>
      </c>
      <c r="X207" s="872">
        <f t="shared" ca="1" si="50"/>
        <v>0</v>
      </c>
      <c r="Y207" s="872">
        <f t="shared" ca="1" si="50"/>
        <v>0</v>
      </c>
      <c r="Z207" s="872">
        <f t="shared" ca="1" si="50"/>
        <v>0</v>
      </c>
      <c r="AA207" s="871">
        <f t="shared" ca="1" si="50"/>
        <v>0</v>
      </c>
      <c r="AB207" s="872">
        <f t="shared" ca="1" si="50"/>
        <v>0</v>
      </c>
      <c r="AC207" s="872">
        <f t="shared" ca="1" si="50"/>
        <v>0</v>
      </c>
      <c r="AD207" s="872">
        <f t="shared" ca="1" si="50"/>
        <v>0</v>
      </c>
      <c r="AE207" s="871">
        <f t="shared" ca="1" si="50"/>
        <v>0</v>
      </c>
      <c r="AF207" s="872">
        <f t="shared" ca="1" si="50"/>
        <v>0</v>
      </c>
      <c r="AG207" s="872">
        <f t="shared" ca="1" si="50"/>
        <v>0</v>
      </c>
      <c r="AH207" s="872">
        <f t="shared" ca="1" si="50"/>
        <v>0</v>
      </c>
      <c r="AI207" s="871">
        <f t="shared" ca="1" si="50"/>
        <v>0</v>
      </c>
      <c r="AJ207" s="872">
        <f t="shared" ca="1" si="50"/>
        <v>0</v>
      </c>
      <c r="AK207" s="872">
        <f t="shared" ca="1" si="50"/>
        <v>0</v>
      </c>
      <c r="AL207" s="872">
        <f t="shared" ca="1" si="50"/>
        <v>0</v>
      </c>
      <c r="AM207" s="871">
        <f t="shared" ca="1" si="50"/>
        <v>0</v>
      </c>
      <c r="AN207" s="872">
        <f t="shared" ca="1" si="50"/>
        <v>0</v>
      </c>
      <c r="AO207" s="872">
        <f t="shared" ca="1" si="50"/>
        <v>0</v>
      </c>
      <c r="AP207" s="872">
        <f t="shared" ca="1" si="50"/>
        <v>0</v>
      </c>
      <c r="AQ207" s="871">
        <f t="shared" ca="1" si="50"/>
        <v>0</v>
      </c>
      <c r="AR207" s="872">
        <f t="shared" ca="1" si="50"/>
        <v>0</v>
      </c>
      <c r="AS207" s="872">
        <f t="shared" ca="1" si="50"/>
        <v>0</v>
      </c>
      <c r="AT207" s="872">
        <f t="shared" ca="1" si="50"/>
        <v>0</v>
      </c>
      <c r="AU207" s="823">
        <f t="shared" ca="1" si="40"/>
        <v>0</v>
      </c>
    </row>
    <row r="208" spans="1:47" s="77" customFormat="1" ht="18" customHeight="1" outlineLevel="1">
      <c r="A208" s="865" t="s">
        <v>21</v>
      </c>
      <c r="B208" s="866">
        <f ca="1">SUM(B209:B220)</f>
        <v>0</v>
      </c>
      <c r="C208" s="867">
        <f ca="1">SUM(C209:C220)</f>
        <v>0</v>
      </c>
      <c r="D208" s="868">
        <f t="shared" ref="D208:AT208" ca="1" si="51">SUM(D209:D220)</f>
        <v>0</v>
      </c>
      <c r="E208" s="868">
        <f t="shared" ca="1" si="51"/>
        <v>0</v>
      </c>
      <c r="F208" s="868">
        <f t="shared" ca="1" si="51"/>
        <v>0</v>
      </c>
      <c r="G208" s="867">
        <f t="shared" ca="1" si="51"/>
        <v>0</v>
      </c>
      <c r="H208" s="868">
        <f t="shared" ca="1" si="51"/>
        <v>0</v>
      </c>
      <c r="I208" s="868">
        <f t="shared" ca="1" si="51"/>
        <v>0</v>
      </c>
      <c r="J208" s="868">
        <f t="shared" ca="1" si="51"/>
        <v>0</v>
      </c>
      <c r="K208" s="867">
        <f t="shared" ca="1" si="51"/>
        <v>0</v>
      </c>
      <c r="L208" s="868">
        <f t="shared" ca="1" si="51"/>
        <v>0</v>
      </c>
      <c r="M208" s="868">
        <f t="shared" ca="1" si="51"/>
        <v>0</v>
      </c>
      <c r="N208" s="868">
        <f t="shared" ca="1" si="51"/>
        <v>0</v>
      </c>
      <c r="O208" s="867">
        <f t="shared" ca="1" si="51"/>
        <v>0</v>
      </c>
      <c r="P208" s="868">
        <f t="shared" ca="1" si="51"/>
        <v>0</v>
      </c>
      <c r="Q208" s="868">
        <f t="shared" ca="1" si="51"/>
        <v>0</v>
      </c>
      <c r="R208" s="868">
        <f t="shared" ca="1" si="51"/>
        <v>0</v>
      </c>
      <c r="S208" s="867">
        <f t="shared" ca="1" si="51"/>
        <v>0</v>
      </c>
      <c r="T208" s="868">
        <f t="shared" ca="1" si="51"/>
        <v>0</v>
      </c>
      <c r="U208" s="868">
        <f t="shared" ca="1" si="51"/>
        <v>0</v>
      </c>
      <c r="V208" s="868">
        <f t="shared" ca="1" si="51"/>
        <v>0</v>
      </c>
      <c r="W208" s="867">
        <f t="shared" ca="1" si="51"/>
        <v>0</v>
      </c>
      <c r="X208" s="868">
        <f t="shared" ca="1" si="51"/>
        <v>0</v>
      </c>
      <c r="Y208" s="868">
        <f t="shared" ca="1" si="51"/>
        <v>0</v>
      </c>
      <c r="Z208" s="868">
        <f t="shared" ca="1" si="51"/>
        <v>0</v>
      </c>
      <c r="AA208" s="867">
        <f t="shared" ca="1" si="51"/>
        <v>0</v>
      </c>
      <c r="AB208" s="868">
        <f t="shared" ca="1" si="51"/>
        <v>0</v>
      </c>
      <c r="AC208" s="868">
        <f t="shared" ca="1" si="51"/>
        <v>0</v>
      </c>
      <c r="AD208" s="868">
        <f t="shared" ca="1" si="51"/>
        <v>0</v>
      </c>
      <c r="AE208" s="867">
        <f t="shared" ca="1" si="51"/>
        <v>0</v>
      </c>
      <c r="AF208" s="868">
        <f t="shared" ca="1" si="51"/>
        <v>0</v>
      </c>
      <c r="AG208" s="868">
        <f t="shared" ca="1" si="51"/>
        <v>0</v>
      </c>
      <c r="AH208" s="868">
        <f t="shared" ca="1" si="51"/>
        <v>0</v>
      </c>
      <c r="AI208" s="867">
        <f t="shared" ca="1" si="51"/>
        <v>0</v>
      </c>
      <c r="AJ208" s="868">
        <f t="shared" ca="1" si="51"/>
        <v>0</v>
      </c>
      <c r="AK208" s="868">
        <f t="shared" ca="1" si="51"/>
        <v>0</v>
      </c>
      <c r="AL208" s="868">
        <f t="shared" ca="1" si="51"/>
        <v>0</v>
      </c>
      <c r="AM208" s="867">
        <f t="shared" ca="1" si="51"/>
        <v>0</v>
      </c>
      <c r="AN208" s="868">
        <f t="shared" ca="1" si="51"/>
        <v>0</v>
      </c>
      <c r="AO208" s="868">
        <f t="shared" ca="1" si="51"/>
        <v>0</v>
      </c>
      <c r="AP208" s="868">
        <f t="shared" ca="1" si="51"/>
        <v>0</v>
      </c>
      <c r="AQ208" s="867">
        <f t="shared" ca="1" si="51"/>
        <v>0</v>
      </c>
      <c r="AR208" s="868">
        <f t="shared" ca="1" si="51"/>
        <v>0</v>
      </c>
      <c r="AS208" s="868">
        <f t="shared" ca="1" si="51"/>
        <v>0</v>
      </c>
      <c r="AT208" s="868">
        <f t="shared" ca="1" si="51"/>
        <v>0</v>
      </c>
    </row>
    <row r="209" spans="1:47" s="77" customFormat="1" ht="18" customHeight="1" outlineLevel="2">
      <c r="A209" s="869" t="str">
        <f>'8.项目规划指标表'!B$5</f>
        <v>高层</v>
      </c>
      <c r="B209" s="870">
        <f ca="1">'15.土地增值税'!D$57</f>
        <v>0</v>
      </c>
      <c r="C209" s="871">
        <f ca="1">IFERROR($B209/$B34*C34,0)</f>
        <v>0</v>
      </c>
      <c r="D209" s="872">
        <f t="shared" ref="D209:AT209" ca="1" si="52">IFERROR($B209/$B34*D34,0)</f>
        <v>0</v>
      </c>
      <c r="E209" s="872">
        <f t="shared" ca="1" si="52"/>
        <v>0</v>
      </c>
      <c r="F209" s="872">
        <f t="shared" ca="1" si="52"/>
        <v>0</v>
      </c>
      <c r="G209" s="871">
        <f t="shared" ca="1" si="52"/>
        <v>0</v>
      </c>
      <c r="H209" s="872">
        <f t="shared" ca="1" si="52"/>
        <v>0</v>
      </c>
      <c r="I209" s="872">
        <f t="shared" ca="1" si="52"/>
        <v>0</v>
      </c>
      <c r="J209" s="872">
        <f t="shared" ca="1" si="52"/>
        <v>0</v>
      </c>
      <c r="K209" s="871">
        <f t="shared" ca="1" si="52"/>
        <v>0</v>
      </c>
      <c r="L209" s="872">
        <f t="shared" ca="1" si="52"/>
        <v>0</v>
      </c>
      <c r="M209" s="872">
        <f t="shared" ca="1" si="52"/>
        <v>0</v>
      </c>
      <c r="N209" s="872">
        <f t="shared" ca="1" si="52"/>
        <v>0</v>
      </c>
      <c r="O209" s="871">
        <f t="shared" ca="1" si="52"/>
        <v>0</v>
      </c>
      <c r="P209" s="872">
        <f t="shared" ca="1" si="52"/>
        <v>0</v>
      </c>
      <c r="Q209" s="872">
        <f t="shared" ca="1" si="52"/>
        <v>0</v>
      </c>
      <c r="R209" s="872">
        <f t="shared" ca="1" si="52"/>
        <v>0</v>
      </c>
      <c r="S209" s="871">
        <f t="shared" ca="1" si="52"/>
        <v>0</v>
      </c>
      <c r="T209" s="872">
        <f t="shared" ca="1" si="52"/>
        <v>0</v>
      </c>
      <c r="U209" s="872">
        <f t="shared" ca="1" si="52"/>
        <v>0</v>
      </c>
      <c r="V209" s="872">
        <f t="shared" ca="1" si="52"/>
        <v>0</v>
      </c>
      <c r="W209" s="871">
        <f t="shared" ca="1" si="52"/>
        <v>0</v>
      </c>
      <c r="X209" s="872">
        <f t="shared" ca="1" si="52"/>
        <v>0</v>
      </c>
      <c r="Y209" s="872">
        <f t="shared" ca="1" si="52"/>
        <v>0</v>
      </c>
      <c r="Z209" s="872">
        <f t="shared" ca="1" si="52"/>
        <v>0</v>
      </c>
      <c r="AA209" s="871">
        <f t="shared" ca="1" si="52"/>
        <v>0</v>
      </c>
      <c r="AB209" s="872">
        <f t="shared" ca="1" si="52"/>
        <v>0</v>
      </c>
      <c r="AC209" s="872">
        <f t="shared" ca="1" si="52"/>
        <v>0</v>
      </c>
      <c r="AD209" s="872">
        <f t="shared" ca="1" si="52"/>
        <v>0</v>
      </c>
      <c r="AE209" s="871">
        <f t="shared" ca="1" si="52"/>
        <v>0</v>
      </c>
      <c r="AF209" s="872">
        <f t="shared" ca="1" si="52"/>
        <v>0</v>
      </c>
      <c r="AG209" s="872">
        <f t="shared" ca="1" si="52"/>
        <v>0</v>
      </c>
      <c r="AH209" s="872">
        <f t="shared" ca="1" si="52"/>
        <v>0</v>
      </c>
      <c r="AI209" s="871">
        <f t="shared" ca="1" si="52"/>
        <v>0</v>
      </c>
      <c r="AJ209" s="872">
        <f t="shared" ca="1" si="52"/>
        <v>0</v>
      </c>
      <c r="AK209" s="872">
        <f t="shared" ca="1" si="52"/>
        <v>0</v>
      </c>
      <c r="AL209" s="872">
        <f t="shared" ca="1" si="52"/>
        <v>0</v>
      </c>
      <c r="AM209" s="871">
        <f t="shared" ca="1" si="52"/>
        <v>0</v>
      </c>
      <c r="AN209" s="872">
        <f t="shared" ca="1" si="52"/>
        <v>0</v>
      </c>
      <c r="AO209" s="872">
        <f t="shared" ca="1" si="52"/>
        <v>0</v>
      </c>
      <c r="AP209" s="872">
        <f t="shared" ca="1" si="52"/>
        <v>0</v>
      </c>
      <c r="AQ209" s="871">
        <f t="shared" ca="1" si="52"/>
        <v>0</v>
      </c>
      <c r="AR209" s="872">
        <f t="shared" ca="1" si="52"/>
        <v>0</v>
      </c>
      <c r="AS209" s="872">
        <f t="shared" ca="1" si="52"/>
        <v>0</v>
      </c>
      <c r="AT209" s="872">
        <f t="shared" ca="1" si="52"/>
        <v>0</v>
      </c>
      <c r="AU209" s="823">
        <f ca="1">SUM(C209:AT209)-B209</f>
        <v>0</v>
      </c>
    </row>
    <row r="210" spans="1:47" s="77" customFormat="1" ht="18" customHeight="1" outlineLevel="2">
      <c r="A210" s="869" t="str">
        <f>'8.项目规划指标表'!B$6</f>
        <v>商铺</v>
      </c>
      <c r="B210" s="870">
        <f ca="1">'15.土地增值税'!E$57</f>
        <v>0</v>
      </c>
      <c r="C210" s="871">
        <f t="shared" ref="C210:AT210" ca="1" si="53">IFERROR($B210/$B35*C35,0)</f>
        <v>0</v>
      </c>
      <c r="D210" s="872">
        <f t="shared" ca="1" si="53"/>
        <v>0</v>
      </c>
      <c r="E210" s="872">
        <f t="shared" ca="1" si="53"/>
        <v>0</v>
      </c>
      <c r="F210" s="872">
        <f t="shared" ca="1" si="53"/>
        <v>0</v>
      </c>
      <c r="G210" s="871">
        <f t="shared" ca="1" si="53"/>
        <v>0</v>
      </c>
      <c r="H210" s="872">
        <f t="shared" ca="1" si="53"/>
        <v>0</v>
      </c>
      <c r="I210" s="872">
        <f t="shared" ca="1" si="53"/>
        <v>0</v>
      </c>
      <c r="J210" s="872">
        <f t="shared" ca="1" si="53"/>
        <v>0</v>
      </c>
      <c r="K210" s="871">
        <f t="shared" ca="1" si="53"/>
        <v>0</v>
      </c>
      <c r="L210" s="872">
        <f t="shared" ca="1" si="53"/>
        <v>0</v>
      </c>
      <c r="M210" s="872">
        <f t="shared" ca="1" si="53"/>
        <v>0</v>
      </c>
      <c r="N210" s="872">
        <f t="shared" ca="1" si="53"/>
        <v>0</v>
      </c>
      <c r="O210" s="871">
        <f t="shared" ca="1" si="53"/>
        <v>0</v>
      </c>
      <c r="P210" s="872">
        <f t="shared" ca="1" si="53"/>
        <v>0</v>
      </c>
      <c r="Q210" s="872">
        <f t="shared" ca="1" si="53"/>
        <v>0</v>
      </c>
      <c r="R210" s="872">
        <f t="shared" ca="1" si="53"/>
        <v>0</v>
      </c>
      <c r="S210" s="871">
        <f t="shared" ca="1" si="53"/>
        <v>0</v>
      </c>
      <c r="T210" s="872">
        <f t="shared" ca="1" si="53"/>
        <v>0</v>
      </c>
      <c r="U210" s="872">
        <f t="shared" ca="1" si="53"/>
        <v>0</v>
      </c>
      <c r="V210" s="872">
        <f t="shared" ca="1" si="53"/>
        <v>0</v>
      </c>
      <c r="W210" s="871">
        <f t="shared" ca="1" si="53"/>
        <v>0</v>
      </c>
      <c r="X210" s="872">
        <f t="shared" ca="1" si="53"/>
        <v>0</v>
      </c>
      <c r="Y210" s="872">
        <f t="shared" ca="1" si="53"/>
        <v>0</v>
      </c>
      <c r="Z210" s="872">
        <f t="shared" ca="1" si="53"/>
        <v>0</v>
      </c>
      <c r="AA210" s="871">
        <f t="shared" ca="1" si="53"/>
        <v>0</v>
      </c>
      <c r="AB210" s="872">
        <f t="shared" ca="1" si="53"/>
        <v>0</v>
      </c>
      <c r="AC210" s="872">
        <f t="shared" ca="1" si="53"/>
        <v>0</v>
      </c>
      <c r="AD210" s="872">
        <f t="shared" ca="1" si="53"/>
        <v>0</v>
      </c>
      <c r="AE210" s="871">
        <f t="shared" ca="1" si="53"/>
        <v>0</v>
      </c>
      <c r="AF210" s="872">
        <f t="shared" ca="1" si="53"/>
        <v>0</v>
      </c>
      <c r="AG210" s="872">
        <f t="shared" ca="1" si="53"/>
        <v>0</v>
      </c>
      <c r="AH210" s="872">
        <f t="shared" ca="1" si="53"/>
        <v>0</v>
      </c>
      <c r="AI210" s="871">
        <f t="shared" ca="1" si="53"/>
        <v>0</v>
      </c>
      <c r="AJ210" s="872">
        <f t="shared" ca="1" si="53"/>
        <v>0</v>
      </c>
      <c r="AK210" s="872">
        <f t="shared" ca="1" si="53"/>
        <v>0</v>
      </c>
      <c r="AL210" s="872">
        <f t="shared" ca="1" si="53"/>
        <v>0</v>
      </c>
      <c r="AM210" s="871">
        <f t="shared" ca="1" si="53"/>
        <v>0</v>
      </c>
      <c r="AN210" s="872">
        <f t="shared" ca="1" si="53"/>
        <v>0</v>
      </c>
      <c r="AO210" s="872">
        <f t="shared" ca="1" si="53"/>
        <v>0</v>
      </c>
      <c r="AP210" s="872">
        <f t="shared" ca="1" si="53"/>
        <v>0</v>
      </c>
      <c r="AQ210" s="871">
        <f t="shared" ca="1" si="53"/>
        <v>0</v>
      </c>
      <c r="AR210" s="872">
        <f t="shared" ca="1" si="53"/>
        <v>0</v>
      </c>
      <c r="AS210" s="872">
        <f t="shared" ca="1" si="53"/>
        <v>0</v>
      </c>
      <c r="AT210" s="872">
        <f t="shared" ca="1" si="53"/>
        <v>0</v>
      </c>
      <c r="AU210" s="823">
        <f t="shared" ref="AU210:AU220" ca="1" si="54">SUM(C210:AT210)-B210</f>
        <v>0</v>
      </c>
    </row>
    <row r="211" spans="1:47" s="77" customFormat="1" ht="18" customHeight="1" outlineLevel="2">
      <c r="A211" s="869" t="str">
        <f>'8.项目规划指标表'!B$7</f>
        <v>回迁商业</v>
      </c>
      <c r="B211" s="870">
        <f ca="1">'15.土地增值税'!F$57</f>
        <v>0</v>
      </c>
      <c r="C211" s="871">
        <f t="shared" ref="C211:AT211" ca="1" si="55">IFERROR($B211/$B36*C36,0)</f>
        <v>0</v>
      </c>
      <c r="D211" s="872">
        <f t="shared" ca="1" si="55"/>
        <v>0</v>
      </c>
      <c r="E211" s="872">
        <f t="shared" ca="1" si="55"/>
        <v>0</v>
      </c>
      <c r="F211" s="872">
        <f t="shared" ca="1" si="55"/>
        <v>0</v>
      </c>
      <c r="G211" s="871">
        <f t="shared" ca="1" si="55"/>
        <v>0</v>
      </c>
      <c r="H211" s="872">
        <f t="shared" ca="1" si="55"/>
        <v>0</v>
      </c>
      <c r="I211" s="872">
        <f t="shared" ca="1" si="55"/>
        <v>0</v>
      </c>
      <c r="J211" s="872">
        <f t="shared" ca="1" si="55"/>
        <v>0</v>
      </c>
      <c r="K211" s="871">
        <f t="shared" ca="1" si="55"/>
        <v>0</v>
      </c>
      <c r="L211" s="872">
        <f t="shared" ca="1" si="55"/>
        <v>0</v>
      </c>
      <c r="M211" s="872">
        <f t="shared" ca="1" si="55"/>
        <v>0</v>
      </c>
      <c r="N211" s="872">
        <f t="shared" ca="1" si="55"/>
        <v>0</v>
      </c>
      <c r="O211" s="871">
        <f t="shared" ca="1" si="55"/>
        <v>0</v>
      </c>
      <c r="P211" s="872">
        <f t="shared" ca="1" si="55"/>
        <v>0</v>
      </c>
      <c r="Q211" s="872">
        <f t="shared" ca="1" si="55"/>
        <v>0</v>
      </c>
      <c r="R211" s="872">
        <f t="shared" ca="1" si="55"/>
        <v>0</v>
      </c>
      <c r="S211" s="871">
        <f t="shared" ca="1" si="55"/>
        <v>0</v>
      </c>
      <c r="T211" s="872">
        <f t="shared" ca="1" si="55"/>
        <v>0</v>
      </c>
      <c r="U211" s="872">
        <f t="shared" ca="1" si="55"/>
        <v>0</v>
      </c>
      <c r="V211" s="872">
        <f t="shared" ca="1" si="55"/>
        <v>0</v>
      </c>
      <c r="W211" s="871">
        <f t="shared" ca="1" si="55"/>
        <v>0</v>
      </c>
      <c r="X211" s="872">
        <f t="shared" ca="1" si="55"/>
        <v>0</v>
      </c>
      <c r="Y211" s="872">
        <f t="shared" ca="1" si="55"/>
        <v>0</v>
      </c>
      <c r="Z211" s="872">
        <f t="shared" ca="1" si="55"/>
        <v>0</v>
      </c>
      <c r="AA211" s="871">
        <f t="shared" ca="1" si="55"/>
        <v>0</v>
      </c>
      <c r="AB211" s="872">
        <f t="shared" ca="1" si="55"/>
        <v>0</v>
      </c>
      <c r="AC211" s="872">
        <f t="shared" ca="1" si="55"/>
        <v>0</v>
      </c>
      <c r="AD211" s="872">
        <f t="shared" ca="1" si="55"/>
        <v>0</v>
      </c>
      <c r="AE211" s="871">
        <f t="shared" ca="1" si="55"/>
        <v>0</v>
      </c>
      <c r="AF211" s="872">
        <f t="shared" ca="1" si="55"/>
        <v>0</v>
      </c>
      <c r="AG211" s="872">
        <f t="shared" ca="1" si="55"/>
        <v>0</v>
      </c>
      <c r="AH211" s="872">
        <f t="shared" ca="1" si="55"/>
        <v>0</v>
      </c>
      <c r="AI211" s="871">
        <f t="shared" ca="1" si="55"/>
        <v>0</v>
      </c>
      <c r="AJ211" s="872">
        <f t="shared" ca="1" si="55"/>
        <v>0</v>
      </c>
      <c r="AK211" s="872">
        <f t="shared" ca="1" si="55"/>
        <v>0</v>
      </c>
      <c r="AL211" s="872">
        <f t="shared" ca="1" si="55"/>
        <v>0</v>
      </c>
      <c r="AM211" s="871">
        <f t="shared" ca="1" si="55"/>
        <v>0</v>
      </c>
      <c r="AN211" s="872">
        <f t="shared" ca="1" si="55"/>
        <v>0</v>
      </c>
      <c r="AO211" s="872">
        <f t="shared" ca="1" si="55"/>
        <v>0</v>
      </c>
      <c r="AP211" s="872">
        <f t="shared" ca="1" si="55"/>
        <v>0</v>
      </c>
      <c r="AQ211" s="871">
        <f t="shared" ca="1" si="55"/>
        <v>0</v>
      </c>
      <c r="AR211" s="872">
        <f t="shared" ca="1" si="55"/>
        <v>0</v>
      </c>
      <c r="AS211" s="872">
        <f t="shared" ca="1" si="55"/>
        <v>0</v>
      </c>
      <c r="AT211" s="872">
        <f t="shared" ca="1" si="55"/>
        <v>0</v>
      </c>
      <c r="AU211" s="823">
        <f t="shared" ca="1" si="54"/>
        <v>0</v>
      </c>
    </row>
    <row r="212" spans="1:47" s="77" customFormat="1" ht="18" customHeight="1" outlineLevel="2">
      <c r="A212" s="869">
        <f>'8.项目规划指标表'!B$8</f>
        <v>0</v>
      </c>
      <c r="B212" s="870">
        <f ca="1">'15.土地增值税'!G$57</f>
        <v>0</v>
      </c>
      <c r="C212" s="871">
        <f t="shared" ref="C212:AT212" ca="1" si="56">IFERROR($B212/$B37*C37,0)</f>
        <v>0</v>
      </c>
      <c r="D212" s="872">
        <f t="shared" ca="1" si="56"/>
        <v>0</v>
      </c>
      <c r="E212" s="872">
        <f t="shared" ca="1" si="56"/>
        <v>0</v>
      </c>
      <c r="F212" s="872">
        <f t="shared" ca="1" si="56"/>
        <v>0</v>
      </c>
      <c r="G212" s="871">
        <f t="shared" ca="1" si="56"/>
        <v>0</v>
      </c>
      <c r="H212" s="872">
        <f t="shared" ca="1" si="56"/>
        <v>0</v>
      </c>
      <c r="I212" s="872">
        <f t="shared" ca="1" si="56"/>
        <v>0</v>
      </c>
      <c r="J212" s="872">
        <f t="shared" ca="1" si="56"/>
        <v>0</v>
      </c>
      <c r="K212" s="871">
        <f t="shared" ca="1" si="56"/>
        <v>0</v>
      </c>
      <c r="L212" s="872">
        <f t="shared" ca="1" si="56"/>
        <v>0</v>
      </c>
      <c r="M212" s="872">
        <f t="shared" ca="1" si="56"/>
        <v>0</v>
      </c>
      <c r="N212" s="872">
        <f t="shared" ca="1" si="56"/>
        <v>0</v>
      </c>
      <c r="O212" s="871">
        <f t="shared" ca="1" si="56"/>
        <v>0</v>
      </c>
      <c r="P212" s="872">
        <f t="shared" ca="1" si="56"/>
        <v>0</v>
      </c>
      <c r="Q212" s="872">
        <f t="shared" ca="1" si="56"/>
        <v>0</v>
      </c>
      <c r="R212" s="872">
        <f t="shared" ca="1" si="56"/>
        <v>0</v>
      </c>
      <c r="S212" s="871">
        <f t="shared" ca="1" si="56"/>
        <v>0</v>
      </c>
      <c r="T212" s="872">
        <f t="shared" ca="1" si="56"/>
        <v>0</v>
      </c>
      <c r="U212" s="872">
        <f t="shared" ca="1" si="56"/>
        <v>0</v>
      </c>
      <c r="V212" s="872">
        <f t="shared" ca="1" si="56"/>
        <v>0</v>
      </c>
      <c r="W212" s="871">
        <f t="shared" ca="1" si="56"/>
        <v>0</v>
      </c>
      <c r="X212" s="872">
        <f t="shared" ca="1" si="56"/>
        <v>0</v>
      </c>
      <c r="Y212" s="872">
        <f t="shared" ca="1" si="56"/>
        <v>0</v>
      </c>
      <c r="Z212" s="872">
        <f t="shared" ca="1" si="56"/>
        <v>0</v>
      </c>
      <c r="AA212" s="871">
        <f t="shared" ca="1" si="56"/>
        <v>0</v>
      </c>
      <c r="AB212" s="872">
        <f t="shared" ca="1" si="56"/>
        <v>0</v>
      </c>
      <c r="AC212" s="872">
        <f t="shared" ca="1" si="56"/>
        <v>0</v>
      </c>
      <c r="AD212" s="872">
        <f t="shared" ca="1" si="56"/>
        <v>0</v>
      </c>
      <c r="AE212" s="871">
        <f t="shared" ca="1" si="56"/>
        <v>0</v>
      </c>
      <c r="AF212" s="872">
        <f t="shared" ca="1" si="56"/>
        <v>0</v>
      </c>
      <c r="AG212" s="872">
        <f t="shared" ca="1" si="56"/>
        <v>0</v>
      </c>
      <c r="AH212" s="872">
        <f t="shared" ca="1" si="56"/>
        <v>0</v>
      </c>
      <c r="AI212" s="871">
        <f t="shared" ca="1" si="56"/>
        <v>0</v>
      </c>
      <c r="AJ212" s="872">
        <f t="shared" ca="1" si="56"/>
        <v>0</v>
      </c>
      <c r="AK212" s="872">
        <f t="shared" ca="1" si="56"/>
        <v>0</v>
      </c>
      <c r="AL212" s="872">
        <f t="shared" ca="1" si="56"/>
        <v>0</v>
      </c>
      <c r="AM212" s="871">
        <f t="shared" ca="1" si="56"/>
        <v>0</v>
      </c>
      <c r="AN212" s="872">
        <f t="shared" ca="1" si="56"/>
        <v>0</v>
      </c>
      <c r="AO212" s="872">
        <f t="shared" ca="1" si="56"/>
        <v>0</v>
      </c>
      <c r="AP212" s="872">
        <f t="shared" ca="1" si="56"/>
        <v>0</v>
      </c>
      <c r="AQ212" s="871">
        <f t="shared" ca="1" si="56"/>
        <v>0</v>
      </c>
      <c r="AR212" s="872">
        <f t="shared" ca="1" si="56"/>
        <v>0</v>
      </c>
      <c r="AS212" s="872">
        <f t="shared" ca="1" si="56"/>
        <v>0</v>
      </c>
      <c r="AT212" s="872">
        <f t="shared" ca="1" si="56"/>
        <v>0</v>
      </c>
      <c r="AU212" s="823">
        <f t="shared" ca="1" si="54"/>
        <v>0</v>
      </c>
    </row>
    <row r="213" spans="1:47" s="77" customFormat="1" ht="18" customHeight="1" outlineLevel="2">
      <c r="A213" s="869">
        <f>'8.项目规划指标表'!B$9</f>
        <v>0</v>
      </c>
      <c r="B213" s="870">
        <f ca="1">'15.土地增值税'!H$57</f>
        <v>0</v>
      </c>
      <c r="C213" s="871">
        <f t="shared" ref="C213:AT213" ca="1" si="57">IFERROR($B213/$B38*C38,0)</f>
        <v>0</v>
      </c>
      <c r="D213" s="872">
        <f t="shared" ca="1" si="57"/>
        <v>0</v>
      </c>
      <c r="E213" s="872">
        <f t="shared" ca="1" si="57"/>
        <v>0</v>
      </c>
      <c r="F213" s="872">
        <f t="shared" ca="1" si="57"/>
        <v>0</v>
      </c>
      <c r="G213" s="871">
        <f t="shared" ca="1" si="57"/>
        <v>0</v>
      </c>
      <c r="H213" s="872">
        <f t="shared" ca="1" si="57"/>
        <v>0</v>
      </c>
      <c r="I213" s="872">
        <f t="shared" ca="1" si="57"/>
        <v>0</v>
      </c>
      <c r="J213" s="872">
        <f t="shared" ca="1" si="57"/>
        <v>0</v>
      </c>
      <c r="K213" s="871">
        <f t="shared" ca="1" si="57"/>
        <v>0</v>
      </c>
      <c r="L213" s="872">
        <f t="shared" ca="1" si="57"/>
        <v>0</v>
      </c>
      <c r="M213" s="872">
        <f t="shared" ca="1" si="57"/>
        <v>0</v>
      </c>
      <c r="N213" s="872">
        <f t="shared" ca="1" si="57"/>
        <v>0</v>
      </c>
      <c r="O213" s="871">
        <f t="shared" ca="1" si="57"/>
        <v>0</v>
      </c>
      <c r="P213" s="872">
        <f t="shared" ca="1" si="57"/>
        <v>0</v>
      </c>
      <c r="Q213" s="872">
        <f t="shared" ca="1" si="57"/>
        <v>0</v>
      </c>
      <c r="R213" s="872">
        <f t="shared" ca="1" si="57"/>
        <v>0</v>
      </c>
      <c r="S213" s="871">
        <f t="shared" ca="1" si="57"/>
        <v>0</v>
      </c>
      <c r="T213" s="872">
        <f t="shared" ca="1" si="57"/>
        <v>0</v>
      </c>
      <c r="U213" s="872">
        <f t="shared" ca="1" si="57"/>
        <v>0</v>
      </c>
      <c r="V213" s="872">
        <f t="shared" ca="1" si="57"/>
        <v>0</v>
      </c>
      <c r="W213" s="871">
        <f t="shared" ca="1" si="57"/>
        <v>0</v>
      </c>
      <c r="X213" s="872">
        <f t="shared" ca="1" si="57"/>
        <v>0</v>
      </c>
      <c r="Y213" s="872">
        <f t="shared" ca="1" si="57"/>
        <v>0</v>
      </c>
      <c r="Z213" s="872">
        <f t="shared" ca="1" si="57"/>
        <v>0</v>
      </c>
      <c r="AA213" s="871">
        <f t="shared" ca="1" si="57"/>
        <v>0</v>
      </c>
      <c r="AB213" s="872">
        <f t="shared" ca="1" si="57"/>
        <v>0</v>
      </c>
      <c r="AC213" s="872">
        <f t="shared" ca="1" si="57"/>
        <v>0</v>
      </c>
      <c r="AD213" s="872">
        <f t="shared" ca="1" si="57"/>
        <v>0</v>
      </c>
      <c r="AE213" s="871">
        <f t="shared" ca="1" si="57"/>
        <v>0</v>
      </c>
      <c r="AF213" s="872">
        <f t="shared" ca="1" si="57"/>
        <v>0</v>
      </c>
      <c r="AG213" s="872">
        <f t="shared" ca="1" si="57"/>
        <v>0</v>
      </c>
      <c r="AH213" s="872">
        <f t="shared" ca="1" si="57"/>
        <v>0</v>
      </c>
      <c r="AI213" s="871">
        <f t="shared" ca="1" si="57"/>
        <v>0</v>
      </c>
      <c r="AJ213" s="872">
        <f t="shared" ca="1" si="57"/>
        <v>0</v>
      </c>
      <c r="AK213" s="872">
        <f t="shared" ca="1" si="57"/>
        <v>0</v>
      </c>
      <c r="AL213" s="872">
        <f t="shared" ca="1" si="57"/>
        <v>0</v>
      </c>
      <c r="AM213" s="871">
        <f t="shared" ca="1" si="57"/>
        <v>0</v>
      </c>
      <c r="AN213" s="872">
        <f t="shared" ca="1" si="57"/>
        <v>0</v>
      </c>
      <c r="AO213" s="872">
        <f t="shared" ca="1" si="57"/>
        <v>0</v>
      </c>
      <c r="AP213" s="872">
        <f t="shared" ca="1" si="57"/>
        <v>0</v>
      </c>
      <c r="AQ213" s="871">
        <f t="shared" ca="1" si="57"/>
        <v>0</v>
      </c>
      <c r="AR213" s="872">
        <f t="shared" ca="1" si="57"/>
        <v>0</v>
      </c>
      <c r="AS213" s="872">
        <f t="shared" ca="1" si="57"/>
        <v>0</v>
      </c>
      <c r="AT213" s="872">
        <f t="shared" ca="1" si="57"/>
        <v>0</v>
      </c>
      <c r="AU213" s="823">
        <f t="shared" ca="1" si="54"/>
        <v>0</v>
      </c>
    </row>
    <row r="214" spans="1:47" s="77" customFormat="1" ht="18" customHeight="1" outlineLevel="2">
      <c r="A214" s="869">
        <f>'8.项目规划指标表'!B$10</f>
        <v>0</v>
      </c>
      <c r="B214" s="870">
        <f ca="1">'15.土地增值税'!I$57</f>
        <v>0</v>
      </c>
      <c r="C214" s="871">
        <f t="shared" ref="C214:AT214" ca="1" si="58">IFERROR($B214/$B39*C39,0)</f>
        <v>0</v>
      </c>
      <c r="D214" s="872">
        <f t="shared" ca="1" si="58"/>
        <v>0</v>
      </c>
      <c r="E214" s="872">
        <f t="shared" ca="1" si="58"/>
        <v>0</v>
      </c>
      <c r="F214" s="872">
        <f t="shared" ca="1" si="58"/>
        <v>0</v>
      </c>
      <c r="G214" s="871">
        <f t="shared" ca="1" si="58"/>
        <v>0</v>
      </c>
      <c r="H214" s="872">
        <f t="shared" ca="1" si="58"/>
        <v>0</v>
      </c>
      <c r="I214" s="872">
        <f t="shared" ca="1" si="58"/>
        <v>0</v>
      </c>
      <c r="J214" s="872">
        <f t="shared" ca="1" si="58"/>
        <v>0</v>
      </c>
      <c r="K214" s="871">
        <f t="shared" ca="1" si="58"/>
        <v>0</v>
      </c>
      <c r="L214" s="872">
        <f t="shared" ca="1" si="58"/>
        <v>0</v>
      </c>
      <c r="M214" s="872">
        <f t="shared" ca="1" si="58"/>
        <v>0</v>
      </c>
      <c r="N214" s="872">
        <f t="shared" ca="1" si="58"/>
        <v>0</v>
      </c>
      <c r="O214" s="871">
        <f t="shared" ca="1" si="58"/>
        <v>0</v>
      </c>
      <c r="P214" s="872">
        <f t="shared" ca="1" si="58"/>
        <v>0</v>
      </c>
      <c r="Q214" s="872">
        <f t="shared" ca="1" si="58"/>
        <v>0</v>
      </c>
      <c r="R214" s="872">
        <f t="shared" ca="1" si="58"/>
        <v>0</v>
      </c>
      <c r="S214" s="871">
        <f t="shared" ca="1" si="58"/>
        <v>0</v>
      </c>
      <c r="T214" s="872">
        <f t="shared" ca="1" si="58"/>
        <v>0</v>
      </c>
      <c r="U214" s="872">
        <f t="shared" ca="1" si="58"/>
        <v>0</v>
      </c>
      <c r="V214" s="872">
        <f t="shared" ca="1" si="58"/>
        <v>0</v>
      </c>
      <c r="W214" s="871">
        <f t="shared" ca="1" si="58"/>
        <v>0</v>
      </c>
      <c r="X214" s="872">
        <f t="shared" ca="1" si="58"/>
        <v>0</v>
      </c>
      <c r="Y214" s="872">
        <f t="shared" ca="1" si="58"/>
        <v>0</v>
      </c>
      <c r="Z214" s="872">
        <f t="shared" ca="1" si="58"/>
        <v>0</v>
      </c>
      <c r="AA214" s="871">
        <f t="shared" ca="1" si="58"/>
        <v>0</v>
      </c>
      <c r="AB214" s="872">
        <f t="shared" ca="1" si="58"/>
        <v>0</v>
      </c>
      <c r="AC214" s="872">
        <f t="shared" ca="1" si="58"/>
        <v>0</v>
      </c>
      <c r="AD214" s="872">
        <f t="shared" ca="1" si="58"/>
        <v>0</v>
      </c>
      <c r="AE214" s="871">
        <f t="shared" ca="1" si="58"/>
        <v>0</v>
      </c>
      <c r="AF214" s="872">
        <f t="shared" ca="1" si="58"/>
        <v>0</v>
      </c>
      <c r="AG214" s="872">
        <f t="shared" ca="1" si="58"/>
        <v>0</v>
      </c>
      <c r="AH214" s="872">
        <f t="shared" ca="1" si="58"/>
        <v>0</v>
      </c>
      <c r="AI214" s="871">
        <f t="shared" ca="1" si="58"/>
        <v>0</v>
      </c>
      <c r="AJ214" s="872">
        <f t="shared" ca="1" si="58"/>
        <v>0</v>
      </c>
      <c r="AK214" s="872">
        <f t="shared" ca="1" si="58"/>
        <v>0</v>
      </c>
      <c r="AL214" s="872">
        <f t="shared" ca="1" si="58"/>
        <v>0</v>
      </c>
      <c r="AM214" s="871">
        <f t="shared" ca="1" si="58"/>
        <v>0</v>
      </c>
      <c r="AN214" s="872">
        <f t="shared" ca="1" si="58"/>
        <v>0</v>
      </c>
      <c r="AO214" s="872">
        <f t="shared" ca="1" si="58"/>
        <v>0</v>
      </c>
      <c r="AP214" s="872">
        <f t="shared" ca="1" si="58"/>
        <v>0</v>
      </c>
      <c r="AQ214" s="871">
        <f t="shared" ca="1" si="58"/>
        <v>0</v>
      </c>
      <c r="AR214" s="872">
        <f t="shared" ca="1" si="58"/>
        <v>0</v>
      </c>
      <c r="AS214" s="872">
        <f t="shared" ca="1" si="58"/>
        <v>0</v>
      </c>
      <c r="AT214" s="872">
        <f t="shared" ca="1" si="58"/>
        <v>0</v>
      </c>
      <c r="AU214" s="823">
        <f t="shared" ca="1" si="54"/>
        <v>0</v>
      </c>
    </row>
    <row r="215" spans="1:47" s="77" customFormat="1" ht="18" customHeight="1" outlineLevel="2">
      <c r="A215" s="869">
        <f>'8.项目规划指标表'!B$11</f>
        <v>0</v>
      </c>
      <c r="B215" s="870">
        <f ca="1">'15.土地增值税'!J$57</f>
        <v>0</v>
      </c>
      <c r="C215" s="871">
        <f t="shared" ref="C215:AT215" ca="1" si="59">IFERROR($B215/$B40*C40,0)</f>
        <v>0</v>
      </c>
      <c r="D215" s="872">
        <f t="shared" ca="1" si="59"/>
        <v>0</v>
      </c>
      <c r="E215" s="872">
        <f t="shared" ca="1" si="59"/>
        <v>0</v>
      </c>
      <c r="F215" s="872">
        <f t="shared" ca="1" si="59"/>
        <v>0</v>
      </c>
      <c r="G215" s="871">
        <f t="shared" ca="1" si="59"/>
        <v>0</v>
      </c>
      <c r="H215" s="872">
        <f t="shared" ca="1" si="59"/>
        <v>0</v>
      </c>
      <c r="I215" s="872">
        <f t="shared" ca="1" si="59"/>
        <v>0</v>
      </c>
      <c r="J215" s="872">
        <f t="shared" ca="1" si="59"/>
        <v>0</v>
      </c>
      <c r="K215" s="871">
        <f t="shared" ca="1" si="59"/>
        <v>0</v>
      </c>
      <c r="L215" s="872">
        <f t="shared" ca="1" si="59"/>
        <v>0</v>
      </c>
      <c r="M215" s="872">
        <f t="shared" ca="1" si="59"/>
        <v>0</v>
      </c>
      <c r="N215" s="872">
        <f t="shared" ca="1" si="59"/>
        <v>0</v>
      </c>
      <c r="O215" s="871">
        <f t="shared" ca="1" si="59"/>
        <v>0</v>
      </c>
      <c r="P215" s="872">
        <f t="shared" ca="1" si="59"/>
        <v>0</v>
      </c>
      <c r="Q215" s="872">
        <f t="shared" ca="1" si="59"/>
        <v>0</v>
      </c>
      <c r="R215" s="872">
        <f t="shared" ca="1" si="59"/>
        <v>0</v>
      </c>
      <c r="S215" s="871">
        <f t="shared" ca="1" si="59"/>
        <v>0</v>
      </c>
      <c r="T215" s="872">
        <f t="shared" ca="1" si="59"/>
        <v>0</v>
      </c>
      <c r="U215" s="872">
        <f t="shared" ca="1" si="59"/>
        <v>0</v>
      </c>
      <c r="V215" s="872">
        <f t="shared" ca="1" si="59"/>
        <v>0</v>
      </c>
      <c r="W215" s="871">
        <f t="shared" ca="1" si="59"/>
        <v>0</v>
      </c>
      <c r="X215" s="872">
        <f t="shared" ca="1" si="59"/>
        <v>0</v>
      </c>
      <c r="Y215" s="872">
        <f t="shared" ca="1" si="59"/>
        <v>0</v>
      </c>
      <c r="Z215" s="872">
        <f t="shared" ca="1" si="59"/>
        <v>0</v>
      </c>
      <c r="AA215" s="871">
        <f t="shared" ca="1" si="59"/>
        <v>0</v>
      </c>
      <c r="AB215" s="872">
        <f t="shared" ca="1" si="59"/>
        <v>0</v>
      </c>
      <c r="AC215" s="872">
        <f t="shared" ca="1" si="59"/>
        <v>0</v>
      </c>
      <c r="AD215" s="872">
        <f t="shared" ca="1" si="59"/>
        <v>0</v>
      </c>
      <c r="AE215" s="871">
        <f t="shared" ca="1" si="59"/>
        <v>0</v>
      </c>
      <c r="AF215" s="872">
        <f t="shared" ca="1" si="59"/>
        <v>0</v>
      </c>
      <c r="AG215" s="872">
        <f t="shared" ca="1" si="59"/>
        <v>0</v>
      </c>
      <c r="AH215" s="872">
        <f t="shared" ca="1" si="59"/>
        <v>0</v>
      </c>
      <c r="AI215" s="871">
        <f t="shared" ca="1" si="59"/>
        <v>0</v>
      </c>
      <c r="AJ215" s="872">
        <f t="shared" ca="1" si="59"/>
        <v>0</v>
      </c>
      <c r="AK215" s="872">
        <f t="shared" ca="1" si="59"/>
        <v>0</v>
      </c>
      <c r="AL215" s="872">
        <f t="shared" ca="1" si="59"/>
        <v>0</v>
      </c>
      <c r="AM215" s="871">
        <f t="shared" ca="1" si="59"/>
        <v>0</v>
      </c>
      <c r="AN215" s="872">
        <f t="shared" ca="1" si="59"/>
        <v>0</v>
      </c>
      <c r="AO215" s="872">
        <f t="shared" ca="1" si="59"/>
        <v>0</v>
      </c>
      <c r="AP215" s="872">
        <f t="shared" ca="1" si="59"/>
        <v>0</v>
      </c>
      <c r="AQ215" s="871">
        <f t="shared" ca="1" si="59"/>
        <v>0</v>
      </c>
      <c r="AR215" s="872">
        <f t="shared" ca="1" si="59"/>
        <v>0</v>
      </c>
      <c r="AS215" s="872">
        <f t="shared" ca="1" si="59"/>
        <v>0</v>
      </c>
      <c r="AT215" s="872">
        <f t="shared" ca="1" si="59"/>
        <v>0</v>
      </c>
      <c r="AU215" s="823">
        <f t="shared" ca="1" si="54"/>
        <v>0</v>
      </c>
    </row>
    <row r="216" spans="1:47" s="77" customFormat="1" ht="18" customHeight="1" outlineLevel="2">
      <c r="A216" s="869">
        <f>'8.项目规划指标表'!B$12</f>
        <v>0</v>
      </c>
      <c r="B216" s="870">
        <f ca="1">'15.土地增值税'!K$57</f>
        <v>0</v>
      </c>
      <c r="C216" s="871">
        <f t="shared" ref="C216:AT216" ca="1" si="60">IFERROR($B216/$B41*C41,0)</f>
        <v>0</v>
      </c>
      <c r="D216" s="872">
        <f t="shared" ca="1" si="60"/>
        <v>0</v>
      </c>
      <c r="E216" s="872">
        <f t="shared" ca="1" si="60"/>
        <v>0</v>
      </c>
      <c r="F216" s="872">
        <f t="shared" ca="1" si="60"/>
        <v>0</v>
      </c>
      <c r="G216" s="871">
        <f t="shared" ca="1" si="60"/>
        <v>0</v>
      </c>
      <c r="H216" s="872">
        <f t="shared" ca="1" si="60"/>
        <v>0</v>
      </c>
      <c r="I216" s="872">
        <f t="shared" ca="1" si="60"/>
        <v>0</v>
      </c>
      <c r="J216" s="872">
        <f t="shared" ca="1" si="60"/>
        <v>0</v>
      </c>
      <c r="K216" s="871">
        <f t="shared" ca="1" si="60"/>
        <v>0</v>
      </c>
      <c r="L216" s="872">
        <f t="shared" ca="1" si="60"/>
        <v>0</v>
      </c>
      <c r="M216" s="872">
        <f t="shared" ca="1" si="60"/>
        <v>0</v>
      </c>
      <c r="N216" s="872">
        <f t="shared" ca="1" si="60"/>
        <v>0</v>
      </c>
      <c r="O216" s="871">
        <f t="shared" ca="1" si="60"/>
        <v>0</v>
      </c>
      <c r="P216" s="872">
        <f t="shared" ca="1" si="60"/>
        <v>0</v>
      </c>
      <c r="Q216" s="872">
        <f t="shared" ca="1" si="60"/>
        <v>0</v>
      </c>
      <c r="R216" s="872">
        <f t="shared" ca="1" si="60"/>
        <v>0</v>
      </c>
      <c r="S216" s="871">
        <f t="shared" ca="1" si="60"/>
        <v>0</v>
      </c>
      <c r="T216" s="872">
        <f t="shared" ca="1" si="60"/>
        <v>0</v>
      </c>
      <c r="U216" s="872">
        <f t="shared" ca="1" si="60"/>
        <v>0</v>
      </c>
      <c r="V216" s="872">
        <f t="shared" ca="1" si="60"/>
        <v>0</v>
      </c>
      <c r="W216" s="871">
        <f t="shared" ca="1" si="60"/>
        <v>0</v>
      </c>
      <c r="X216" s="872">
        <f t="shared" ca="1" si="60"/>
        <v>0</v>
      </c>
      <c r="Y216" s="872">
        <f t="shared" ca="1" si="60"/>
        <v>0</v>
      </c>
      <c r="Z216" s="872">
        <f t="shared" ca="1" si="60"/>
        <v>0</v>
      </c>
      <c r="AA216" s="871">
        <f t="shared" ca="1" si="60"/>
        <v>0</v>
      </c>
      <c r="AB216" s="872">
        <f t="shared" ca="1" si="60"/>
        <v>0</v>
      </c>
      <c r="AC216" s="872">
        <f t="shared" ca="1" si="60"/>
        <v>0</v>
      </c>
      <c r="AD216" s="872">
        <f t="shared" ca="1" si="60"/>
        <v>0</v>
      </c>
      <c r="AE216" s="871">
        <f t="shared" ca="1" si="60"/>
        <v>0</v>
      </c>
      <c r="AF216" s="872">
        <f t="shared" ca="1" si="60"/>
        <v>0</v>
      </c>
      <c r="AG216" s="872">
        <f t="shared" ca="1" si="60"/>
        <v>0</v>
      </c>
      <c r="AH216" s="872">
        <f t="shared" ca="1" si="60"/>
        <v>0</v>
      </c>
      <c r="AI216" s="871">
        <f t="shared" ca="1" si="60"/>
        <v>0</v>
      </c>
      <c r="AJ216" s="872">
        <f t="shared" ca="1" si="60"/>
        <v>0</v>
      </c>
      <c r="AK216" s="872">
        <f t="shared" ca="1" si="60"/>
        <v>0</v>
      </c>
      <c r="AL216" s="872">
        <f t="shared" ca="1" si="60"/>
        <v>0</v>
      </c>
      <c r="AM216" s="871">
        <f t="shared" ca="1" si="60"/>
        <v>0</v>
      </c>
      <c r="AN216" s="872">
        <f t="shared" ca="1" si="60"/>
        <v>0</v>
      </c>
      <c r="AO216" s="872">
        <f t="shared" ca="1" si="60"/>
        <v>0</v>
      </c>
      <c r="AP216" s="872">
        <f t="shared" ca="1" si="60"/>
        <v>0</v>
      </c>
      <c r="AQ216" s="871">
        <f t="shared" ca="1" si="60"/>
        <v>0</v>
      </c>
      <c r="AR216" s="872">
        <f t="shared" ca="1" si="60"/>
        <v>0</v>
      </c>
      <c r="AS216" s="872">
        <f t="shared" ca="1" si="60"/>
        <v>0</v>
      </c>
      <c r="AT216" s="872">
        <f t="shared" ca="1" si="60"/>
        <v>0</v>
      </c>
      <c r="AU216" s="823">
        <f t="shared" ca="1" si="54"/>
        <v>0</v>
      </c>
    </row>
    <row r="217" spans="1:47" s="77" customFormat="1" ht="18" customHeight="1" outlineLevel="2">
      <c r="A217" s="869">
        <f>'8.项目规划指标表'!B$13</f>
        <v>0</v>
      </c>
      <c r="B217" s="870">
        <f ca="1">'15.土地增值税'!L$57</f>
        <v>0</v>
      </c>
      <c r="C217" s="871">
        <f t="shared" ref="C217:AT217" ca="1" si="61">IFERROR($B217/$B42*C42,0)</f>
        <v>0</v>
      </c>
      <c r="D217" s="872">
        <f t="shared" ca="1" si="61"/>
        <v>0</v>
      </c>
      <c r="E217" s="872">
        <f t="shared" ca="1" si="61"/>
        <v>0</v>
      </c>
      <c r="F217" s="872">
        <f t="shared" ca="1" si="61"/>
        <v>0</v>
      </c>
      <c r="G217" s="871">
        <f t="shared" ca="1" si="61"/>
        <v>0</v>
      </c>
      <c r="H217" s="872">
        <f t="shared" ca="1" si="61"/>
        <v>0</v>
      </c>
      <c r="I217" s="872">
        <f t="shared" ca="1" si="61"/>
        <v>0</v>
      </c>
      <c r="J217" s="872">
        <f t="shared" ca="1" si="61"/>
        <v>0</v>
      </c>
      <c r="K217" s="871">
        <f t="shared" ca="1" si="61"/>
        <v>0</v>
      </c>
      <c r="L217" s="872">
        <f t="shared" ca="1" si="61"/>
        <v>0</v>
      </c>
      <c r="M217" s="872">
        <f t="shared" ca="1" si="61"/>
        <v>0</v>
      </c>
      <c r="N217" s="872">
        <f t="shared" ca="1" si="61"/>
        <v>0</v>
      </c>
      <c r="O217" s="871">
        <f t="shared" ca="1" si="61"/>
        <v>0</v>
      </c>
      <c r="P217" s="872">
        <f t="shared" ca="1" si="61"/>
        <v>0</v>
      </c>
      <c r="Q217" s="872">
        <f t="shared" ca="1" si="61"/>
        <v>0</v>
      </c>
      <c r="R217" s="872">
        <f t="shared" ca="1" si="61"/>
        <v>0</v>
      </c>
      <c r="S217" s="871">
        <f t="shared" ca="1" si="61"/>
        <v>0</v>
      </c>
      <c r="T217" s="872">
        <f t="shared" ca="1" si="61"/>
        <v>0</v>
      </c>
      <c r="U217" s="872">
        <f t="shared" ca="1" si="61"/>
        <v>0</v>
      </c>
      <c r="V217" s="872">
        <f t="shared" ca="1" si="61"/>
        <v>0</v>
      </c>
      <c r="W217" s="871">
        <f t="shared" ca="1" si="61"/>
        <v>0</v>
      </c>
      <c r="X217" s="872">
        <f t="shared" ca="1" si="61"/>
        <v>0</v>
      </c>
      <c r="Y217" s="872">
        <f t="shared" ca="1" si="61"/>
        <v>0</v>
      </c>
      <c r="Z217" s="872">
        <f t="shared" ca="1" si="61"/>
        <v>0</v>
      </c>
      <c r="AA217" s="871">
        <f t="shared" ca="1" si="61"/>
        <v>0</v>
      </c>
      <c r="AB217" s="872">
        <f t="shared" ca="1" si="61"/>
        <v>0</v>
      </c>
      <c r="AC217" s="872">
        <f t="shared" ca="1" si="61"/>
        <v>0</v>
      </c>
      <c r="AD217" s="872">
        <f t="shared" ca="1" si="61"/>
        <v>0</v>
      </c>
      <c r="AE217" s="871">
        <f t="shared" ca="1" si="61"/>
        <v>0</v>
      </c>
      <c r="AF217" s="872">
        <f t="shared" ca="1" si="61"/>
        <v>0</v>
      </c>
      <c r="AG217" s="872">
        <f t="shared" ca="1" si="61"/>
        <v>0</v>
      </c>
      <c r="AH217" s="872">
        <f t="shared" ca="1" si="61"/>
        <v>0</v>
      </c>
      <c r="AI217" s="871">
        <f t="shared" ca="1" si="61"/>
        <v>0</v>
      </c>
      <c r="AJ217" s="872">
        <f t="shared" ca="1" si="61"/>
        <v>0</v>
      </c>
      <c r="AK217" s="872">
        <f t="shared" ca="1" si="61"/>
        <v>0</v>
      </c>
      <c r="AL217" s="872">
        <f t="shared" ca="1" si="61"/>
        <v>0</v>
      </c>
      <c r="AM217" s="871">
        <f t="shared" ca="1" si="61"/>
        <v>0</v>
      </c>
      <c r="AN217" s="872">
        <f t="shared" ca="1" si="61"/>
        <v>0</v>
      </c>
      <c r="AO217" s="872">
        <f t="shared" ca="1" si="61"/>
        <v>0</v>
      </c>
      <c r="AP217" s="872">
        <f t="shared" ca="1" si="61"/>
        <v>0</v>
      </c>
      <c r="AQ217" s="871">
        <f t="shared" ca="1" si="61"/>
        <v>0</v>
      </c>
      <c r="AR217" s="872">
        <f t="shared" ca="1" si="61"/>
        <v>0</v>
      </c>
      <c r="AS217" s="872">
        <f t="shared" ca="1" si="61"/>
        <v>0</v>
      </c>
      <c r="AT217" s="872">
        <f t="shared" ca="1" si="61"/>
        <v>0</v>
      </c>
      <c r="AU217" s="823">
        <f t="shared" ca="1" si="54"/>
        <v>0</v>
      </c>
    </row>
    <row r="218" spans="1:47" s="77" customFormat="1" ht="18" customHeight="1" outlineLevel="2">
      <c r="A218" s="869" t="str">
        <f>'8.项目规划指标表'!B$14</f>
        <v>自持物业</v>
      </c>
      <c r="B218" s="870">
        <f ca="1">'15.土地增值税'!M$57</f>
        <v>0</v>
      </c>
      <c r="C218" s="871">
        <f t="shared" ref="C218:AT218" ca="1" si="62">IFERROR($B218/$B43*C43,0)</f>
        <v>0</v>
      </c>
      <c r="D218" s="872">
        <f t="shared" ca="1" si="62"/>
        <v>0</v>
      </c>
      <c r="E218" s="872">
        <f t="shared" ca="1" si="62"/>
        <v>0</v>
      </c>
      <c r="F218" s="872">
        <f t="shared" ca="1" si="62"/>
        <v>0</v>
      </c>
      <c r="G218" s="871">
        <f t="shared" ca="1" si="62"/>
        <v>0</v>
      </c>
      <c r="H218" s="872">
        <f t="shared" ca="1" si="62"/>
        <v>0</v>
      </c>
      <c r="I218" s="872">
        <f t="shared" ca="1" si="62"/>
        <v>0</v>
      </c>
      <c r="J218" s="872">
        <f t="shared" ca="1" si="62"/>
        <v>0</v>
      </c>
      <c r="K218" s="871">
        <f t="shared" ca="1" si="62"/>
        <v>0</v>
      </c>
      <c r="L218" s="872">
        <f t="shared" ca="1" si="62"/>
        <v>0</v>
      </c>
      <c r="M218" s="872">
        <f t="shared" ca="1" si="62"/>
        <v>0</v>
      </c>
      <c r="N218" s="872">
        <f t="shared" ca="1" si="62"/>
        <v>0</v>
      </c>
      <c r="O218" s="871">
        <f t="shared" ca="1" si="62"/>
        <v>0</v>
      </c>
      <c r="P218" s="872">
        <f t="shared" ca="1" si="62"/>
        <v>0</v>
      </c>
      <c r="Q218" s="872">
        <f t="shared" ca="1" si="62"/>
        <v>0</v>
      </c>
      <c r="R218" s="872">
        <f t="shared" ca="1" si="62"/>
        <v>0</v>
      </c>
      <c r="S218" s="871">
        <f t="shared" ca="1" si="62"/>
        <v>0</v>
      </c>
      <c r="T218" s="872">
        <f t="shared" ca="1" si="62"/>
        <v>0</v>
      </c>
      <c r="U218" s="872">
        <f t="shared" ca="1" si="62"/>
        <v>0</v>
      </c>
      <c r="V218" s="872">
        <f t="shared" ca="1" si="62"/>
        <v>0</v>
      </c>
      <c r="W218" s="871">
        <f t="shared" ca="1" si="62"/>
        <v>0</v>
      </c>
      <c r="X218" s="872">
        <f t="shared" ca="1" si="62"/>
        <v>0</v>
      </c>
      <c r="Y218" s="872">
        <f t="shared" ca="1" si="62"/>
        <v>0</v>
      </c>
      <c r="Z218" s="872">
        <f t="shared" ca="1" si="62"/>
        <v>0</v>
      </c>
      <c r="AA218" s="871">
        <f t="shared" ca="1" si="62"/>
        <v>0</v>
      </c>
      <c r="AB218" s="872">
        <f t="shared" ca="1" si="62"/>
        <v>0</v>
      </c>
      <c r="AC218" s="872">
        <f t="shared" ca="1" si="62"/>
        <v>0</v>
      </c>
      <c r="AD218" s="872">
        <f t="shared" ca="1" si="62"/>
        <v>0</v>
      </c>
      <c r="AE218" s="871">
        <f t="shared" ca="1" si="62"/>
        <v>0</v>
      </c>
      <c r="AF218" s="872">
        <f t="shared" ca="1" si="62"/>
        <v>0</v>
      </c>
      <c r="AG218" s="872">
        <f t="shared" ca="1" si="62"/>
        <v>0</v>
      </c>
      <c r="AH218" s="872">
        <f t="shared" ca="1" si="62"/>
        <v>0</v>
      </c>
      <c r="AI218" s="871">
        <f t="shared" ca="1" si="62"/>
        <v>0</v>
      </c>
      <c r="AJ218" s="872">
        <f t="shared" ca="1" si="62"/>
        <v>0</v>
      </c>
      <c r="AK218" s="872">
        <f t="shared" ca="1" si="62"/>
        <v>0</v>
      </c>
      <c r="AL218" s="872">
        <f t="shared" ca="1" si="62"/>
        <v>0</v>
      </c>
      <c r="AM218" s="871">
        <f t="shared" ca="1" si="62"/>
        <v>0</v>
      </c>
      <c r="AN218" s="872">
        <f t="shared" ca="1" si="62"/>
        <v>0</v>
      </c>
      <c r="AO218" s="872">
        <f t="shared" ca="1" si="62"/>
        <v>0</v>
      </c>
      <c r="AP218" s="872">
        <f t="shared" ca="1" si="62"/>
        <v>0</v>
      </c>
      <c r="AQ218" s="871">
        <f t="shared" ca="1" si="62"/>
        <v>0</v>
      </c>
      <c r="AR218" s="872">
        <f t="shared" ca="1" si="62"/>
        <v>0</v>
      </c>
      <c r="AS218" s="872">
        <f t="shared" ca="1" si="62"/>
        <v>0</v>
      </c>
      <c r="AT218" s="872">
        <f t="shared" ca="1" si="62"/>
        <v>0</v>
      </c>
      <c r="AU218" s="823">
        <f t="shared" ca="1" si="54"/>
        <v>0</v>
      </c>
    </row>
    <row r="219" spans="1:47" s="77" customFormat="1" ht="18" customHeight="1" outlineLevel="2">
      <c r="A219" s="869" t="str">
        <f>'8.项目规划指标表'!B$18</f>
        <v>有产权车库(个)</v>
      </c>
      <c r="B219" s="870">
        <f ca="1">'15.土地增值税'!N$57</f>
        <v>0</v>
      </c>
      <c r="C219" s="871">
        <f t="shared" ref="C219:AT219" ca="1" si="63">IFERROR($B219/$B44*C44,0)</f>
        <v>0</v>
      </c>
      <c r="D219" s="872">
        <f t="shared" ca="1" si="63"/>
        <v>0</v>
      </c>
      <c r="E219" s="872">
        <f t="shared" ca="1" si="63"/>
        <v>0</v>
      </c>
      <c r="F219" s="872">
        <f t="shared" ca="1" si="63"/>
        <v>0</v>
      </c>
      <c r="G219" s="871">
        <f t="shared" ca="1" si="63"/>
        <v>0</v>
      </c>
      <c r="H219" s="872">
        <f t="shared" ca="1" si="63"/>
        <v>0</v>
      </c>
      <c r="I219" s="872">
        <f t="shared" ca="1" si="63"/>
        <v>0</v>
      </c>
      <c r="J219" s="872">
        <f t="shared" ca="1" si="63"/>
        <v>0</v>
      </c>
      <c r="K219" s="871">
        <f t="shared" ca="1" si="63"/>
        <v>0</v>
      </c>
      <c r="L219" s="872">
        <f t="shared" ca="1" si="63"/>
        <v>0</v>
      </c>
      <c r="M219" s="872">
        <f t="shared" ca="1" si="63"/>
        <v>0</v>
      </c>
      <c r="N219" s="872">
        <f t="shared" ca="1" si="63"/>
        <v>0</v>
      </c>
      <c r="O219" s="871">
        <f t="shared" ca="1" si="63"/>
        <v>0</v>
      </c>
      <c r="P219" s="872">
        <f t="shared" ca="1" si="63"/>
        <v>0</v>
      </c>
      <c r="Q219" s="872">
        <f t="shared" ca="1" si="63"/>
        <v>0</v>
      </c>
      <c r="R219" s="872">
        <f t="shared" ca="1" si="63"/>
        <v>0</v>
      </c>
      <c r="S219" s="871">
        <f t="shared" ca="1" si="63"/>
        <v>0</v>
      </c>
      <c r="T219" s="872">
        <f t="shared" ca="1" si="63"/>
        <v>0</v>
      </c>
      <c r="U219" s="872">
        <f t="shared" ca="1" si="63"/>
        <v>0</v>
      </c>
      <c r="V219" s="872">
        <f t="shared" ca="1" si="63"/>
        <v>0</v>
      </c>
      <c r="W219" s="871">
        <f t="shared" ca="1" si="63"/>
        <v>0</v>
      </c>
      <c r="X219" s="872">
        <f t="shared" ca="1" si="63"/>
        <v>0</v>
      </c>
      <c r="Y219" s="872">
        <f t="shared" ca="1" si="63"/>
        <v>0</v>
      </c>
      <c r="Z219" s="872">
        <f t="shared" ca="1" si="63"/>
        <v>0</v>
      </c>
      <c r="AA219" s="871">
        <f t="shared" ca="1" si="63"/>
        <v>0</v>
      </c>
      <c r="AB219" s="872">
        <f t="shared" ca="1" si="63"/>
        <v>0</v>
      </c>
      <c r="AC219" s="872">
        <f t="shared" ca="1" si="63"/>
        <v>0</v>
      </c>
      <c r="AD219" s="872">
        <f t="shared" ca="1" si="63"/>
        <v>0</v>
      </c>
      <c r="AE219" s="871">
        <f t="shared" ca="1" si="63"/>
        <v>0</v>
      </c>
      <c r="AF219" s="872">
        <f t="shared" ca="1" si="63"/>
        <v>0</v>
      </c>
      <c r="AG219" s="872">
        <f t="shared" ca="1" si="63"/>
        <v>0</v>
      </c>
      <c r="AH219" s="872">
        <f t="shared" ca="1" si="63"/>
        <v>0</v>
      </c>
      <c r="AI219" s="871">
        <f t="shared" ca="1" si="63"/>
        <v>0</v>
      </c>
      <c r="AJ219" s="872">
        <f t="shared" ca="1" si="63"/>
        <v>0</v>
      </c>
      <c r="AK219" s="872">
        <f t="shared" ca="1" si="63"/>
        <v>0</v>
      </c>
      <c r="AL219" s="872">
        <f t="shared" ca="1" si="63"/>
        <v>0</v>
      </c>
      <c r="AM219" s="871">
        <f t="shared" ca="1" si="63"/>
        <v>0</v>
      </c>
      <c r="AN219" s="872">
        <f t="shared" ca="1" si="63"/>
        <v>0</v>
      </c>
      <c r="AO219" s="872">
        <f t="shared" ca="1" si="63"/>
        <v>0</v>
      </c>
      <c r="AP219" s="872">
        <f t="shared" ca="1" si="63"/>
        <v>0</v>
      </c>
      <c r="AQ219" s="871">
        <f t="shared" ca="1" si="63"/>
        <v>0</v>
      </c>
      <c r="AR219" s="872">
        <f t="shared" ca="1" si="63"/>
        <v>0</v>
      </c>
      <c r="AS219" s="872">
        <f t="shared" ca="1" si="63"/>
        <v>0</v>
      </c>
      <c r="AT219" s="872">
        <f t="shared" ca="1" si="63"/>
        <v>0</v>
      </c>
      <c r="AU219" s="823">
        <f t="shared" ca="1" si="54"/>
        <v>0</v>
      </c>
    </row>
    <row r="220" spans="1:47" s="77" customFormat="1" ht="18" customHeight="1" outlineLevel="2">
      <c r="A220" s="869" t="str">
        <f>'8.项目规划指标表'!B$19</f>
        <v>无产权车库(个)</v>
      </c>
      <c r="B220" s="870">
        <f ca="1">'15.土地增值税'!O$57</f>
        <v>0</v>
      </c>
      <c r="C220" s="871">
        <f t="shared" ref="C220:AT220" ca="1" si="64">IFERROR($B220/$B45*C45,0)</f>
        <v>0</v>
      </c>
      <c r="D220" s="872">
        <f t="shared" ca="1" si="64"/>
        <v>0</v>
      </c>
      <c r="E220" s="872">
        <f t="shared" ca="1" si="64"/>
        <v>0</v>
      </c>
      <c r="F220" s="872">
        <f t="shared" ca="1" si="64"/>
        <v>0</v>
      </c>
      <c r="G220" s="871">
        <f t="shared" ca="1" si="64"/>
        <v>0</v>
      </c>
      <c r="H220" s="872">
        <f t="shared" ca="1" si="64"/>
        <v>0</v>
      </c>
      <c r="I220" s="872">
        <f t="shared" ca="1" si="64"/>
        <v>0</v>
      </c>
      <c r="J220" s="872">
        <f t="shared" ca="1" si="64"/>
        <v>0</v>
      </c>
      <c r="K220" s="871">
        <f t="shared" ca="1" si="64"/>
        <v>0</v>
      </c>
      <c r="L220" s="872">
        <f t="shared" ca="1" si="64"/>
        <v>0</v>
      </c>
      <c r="M220" s="872">
        <f t="shared" ca="1" si="64"/>
        <v>0</v>
      </c>
      <c r="N220" s="872">
        <f t="shared" ca="1" si="64"/>
        <v>0</v>
      </c>
      <c r="O220" s="871">
        <f t="shared" ca="1" si="64"/>
        <v>0</v>
      </c>
      <c r="P220" s="872">
        <f t="shared" ca="1" si="64"/>
        <v>0</v>
      </c>
      <c r="Q220" s="872">
        <f t="shared" ca="1" si="64"/>
        <v>0</v>
      </c>
      <c r="R220" s="872">
        <f t="shared" ca="1" si="64"/>
        <v>0</v>
      </c>
      <c r="S220" s="871">
        <f t="shared" ca="1" si="64"/>
        <v>0</v>
      </c>
      <c r="T220" s="872">
        <f t="shared" ca="1" si="64"/>
        <v>0</v>
      </c>
      <c r="U220" s="872">
        <f t="shared" ca="1" si="64"/>
        <v>0</v>
      </c>
      <c r="V220" s="872">
        <f t="shared" ca="1" si="64"/>
        <v>0</v>
      </c>
      <c r="W220" s="871">
        <f t="shared" ca="1" si="64"/>
        <v>0</v>
      </c>
      <c r="X220" s="872">
        <f t="shared" ca="1" si="64"/>
        <v>0</v>
      </c>
      <c r="Y220" s="872">
        <f t="shared" ca="1" si="64"/>
        <v>0</v>
      </c>
      <c r="Z220" s="872">
        <f t="shared" ca="1" si="64"/>
        <v>0</v>
      </c>
      <c r="AA220" s="871">
        <f t="shared" ca="1" si="64"/>
        <v>0</v>
      </c>
      <c r="AB220" s="872">
        <f t="shared" ca="1" si="64"/>
        <v>0</v>
      </c>
      <c r="AC220" s="872">
        <f t="shared" ca="1" si="64"/>
        <v>0</v>
      </c>
      <c r="AD220" s="872">
        <f t="shared" ca="1" si="64"/>
        <v>0</v>
      </c>
      <c r="AE220" s="871">
        <f t="shared" ca="1" si="64"/>
        <v>0</v>
      </c>
      <c r="AF220" s="872">
        <f t="shared" ca="1" si="64"/>
        <v>0</v>
      </c>
      <c r="AG220" s="872">
        <f t="shared" ca="1" si="64"/>
        <v>0</v>
      </c>
      <c r="AH220" s="872">
        <f t="shared" ca="1" si="64"/>
        <v>0</v>
      </c>
      <c r="AI220" s="871">
        <f t="shared" ca="1" si="64"/>
        <v>0</v>
      </c>
      <c r="AJ220" s="872">
        <f t="shared" ca="1" si="64"/>
        <v>0</v>
      </c>
      <c r="AK220" s="872">
        <f t="shared" ca="1" si="64"/>
        <v>0</v>
      </c>
      <c r="AL220" s="872">
        <f t="shared" ca="1" si="64"/>
        <v>0</v>
      </c>
      <c r="AM220" s="871">
        <f t="shared" ca="1" si="64"/>
        <v>0</v>
      </c>
      <c r="AN220" s="872">
        <f t="shared" ca="1" si="64"/>
        <v>0</v>
      </c>
      <c r="AO220" s="872">
        <f t="shared" ca="1" si="64"/>
        <v>0</v>
      </c>
      <c r="AP220" s="872">
        <f t="shared" ca="1" si="64"/>
        <v>0</v>
      </c>
      <c r="AQ220" s="871">
        <f t="shared" ca="1" si="64"/>
        <v>0</v>
      </c>
      <c r="AR220" s="872">
        <f t="shared" ca="1" si="64"/>
        <v>0</v>
      </c>
      <c r="AS220" s="872">
        <f t="shared" ca="1" si="64"/>
        <v>0</v>
      </c>
      <c r="AT220" s="872">
        <f t="shared" ca="1" si="64"/>
        <v>0</v>
      </c>
      <c r="AU220" s="823">
        <f t="shared" ca="1" si="54"/>
        <v>0</v>
      </c>
    </row>
    <row r="221" spans="1:47" s="77" customFormat="1" ht="18" customHeight="1" outlineLevel="1">
      <c r="A221" s="865" t="s">
        <v>22</v>
      </c>
      <c r="B221" s="866">
        <f ca="1">SUM(B222:B233)</f>
        <v>0</v>
      </c>
      <c r="C221" s="867">
        <f ca="1">SUM(C222:C233)</f>
        <v>0</v>
      </c>
      <c r="D221" s="868">
        <f t="shared" ref="D221:AT221" ca="1" si="65">SUM(D222:D233)</f>
        <v>0</v>
      </c>
      <c r="E221" s="868">
        <f t="shared" ca="1" si="65"/>
        <v>0</v>
      </c>
      <c r="F221" s="868">
        <f t="shared" ca="1" si="65"/>
        <v>0</v>
      </c>
      <c r="G221" s="867">
        <f t="shared" ca="1" si="65"/>
        <v>0</v>
      </c>
      <c r="H221" s="868">
        <f t="shared" ca="1" si="65"/>
        <v>0</v>
      </c>
      <c r="I221" s="868">
        <f t="shared" ca="1" si="65"/>
        <v>0</v>
      </c>
      <c r="J221" s="868">
        <f t="shared" ca="1" si="65"/>
        <v>0</v>
      </c>
      <c r="K221" s="867">
        <f t="shared" ca="1" si="65"/>
        <v>0</v>
      </c>
      <c r="L221" s="868">
        <f t="shared" ca="1" si="65"/>
        <v>0</v>
      </c>
      <c r="M221" s="868">
        <f t="shared" ca="1" si="65"/>
        <v>0</v>
      </c>
      <c r="N221" s="868">
        <f t="shared" ca="1" si="65"/>
        <v>0</v>
      </c>
      <c r="O221" s="867">
        <f t="shared" ca="1" si="65"/>
        <v>0</v>
      </c>
      <c r="P221" s="868">
        <f t="shared" ca="1" si="65"/>
        <v>0</v>
      </c>
      <c r="Q221" s="868">
        <f t="shared" ca="1" si="65"/>
        <v>0</v>
      </c>
      <c r="R221" s="868">
        <f t="shared" ca="1" si="65"/>
        <v>0</v>
      </c>
      <c r="S221" s="867">
        <f t="shared" ca="1" si="65"/>
        <v>0</v>
      </c>
      <c r="T221" s="868">
        <f t="shared" ca="1" si="65"/>
        <v>0</v>
      </c>
      <c r="U221" s="868">
        <f t="shared" ca="1" si="65"/>
        <v>0</v>
      </c>
      <c r="V221" s="868">
        <f t="shared" ca="1" si="65"/>
        <v>0</v>
      </c>
      <c r="W221" s="867">
        <f t="shared" ca="1" si="65"/>
        <v>0</v>
      </c>
      <c r="X221" s="868">
        <f t="shared" ca="1" si="65"/>
        <v>0</v>
      </c>
      <c r="Y221" s="868">
        <f t="shared" ca="1" si="65"/>
        <v>0</v>
      </c>
      <c r="Z221" s="868">
        <f t="shared" ca="1" si="65"/>
        <v>0</v>
      </c>
      <c r="AA221" s="867">
        <f t="shared" ca="1" si="65"/>
        <v>0</v>
      </c>
      <c r="AB221" s="868">
        <f t="shared" ca="1" si="65"/>
        <v>0</v>
      </c>
      <c r="AC221" s="868">
        <f t="shared" ca="1" si="65"/>
        <v>0</v>
      </c>
      <c r="AD221" s="868">
        <f t="shared" ca="1" si="65"/>
        <v>0</v>
      </c>
      <c r="AE221" s="867">
        <f t="shared" ca="1" si="65"/>
        <v>0</v>
      </c>
      <c r="AF221" s="868">
        <f t="shared" ca="1" si="65"/>
        <v>0</v>
      </c>
      <c r="AG221" s="868">
        <f t="shared" ca="1" si="65"/>
        <v>0</v>
      </c>
      <c r="AH221" s="868">
        <f t="shared" ca="1" si="65"/>
        <v>0</v>
      </c>
      <c r="AI221" s="867">
        <f t="shared" ca="1" si="65"/>
        <v>0</v>
      </c>
      <c r="AJ221" s="868">
        <f t="shared" ca="1" si="65"/>
        <v>0</v>
      </c>
      <c r="AK221" s="868">
        <f t="shared" ca="1" si="65"/>
        <v>0</v>
      </c>
      <c r="AL221" s="868">
        <f t="shared" ca="1" si="65"/>
        <v>0</v>
      </c>
      <c r="AM221" s="867">
        <f t="shared" ca="1" si="65"/>
        <v>0</v>
      </c>
      <c r="AN221" s="868">
        <f t="shared" ca="1" si="65"/>
        <v>0</v>
      </c>
      <c r="AO221" s="868">
        <f t="shared" ca="1" si="65"/>
        <v>0</v>
      </c>
      <c r="AP221" s="868">
        <f t="shared" ca="1" si="65"/>
        <v>0</v>
      </c>
      <c r="AQ221" s="867">
        <f t="shared" ca="1" si="65"/>
        <v>0</v>
      </c>
      <c r="AR221" s="868">
        <f t="shared" ca="1" si="65"/>
        <v>0</v>
      </c>
      <c r="AS221" s="868">
        <f t="shared" ca="1" si="65"/>
        <v>0</v>
      </c>
      <c r="AT221" s="868">
        <f t="shared" ca="1" si="65"/>
        <v>0</v>
      </c>
    </row>
    <row r="222" spans="1:47" s="77" customFormat="1" ht="18" customHeight="1" outlineLevel="2">
      <c r="A222" s="869" t="str">
        <f>'8.项目规划指标表'!B$5</f>
        <v>高层</v>
      </c>
      <c r="B222" s="870">
        <f ca="1">'15.土地增值税'!D$75</f>
        <v>0</v>
      </c>
      <c r="C222" s="871">
        <f ca="1">IFERROR($B222/$B47*C47,0)</f>
        <v>0</v>
      </c>
      <c r="D222" s="872">
        <f t="shared" ref="D222:AT222" ca="1" si="66">IFERROR($B222/$B47*D47,0)</f>
        <v>0</v>
      </c>
      <c r="E222" s="872">
        <f t="shared" ca="1" si="66"/>
        <v>0</v>
      </c>
      <c r="F222" s="872">
        <f t="shared" ca="1" si="66"/>
        <v>0</v>
      </c>
      <c r="G222" s="871">
        <f t="shared" ca="1" si="66"/>
        <v>0</v>
      </c>
      <c r="H222" s="872">
        <f t="shared" ca="1" si="66"/>
        <v>0</v>
      </c>
      <c r="I222" s="872">
        <f t="shared" ca="1" si="66"/>
        <v>0</v>
      </c>
      <c r="J222" s="872">
        <f t="shared" ca="1" si="66"/>
        <v>0</v>
      </c>
      <c r="K222" s="871">
        <f t="shared" ca="1" si="66"/>
        <v>0</v>
      </c>
      <c r="L222" s="872">
        <f t="shared" ca="1" si="66"/>
        <v>0</v>
      </c>
      <c r="M222" s="872">
        <f t="shared" ca="1" si="66"/>
        <v>0</v>
      </c>
      <c r="N222" s="872">
        <f t="shared" ca="1" si="66"/>
        <v>0</v>
      </c>
      <c r="O222" s="871">
        <f t="shared" ca="1" si="66"/>
        <v>0</v>
      </c>
      <c r="P222" s="872">
        <f t="shared" ca="1" si="66"/>
        <v>0</v>
      </c>
      <c r="Q222" s="872">
        <f t="shared" ca="1" si="66"/>
        <v>0</v>
      </c>
      <c r="R222" s="872">
        <f t="shared" ca="1" si="66"/>
        <v>0</v>
      </c>
      <c r="S222" s="871">
        <f t="shared" ca="1" si="66"/>
        <v>0</v>
      </c>
      <c r="T222" s="872">
        <f t="shared" ca="1" si="66"/>
        <v>0</v>
      </c>
      <c r="U222" s="872">
        <f t="shared" ca="1" si="66"/>
        <v>0</v>
      </c>
      <c r="V222" s="872">
        <f t="shared" ca="1" si="66"/>
        <v>0</v>
      </c>
      <c r="W222" s="871">
        <f t="shared" ca="1" si="66"/>
        <v>0</v>
      </c>
      <c r="X222" s="872">
        <f t="shared" ca="1" si="66"/>
        <v>0</v>
      </c>
      <c r="Y222" s="872">
        <f t="shared" ca="1" si="66"/>
        <v>0</v>
      </c>
      <c r="Z222" s="872">
        <f t="shared" ca="1" si="66"/>
        <v>0</v>
      </c>
      <c r="AA222" s="871">
        <f t="shared" ca="1" si="66"/>
        <v>0</v>
      </c>
      <c r="AB222" s="872">
        <f t="shared" ca="1" si="66"/>
        <v>0</v>
      </c>
      <c r="AC222" s="872">
        <f t="shared" ca="1" si="66"/>
        <v>0</v>
      </c>
      <c r="AD222" s="872">
        <f t="shared" ca="1" si="66"/>
        <v>0</v>
      </c>
      <c r="AE222" s="871">
        <f t="shared" ca="1" si="66"/>
        <v>0</v>
      </c>
      <c r="AF222" s="872">
        <f t="shared" ca="1" si="66"/>
        <v>0</v>
      </c>
      <c r="AG222" s="872">
        <f t="shared" ca="1" si="66"/>
        <v>0</v>
      </c>
      <c r="AH222" s="872">
        <f t="shared" ca="1" si="66"/>
        <v>0</v>
      </c>
      <c r="AI222" s="871">
        <f t="shared" ca="1" si="66"/>
        <v>0</v>
      </c>
      <c r="AJ222" s="872">
        <f t="shared" ca="1" si="66"/>
        <v>0</v>
      </c>
      <c r="AK222" s="872">
        <f t="shared" ca="1" si="66"/>
        <v>0</v>
      </c>
      <c r="AL222" s="872">
        <f t="shared" ca="1" si="66"/>
        <v>0</v>
      </c>
      <c r="AM222" s="871">
        <f t="shared" ca="1" si="66"/>
        <v>0</v>
      </c>
      <c r="AN222" s="872">
        <f t="shared" ca="1" si="66"/>
        <v>0</v>
      </c>
      <c r="AO222" s="872">
        <f t="shared" ca="1" si="66"/>
        <v>0</v>
      </c>
      <c r="AP222" s="872">
        <f t="shared" ca="1" si="66"/>
        <v>0</v>
      </c>
      <c r="AQ222" s="871">
        <f t="shared" ca="1" si="66"/>
        <v>0</v>
      </c>
      <c r="AR222" s="872">
        <f t="shared" ca="1" si="66"/>
        <v>0</v>
      </c>
      <c r="AS222" s="872">
        <f t="shared" ca="1" si="66"/>
        <v>0</v>
      </c>
      <c r="AT222" s="872">
        <f t="shared" ca="1" si="66"/>
        <v>0</v>
      </c>
      <c r="AU222" s="823">
        <f ca="1">SUM(C222:AT222)-B222</f>
        <v>0</v>
      </c>
    </row>
    <row r="223" spans="1:47" s="77" customFormat="1" ht="18" customHeight="1" outlineLevel="2">
      <c r="A223" s="869" t="str">
        <f>'8.项目规划指标表'!B$6</f>
        <v>商铺</v>
      </c>
      <c r="B223" s="870">
        <f ca="1">'15.土地增值税'!E$75</f>
        <v>0</v>
      </c>
      <c r="C223" s="871">
        <f t="shared" ref="C223:AT223" ca="1" si="67">IFERROR($B223/$B48*C48,0)</f>
        <v>0</v>
      </c>
      <c r="D223" s="872">
        <f t="shared" ca="1" si="67"/>
        <v>0</v>
      </c>
      <c r="E223" s="872">
        <f t="shared" ca="1" si="67"/>
        <v>0</v>
      </c>
      <c r="F223" s="872">
        <f t="shared" ca="1" si="67"/>
        <v>0</v>
      </c>
      <c r="G223" s="871">
        <f t="shared" ca="1" si="67"/>
        <v>0</v>
      </c>
      <c r="H223" s="872">
        <f t="shared" ca="1" si="67"/>
        <v>0</v>
      </c>
      <c r="I223" s="872">
        <f t="shared" ca="1" si="67"/>
        <v>0</v>
      </c>
      <c r="J223" s="872">
        <f t="shared" ca="1" si="67"/>
        <v>0</v>
      </c>
      <c r="K223" s="871">
        <f t="shared" ca="1" si="67"/>
        <v>0</v>
      </c>
      <c r="L223" s="872">
        <f t="shared" ca="1" si="67"/>
        <v>0</v>
      </c>
      <c r="M223" s="872">
        <f t="shared" ca="1" si="67"/>
        <v>0</v>
      </c>
      <c r="N223" s="872">
        <f t="shared" ca="1" si="67"/>
        <v>0</v>
      </c>
      <c r="O223" s="871">
        <f t="shared" ca="1" si="67"/>
        <v>0</v>
      </c>
      <c r="P223" s="872">
        <f t="shared" ca="1" si="67"/>
        <v>0</v>
      </c>
      <c r="Q223" s="872">
        <f t="shared" ca="1" si="67"/>
        <v>0</v>
      </c>
      <c r="R223" s="872">
        <f t="shared" ca="1" si="67"/>
        <v>0</v>
      </c>
      <c r="S223" s="871">
        <f t="shared" ca="1" si="67"/>
        <v>0</v>
      </c>
      <c r="T223" s="872">
        <f t="shared" ca="1" si="67"/>
        <v>0</v>
      </c>
      <c r="U223" s="872">
        <f t="shared" ca="1" si="67"/>
        <v>0</v>
      </c>
      <c r="V223" s="872">
        <f t="shared" ca="1" si="67"/>
        <v>0</v>
      </c>
      <c r="W223" s="871">
        <f t="shared" ca="1" si="67"/>
        <v>0</v>
      </c>
      <c r="X223" s="872">
        <f t="shared" ca="1" si="67"/>
        <v>0</v>
      </c>
      <c r="Y223" s="872">
        <f t="shared" ca="1" si="67"/>
        <v>0</v>
      </c>
      <c r="Z223" s="872">
        <f t="shared" ca="1" si="67"/>
        <v>0</v>
      </c>
      <c r="AA223" s="871">
        <f t="shared" ca="1" si="67"/>
        <v>0</v>
      </c>
      <c r="AB223" s="872">
        <f t="shared" ca="1" si="67"/>
        <v>0</v>
      </c>
      <c r="AC223" s="872">
        <f t="shared" ca="1" si="67"/>
        <v>0</v>
      </c>
      <c r="AD223" s="872">
        <f t="shared" ca="1" si="67"/>
        <v>0</v>
      </c>
      <c r="AE223" s="871">
        <f t="shared" ca="1" si="67"/>
        <v>0</v>
      </c>
      <c r="AF223" s="872">
        <f t="shared" ca="1" si="67"/>
        <v>0</v>
      </c>
      <c r="AG223" s="872">
        <f t="shared" ca="1" si="67"/>
        <v>0</v>
      </c>
      <c r="AH223" s="872">
        <f t="shared" ca="1" si="67"/>
        <v>0</v>
      </c>
      <c r="AI223" s="871">
        <f t="shared" ca="1" si="67"/>
        <v>0</v>
      </c>
      <c r="AJ223" s="872">
        <f t="shared" ca="1" si="67"/>
        <v>0</v>
      </c>
      <c r="AK223" s="872">
        <f t="shared" ca="1" si="67"/>
        <v>0</v>
      </c>
      <c r="AL223" s="872">
        <f t="shared" ca="1" si="67"/>
        <v>0</v>
      </c>
      <c r="AM223" s="871">
        <f t="shared" ca="1" si="67"/>
        <v>0</v>
      </c>
      <c r="AN223" s="872">
        <f t="shared" ca="1" si="67"/>
        <v>0</v>
      </c>
      <c r="AO223" s="872">
        <f t="shared" ca="1" si="67"/>
        <v>0</v>
      </c>
      <c r="AP223" s="872">
        <f t="shared" ca="1" si="67"/>
        <v>0</v>
      </c>
      <c r="AQ223" s="871">
        <f t="shared" ca="1" si="67"/>
        <v>0</v>
      </c>
      <c r="AR223" s="872">
        <f t="shared" ca="1" si="67"/>
        <v>0</v>
      </c>
      <c r="AS223" s="872">
        <f t="shared" ca="1" si="67"/>
        <v>0</v>
      </c>
      <c r="AT223" s="872">
        <f t="shared" ca="1" si="67"/>
        <v>0</v>
      </c>
      <c r="AU223" s="823">
        <f t="shared" ref="AU223:AU233" ca="1" si="68">SUM(C223:AT223)-B223</f>
        <v>0</v>
      </c>
    </row>
    <row r="224" spans="1:47" s="77" customFormat="1" ht="18" customHeight="1" outlineLevel="2">
      <c r="A224" s="869" t="str">
        <f>'8.项目规划指标表'!B$7</f>
        <v>回迁商业</v>
      </c>
      <c r="B224" s="870">
        <f ca="1">'15.土地增值税'!F$75</f>
        <v>0</v>
      </c>
      <c r="C224" s="871">
        <f t="shared" ref="C224:AT224" ca="1" si="69">IFERROR($B224/$B49*C49,0)</f>
        <v>0</v>
      </c>
      <c r="D224" s="872">
        <f t="shared" ca="1" si="69"/>
        <v>0</v>
      </c>
      <c r="E224" s="872">
        <f t="shared" ca="1" si="69"/>
        <v>0</v>
      </c>
      <c r="F224" s="872">
        <f t="shared" ca="1" si="69"/>
        <v>0</v>
      </c>
      <c r="G224" s="871">
        <f t="shared" ca="1" si="69"/>
        <v>0</v>
      </c>
      <c r="H224" s="872">
        <f t="shared" ca="1" si="69"/>
        <v>0</v>
      </c>
      <c r="I224" s="872">
        <f t="shared" ca="1" si="69"/>
        <v>0</v>
      </c>
      <c r="J224" s="872">
        <f t="shared" ca="1" si="69"/>
        <v>0</v>
      </c>
      <c r="K224" s="871">
        <f t="shared" ca="1" si="69"/>
        <v>0</v>
      </c>
      <c r="L224" s="872">
        <f t="shared" ca="1" si="69"/>
        <v>0</v>
      </c>
      <c r="M224" s="872">
        <f t="shared" ca="1" si="69"/>
        <v>0</v>
      </c>
      <c r="N224" s="872">
        <f t="shared" ca="1" si="69"/>
        <v>0</v>
      </c>
      <c r="O224" s="871">
        <f t="shared" ca="1" si="69"/>
        <v>0</v>
      </c>
      <c r="P224" s="872">
        <f t="shared" ca="1" si="69"/>
        <v>0</v>
      </c>
      <c r="Q224" s="872">
        <f t="shared" ca="1" si="69"/>
        <v>0</v>
      </c>
      <c r="R224" s="872">
        <f t="shared" ca="1" si="69"/>
        <v>0</v>
      </c>
      <c r="S224" s="871">
        <f t="shared" ca="1" si="69"/>
        <v>0</v>
      </c>
      <c r="T224" s="872">
        <f t="shared" ca="1" si="69"/>
        <v>0</v>
      </c>
      <c r="U224" s="872">
        <f t="shared" ca="1" si="69"/>
        <v>0</v>
      </c>
      <c r="V224" s="872">
        <f t="shared" ca="1" si="69"/>
        <v>0</v>
      </c>
      <c r="W224" s="871">
        <f t="shared" ca="1" si="69"/>
        <v>0</v>
      </c>
      <c r="X224" s="872">
        <f t="shared" ca="1" si="69"/>
        <v>0</v>
      </c>
      <c r="Y224" s="872">
        <f t="shared" ca="1" si="69"/>
        <v>0</v>
      </c>
      <c r="Z224" s="872">
        <f t="shared" ca="1" si="69"/>
        <v>0</v>
      </c>
      <c r="AA224" s="871">
        <f t="shared" ca="1" si="69"/>
        <v>0</v>
      </c>
      <c r="AB224" s="872">
        <f t="shared" ca="1" si="69"/>
        <v>0</v>
      </c>
      <c r="AC224" s="872">
        <f t="shared" ca="1" si="69"/>
        <v>0</v>
      </c>
      <c r="AD224" s="872">
        <f t="shared" ca="1" si="69"/>
        <v>0</v>
      </c>
      <c r="AE224" s="871">
        <f t="shared" ca="1" si="69"/>
        <v>0</v>
      </c>
      <c r="AF224" s="872">
        <f t="shared" ca="1" si="69"/>
        <v>0</v>
      </c>
      <c r="AG224" s="872">
        <f t="shared" ca="1" si="69"/>
        <v>0</v>
      </c>
      <c r="AH224" s="872">
        <f t="shared" ca="1" si="69"/>
        <v>0</v>
      </c>
      <c r="AI224" s="871">
        <f t="shared" ca="1" si="69"/>
        <v>0</v>
      </c>
      <c r="AJ224" s="872">
        <f t="shared" ca="1" si="69"/>
        <v>0</v>
      </c>
      <c r="AK224" s="872">
        <f t="shared" ca="1" si="69"/>
        <v>0</v>
      </c>
      <c r="AL224" s="872">
        <f t="shared" ca="1" si="69"/>
        <v>0</v>
      </c>
      <c r="AM224" s="871">
        <f t="shared" ca="1" si="69"/>
        <v>0</v>
      </c>
      <c r="AN224" s="872">
        <f t="shared" ca="1" si="69"/>
        <v>0</v>
      </c>
      <c r="AO224" s="872">
        <f t="shared" ca="1" si="69"/>
        <v>0</v>
      </c>
      <c r="AP224" s="872">
        <f t="shared" ca="1" si="69"/>
        <v>0</v>
      </c>
      <c r="AQ224" s="871">
        <f t="shared" ca="1" si="69"/>
        <v>0</v>
      </c>
      <c r="AR224" s="872">
        <f t="shared" ca="1" si="69"/>
        <v>0</v>
      </c>
      <c r="AS224" s="872">
        <f t="shared" ca="1" si="69"/>
        <v>0</v>
      </c>
      <c r="AT224" s="872">
        <f t="shared" ca="1" si="69"/>
        <v>0</v>
      </c>
      <c r="AU224" s="823">
        <f t="shared" ca="1" si="68"/>
        <v>0</v>
      </c>
    </row>
    <row r="225" spans="1:47" s="77" customFormat="1" ht="18" customHeight="1" outlineLevel="2">
      <c r="A225" s="869">
        <f>'8.项目规划指标表'!B$8</f>
        <v>0</v>
      </c>
      <c r="B225" s="870">
        <f ca="1">'15.土地增值税'!G$75</f>
        <v>0</v>
      </c>
      <c r="C225" s="871">
        <f t="shared" ref="C225:AT225" ca="1" si="70">IFERROR($B225/$B50*C50,0)</f>
        <v>0</v>
      </c>
      <c r="D225" s="872">
        <f t="shared" ca="1" si="70"/>
        <v>0</v>
      </c>
      <c r="E225" s="872">
        <f t="shared" ca="1" si="70"/>
        <v>0</v>
      </c>
      <c r="F225" s="872">
        <f t="shared" ca="1" si="70"/>
        <v>0</v>
      </c>
      <c r="G225" s="871">
        <f t="shared" ca="1" si="70"/>
        <v>0</v>
      </c>
      <c r="H225" s="872">
        <f t="shared" ca="1" si="70"/>
        <v>0</v>
      </c>
      <c r="I225" s="872">
        <f t="shared" ca="1" si="70"/>
        <v>0</v>
      </c>
      <c r="J225" s="872">
        <f t="shared" ca="1" si="70"/>
        <v>0</v>
      </c>
      <c r="K225" s="871">
        <f t="shared" ca="1" si="70"/>
        <v>0</v>
      </c>
      <c r="L225" s="872">
        <f t="shared" ca="1" si="70"/>
        <v>0</v>
      </c>
      <c r="M225" s="872">
        <f t="shared" ca="1" si="70"/>
        <v>0</v>
      </c>
      <c r="N225" s="872">
        <f t="shared" ca="1" si="70"/>
        <v>0</v>
      </c>
      <c r="O225" s="871">
        <f t="shared" ca="1" si="70"/>
        <v>0</v>
      </c>
      <c r="P225" s="872">
        <f t="shared" ca="1" si="70"/>
        <v>0</v>
      </c>
      <c r="Q225" s="872">
        <f t="shared" ca="1" si="70"/>
        <v>0</v>
      </c>
      <c r="R225" s="872">
        <f t="shared" ca="1" si="70"/>
        <v>0</v>
      </c>
      <c r="S225" s="871">
        <f t="shared" ca="1" si="70"/>
        <v>0</v>
      </c>
      <c r="T225" s="872">
        <f t="shared" ca="1" si="70"/>
        <v>0</v>
      </c>
      <c r="U225" s="872">
        <f t="shared" ca="1" si="70"/>
        <v>0</v>
      </c>
      <c r="V225" s="872">
        <f t="shared" ca="1" si="70"/>
        <v>0</v>
      </c>
      <c r="W225" s="871">
        <f t="shared" ca="1" si="70"/>
        <v>0</v>
      </c>
      <c r="X225" s="872">
        <f t="shared" ca="1" si="70"/>
        <v>0</v>
      </c>
      <c r="Y225" s="872">
        <f t="shared" ca="1" si="70"/>
        <v>0</v>
      </c>
      <c r="Z225" s="872">
        <f t="shared" ca="1" si="70"/>
        <v>0</v>
      </c>
      <c r="AA225" s="871">
        <f t="shared" ca="1" si="70"/>
        <v>0</v>
      </c>
      <c r="AB225" s="872">
        <f t="shared" ca="1" si="70"/>
        <v>0</v>
      </c>
      <c r="AC225" s="872">
        <f t="shared" ca="1" si="70"/>
        <v>0</v>
      </c>
      <c r="AD225" s="872">
        <f t="shared" ca="1" si="70"/>
        <v>0</v>
      </c>
      <c r="AE225" s="871">
        <f t="shared" ca="1" si="70"/>
        <v>0</v>
      </c>
      <c r="AF225" s="872">
        <f t="shared" ca="1" si="70"/>
        <v>0</v>
      </c>
      <c r="AG225" s="872">
        <f t="shared" ca="1" si="70"/>
        <v>0</v>
      </c>
      <c r="AH225" s="872">
        <f t="shared" ca="1" si="70"/>
        <v>0</v>
      </c>
      <c r="AI225" s="871">
        <f t="shared" ca="1" si="70"/>
        <v>0</v>
      </c>
      <c r="AJ225" s="872">
        <f t="shared" ca="1" si="70"/>
        <v>0</v>
      </c>
      <c r="AK225" s="872">
        <f t="shared" ca="1" si="70"/>
        <v>0</v>
      </c>
      <c r="AL225" s="872">
        <f t="shared" ca="1" si="70"/>
        <v>0</v>
      </c>
      <c r="AM225" s="871">
        <f t="shared" ca="1" si="70"/>
        <v>0</v>
      </c>
      <c r="AN225" s="872">
        <f t="shared" ca="1" si="70"/>
        <v>0</v>
      </c>
      <c r="AO225" s="872">
        <f t="shared" ca="1" si="70"/>
        <v>0</v>
      </c>
      <c r="AP225" s="872">
        <f t="shared" ca="1" si="70"/>
        <v>0</v>
      </c>
      <c r="AQ225" s="871">
        <f t="shared" ca="1" si="70"/>
        <v>0</v>
      </c>
      <c r="AR225" s="872">
        <f t="shared" ca="1" si="70"/>
        <v>0</v>
      </c>
      <c r="AS225" s="872">
        <f t="shared" ca="1" si="70"/>
        <v>0</v>
      </c>
      <c r="AT225" s="872">
        <f t="shared" ca="1" si="70"/>
        <v>0</v>
      </c>
      <c r="AU225" s="823">
        <f t="shared" ca="1" si="68"/>
        <v>0</v>
      </c>
    </row>
    <row r="226" spans="1:47" s="77" customFormat="1" ht="18" customHeight="1" outlineLevel="2">
      <c r="A226" s="869">
        <f>'8.项目规划指标表'!B$9</f>
        <v>0</v>
      </c>
      <c r="B226" s="870">
        <f ca="1">'15.土地增值税'!H$75</f>
        <v>0</v>
      </c>
      <c r="C226" s="871">
        <f t="shared" ref="C226:AT226" ca="1" si="71">IFERROR($B226/$B51*C51,0)</f>
        <v>0</v>
      </c>
      <c r="D226" s="872">
        <f t="shared" ca="1" si="71"/>
        <v>0</v>
      </c>
      <c r="E226" s="872">
        <f t="shared" ca="1" si="71"/>
        <v>0</v>
      </c>
      <c r="F226" s="872">
        <f t="shared" ca="1" si="71"/>
        <v>0</v>
      </c>
      <c r="G226" s="871">
        <f t="shared" ca="1" si="71"/>
        <v>0</v>
      </c>
      <c r="H226" s="872">
        <f t="shared" ca="1" si="71"/>
        <v>0</v>
      </c>
      <c r="I226" s="872">
        <f t="shared" ca="1" si="71"/>
        <v>0</v>
      </c>
      <c r="J226" s="872">
        <f t="shared" ca="1" si="71"/>
        <v>0</v>
      </c>
      <c r="K226" s="871">
        <f t="shared" ca="1" si="71"/>
        <v>0</v>
      </c>
      <c r="L226" s="872">
        <f t="shared" ca="1" si="71"/>
        <v>0</v>
      </c>
      <c r="M226" s="872">
        <f t="shared" ca="1" si="71"/>
        <v>0</v>
      </c>
      <c r="N226" s="872">
        <f t="shared" ca="1" si="71"/>
        <v>0</v>
      </c>
      <c r="O226" s="871">
        <f t="shared" ca="1" si="71"/>
        <v>0</v>
      </c>
      <c r="P226" s="872">
        <f t="shared" ca="1" si="71"/>
        <v>0</v>
      </c>
      <c r="Q226" s="872">
        <f t="shared" ca="1" si="71"/>
        <v>0</v>
      </c>
      <c r="R226" s="872">
        <f t="shared" ca="1" si="71"/>
        <v>0</v>
      </c>
      <c r="S226" s="871">
        <f t="shared" ca="1" si="71"/>
        <v>0</v>
      </c>
      <c r="T226" s="872">
        <f t="shared" ca="1" si="71"/>
        <v>0</v>
      </c>
      <c r="U226" s="872">
        <f t="shared" ca="1" si="71"/>
        <v>0</v>
      </c>
      <c r="V226" s="872">
        <f t="shared" ca="1" si="71"/>
        <v>0</v>
      </c>
      <c r="W226" s="871">
        <f t="shared" ca="1" si="71"/>
        <v>0</v>
      </c>
      <c r="X226" s="872">
        <f t="shared" ca="1" si="71"/>
        <v>0</v>
      </c>
      <c r="Y226" s="872">
        <f t="shared" ca="1" si="71"/>
        <v>0</v>
      </c>
      <c r="Z226" s="872">
        <f t="shared" ca="1" si="71"/>
        <v>0</v>
      </c>
      <c r="AA226" s="871">
        <f t="shared" ca="1" si="71"/>
        <v>0</v>
      </c>
      <c r="AB226" s="872">
        <f t="shared" ca="1" si="71"/>
        <v>0</v>
      </c>
      <c r="AC226" s="872">
        <f t="shared" ca="1" si="71"/>
        <v>0</v>
      </c>
      <c r="AD226" s="872">
        <f t="shared" ca="1" si="71"/>
        <v>0</v>
      </c>
      <c r="AE226" s="871">
        <f t="shared" ca="1" si="71"/>
        <v>0</v>
      </c>
      <c r="AF226" s="872">
        <f t="shared" ca="1" si="71"/>
        <v>0</v>
      </c>
      <c r="AG226" s="872">
        <f t="shared" ca="1" si="71"/>
        <v>0</v>
      </c>
      <c r="AH226" s="872">
        <f t="shared" ca="1" si="71"/>
        <v>0</v>
      </c>
      <c r="AI226" s="871">
        <f t="shared" ca="1" si="71"/>
        <v>0</v>
      </c>
      <c r="AJ226" s="872">
        <f t="shared" ca="1" si="71"/>
        <v>0</v>
      </c>
      <c r="AK226" s="872">
        <f t="shared" ca="1" si="71"/>
        <v>0</v>
      </c>
      <c r="AL226" s="872">
        <f t="shared" ca="1" si="71"/>
        <v>0</v>
      </c>
      <c r="AM226" s="871">
        <f t="shared" ca="1" si="71"/>
        <v>0</v>
      </c>
      <c r="AN226" s="872">
        <f t="shared" ca="1" si="71"/>
        <v>0</v>
      </c>
      <c r="AO226" s="872">
        <f t="shared" ca="1" si="71"/>
        <v>0</v>
      </c>
      <c r="AP226" s="872">
        <f t="shared" ca="1" si="71"/>
        <v>0</v>
      </c>
      <c r="AQ226" s="871">
        <f t="shared" ca="1" si="71"/>
        <v>0</v>
      </c>
      <c r="AR226" s="872">
        <f t="shared" ca="1" si="71"/>
        <v>0</v>
      </c>
      <c r="AS226" s="872">
        <f t="shared" ca="1" si="71"/>
        <v>0</v>
      </c>
      <c r="AT226" s="872">
        <f t="shared" ca="1" si="71"/>
        <v>0</v>
      </c>
      <c r="AU226" s="823">
        <f t="shared" ca="1" si="68"/>
        <v>0</v>
      </c>
    </row>
    <row r="227" spans="1:47" s="77" customFormat="1" ht="18" customHeight="1" outlineLevel="2">
      <c r="A227" s="869">
        <f>'8.项目规划指标表'!B$10</f>
        <v>0</v>
      </c>
      <c r="B227" s="870">
        <f ca="1">'15.土地增值税'!I$75</f>
        <v>0</v>
      </c>
      <c r="C227" s="871">
        <f t="shared" ref="C227:AT227" ca="1" si="72">IFERROR($B227/$B52*C52,0)</f>
        <v>0</v>
      </c>
      <c r="D227" s="872">
        <f t="shared" ca="1" si="72"/>
        <v>0</v>
      </c>
      <c r="E227" s="872">
        <f t="shared" ca="1" si="72"/>
        <v>0</v>
      </c>
      <c r="F227" s="872">
        <f t="shared" ca="1" si="72"/>
        <v>0</v>
      </c>
      <c r="G227" s="871">
        <f t="shared" ca="1" si="72"/>
        <v>0</v>
      </c>
      <c r="H227" s="872">
        <f t="shared" ca="1" si="72"/>
        <v>0</v>
      </c>
      <c r="I227" s="872">
        <f t="shared" ca="1" si="72"/>
        <v>0</v>
      </c>
      <c r="J227" s="872">
        <f t="shared" ca="1" si="72"/>
        <v>0</v>
      </c>
      <c r="K227" s="871">
        <f t="shared" ca="1" si="72"/>
        <v>0</v>
      </c>
      <c r="L227" s="872">
        <f t="shared" ca="1" si="72"/>
        <v>0</v>
      </c>
      <c r="M227" s="872">
        <f t="shared" ca="1" si="72"/>
        <v>0</v>
      </c>
      <c r="N227" s="872">
        <f t="shared" ca="1" si="72"/>
        <v>0</v>
      </c>
      <c r="O227" s="871">
        <f t="shared" ca="1" si="72"/>
        <v>0</v>
      </c>
      <c r="P227" s="872">
        <f t="shared" ca="1" si="72"/>
        <v>0</v>
      </c>
      <c r="Q227" s="872">
        <f t="shared" ca="1" si="72"/>
        <v>0</v>
      </c>
      <c r="R227" s="872">
        <f t="shared" ca="1" si="72"/>
        <v>0</v>
      </c>
      <c r="S227" s="871">
        <f t="shared" ca="1" si="72"/>
        <v>0</v>
      </c>
      <c r="T227" s="872">
        <f t="shared" ca="1" si="72"/>
        <v>0</v>
      </c>
      <c r="U227" s="872">
        <f t="shared" ca="1" si="72"/>
        <v>0</v>
      </c>
      <c r="V227" s="872">
        <f t="shared" ca="1" si="72"/>
        <v>0</v>
      </c>
      <c r="W227" s="871">
        <f t="shared" ca="1" si="72"/>
        <v>0</v>
      </c>
      <c r="X227" s="872">
        <f t="shared" ca="1" si="72"/>
        <v>0</v>
      </c>
      <c r="Y227" s="872">
        <f t="shared" ca="1" si="72"/>
        <v>0</v>
      </c>
      <c r="Z227" s="872">
        <f t="shared" ca="1" si="72"/>
        <v>0</v>
      </c>
      <c r="AA227" s="871">
        <f t="shared" ca="1" si="72"/>
        <v>0</v>
      </c>
      <c r="AB227" s="872">
        <f t="shared" ca="1" si="72"/>
        <v>0</v>
      </c>
      <c r="AC227" s="872">
        <f t="shared" ca="1" si="72"/>
        <v>0</v>
      </c>
      <c r="AD227" s="872">
        <f t="shared" ca="1" si="72"/>
        <v>0</v>
      </c>
      <c r="AE227" s="871">
        <f t="shared" ca="1" si="72"/>
        <v>0</v>
      </c>
      <c r="AF227" s="872">
        <f t="shared" ca="1" si="72"/>
        <v>0</v>
      </c>
      <c r="AG227" s="872">
        <f t="shared" ca="1" si="72"/>
        <v>0</v>
      </c>
      <c r="AH227" s="872">
        <f t="shared" ca="1" si="72"/>
        <v>0</v>
      </c>
      <c r="AI227" s="871">
        <f t="shared" ca="1" si="72"/>
        <v>0</v>
      </c>
      <c r="AJ227" s="872">
        <f t="shared" ca="1" si="72"/>
        <v>0</v>
      </c>
      <c r="AK227" s="872">
        <f t="shared" ca="1" si="72"/>
        <v>0</v>
      </c>
      <c r="AL227" s="872">
        <f t="shared" ca="1" si="72"/>
        <v>0</v>
      </c>
      <c r="AM227" s="871">
        <f t="shared" ca="1" si="72"/>
        <v>0</v>
      </c>
      <c r="AN227" s="872">
        <f t="shared" ca="1" si="72"/>
        <v>0</v>
      </c>
      <c r="AO227" s="872">
        <f t="shared" ca="1" si="72"/>
        <v>0</v>
      </c>
      <c r="AP227" s="872">
        <f t="shared" ca="1" si="72"/>
        <v>0</v>
      </c>
      <c r="AQ227" s="871">
        <f t="shared" ca="1" si="72"/>
        <v>0</v>
      </c>
      <c r="AR227" s="872">
        <f t="shared" ca="1" si="72"/>
        <v>0</v>
      </c>
      <c r="AS227" s="872">
        <f t="shared" ca="1" si="72"/>
        <v>0</v>
      </c>
      <c r="AT227" s="872">
        <f t="shared" ca="1" si="72"/>
        <v>0</v>
      </c>
      <c r="AU227" s="823">
        <f t="shared" ca="1" si="68"/>
        <v>0</v>
      </c>
    </row>
    <row r="228" spans="1:47" s="77" customFormat="1" ht="18" customHeight="1" outlineLevel="2">
      <c r="A228" s="869">
        <f>'8.项目规划指标表'!B$11</f>
        <v>0</v>
      </c>
      <c r="B228" s="870">
        <f ca="1">'15.土地增值税'!J$75</f>
        <v>0</v>
      </c>
      <c r="C228" s="871">
        <f t="shared" ref="C228:AT228" ca="1" si="73">IFERROR($B228/$B53*C53,0)</f>
        <v>0</v>
      </c>
      <c r="D228" s="872">
        <f t="shared" ca="1" si="73"/>
        <v>0</v>
      </c>
      <c r="E228" s="872">
        <f t="shared" ca="1" si="73"/>
        <v>0</v>
      </c>
      <c r="F228" s="872">
        <f t="shared" ca="1" si="73"/>
        <v>0</v>
      </c>
      <c r="G228" s="871">
        <f t="shared" ca="1" si="73"/>
        <v>0</v>
      </c>
      <c r="H228" s="872">
        <f t="shared" ca="1" si="73"/>
        <v>0</v>
      </c>
      <c r="I228" s="872">
        <f t="shared" ca="1" si="73"/>
        <v>0</v>
      </c>
      <c r="J228" s="872">
        <f t="shared" ca="1" si="73"/>
        <v>0</v>
      </c>
      <c r="K228" s="871">
        <f t="shared" ca="1" si="73"/>
        <v>0</v>
      </c>
      <c r="L228" s="872">
        <f t="shared" ca="1" si="73"/>
        <v>0</v>
      </c>
      <c r="M228" s="872">
        <f t="shared" ca="1" si="73"/>
        <v>0</v>
      </c>
      <c r="N228" s="872">
        <f t="shared" ca="1" si="73"/>
        <v>0</v>
      </c>
      <c r="O228" s="871">
        <f t="shared" ca="1" si="73"/>
        <v>0</v>
      </c>
      <c r="P228" s="872">
        <f t="shared" ca="1" si="73"/>
        <v>0</v>
      </c>
      <c r="Q228" s="872">
        <f t="shared" ca="1" si="73"/>
        <v>0</v>
      </c>
      <c r="R228" s="872">
        <f t="shared" ca="1" si="73"/>
        <v>0</v>
      </c>
      <c r="S228" s="871">
        <f t="shared" ca="1" si="73"/>
        <v>0</v>
      </c>
      <c r="T228" s="872">
        <f t="shared" ca="1" si="73"/>
        <v>0</v>
      </c>
      <c r="U228" s="872">
        <f t="shared" ca="1" si="73"/>
        <v>0</v>
      </c>
      <c r="V228" s="872">
        <f t="shared" ca="1" si="73"/>
        <v>0</v>
      </c>
      <c r="W228" s="871">
        <f t="shared" ca="1" si="73"/>
        <v>0</v>
      </c>
      <c r="X228" s="872">
        <f t="shared" ca="1" si="73"/>
        <v>0</v>
      </c>
      <c r="Y228" s="872">
        <f t="shared" ca="1" si="73"/>
        <v>0</v>
      </c>
      <c r="Z228" s="872">
        <f t="shared" ca="1" si="73"/>
        <v>0</v>
      </c>
      <c r="AA228" s="871">
        <f t="shared" ca="1" si="73"/>
        <v>0</v>
      </c>
      <c r="AB228" s="872">
        <f t="shared" ca="1" si="73"/>
        <v>0</v>
      </c>
      <c r="AC228" s="872">
        <f t="shared" ca="1" si="73"/>
        <v>0</v>
      </c>
      <c r="AD228" s="872">
        <f t="shared" ca="1" si="73"/>
        <v>0</v>
      </c>
      <c r="AE228" s="871">
        <f t="shared" ca="1" si="73"/>
        <v>0</v>
      </c>
      <c r="AF228" s="872">
        <f t="shared" ca="1" si="73"/>
        <v>0</v>
      </c>
      <c r="AG228" s="872">
        <f t="shared" ca="1" si="73"/>
        <v>0</v>
      </c>
      <c r="AH228" s="872">
        <f t="shared" ca="1" si="73"/>
        <v>0</v>
      </c>
      <c r="AI228" s="871">
        <f t="shared" ca="1" si="73"/>
        <v>0</v>
      </c>
      <c r="AJ228" s="872">
        <f t="shared" ca="1" si="73"/>
        <v>0</v>
      </c>
      <c r="AK228" s="872">
        <f t="shared" ca="1" si="73"/>
        <v>0</v>
      </c>
      <c r="AL228" s="872">
        <f t="shared" ca="1" si="73"/>
        <v>0</v>
      </c>
      <c r="AM228" s="871">
        <f t="shared" ca="1" si="73"/>
        <v>0</v>
      </c>
      <c r="AN228" s="872">
        <f t="shared" ca="1" si="73"/>
        <v>0</v>
      </c>
      <c r="AO228" s="872">
        <f t="shared" ca="1" si="73"/>
        <v>0</v>
      </c>
      <c r="AP228" s="872">
        <f t="shared" ca="1" si="73"/>
        <v>0</v>
      </c>
      <c r="AQ228" s="871">
        <f t="shared" ca="1" si="73"/>
        <v>0</v>
      </c>
      <c r="AR228" s="872">
        <f t="shared" ca="1" si="73"/>
        <v>0</v>
      </c>
      <c r="AS228" s="872">
        <f t="shared" ca="1" si="73"/>
        <v>0</v>
      </c>
      <c r="AT228" s="872">
        <f t="shared" ca="1" si="73"/>
        <v>0</v>
      </c>
      <c r="AU228" s="823">
        <f t="shared" ca="1" si="68"/>
        <v>0</v>
      </c>
    </row>
    <row r="229" spans="1:47" s="77" customFormat="1" ht="18" customHeight="1" outlineLevel="2">
      <c r="A229" s="869">
        <f>'8.项目规划指标表'!B$12</f>
        <v>0</v>
      </c>
      <c r="B229" s="870">
        <f ca="1">'15.土地增值税'!K$75</f>
        <v>0</v>
      </c>
      <c r="C229" s="871">
        <f t="shared" ref="C229:AT229" ca="1" si="74">IFERROR($B229/$B54*C54,0)</f>
        <v>0</v>
      </c>
      <c r="D229" s="872">
        <f t="shared" ca="1" si="74"/>
        <v>0</v>
      </c>
      <c r="E229" s="872">
        <f t="shared" ca="1" si="74"/>
        <v>0</v>
      </c>
      <c r="F229" s="872">
        <f t="shared" ca="1" si="74"/>
        <v>0</v>
      </c>
      <c r="G229" s="871">
        <f t="shared" ca="1" si="74"/>
        <v>0</v>
      </c>
      <c r="H229" s="872">
        <f t="shared" ca="1" si="74"/>
        <v>0</v>
      </c>
      <c r="I229" s="872">
        <f t="shared" ca="1" si="74"/>
        <v>0</v>
      </c>
      <c r="J229" s="872">
        <f t="shared" ca="1" si="74"/>
        <v>0</v>
      </c>
      <c r="K229" s="871">
        <f t="shared" ca="1" si="74"/>
        <v>0</v>
      </c>
      <c r="L229" s="872">
        <f t="shared" ca="1" si="74"/>
        <v>0</v>
      </c>
      <c r="M229" s="872">
        <f t="shared" ca="1" si="74"/>
        <v>0</v>
      </c>
      <c r="N229" s="872">
        <f t="shared" ca="1" si="74"/>
        <v>0</v>
      </c>
      <c r="O229" s="871">
        <f t="shared" ca="1" si="74"/>
        <v>0</v>
      </c>
      <c r="P229" s="872">
        <f t="shared" ca="1" si="74"/>
        <v>0</v>
      </c>
      <c r="Q229" s="872">
        <f t="shared" ca="1" si="74"/>
        <v>0</v>
      </c>
      <c r="R229" s="872">
        <f t="shared" ca="1" si="74"/>
        <v>0</v>
      </c>
      <c r="S229" s="871">
        <f t="shared" ca="1" si="74"/>
        <v>0</v>
      </c>
      <c r="T229" s="872">
        <f t="shared" ca="1" si="74"/>
        <v>0</v>
      </c>
      <c r="U229" s="872">
        <f t="shared" ca="1" si="74"/>
        <v>0</v>
      </c>
      <c r="V229" s="872">
        <f t="shared" ca="1" si="74"/>
        <v>0</v>
      </c>
      <c r="W229" s="871">
        <f t="shared" ca="1" si="74"/>
        <v>0</v>
      </c>
      <c r="X229" s="872">
        <f t="shared" ca="1" si="74"/>
        <v>0</v>
      </c>
      <c r="Y229" s="872">
        <f t="shared" ca="1" si="74"/>
        <v>0</v>
      </c>
      <c r="Z229" s="872">
        <f t="shared" ca="1" si="74"/>
        <v>0</v>
      </c>
      <c r="AA229" s="871">
        <f t="shared" ca="1" si="74"/>
        <v>0</v>
      </c>
      <c r="AB229" s="872">
        <f t="shared" ca="1" si="74"/>
        <v>0</v>
      </c>
      <c r="AC229" s="872">
        <f t="shared" ca="1" si="74"/>
        <v>0</v>
      </c>
      <c r="AD229" s="872">
        <f t="shared" ca="1" si="74"/>
        <v>0</v>
      </c>
      <c r="AE229" s="871">
        <f t="shared" ca="1" si="74"/>
        <v>0</v>
      </c>
      <c r="AF229" s="872">
        <f t="shared" ca="1" si="74"/>
        <v>0</v>
      </c>
      <c r="AG229" s="872">
        <f t="shared" ca="1" si="74"/>
        <v>0</v>
      </c>
      <c r="AH229" s="872">
        <f t="shared" ca="1" si="74"/>
        <v>0</v>
      </c>
      <c r="AI229" s="871">
        <f t="shared" ca="1" si="74"/>
        <v>0</v>
      </c>
      <c r="AJ229" s="872">
        <f t="shared" ca="1" si="74"/>
        <v>0</v>
      </c>
      <c r="AK229" s="872">
        <f t="shared" ca="1" si="74"/>
        <v>0</v>
      </c>
      <c r="AL229" s="872">
        <f t="shared" ca="1" si="74"/>
        <v>0</v>
      </c>
      <c r="AM229" s="871">
        <f t="shared" ca="1" si="74"/>
        <v>0</v>
      </c>
      <c r="AN229" s="872">
        <f t="shared" ca="1" si="74"/>
        <v>0</v>
      </c>
      <c r="AO229" s="872">
        <f t="shared" ca="1" si="74"/>
        <v>0</v>
      </c>
      <c r="AP229" s="872">
        <f t="shared" ca="1" si="74"/>
        <v>0</v>
      </c>
      <c r="AQ229" s="871">
        <f t="shared" ca="1" si="74"/>
        <v>0</v>
      </c>
      <c r="AR229" s="872">
        <f t="shared" ca="1" si="74"/>
        <v>0</v>
      </c>
      <c r="AS229" s="872">
        <f t="shared" ca="1" si="74"/>
        <v>0</v>
      </c>
      <c r="AT229" s="872">
        <f t="shared" ca="1" si="74"/>
        <v>0</v>
      </c>
      <c r="AU229" s="823">
        <f t="shared" ca="1" si="68"/>
        <v>0</v>
      </c>
    </row>
    <row r="230" spans="1:47" s="77" customFormat="1" ht="18" customHeight="1" outlineLevel="2">
      <c r="A230" s="869">
        <f>'8.项目规划指标表'!B$13</f>
        <v>0</v>
      </c>
      <c r="B230" s="870">
        <f ca="1">'15.土地增值税'!L$75</f>
        <v>0</v>
      </c>
      <c r="C230" s="871">
        <f t="shared" ref="C230:AT230" ca="1" si="75">IFERROR($B230/$B55*C55,0)</f>
        <v>0</v>
      </c>
      <c r="D230" s="872">
        <f t="shared" ca="1" si="75"/>
        <v>0</v>
      </c>
      <c r="E230" s="872">
        <f t="shared" ca="1" si="75"/>
        <v>0</v>
      </c>
      <c r="F230" s="872">
        <f t="shared" ca="1" si="75"/>
        <v>0</v>
      </c>
      <c r="G230" s="871">
        <f t="shared" ca="1" si="75"/>
        <v>0</v>
      </c>
      <c r="H230" s="872">
        <f t="shared" ca="1" si="75"/>
        <v>0</v>
      </c>
      <c r="I230" s="872">
        <f t="shared" ca="1" si="75"/>
        <v>0</v>
      </c>
      <c r="J230" s="872">
        <f t="shared" ca="1" si="75"/>
        <v>0</v>
      </c>
      <c r="K230" s="871">
        <f t="shared" ca="1" si="75"/>
        <v>0</v>
      </c>
      <c r="L230" s="872">
        <f t="shared" ca="1" si="75"/>
        <v>0</v>
      </c>
      <c r="M230" s="872">
        <f t="shared" ca="1" si="75"/>
        <v>0</v>
      </c>
      <c r="N230" s="872">
        <f t="shared" ca="1" si="75"/>
        <v>0</v>
      </c>
      <c r="O230" s="871">
        <f t="shared" ca="1" si="75"/>
        <v>0</v>
      </c>
      <c r="P230" s="872">
        <f t="shared" ca="1" si="75"/>
        <v>0</v>
      </c>
      <c r="Q230" s="872">
        <f t="shared" ca="1" si="75"/>
        <v>0</v>
      </c>
      <c r="R230" s="872">
        <f t="shared" ca="1" si="75"/>
        <v>0</v>
      </c>
      <c r="S230" s="871">
        <f t="shared" ca="1" si="75"/>
        <v>0</v>
      </c>
      <c r="T230" s="872">
        <f t="shared" ca="1" si="75"/>
        <v>0</v>
      </c>
      <c r="U230" s="872">
        <f t="shared" ca="1" si="75"/>
        <v>0</v>
      </c>
      <c r="V230" s="872">
        <f t="shared" ca="1" si="75"/>
        <v>0</v>
      </c>
      <c r="W230" s="871">
        <f t="shared" ca="1" si="75"/>
        <v>0</v>
      </c>
      <c r="X230" s="872">
        <f t="shared" ca="1" si="75"/>
        <v>0</v>
      </c>
      <c r="Y230" s="872">
        <f t="shared" ca="1" si="75"/>
        <v>0</v>
      </c>
      <c r="Z230" s="872">
        <f t="shared" ca="1" si="75"/>
        <v>0</v>
      </c>
      <c r="AA230" s="871">
        <f t="shared" ca="1" si="75"/>
        <v>0</v>
      </c>
      <c r="AB230" s="872">
        <f t="shared" ca="1" si="75"/>
        <v>0</v>
      </c>
      <c r="AC230" s="872">
        <f t="shared" ca="1" si="75"/>
        <v>0</v>
      </c>
      <c r="AD230" s="872">
        <f t="shared" ca="1" si="75"/>
        <v>0</v>
      </c>
      <c r="AE230" s="871">
        <f t="shared" ca="1" si="75"/>
        <v>0</v>
      </c>
      <c r="AF230" s="872">
        <f t="shared" ca="1" si="75"/>
        <v>0</v>
      </c>
      <c r="AG230" s="872">
        <f t="shared" ca="1" si="75"/>
        <v>0</v>
      </c>
      <c r="AH230" s="872">
        <f t="shared" ca="1" si="75"/>
        <v>0</v>
      </c>
      <c r="AI230" s="871">
        <f t="shared" ca="1" si="75"/>
        <v>0</v>
      </c>
      <c r="AJ230" s="872">
        <f t="shared" ca="1" si="75"/>
        <v>0</v>
      </c>
      <c r="AK230" s="872">
        <f t="shared" ca="1" si="75"/>
        <v>0</v>
      </c>
      <c r="AL230" s="872">
        <f t="shared" ca="1" si="75"/>
        <v>0</v>
      </c>
      <c r="AM230" s="871">
        <f t="shared" ca="1" si="75"/>
        <v>0</v>
      </c>
      <c r="AN230" s="872">
        <f t="shared" ca="1" si="75"/>
        <v>0</v>
      </c>
      <c r="AO230" s="872">
        <f t="shared" ca="1" si="75"/>
        <v>0</v>
      </c>
      <c r="AP230" s="872">
        <f t="shared" ca="1" si="75"/>
        <v>0</v>
      </c>
      <c r="AQ230" s="871">
        <f t="shared" ca="1" si="75"/>
        <v>0</v>
      </c>
      <c r="AR230" s="872">
        <f t="shared" ca="1" si="75"/>
        <v>0</v>
      </c>
      <c r="AS230" s="872">
        <f t="shared" ca="1" si="75"/>
        <v>0</v>
      </c>
      <c r="AT230" s="872">
        <f t="shared" ca="1" si="75"/>
        <v>0</v>
      </c>
      <c r="AU230" s="823">
        <f t="shared" ca="1" si="68"/>
        <v>0</v>
      </c>
    </row>
    <row r="231" spans="1:47" s="77" customFormat="1" ht="18" customHeight="1" outlineLevel="2">
      <c r="A231" s="869" t="str">
        <f>'8.项目规划指标表'!B$14</f>
        <v>自持物业</v>
      </c>
      <c r="B231" s="870">
        <f ca="1">'15.土地增值税'!M$75</f>
        <v>0</v>
      </c>
      <c r="C231" s="871">
        <f t="shared" ref="C231:AT231" ca="1" si="76">IFERROR($B231/$B56*C56,0)</f>
        <v>0</v>
      </c>
      <c r="D231" s="872">
        <f t="shared" ca="1" si="76"/>
        <v>0</v>
      </c>
      <c r="E231" s="872">
        <f t="shared" ca="1" si="76"/>
        <v>0</v>
      </c>
      <c r="F231" s="872">
        <f t="shared" ca="1" si="76"/>
        <v>0</v>
      </c>
      <c r="G231" s="871">
        <f t="shared" ca="1" si="76"/>
        <v>0</v>
      </c>
      <c r="H231" s="872">
        <f t="shared" ca="1" si="76"/>
        <v>0</v>
      </c>
      <c r="I231" s="872">
        <f t="shared" ca="1" si="76"/>
        <v>0</v>
      </c>
      <c r="J231" s="872">
        <f t="shared" ca="1" si="76"/>
        <v>0</v>
      </c>
      <c r="K231" s="871">
        <f t="shared" ca="1" si="76"/>
        <v>0</v>
      </c>
      <c r="L231" s="872">
        <f t="shared" ca="1" si="76"/>
        <v>0</v>
      </c>
      <c r="M231" s="872">
        <f t="shared" ca="1" si="76"/>
        <v>0</v>
      </c>
      <c r="N231" s="872">
        <f t="shared" ca="1" si="76"/>
        <v>0</v>
      </c>
      <c r="O231" s="871">
        <f t="shared" ca="1" si="76"/>
        <v>0</v>
      </c>
      <c r="P231" s="872">
        <f t="shared" ca="1" si="76"/>
        <v>0</v>
      </c>
      <c r="Q231" s="872">
        <f t="shared" ca="1" si="76"/>
        <v>0</v>
      </c>
      <c r="R231" s="872">
        <f t="shared" ca="1" si="76"/>
        <v>0</v>
      </c>
      <c r="S231" s="871">
        <f t="shared" ca="1" si="76"/>
        <v>0</v>
      </c>
      <c r="T231" s="872">
        <f t="shared" ca="1" si="76"/>
        <v>0</v>
      </c>
      <c r="U231" s="872">
        <f t="shared" ca="1" si="76"/>
        <v>0</v>
      </c>
      <c r="V231" s="872">
        <f t="shared" ca="1" si="76"/>
        <v>0</v>
      </c>
      <c r="W231" s="871">
        <f t="shared" ca="1" si="76"/>
        <v>0</v>
      </c>
      <c r="X231" s="872">
        <f t="shared" ca="1" si="76"/>
        <v>0</v>
      </c>
      <c r="Y231" s="872">
        <f t="shared" ca="1" si="76"/>
        <v>0</v>
      </c>
      <c r="Z231" s="872">
        <f t="shared" ca="1" si="76"/>
        <v>0</v>
      </c>
      <c r="AA231" s="871">
        <f t="shared" ca="1" si="76"/>
        <v>0</v>
      </c>
      <c r="AB231" s="872">
        <f t="shared" ca="1" si="76"/>
        <v>0</v>
      </c>
      <c r="AC231" s="872">
        <f t="shared" ca="1" si="76"/>
        <v>0</v>
      </c>
      <c r="AD231" s="872">
        <f t="shared" ca="1" si="76"/>
        <v>0</v>
      </c>
      <c r="AE231" s="871">
        <f t="shared" ca="1" si="76"/>
        <v>0</v>
      </c>
      <c r="AF231" s="872">
        <f t="shared" ca="1" si="76"/>
        <v>0</v>
      </c>
      <c r="AG231" s="872">
        <f t="shared" ca="1" si="76"/>
        <v>0</v>
      </c>
      <c r="AH231" s="872">
        <f t="shared" ca="1" si="76"/>
        <v>0</v>
      </c>
      <c r="AI231" s="871">
        <f t="shared" ca="1" si="76"/>
        <v>0</v>
      </c>
      <c r="AJ231" s="872">
        <f t="shared" ca="1" si="76"/>
        <v>0</v>
      </c>
      <c r="AK231" s="872">
        <f t="shared" ca="1" si="76"/>
        <v>0</v>
      </c>
      <c r="AL231" s="872">
        <f t="shared" ca="1" si="76"/>
        <v>0</v>
      </c>
      <c r="AM231" s="871">
        <f t="shared" ca="1" si="76"/>
        <v>0</v>
      </c>
      <c r="AN231" s="872">
        <f t="shared" ca="1" si="76"/>
        <v>0</v>
      </c>
      <c r="AO231" s="872">
        <f t="shared" ca="1" si="76"/>
        <v>0</v>
      </c>
      <c r="AP231" s="872">
        <f t="shared" ca="1" si="76"/>
        <v>0</v>
      </c>
      <c r="AQ231" s="871">
        <f t="shared" ca="1" si="76"/>
        <v>0</v>
      </c>
      <c r="AR231" s="872">
        <f t="shared" ca="1" si="76"/>
        <v>0</v>
      </c>
      <c r="AS231" s="872">
        <f t="shared" ca="1" si="76"/>
        <v>0</v>
      </c>
      <c r="AT231" s="872">
        <f t="shared" ca="1" si="76"/>
        <v>0</v>
      </c>
      <c r="AU231" s="823">
        <f t="shared" ca="1" si="68"/>
        <v>0</v>
      </c>
    </row>
    <row r="232" spans="1:47" s="77" customFormat="1" ht="18" customHeight="1" outlineLevel="2">
      <c r="A232" s="869" t="str">
        <f>'8.项目规划指标表'!B$18</f>
        <v>有产权车库(个)</v>
      </c>
      <c r="B232" s="870">
        <f ca="1">'15.土地增值税'!N$75</f>
        <v>0</v>
      </c>
      <c r="C232" s="871">
        <f t="shared" ref="C232:AT232" ca="1" si="77">IFERROR($B232/$B57*C57,0)</f>
        <v>0</v>
      </c>
      <c r="D232" s="872">
        <f t="shared" ca="1" si="77"/>
        <v>0</v>
      </c>
      <c r="E232" s="872">
        <f t="shared" ca="1" si="77"/>
        <v>0</v>
      </c>
      <c r="F232" s="872">
        <f t="shared" ca="1" si="77"/>
        <v>0</v>
      </c>
      <c r="G232" s="871">
        <f t="shared" ca="1" si="77"/>
        <v>0</v>
      </c>
      <c r="H232" s="872">
        <f t="shared" ca="1" si="77"/>
        <v>0</v>
      </c>
      <c r="I232" s="872">
        <f t="shared" ca="1" si="77"/>
        <v>0</v>
      </c>
      <c r="J232" s="872">
        <f t="shared" ca="1" si="77"/>
        <v>0</v>
      </c>
      <c r="K232" s="871">
        <f t="shared" ca="1" si="77"/>
        <v>0</v>
      </c>
      <c r="L232" s="872">
        <f t="shared" ca="1" si="77"/>
        <v>0</v>
      </c>
      <c r="M232" s="872">
        <f t="shared" ca="1" si="77"/>
        <v>0</v>
      </c>
      <c r="N232" s="872">
        <f t="shared" ca="1" si="77"/>
        <v>0</v>
      </c>
      <c r="O232" s="871">
        <f t="shared" ca="1" si="77"/>
        <v>0</v>
      </c>
      <c r="P232" s="872">
        <f t="shared" ca="1" si="77"/>
        <v>0</v>
      </c>
      <c r="Q232" s="872">
        <f t="shared" ca="1" si="77"/>
        <v>0</v>
      </c>
      <c r="R232" s="872">
        <f t="shared" ca="1" si="77"/>
        <v>0</v>
      </c>
      <c r="S232" s="871">
        <f t="shared" ca="1" si="77"/>
        <v>0</v>
      </c>
      <c r="T232" s="872">
        <f t="shared" ca="1" si="77"/>
        <v>0</v>
      </c>
      <c r="U232" s="872">
        <f t="shared" ca="1" si="77"/>
        <v>0</v>
      </c>
      <c r="V232" s="872">
        <f t="shared" ca="1" si="77"/>
        <v>0</v>
      </c>
      <c r="W232" s="871">
        <f t="shared" ca="1" si="77"/>
        <v>0</v>
      </c>
      <c r="X232" s="872">
        <f t="shared" ca="1" si="77"/>
        <v>0</v>
      </c>
      <c r="Y232" s="872">
        <f t="shared" ca="1" si="77"/>
        <v>0</v>
      </c>
      <c r="Z232" s="872">
        <f t="shared" ca="1" si="77"/>
        <v>0</v>
      </c>
      <c r="AA232" s="871">
        <f t="shared" ca="1" si="77"/>
        <v>0</v>
      </c>
      <c r="AB232" s="872">
        <f t="shared" ca="1" si="77"/>
        <v>0</v>
      </c>
      <c r="AC232" s="872">
        <f t="shared" ca="1" si="77"/>
        <v>0</v>
      </c>
      <c r="AD232" s="872">
        <f t="shared" ca="1" si="77"/>
        <v>0</v>
      </c>
      <c r="AE232" s="871">
        <f t="shared" ca="1" si="77"/>
        <v>0</v>
      </c>
      <c r="AF232" s="872">
        <f t="shared" ca="1" si="77"/>
        <v>0</v>
      </c>
      <c r="AG232" s="872">
        <f t="shared" ca="1" si="77"/>
        <v>0</v>
      </c>
      <c r="AH232" s="872">
        <f t="shared" ca="1" si="77"/>
        <v>0</v>
      </c>
      <c r="AI232" s="871">
        <f t="shared" ca="1" si="77"/>
        <v>0</v>
      </c>
      <c r="AJ232" s="872">
        <f t="shared" ca="1" si="77"/>
        <v>0</v>
      </c>
      <c r="AK232" s="872">
        <f t="shared" ca="1" si="77"/>
        <v>0</v>
      </c>
      <c r="AL232" s="872">
        <f t="shared" ca="1" si="77"/>
        <v>0</v>
      </c>
      <c r="AM232" s="871">
        <f t="shared" ca="1" si="77"/>
        <v>0</v>
      </c>
      <c r="AN232" s="872">
        <f t="shared" ca="1" si="77"/>
        <v>0</v>
      </c>
      <c r="AO232" s="872">
        <f t="shared" ca="1" si="77"/>
        <v>0</v>
      </c>
      <c r="AP232" s="872">
        <f t="shared" ca="1" si="77"/>
        <v>0</v>
      </c>
      <c r="AQ232" s="871">
        <f t="shared" ca="1" si="77"/>
        <v>0</v>
      </c>
      <c r="AR232" s="872">
        <f t="shared" ca="1" si="77"/>
        <v>0</v>
      </c>
      <c r="AS232" s="872">
        <f t="shared" ca="1" si="77"/>
        <v>0</v>
      </c>
      <c r="AT232" s="872">
        <f t="shared" ca="1" si="77"/>
        <v>0</v>
      </c>
      <c r="AU232" s="823">
        <f t="shared" ca="1" si="68"/>
        <v>0</v>
      </c>
    </row>
    <row r="233" spans="1:47" s="77" customFormat="1" ht="18" customHeight="1" outlineLevel="2">
      <c r="A233" s="869" t="str">
        <f>'8.项目规划指标表'!B$19</f>
        <v>无产权车库(个)</v>
      </c>
      <c r="B233" s="870">
        <f ca="1">'15.土地增值税'!O$75</f>
        <v>0</v>
      </c>
      <c r="C233" s="871">
        <f t="shared" ref="C233:AT233" ca="1" si="78">IFERROR($B233/$B58*C58,0)</f>
        <v>0</v>
      </c>
      <c r="D233" s="872">
        <f t="shared" ca="1" si="78"/>
        <v>0</v>
      </c>
      <c r="E233" s="872">
        <f t="shared" ca="1" si="78"/>
        <v>0</v>
      </c>
      <c r="F233" s="872">
        <f t="shared" ca="1" si="78"/>
        <v>0</v>
      </c>
      <c r="G233" s="871">
        <f t="shared" ca="1" si="78"/>
        <v>0</v>
      </c>
      <c r="H233" s="872">
        <f t="shared" ca="1" si="78"/>
        <v>0</v>
      </c>
      <c r="I233" s="872">
        <f t="shared" ca="1" si="78"/>
        <v>0</v>
      </c>
      <c r="J233" s="872">
        <f t="shared" ca="1" si="78"/>
        <v>0</v>
      </c>
      <c r="K233" s="871">
        <f t="shared" ca="1" si="78"/>
        <v>0</v>
      </c>
      <c r="L233" s="872">
        <f t="shared" ca="1" si="78"/>
        <v>0</v>
      </c>
      <c r="M233" s="872">
        <f t="shared" ca="1" si="78"/>
        <v>0</v>
      </c>
      <c r="N233" s="872">
        <f t="shared" ca="1" si="78"/>
        <v>0</v>
      </c>
      <c r="O233" s="871">
        <f t="shared" ca="1" si="78"/>
        <v>0</v>
      </c>
      <c r="P233" s="872">
        <f t="shared" ca="1" si="78"/>
        <v>0</v>
      </c>
      <c r="Q233" s="872">
        <f t="shared" ca="1" si="78"/>
        <v>0</v>
      </c>
      <c r="R233" s="872">
        <f t="shared" ca="1" si="78"/>
        <v>0</v>
      </c>
      <c r="S233" s="871">
        <f t="shared" ca="1" si="78"/>
        <v>0</v>
      </c>
      <c r="T233" s="872">
        <f t="shared" ca="1" si="78"/>
        <v>0</v>
      </c>
      <c r="U233" s="872">
        <f t="shared" ca="1" si="78"/>
        <v>0</v>
      </c>
      <c r="V233" s="872">
        <f t="shared" ca="1" si="78"/>
        <v>0</v>
      </c>
      <c r="W233" s="871">
        <f t="shared" ca="1" si="78"/>
        <v>0</v>
      </c>
      <c r="X233" s="872">
        <f t="shared" ca="1" si="78"/>
        <v>0</v>
      </c>
      <c r="Y233" s="872">
        <f t="shared" ca="1" si="78"/>
        <v>0</v>
      </c>
      <c r="Z233" s="872">
        <f t="shared" ca="1" si="78"/>
        <v>0</v>
      </c>
      <c r="AA233" s="871">
        <f t="shared" ca="1" si="78"/>
        <v>0</v>
      </c>
      <c r="AB233" s="872">
        <f t="shared" ca="1" si="78"/>
        <v>0</v>
      </c>
      <c r="AC233" s="872">
        <f t="shared" ca="1" si="78"/>
        <v>0</v>
      </c>
      <c r="AD233" s="872">
        <f t="shared" ca="1" si="78"/>
        <v>0</v>
      </c>
      <c r="AE233" s="871">
        <f t="shared" ca="1" si="78"/>
        <v>0</v>
      </c>
      <c r="AF233" s="872">
        <f t="shared" ca="1" si="78"/>
        <v>0</v>
      </c>
      <c r="AG233" s="872">
        <f t="shared" ca="1" si="78"/>
        <v>0</v>
      </c>
      <c r="AH233" s="872">
        <f t="shared" ca="1" si="78"/>
        <v>0</v>
      </c>
      <c r="AI233" s="871">
        <f t="shared" ca="1" si="78"/>
        <v>0</v>
      </c>
      <c r="AJ233" s="872">
        <f t="shared" ca="1" si="78"/>
        <v>0</v>
      </c>
      <c r="AK233" s="872">
        <f t="shared" ca="1" si="78"/>
        <v>0</v>
      </c>
      <c r="AL233" s="872">
        <f t="shared" ca="1" si="78"/>
        <v>0</v>
      </c>
      <c r="AM233" s="871">
        <f t="shared" ca="1" si="78"/>
        <v>0</v>
      </c>
      <c r="AN233" s="872">
        <f t="shared" ca="1" si="78"/>
        <v>0</v>
      </c>
      <c r="AO233" s="872">
        <f t="shared" ca="1" si="78"/>
        <v>0</v>
      </c>
      <c r="AP233" s="872">
        <f t="shared" ca="1" si="78"/>
        <v>0</v>
      </c>
      <c r="AQ233" s="871">
        <f t="shared" ca="1" si="78"/>
        <v>0</v>
      </c>
      <c r="AR233" s="872">
        <f t="shared" ca="1" si="78"/>
        <v>0</v>
      </c>
      <c r="AS233" s="872">
        <f t="shared" ca="1" si="78"/>
        <v>0</v>
      </c>
      <c r="AT233" s="872">
        <f t="shared" ca="1" si="78"/>
        <v>0</v>
      </c>
      <c r="AU233" s="823">
        <f t="shared" ca="1" si="68"/>
        <v>0</v>
      </c>
    </row>
    <row r="234" spans="1:47" s="77" customFormat="1" ht="18" customHeight="1" outlineLevel="1">
      <c r="A234" s="865" t="s">
        <v>23</v>
      </c>
      <c r="B234" s="866">
        <f ca="1">SUM(B235:B246)</f>
        <v>0</v>
      </c>
      <c r="C234" s="867">
        <f ca="1">SUM(C235:C246)</f>
        <v>0</v>
      </c>
      <c r="D234" s="868">
        <f t="shared" ref="D234:AT234" ca="1" si="79">SUM(D235:D246)</f>
        <v>0</v>
      </c>
      <c r="E234" s="868">
        <f t="shared" ca="1" si="79"/>
        <v>0</v>
      </c>
      <c r="F234" s="868">
        <f t="shared" ca="1" si="79"/>
        <v>0</v>
      </c>
      <c r="G234" s="867">
        <f t="shared" ca="1" si="79"/>
        <v>0</v>
      </c>
      <c r="H234" s="868">
        <f t="shared" ca="1" si="79"/>
        <v>0</v>
      </c>
      <c r="I234" s="868">
        <f t="shared" ca="1" si="79"/>
        <v>0</v>
      </c>
      <c r="J234" s="868">
        <f t="shared" ca="1" si="79"/>
        <v>0</v>
      </c>
      <c r="K234" s="867">
        <f t="shared" ca="1" si="79"/>
        <v>0</v>
      </c>
      <c r="L234" s="868">
        <f t="shared" ca="1" si="79"/>
        <v>0</v>
      </c>
      <c r="M234" s="868">
        <f t="shared" ca="1" si="79"/>
        <v>0</v>
      </c>
      <c r="N234" s="868">
        <f t="shared" ca="1" si="79"/>
        <v>0</v>
      </c>
      <c r="O234" s="867">
        <f t="shared" ca="1" si="79"/>
        <v>0</v>
      </c>
      <c r="P234" s="868">
        <f t="shared" ca="1" si="79"/>
        <v>0</v>
      </c>
      <c r="Q234" s="868">
        <f t="shared" ca="1" si="79"/>
        <v>0</v>
      </c>
      <c r="R234" s="868">
        <f t="shared" ca="1" si="79"/>
        <v>0</v>
      </c>
      <c r="S234" s="867">
        <f t="shared" ca="1" si="79"/>
        <v>0</v>
      </c>
      <c r="T234" s="868">
        <f t="shared" ca="1" si="79"/>
        <v>0</v>
      </c>
      <c r="U234" s="868">
        <f t="shared" ca="1" si="79"/>
        <v>0</v>
      </c>
      <c r="V234" s="868">
        <f t="shared" ca="1" si="79"/>
        <v>0</v>
      </c>
      <c r="W234" s="867">
        <f t="shared" ca="1" si="79"/>
        <v>0</v>
      </c>
      <c r="X234" s="868">
        <f t="shared" ca="1" si="79"/>
        <v>0</v>
      </c>
      <c r="Y234" s="868">
        <f t="shared" ca="1" si="79"/>
        <v>0</v>
      </c>
      <c r="Z234" s="868">
        <f t="shared" ca="1" si="79"/>
        <v>0</v>
      </c>
      <c r="AA234" s="867">
        <f t="shared" ca="1" si="79"/>
        <v>0</v>
      </c>
      <c r="AB234" s="868">
        <f t="shared" ca="1" si="79"/>
        <v>0</v>
      </c>
      <c r="AC234" s="868">
        <f t="shared" ca="1" si="79"/>
        <v>0</v>
      </c>
      <c r="AD234" s="868">
        <f t="shared" ca="1" si="79"/>
        <v>0</v>
      </c>
      <c r="AE234" s="867">
        <f t="shared" ca="1" si="79"/>
        <v>0</v>
      </c>
      <c r="AF234" s="868">
        <f t="shared" ca="1" si="79"/>
        <v>0</v>
      </c>
      <c r="AG234" s="868">
        <f t="shared" ca="1" si="79"/>
        <v>0</v>
      </c>
      <c r="AH234" s="868">
        <f t="shared" ca="1" si="79"/>
        <v>0</v>
      </c>
      <c r="AI234" s="867">
        <f t="shared" ca="1" si="79"/>
        <v>0</v>
      </c>
      <c r="AJ234" s="868">
        <f t="shared" ca="1" si="79"/>
        <v>0</v>
      </c>
      <c r="AK234" s="868">
        <f t="shared" ca="1" si="79"/>
        <v>0</v>
      </c>
      <c r="AL234" s="868">
        <f t="shared" ca="1" si="79"/>
        <v>0</v>
      </c>
      <c r="AM234" s="867">
        <f t="shared" ca="1" si="79"/>
        <v>0</v>
      </c>
      <c r="AN234" s="868">
        <f t="shared" ca="1" si="79"/>
        <v>0</v>
      </c>
      <c r="AO234" s="868">
        <f t="shared" ca="1" si="79"/>
        <v>0</v>
      </c>
      <c r="AP234" s="868">
        <f t="shared" ca="1" si="79"/>
        <v>0</v>
      </c>
      <c r="AQ234" s="867">
        <f t="shared" ca="1" si="79"/>
        <v>0</v>
      </c>
      <c r="AR234" s="868">
        <f t="shared" ca="1" si="79"/>
        <v>0</v>
      </c>
      <c r="AS234" s="868">
        <f t="shared" ca="1" si="79"/>
        <v>0</v>
      </c>
      <c r="AT234" s="868">
        <f t="shared" ca="1" si="79"/>
        <v>0</v>
      </c>
    </row>
    <row r="235" spans="1:47" s="77" customFormat="1" ht="18" customHeight="1" outlineLevel="2">
      <c r="A235" s="869" t="str">
        <f>'8.项目规划指标表'!B$5</f>
        <v>高层</v>
      </c>
      <c r="B235" s="870">
        <f ca="1">'15.土地增值税'!D$93</f>
        <v>0</v>
      </c>
      <c r="C235" s="871">
        <f ca="1">IFERROR($B235/$B60*C60,0)</f>
        <v>0</v>
      </c>
      <c r="D235" s="872">
        <f t="shared" ref="D235:AT235" ca="1" si="80">IFERROR($B235/$B60*D60,0)</f>
        <v>0</v>
      </c>
      <c r="E235" s="872">
        <f t="shared" ca="1" si="80"/>
        <v>0</v>
      </c>
      <c r="F235" s="872">
        <f t="shared" ca="1" si="80"/>
        <v>0</v>
      </c>
      <c r="G235" s="871">
        <f t="shared" ca="1" si="80"/>
        <v>0</v>
      </c>
      <c r="H235" s="872">
        <f t="shared" ca="1" si="80"/>
        <v>0</v>
      </c>
      <c r="I235" s="872">
        <f t="shared" ca="1" si="80"/>
        <v>0</v>
      </c>
      <c r="J235" s="872">
        <f t="shared" ca="1" si="80"/>
        <v>0</v>
      </c>
      <c r="K235" s="871">
        <f t="shared" ca="1" si="80"/>
        <v>0</v>
      </c>
      <c r="L235" s="872">
        <f t="shared" ca="1" si="80"/>
        <v>0</v>
      </c>
      <c r="M235" s="872">
        <f t="shared" ca="1" si="80"/>
        <v>0</v>
      </c>
      <c r="N235" s="872">
        <f t="shared" ca="1" si="80"/>
        <v>0</v>
      </c>
      <c r="O235" s="871">
        <f t="shared" ca="1" si="80"/>
        <v>0</v>
      </c>
      <c r="P235" s="872">
        <f t="shared" ca="1" si="80"/>
        <v>0</v>
      </c>
      <c r="Q235" s="872">
        <f t="shared" ca="1" si="80"/>
        <v>0</v>
      </c>
      <c r="R235" s="872">
        <f t="shared" ca="1" si="80"/>
        <v>0</v>
      </c>
      <c r="S235" s="871">
        <f t="shared" ca="1" si="80"/>
        <v>0</v>
      </c>
      <c r="T235" s="872">
        <f t="shared" ca="1" si="80"/>
        <v>0</v>
      </c>
      <c r="U235" s="872">
        <f t="shared" ca="1" si="80"/>
        <v>0</v>
      </c>
      <c r="V235" s="872">
        <f t="shared" ca="1" si="80"/>
        <v>0</v>
      </c>
      <c r="W235" s="871">
        <f t="shared" ca="1" si="80"/>
        <v>0</v>
      </c>
      <c r="X235" s="872">
        <f t="shared" ca="1" si="80"/>
        <v>0</v>
      </c>
      <c r="Y235" s="872">
        <f t="shared" ca="1" si="80"/>
        <v>0</v>
      </c>
      <c r="Z235" s="872">
        <f t="shared" ca="1" si="80"/>
        <v>0</v>
      </c>
      <c r="AA235" s="871">
        <f t="shared" ca="1" si="80"/>
        <v>0</v>
      </c>
      <c r="AB235" s="872">
        <f t="shared" ca="1" si="80"/>
        <v>0</v>
      </c>
      <c r="AC235" s="872">
        <f t="shared" ca="1" si="80"/>
        <v>0</v>
      </c>
      <c r="AD235" s="872">
        <f t="shared" ca="1" si="80"/>
        <v>0</v>
      </c>
      <c r="AE235" s="871">
        <f t="shared" ca="1" si="80"/>
        <v>0</v>
      </c>
      <c r="AF235" s="872">
        <f t="shared" ca="1" si="80"/>
        <v>0</v>
      </c>
      <c r="AG235" s="872">
        <f t="shared" ca="1" si="80"/>
        <v>0</v>
      </c>
      <c r="AH235" s="872">
        <f t="shared" ca="1" si="80"/>
        <v>0</v>
      </c>
      <c r="AI235" s="871">
        <f t="shared" ca="1" si="80"/>
        <v>0</v>
      </c>
      <c r="AJ235" s="872">
        <f t="shared" ca="1" si="80"/>
        <v>0</v>
      </c>
      <c r="AK235" s="872">
        <f t="shared" ca="1" si="80"/>
        <v>0</v>
      </c>
      <c r="AL235" s="872">
        <f t="shared" ca="1" si="80"/>
        <v>0</v>
      </c>
      <c r="AM235" s="871">
        <f t="shared" ca="1" si="80"/>
        <v>0</v>
      </c>
      <c r="AN235" s="872">
        <f t="shared" ca="1" si="80"/>
        <v>0</v>
      </c>
      <c r="AO235" s="872">
        <f t="shared" ca="1" si="80"/>
        <v>0</v>
      </c>
      <c r="AP235" s="872">
        <f t="shared" ca="1" si="80"/>
        <v>0</v>
      </c>
      <c r="AQ235" s="871">
        <f t="shared" ca="1" si="80"/>
        <v>0</v>
      </c>
      <c r="AR235" s="872">
        <f t="shared" ca="1" si="80"/>
        <v>0</v>
      </c>
      <c r="AS235" s="872">
        <f t="shared" ca="1" si="80"/>
        <v>0</v>
      </c>
      <c r="AT235" s="872">
        <f t="shared" ca="1" si="80"/>
        <v>0</v>
      </c>
      <c r="AU235" s="823">
        <f ca="1">SUM(C235:AT235)-B235</f>
        <v>0</v>
      </c>
    </row>
    <row r="236" spans="1:47" s="77" customFormat="1" ht="18" customHeight="1" outlineLevel="2">
      <c r="A236" s="869" t="str">
        <f>'8.项目规划指标表'!B$6</f>
        <v>商铺</v>
      </c>
      <c r="B236" s="870">
        <f ca="1">'15.土地增值税'!E$93</f>
        <v>0</v>
      </c>
      <c r="C236" s="871">
        <f t="shared" ref="C236:AT236" ca="1" si="81">IFERROR($B236/$B61*C61,0)</f>
        <v>0</v>
      </c>
      <c r="D236" s="872">
        <f t="shared" ca="1" si="81"/>
        <v>0</v>
      </c>
      <c r="E236" s="872">
        <f t="shared" ca="1" si="81"/>
        <v>0</v>
      </c>
      <c r="F236" s="872">
        <f t="shared" ca="1" si="81"/>
        <v>0</v>
      </c>
      <c r="G236" s="871">
        <f t="shared" ca="1" si="81"/>
        <v>0</v>
      </c>
      <c r="H236" s="872">
        <f t="shared" ca="1" si="81"/>
        <v>0</v>
      </c>
      <c r="I236" s="872">
        <f t="shared" ca="1" si="81"/>
        <v>0</v>
      </c>
      <c r="J236" s="872">
        <f t="shared" ca="1" si="81"/>
        <v>0</v>
      </c>
      <c r="K236" s="871">
        <f t="shared" ca="1" si="81"/>
        <v>0</v>
      </c>
      <c r="L236" s="872">
        <f t="shared" ca="1" si="81"/>
        <v>0</v>
      </c>
      <c r="M236" s="872">
        <f t="shared" ca="1" si="81"/>
        <v>0</v>
      </c>
      <c r="N236" s="872">
        <f t="shared" ca="1" si="81"/>
        <v>0</v>
      </c>
      <c r="O236" s="871">
        <f t="shared" ca="1" si="81"/>
        <v>0</v>
      </c>
      <c r="P236" s="872">
        <f t="shared" ca="1" si="81"/>
        <v>0</v>
      </c>
      <c r="Q236" s="872">
        <f t="shared" ca="1" si="81"/>
        <v>0</v>
      </c>
      <c r="R236" s="872">
        <f t="shared" ca="1" si="81"/>
        <v>0</v>
      </c>
      <c r="S236" s="871">
        <f t="shared" ca="1" si="81"/>
        <v>0</v>
      </c>
      <c r="T236" s="872">
        <f t="shared" ca="1" si="81"/>
        <v>0</v>
      </c>
      <c r="U236" s="872">
        <f t="shared" ca="1" si="81"/>
        <v>0</v>
      </c>
      <c r="V236" s="872">
        <f t="shared" ca="1" si="81"/>
        <v>0</v>
      </c>
      <c r="W236" s="871">
        <f t="shared" ca="1" si="81"/>
        <v>0</v>
      </c>
      <c r="X236" s="872">
        <f t="shared" ca="1" si="81"/>
        <v>0</v>
      </c>
      <c r="Y236" s="872">
        <f t="shared" ca="1" si="81"/>
        <v>0</v>
      </c>
      <c r="Z236" s="872">
        <f t="shared" ca="1" si="81"/>
        <v>0</v>
      </c>
      <c r="AA236" s="871">
        <f t="shared" ca="1" si="81"/>
        <v>0</v>
      </c>
      <c r="AB236" s="872">
        <f t="shared" ca="1" si="81"/>
        <v>0</v>
      </c>
      <c r="AC236" s="872">
        <f t="shared" ca="1" si="81"/>
        <v>0</v>
      </c>
      <c r="AD236" s="872">
        <f t="shared" ca="1" si="81"/>
        <v>0</v>
      </c>
      <c r="AE236" s="871">
        <f t="shared" ca="1" si="81"/>
        <v>0</v>
      </c>
      <c r="AF236" s="872">
        <f t="shared" ca="1" si="81"/>
        <v>0</v>
      </c>
      <c r="AG236" s="872">
        <f t="shared" ca="1" si="81"/>
        <v>0</v>
      </c>
      <c r="AH236" s="872">
        <f t="shared" ca="1" si="81"/>
        <v>0</v>
      </c>
      <c r="AI236" s="871">
        <f t="shared" ca="1" si="81"/>
        <v>0</v>
      </c>
      <c r="AJ236" s="872">
        <f t="shared" ca="1" si="81"/>
        <v>0</v>
      </c>
      <c r="AK236" s="872">
        <f t="shared" ca="1" si="81"/>
        <v>0</v>
      </c>
      <c r="AL236" s="872">
        <f t="shared" ca="1" si="81"/>
        <v>0</v>
      </c>
      <c r="AM236" s="871">
        <f t="shared" ca="1" si="81"/>
        <v>0</v>
      </c>
      <c r="AN236" s="872">
        <f t="shared" ca="1" si="81"/>
        <v>0</v>
      </c>
      <c r="AO236" s="872">
        <f t="shared" ca="1" si="81"/>
        <v>0</v>
      </c>
      <c r="AP236" s="872">
        <f t="shared" ca="1" si="81"/>
        <v>0</v>
      </c>
      <c r="AQ236" s="871">
        <f t="shared" ca="1" si="81"/>
        <v>0</v>
      </c>
      <c r="AR236" s="872">
        <f t="shared" ca="1" si="81"/>
        <v>0</v>
      </c>
      <c r="AS236" s="872">
        <f t="shared" ca="1" si="81"/>
        <v>0</v>
      </c>
      <c r="AT236" s="872">
        <f t="shared" ca="1" si="81"/>
        <v>0</v>
      </c>
      <c r="AU236" s="823">
        <f t="shared" ref="AU236:AU246" ca="1" si="82">SUM(C236:AT236)-B236</f>
        <v>0</v>
      </c>
    </row>
    <row r="237" spans="1:47" s="77" customFormat="1" ht="18" customHeight="1" outlineLevel="2">
      <c r="A237" s="869" t="str">
        <f>'8.项目规划指标表'!B$7</f>
        <v>回迁商业</v>
      </c>
      <c r="B237" s="870">
        <f ca="1">'15.土地增值税'!F$93</f>
        <v>0</v>
      </c>
      <c r="C237" s="871">
        <f t="shared" ref="C237:AT237" ca="1" si="83">IFERROR($B237/$B62*C62,0)</f>
        <v>0</v>
      </c>
      <c r="D237" s="872">
        <f t="shared" ca="1" si="83"/>
        <v>0</v>
      </c>
      <c r="E237" s="872">
        <f t="shared" ca="1" si="83"/>
        <v>0</v>
      </c>
      <c r="F237" s="872">
        <f t="shared" ca="1" si="83"/>
        <v>0</v>
      </c>
      <c r="G237" s="871">
        <f t="shared" ca="1" si="83"/>
        <v>0</v>
      </c>
      <c r="H237" s="872">
        <f t="shared" ca="1" si="83"/>
        <v>0</v>
      </c>
      <c r="I237" s="872">
        <f t="shared" ca="1" si="83"/>
        <v>0</v>
      </c>
      <c r="J237" s="872">
        <f t="shared" ca="1" si="83"/>
        <v>0</v>
      </c>
      <c r="K237" s="871">
        <f t="shared" ca="1" si="83"/>
        <v>0</v>
      </c>
      <c r="L237" s="872">
        <f t="shared" ca="1" si="83"/>
        <v>0</v>
      </c>
      <c r="M237" s="872">
        <f t="shared" ca="1" si="83"/>
        <v>0</v>
      </c>
      <c r="N237" s="872">
        <f t="shared" ca="1" si="83"/>
        <v>0</v>
      </c>
      <c r="O237" s="871">
        <f t="shared" ca="1" si="83"/>
        <v>0</v>
      </c>
      <c r="P237" s="872">
        <f t="shared" ca="1" si="83"/>
        <v>0</v>
      </c>
      <c r="Q237" s="872">
        <f t="shared" ca="1" si="83"/>
        <v>0</v>
      </c>
      <c r="R237" s="872">
        <f t="shared" ca="1" si="83"/>
        <v>0</v>
      </c>
      <c r="S237" s="871">
        <f t="shared" ca="1" si="83"/>
        <v>0</v>
      </c>
      <c r="T237" s="872">
        <f t="shared" ca="1" si="83"/>
        <v>0</v>
      </c>
      <c r="U237" s="872">
        <f t="shared" ca="1" si="83"/>
        <v>0</v>
      </c>
      <c r="V237" s="872">
        <f t="shared" ca="1" si="83"/>
        <v>0</v>
      </c>
      <c r="W237" s="871">
        <f t="shared" ca="1" si="83"/>
        <v>0</v>
      </c>
      <c r="X237" s="872">
        <f t="shared" ca="1" si="83"/>
        <v>0</v>
      </c>
      <c r="Y237" s="872">
        <f t="shared" ca="1" si="83"/>
        <v>0</v>
      </c>
      <c r="Z237" s="872">
        <f t="shared" ca="1" si="83"/>
        <v>0</v>
      </c>
      <c r="AA237" s="871">
        <f t="shared" ca="1" si="83"/>
        <v>0</v>
      </c>
      <c r="AB237" s="872">
        <f t="shared" ca="1" si="83"/>
        <v>0</v>
      </c>
      <c r="AC237" s="872">
        <f t="shared" ca="1" si="83"/>
        <v>0</v>
      </c>
      <c r="AD237" s="872">
        <f t="shared" ca="1" si="83"/>
        <v>0</v>
      </c>
      <c r="AE237" s="871">
        <f t="shared" ca="1" si="83"/>
        <v>0</v>
      </c>
      <c r="AF237" s="872">
        <f t="shared" ca="1" si="83"/>
        <v>0</v>
      </c>
      <c r="AG237" s="872">
        <f t="shared" ca="1" si="83"/>
        <v>0</v>
      </c>
      <c r="AH237" s="872">
        <f t="shared" ca="1" si="83"/>
        <v>0</v>
      </c>
      <c r="AI237" s="871">
        <f t="shared" ca="1" si="83"/>
        <v>0</v>
      </c>
      <c r="AJ237" s="872">
        <f t="shared" ca="1" si="83"/>
        <v>0</v>
      </c>
      <c r="AK237" s="872">
        <f t="shared" ca="1" si="83"/>
        <v>0</v>
      </c>
      <c r="AL237" s="872">
        <f t="shared" ca="1" si="83"/>
        <v>0</v>
      </c>
      <c r="AM237" s="871">
        <f t="shared" ca="1" si="83"/>
        <v>0</v>
      </c>
      <c r="AN237" s="872">
        <f t="shared" ca="1" si="83"/>
        <v>0</v>
      </c>
      <c r="AO237" s="872">
        <f t="shared" ca="1" si="83"/>
        <v>0</v>
      </c>
      <c r="AP237" s="872">
        <f t="shared" ca="1" si="83"/>
        <v>0</v>
      </c>
      <c r="AQ237" s="871">
        <f t="shared" ca="1" si="83"/>
        <v>0</v>
      </c>
      <c r="AR237" s="872">
        <f t="shared" ca="1" si="83"/>
        <v>0</v>
      </c>
      <c r="AS237" s="872">
        <f t="shared" ca="1" si="83"/>
        <v>0</v>
      </c>
      <c r="AT237" s="872">
        <f t="shared" ca="1" si="83"/>
        <v>0</v>
      </c>
      <c r="AU237" s="823">
        <f t="shared" ca="1" si="82"/>
        <v>0</v>
      </c>
    </row>
    <row r="238" spans="1:47" s="77" customFormat="1" ht="18" customHeight="1" outlineLevel="2">
      <c r="A238" s="869">
        <f>'8.项目规划指标表'!B$8</f>
        <v>0</v>
      </c>
      <c r="B238" s="870">
        <f ca="1">'15.土地增值税'!G$93</f>
        <v>0</v>
      </c>
      <c r="C238" s="871">
        <f t="shared" ref="C238:AT238" ca="1" si="84">IFERROR($B238/$B63*C63,0)</f>
        <v>0</v>
      </c>
      <c r="D238" s="872">
        <f t="shared" ca="1" si="84"/>
        <v>0</v>
      </c>
      <c r="E238" s="872">
        <f t="shared" ca="1" si="84"/>
        <v>0</v>
      </c>
      <c r="F238" s="872">
        <f t="shared" ca="1" si="84"/>
        <v>0</v>
      </c>
      <c r="G238" s="871">
        <f t="shared" ca="1" si="84"/>
        <v>0</v>
      </c>
      <c r="H238" s="872">
        <f t="shared" ca="1" si="84"/>
        <v>0</v>
      </c>
      <c r="I238" s="872">
        <f t="shared" ca="1" si="84"/>
        <v>0</v>
      </c>
      <c r="J238" s="872">
        <f t="shared" ca="1" si="84"/>
        <v>0</v>
      </c>
      <c r="K238" s="871">
        <f t="shared" ca="1" si="84"/>
        <v>0</v>
      </c>
      <c r="L238" s="872">
        <f t="shared" ca="1" si="84"/>
        <v>0</v>
      </c>
      <c r="M238" s="872">
        <f t="shared" ca="1" si="84"/>
        <v>0</v>
      </c>
      <c r="N238" s="872">
        <f t="shared" ca="1" si="84"/>
        <v>0</v>
      </c>
      <c r="O238" s="871">
        <f t="shared" ca="1" si="84"/>
        <v>0</v>
      </c>
      <c r="P238" s="872">
        <f t="shared" ca="1" si="84"/>
        <v>0</v>
      </c>
      <c r="Q238" s="872">
        <f t="shared" ca="1" si="84"/>
        <v>0</v>
      </c>
      <c r="R238" s="872">
        <f t="shared" ca="1" si="84"/>
        <v>0</v>
      </c>
      <c r="S238" s="871">
        <f t="shared" ca="1" si="84"/>
        <v>0</v>
      </c>
      <c r="T238" s="872">
        <f t="shared" ca="1" si="84"/>
        <v>0</v>
      </c>
      <c r="U238" s="872">
        <f t="shared" ca="1" si="84"/>
        <v>0</v>
      </c>
      <c r="V238" s="872">
        <f t="shared" ca="1" si="84"/>
        <v>0</v>
      </c>
      <c r="W238" s="871">
        <f t="shared" ca="1" si="84"/>
        <v>0</v>
      </c>
      <c r="X238" s="872">
        <f t="shared" ca="1" si="84"/>
        <v>0</v>
      </c>
      <c r="Y238" s="872">
        <f t="shared" ca="1" si="84"/>
        <v>0</v>
      </c>
      <c r="Z238" s="872">
        <f t="shared" ca="1" si="84"/>
        <v>0</v>
      </c>
      <c r="AA238" s="871">
        <f t="shared" ca="1" si="84"/>
        <v>0</v>
      </c>
      <c r="AB238" s="872">
        <f t="shared" ca="1" si="84"/>
        <v>0</v>
      </c>
      <c r="AC238" s="872">
        <f t="shared" ca="1" si="84"/>
        <v>0</v>
      </c>
      <c r="AD238" s="872">
        <f t="shared" ca="1" si="84"/>
        <v>0</v>
      </c>
      <c r="AE238" s="871">
        <f t="shared" ca="1" si="84"/>
        <v>0</v>
      </c>
      <c r="AF238" s="872">
        <f t="shared" ca="1" si="84"/>
        <v>0</v>
      </c>
      <c r="AG238" s="872">
        <f t="shared" ca="1" si="84"/>
        <v>0</v>
      </c>
      <c r="AH238" s="872">
        <f t="shared" ca="1" si="84"/>
        <v>0</v>
      </c>
      <c r="AI238" s="871">
        <f t="shared" ca="1" si="84"/>
        <v>0</v>
      </c>
      <c r="AJ238" s="872">
        <f t="shared" ca="1" si="84"/>
        <v>0</v>
      </c>
      <c r="AK238" s="872">
        <f t="shared" ca="1" si="84"/>
        <v>0</v>
      </c>
      <c r="AL238" s="872">
        <f t="shared" ca="1" si="84"/>
        <v>0</v>
      </c>
      <c r="AM238" s="871">
        <f t="shared" ca="1" si="84"/>
        <v>0</v>
      </c>
      <c r="AN238" s="872">
        <f t="shared" ca="1" si="84"/>
        <v>0</v>
      </c>
      <c r="AO238" s="872">
        <f t="shared" ca="1" si="84"/>
        <v>0</v>
      </c>
      <c r="AP238" s="872">
        <f t="shared" ca="1" si="84"/>
        <v>0</v>
      </c>
      <c r="AQ238" s="871">
        <f t="shared" ca="1" si="84"/>
        <v>0</v>
      </c>
      <c r="AR238" s="872">
        <f t="shared" ca="1" si="84"/>
        <v>0</v>
      </c>
      <c r="AS238" s="872">
        <f t="shared" ca="1" si="84"/>
        <v>0</v>
      </c>
      <c r="AT238" s="872">
        <f t="shared" ca="1" si="84"/>
        <v>0</v>
      </c>
      <c r="AU238" s="823">
        <f t="shared" ca="1" si="82"/>
        <v>0</v>
      </c>
    </row>
    <row r="239" spans="1:47" s="77" customFormat="1" ht="18" customHeight="1" outlineLevel="2">
      <c r="A239" s="869">
        <f>'8.项目规划指标表'!B$9</f>
        <v>0</v>
      </c>
      <c r="B239" s="870">
        <f ca="1">'15.土地增值税'!H$93</f>
        <v>0</v>
      </c>
      <c r="C239" s="871">
        <f t="shared" ref="C239:AT239" ca="1" si="85">IFERROR($B239/$B64*C64,0)</f>
        <v>0</v>
      </c>
      <c r="D239" s="872">
        <f t="shared" ca="1" si="85"/>
        <v>0</v>
      </c>
      <c r="E239" s="872">
        <f t="shared" ca="1" si="85"/>
        <v>0</v>
      </c>
      <c r="F239" s="872">
        <f t="shared" ca="1" si="85"/>
        <v>0</v>
      </c>
      <c r="G239" s="871">
        <f t="shared" ca="1" si="85"/>
        <v>0</v>
      </c>
      <c r="H239" s="872">
        <f t="shared" ca="1" si="85"/>
        <v>0</v>
      </c>
      <c r="I239" s="872">
        <f t="shared" ca="1" si="85"/>
        <v>0</v>
      </c>
      <c r="J239" s="872">
        <f t="shared" ca="1" si="85"/>
        <v>0</v>
      </c>
      <c r="K239" s="871">
        <f t="shared" ca="1" si="85"/>
        <v>0</v>
      </c>
      <c r="L239" s="872">
        <f t="shared" ca="1" si="85"/>
        <v>0</v>
      </c>
      <c r="M239" s="872">
        <f t="shared" ca="1" si="85"/>
        <v>0</v>
      </c>
      <c r="N239" s="872">
        <f t="shared" ca="1" si="85"/>
        <v>0</v>
      </c>
      <c r="O239" s="871">
        <f t="shared" ca="1" si="85"/>
        <v>0</v>
      </c>
      <c r="P239" s="872">
        <f t="shared" ca="1" si="85"/>
        <v>0</v>
      </c>
      <c r="Q239" s="872">
        <f t="shared" ca="1" si="85"/>
        <v>0</v>
      </c>
      <c r="R239" s="872">
        <f t="shared" ca="1" si="85"/>
        <v>0</v>
      </c>
      <c r="S239" s="871">
        <f t="shared" ca="1" si="85"/>
        <v>0</v>
      </c>
      <c r="T239" s="872">
        <f t="shared" ca="1" si="85"/>
        <v>0</v>
      </c>
      <c r="U239" s="872">
        <f t="shared" ca="1" si="85"/>
        <v>0</v>
      </c>
      <c r="V239" s="872">
        <f t="shared" ca="1" si="85"/>
        <v>0</v>
      </c>
      <c r="W239" s="871">
        <f t="shared" ca="1" si="85"/>
        <v>0</v>
      </c>
      <c r="X239" s="872">
        <f t="shared" ca="1" si="85"/>
        <v>0</v>
      </c>
      <c r="Y239" s="872">
        <f t="shared" ca="1" si="85"/>
        <v>0</v>
      </c>
      <c r="Z239" s="872">
        <f t="shared" ca="1" si="85"/>
        <v>0</v>
      </c>
      <c r="AA239" s="871">
        <f t="shared" ca="1" si="85"/>
        <v>0</v>
      </c>
      <c r="AB239" s="872">
        <f t="shared" ca="1" si="85"/>
        <v>0</v>
      </c>
      <c r="AC239" s="872">
        <f t="shared" ca="1" si="85"/>
        <v>0</v>
      </c>
      <c r="AD239" s="872">
        <f t="shared" ca="1" si="85"/>
        <v>0</v>
      </c>
      <c r="AE239" s="871">
        <f t="shared" ca="1" si="85"/>
        <v>0</v>
      </c>
      <c r="AF239" s="872">
        <f t="shared" ca="1" si="85"/>
        <v>0</v>
      </c>
      <c r="AG239" s="872">
        <f t="shared" ca="1" si="85"/>
        <v>0</v>
      </c>
      <c r="AH239" s="872">
        <f t="shared" ca="1" si="85"/>
        <v>0</v>
      </c>
      <c r="AI239" s="871">
        <f t="shared" ca="1" si="85"/>
        <v>0</v>
      </c>
      <c r="AJ239" s="872">
        <f t="shared" ca="1" si="85"/>
        <v>0</v>
      </c>
      <c r="AK239" s="872">
        <f t="shared" ca="1" si="85"/>
        <v>0</v>
      </c>
      <c r="AL239" s="872">
        <f t="shared" ca="1" si="85"/>
        <v>0</v>
      </c>
      <c r="AM239" s="871">
        <f t="shared" ca="1" si="85"/>
        <v>0</v>
      </c>
      <c r="AN239" s="872">
        <f t="shared" ca="1" si="85"/>
        <v>0</v>
      </c>
      <c r="AO239" s="872">
        <f t="shared" ca="1" si="85"/>
        <v>0</v>
      </c>
      <c r="AP239" s="872">
        <f t="shared" ca="1" si="85"/>
        <v>0</v>
      </c>
      <c r="AQ239" s="871">
        <f t="shared" ca="1" si="85"/>
        <v>0</v>
      </c>
      <c r="AR239" s="872">
        <f t="shared" ca="1" si="85"/>
        <v>0</v>
      </c>
      <c r="AS239" s="872">
        <f t="shared" ca="1" si="85"/>
        <v>0</v>
      </c>
      <c r="AT239" s="872">
        <f t="shared" ca="1" si="85"/>
        <v>0</v>
      </c>
      <c r="AU239" s="823">
        <f t="shared" ca="1" si="82"/>
        <v>0</v>
      </c>
    </row>
    <row r="240" spans="1:47" s="77" customFormat="1" ht="18" customHeight="1" outlineLevel="2">
      <c r="A240" s="869">
        <f>'8.项目规划指标表'!B$10</f>
        <v>0</v>
      </c>
      <c r="B240" s="870">
        <f ca="1">'15.土地增值税'!I$93</f>
        <v>0</v>
      </c>
      <c r="C240" s="871">
        <f t="shared" ref="C240:AT240" ca="1" si="86">IFERROR($B240/$B65*C65,0)</f>
        <v>0</v>
      </c>
      <c r="D240" s="872">
        <f t="shared" ca="1" si="86"/>
        <v>0</v>
      </c>
      <c r="E240" s="872">
        <f t="shared" ca="1" si="86"/>
        <v>0</v>
      </c>
      <c r="F240" s="872">
        <f t="shared" ca="1" si="86"/>
        <v>0</v>
      </c>
      <c r="G240" s="871">
        <f t="shared" ca="1" si="86"/>
        <v>0</v>
      </c>
      <c r="H240" s="872">
        <f t="shared" ca="1" si="86"/>
        <v>0</v>
      </c>
      <c r="I240" s="872">
        <f t="shared" ca="1" si="86"/>
        <v>0</v>
      </c>
      <c r="J240" s="872">
        <f t="shared" ca="1" si="86"/>
        <v>0</v>
      </c>
      <c r="K240" s="871">
        <f t="shared" ca="1" si="86"/>
        <v>0</v>
      </c>
      <c r="L240" s="872">
        <f t="shared" ca="1" si="86"/>
        <v>0</v>
      </c>
      <c r="M240" s="872">
        <f t="shared" ca="1" si="86"/>
        <v>0</v>
      </c>
      <c r="N240" s="872">
        <f t="shared" ca="1" si="86"/>
        <v>0</v>
      </c>
      <c r="O240" s="871">
        <f t="shared" ca="1" si="86"/>
        <v>0</v>
      </c>
      <c r="P240" s="872">
        <f t="shared" ca="1" si="86"/>
        <v>0</v>
      </c>
      <c r="Q240" s="872">
        <f t="shared" ca="1" si="86"/>
        <v>0</v>
      </c>
      <c r="R240" s="872">
        <f t="shared" ca="1" si="86"/>
        <v>0</v>
      </c>
      <c r="S240" s="871">
        <f t="shared" ca="1" si="86"/>
        <v>0</v>
      </c>
      <c r="T240" s="872">
        <f t="shared" ca="1" si="86"/>
        <v>0</v>
      </c>
      <c r="U240" s="872">
        <f t="shared" ca="1" si="86"/>
        <v>0</v>
      </c>
      <c r="V240" s="872">
        <f t="shared" ca="1" si="86"/>
        <v>0</v>
      </c>
      <c r="W240" s="871">
        <f t="shared" ca="1" si="86"/>
        <v>0</v>
      </c>
      <c r="X240" s="872">
        <f t="shared" ca="1" si="86"/>
        <v>0</v>
      </c>
      <c r="Y240" s="872">
        <f t="shared" ca="1" si="86"/>
        <v>0</v>
      </c>
      <c r="Z240" s="872">
        <f t="shared" ca="1" si="86"/>
        <v>0</v>
      </c>
      <c r="AA240" s="871">
        <f t="shared" ca="1" si="86"/>
        <v>0</v>
      </c>
      <c r="AB240" s="872">
        <f t="shared" ca="1" si="86"/>
        <v>0</v>
      </c>
      <c r="AC240" s="872">
        <f t="shared" ca="1" si="86"/>
        <v>0</v>
      </c>
      <c r="AD240" s="872">
        <f t="shared" ca="1" si="86"/>
        <v>0</v>
      </c>
      <c r="AE240" s="871">
        <f t="shared" ca="1" si="86"/>
        <v>0</v>
      </c>
      <c r="AF240" s="872">
        <f t="shared" ca="1" si="86"/>
        <v>0</v>
      </c>
      <c r="AG240" s="872">
        <f t="shared" ca="1" si="86"/>
        <v>0</v>
      </c>
      <c r="AH240" s="872">
        <f t="shared" ca="1" si="86"/>
        <v>0</v>
      </c>
      <c r="AI240" s="871">
        <f t="shared" ca="1" si="86"/>
        <v>0</v>
      </c>
      <c r="AJ240" s="872">
        <f t="shared" ca="1" si="86"/>
        <v>0</v>
      </c>
      <c r="AK240" s="872">
        <f t="shared" ca="1" si="86"/>
        <v>0</v>
      </c>
      <c r="AL240" s="872">
        <f t="shared" ca="1" si="86"/>
        <v>0</v>
      </c>
      <c r="AM240" s="871">
        <f t="shared" ca="1" si="86"/>
        <v>0</v>
      </c>
      <c r="AN240" s="872">
        <f t="shared" ca="1" si="86"/>
        <v>0</v>
      </c>
      <c r="AO240" s="872">
        <f t="shared" ca="1" si="86"/>
        <v>0</v>
      </c>
      <c r="AP240" s="872">
        <f t="shared" ca="1" si="86"/>
        <v>0</v>
      </c>
      <c r="AQ240" s="871">
        <f t="shared" ca="1" si="86"/>
        <v>0</v>
      </c>
      <c r="AR240" s="872">
        <f t="shared" ca="1" si="86"/>
        <v>0</v>
      </c>
      <c r="AS240" s="872">
        <f t="shared" ca="1" si="86"/>
        <v>0</v>
      </c>
      <c r="AT240" s="872">
        <f t="shared" ca="1" si="86"/>
        <v>0</v>
      </c>
      <c r="AU240" s="823">
        <f t="shared" ca="1" si="82"/>
        <v>0</v>
      </c>
    </row>
    <row r="241" spans="1:47" s="77" customFormat="1" ht="18" customHeight="1" outlineLevel="2">
      <c r="A241" s="869">
        <f>'8.项目规划指标表'!B$11</f>
        <v>0</v>
      </c>
      <c r="B241" s="870">
        <f ca="1">'15.土地增值税'!J$93</f>
        <v>0</v>
      </c>
      <c r="C241" s="871">
        <f t="shared" ref="C241:AT241" ca="1" si="87">IFERROR($B241/$B66*C66,0)</f>
        <v>0</v>
      </c>
      <c r="D241" s="872">
        <f t="shared" ca="1" si="87"/>
        <v>0</v>
      </c>
      <c r="E241" s="872">
        <f t="shared" ca="1" si="87"/>
        <v>0</v>
      </c>
      <c r="F241" s="872">
        <f t="shared" ca="1" si="87"/>
        <v>0</v>
      </c>
      <c r="G241" s="871">
        <f t="shared" ca="1" si="87"/>
        <v>0</v>
      </c>
      <c r="H241" s="872">
        <f t="shared" ca="1" si="87"/>
        <v>0</v>
      </c>
      <c r="I241" s="872">
        <f t="shared" ca="1" si="87"/>
        <v>0</v>
      </c>
      <c r="J241" s="872">
        <f t="shared" ca="1" si="87"/>
        <v>0</v>
      </c>
      <c r="K241" s="871">
        <f t="shared" ca="1" si="87"/>
        <v>0</v>
      </c>
      <c r="L241" s="872">
        <f t="shared" ca="1" si="87"/>
        <v>0</v>
      </c>
      <c r="M241" s="872">
        <f t="shared" ca="1" si="87"/>
        <v>0</v>
      </c>
      <c r="N241" s="872">
        <f t="shared" ca="1" si="87"/>
        <v>0</v>
      </c>
      <c r="O241" s="871">
        <f t="shared" ca="1" si="87"/>
        <v>0</v>
      </c>
      <c r="P241" s="872">
        <f t="shared" ca="1" si="87"/>
        <v>0</v>
      </c>
      <c r="Q241" s="872">
        <f t="shared" ca="1" si="87"/>
        <v>0</v>
      </c>
      <c r="R241" s="872">
        <f t="shared" ca="1" si="87"/>
        <v>0</v>
      </c>
      <c r="S241" s="871">
        <f t="shared" ca="1" si="87"/>
        <v>0</v>
      </c>
      <c r="T241" s="872">
        <f t="shared" ca="1" si="87"/>
        <v>0</v>
      </c>
      <c r="U241" s="872">
        <f t="shared" ca="1" si="87"/>
        <v>0</v>
      </c>
      <c r="V241" s="872">
        <f t="shared" ca="1" si="87"/>
        <v>0</v>
      </c>
      <c r="W241" s="871">
        <f t="shared" ca="1" si="87"/>
        <v>0</v>
      </c>
      <c r="X241" s="872">
        <f t="shared" ca="1" si="87"/>
        <v>0</v>
      </c>
      <c r="Y241" s="872">
        <f t="shared" ca="1" si="87"/>
        <v>0</v>
      </c>
      <c r="Z241" s="872">
        <f t="shared" ca="1" si="87"/>
        <v>0</v>
      </c>
      <c r="AA241" s="871">
        <f t="shared" ca="1" si="87"/>
        <v>0</v>
      </c>
      <c r="AB241" s="872">
        <f t="shared" ca="1" si="87"/>
        <v>0</v>
      </c>
      <c r="AC241" s="872">
        <f t="shared" ca="1" si="87"/>
        <v>0</v>
      </c>
      <c r="AD241" s="872">
        <f t="shared" ca="1" si="87"/>
        <v>0</v>
      </c>
      <c r="AE241" s="871">
        <f t="shared" ca="1" si="87"/>
        <v>0</v>
      </c>
      <c r="AF241" s="872">
        <f t="shared" ca="1" si="87"/>
        <v>0</v>
      </c>
      <c r="AG241" s="872">
        <f t="shared" ca="1" si="87"/>
        <v>0</v>
      </c>
      <c r="AH241" s="872">
        <f t="shared" ca="1" si="87"/>
        <v>0</v>
      </c>
      <c r="AI241" s="871">
        <f t="shared" ca="1" si="87"/>
        <v>0</v>
      </c>
      <c r="AJ241" s="872">
        <f t="shared" ca="1" si="87"/>
        <v>0</v>
      </c>
      <c r="AK241" s="872">
        <f t="shared" ca="1" si="87"/>
        <v>0</v>
      </c>
      <c r="AL241" s="872">
        <f t="shared" ca="1" si="87"/>
        <v>0</v>
      </c>
      <c r="AM241" s="871">
        <f t="shared" ca="1" si="87"/>
        <v>0</v>
      </c>
      <c r="AN241" s="872">
        <f t="shared" ca="1" si="87"/>
        <v>0</v>
      </c>
      <c r="AO241" s="872">
        <f t="shared" ca="1" si="87"/>
        <v>0</v>
      </c>
      <c r="AP241" s="872">
        <f t="shared" ca="1" si="87"/>
        <v>0</v>
      </c>
      <c r="AQ241" s="871">
        <f t="shared" ca="1" si="87"/>
        <v>0</v>
      </c>
      <c r="AR241" s="872">
        <f t="shared" ca="1" si="87"/>
        <v>0</v>
      </c>
      <c r="AS241" s="872">
        <f t="shared" ca="1" si="87"/>
        <v>0</v>
      </c>
      <c r="AT241" s="872">
        <f t="shared" ca="1" si="87"/>
        <v>0</v>
      </c>
      <c r="AU241" s="823">
        <f t="shared" ca="1" si="82"/>
        <v>0</v>
      </c>
    </row>
    <row r="242" spans="1:47" s="77" customFormat="1" ht="18" customHeight="1" outlineLevel="2">
      <c r="A242" s="869">
        <f>'8.项目规划指标表'!B$12</f>
        <v>0</v>
      </c>
      <c r="B242" s="870">
        <f ca="1">'15.土地增值税'!K$93</f>
        <v>0</v>
      </c>
      <c r="C242" s="871">
        <f t="shared" ref="C242:AT242" ca="1" si="88">IFERROR($B242/$B67*C67,0)</f>
        <v>0</v>
      </c>
      <c r="D242" s="872">
        <f t="shared" ca="1" si="88"/>
        <v>0</v>
      </c>
      <c r="E242" s="872">
        <f t="shared" ca="1" si="88"/>
        <v>0</v>
      </c>
      <c r="F242" s="872">
        <f t="shared" ca="1" si="88"/>
        <v>0</v>
      </c>
      <c r="G242" s="871">
        <f t="shared" ca="1" si="88"/>
        <v>0</v>
      </c>
      <c r="H242" s="872">
        <f t="shared" ca="1" si="88"/>
        <v>0</v>
      </c>
      <c r="I242" s="872">
        <f t="shared" ca="1" si="88"/>
        <v>0</v>
      </c>
      <c r="J242" s="872">
        <f t="shared" ca="1" si="88"/>
        <v>0</v>
      </c>
      <c r="K242" s="871">
        <f t="shared" ca="1" si="88"/>
        <v>0</v>
      </c>
      <c r="L242" s="872">
        <f t="shared" ca="1" si="88"/>
        <v>0</v>
      </c>
      <c r="M242" s="872">
        <f t="shared" ca="1" si="88"/>
        <v>0</v>
      </c>
      <c r="N242" s="872">
        <f t="shared" ca="1" si="88"/>
        <v>0</v>
      </c>
      <c r="O242" s="871">
        <f t="shared" ca="1" si="88"/>
        <v>0</v>
      </c>
      <c r="P242" s="872">
        <f t="shared" ca="1" si="88"/>
        <v>0</v>
      </c>
      <c r="Q242" s="872">
        <f t="shared" ca="1" si="88"/>
        <v>0</v>
      </c>
      <c r="R242" s="872">
        <f t="shared" ca="1" si="88"/>
        <v>0</v>
      </c>
      <c r="S242" s="871">
        <f t="shared" ca="1" si="88"/>
        <v>0</v>
      </c>
      <c r="T242" s="872">
        <f t="shared" ca="1" si="88"/>
        <v>0</v>
      </c>
      <c r="U242" s="872">
        <f t="shared" ca="1" si="88"/>
        <v>0</v>
      </c>
      <c r="V242" s="872">
        <f t="shared" ca="1" si="88"/>
        <v>0</v>
      </c>
      <c r="W242" s="871">
        <f t="shared" ca="1" si="88"/>
        <v>0</v>
      </c>
      <c r="X242" s="872">
        <f t="shared" ca="1" si="88"/>
        <v>0</v>
      </c>
      <c r="Y242" s="872">
        <f t="shared" ca="1" si="88"/>
        <v>0</v>
      </c>
      <c r="Z242" s="872">
        <f t="shared" ca="1" si="88"/>
        <v>0</v>
      </c>
      <c r="AA242" s="871">
        <f t="shared" ca="1" si="88"/>
        <v>0</v>
      </c>
      <c r="AB242" s="872">
        <f t="shared" ca="1" si="88"/>
        <v>0</v>
      </c>
      <c r="AC242" s="872">
        <f t="shared" ca="1" si="88"/>
        <v>0</v>
      </c>
      <c r="AD242" s="872">
        <f t="shared" ca="1" si="88"/>
        <v>0</v>
      </c>
      <c r="AE242" s="871">
        <f t="shared" ca="1" si="88"/>
        <v>0</v>
      </c>
      <c r="AF242" s="872">
        <f t="shared" ca="1" si="88"/>
        <v>0</v>
      </c>
      <c r="AG242" s="872">
        <f t="shared" ca="1" si="88"/>
        <v>0</v>
      </c>
      <c r="AH242" s="872">
        <f t="shared" ca="1" si="88"/>
        <v>0</v>
      </c>
      <c r="AI242" s="871">
        <f t="shared" ca="1" si="88"/>
        <v>0</v>
      </c>
      <c r="AJ242" s="872">
        <f t="shared" ca="1" si="88"/>
        <v>0</v>
      </c>
      <c r="AK242" s="872">
        <f t="shared" ca="1" si="88"/>
        <v>0</v>
      </c>
      <c r="AL242" s="872">
        <f t="shared" ca="1" si="88"/>
        <v>0</v>
      </c>
      <c r="AM242" s="871">
        <f t="shared" ca="1" si="88"/>
        <v>0</v>
      </c>
      <c r="AN242" s="872">
        <f t="shared" ca="1" si="88"/>
        <v>0</v>
      </c>
      <c r="AO242" s="872">
        <f t="shared" ca="1" si="88"/>
        <v>0</v>
      </c>
      <c r="AP242" s="872">
        <f t="shared" ca="1" si="88"/>
        <v>0</v>
      </c>
      <c r="AQ242" s="871">
        <f t="shared" ca="1" si="88"/>
        <v>0</v>
      </c>
      <c r="AR242" s="872">
        <f t="shared" ca="1" si="88"/>
        <v>0</v>
      </c>
      <c r="AS242" s="872">
        <f t="shared" ca="1" si="88"/>
        <v>0</v>
      </c>
      <c r="AT242" s="872">
        <f t="shared" ca="1" si="88"/>
        <v>0</v>
      </c>
      <c r="AU242" s="823">
        <f t="shared" ca="1" si="82"/>
        <v>0</v>
      </c>
    </row>
    <row r="243" spans="1:47" s="77" customFormat="1" ht="18" customHeight="1" outlineLevel="2">
      <c r="A243" s="869">
        <f>'8.项目规划指标表'!B$13</f>
        <v>0</v>
      </c>
      <c r="B243" s="870">
        <f ca="1">'15.土地增值税'!L$93</f>
        <v>0</v>
      </c>
      <c r="C243" s="871">
        <f t="shared" ref="C243:AT243" ca="1" si="89">IFERROR($B243/$B68*C68,0)</f>
        <v>0</v>
      </c>
      <c r="D243" s="872">
        <f t="shared" ca="1" si="89"/>
        <v>0</v>
      </c>
      <c r="E243" s="872">
        <f t="shared" ca="1" si="89"/>
        <v>0</v>
      </c>
      <c r="F243" s="872">
        <f t="shared" ca="1" si="89"/>
        <v>0</v>
      </c>
      <c r="G243" s="871">
        <f t="shared" ca="1" si="89"/>
        <v>0</v>
      </c>
      <c r="H243" s="872">
        <f t="shared" ca="1" si="89"/>
        <v>0</v>
      </c>
      <c r="I243" s="872">
        <f t="shared" ca="1" si="89"/>
        <v>0</v>
      </c>
      <c r="J243" s="872">
        <f t="shared" ca="1" si="89"/>
        <v>0</v>
      </c>
      <c r="K243" s="871">
        <f t="shared" ca="1" si="89"/>
        <v>0</v>
      </c>
      <c r="L243" s="872">
        <f t="shared" ca="1" si="89"/>
        <v>0</v>
      </c>
      <c r="M243" s="872">
        <f t="shared" ca="1" si="89"/>
        <v>0</v>
      </c>
      <c r="N243" s="872">
        <f t="shared" ca="1" si="89"/>
        <v>0</v>
      </c>
      <c r="O243" s="871">
        <f t="shared" ca="1" si="89"/>
        <v>0</v>
      </c>
      <c r="P243" s="872">
        <f t="shared" ca="1" si="89"/>
        <v>0</v>
      </c>
      <c r="Q243" s="872">
        <f t="shared" ca="1" si="89"/>
        <v>0</v>
      </c>
      <c r="R243" s="872">
        <f t="shared" ca="1" si="89"/>
        <v>0</v>
      </c>
      <c r="S243" s="871">
        <f t="shared" ca="1" si="89"/>
        <v>0</v>
      </c>
      <c r="T243" s="872">
        <f t="shared" ca="1" si="89"/>
        <v>0</v>
      </c>
      <c r="U243" s="872">
        <f t="shared" ca="1" si="89"/>
        <v>0</v>
      </c>
      <c r="V243" s="872">
        <f t="shared" ca="1" si="89"/>
        <v>0</v>
      </c>
      <c r="W243" s="871">
        <f t="shared" ca="1" si="89"/>
        <v>0</v>
      </c>
      <c r="X243" s="872">
        <f t="shared" ca="1" si="89"/>
        <v>0</v>
      </c>
      <c r="Y243" s="872">
        <f t="shared" ca="1" si="89"/>
        <v>0</v>
      </c>
      <c r="Z243" s="872">
        <f t="shared" ca="1" si="89"/>
        <v>0</v>
      </c>
      <c r="AA243" s="871">
        <f t="shared" ca="1" si="89"/>
        <v>0</v>
      </c>
      <c r="AB243" s="872">
        <f t="shared" ca="1" si="89"/>
        <v>0</v>
      </c>
      <c r="AC243" s="872">
        <f t="shared" ca="1" si="89"/>
        <v>0</v>
      </c>
      <c r="AD243" s="872">
        <f t="shared" ca="1" si="89"/>
        <v>0</v>
      </c>
      <c r="AE243" s="871">
        <f t="shared" ca="1" si="89"/>
        <v>0</v>
      </c>
      <c r="AF243" s="872">
        <f t="shared" ca="1" si="89"/>
        <v>0</v>
      </c>
      <c r="AG243" s="872">
        <f t="shared" ca="1" si="89"/>
        <v>0</v>
      </c>
      <c r="AH243" s="872">
        <f t="shared" ca="1" si="89"/>
        <v>0</v>
      </c>
      <c r="AI243" s="871">
        <f t="shared" ca="1" si="89"/>
        <v>0</v>
      </c>
      <c r="AJ243" s="872">
        <f t="shared" ca="1" si="89"/>
        <v>0</v>
      </c>
      <c r="AK243" s="872">
        <f t="shared" ca="1" si="89"/>
        <v>0</v>
      </c>
      <c r="AL243" s="872">
        <f t="shared" ca="1" si="89"/>
        <v>0</v>
      </c>
      <c r="AM243" s="871">
        <f t="shared" ca="1" si="89"/>
        <v>0</v>
      </c>
      <c r="AN243" s="872">
        <f t="shared" ca="1" si="89"/>
        <v>0</v>
      </c>
      <c r="AO243" s="872">
        <f t="shared" ca="1" si="89"/>
        <v>0</v>
      </c>
      <c r="AP243" s="872">
        <f t="shared" ca="1" si="89"/>
        <v>0</v>
      </c>
      <c r="AQ243" s="871">
        <f t="shared" ca="1" si="89"/>
        <v>0</v>
      </c>
      <c r="AR243" s="872">
        <f t="shared" ca="1" si="89"/>
        <v>0</v>
      </c>
      <c r="AS243" s="872">
        <f t="shared" ca="1" si="89"/>
        <v>0</v>
      </c>
      <c r="AT243" s="872">
        <f t="shared" ca="1" si="89"/>
        <v>0</v>
      </c>
      <c r="AU243" s="823">
        <f t="shared" ca="1" si="82"/>
        <v>0</v>
      </c>
    </row>
    <row r="244" spans="1:47" s="77" customFormat="1" ht="18" customHeight="1" outlineLevel="2">
      <c r="A244" s="869" t="str">
        <f>'8.项目规划指标表'!B$14</f>
        <v>自持物业</v>
      </c>
      <c r="B244" s="870">
        <f ca="1">'15.土地增值税'!M$93</f>
        <v>0</v>
      </c>
      <c r="C244" s="871">
        <f t="shared" ref="C244:AT244" ca="1" si="90">IFERROR($B244/$B69*C69,0)</f>
        <v>0</v>
      </c>
      <c r="D244" s="872">
        <f t="shared" ca="1" si="90"/>
        <v>0</v>
      </c>
      <c r="E244" s="872">
        <f t="shared" ca="1" si="90"/>
        <v>0</v>
      </c>
      <c r="F244" s="872">
        <f t="shared" ca="1" si="90"/>
        <v>0</v>
      </c>
      <c r="G244" s="871">
        <f t="shared" ca="1" si="90"/>
        <v>0</v>
      </c>
      <c r="H244" s="872">
        <f t="shared" ca="1" si="90"/>
        <v>0</v>
      </c>
      <c r="I244" s="872">
        <f t="shared" ca="1" si="90"/>
        <v>0</v>
      </c>
      <c r="J244" s="872">
        <f t="shared" ca="1" si="90"/>
        <v>0</v>
      </c>
      <c r="K244" s="871">
        <f t="shared" ca="1" si="90"/>
        <v>0</v>
      </c>
      <c r="L244" s="872">
        <f t="shared" ca="1" si="90"/>
        <v>0</v>
      </c>
      <c r="M244" s="872">
        <f t="shared" ca="1" si="90"/>
        <v>0</v>
      </c>
      <c r="N244" s="872">
        <f t="shared" ca="1" si="90"/>
        <v>0</v>
      </c>
      <c r="O244" s="871">
        <f t="shared" ca="1" si="90"/>
        <v>0</v>
      </c>
      <c r="P244" s="872">
        <f t="shared" ca="1" si="90"/>
        <v>0</v>
      </c>
      <c r="Q244" s="872">
        <f t="shared" ca="1" si="90"/>
        <v>0</v>
      </c>
      <c r="R244" s="872">
        <f t="shared" ca="1" si="90"/>
        <v>0</v>
      </c>
      <c r="S244" s="871">
        <f t="shared" ca="1" si="90"/>
        <v>0</v>
      </c>
      <c r="T244" s="872">
        <f t="shared" ca="1" si="90"/>
        <v>0</v>
      </c>
      <c r="U244" s="872">
        <f t="shared" ca="1" si="90"/>
        <v>0</v>
      </c>
      <c r="V244" s="872">
        <f t="shared" ca="1" si="90"/>
        <v>0</v>
      </c>
      <c r="W244" s="871">
        <f t="shared" ca="1" si="90"/>
        <v>0</v>
      </c>
      <c r="X244" s="872">
        <f t="shared" ca="1" si="90"/>
        <v>0</v>
      </c>
      <c r="Y244" s="872">
        <f t="shared" ca="1" si="90"/>
        <v>0</v>
      </c>
      <c r="Z244" s="872">
        <f t="shared" ca="1" si="90"/>
        <v>0</v>
      </c>
      <c r="AA244" s="871">
        <f t="shared" ca="1" si="90"/>
        <v>0</v>
      </c>
      <c r="AB244" s="872">
        <f t="shared" ca="1" si="90"/>
        <v>0</v>
      </c>
      <c r="AC244" s="872">
        <f t="shared" ca="1" si="90"/>
        <v>0</v>
      </c>
      <c r="AD244" s="872">
        <f t="shared" ca="1" si="90"/>
        <v>0</v>
      </c>
      <c r="AE244" s="871">
        <f t="shared" ca="1" si="90"/>
        <v>0</v>
      </c>
      <c r="AF244" s="872">
        <f t="shared" ca="1" si="90"/>
        <v>0</v>
      </c>
      <c r="AG244" s="872">
        <f t="shared" ca="1" si="90"/>
        <v>0</v>
      </c>
      <c r="AH244" s="872">
        <f t="shared" ca="1" si="90"/>
        <v>0</v>
      </c>
      <c r="AI244" s="871">
        <f t="shared" ca="1" si="90"/>
        <v>0</v>
      </c>
      <c r="AJ244" s="872">
        <f t="shared" ca="1" si="90"/>
        <v>0</v>
      </c>
      <c r="AK244" s="872">
        <f t="shared" ca="1" si="90"/>
        <v>0</v>
      </c>
      <c r="AL244" s="872">
        <f t="shared" ca="1" si="90"/>
        <v>0</v>
      </c>
      <c r="AM244" s="871">
        <f t="shared" ca="1" si="90"/>
        <v>0</v>
      </c>
      <c r="AN244" s="872">
        <f t="shared" ca="1" si="90"/>
        <v>0</v>
      </c>
      <c r="AO244" s="872">
        <f t="shared" ca="1" si="90"/>
        <v>0</v>
      </c>
      <c r="AP244" s="872">
        <f t="shared" ca="1" si="90"/>
        <v>0</v>
      </c>
      <c r="AQ244" s="871">
        <f t="shared" ca="1" si="90"/>
        <v>0</v>
      </c>
      <c r="AR244" s="872">
        <f t="shared" ca="1" si="90"/>
        <v>0</v>
      </c>
      <c r="AS244" s="872">
        <f t="shared" ca="1" si="90"/>
        <v>0</v>
      </c>
      <c r="AT244" s="872">
        <f t="shared" ca="1" si="90"/>
        <v>0</v>
      </c>
      <c r="AU244" s="823">
        <f t="shared" ca="1" si="82"/>
        <v>0</v>
      </c>
    </row>
    <row r="245" spans="1:47" s="77" customFormat="1" ht="18" customHeight="1" outlineLevel="2">
      <c r="A245" s="869" t="str">
        <f>'8.项目规划指标表'!B$18</f>
        <v>有产权车库(个)</v>
      </c>
      <c r="B245" s="870">
        <f ca="1">'15.土地增值税'!N$93</f>
        <v>0</v>
      </c>
      <c r="C245" s="871">
        <f t="shared" ref="C245:AT245" ca="1" si="91">IFERROR($B245/$B70*C70,0)</f>
        <v>0</v>
      </c>
      <c r="D245" s="872">
        <f t="shared" ca="1" si="91"/>
        <v>0</v>
      </c>
      <c r="E245" s="872">
        <f t="shared" ca="1" si="91"/>
        <v>0</v>
      </c>
      <c r="F245" s="872">
        <f t="shared" ca="1" si="91"/>
        <v>0</v>
      </c>
      <c r="G245" s="871">
        <f t="shared" ca="1" si="91"/>
        <v>0</v>
      </c>
      <c r="H245" s="872">
        <f t="shared" ca="1" si="91"/>
        <v>0</v>
      </c>
      <c r="I245" s="872">
        <f t="shared" ca="1" si="91"/>
        <v>0</v>
      </c>
      <c r="J245" s="872">
        <f t="shared" ca="1" si="91"/>
        <v>0</v>
      </c>
      <c r="K245" s="871">
        <f t="shared" ca="1" si="91"/>
        <v>0</v>
      </c>
      <c r="L245" s="872">
        <f t="shared" ca="1" si="91"/>
        <v>0</v>
      </c>
      <c r="M245" s="872">
        <f t="shared" ca="1" si="91"/>
        <v>0</v>
      </c>
      <c r="N245" s="872">
        <f t="shared" ca="1" si="91"/>
        <v>0</v>
      </c>
      <c r="O245" s="871">
        <f t="shared" ca="1" si="91"/>
        <v>0</v>
      </c>
      <c r="P245" s="872">
        <f t="shared" ca="1" si="91"/>
        <v>0</v>
      </c>
      <c r="Q245" s="872">
        <f t="shared" ca="1" si="91"/>
        <v>0</v>
      </c>
      <c r="R245" s="872">
        <f t="shared" ca="1" si="91"/>
        <v>0</v>
      </c>
      <c r="S245" s="871">
        <f t="shared" ca="1" si="91"/>
        <v>0</v>
      </c>
      <c r="T245" s="872">
        <f t="shared" ca="1" si="91"/>
        <v>0</v>
      </c>
      <c r="U245" s="872">
        <f t="shared" ca="1" si="91"/>
        <v>0</v>
      </c>
      <c r="V245" s="872">
        <f t="shared" ca="1" si="91"/>
        <v>0</v>
      </c>
      <c r="W245" s="871">
        <f t="shared" ca="1" si="91"/>
        <v>0</v>
      </c>
      <c r="X245" s="872">
        <f t="shared" ca="1" si="91"/>
        <v>0</v>
      </c>
      <c r="Y245" s="872">
        <f t="shared" ca="1" si="91"/>
        <v>0</v>
      </c>
      <c r="Z245" s="872">
        <f t="shared" ca="1" si="91"/>
        <v>0</v>
      </c>
      <c r="AA245" s="871">
        <f t="shared" ca="1" si="91"/>
        <v>0</v>
      </c>
      <c r="AB245" s="872">
        <f t="shared" ca="1" si="91"/>
        <v>0</v>
      </c>
      <c r="AC245" s="872">
        <f t="shared" ca="1" si="91"/>
        <v>0</v>
      </c>
      <c r="AD245" s="872">
        <f t="shared" ca="1" si="91"/>
        <v>0</v>
      </c>
      <c r="AE245" s="871">
        <f t="shared" ca="1" si="91"/>
        <v>0</v>
      </c>
      <c r="AF245" s="872">
        <f t="shared" ca="1" si="91"/>
        <v>0</v>
      </c>
      <c r="AG245" s="872">
        <f t="shared" ca="1" si="91"/>
        <v>0</v>
      </c>
      <c r="AH245" s="872">
        <f t="shared" ca="1" si="91"/>
        <v>0</v>
      </c>
      <c r="AI245" s="871">
        <f t="shared" ca="1" si="91"/>
        <v>0</v>
      </c>
      <c r="AJ245" s="872">
        <f t="shared" ca="1" si="91"/>
        <v>0</v>
      </c>
      <c r="AK245" s="872">
        <f t="shared" ca="1" si="91"/>
        <v>0</v>
      </c>
      <c r="AL245" s="872">
        <f t="shared" ca="1" si="91"/>
        <v>0</v>
      </c>
      <c r="AM245" s="871">
        <f t="shared" ca="1" si="91"/>
        <v>0</v>
      </c>
      <c r="AN245" s="872">
        <f t="shared" ca="1" si="91"/>
        <v>0</v>
      </c>
      <c r="AO245" s="872">
        <f t="shared" ca="1" si="91"/>
        <v>0</v>
      </c>
      <c r="AP245" s="872">
        <f t="shared" ca="1" si="91"/>
        <v>0</v>
      </c>
      <c r="AQ245" s="871">
        <f t="shared" ca="1" si="91"/>
        <v>0</v>
      </c>
      <c r="AR245" s="872">
        <f t="shared" ca="1" si="91"/>
        <v>0</v>
      </c>
      <c r="AS245" s="872">
        <f t="shared" ca="1" si="91"/>
        <v>0</v>
      </c>
      <c r="AT245" s="872">
        <f t="shared" ca="1" si="91"/>
        <v>0</v>
      </c>
      <c r="AU245" s="823">
        <f t="shared" ca="1" si="82"/>
        <v>0</v>
      </c>
    </row>
    <row r="246" spans="1:47" s="77" customFormat="1" ht="18" customHeight="1" outlineLevel="2">
      <c r="A246" s="869" t="str">
        <f>'8.项目规划指标表'!B$19</f>
        <v>无产权车库(个)</v>
      </c>
      <c r="B246" s="870">
        <f ca="1">'15.土地增值税'!O$93</f>
        <v>0</v>
      </c>
      <c r="C246" s="871">
        <f t="shared" ref="C246:AT246" ca="1" si="92">IFERROR($B246/$B71*C71,0)</f>
        <v>0</v>
      </c>
      <c r="D246" s="872">
        <f t="shared" ca="1" si="92"/>
        <v>0</v>
      </c>
      <c r="E246" s="872">
        <f t="shared" ca="1" si="92"/>
        <v>0</v>
      </c>
      <c r="F246" s="872">
        <f t="shared" ca="1" si="92"/>
        <v>0</v>
      </c>
      <c r="G246" s="871">
        <f t="shared" ca="1" si="92"/>
        <v>0</v>
      </c>
      <c r="H246" s="872">
        <f t="shared" ca="1" si="92"/>
        <v>0</v>
      </c>
      <c r="I246" s="872">
        <f t="shared" ca="1" si="92"/>
        <v>0</v>
      </c>
      <c r="J246" s="872">
        <f t="shared" ca="1" si="92"/>
        <v>0</v>
      </c>
      <c r="K246" s="871">
        <f t="shared" ca="1" si="92"/>
        <v>0</v>
      </c>
      <c r="L246" s="872">
        <f t="shared" ca="1" si="92"/>
        <v>0</v>
      </c>
      <c r="M246" s="872">
        <f t="shared" ca="1" si="92"/>
        <v>0</v>
      </c>
      <c r="N246" s="872">
        <f t="shared" ca="1" si="92"/>
        <v>0</v>
      </c>
      <c r="O246" s="871">
        <f t="shared" ca="1" si="92"/>
        <v>0</v>
      </c>
      <c r="P246" s="872">
        <f t="shared" ca="1" si="92"/>
        <v>0</v>
      </c>
      <c r="Q246" s="872">
        <f t="shared" ca="1" si="92"/>
        <v>0</v>
      </c>
      <c r="R246" s="872">
        <f t="shared" ca="1" si="92"/>
        <v>0</v>
      </c>
      <c r="S246" s="871">
        <f t="shared" ca="1" si="92"/>
        <v>0</v>
      </c>
      <c r="T246" s="872">
        <f t="shared" ca="1" si="92"/>
        <v>0</v>
      </c>
      <c r="U246" s="872">
        <f t="shared" ca="1" si="92"/>
        <v>0</v>
      </c>
      <c r="V246" s="872">
        <f t="shared" ca="1" si="92"/>
        <v>0</v>
      </c>
      <c r="W246" s="871">
        <f t="shared" ca="1" si="92"/>
        <v>0</v>
      </c>
      <c r="X246" s="872">
        <f t="shared" ca="1" si="92"/>
        <v>0</v>
      </c>
      <c r="Y246" s="872">
        <f t="shared" ca="1" si="92"/>
        <v>0</v>
      </c>
      <c r="Z246" s="872">
        <f t="shared" ca="1" si="92"/>
        <v>0</v>
      </c>
      <c r="AA246" s="871">
        <f t="shared" ca="1" si="92"/>
        <v>0</v>
      </c>
      <c r="AB246" s="872">
        <f t="shared" ca="1" si="92"/>
        <v>0</v>
      </c>
      <c r="AC246" s="872">
        <f t="shared" ca="1" si="92"/>
        <v>0</v>
      </c>
      <c r="AD246" s="872">
        <f t="shared" ca="1" si="92"/>
        <v>0</v>
      </c>
      <c r="AE246" s="871">
        <f t="shared" ca="1" si="92"/>
        <v>0</v>
      </c>
      <c r="AF246" s="872">
        <f t="shared" ca="1" si="92"/>
        <v>0</v>
      </c>
      <c r="AG246" s="872">
        <f t="shared" ca="1" si="92"/>
        <v>0</v>
      </c>
      <c r="AH246" s="872">
        <f t="shared" ca="1" si="92"/>
        <v>0</v>
      </c>
      <c r="AI246" s="871">
        <f t="shared" ca="1" si="92"/>
        <v>0</v>
      </c>
      <c r="AJ246" s="872">
        <f t="shared" ca="1" si="92"/>
        <v>0</v>
      </c>
      <c r="AK246" s="872">
        <f t="shared" ca="1" si="92"/>
        <v>0</v>
      </c>
      <c r="AL246" s="872">
        <f t="shared" ca="1" si="92"/>
        <v>0</v>
      </c>
      <c r="AM246" s="871">
        <f t="shared" ca="1" si="92"/>
        <v>0</v>
      </c>
      <c r="AN246" s="872">
        <f t="shared" ca="1" si="92"/>
        <v>0</v>
      </c>
      <c r="AO246" s="872">
        <f t="shared" ca="1" si="92"/>
        <v>0</v>
      </c>
      <c r="AP246" s="872">
        <f t="shared" ca="1" si="92"/>
        <v>0</v>
      </c>
      <c r="AQ246" s="871">
        <f t="shared" ca="1" si="92"/>
        <v>0</v>
      </c>
      <c r="AR246" s="872">
        <f t="shared" ca="1" si="92"/>
        <v>0</v>
      </c>
      <c r="AS246" s="872">
        <f t="shared" ca="1" si="92"/>
        <v>0</v>
      </c>
      <c r="AT246" s="872">
        <f t="shared" ca="1" si="92"/>
        <v>0</v>
      </c>
      <c r="AU246" s="823">
        <f t="shared" ca="1" si="82"/>
        <v>0</v>
      </c>
    </row>
    <row r="247" spans="1:47" s="77" customFormat="1" ht="18" customHeight="1" outlineLevel="1">
      <c r="A247" s="865" t="s">
        <v>24</v>
      </c>
      <c r="B247" s="866">
        <f ca="1">SUM(B248:B259)</f>
        <v>0</v>
      </c>
      <c r="C247" s="867">
        <f ca="1">SUM(C248:C259)</f>
        <v>0</v>
      </c>
      <c r="D247" s="868">
        <f t="shared" ref="D247:AT247" ca="1" si="93">SUM(D248:D259)</f>
        <v>0</v>
      </c>
      <c r="E247" s="868">
        <f t="shared" ca="1" si="93"/>
        <v>0</v>
      </c>
      <c r="F247" s="868">
        <f t="shared" ca="1" si="93"/>
        <v>0</v>
      </c>
      <c r="G247" s="867">
        <f t="shared" ca="1" si="93"/>
        <v>0</v>
      </c>
      <c r="H247" s="868">
        <f t="shared" ca="1" si="93"/>
        <v>0</v>
      </c>
      <c r="I247" s="868">
        <f t="shared" ca="1" si="93"/>
        <v>0</v>
      </c>
      <c r="J247" s="868">
        <f t="shared" ca="1" si="93"/>
        <v>0</v>
      </c>
      <c r="K247" s="867">
        <f t="shared" ca="1" si="93"/>
        <v>0</v>
      </c>
      <c r="L247" s="868">
        <f t="shared" ca="1" si="93"/>
        <v>0</v>
      </c>
      <c r="M247" s="868">
        <f t="shared" ca="1" si="93"/>
        <v>0</v>
      </c>
      <c r="N247" s="868">
        <f t="shared" ca="1" si="93"/>
        <v>0</v>
      </c>
      <c r="O247" s="867">
        <f t="shared" ca="1" si="93"/>
        <v>0</v>
      </c>
      <c r="P247" s="868">
        <f t="shared" ca="1" si="93"/>
        <v>0</v>
      </c>
      <c r="Q247" s="868">
        <f t="shared" ca="1" si="93"/>
        <v>0</v>
      </c>
      <c r="R247" s="868">
        <f t="shared" ca="1" si="93"/>
        <v>0</v>
      </c>
      <c r="S247" s="867">
        <f t="shared" ca="1" si="93"/>
        <v>0</v>
      </c>
      <c r="T247" s="868">
        <f t="shared" ca="1" si="93"/>
        <v>0</v>
      </c>
      <c r="U247" s="868">
        <f t="shared" ca="1" si="93"/>
        <v>0</v>
      </c>
      <c r="V247" s="868">
        <f t="shared" ca="1" si="93"/>
        <v>0</v>
      </c>
      <c r="W247" s="867">
        <f t="shared" ca="1" si="93"/>
        <v>0</v>
      </c>
      <c r="X247" s="868">
        <f t="shared" ca="1" si="93"/>
        <v>0</v>
      </c>
      <c r="Y247" s="868">
        <f t="shared" ca="1" si="93"/>
        <v>0</v>
      </c>
      <c r="Z247" s="868">
        <f t="shared" ca="1" si="93"/>
        <v>0</v>
      </c>
      <c r="AA247" s="867">
        <f t="shared" ca="1" si="93"/>
        <v>0</v>
      </c>
      <c r="AB247" s="868">
        <f t="shared" ca="1" si="93"/>
        <v>0</v>
      </c>
      <c r="AC247" s="868">
        <f t="shared" ca="1" si="93"/>
        <v>0</v>
      </c>
      <c r="AD247" s="868">
        <f t="shared" ca="1" si="93"/>
        <v>0</v>
      </c>
      <c r="AE247" s="867">
        <f t="shared" ca="1" si="93"/>
        <v>0</v>
      </c>
      <c r="AF247" s="868">
        <f t="shared" ca="1" si="93"/>
        <v>0</v>
      </c>
      <c r="AG247" s="868">
        <f t="shared" ca="1" si="93"/>
        <v>0</v>
      </c>
      <c r="AH247" s="868">
        <f t="shared" ca="1" si="93"/>
        <v>0</v>
      </c>
      <c r="AI247" s="867">
        <f t="shared" ca="1" si="93"/>
        <v>0</v>
      </c>
      <c r="AJ247" s="868">
        <f t="shared" ca="1" si="93"/>
        <v>0</v>
      </c>
      <c r="AK247" s="868">
        <f t="shared" ca="1" si="93"/>
        <v>0</v>
      </c>
      <c r="AL247" s="868">
        <f t="shared" ca="1" si="93"/>
        <v>0</v>
      </c>
      <c r="AM247" s="867">
        <f t="shared" ca="1" si="93"/>
        <v>0</v>
      </c>
      <c r="AN247" s="868">
        <f t="shared" ca="1" si="93"/>
        <v>0</v>
      </c>
      <c r="AO247" s="868">
        <f t="shared" ca="1" si="93"/>
        <v>0</v>
      </c>
      <c r="AP247" s="868">
        <f t="shared" ca="1" si="93"/>
        <v>0</v>
      </c>
      <c r="AQ247" s="867">
        <f t="shared" ca="1" si="93"/>
        <v>0</v>
      </c>
      <c r="AR247" s="868">
        <f t="shared" ca="1" si="93"/>
        <v>0</v>
      </c>
      <c r="AS247" s="868">
        <f t="shared" ca="1" si="93"/>
        <v>0</v>
      </c>
      <c r="AT247" s="868">
        <f t="shared" ca="1" si="93"/>
        <v>0</v>
      </c>
    </row>
    <row r="248" spans="1:47" s="77" customFormat="1" ht="18" customHeight="1" outlineLevel="2">
      <c r="A248" s="869" t="str">
        <f>'8.项目规划指标表'!B$5</f>
        <v>高层</v>
      </c>
      <c r="B248" s="870">
        <f ca="1">'15.土地增值税'!D$111</f>
        <v>0</v>
      </c>
      <c r="C248" s="871">
        <f ca="1">IFERROR($B248/$B73*C73,0)</f>
        <v>0</v>
      </c>
      <c r="D248" s="872">
        <f t="shared" ref="D248:AT248" ca="1" si="94">IFERROR($B248/$B73*D73,0)</f>
        <v>0</v>
      </c>
      <c r="E248" s="872">
        <f t="shared" ca="1" si="94"/>
        <v>0</v>
      </c>
      <c r="F248" s="872">
        <f t="shared" ca="1" si="94"/>
        <v>0</v>
      </c>
      <c r="G248" s="871">
        <f t="shared" ca="1" si="94"/>
        <v>0</v>
      </c>
      <c r="H248" s="872">
        <f t="shared" ca="1" si="94"/>
        <v>0</v>
      </c>
      <c r="I248" s="872">
        <f t="shared" ca="1" si="94"/>
        <v>0</v>
      </c>
      <c r="J248" s="872">
        <f t="shared" ca="1" si="94"/>
        <v>0</v>
      </c>
      <c r="K248" s="871">
        <f t="shared" ca="1" si="94"/>
        <v>0</v>
      </c>
      <c r="L248" s="872">
        <f t="shared" ca="1" si="94"/>
        <v>0</v>
      </c>
      <c r="M248" s="872">
        <f t="shared" ca="1" si="94"/>
        <v>0</v>
      </c>
      <c r="N248" s="872">
        <f t="shared" ca="1" si="94"/>
        <v>0</v>
      </c>
      <c r="O248" s="871">
        <f t="shared" ca="1" si="94"/>
        <v>0</v>
      </c>
      <c r="P248" s="872">
        <f t="shared" ca="1" si="94"/>
        <v>0</v>
      </c>
      <c r="Q248" s="872">
        <f t="shared" ca="1" si="94"/>
        <v>0</v>
      </c>
      <c r="R248" s="872">
        <f t="shared" ca="1" si="94"/>
        <v>0</v>
      </c>
      <c r="S248" s="871">
        <f t="shared" ca="1" si="94"/>
        <v>0</v>
      </c>
      <c r="T248" s="872">
        <f t="shared" ca="1" si="94"/>
        <v>0</v>
      </c>
      <c r="U248" s="872">
        <f t="shared" ca="1" si="94"/>
        <v>0</v>
      </c>
      <c r="V248" s="872">
        <f t="shared" ca="1" si="94"/>
        <v>0</v>
      </c>
      <c r="W248" s="871">
        <f t="shared" ca="1" si="94"/>
        <v>0</v>
      </c>
      <c r="X248" s="872">
        <f t="shared" ca="1" si="94"/>
        <v>0</v>
      </c>
      <c r="Y248" s="872">
        <f t="shared" ca="1" si="94"/>
        <v>0</v>
      </c>
      <c r="Z248" s="872">
        <f t="shared" ca="1" si="94"/>
        <v>0</v>
      </c>
      <c r="AA248" s="871">
        <f t="shared" ca="1" si="94"/>
        <v>0</v>
      </c>
      <c r="AB248" s="872">
        <f t="shared" ca="1" si="94"/>
        <v>0</v>
      </c>
      <c r="AC248" s="872">
        <f t="shared" ca="1" si="94"/>
        <v>0</v>
      </c>
      <c r="AD248" s="872">
        <f t="shared" ca="1" si="94"/>
        <v>0</v>
      </c>
      <c r="AE248" s="871">
        <f t="shared" ca="1" si="94"/>
        <v>0</v>
      </c>
      <c r="AF248" s="872">
        <f t="shared" ca="1" si="94"/>
        <v>0</v>
      </c>
      <c r="AG248" s="872">
        <f t="shared" ca="1" si="94"/>
        <v>0</v>
      </c>
      <c r="AH248" s="872">
        <f t="shared" ca="1" si="94"/>
        <v>0</v>
      </c>
      <c r="AI248" s="871">
        <f t="shared" ca="1" si="94"/>
        <v>0</v>
      </c>
      <c r="AJ248" s="872">
        <f t="shared" ca="1" si="94"/>
        <v>0</v>
      </c>
      <c r="AK248" s="872">
        <f t="shared" ca="1" si="94"/>
        <v>0</v>
      </c>
      <c r="AL248" s="872">
        <f t="shared" ca="1" si="94"/>
        <v>0</v>
      </c>
      <c r="AM248" s="871">
        <f t="shared" ca="1" si="94"/>
        <v>0</v>
      </c>
      <c r="AN248" s="872">
        <f t="shared" ca="1" si="94"/>
        <v>0</v>
      </c>
      <c r="AO248" s="872">
        <f t="shared" ca="1" si="94"/>
        <v>0</v>
      </c>
      <c r="AP248" s="872">
        <f t="shared" ca="1" si="94"/>
        <v>0</v>
      </c>
      <c r="AQ248" s="871">
        <f t="shared" ca="1" si="94"/>
        <v>0</v>
      </c>
      <c r="AR248" s="872">
        <f t="shared" ca="1" si="94"/>
        <v>0</v>
      </c>
      <c r="AS248" s="872">
        <f t="shared" ca="1" si="94"/>
        <v>0</v>
      </c>
      <c r="AT248" s="872">
        <f t="shared" ca="1" si="94"/>
        <v>0</v>
      </c>
      <c r="AU248" s="823">
        <f ca="1">SUM(C248:AT248)-B248</f>
        <v>0</v>
      </c>
    </row>
    <row r="249" spans="1:47" s="77" customFormat="1" ht="18" customHeight="1" outlineLevel="2">
      <c r="A249" s="869" t="str">
        <f>'8.项目规划指标表'!B$6</f>
        <v>商铺</v>
      </c>
      <c r="B249" s="870">
        <f ca="1">'15.土地增值税'!E$111</f>
        <v>0</v>
      </c>
      <c r="C249" s="871">
        <f t="shared" ref="C249:AT249" ca="1" si="95">IFERROR($B249/$B74*C74,0)</f>
        <v>0</v>
      </c>
      <c r="D249" s="872">
        <f t="shared" ca="1" si="95"/>
        <v>0</v>
      </c>
      <c r="E249" s="872">
        <f t="shared" ca="1" si="95"/>
        <v>0</v>
      </c>
      <c r="F249" s="872">
        <f t="shared" ca="1" si="95"/>
        <v>0</v>
      </c>
      <c r="G249" s="871">
        <f t="shared" ca="1" si="95"/>
        <v>0</v>
      </c>
      <c r="H249" s="872">
        <f t="shared" ca="1" si="95"/>
        <v>0</v>
      </c>
      <c r="I249" s="872">
        <f t="shared" ca="1" si="95"/>
        <v>0</v>
      </c>
      <c r="J249" s="872">
        <f t="shared" ca="1" si="95"/>
        <v>0</v>
      </c>
      <c r="K249" s="871">
        <f t="shared" ca="1" si="95"/>
        <v>0</v>
      </c>
      <c r="L249" s="872">
        <f t="shared" ca="1" si="95"/>
        <v>0</v>
      </c>
      <c r="M249" s="872">
        <f t="shared" ca="1" si="95"/>
        <v>0</v>
      </c>
      <c r="N249" s="872">
        <f t="shared" ca="1" si="95"/>
        <v>0</v>
      </c>
      <c r="O249" s="871">
        <f t="shared" ca="1" si="95"/>
        <v>0</v>
      </c>
      <c r="P249" s="872">
        <f t="shared" ca="1" si="95"/>
        <v>0</v>
      </c>
      <c r="Q249" s="872">
        <f t="shared" ca="1" si="95"/>
        <v>0</v>
      </c>
      <c r="R249" s="872">
        <f t="shared" ca="1" si="95"/>
        <v>0</v>
      </c>
      <c r="S249" s="871">
        <f t="shared" ca="1" si="95"/>
        <v>0</v>
      </c>
      <c r="T249" s="872">
        <f t="shared" ca="1" si="95"/>
        <v>0</v>
      </c>
      <c r="U249" s="872">
        <f t="shared" ca="1" si="95"/>
        <v>0</v>
      </c>
      <c r="V249" s="872">
        <f t="shared" ca="1" si="95"/>
        <v>0</v>
      </c>
      <c r="W249" s="871">
        <f t="shared" ca="1" si="95"/>
        <v>0</v>
      </c>
      <c r="X249" s="872">
        <f t="shared" ca="1" si="95"/>
        <v>0</v>
      </c>
      <c r="Y249" s="872">
        <f t="shared" ca="1" si="95"/>
        <v>0</v>
      </c>
      <c r="Z249" s="872">
        <f t="shared" ca="1" si="95"/>
        <v>0</v>
      </c>
      <c r="AA249" s="871">
        <f t="shared" ca="1" si="95"/>
        <v>0</v>
      </c>
      <c r="AB249" s="872">
        <f t="shared" ca="1" si="95"/>
        <v>0</v>
      </c>
      <c r="AC249" s="872">
        <f t="shared" ca="1" si="95"/>
        <v>0</v>
      </c>
      <c r="AD249" s="872">
        <f t="shared" ca="1" si="95"/>
        <v>0</v>
      </c>
      <c r="AE249" s="871">
        <f t="shared" ca="1" si="95"/>
        <v>0</v>
      </c>
      <c r="AF249" s="872">
        <f t="shared" ca="1" si="95"/>
        <v>0</v>
      </c>
      <c r="AG249" s="872">
        <f t="shared" ca="1" si="95"/>
        <v>0</v>
      </c>
      <c r="AH249" s="872">
        <f t="shared" ca="1" si="95"/>
        <v>0</v>
      </c>
      <c r="AI249" s="871">
        <f t="shared" ca="1" si="95"/>
        <v>0</v>
      </c>
      <c r="AJ249" s="872">
        <f t="shared" ca="1" si="95"/>
        <v>0</v>
      </c>
      <c r="AK249" s="872">
        <f t="shared" ca="1" si="95"/>
        <v>0</v>
      </c>
      <c r="AL249" s="872">
        <f t="shared" ca="1" si="95"/>
        <v>0</v>
      </c>
      <c r="AM249" s="871">
        <f t="shared" ca="1" si="95"/>
        <v>0</v>
      </c>
      <c r="AN249" s="872">
        <f t="shared" ca="1" si="95"/>
        <v>0</v>
      </c>
      <c r="AO249" s="872">
        <f t="shared" ca="1" si="95"/>
        <v>0</v>
      </c>
      <c r="AP249" s="872">
        <f t="shared" ca="1" si="95"/>
        <v>0</v>
      </c>
      <c r="AQ249" s="871">
        <f t="shared" ca="1" si="95"/>
        <v>0</v>
      </c>
      <c r="AR249" s="872">
        <f t="shared" ca="1" si="95"/>
        <v>0</v>
      </c>
      <c r="AS249" s="872">
        <f t="shared" ca="1" si="95"/>
        <v>0</v>
      </c>
      <c r="AT249" s="872">
        <f t="shared" ca="1" si="95"/>
        <v>0</v>
      </c>
      <c r="AU249" s="823">
        <f t="shared" ref="AU249:AU259" ca="1" si="96">SUM(C249:AT249)-B249</f>
        <v>0</v>
      </c>
    </row>
    <row r="250" spans="1:47" s="77" customFormat="1" ht="18" customHeight="1" outlineLevel="2">
      <c r="A250" s="869" t="str">
        <f>'8.项目规划指标表'!B$7</f>
        <v>回迁商业</v>
      </c>
      <c r="B250" s="870">
        <f ca="1">'15.土地增值税'!F$111</f>
        <v>0</v>
      </c>
      <c r="C250" s="871">
        <f t="shared" ref="C250:AT250" ca="1" si="97">IFERROR($B250/$B75*C75,0)</f>
        <v>0</v>
      </c>
      <c r="D250" s="872">
        <f t="shared" ca="1" si="97"/>
        <v>0</v>
      </c>
      <c r="E250" s="872">
        <f t="shared" ca="1" si="97"/>
        <v>0</v>
      </c>
      <c r="F250" s="872">
        <f t="shared" ca="1" si="97"/>
        <v>0</v>
      </c>
      <c r="G250" s="871">
        <f t="shared" ca="1" si="97"/>
        <v>0</v>
      </c>
      <c r="H250" s="872">
        <f t="shared" ca="1" si="97"/>
        <v>0</v>
      </c>
      <c r="I250" s="872">
        <f t="shared" ca="1" si="97"/>
        <v>0</v>
      </c>
      <c r="J250" s="872">
        <f t="shared" ca="1" si="97"/>
        <v>0</v>
      </c>
      <c r="K250" s="871">
        <f t="shared" ca="1" si="97"/>
        <v>0</v>
      </c>
      <c r="L250" s="872">
        <f t="shared" ca="1" si="97"/>
        <v>0</v>
      </c>
      <c r="M250" s="872">
        <f t="shared" ca="1" si="97"/>
        <v>0</v>
      </c>
      <c r="N250" s="872">
        <f t="shared" ca="1" si="97"/>
        <v>0</v>
      </c>
      <c r="O250" s="871">
        <f t="shared" ca="1" si="97"/>
        <v>0</v>
      </c>
      <c r="P250" s="872">
        <f t="shared" ca="1" si="97"/>
        <v>0</v>
      </c>
      <c r="Q250" s="872">
        <f t="shared" ca="1" si="97"/>
        <v>0</v>
      </c>
      <c r="R250" s="872">
        <f t="shared" ca="1" si="97"/>
        <v>0</v>
      </c>
      <c r="S250" s="871">
        <f t="shared" ca="1" si="97"/>
        <v>0</v>
      </c>
      <c r="T250" s="872">
        <f t="shared" ca="1" si="97"/>
        <v>0</v>
      </c>
      <c r="U250" s="872">
        <f t="shared" ca="1" si="97"/>
        <v>0</v>
      </c>
      <c r="V250" s="872">
        <f t="shared" ca="1" si="97"/>
        <v>0</v>
      </c>
      <c r="W250" s="871">
        <f t="shared" ca="1" si="97"/>
        <v>0</v>
      </c>
      <c r="X250" s="872">
        <f t="shared" ca="1" si="97"/>
        <v>0</v>
      </c>
      <c r="Y250" s="872">
        <f t="shared" ca="1" si="97"/>
        <v>0</v>
      </c>
      <c r="Z250" s="872">
        <f t="shared" ca="1" si="97"/>
        <v>0</v>
      </c>
      <c r="AA250" s="871">
        <f t="shared" ca="1" si="97"/>
        <v>0</v>
      </c>
      <c r="AB250" s="872">
        <f t="shared" ca="1" si="97"/>
        <v>0</v>
      </c>
      <c r="AC250" s="872">
        <f t="shared" ca="1" si="97"/>
        <v>0</v>
      </c>
      <c r="AD250" s="872">
        <f t="shared" ca="1" si="97"/>
        <v>0</v>
      </c>
      <c r="AE250" s="871">
        <f t="shared" ca="1" si="97"/>
        <v>0</v>
      </c>
      <c r="AF250" s="872">
        <f t="shared" ca="1" si="97"/>
        <v>0</v>
      </c>
      <c r="AG250" s="872">
        <f t="shared" ca="1" si="97"/>
        <v>0</v>
      </c>
      <c r="AH250" s="872">
        <f t="shared" ca="1" si="97"/>
        <v>0</v>
      </c>
      <c r="AI250" s="871">
        <f t="shared" ca="1" si="97"/>
        <v>0</v>
      </c>
      <c r="AJ250" s="872">
        <f t="shared" ca="1" si="97"/>
        <v>0</v>
      </c>
      <c r="AK250" s="872">
        <f t="shared" ca="1" si="97"/>
        <v>0</v>
      </c>
      <c r="AL250" s="872">
        <f t="shared" ca="1" si="97"/>
        <v>0</v>
      </c>
      <c r="AM250" s="871">
        <f t="shared" ca="1" si="97"/>
        <v>0</v>
      </c>
      <c r="AN250" s="872">
        <f t="shared" ca="1" si="97"/>
        <v>0</v>
      </c>
      <c r="AO250" s="872">
        <f t="shared" ca="1" si="97"/>
        <v>0</v>
      </c>
      <c r="AP250" s="872">
        <f t="shared" ca="1" si="97"/>
        <v>0</v>
      </c>
      <c r="AQ250" s="871">
        <f t="shared" ca="1" si="97"/>
        <v>0</v>
      </c>
      <c r="AR250" s="872">
        <f t="shared" ca="1" si="97"/>
        <v>0</v>
      </c>
      <c r="AS250" s="872">
        <f t="shared" ca="1" si="97"/>
        <v>0</v>
      </c>
      <c r="AT250" s="872">
        <f t="shared" ca="1" si="97"/>
        <v>0</v>
      </c>
      <c r="AU250" s="823">
        <f t="shared" ca="1" si="96"/>
        <v>0</v>
      </c>
    </row>
    <row r="251" spans="1:47" s="77" customFormat="1" ht="18" customHeight="1" outlineLevel="2">
      <c r="A251" s="869">
        <f>'8.项目规划指标表'!B$8</f>
        <v>0</v>
      </c>
      <c r="B251" s="870">
        <f ca="1">'15.土地增值税'!G$111</f>
        <v>0</v>
      </c>
      <c r="C251" s="871">
        <f t="shared" ref="C251:AT251" ca="1" si="98">IFERROR($B251/$B76*C76,0)</f>
        <v>0</v>
      </c>
      <c r="D251" s="872">
        <f t="shared" ca="1" si="98"/>
        <v>0</v>
      </c>
      <c r="E251" s="872">
        <f t="shared" ca="1" si="98"/>
        <v>0</v>
      </c>
      <c r="F251" s="872">
        <f t="shared" ca="1" si="98"/>
        <v>0</v>
      </c>
      <c r="G251" s="871">
        <f t="shared" ca="1" si="98"/>
        <v>0</v>
      </c>
      <c r="H251" s="872">
        <f t="shared" ca="1" si="98"/>
        <v>0</v>
      </c>
      <c r="I251" s="872">
        <f t="shared" ca="1" si="98"/>
        <v>0</v>
      </c>
      <c r="J251" s="872">
        <f t="shared" ca="1" si="98"/>
        <v>0</v>
      </c>
      <c r="K251" s="871">
        <f t="shared" ca="1" si="98"/>
        <v>0</v>
      </c>
      <c r="L251" s="872">
        <f t="shared" ca="1" si="98"/>
        <v>0</v>
      </c>
      <c r="M251" s="872">
        <f t="shared" ca="1" si="98"/>
        <v>0</v>
      </c>
      <c r="N251" s="872">
        <f t="shared" ca="1" si="98"/>
        <v>0</v>
      </c>
      <c r="O251" s="871">
        <f t="shared" ca="1" si="98"/>
        <v>0</v>
      </c>
      <c r="P251" s="872">
        <f t="shared" ca="1" si="98"/>
        <v>0</v>
      </c>
      <c r="Q251" s="872">
        <f t="shared" ca="1" si="98"/>
        <v>0</v>
      </c>
      <c r="R251" s="872">
        <f t="shared" ca="1" si="98"/>
        <v>0</v>
      </c>
      <c r="S251" s="871">
        <f t="shared" ca="1" si="98"/>
        <v>0</v>
      </c>
      <c r="T251" s="872">
        <f t="shared" ca="1" si="98"/>
        <v>0</v>
      </c>
      <c r="U251" s="872">
        <f t="shared" ca="1" si="98"/>
        <v>0</v>
      </c>
      <c r="V251" s="872">
        <f t="shared" ca="1" si="98"/>
        <v>0</v>
      </c>
      <c r="W251" s="871">
        <f t="shared" ca="1" si="98"/>
        <v>0</v>
      </c>
      <c r="X251" s="872">
        <f t="shared" ca="1" si="98"/>
        <v>0</v>
      </c>
      <c r="Y251" s="872">
        <f t="shared" ca="1" si="98"/>
        <v>0</v>
      </c>
      <c r="Z251" s="872">
        <f t="shared" ca="1" si="98"/>
        <v>0</v>
      </c>
      <c r="AA251" s="871">
        <f t="shared" ca="1" si="98"/>
        <v>0</v>
      </c>
      <c r="AB251" s="872">
        <f t="shared" ca="1" si="98"/>
        <v>0</v>
      </c>
      <c r="AC251" s="872">
        <f t="shared" ca="1" si="98"/>
        <v>0</v>
      </c>
      <c r="AD251" s="872">
        <f t="shared" ca="1" si="98"/>
        <v>0</v>
      </c>
      <c r="AE251" s="871">
        <f t="shared" ca="1" si="98"/>
        <v>0</v>
      </c>
      <c r="AF251" s="872">
        <f t="shared" ca="1" si="98"/>
        <v>0</v>
      </c>
      <c r="AG251" s="872">
        <f t="shared" ca="1" si="98"/>
        <v>0</v>
      </c>
      <c r="AH251" s="872">
        <f t="shared" ca="1" si="98"/>
        <v>0</v>
      </c>
      <c r="AI251" s="871">
        <f t="shared" ca="1" si="98"/>
        <v>0</v>
      </c>
      <c r="AJ251" s="872">
        <f t="shared" ca="1" si="98"/>
        <v>0</v>
      </c>
      <c r="AK251" s="872">
        <f t="shared" ca="1" si="98"/>
        <v>0</v>
      </c>
      <c r="AL251" s="872">
        <f t="shared" ca="1" si="98"/>
        <v>0</v>
      </c>
      <c r="AM251" s="871">
        <f t="shared" ca="1" si="98"/>
        <v>0</v>
      </c>
      <c r="AN251" s="872">
        <f t="shared" ca="1" si="98"/>
        <v>0</v>
      </c>
      <c r="AO251" s="872">
        <f t="shared" ca="1" si="98"/>
        <v>0</v>
      </c>
      <c r="AP251" s="872">
        <f t="shared" ca="1" si="98"/>
        <v>0</v>
      </c>
      <c r="AQ251" s="871">
        <f t="shared" ca="1" si="98"/>
        <v>0</v>
      </c>
      <c r="AR251" s="872">
        <f t="shared" ca="1" si="98"/>
        <v>0</v>
      </c>
      <c r="AS251" s="872">
        <f t="shared" ca="1" si="98"/>
        <v>0</v>
      </c>
      <c r="AT251" s="872">
        <f t="shared" ca="1" si="98"/>
        <v>0</v>
      </c>
      <c r="AU251" s="823">
        <f t="shared" ca="1" si="96"/>
        <v>0</v>
      </c>
    </row>
    <row r="252" spans="1:47" s="77" customFormat="1" ht="18" customHeight="1" outlineLevel="2">
      <c r="A252" s="869">
        <f>'8.项目规划指标表'!B$9</f>
        <v>0</v>
      </c>
      <c r="B252" s="870">
        <f ca="1">'15.土地增值税'!H$111</f>
        <v>0</v>
      </c>
      <c r="C252" s="871">
        <f t="shared" ref="C252:AT252" ca="1" si="99">IFERROR($B252/$B77*C77,0)</f>
        <v>0</v>
      </c>
      <c r="D252" s="872">
        <f t="shared" ca="1" si="99"/>
        <v>0</v>
      </c>
      <c r="E252" s="872">
        <f t="shared" ca="1" si="99"/>
        <v>0</v>
      </c>
      <c r="F252" s="872">
        <f t="shared" ca="1" si="99"/>
        <v>0</v>
      </c>
      <c r="G252" s="871">
        <f t="shared" ca="1" si="99"/>
        <v>0</v>
      </c>
      <c r="H252" s="872">
        <f t="shared" ca="1" si="99"/>
        <v>0</v>
      </c>
      <c r="I252" s="872">
        <f t="shared" ca="1" si="99"/>
        <v>0</v>
      </c>
      <c r="J252" s="872">
        <f t="shared" ca="1" si="99"/>
        <v>0</v>
      </c>
      <c r="K252" s="871">
        <f t="shared" ca="1" si="99"/>
        <v>0</v>
      </c>
      <c r="L252" s="872">
        <f t="shared" ca="1" si="99"/>
        <v>0</v>
      </c>
      <c r="M252" s="872">
        <f t="shared" ca="1" si="99"/>
        <v>0</v>
      </c>
      <c r="N252" s="872">
        <f t="shared" ca="1" si="99"/>
        <v>0</v>
      </c>
      <c r="O252" s="871">
        <f t="shared" ca="1" si="99"/>
        <v>0</v>
      </c>
      <c r="P252" s="872">
        <f t="shared" ca="1" si="99"/>
        <v>0</v>
      </c>
      <c r="Q252" s="872">
        <f t="shared" ca="1" si="99"/>
        <v>0</v>
      </c>
      <c r="R252" s="872">
        <f t="shared" ca="1" si="99"/>
        <v>0</v>
      </c>
      <c r="S252" s="871">
        <f t="shared" ca="1" si="99"/>
        <v>0</v>
      </c>
      <c r="T252" s="872">
        <f t="shared" ca="1" si="99"/>
        <v>0</v>
      </c>
      <c r="U252" s="872">
        <f t="shared" ca="1" si="99"/>
        <v>0</v>
      </c>
      <c r="V252" s="872">
        <f t="shared" ca="1" si="99"/>
        <v>0</v>
      </c>
      <c r="W252" s="871">
        <f t="shared" ca="1" si="99"/>
        <v>0</v>
      </c>
      <c r="X252" s="872">
        <f t="shared" ca="1" si="99"/>
        <v>0</v>
      </c>
      <c r="Y252" s="872">
        <f t="shared" ca="1" si="99"/>
        <v>0</v>
      </c>
      <c r="Z252" s="872">
        <f t="shared" ca="1" si="99"/>
        <v>0</v>
      </c>
      <c r="AA252" s="871">
        <f t="shared" ca="1" si="99"/>
        <v>0</v>
      </c>
      <c r="AB252" s="872">
        <f t="shared" ca="1" si="99"/>
        <v>0</v>
      </c>
      <c r="AC252" s="872">
        <f t="shared" ca="1" si="99"/>
        <v>0</v>
      </c>
      <c r="AD252" s="872">
        <f t="shared" ca="1" si="99"/>
        <v>0</v>
      </c>
      <c r="AE252" s="871">
        <f t="shared" ca="1" si="99"/>
        <v>0</v>
      </c>
      <c r="AF252" s="872">
        <f t="shared" ca="1" si="99"/>
        <v>0</v>
      </c>
      <c r="AG252" s="872">
        <f t="shared" ca="1" si="99"/>
        <v>0</v>
      </c>
      <c r="AH252" s="872">
        <f t="shared" ca="1" si="99"/>
        <v>0</v>
      </c>
      <c r="AI252" s="871">
        <f t="shared" ca="1" si="99"/>
        <v>0</v>
      </c>
      <c r="AJ252" s="872">
        <f t="shared" ca="1" si="99"/>
        <v>0</v>
      </c>
      <c r="AK252" s="872">
        <f t="shared" ca="1" si="99"/>
        <v>0</v>
      </c>
      <c r="AL252" s="872">
        <f t="shared" ca="1" si="99"/>
        <v>0</v>
      </c>
      <c r="AM252" s="871">
        <f t="shared" ca="1" si="99"/>
        <v>0</v>
      </c>
      <c r="AN252" s="872">
        <f t="shared" ca="1" si="99"/>
        <v>0</v>
      </c>
      <c r="AO252" s="872">
        <f t="shared" ca="1" si="99"/>
        <v>0</v>
      </c>
      <c r="AP252" s="872">
        <f t="shared" ca="1" si="99"/>
        <v>0</v>
      </c>
      <c r="AQ252" s="871">
        <f t="shared" ca="1" si="99"/>
        <v>0</v>
      </c>
      <c r="AR252" s="872">
        <f t="shared" ca="1" si="99"/>
        <v>0</v>
      </c>
      <c r="AS252" s="872">
        <f t="shared" ca="1" si="99"/>
        <v>0</v>
      </c>
      <c r="AT252" s="872">
        <f t="shared" ca="1" si="99"/>
        <v>0</v>
      </c>
      <c r="AU252" s="823">
        <f t="shared" ca="1" si="96"/>
        <v>0</v>
      </c>
    </row>
    <row r="253" spans="1:47" s="77" customFormat="1" ht="18" customHeight="1" outlineLevel="2">
      <c r="A253" s="869">
        <f>'8.项目规划指标表'!B$10</f>
        <v>0</v>
      </c>
      <c r="B253" s="870">
        <f ca="1">'15.土地增值税'!I$111</f>
        <v>0</v>
      </c>
      <c r="C253" s="871">
        <f t="shared" ref="C253:AT253" ca="1" si="100">IFERROR($B253/$B78*C78,0)</f>
        <v>0</v>
      </c>
      <c r="D253" s="872">
        <f t="shared" ca="1" si="100"/>
        <v>0</v>
      </c>
      <c r="E253" s="872">
        <f t="shared" ca="1" si="100"/>
        <v>0</v>
      </c>
      <c r="F253" s="872">
        <f t="shared" ca="1" si="100"/>
        <v>0</v>
      </c>
      <c r="G253" s="871">
        <f t="shared" ca="1" si="100"/>
        <v>0</v>
      </c>
      <c r="H253" s="872">
        <f t="shared" ca="1" si="100"/>
        <v>0</v>
      </c>
      <c r="I253" s="872">
        <f t="shared" ca="1" si="100"/>
        <v>0</v>
      </c>
      <c r="J253" s="872">
        <f t="shared" ca="1" si="100"/>
        <v>0</v>
      </c>
      <c r="K253" s="871">
        <f t="shared" ca="1" si="100"/>
        <v>0</v>
      </c>
      <c r="L253" s="872">
        <f t="shared" ca="1" si="100"/>
        <v>0</v>
      </c>
      <c r="M253" s="872">
        <f t="shared" ca="1" si="100"/>
        <v>0</v>
      </c>
      <c r="N253" s="872">
        <f t="shared" ca="1" si="100"/>
        <v>0</v>
      </c>
      <c r="O253" s="871">
        <f t="shared" ca="1" si="100"/>
        <v>0</v>
      </c>
      <c r="P253" s="872">
        <f t="shared" ca="1" si="100"/>
        <v>0</v>
      </c>
      <c r="Q253" s="872">
        <f t="shared" ca="1" si="100"/>
        <v>0</v>
      </c>
      <c r="R253" s="872">
        <f t="shared" ca="1" si="100"/>
        <v>0</v>
      </c>
      <c r="S253" s="871">
        <f t="shared" ca="1" si="100"/>
        <v>0</v>
      </c>
      <c r="T253" s="872">
        <f t="shared" ca="1" si="100"/>
        <v>0</v>
      </c>
      <c r="U253" s="872">
        <f t="shared" ca="1" si="100"/>
        <v>0</v>
      </c>
      <c r="V253" s="872">
        <f t="shared" ca="1" si="100"/>
        <v>0</v>
      </c>
      <c r="W253" s="871">
        <f t="shared" ca="1" si="100"/>
        <v>0</v>
      </c>
      <c r="X253" s="872">
        <f t="shared" ca="1" si="100"/>
        <v>0</v>
      </c>
      <c r="Y253" s="872">
        <f t="shared" ca="1" si="100"/>
        <v>0</v>
      </c>
      <c r="Z253" s="872">
        <f t="shared" ca="1" si="100"/>
        <v>0</v>
      </c>
      <c r="AA253" s="871">
        <f t="shared" ca="1" si="100"/>
        <v>0</v>
      </c>
      <c r="AB253" s="872">
        <f t="shared" ca="1" si="100"/>
        <v>0</v>
      </c>
      <c r="AC253" s="872">
        <f t="shared" ca="1" si="100"/>
        <v>0</v>
      </c>
      <c r="AD253" s="872">
        <f t="shared" ca="1" si="100"/>
        <v>0</v>
      </c>
      <c r="AE253" s="871">
        <f t="shared" ca="1" si="100"/>
        <v>0</v>
      </c>
      <c r="AF253" s="872">
        <f t="shared" ca="1" si="100"/>
        <v>0</v>
      </c>
      <c r="AG253" s="872">
        <f t="shared" ca="1" si="100"/>
        <v>0</v>
      </c>
      <c r="AH253" s="872">
        <f t="shared" ca="1" si="100"/>
        <v>0</v>
      </c>
      <c r="AI253" s="871">
        <f t="shared" ca="1" si="100"/>
        <v>0</v>
      </c>
      <c r="AJ253" s="872">
        <f t="shared" ca="1" si="100"/>
        <v>0</v>
      </c>
      <c r="AK253" s="872">
        <f t="shared" ca="1" si="100"/>
        <v>0</v>
      </c>
      <c r="AL253" s="872">
        <f t="shared" ca="1" si="100"/>
        <v>0</v>
      </c>
      <c r="AM253" s="871">
        <f t="shared" ca="1" si="100"/>
        <v>0</v>
      </c>
      <c r="AN253" s="872">
        <f t="shared" ca="1" si="100"/>
        <v>0</v>
      </c>
      <c r="AO253" s="872">
        <f t="shared" ca="1" si="100"/>
        <v>0</v>
      </c>
      <c r="AP253" s="872">
        <f t="shared" ca="1" si="100"/>
        <v>0</v>
      </c>
      <c r="AQ253" s="871">
        <f t="shared" ca="1" si="100"/>
        <v>0</v>
      </c>
      <c r="AR253" s="872">
        <f t="shared" ca="1" si="100"/>
        <v>0</v>
      </c>
      <c r="AS253" s="872">
        <f t="shared" ca="1" si="100"/>
        <v>0</v>
      </c>
      <c r="AT253" s="872">
        <f t="shared" ca="1" si="100"/>
        <v>0</v>
      </c>
      <c r="AU253" s="823">
        <f t="shared" ca="1" si="96"/>
        <v>0</v>
      </c>
    </row>
    <row r="254" spans="1:47" s="77" customFormat="1" ht="18" customHeight="1" outlineLevel="2">
      <c r="A254" s="869">
        <f>'8.项目规划指标表'!B$11</f>
        <v>0</v>
      </c>
      <c r="B254" s="870">
        <f ca="1">'15.土地增值税'!J$111</f>
        <v>0</v>
      </c>
      <c r="C254" s="871">
        <f t="shared" ref="C254:AT254" ca="1" si="101">IFERROR($B254/$B79*C79,0)</f>
        <v>0</v>
      </c>
      <c r="D254" s="872">
        <f t="shared" ca="1" si="101"/>
        <v>0</v>
      </c>
      <c r="E254" s="872">
        <f t="shared" ca="1" si="101"/>
        <v>0</v>
      </c>
      <c r="F254" s="872">
        <f t="shared" ca="1" si="101"/>
        <v>0</v>
      </c>
      <c r="G254" s="871">
        <f t="shared" ca="1" si="101"/>
        <v>0</v>
      </c>
      <c r="H254" s="872">
        <f t="shared" ca="1" si="101"/>
        <v>0</v>
      </c>
      <c r="I254" s="872">
        <f t="shared" ca="1" si="101"/>
        <v>0</v>
      </c>
      <c r="J254" s="872">
        <f t="shared" ca="1" si="101"/>
        <v>0</v>
      </c>
      <c r="K254" s="871">
        <f t="shared" ca="1" si="101"/>
        <v>0</v>
      </c>
      <c r="L254" s="872">
        <f t="shared" ca="1" si="101"/>
        <v>0</v>
      </c>
      <c r="M254" s="872">
        <f t="shared" ca="1" si="101"/>
        <v>0</v>
      </c>
      <c r="N254" s="872">
        <f t="shared" ca="1" si="101"/>
        <v>0</v>
      </c>
      <c r="O254" s="871">
        <f t="shared" ca="1" si="101"/>
        <v>0</v>
      </c>
      <c r="P254" s="872">
        <f t="shared" ca="1" si="101"/>
        <v>0</v>
      </c>
      <c r="Q254" s="872">
        <f t="shared" ca="1" si="101"/>
        <v>0</v>
      </c>
      <c r="R254" s="872">
        <f t="shared" ca="1" si="101"/>
        <v>0</v>
      </c>
      <c r="S254" s="871">
        <f t="shared" ca="1" si="101"/>
        <v>0</v>
      </c>
      <c r="T254" s="872">
        <f t="shared" ca="1" si="101"/>
        <v>0</v>
      </c>
      <c r="U254" s="872">
        <f t="shared" ca="1" si="101"/>
        <v>0</v>
      </c>
      <c r="V254" s="872">
        <f t="shared" ca="1" si="101"/>
        <v>0</v>
      </c>
      <c r="W254" s="871">
        <f t="shared" ca="1" si="101"/>
        <v>0</v>
      </c>
      <c r="X254" s="872">
        <f t="shared" ca="1" si="101"/>
        <v>0</v>
      </c>
      <c r="Y254" s="872">
        <f t="shared" ca="1" si="101"/>
        <v>0</v>
      </c>
      <c r="Z254" s="872">
        <f t="shared" ca="1" si="101"/>
        <v>0</v>
      </c>
      <c r="AA254" s="871">
        <f t="shared" ca="1" si="101"/>
        <v>0</v>
      </c>
      <c r="AB254" s="872">
        <f t="shared" ca="1" si="101"/>
        <v>0</v>
      </c>
      <c r="AC254" s="872">
        <f t="shared" ca="1" si="101"/>
        <v>0</v>
      </c>
      <c r="AD254" s="872">
        <f t="shared" ca="1" si="101"/>
        <v>0</v>
      </c>
      <c r="AE254" s="871">
        <f t="shared" ca="1" si="101"/>
        <v>0</v>
      </c>
      <c r="AF254" s="872">
        <f t="shared" ca="1" si="101"/>
        <v>0</v>
      </c>
      <c r="AG254" s="872">
        <f t="shared" ca="1" si="101"/>
        <v>0</v>
      </c>
      <c r="AH254" s="872">
        <f t="shared" ca="1" si="101"/>
        <v>0</v>
      </c>
      <c r="AI254" s="871">
        <f t="shared" ca="1" si="101"/>
        <v>0</v>
      </c>
      <c r="AJ254" s="872">
        <f t="shared" ca="1" si="101"/>
        <v>0</v>
      </c>
      <c r="AK254" s="872">
        <f t="shared" ca="1" si="101"/>
        <v>0</v>
      </c>
      <c r="AL254" s="872">
        <f t="shared" ca="1" si="101"/>
        <v>0</v>
      </c>
      <c r="AM254" s="871">
        <f t="shared" ca="1" si="101"/>
        <v>0</v>
      </c>
      <c r="AN254" s="872">
        <f t="shared" ca="1" si="101"/>
        <v>0</v>
      </c>
      <c r="AO254" s="872">
        <f t="shared" ca="1" si="101"/>
        <v>0</v>
      </c>
      <c r="AP254" s="872">
        <f t="shared" ca="1" si="101"/>
        <v>0</v>
      </c>
      <c r="AQ254" s="871">
        <f t="shared" ca="1" si="101"/>
        <v>0</v>
      </c>
      <c r="AR254" s="872">
        <f t="shared" ca="1" si="101"/>
        <v>0</v>
      </c>
      <c r="AS254" s="872">
        <f t="shared" ca="1" si="101"/>
        <v>0</v>
      </c>
      <c r="AT254" s="872">
        <f t="shared" ca="1" si="101"/>
        <v>0</v>
      </c>
      <c r="AU254" s="823">
        <f t="shared" ca="1" si="96"/>
        <v>0</v>
      </c>
    </row>
    <row r="255" spans="1:47" s="77" customFormat="1" ht="18" customHeight="1" outlineLevel="2">
      <c r="A255" s="869">
        <f>'8.项目规划指标表'!B$12</f>
        <v>0</v>
      </c>
      <c r="B255" s="870">
        <f ca="1">'15.土地增值税'!K$111</f>
        <v>0</v>
      </c>
      <c r="C255" s="871">
        <f t="shared" ref="C255:AT255" ca="1" si="102">IFERROR($B255/$B80*C80,0)</f>
        <v>0</v>
      </c>
      <c r="D255" s="872">
        <f t="shared" ca="1" si="102"/>
        <v>0</v>
      </c>
      <c r="E255" s="872">
        <f t="shared" ca="1" si="102"/>
        <v>0</v>
      </c>
      <c r="F255" s="872">
        <f t="shared" ca="1" si="102"/>
        <v>0</v>
      </c>
      <c r="G255" s="871">
        <f t="shared" ca="1" si="102"/>
        <v>0</v>
      </c>
      <c r="H255" s="872">
        <f t="shared" ca="1" si="102"/>
        <v>0</v>
      </c>
      <c r="I255" s="872">
        <f t="shared" ca="1" si="102"/>
        <v>0</v>
      </c>
      <c r="J255" s="872">
        <f t="shared" ca="1" si="102"/>
        <v>0</v>
      </c>
      <c r="K255" s="871">
        <f t="shared" ca="1" si="102"/>
        <v>0</v>
      </c>
      <c r="L255" s="872">
        <f t="shared" ca="1" si="102"/>
        <v>0</v>
      </c>
      <c r="M255" s="872">
        <f t="shared" ca="1" si="102"/>
        <v>0</v>
      </c>
      <c r="N255" s="872">
        <f t="shared" ca="1" si="102"/>
        <v>0</v>
      </c>
      <c r="O255" s="871">
        <f t="shared" ca="1" si="102"/>
        <v>0</v>
      </c>
      <c r="P255" s="872">
        <f t="shared" ca="1" si="102"/>
        <v>0</v>
      </c>
      <c r="Q255" s="872">
        <f t="shared" ca="1" si="102"/>
        <v>0</v>
      </c>
      <c r="R255" s="872">
        <f t="shared" ca="1" si="102"/>
        <v>0</v>
      </c>
      <c r="S255" s="871">
        <f t="shared" ca="1" si="102"/>
        <v>0</v>
      </c>
      <c r="T255" s="872">
        <f t="shared" ca="1" si="102"/>
        <v>0</v>
      </c>
      <c r="U255" s="872">
        <f t="shared" ca="1" si="102"/>
        <v>0</v>
      </c>
      <c r="V255" s="872">
        <f t="shared" ca="1" si="102"/>
        <v>0</v>
      </c>
      <c r="W255" s="871">
        <f t="shared" ca="1" si="102"/>
        <v>0</v>
      </c>
      <c r="X255" s="872">
        <f t="shared" ca="1" si="102"/>
        <v>0</v>
      </c>
      <c r="Y255" s="872">
        <f t="shared" ca="1" si="102"/>
        <v>0</v>
      </c>
      <c r="Z255" s="872">
        <f t="shared" ca="1" si="102"/>
        <v>0</v>
      </c>
      <c r="AA255" s="871">
        <f t="shared" ca="1" si="102"/>
        <v>0</v>
      </c>
      <c r="AB255" s="872">
        <f t="shared" ca="1" si="102"/>
        <v>0</v>
      </c>
      <c r="AC255" s="872">
        <f t="shared" ca="1" si="102"/>
        <v>0</v>
      </c>
      <c r="AD255" s="872">
        <f t="shared" ca="1" si="102"/>
        <v>0</v>
      </c>
      <c r="AE255" s="871">
        <f t="shared" ca="1" si="102"/>
        <v>0</v>
      </c>
      <c r="AF255" s="872">
        <f t="shared" ca="1" si="102"/>
        <v>0</v>
      </c>
      <c r="AG255" s="872">
        <f t="shared" ca="1" si="102"/>
        <v>0</v>
      </c>
      <c r="AH255" s="872">
        <f t="shared" ca="1" si="102"/>
        <v>0</v>
      </c>
      <c r="AI255" s="871">
        <f t="shared" ca="1" si="102"/>
        <v>0</v>
      </c>
      <c r="AJ255" s="872">
        <f t="shared" ca="1" si="102"/>
        <v>0</v>
      </c>
      <c r="AK255" s="872">
        <f t="shared" ca="1" si="102"/>
        <v>0</v>
      </c>
      <c r="AL255" s="872">
        <f t="shared" ca="1" si="102"/>
        <v>0</v>
      </c>
      <c r="AM255" s="871">
        <f t="shared" ca="1" si="102"/>
        <v>0</v>
      </c>
      <c r="AN255" s="872">
        <f t="shared" ca="1" si="102"/>
        <v>0</v>
      </c>
      <c r="AO255" s="872">
        <f t="shared" ca="1" si="102"/>
        <v>0</v>
      </c>
      <c r="AP255" s="872">
        <f t="shared" ca="1" si="102"/>
        <v>0</v>
      </c>
      <c r="AQ255" s="871">
        <f t="shared" ca="1" si="102"/>
        <v>0</v>
      </c>
      <c r="AR255" s="872">
        <f t="shared" ca="1" si="102"/>
        <v>0</v>
      </c>
      <c r="AS255" s="872">
        <f t="shared" ca="1" si="102"/>
        <v>0</v>
      </c>
      <c r="AT255" s="872">
        <f t="shared" ca="1" si="102"/>
        <v>0</v>
      </c>
      <c r="AU255" s="823">
        <f t="shared" ca="1" si="96"/>
        <v>0</v>
      </c>
    </row>
    <row r="256" spans="1:47" s="77" customFormat="1" ht="18" customHeight="1" outlineLevel="2">
      <c r="A256" s="869">
        <f>'8.项目规划指标表'!B$13</f>
        <v>0</v>
      </c>
      <c r="B256" s="870">
        <f ca="1">'15.土地增值税'!L$111</f>
        <v>0</v>
      </c>
      <c r="C256" s="871">
        <f t="shared" ref="C256:AT256" ca="1" si="103">IFERROR($B256/$B81*C81,0)</f>
        <v>0</v>
      </c>
      <c r="D256" s="872">
        <f t="shared" ca="1" si="103"/>
        <v>0</v>
      </c>
      <c r="E256" s="872">
        <f t="shared" ca="1" si="103"/>
        <v>0</v>
      </c>
      <c r="F256" s="872">
        <f t="shared" ca="1" si="103"/>
        <v>0</v>
      </c>
      <c r="G256" s="871">
        <f t="shared" ca="1" si="103"/>
        <v>0</v>
      </c>
      <c r="H256" s="872">
        <f t="shared" ca="1" si="103"/>
        <v>0</v>
      </c>
      <c r="I256" s="872">
        <f t="shared" ca="1" si="103"/>
        <v>0</v>
      </c>
      <c r="J256" s="872">
        <f t="shared" ca="1" si="103"/>
        <v>0</v>
      </c>
      <c r="K256" s="871">
        <f t="shared" ca="1" si="103"/>
        <v>0</v>
      </c>
      <c r="L256" s="872">
        <f t="shared" ca="1" si="103"/>
        <v>0</v>
      </c>
      <c r="M256" s="872">
        <f t="shared" ca="1" si="103"/>
        <v>0</v>
      </c>
      <c r="N256" s="872">
        <f t="shared" ca="1" si="103"/>
        <v>0</v>
      </c>
      <c r="O256" s="871">
        <f t="shared" ca="1" si="103"/>
        <v>0</v>
      </c>
      <c r="P256" s="872">
        <f t="shared" ca="1" si="103"/>
        <v>0</v>
      </c>
      <c r="Q256" s="872">
        <f t="shared" ca="1" si="103"/>
        <v>0</v>
      </c>
      <c r="R256" s="872">
        <f t="shared" ca="1" si="103"/>
        <v>0</v>
      </c>
      <c r="S256" s="871">
        <f t="shared" ca="1" si="103"/>
        <v>0</v>
      </c>
      <c r="T256" s="872">
        <f t="shared" ca="1" si="103"/>
        <v>0</v>
      </c>
      <c r="U256" s="872">
        <f t="shared" ca="1" si="103"/>
        <v>0</v>
      </c>
      <c r="V256" s="872">
        <f t="shared" ca="1" si="103"/>
        <v>0</v>
      </c>
      <c r="W256" s="871">
        <f t="shared" ca="1" si="103"/>
        <v>0</v>
      </c>
      <c r="X256" s="872">
        <f t="shared" ca="1" si="103"/>
        <v>0</v>
      </c>
      <c r="Y256" s="872">
        <f t="shared" ca="1" si="103"/>
        <v>0</v>
      </c>
      <c r="Z256" s="872">
        <f t="shared" ca="1" si="103"/>
        <v>0</v>
      </c>
      <c r="AA256" s="871">
        <f t="shared" ca="1" si="103"/>
        <v>0</v>
      </c>
      <c r="AB256" s="872">
        <f t="shared" ca="1" si="103"/>
        <v>0</v>
      </c>
      <c r="AC256" s="872">
        <f t="shared" ca="1" si="103"/>
        <v>0</v>
      </c>
      <c r="AD256" s="872">
        <f t="shared" ca="1" si="103"/>
        <v>0</v>
      </c>
      <c r="AE256" s="871">
        <f t="shared" ca="1" si="103"/>
        <v>0</v>
      </c>
      <c r="AF256" s="872">
        <f t="shared" ca="1" si="103"/>
        <v>0</v>
      </c>
      <c r="AG256" s="872">
        <f t="shared" ca="1" si="103"/>
        <v>0</v>
      </c>
      <c r="AH256" s="872">
        <f t="shared" ca="1" si="103"/>
        <v>0</v>
      </c>
      <c r="AI256" s="871">
        <f t="shared" ca="1" si="103"/>
        <v>0</v>
      </c>
      <c r="AJ256" s="872">
        <f t="shared" ca="1" si="103"/>
        <v>0</v>
      </c>
      <c r="AK256" s="872">
        <f t="shared" ca="1" si="103"/>
        <v>0</v>
      </c>
      <c r="AL256" s="872">
        <f t="shared" ca="1" si="103"/>
        <v>0</v>
      </c>
      <c r="AM256" s="871">
        <f t="shared" ca="1" si="103"/>
        <v>0</v>
      </c>
      <c r="AN256" s="872">
        <f t="shared" ca="1" si="103"/>
        <v>0</v>
      </c>
      <c r="AO256" s="872">
        <f t="shared" ca="1" si="103"/>
        <v>0</v>
      </c>
      <c r="AP256" s="872">
        <f t="shared" ca="1" si="103"/>
        <v>0</v>
      </c>
      <c r="AQ256" s="871">
        <f t="shared" ca="1" si="103"/>
        <v>0</v>
      </c>
      <c r="AR256" s="872">
        <f t="shared" ca="1" si="103"/>
        <v>0</v>
      </c>
      <c r="AS256" s="872">
        <f t="shared" ca="1" si="103"/>
        <v>0</v>
      </c>
      <c r="AT256" s="872">
        <f t="shared" ca="1" si="103"/>
        <v>0</v>
      </c>
      <c r="AU256" s="823">
        <f t="shared" ca="1" si="96"/>
        <v>0</v>
      </c>
    </row>
    <row r="257" spans="1:47" s="77" customFormat="1" ht="18" customHeight="1" outlineLevel="2">
      <c r="A257" s="869" t="str">
        <f>'8.项目规划指标表'!B$14</f>
        <v>自持物业</v>
      </c>
      <c r="B257" s="870">
        <f ca="1">'15.土地增值税'!M$111</f>
        <v>0</v>
      </c>
      <c r="C257" s="871">
        <f t="shared" ref="C257:AT257" ca="1" si="104">IFERROR($B257/$B82*C82,0)</f>
        <v>0</v>
      </c>
      <c r="D257" s="872">
        <f t="shared" ca="1" si="104"/>
        <v>0</v>
      </c>
      <c r="E257" s="872">
        <f t="shared" ca="1" si="104"/>
        <v>0</v>
      </c>
      <c r="F257" s="872">
        <f t="shared" ca="1" si="104"/>
        <v>0</v>
      </c>
      <c r="G257" s="871">
        <f t="shared" ca="1" si="104"/>
        <v>0</v>
      </c>
      <c r="H257" s="872">
        <f t="shared" ca="1" si="104"/>
        <v>0</v>
      </c>
      <c r="I257" s="872">
        <f t="shared" ca="1" si="104"/>
        <v>0</v>
      </c>
      <c r="J257" s="872">
        <f t="shared" ca="1" si="104"/>
        <v>0</v>
      </c>
      <c r="K257" s="871">
        <f t="shared" ca="1" si="104"/>
        <v>0</v>
      </c>
      <c r="L257" s="872">
        <f t="shared" ca="1" si="104"/>
        <v>0</v>
      </c>
      <c r="M257" s="872">
        <f t="shared" ca="1" si="104"/>
        <v>0</v>
      </c>
      <c r="N257" s="872">
        <f t="shared" ca="1" si="104"/>
        <v>0</v>
      </c>
      <c r="O257" s="871">
        <f t="shared" ca="1" si="104"/>
        <v>0</v>
      </c>
      <c r="P257" s="872">
        <f t="shared" ca="1" si="104"/>
        <v>0</v>
      </c>
      <c r="Q257" s="872">
        <f t="shared" ca="1" si="104"/>
        <v>0</v>
      </c>
      <c r="R257" s="872">
        <f t="shared" ca="1" si="104"/>
        <v>0</v>
      </c>
      <c r="S257" s="871">
        <f t="shared" ca="1" si="104"/>
        <v>0</v>
      </c>
      <c r="T257" s="872">
        <f t="shared" ca="1" si="104"/>
        <v>0</v>
      </c>
      <c r="U257" s="872">
        <f t="shared" ca="1" si="104"/>
        <v>0</v>
      </c>
      <c r="V257" s="872">
        <f t="shared" ca="1" si="104"/>
        <v>0</v>
      </c>
      <c r="W257" s="871">
        <f t="shared" ca="1" si="104"/>
        <v>0</v>
      </c>
      <c r="X257" s="872">
        <f t="shared" ca="1" si="104"/>
        <v>0</v>
      </c>
      <c r="Y257" s="872">
        <f t="shared" ca="1" si="104"/>
        <v>0</v>
      </c>
      <c r="Z257" s="872">
        <f t="shared" ca="1" si="104"/>
        <v>0</v>
      </c>
      <c r="AA257" s="871">
        <f t="shared" ca="1" si="104"/>
        <v>0</v>
      </c>
      <c r="AB257" s="872">
        <f t="shared" ca="1" si="104"/>
        <v>0</v>
      </c>
      <c r="AC257" s="872">
        <f t="shared" ca="1" si="104"/>
        <v>0</v>
      </c>
      <c r="AD257" s="872">
        <f t="shared" ca="1" si="104"/>
        <v>0</v>
      </c>
      <c r="AE257" s="871">
        <f t="shared" ca="1" si="104"/>
        <v>0</v>
      </c>
      <c r="AF257" s="872">
        <f t="shared" ca="1" si="104"/>
        <v>0</v>
      </c>
      <c r="AG257" s="872">
        <f t="shared" ca="1" si="104"/>
        <v>0</v>
      </c>
      <c r="AH257" s="872">
        <f t="shared" ca="1" si="104"/>
        <v>0</v>
      </c>
      <c r="AI257" s="871">
        <f t="shared" ca="1" si="104"/>
        <v>0</v>
      </c>
      <c r="AJ257" s="872">
        <f t="shared" ca="1" si="104"/>
        <v>0</v>
      </c>
      <c r="AK257" s="872">
        <f t="shared" ca="1" si="104"/>
        <v>0</v>
      </c>
      <c r="AL257" s="872">
        <f t="shared" ca="1" si="104"/>
        <v>0</v>
      </c>
      <c r="AM257" s="871">
        <f t="shared" ca="1" si="104"/>
        <v>0</v>
      </c>
      <c r="AN257" s="872">
        <f t="shared" ca="1" si="104"/>
        <v>0</v>
      </c>
      <c r="AO257" s="872">
        <f t="shared" ca="1" si="104"/>
        <v>0</v>
      </c>
      <c r="AP257" s="872">
        <f t="shared" ca="1" si="104"/>
        <v>0</v>
      </c>
      <c r="AQ257" s="871">
        <f t="shared" ca="1" si="104"/>
        <v>0</v>
      </c>
      <c r="AR257" s="872">
        <f t="shared" ca="1" si="104"/>
        <v>0</v>
      </c>
      <c r="AS257" s="872">
        <f t="shared" ca="1" si="104"/>
        <v>0</v>
      </c>
      <c r="AT257" s="872">
        <f t="shared" ca="1" si="104"/>
        <v>0</v>
      </c>
      <c r="AU257" s="823">
        <f t="shared" ca="1" si="96"/>
        <v>0</v>
      </c>
    </row>
    <row r="258" spans="1:47" s="77" customFormat="1" ht="18" customHeight="1" outlineLevel="2">
      <c r="A258" s="869" t="str">
        <f>'8.项目规划指标表'!B$18</f>
        <v>有产权车库(个)</v>
      </c>
      <c r="B258" s="870">
        <f ca="1">'15.土地增值税'!N$111</f>
        <v>0</v>
      </c>
      <c r="C258" s="871">
        <f t="shared" ref="C258:AT258" ca="1" si="105">IFERROR($B258/$B83*C83,0)</f>
        <v>0</v>
      </c>
      <c r="D258" s="872">
        <f t="shared" ca="1" si="105"/>
        <v>0</v>
      </c>
      <c r="E258" s="872">
        <f t="shared" ca="1" si="105"/>
        <v>0</v>
      </c>
      <c r="F258" s="872">
        <f t="shared" ca="1" si="105"/>
        <v>0</v>
      </c>
      <c r="G258" s="871">
        <f t="shared" ca="1" si="105"/>
        <v>0</v>
      </c>
      <c r="H258" s="872">
        <f t="shared" ca="1" si="105"/>
        <v>0</v>
      </c>
      <c r="I258" s="872">
        <f t="shared" ca="1" si="105"/>
        <v>0</v>
      </c>
      <c r="J258" s="872">
        <f t="shared" ca="1" si="105"/>
        <v>0</v>
      </c>
      <c r="K258" s="871">
        <f t="shared" ca="1" si="105"/>
        <v>0</v>
      </c>
      <c r="L258" s="872">
        <f t="shared" ca="1" si="105"/>
        <v>0</v>
      </c>
      <c r="M258" s="872">
        <f t="shared" ca="1" si="105"/>
        <v>0</v>
      </c>
      <c r="N258" s="872">
        <f t="shared" ca="1" si="105"/>
        <v>0</v>
      </c>
      <c r="O258" s="871">
        <f t="shared" ca="1" si="105"/>
        <v>0</v>
      </c>
      <c r="P258" s="872">
        <f t="shared" ca="1" si="105"/>
        <v>0</v>
      </c>
      <c r="Q258" s="872">
        <f t="shared" ca="1" si="105"/>
        <v>0</v>
      </c>
      <c r="R258" s="872">
        <f t="shared" ca="1" si="105"/>
        <v>0</v>
      </c>
      <c r="S258" s="871">
        <f t="shared" ca="1" si="105"/>
        <v>0</v>
      </c>
      <c r="T258" s="872">
        <f t="shared" ca="1" si="105"/>
        <v>0</v>
      </c>
      <c r="U258" s="872">
        <f t="shared" ca="1" si="105"/>
        <v>0</v>
      </c>
      <c r="V258" s="872">
        <f t="shared" ca="1" si="105"/>
        <v>0</v>
      </c>
      <c r="W258" s="871">
        <f t="shared" ca="1" si="105"/>
        <v>0</v>
      </c>
      <c r="X258" s="872">
        <f t="shared" ca="1" si="105"/>
        <v>0</v>
      </c>
      <c r="Y258" s="872">
        <f t="shared" ca="1" si="105"/>
        <v>0</v>
      </c>
      <c r="Z258" s="872">
        <f t="shared" ca="1" si="105"/>
        <v>0</v>
      </c>
      <c r="AA258" s="871">
        <f t="shared" ca="1" si="105"/>
        <v>0</v>
      </c>
      <c r="AB258" s="872">
        <f t="shared" ca="1" si="105"/>
        <v>0</v>
      </c>
      <c r="AC258" s="872">
        <f t="shared" ca="1" si="105"/>
        <v>0</v>
      </c>
      <c r="AD258" s="872">
        <f t="shared" ca="1" si="105"/>
        <v>0</v>
      </c>
      <c r="AE258" s="871">
        <f t="shared" ca="1" si="105"/>
        <v>0</v>
      </c>
      <c r="AF258" s="872">
        <f t="shared" ca="1" si="105"/>
        <v>0</v>
      </c>
      <c r="AG258" s="872">
        <f t="shared" ca="1" si="105"/>
        <v>0</v>
      </c>
      <c r="AH258" s="872">
        <f t="shared" ca="1" si="105"/>
        <v>0</v>
      </c>
      <c r="AI258" s="871">
        <f t="shared" ca="1" si="105"/>
        <v>0</v>
      </c>
      <c r="AJ258" s="872">
        <f t="shared" ca="1" si="105"/>
        <v>0</v>
      </c>
      <c r="AK258" s="872">
        <f t="shared" ca="1" si="105"/>
        <v>0</v>
      </c>
      <c r="AL258" s="872">
        <f t="shared" ca="1" si="105"/>
        <v>0</v>
      </c>
      <c r="AM258" s="871">
        <f t="shared" ca="1" si="105"/>
        <v>0</v>
      </c>
      <c r="AN258" s="872">
        <f t="shared" ca="1" si="105"/>
        <v>0</v>
      </c>
      <c r="AO258" s="872">
        <f t="shared" ca="1" si="105"/>
        <v>0</v>
      </c>
      <c r="AP258" s="872">
        <f t="shared" ca="1" si="105"/>
        <v>0</v>
      </c>
      <c r="AQ258" s="871">
        <f t="shared" ca="1" si="105"/>
        <v>0</v>
      </c>
      <c r="AR258" s="872">
        <f t="shared" ca="1" si="105"/>
        <v>0</v>
      </c>
      <c r="AS258" s="872">
        <f t="shared" ca="1" si="105"/>
        <v>0</v>
      </c>
      <c r="AT258" s="872">
        <f t="shared" ca="1" si="105"/>
        <v>0</v>
      </c>
      <c r="AU258" s="823">
        <f t="shared" ca="1" si="96"/>
        <v>0</v>
      </c>
    </row>
    <row r="259" spans="1:47" s="77" customFormat="1" ht="18" customHeight="1" outlineLevel="2">
      <c r="A259" s="869" t="str">
        <f>'8.项目规划指标表'!B$19</f>
        <v>无产权车库(个)</v>
      </c>
      <c r="B259" s="870">
        <f ca="1">'15.土地增值税'!O$111</f>
        <v>0</v>
      </c>
      <c r="C259" s="871">
        <f t="shared" ref="C259:AT259" ca="1" si="106">IFERROR($B259/$B84*C84,0)</f>
        <v>0</v>
      </c>
      <c r="D259" s="872">
        <f t="shared" ca="1" si="106"/>
        <v>0</v>
      </c>
      <c r="E259" s="872">
        <f t="shared" ca="1" si="106"/>
        <v>0</v>
      </c>
      <c r="F259" s="872">
        <f t="shared" ca="1" si="106"/>
        <v>0</v>
      </c>
      <c r="G259" s="871">
        <f t="shared" ca="1" si="106"/>
        <v>0</v>
      </c>
      <c r="H259" s="872">
        <f t="shared" ca="1" si="106"/>
        <v>0</v>
      </c>
      <c r="I259" s="872">
        <f t="shared" ca="1" si="106"/>
        <v>0</v>
      </c>
      <c r="J259" s="872">
        <f t="shared" ca="1" si="106"/>
        <v>0</v>
      </c>
      <c r="K259" s="871">
        <f t="shared" ca="1" si="106"/>
        <v>0</v>
      </c>
      <c r="L259" s="872">
        <f t="shared" ca="1" si="106"/>
        <v>0</v>
      </c>
      <c r="M259" s="872">
        <f t="shared" ca="1" si="106"/>
        <v>0</v>
      </c>
      <c r="N259" s="872">
        <f t="shared" ca="1" si="106"/>
        <v>0</v>
      </c>
      <c r="O259" s="871">
        <f t="shared" ca="1" si="106"/>
        <v>0</v>
      </c>
      <c r="P259" s="872">
        <f t="shared" ca="1" si="106"/>
        <v>0</v>
      </c>
      <c r="Q259" s="872">
        <f t="shared" ca="1" si="106"/>
        <v>0</v>
      </c>
      <c r="R259" s="872">
        <f t="shared" ca="1" si="106"/>
        <v>0</v>
      </c>
      <c r="S259" s="871">
        <f t="shared" ca="1" si="106"/>
        <v>0</v>
      </c>
      <c r="T259" s="872">
        <f t="shared" ca="1" si="106"/>
        <v>0</v>
      </c>
      <c r="U259" s="872">
        <f t="shared" ca="1" si="106"/>
        <v>0</v>
      </c>
      <c r="V259" s="872">
        <f t="shared" ca="1" si="106"/>
        <v>0</v>
      </c>
      <c r="W259" s="871">
        <f t="shared" ca="1" si="106"/>
        <v>0</v>
      </c>
      <c r="X259" s="872">
        <f t="shared" ca="1" si="106"/>
        <v>0</v>
      </c>
      <c r="Y259" s="872">
        <f t="shared" ca="1" si="106"/>
        <v>0</v>
      </c>
      <c r="Z259" s="872">
        <f t="shared" ca="1" si="106"/>
        <v>0</v>
      </c>
      <c r="AA259" s="871">
        <f t="shared" ca="1" si="106"/>
        <v>0</v>
      </c>
      <c r="AB259" s="872">
        <f t="shared" ca="1" si="106"/>
        <v>0</v>
      </c>
      <c r="AC259" s="872">
        <f t="shared" ca="1" si="106"/>
        <v>0</v>
      </c>
      <c r="AD259" s="872">
        <f t="shared" ca="1" si="106"/>
        <v>0</v>
      </c>
      <c r="AE259" s="871">
        <f t="shared" ca="1" si="106"/>
        <v>0</v>
      </c>
      <c r="AF259" s="872">
        <f t="shared" ca="1" si="106"/>
        <v>0</v>
      </c>
      <c r="AG259" s="872">
        <f t="shared" ca="1" si="106"/>
        <v>0</v>
      </c>
      <c r="AH259" s="872">
        <f t="shared" ca="1" si="106"/>
        <v>0</v>
      </c>
      <c r="AI259" s="871">
        <f t="shared" ca="1" si="106"/>
        <v>0</v>
      </c>
      <c r="AJ259" s="872">
        <f t="shared" ca="1" si="106"/>
        <v>0</v>
      </c>
      <c r="AK259" s="872">
        <f t="shared" ca="1" si="106"/>
        <v>0</v>
      </c>
      <c r="AL259" s="872">
        <f t="shared" ca="1" si="106"/>
        <v>0</v>
      </c>
      <c r="AM259" s="871">
        <f t="shared" ca="1" si="106"/>
        <v>0</v>
      </c>
      <c r="AN259" s="872">
        <f t="shared" ca="1" si="106"/>
        <v>0</v>
      </c>
      <c r="AO259" s="872">
        <f t="shared" ca="1" si="106"/>
        <v>0</v>
      </c>
      <c r="AP259" s="872">
        <f t="shared" ca="1" si="106"/>
        <v>0</v>
      </c>
      <c r="AQ259" s="871">
        <f t="shared" ca="1" si="106"/>
        <v>0</v>
      </c>
      <c r="AR259" s="872">
        <f t="shared" ca="1" si="106"/>
        <v>0</v>
      </c>
      <c r="AS259" s="872">
        <f t="shared" ca="1" si="106"/>
        <v>0</v>
      </c>
      <c r="AT259" s="872">
        <f t="shared" ca="1" si="106"/>
        <v>0</v>
      </c>
      <c r="AU259" s="823">
        <f t="shared" ca="1" si="96"/>
        <v>0</v>
      </c>
    </row>
    <row r="260" spans="1:47" s="77" customFormat="1" ht="18" customHeight="1">
      <c r="A260" s="880" t="s">
        <v>583</v>
      </c>
      <c r="B260" s="881">
        <f>SUM(C260:AT260)</f>
        <v>2011.8638992000003</v>
      </c>
      <c r="C260" s="882">
        <f>C85*'1.参数设置'!$E$5</f>
        <v>0</v>
      </c>
      <c r="D260" s="883">
        <f>D85*'1.参数设置'!$E$5</f>
        <v>0</v>
      </c>
      <c r="E260" s="883">
        <f>E85*'1.参数设置'!$E$5</f>
        <v>0</v>
      </c>
      <c r="F260" s="883">
        <f>F85*'1.参数设置'!$E$5</f>
        <v>0</v>
      </c>
      <c r="G260" s="882">
        <f>G85*'1.参数设置'!$E$5</f>
        <v>0</v>
      </c>
      <c r="H260" s="883">
        <f>H85*'1.参数设置'!$E$5</f>
        <v>589.05000000000007</v>
      </c>
      <c r="I260" s="883">
        <f>I85*'1.参数设置'!$E$5</f>
        <v>612.61199999999997</v>
      </c>
      <c r="J260" s="883">
        <f>J85*'1.参数设置'!$E$5</f>
        <v>267.79896000000002</v>
      </c>
      <c r="K260" s="882">
        <f>K85*'1.参数设置'!$E$5</f>
        <v>273.1549392</v>
      </c>
      <c r="L260" s="883">
        <f>L85*'1.参数设置'!$E$5</f>
        <v>139.77600000000001</v>
      </c>
      <c r="M260" s="883">
        <f>M85*'1.参数设置'!$E$5</f>
        <v>70.39200000000001</v>
      </c>
      <c r="N260" s="883">
        <f>N85*'1.参数设置'!$E$5</f>
        <v>35.448</v>
      </c>
      <c r="O260" s="882">
        <f>O85*'1.参数设置'!$E$5</f>
        <v>23.631999999999998</v>
      </c>
      <c r="P260" s="883">
        <f>P85*'1.参数设置'!$E$5</f>
        <v>0</v>
      </c>
      <c r="Q260" s="883">
        <f>Q85*'1.参数设置'!$E$5</f>
        <v>0</v>
      </c>
      <c r="R260" s="883">
        <f>R85*'1.参数设置'!$E$5</f>
        <v>0</v>
      </c>
      <c r="S260" s="882">
        <f>S85*'1.参数设置'!$E$5</f>
        <v>0</v>
      </c>
      <c r="T260" s="883">
        <f>T85*'1.参数设置'!$E$5</f>
        <v>0</v>
      </c>
      <c r="U260" s="883">
        <f>U85*'1.参数设置'!$E$5</f>
        <v>0</v>
      </c>
      <c r="V260" s="883">
        <f>V85*'1.参数设置'!$E$5</f>
        <v>0</v>
      </c>
      <c r="W260" s="882">
        <f>W85*'1.参数设置'!$E$5</f>
        <v>0</v>
      </c>
      <c r="X260" s="883">
        <f>X85*'1.参数设置'!$E$5</f>
        <v>0</v>
      </c>
      <c r="Y260" s="883">
        <f>Y85*'1.参数设置'!$E$5</f>
        <v>0</v>
      </c>
      <c r="Z260" s="883">
        <f>Z85*'1.参数设置'!$E$5</f>
        <v>0</v>
      </c>
      <c r="AA260" s="882">
        <f>AA85*'1.参数设置'!$E$5</f>
        <v>0</v>
      </c>
      <c r="AB260" s="883">
        <f>AB85*'1.参数设置'!$E$5</f>
        <v>0</v>
      </c>
      <c r="AC260" s="883">
        <f>AC85*'1.参数设置'!$E$5</f>
        <v>0</v>
      </c>
      <c r="AD260" s="883">
        <f>AD85*'1.参数设置'!$E$5</f>
        <v>0</v>
      </c>
      <c r="AE260" s="882">
        <f>AE85*'1.参数设置'!$E$5</f>
        <v>0</v>
      </c>
      <c r="AF260" s="883">
        <f>AF85*'1.参数设置'!$E$5</f>
        <v>0</v>
      </c>
      <c r="AG260" s="883">
        <f>AG85*'1.参数设置'!$E$5</f>
        <v>0</v>
      </c>
      <c r="AH260" s="883">
        <f>AH85*'1.参数设置'!$E$5</f>
        <v>0</v>
      </c>
      <c r="AI260" s="882">
        <f>AI85*'1.参数设置'!$E$5</f>
        <v>0</v>
      </c>
      <c r="AJ260" s="883">
        <f>AJ85*'1.参数设置'!$E$5</f>
        <v>0</v>
      </c>
      <c r="AK260" s="883">
        <f>AK85*'1.参数设置'!$E$5</f>
        <v>0</v>
      </c>
      <c r="AL260" s="883">
        <f>AL85*'1.参数设置'!$E$5</f>
        <v>0</v>
      </c>
      <c r="AM260" s="882">
        <f>AM85*'1.参数设置'!$E$5</f>
        <v>0</v>
      </c>
      <c r="AN260" s="883">
        <f>AN85*'1.参数设置'!$E$5</f>
        <v>0</v>
      </c>
      <c r="AO260" s="883">
        <f>AO85*'1.参数设置'!$E$5</f>
        <v>0</v>
      </c>
      <c r="AP260" s="883">
        <f>AP85*'1.参数设置'!$E$5</f>
        <v>0</v>
      </c>
      <c r="AQ260" s="882">
        <f>AQ85*'1.参数设置'!$E$5</f>
        <v>0</v>
      </c>
      <c r="AR260" s="883">
        <f>AR85*'1.参数设置'!$E$5</f>
        <v>0</v>
      </c>
      <c r="AS260" s="883">
        <f>AS85*'1.参数设置'!$E$5</f>
        <v>0</v>
      </c>
      <c r="AT260" s="883">
        <f>AT85*'1.参数设置'!$E$5</f>
        <v>0</v>
      </c>
    </row>
    <row r="261" spans="1:47" s="77" customFormat="1" ht="18" customHeight="1">
      <c r="A261" s="880" t="s">
        <v>584</v>
      </c>
      <c r="B261" s="881">
        <f>SUM(C261:AT261)</f>
        <v>2514.8298739999996</v>
      </c>
      <c r="C261" s="882">
        <f>C85*'1.参数设置'!$C$5</f>
        <v>0</v>
      </c>
      <c r="D261" s="883">
        <f>D85*'1.参数设置'!$C$5</f>
        <v>0</v>
      </c>
      <c r="E261" s="883">
        <f>E85*'1.参数设置'!$C$5</f>
        <v>0</v>
      </c>
      <c r="F261" s="883">
        <f>F85*'1.参数设置'!$C$5</f>
        <v>0</v>
      </c>
      <c r="G261" s="882">
        <f>G85*'1.参数设置'!$C$5</f>
        <v>0</v>
      </c>
      <c r="H261" s="883">
        <f>H85*'1.参数设置'!$C$5</f>
        <v>736.3125</v>
      </c>
      <c r="I261" s="883">
        <f>I85*'1.参数设置'!$C$5</f>
        <v>765.76499999999999</v>
      </c>
      <c r="J261" s="883">
        <f>J85*'1.参数设置'!$C$5</f>
        <v>334.74870000000004</v>
      </c>
      <c r="K261" s="882">
        <f>K85*'1.参数设置'!$C$5</f>
        <v>341.44367399999999</v>
      </c>
      <c r="L261" s="883">
        <f>L85*'1.参数设置'!$C$5</f>
        <v>174.72000000000003</v>
      </c>
      <c r="M261" s="883">
        <f>M85*'1.参数设置'!$C$5</f>
        <v>87.990000000000009</v>
      </c>
      <c r="N261" s="883">
        <f>N85*'1.参数设置'!$C$5</f>
        <v>44.31</v>
      </c>
      <c r="O261" s="882">
        <f>O85*'1.参数设置'!$C$5</f>
        <v>29.54</v>
      </c>
      <c r="P261" s="883">
        <f>P85*'1.参数设置'!$C$5</f>
        <v>0</v>
      </c>
      <c r="Q261" s="883">
        <f>Q85*'1.参数设置'!$C$5</f>
        <v>0</v>
      </c>
      <c r="R261" s="883">
        <f>R85*'1.参数设置'!$C$5</f>
        <v>0</v>
      </c>
      <c r="S261" s="882">
        <f>S85*'1.参数设置'!$C$5</f>
        <v>0</v>
      </c>
      <c r="T261" s="883">
        <f>T85*'1.参数设置'!$C$5</f>
        <v>0</v>
      </c>
      <c r="U261" s="883">
        <f>U85*'1.参数设置'!$C$5</f>
        <v>0</v>
      </c>
      <c r="V261" s="883">
        <f>V85*'1.参数设置'!$C$5</f>
        <v>0</v>
      </c>
      <c r="W261" s="882">
        <f>W85*'1.参数设置'!$C$5</f>
        <v>0</v>
      </c>
      <c r="X261" s="883">
        <f>X85*'1.参数设置'!$C$5</f>
        <v>0</v>
      </c>
      <c r="Y261" s="883">
        <f>Y85*'1.参数设置'!$C$5</f>
        <v>0</v>
      </c>
      <c r="Z261" s="883">
        <f>Z85*'1.参数设置'!$C$5</f>
        <v>0</v>
      </c>
      <c r="AA261" s="882">
        <f>AA85*'1.参数设置'!$C$5</f>
        <v>0</v>
      </c>
      <c r="AB261" s="883">
        <f>AB85*'1.参数设置'!$C$5</f>
        <v>0</v>
      </c>
      <c r="AC261" s="883">
        <f>AC85*'1.参数设置'!$C$5</f>
        <v>0</v>
      </c>
      <c r="AD261" s="883">
        <f>AD85*'1.参数设置'!$C$5</f>
        <v>0</v>
      </c>
      <c r="AE261" s="882">
        <f>AE85*'1.参数设置'!$C$5</f>
        <v>0</v>
      </c>
      <c r="AF261" s="883">
        <f>AF85*'1.参数设置'!$C$5</f>
        <v>0</v>
      </c>
      <c r="AG261" s="883">
        <f>AG85*'1.参数设置'!$C$5</f>
        <v>0</v>
      </c>
      <c r="AH261" s="883">
        <f>AH85*'1.参数设置'!$C$5</f>
        <v>0</v>
      </c>
      <c r="AI261" s="882">
        <f>AI85*'1.参数设置'!$C$5</f>
        <v>0</v>
      </c>
      <c r="AJ261" s="883">
        <f>AJ85*'1.参数设置'!$C$5</f>
        <v>0</v>
      </c>
      <c r="AK261" s="883">
        <f>AK85*'1.参数设置'!$C$5</f>
        <v>0</v>
      </c>
      <c r="AL261" s="883">
        <f>AL85*'1.参数设置'!$C$5</f>
        <v>0</v>
      </c>
      <c r="AM261" s="882">
        <f>AM85*'1.参数设置'!$C$5</f>
        <v>0</v>
      </c>
      <c r="AN261" s="883">
        <f>AN85*'1.参数设置'!$C$5</f>
        <v>0</v>
      </c>
      <c r="AO261" s="883">
        <f>AO85*'1.参数设置'!$C$5</f>
        <v>0</v>
      </c>
      <c r="AP261" s="883">
        <f>AP85*'1.参数设置'!$C$5</f>
        <v>0</v>
      </c>
      <c r="AQ261" s="882">
        <f>AQ85*'1.参数设置'!$C$5</f>
        <v>0</v>
      </c>
      <c r="AR261" s="883">
        <f>AR85*'1.参数设置'!$C$5</f>
        <v>0</v>
      </c>
      <c r="AS261" s="883">
        <f>AS85*'1.参数设置'!$C$5</f>
        <v>0</v>
      </c>
      <c r="AT261" s="883">
        <f>AT85*'1.参数设置'!$C$5</f>
        <v>0</v>
      </c>
    </row>
    <row r="262" spans="1:47" s="77" customFormat="1" ht="18" customHeight="1">
      <c r="A262" s="880" t="s">
        <v>373</v>
      </c>
      <c r="B262" s="881">
        <f ca="1">SUM(B263,B276,B289,B302,B315,B328)</f>
        <v>901.5</v>
      </c>
      <c r="C262" s="882">
        <f t="shared" ref="C262:AT262" ca="1" si="107">SUM(C263,C276,C289,C302,C315,C328)</f>
        <v>0</v>
      </c>
      <c r="D262" s="883">
        <f t="shared" ca="1" si="107"/>
        <v>0</v>
      </c>
      <c r="E262" s="883">
        <f t="shared" ca="1" si="107"/>
        <v>0</v>
      </c>
      <c r="F262" s="883">
        <f t="shared" ca="1" si="107"/>
        <v>0</v>
      </c>
      <c r="G262" s="882">
        <f t="shared" ca="1" si="107"/>
        <v>0</v>
      </c>
      <c r="H262" s="883">
        <f t="shared" ca="1" si="107"/>
        <v>275.25092058314596</v>
      </c>
      <c r="I262" s="883">
        <f t="shared" ca="1" si="107"/>
        <v>275.25092058314596</v>
      </c>
      <c r="J262" s="883">
        <f t="shared" ca="1" si="107"/>
        <v>117.9646802499197</v>
      </c>
      <c r="K262" s="882">
        <f t="shared" ca="1" si="107"/>
        <v>117.9646802499197</v>
      </c>
      <c r="L262" s="883">
        <f t="shared" ca="1" si="107"/>
        <v>48.859858683630819</v>
      </c>
      <c r="M262" s="883">
        <f t="shared" ca="1" si="107"/>
        <v>28.413157164706785</v>
      </c>
      <c r="N262" s="883">
        <f t="shared" ca="1" si="107"/>
        <v>16.19819249379908</v>
      </c>
      <c r="O262" s="882">
        <f t="shared" ca="1" si="107"/>
        <v>10.798794995866054</v>
      </c>
      <c r="P262" s="883">
        <f t="shared" ca="1" si="107"/>
        <v>10.798794995866054</v>
      </c>
      <c r="Q262" s="883">
        <f t="shared" ca="1" si="107"/>
        <v>0</v>
      </c>
      <c r="R262" s="883">
        <f t="shared" ca="1" si="107"/>
        <v>0</v>
      </c>
      <c r="S262" s="882">
        <f t="shared" ca="1" si="107"/>
        <v>0</v>
      </c>
      <c r="T262" s="883">
        <f t="shared" ca="1" si="107"/>
        <v>0</v>
      </c>
      <c r="U262" s="883">
        <f t="shared" ca="1" si="107"/>
        <v>0</v>
      </c>
      <c r="V262" s="883">
        <f t="shared" ca="1" si="107"/>
        <v>0</v>
      </c>
      <c r="W262" s="882">
        <f t="shared" ca="1" si="107"/>
        <v>0</v>
      </c>
      <c r="X262" s="883">
        <f t="shared" ca="1" si="107"/>
        <v>0</v>
      </c>
      <c r="Y262" s="883">
        <f t="shared" ca="1" si="107"/>
        <v>0</v>
      </c>
      <c r="Z262" s="883">
        <f t="shared" ca="1" si="107"/>
        <v>0</v>
      </c>
      <c r="AA262" s="882">
        <f t="shared" ca="1" si="107"/>
        <v>0</v>
      </c>
      <c r="AB262" s="883">
        <f t="shared" ca="1" si="107"/>
        <v>0</v>
      </c>
      <c r="AC262" s="883">
        <f t="shared" ca="1" si="107"/>
        <v>0</v>
      </c>
      <c r="AD262" s="883">
        <f t="shared" ca="1" si="107"/>
        <v>0</v>
      </c>
      <c r="AE262" s="882">
        <f t="shared" ca="1" si="107"/>
        <v>0</v>
      </c>
      <c r="AF262" s="883">
        <f t="shared" ca="1" si="107"/>
        <v>0</v>
      </c>
      <c r="AG262" s="883">
        <f t="shared" ca="1" si="107"/>
        <v>0</v>
      </c>
      <c r="AH262" s="883">
        <f t="shared" ca="1" si="107"/>
        <v>0</v>
      </c>
      <c r="AI262" s="882">
        <f t="shared" ca="1" si="107"/>
        <v>0</v>
      </c>
      <c r="AJ262" s="883">
        <f t="shared" ca="1" si="107"/>
        <v>0</v>
      </c>
      <c r="AK262" s="883">
        <f t="shared" ca="1" si="107"/>
        <v>0</v>
      </c>
      <c r="AL262" s="883">
        <f t="shared" ca="1" si="107"/>
        <v>0</v>
      </c>
      <c r="AM262" s="882">
        <f t="shared" ca="1" si="107"/>
        <v>0</v>
      </c>
      <c r="AN262" s="883">
        <f t="shared" ca="1" si="107"/>
        <v>0</v>
      </c>
      <c r="AO262" s="883">
        <f t="shared" ca="1" si="107"/>
        <v>0</v>
      </c>
      <c r="AP262" s="883">
        <f t="shared" ca="1" si="107"/>
        <v>0</v>
      </c>
      <c r="AQ262" s="882">
        <f t="shared" ca="1" si="107"/>
        <v>0</v>
      </c>
      <c r="AR262" s="883">
        <f t="shared" ca="1" si="107"/>
        <v>0</v>
      </c>
      <c r="AS262" s="883">
        <f t="shared" ca="1" si="107"/>
        <v>0</v>
      </c>
      <c r="AT262" s="883">
        <f t="shared" ca="1" si="107"/>
        <v>0</v>
      </c>
    </row>
    <row r="263" spans="1:47" s="77" customFormat="1" ht="18" customHeight="1" outlineLevel="1">
      <c r="A263" s="865" t="s">
        <v>19</v>
      </c>
      <c r="B263" s="866">
        <f ca="1">SUM(B264:B275)</f>
        <v>901.5</v>
      </c>
      <c r="C263" s="867">
        <f ca="1">SUM(C264:C275)</f>
        <v>0</v>
      </c>
      <c r="D263" s="868">
        <f t="shared" ref="D263:AT263" ca="1" si="108">SUM(D264:D275)</f>
        <v>0</v>
      </c>
      <c r="E263" s="868">
        <f t="shared" ca="1" si="108"/>
        <v>0</v>
      </c>
      <c r="F263" s="868">
        <f t="shared" ca="1" si="108"/>
        <v>0</v>
      </c>
      <c r="G263" s="867">
        <f t="shared" ca="1" si="108"/>
        <v>0</v>
      </c>
      <c r="H263" s="868">
        <f t="shared" ca="1" si="108"/>
        <v>275.25092058314596</v>
      </c>
      <c r="I263" s="868">
        <f t="shared" ca="1" si="108"/>
        <v>275.25092058314596</v>
      </c>
      <c r="J263" s="868">
        <f t="shared" ca="1" si="108"/>
        <v>117.9646802499197</v>
      </c>
      <c r="K263" s="867">
        <f t="shared" ca="1" si="108"/>
        <v>117.9646802499197</v>
      </c>
      <c r="L263" s="868">
        <f t="shared" ca="1" si="108"/>
        <v>48.859858683630819</v>
      </c>
      <c r="M263" s="868">
        <f t="shared" ca="1" si="108"/>
        <v>28.413157164706785</v>
      </c>
      <c r="N263" s="868">
        <f t="shared" ca="1" si="108"/>
        <v>16.19819249379908</v>
      </c>
      <c r="O263" s="867">
        <f t="shared" ca="1" si="108"/>
        <v>10.798794995866054</v>
      </c>
      <c r="P263" s="868">
        <f t="shared" ca="1" si="108"/>
        <v>10.798794995866054</v>
      </c>
      <c r="Q263" s="868">
        <f t="shared" ca="1" si="108"/>
        <v>0</v>
      </c>
      <c r="R263" s="868">
        <f t="shared" ca="1" si="108"/>
        <v>0</v>
      </c>
      <c r="S263" s="867">
        <f t="shared" ca="1" si="108"/>
        <v>0</v>
      </c>
      <c r="T263" s="868">
        <f t="shared" ca="1" si="108"/>
        <v>0</v>
      </c>
      <c r="U263" s="868">
        <f t="shared" ca="1" si="108"/>
        <v>0</v>
      </c>
      <c r="V263" s="868">
        <f t="shared" ca="1" si="108"/>
        <v>0</v>
      </c>
      <c r="W263" s="867">
        <f t="shared" ca="1" si="108"/>
        <v>0</v>
      </c>
      <c r="X263" s="868">
        <f t="shared" ca="1" si="108"/>
        <v>0</v>
      </c>
      <c r="Y263" s="868">
        <f t="shared" ca="1" si="108"/>
        <v>0</v>
      </c>
      <c r="Z263" s="868">
        <f t="shared" ca="1" si="108"/>
        <v>0</v>
      </c>
      <c r="AA263" s="867">
        <f t="shared" ca="1" si="108"/>
        <v>0</v>
      </c>
      <c r="AB263" s="868">
        <f t="shared" ca="1" si="108"/>
        <v>0</v>
      </c>
      <c r="AC263" s="868">
        <f t="shared" ca="1" si="108"/>
        <v>0</v>
      </c>
      <c r="AD263" s="868">
        <f t="shared" ca="1" si="108"/>
        <v>0</v>
      </c>
      <c r="AE263" s="867">
        <f t="shared" ca="1" si="108"/>
        <v>0</v>
      </c>
      <c r="AF263" s="868">
        <f t="shared" ca="1" si="108"/>
        <v>0</v>
      </c>
      <c r="AG263" s="868">
        <f t="shared" ca="1" si="108"/>
        <v>0</v>
      </c>
      <c r="AH263" s="868">
        <f t="shared" ca="1" si="108"/>
        <v>0</v>
      </c>
      <c r="AI263" s="867">
        <f t="shared" ca="1" si="108"/>
        <v>0</v>
      </c>
      <c r="AJ263" s="868">
        <f t="shared" ca="1" si="108"/>
        <v>0</v>
      </c>
      <c r="AK263" s="868">
        <f t="shared" ca="1" si="108"/>
        <v>0</v>
      </c>
      <c r="AL263" s="868">
        <f t="shared" ca="1" si="108"/>
        <v>0</v>
      </c>
      <c r="AM263" s="867">
        <f t="shared" ca="1" si="108"/>
        <v>0</v>
      </c>
      <c r="AN263" s="868">
        <f t="shared" ca="1" si="108"/>
        <v>0</v>
      </c>
      <c r="AO263" s="868">
        <f t="shared" ca="1" si="108"/>
        <v>0</v>
      </c>
      <c r="AP263" s="868">
        <f t="shared" ca="1" si="108"/>
        <v>0</v>
      </c>
      <c r="AQ263" s="867">
        <f t="shared" ca="1" si="108"/>
        <v>0</v>
      </c>
      <c r="AR263" s="868">
        <f t="shared" ca="1" si="108"/>
        <v>0</v>
      </c>
      <c r="AS263" s="868">
        <f t="shared" ca="1" si="108"/>
        <v>0</v>
      </c>
      <c r="AT263" s="868">
        <f t="shared" ca="1" si="108"/>
        <v>0</v>
      </c>
    </row>
    <row r="264" spans="1:47" s="77" customFormat="1" ht="18" customHeight="1" outlineLevel="2">
      <c r="A264" s="869" t="str">
        <f>'8.项目规划指标表'!B$5</f>
        <v>高层</v>
      </c>
      <c r="B264" s="870">
        <f ca="1">'17.财务费用测算表'!D$30</f>
        <v>786.4312016661313</v>
      </c>
      <c r="C264" s="871">
        <f ca="1">IFERROR($B264/$B8*C8,0)</f>
        <v>0</v>
      </c>
      <c r="D264" s="872">
        <f t="shared" ref="D264:AT264" ca="1" si="109">IFERROR($B264/$B8*D8,0)</f>
        <v>0</v>
      </c>
      <c r="E264" s="872">
        <f t="shared" ca="1" si="109"/>
        <v>0</v>
      </c>
      <c r="F264" s="872">
        <f t="shared" ca="1" si="109"/>
        <v>0</v>
      </c>
      <c r="G264" s="871">
        <f t="shared" ca="1" si="109"/>
        <v>0</v>
      </c>
      <c r="H264" s="872">
        <f t="shared" ca="1" si="109"/>
        <v>275.25092058314596</v>
      </c>
      <c r="I264" s="872">
        <f t="shared" ca="1" si="109"/>
        <v>275.25092058314596</v>
      </c>
      <c r="J264" s="872">
        <f t="shared" ca="1" si="109"/>
        <v>117.9646802499197</v>
      </c>
      <c r="K264" s="871">
        <f t="shared" ca="1" si="109"/>
        <v>117.9646802499197</v>
      </c>
      <c r="L264" s="872">
        <f t="shared" ca="1" si="109"/>
        <v>0</v>
      </c>
      <c r="M264" s="872">
        <f t="shared" ca="1" si="109"/>
        <v>0</v>
      </c>
      <c r="N264" s="872">
        <f t="shared" ca="1" si="109"/>
        <v>0</v>
      </c>
      <c r="O264" s="871">
        <f t="shared" ca="1" si="109"/>
        <v>0</v>
      </c>
      <c r="P264" s="872">
        <f t="shared" ca="1" si="109"/>
        <v>0</v>
      </c>
      <c r="Q264" s="872">
        <f t="shared" ca="1" si="109"/>
        <v>0</v>
      </c>
      <c r="R264" s="872">
        <f t="shared" ca="1" si="109"/>
        <v>0</v>
      </c>
      <c r="S264" s="871">
        <f t="shared" ca="1" si="109"/>
        <v>0</v>
      </c>
      <c r="T264" s="872">
        <f t="shared" ca="1" si="109"/>
        <v>0</v>
      </c>
      <c r="U264" s="872">
        <f t="shared" ca="1" si="109"/>
        <v>0</v>
      </c>
      <c r="V264" s="872">
        <f t="shared" ca="1" si="109"/>
        <v>0</v>
      </c>
      <c r="W264" s="871">
        <f t="shared" ca="1" si="109"/>
        <v>0</v>
      </c>
      <c r="X264" s="872">
        <f t="shared" ca="1" si="109"/>
        <v>0</v>
      </c>
      <c r="Y264" s="872">
        <f t="shared" ca="1" si="109"/>
        <v>0</v>
      </c>
      <c r="Z264" s="872">
        <f t="shared" ca="1" si="109"/>
        <v>0</v>
      </c>
      <c r="AA264" s="871">
        <f t="shared" ca="1" si="109"/>
        <v>0</v>
      </c>
      <c r="AB264" s="872">
        <f t="shared" ca="1" si="109"/>
        <v>0</v>
      </c>
      <c r="AC264" s="872">
        <f t="shared" ca="1" si="109"/>
        <v>0</v>
      </c>
      <c r="AD264" s="872">
        <f t="shared" ca="1" si="109"/>
        <v>0</v>
      </c>
      <c r="AE264" s="871">
        <f t="shared" ca="1" si="109"/>
        <v>0</v>
      </c>
      <c r="AF264" s="872">
        <f t="shared" ca="1" si="109"/>
        <v>0</v>
      </c>
      <c r="AG264" s="872">
        <f t="shared" ca="1" si="109"/>
        <v>0</v>
      </c>
      <c r="AH264" s="872">
        <f t="shared" ca="1" si="109"/>
        <v>0</v>
      </c>
      <c r="AI264" s="871">
        <f t="shared" ca="1" si="109"/>
        <v>0</v>
      </c>
      <c r="AJ264" s="872">
        <f t="shared" ca="1" si="109"/>
        <v>0</v>
      </c>
      <c r="AK264" s="872">
        <f t="shared" ca="1" si="109"/>
        <v>0</v>
      </c>
      <c r="AL264" s="872">
        <f t="shared" ca="1" si="109"/>
        <v>0</v>
      </c>
      <c r="AM264" s="871">
        <f t="shared" ca="1" si="109"/>
        <v>0</v>
      </c>
      <c r="AN264" s="872">
        <f t="shared" ca="1" si="109"/>
        <v>0</v>
      </c>
      <c r="AO264" s="872">
        <f t="shared" ca="1" si="109"/>
        <v>0</v>
      </c>
      <c r="AP264" s="872">
        <f t="shared" ca="1" si="109"/>
        <v>0</v>
      </c>
      <c r="AQ264" s="871">
        <f t="shared" ca="1" si="109"/>
        <v>0</v>
      </c>
      <c r="AR264" s="872">
        <f t="shared" ca="1" si="109"/>
        <v>0</v>
      </c>
      <c r="AS264" s="872">
        <f t="shared" ca="1" si="109"/>
        <v>0</v>
      </c>
      <c r="AT264" s="872">
        <f t="shared" ca="1" si="109"/>
        <v>0</v>
      </c>
      <c r="AU264" s="823">
        <f ca="1">SUM(C264:AT264)-B264</f>
        <v>0</v>
      </c>
    </row>
    <row r="265" spans="1:47" s="77" customFormat="1" ht="18" customHeight="1" outlineLevel="2">
      <c r="A265" s="869" t="str">
        <f>'8.项目规划指标表'!B$6</f>
        <v>商铺</v>
      </c>
      <c r="B265" s="870">
        <f ca="1">'17.财务费用测算表'!E$30</f>
        <v>61.074823354538523</v>
      </c>
      <c r="C265" s="871">
        <f t="shared" ref="C265:AT265" ca="1" si="110">IFERROR($B265/$B9*C9,0)</f>
        <v>0</v>
      </c>
      <c r="D265" s="872">
        <f t="shared" ca="1" si="110"/>
        <v>0</v>
      </c>
      <c r="E265" s="872">
        <f t="shared" ca="1" si="110"/>
        <v>0</v>
      </c>
      <c r="F265" s="872">
        <f t="shared" ca="1" si="110"/>
        <v>0</v>
      </c>
      <c r="G265" s="871">
        <f t="shared" ca="1" si="110"/>
        <v>0</v>
      </c>
      <c r="H265" s="872">
        <f t="shared" ca="1" si="110"/>
        <v>0</v>
      </c>
      <c r="I265" s="872">
        <f t="shared" ca="1" si="110"/>
        <v>0</v>
      </c>
      <c r="J265" s="872">
        <f t="shared" ca="1" si="110"/>
        <v>0</v>
      </c>
      <c r="K265" s="871">
        <f t="shared" ca="1" si="110"/>
        <v>0</v>
      </c>
      <c r="L265" s="872">
        <f t="shared" ca="1" si="110"/>
        <v>48.859858683630819</v>
      </c>
      <c r="M265" s="872">
        <f t="shared" ca="1" si="110"/>
        <v>12.214964670907705</v>
      </c>
      <c r="N265" s="872">
        <f t="shared" ca="1" si="110"/>
        <v>0</v>
      </c>
      <c r="O265" s="871">
        <f t="shared" ca="1" si="110"/>
        <v>0</v>
      </c>
      <c r="P265" s="872">
        <f t="shared" ca="1" si="110"/>
        <v>0</v>
      </c>
      <c r="Q265" s="872">
        <f t="shared" ca="1" si="110"/>
        <v>0</v>
      </c>
      <c r="R265" s="872">
        <f t="shared" ca="1" si="110"/>
        <v>0</v>
      </c>
      <c r="S265" s="871">
        <f t="shared" ca="1" si="110"/>
        <v>0</v>
      </c>
      <c r="T265" s="872">
        <f t="shared" ca="1" si="110"/>
        <v>0</v>
      </c>
      <c r="U265" s="872">
        <f t="shared" ca="1" si="110"/>
        <v>0</v>
      </c>
      <c r="V265" s="872">
        <f t="shared" ca="1" si="110"/>
        <v>0</v>
      </c>
      <c r="W265" s="871">
        <f t="shared" ca="1" si="110"/>
        <v>0</v>
      </c>
      <c r="X265" s="872">
        <f t="shared" ca="1" si="110"/>
        <v>0</v>
      </c>
      <c r="Y265" s="872">
        <f t="shared" ca="1" si="110"/>
        <v>0</v>
      </c>
      <c r="Z265" s="872">
        <f t="shared" ca="1" si="110"/>
        <v>0</v>
      </c>
      <c r="AA265" s="871">
        <f t="shared" ca="1" si="110"/>
        <v>0</v>
      </c>
      <c r="AB265" s="872">
        <f t="shared" ca="1" si="110"/>
        <v>0</v>
      </c>
      <c r="AC265" s="872">
        <f t="shared" ca="1" si="110"/>
        <v>0</v>
      </c>
      <c r="AD265" s="872">
        <f t="shared" ca="1" si="110"/>
        <v>0</v>
      </c>
      <c r="AE265" s="871">
        <f t="shared" ca="1" si="110"/>
        <v>0</v>
      </c>
      <c r="AF265" s="872">
        <f t="shared" ca="1" si="110"/>
        <v>0</v>
      </c>
      <c r="AG265" s="872">
        <f t="shared" ca="1" si="110"/>
        <v>0</v>
      </c>
      <c r="AH265" s="872">
        <f t="shared" ca="1" si="110"/>
        <v>0</v>
      </c>
      <c r="AI265" s="871">
        <f t="shared" ca="1" si="110"/>
        <v>0</v>
      </c>
      <c r="AJ265" s="872">
        <f t="shared" ca="1" si="110"/>
        <v>0</v>
      </c>
      <c r="AK265" s="872">
        <f t="shared" ca="1" si="110"/>
        <v>0</v>
      </c>
      <c r="AL265" s="872">
        <f t="shared" ca="1" si="110"/>
        <v>0</v>
      </c>
      <c r="AM265" s="871">
        <f t="shared" ca="1" si="110"/>
        <v>0</v>
      </c>
      <c r="AN265" s="872">
        <f t="shared" ca="1" si="110"/>
        <v>0</v>
      </c>
      <c r="AO265" s="872">
        <f t="shared" ca="1" si="110"/>
        <v>0</v>
      </c>
      <c r="AP265" s="872">
        <f t="shared" ca="1" si="110"/>
        <v>0</v>
      </c>
      <c r="AQ265" s="871">
        <f t="shared" ca="1" si="110"/>
        <v>0</v>
      </c>
      <c r="AR265" s="872">
        <f t="shared" ca="1" si="110"/>
        <v>0</v>
      </c>
      <c r="AS265" s="872">
        <f t="shared" ca="1" si="110"/>
        <v>0</v>
      </c>
      <c r="AT265" s="872">
        <f t="shared" ca="1" si="110"/>
        <v>0</v>
      </c>
      <c r="AU265" s="823">
        <f t="shared" ref="AU265:AU275" ca="1" si="111">SUM(C265:AT265)-B265</f>
        <v>0</v>
      </c>
    </row>
    <row r="266" spans="1:47" s="77" customFormat="1" ht="18" customHeight="1" outlineLevel="2">
      <c r="A266" s="869" t="str">
        <f>'8.项目规划指标表'!B$7</f>
        <v>回迁商业</v>
      </c>
      <c r="B266" s="870">
        <f>'17.财务费用测算表'!F$30</f>
        <v>0</v>
      </c>
      <c r="C266" s="871">
        <f t="shared" ref="C266:AT266" si="112">IFERROR($B266/$B10*C10,0)</f>
        <v>0</v>
      </c>
      <c r="D266" s="872">
        <f t="shared" si="112"/>
        <v>0</v>
      </c>
      <c r="E266" s="872">
        <f t="shared" si="112"/>
        <v>0</v>
      </c>
      <c r="F266" s="872">
        <f t="shared" si="112"/>
        <v>0</v>
      </c>
      <c r="G266" s="871">
        <f t="shared" si="112"/>
        <v>0</v>
      </c>
      <c r="H266" s="872">
        <f t="shared" si="112"/>
        <v>0</v>
      </c>
      <c r="I266" s="872">
        <f t="shared" si="112"/>
        <v>0</v>
      </c>
      <c r="J266" s="872">
        <f t="shared" si="112"/>
        <v>0</v>
      </c>
      <c r="K266" s="871">
        <f t="shared" si="112"/>
        <v>0</v>
      </c>
      <c r="L266" s="872">
        <f t="shared" si="112"/>
        <v>0</v>
      </c>
      <c r="M266" s="872">
        <f t="shared" si="112"/>
        <v>0</v>
      </c>
      <c r="N266" s="872">
        <f t="shared" si="112"/>
        <v>0</v>
      </c>
      <c r="O266" s="871">
        <f t="shared" si="112"/>
        <v>0</v>
      </c>
      <c r="P266" s="872">
        <f t="shared" si="112"/>
        <v>0</v>
      </c>
      <c r="Q266" s="872">
        <f t="shared" si="112"/>
        <v>0</v>
      </c>
      <c r="R266" s="872">
        <f t="shared" si="112"/>
        <v>0</v>
      </c>
      <c r="S266" s="871">
        <f t="shared" si="112"/>
        <v>0</v>
      </c>
      <c r="T266" s="872">
        <f t="shared" si="112"/>
        <v>0</v>
      </c>
      <c r="U266" s="872">
        <f t="shared" si="112"/>
        <v>0</v>
      </c>
      <c r="V266" s="872">
        <f t="shared" si="112"/>
        <v>0</v>
      </c>
      <c r="W266" s="871">
        <f t="shared" si="112"/>
        <v>0</v>
      </c>
      <c r="X266" s="872">
        <f t="shared" si="112"/>
        <v>0</v>
      </c>
      <c r="Y266" s="872">
        <f t="shared" si="112"/>
        <v>0</v>
      </c>
      <c r="Z266" s="872">
        <f t="shared" si="112"/>
        <v>0</v>
      </c>
      <c r="AA266" s="871">
        <f t="shared" si="112"/>
        <v>0</v>
      </c>
      <c r="AB266" s="872">
        <f t="shared" si="112"/>
        <v>0</v>
      </c>
      <c r="AC266" s="872">
        <f t="shared" si="112"/>
        <v>0</v>
      </c>
      <c r="AD266" s="872">
        <f t="shared" si="112"/>
        <v>0</v>
      </c>
      <c r="AE266" s="871">
        <f t="shared" si="112"/>
        <v>0</v>
      </c>
      <c r="AF266" s="872">
        <f t="shared" si="112"/>
        <v>0</v>
      </c>
      <c r="AG266" s="872">
        <f t="shared" si="112"/>
        <v>0</v>
      </c>
      <c r="AH266" s="872">
        <f t="shared" si="112"/>
        <v>0</v>
      </c>
      <c r="AI266" s="871">
        <f t="shared" si="112"/>
        <v>0</v>
      </c>
      <c r="AJ266" s="872">
        <f t="shared" si="112"/>
        <v>0</v>
      </c>
      <c r="AK266" s="872">
        <f t="shared" si="112"/>
        <v>0</v>
      </c>
      <c r="AL266" s="872">
        <f t="shared" si="112"/>
        <v>0</v>
      </c>
      <c r="AM266" s="871">
        <f t="shared" si="112"/>
        <v>0</v>
      </c>
      <c r="AN266" s="872">
        <f t="shared" si="112"/>
        <v>0</v>
      </c>
      <c r="AO266" s="872">
        <f t="shared" si="112"/>
        <v>0</v>
      </c>
      <c r="AP266" s="872">
        <f t="shared" si="112"/>
        <v>0</v>
      </c>
      <c r="AQ266" s="871">
        <f t="shared" si="112"/>
        <v>0</v>
      </c>
      <c r="AR266" s="872">
        <f t="shared" si="112"/>
        <v>0</v>
      </c>
      <c r="AS266" s="872">
        <f t="shared" si="112"/>
        <v>0</v>
      </c>
      <c r="AT266" s="872">
        <f t="shared" si="112"/>
        <v>0</v>
      </c>
      <c r="AU266" s="823">
        <f t="shared" si="111"/>
        <v>0</v>
      </c>
    </row>
    <row r="267" spans="1:47" s="77" customFormat="1" ht="18" customHeight="1" outlineLevel="2">
      <c r="A267" s="869">
        <f>'8.项目规划指标表'!B$8</f>
        <v>0</v>
      </c>
      <c r="B267" s="870">
        <f ca="1">'17.财务费用测算表'!G$30</f>
        <v>0</v>
      </c>
      <c r="C267" s="871">
        <f t="shared" ref="C267:AT267" ca="1" si="113">IFERROR($B267/$B11*C11,0)</f>
        <v>0</v>
      </c>
      <c r="D267" s="872">
        <f t="shared" ca="1" si="113"/>
        <v>0</v>
      </c>
      <c r="E267" s="872">
        <f t="shared" ca="1" si="113"/>
        <v>0</v>
      </c>
      <c r="F267" s="872">
        <f t="shared" ca="1" si="113"/>
        <v>0</v>
      </c>
      <c r="G267" s="871">
        <f t="shared" ca="1" si="113"/>
        <v>0</v>
      </c>
      <c r="H267" s="872">
        <f t="shared" ca="1" si="113"/>
        <v>0</v>
      </c>
      <c r="I267" s="872">
        <f t="shared" ca="1" si="113"/>
        <v>0</v>
      </c>
      <c r="J267" s="872">
        <f t="shared" ca="1" si="113"/>
        <v>0</v>
      </c>
      <c r="K267" s="871">
        <f t="shared" ca="1" si="113"/>
        <v>0</v>
      </c>
      <c r="L267" s="872">
        <f t="shared" ca="1" si="113"/>
        <v>0</v>
      </c>
      <c r="M267" s="872">
        <f t="shared" ca="1" si="113"/>
        <v>0</v>
      </c>
      <c r="N267" s="872">
        <f t="shared" ca="1" si="113"/>
        <v>0</v>
      </c>
      <c r="O267" s="871">
        <f t="shared" ca="1" si="113"/>
        <v>0</v>
      </c>
      <c r="P267" s="872">
        <f t="shared" ca="1" si="113"/>
        <v>0</v>
      </c>
      <c r="Q267" s="872">
        <f t="shared" ca="1" si="113"/>
        <v>0</v>
      </c>
      <c r="R267" s="872">
        <f t="shared" ca="1" si="113"/>
        <v>0</v>
      </c>
      <c r="S267" s="871">
        <f t="shared" ca="1" si="113"/>
        <v>0</v>
      </c>
      <c r="T267" s="872">
        <f t="shared" ca="1" si="113"/>
        <v>0</v>
      </c>
      <c r="U267" s="872">
        <f t="shared" ca="1" si="113"/>
        <v>0</v>
      </c>
      <c r="V267" s="872">
        <f t="shared" ca="1" si="113"/>
        <v>0</v>
      </c>
      <c r="W267" s="871">
        <f t="shared" ca="1" si="113"/>
        <v>0</v>
      </c>
      <c r="X267" s="872">
        <f t="shared" ca="1" si="113"/>
        <v>0</v>
      </c>
      <c r="Y267" s="872">
        <f t="shared" ca="1" si="113"/>
        <v>0</v>
      </c>
      <c r="Z267" s="872">
        <f t="shared" ca="1" si="113"/>
        <v>0</v>
      </c>
      <c r="AA267" s="871">
        <f t="shared" ca="1" si="113"/>
        <v>0</v>
      </c>
      <c r="AB267" s="872">
        <f t="shared" ca="1" si="113"/>
        <v>0</v>
      </c>
      <c r="AC267" s="872">
        <f t="shared" ca="1" si="113"/>
        <v>0</v>
      </c>
      <c r="AD267" s="872">
        <f t="shared" ca="1" si="113"/>
        <v>0</v>
      </c>
      <c r="AE267" s="871">
        <f t="shared" ca="1" si="113"/>
        <v>0</v>
      </c>
      <c r="AF267" s="872">
        <f t="shared" ca="1" si="113"/>
        <v>0</v>
      </c>
      <c r="AG267" s="872">
        <f t="shared" ca="1" si="113"/>
        <v>0</v>
      </c>
      <c r="AH267" s="872">
        <f t="shared" ca="1" si="113"/>
        <v>0</v>
      </c>
      <c r="AI267" s="871">
        <f t="shared" ca="1" si="113"/>
        <v>0</v>
      </c>
      <c r="AJ267" s="872">
        <f t="shared" ca="1" si="113"/>
        <v>0</v>
      </c>
      <c r="AK267" s="872">
        <f t="shared" ca="1" si="113"/>
        <v>0</v>
      </c>
      <c r="AL267" s="872">
        <f t="shared" ca="1" si="113"/>
        <v>0</v>
      </c>
      <c r="AM267" s="871">
        <f t="shared" ca="1" si="113"/>
        <v>0</v>
      </c>
      <c r="AN267" s="872">
        <f t="shared" ca="1" si="113"/>
        <v>0</v>
      </c>
      <c r="AO267" s="872">
        <f t="shared" ca="1" si="113"/>
        <v>0</v>
      </c>
      <c r="AP267" s="872">
        <f t="shared" ca="1" si="113"/>
        <v>0</v>
      </c>
      <c r="AQ267" s="871">
        <f t="shared" ca="1" si="113"/>
        <v>0</v>
      </c>
      <c r="AR267" s="872">
        <f t="shared" ca="1" si="113"/>
        <v>0</v>
      </c>
      <c r="AS267" s="872">
        <f t="shared" ca="1" si="113"/>
        <v>0</v>
      </c>
      <c r="AT267" s="872">
        <f t="shared" ca="1" si="113"/>
        <v>0</v>
      </c>
      <c r="AU267" s="823">
        <f t="shared" ca="1" si="111"/>
        <v>0</v>
      </c>
    </row>
    <row r="268" spans="1:47" s="77" customFormat="1" ht="18" customHeight="1" outlineLevel="2">
      <c r="A268" s="869">
        <f>'8.项目规划指标表'!B$9</f>
        <v>0</v>
      </c>
      <c r="B268" s="870">
        <f ca="1">'17.财务费用测算表'!H$30</f>
        <v>0</v>
      </c>
      <c r="C268" s="871">
        <f t="shared" ref="C268:AT268" ca="1" si="114">IFERROR($B268/$B12*C12,0)</f>
        <v>0</v>
      </c>
      <c r="D268" s="872">
        <f t="shared" ca="1" si="114"/>
        <v>0</v>
      </c>
      <c r="E268" s="872">
        <f t="shared" ca="1" si="114"/>
        <v>0</v>
      </c>
      <c r="F268" s="872">
        <f t="shared" ca="1" si="114"/>
        <v>0</v>
      </c>
      <c r="G268" s="871">
        <f t="shared" ca="1" si="114"/>
        <v>0</v>
      </c>
      <c r="H268" s="872">
        <f t="shared" ca="1" si="114"/>
        <v>0</v>
      </c>
      <c r="I268" s="872">
        <f t="shared" ca="1" si="114"/>
        <v>0</v>
      </c>
      <c r="J268" s="872">
        <f t="shared" ca="1" si="114"/>
        <v>0</v>
      </c>
      <c r="K268" s="871">
        <f t="shared" ca="1" si="114"/>
        <v>0</v>
      </c>
      <c r="L268" s="872">
        <f t="shared" ca="1" si="114"/>
        <v>0</v>
      </c>
      <c r="M268" s="872">
        <f t="shared" ca="1" si="114"/>
        <v>0</v>
      </c>
      <c r="N268" s="872">
        <f t="shared" ca="1" si="114"/>
        <v>0</v>
      </c>
      <c r="O268" s="871">
        <f t="shared" ca="1" si="114"/>
        <v>0</v>
      </c>
      <c r="P268" s="872">
        <f t="shared" ca="1" si="114"/>
        <v>0</v>
      </c>
      <c r="Q268" s="872">
        <f t="shared" ca="1" si="114"/>
        <v>0</v>
      </c>
      <c r="R268" s="872">
        <f t="shared" ca="1" si="114"/>
        <v>0</v>
      </c>
      <c r="S268" s="871">
        <f t="shared" ca="1" si="114"/>
        <v>0</v>
      </c>
      <c r="T268" s="872">
        <f t="shared" ca="1" si="114"/>
        <v>0</v>
      </c>
      <c r="U268" s="872">
        <f t="shared" ca="1" si="114"/>
        <v>0</v>
      </c>
      <c r="V268" s="872">
        <f t="shared" ca="1" si="114"/>
        <v>0</v>
      </c>
      <c r="W268" s="871">
        <f t="shared" ca="1" si="114"/>
        <v>0</v>
      </c>
      <c r="X268" s="872">
        <f t="shared" ca="1" si="114"/>
        <v>0</v>
      </c>
      <c r="Y268" s="872">
        <f t="shared" ca="1" si="114"/>
        <v>0</v>
      </c>
      <c r="Z268" s="872">
        <f t="shared" ca="1" si="114"/>
        <v>0</v>
      </c>
      <c r="AA268" s="871">
        <f t="shared" ca="1" si="114"/>
        <v>0</v>
      </c>
      <c r="AB268" s="872">
        <f t="shared" ca="1" si="114"/>
        <v>0</v>
      </c>
      <c r="AC268" s="872">
        <f t="shared" ca="1" si="114"/>
        <v>0</v>
      </c>
      <c r="AD268" s="872">
        <f t="shared" ca="1" si="114"/>
        <v>0</v>
      </c>
      <c r="AE268" s="871">
        <f t="shared" ca="1" si="114"/>
        <v>0</v>
      </c>
      <c r="AF268" s="872">
        <f t="shared" ca="1" si="114"/>
        <v>0</v>
      </c>
      <c r="AG268" s="872">
        <f t="shared" ca="1" si="114"/>
        <v>0</v>
      </c>
      <c r="AH268" s="872">
        <f t="shared" ca="1" si="114"/>
        <v>0</v>
      </c>
      <c r="AI268" s="871">
        <f t="shared" ca="1" si="114"/>
        <v>0</v>
      </c>
      <c r="AJ268" s="872">
        <f t="shared" ca="1" si="114"/>
        <v>0</v>
      </c>
      <c r="AK268" s="872">
        <f t="shared" ca="1" si="114"/>
        <v>0</v>
      </c>
      <c r="AL268" s="872">
        <f t="shared" ca="1" si="114"/>
        <v>0</v>
      </c>
      <c r="AM268" s="871">
        <f t="shared" ca="1" si="114"/>
        <v>0</v>
      </c>
      <c r="AN268" s="872">
        <f t="shared" ca="1" si="114"/>
        <v>0</v>
      </c>
      <c r="AO268" s="872">
        <f t="shared" ca="1" si="114"/>
        <v>0</v>
      </c>
      <c r="AP268" s="872">
        <f t="shared" ca="1" si="114"/>
        <v>0</v>
      </c>
      <c r="AQ268" s="871">
        <f t="shared" ca="1" si="114"/>
        <v>0</v>
      </c>
      <c r="AR268" s="872">
        <f t="shared" ca="1" si="114"/>
        <v>0</v>
      </c>
      <c r="AS268" s="872">
        <f t="shared" ca="1" si="114"/>
        <v>0</v>
      </c>
      <c r="AT268" s="872">
        <f t="shared" ca="1" si="114"/>
        <v>0</v>
      </c>
      <c r="AU268" s="823">
        <f t="shared" ca="1" si="111"/>
        <v>0</v>
      </c>
    </row>
    <row r="269" spans="1:47" s="77" customFormat="1" ht="18" customHeight="1" outlineLevel="2">
      <c r="A269" s="869">
        <f>'8.项目规划指标表'!B$10</f>
        <v>0</v>
      </c>
      <c r="B269" s="870">
        <f ca="1">'17.财务费用测算表'!I$30</f>
        <v>0</v>
      </c>
      <c r="C269" s="871">
        <f t="shared" ref="C269:AT269" ca="1" si="115">IFERROR($B269/$B13*C13,0)</f>
        <v>0</v>
      </c>
      <c r="D269" s="872">
        <f t="shared" ca="1" si="115"/>
        <v>0</v>
      </c>
      <c r="E269" s="872">
        <f t="shared" ca="1" si="115"/>
        <v>0</v>
      </c>
      <c r="F269" s="872">
        <f t="shared" ca="1" si="115"/>
        <v>0</v>
      </c>
      <c r="G269" s="871">
        <f t="shared" ca="1" si="115"/>
        <v>0</v>
      </c>
      <c r="H269" s="872">
        <f t="shared" ca="1" si="115"/>
        <v>0</v>
      </c>
      <c r="I269" s="872">
        <f t="shared" ca="1" si="115"/>
        <v>0</v>
      </c>
      <c r="J269" s="872">
        <f t="shared" ca="1" si="115"/>
        <v>0</v>
      </c>
      <c r="K269" s="871">
        <f t="shared" ca="1" si="115"/>
        <v>0</v>
      </c>
      <c r="L269" s="872">
        <f t="shared" ca="1" si="115"/>
        <v>0</v>
      </c>
      <c r="M269" s="872">
        <f t="shared" ca="1" si="115"/>
        <v>0</v>
      </c>
      <c r="N269" s="872">
        <f t="shared" ca="1" si="115"/>
        <v>0</v>
      </c>
      <c r="O269" s="871">
        <f t="shared" ca="1" si="115"/>
        <v>0</v>
      </c>
      <c r="P269" s="872">
        <f t="shared" ca="1" si="115"/>
        <v>0</v>
      </c>
      <c r="Q269" s="872">
        <f t="shared" ca="1" si="115"/>
        <v>0</v>
      </c>
      <c r="R269" s="872">
        <f t="shared" ca="1" si="115"/>
        <v>0</v>
      </c>
      <c r="S269" s="871">
        <f t="shared" ca="1" si="115"/>
        <v>0</v>
      </c>
      <c r="T269" s="872">
        <f t="shared" ca="1" si="115"/>
        <v>0</v>
      </c>
      <c r="U269" s="872">
        <f t="shared" ca="1" si="115"/>
        <v>0</v>
      </c>
      <c r="V269" s="872">
        <f t="shared" ca="1" si="115"/>
        <v>0</v>
      </c>
      <c r="W269" s="871">
        <f t="shared" ca="1" si="115"/>
        <v>0</v>
      </c>
      <c r="X269" s="872">
        <f t="shared" ca="1" si="115"/>
        <v>0</v>
      </c>
      <c r="Y269" s="872">
        <f t="shared" ca="1" si="115"/>
        <v>0</v>
      </c>
      <c r="Z269" s="872">
        <f t="shared" ca="1" si="115"/>
        <v>0</v>
      </c>
      <c r="AA269" s="871">
        <f t="shared" ca="1" si="115"/>
        <v>0</v>
      </c>
      <c r="AB269" s="872">
        <f t="shared" ca="1" si="115"/>
        <v>0</v>
      </c>
      <c r="AC269" s="872">
        <f t="shared" ca="1" si="115"/>
        <v>0</v>
      </c>
      <c r="AD269" s="872">
        <f t="shared" ca="1" si="115"/>
        <v>0</v>
      </c>
      <c r="AE269" s="871">
        <f t="shared" ca="1" si="115"/>
        <v>0</v>
      </c>
      <c r="AF269" s="872">
        <f t="shared" ca="1" si="115"/>
        <v>0</v>
      </c>
      <c r="AG269" s="872">
        <f t="shared" ca="1" si="115"/>
        <v>0</v>
      </c>
      <c r="AH269" s="872">
        <f t="shared" ca="1" si="115"/>
        <v>0</v>
      </c>
      <c r="AI269" s="871">
        <f t="shared" ca="1" si="115"/>
        <v>0</v>
      </c>
      <c r="AJ269" s="872">
        <f t="shared" ca="1" si="115"/>
        <v>0</v>
      </c>
      <c r="AK269" s="872">
        <f t="shared" ca="1" si="115"/>
        <v>0</v>
      </c>
      <c r="AL269" s="872">
        <f t="shared" ca="1" si="115"/>
        <v>0</v>
      </c>
      <c r="AM269" s="871">
        <f t="shared" ca="1" si="115"/>
        <v>0</v>
      </c>
      <c r="AN269" s="872">
        <f t="shared" ca="1" si="115"/>
        <v>0</v>
      </c>
      <c r="AO269" s="872">
        <f t="shared" ca="1" si="115"/>
        <v>0</v>
      </c>
      <c r="AP269" s="872">
        <f t="shared" ca="1" si="115"/>
        <v>0</v>
      </c>
      <c r="AQ269" s="871">
        <f t="shared" ca="1" si="115"/>
        <v>0</v>
      </c>
      <c r="AR269" s="872">
        <f t="shared" ca="1" si="115"/>
        <v>0</v>
      </c>
      <c r="AS269" s="872">
        <f t="shared" ca="1" si="115"/>
        <v>0</v>
      </c>
      <c r="AT269" s="872">
        <f t="shared" ca="1" si="115"/>
        <v>0</v>
      </c>
      <c r="AU269" s="823">
        <f t="shared" ca="1" si="111"/>
        <v>0</v>
      </c>
    </row>
    <row r="270" spans="1:47" s="77" customFormat="1" ht="18" customHeight="1" outlineLevel="2">
      <c r="A270" s="869">
        <f>'8.项目规划指标表'!B$11</f>
        <v>0</v>
      </c>
      <c r="B270" s="870">
        <f ca="1">'17.财务费用测算表'!J$30</f>
        <v>0</v>
      </c>
      <c r="C270" s="871">
        <f t="shared" ref="C270:AT270" ca="1" si="116">IFERROR($B270/$B14*C14,0)</f>
        <v>0</v>
      </c>
      <c r="D270" s="872">
        <f t="shared" ca="1" si="116"/>
        <v>0</v>
      </c>
      <c r="E270" s="872">
        <f t="shared" ca="1" si="116"/>
        <v>0</v>
      </c>
      <c r="F270" s="872">
        <f t="shared" ca="1" si="116"/>
        <v>0</v>
      </c>
      <c r="G270" s="871">
        <f t="shared" ca="1" si="116"/>
        <v>0</v>
      </c>
      <c r="H270" s="872">
        <f t="shared" ca="1" si="116"/>
        <v>0</v>
      </c>
      <c r="I270" s="872">
        <f t="shared" ca="1" si="116"/>
        <v>0</v>
      </c>
      <c r="J270" s="872">
        <f t="shared" ca="1" si="116"/>
        <v>0</v>
      </c>
      <c r="K270" s="871">
        <f t="shared" ca="1" si="116"/>
        <v>0</v>
      </c>
      <c r="L270" s="872">
        <f t="shared" ca="1" si="116"/>
        <v>0</v>
      </c>
      <c r="M270" s="872">
        <f t="shared" ca="1" si="116"/>
        <v>0</v>
      </c>
      <c r="N270" s="872">
        <f t="shared" ca="1" si="116"/>
        <v>0</v>
      </c>
      <c r="O270" s="871">
        <f t="shared" ca="1" si="116"/>
        <v>0</v>
      </c>
      <c r="P270" s="872">
        <f t="shared" ca="1" si="116"/>
        <v>0</v>
      </c>
      <c r="Q270" s="872">
        <f t="shared" ca="1" si="116"/>
        <v>0</v>
      </c>
      <c r="R270" s="872">
        <f t="shared" ca="1" si="116"/>
        <v>0</v>
      </c>
      <c r="S270" s="871">
        <f t="shared" ca="1" si="116"/>
        <v>0</v>
      </c>
      <c r="T270" s="872">
        <f t="shared" ca="1" si="116"/>
        <v>0</v>
      </c>
      <c r="U270" s="872">
        <f t="shared" ca="1" si="116"/>
        <v>0</v>
      </c>
      <c r="V270" s="872">
        <f t="shared" ca="1" si="116"/>
        <v>0</v>
      </c>
      <c r="W270" s="871">
        <f t="shared" ca="1" si="116"/>
        <v>0</v>
      </c>
      <c r="X270" s="872">
        <f t="shared" ca="1" si="116"/>
        <v>0</v>
      </c>
      <c r="Y270" s="872">
        <f t="shared" ca="1" si="116"/>
        <v>0</v>
      </c>
      <c r="Z270" s="872">
        <f t="shared" ca="1" si="116"/>
        <v>0</v>
      </c>
      <c r="AA270" s="871">
        <f t="shared" ca="1" si="116"/>
        <v>0</v>
      </c>
      <c r="AB270" s="872">
        <f t="shared" ca="1" si="116"/>
        <v>0</v>
      </c>
      <c r="AC270" s="872">
        <f t="shared" ca="1" si="116"/>
        <v>0</v>
      </c>
      <c r="AD270" s="872">
        <f t="shared" ca="1" si="116"/>
        <v>0</v>
      </c>
      <c r="AE270" s="871">
        <f t="shared" ca="1" si="116"/>
        <v>0</v>
      </c>
      <c r="AF270" s="872">
        <f t="shared" ca="1" si="116"/>
        <v>0</v>
      </c>
      <c r="AG270" s="872">
        <f t="shared" ca="1" si="116"/>
        <v>0</v>
      </c>
      <c r="AH270" s="872">
        <f t="shared" ca="1" si="116"/>
        <v>0</v>
      </c>
      <c r="AI270" s="871">
        <f t="shared" ca="1" si="116"/>
        <v>0</v>
      </c>
      <c r="AJ270" s="872">
        <f t="shared" ca="1" si="116"/>
        <v>0</v>
      </c>
      <c r="AK270" s="872">
        <f t="shared" ca="1" si="116"/>
        <v>0</v>
      </c>
      <c r="AL270" s="872">
        <f t="shared" ca="1" si="116"/>
        <v>0</v>
      </c>
      <c r="AM270" s="871">
        <f t="shared" ca="1" si="116"/>
        <v>0</v>
      </c>
      <c r="AN270" s="872">
        <f t="shared" ca="1" si="116"/>
        <v>0</v>
      </c>
      <c r="AO270" s="872">
        <f t="shared" ca="1" si="116"/>
        <v>0</v>
      </c>
      <c r="AP270" s="872">
        <f t="shared" ca="1" si="116"/>
        <v>0</v>
      </c>
      <c r="AQ270" s="871">
        <f t="shared" ca="1" si="116"/>
        <v>0</v>
      </c>
      <c r="AR270" s="872">
        <f t="shared" ca="1" si="116"/>
        <v>0</v>
      </c>
      <c r="AS270" s="872">
        <f t="shared" ca="1" si="116"/>
        <v>0</v>
      </c>
      <c r="AT270" s="872">
        <f t="shared" ca="1" si="116"/>
        <v>0</v>
      </c>
      <c r="AU270" s="823">
        <f t="shared" ca="1" si="111"/>
        <v>0</v>
      </c>
    </row>
    <row r="271" spans="1:47" s="77" customFormat="1" ht="18" customHeight="1" outlineLevel="2">
      <c r="A271" s="869">
        <f>'8.项目规划指标表'!B$12</f>
        <v>0</v>
      </c>
      <c r="B271" s="870">
        <f ca="1">'17.财务费用测算表'!K$30</f>
        <v>0</v>
      </c>
      <c r="C271" s="871">
        <f t="shared" ref="C271:AT271" ca="1" si="117">IFERROR($B271/$B15*C15,0)</f>
        <v>0</v>
      </c>
      <c r="D271" s="872">
        <f t="shared" ca="1" si="117"/>
        <v>0</v>
      </c>
      <c r="E271" s="872">
        <f t="shared" ca="1" si="117"/>
        <v>0</v>
      </c>
      <c r="F271" s="872">
        <f t="shared" ca="1" si="117"/>
        <v>0</v>
      </c>
      <c r="G271" s="871">
        <f t="shared" ca="1" si="117"/>
        <v>0</v>
      </c>
      <c r="H271" s="872">
        <f t="shared" ca="1" si="117"/>
        <v>0</v>
      </c>
      <c r="I271" s="872">
        <f t="shared" ca="1" si="117"/>
        <v>0</v>
      </c>
      <c r="J271" s="872">
        <f t="shared" ca="1" si="117"/>
        <v>0</v>
      </c>
      <c r="K271" s="871">
        <f t="shared" ca="1" si="117"/>
        <v>0</v>
      </c>
      <c r="L271" s="872">
        <f t="shared" ca="1" si="117"/>
        <v>0</v>
      </c>
      <c r="M271" s="872">
        <f t="shared" ca="1" si="117"/>
        <v>0</v>
      </c>
      <c r="N271" s="872">
        <f t="shared" ca="1" si="117"/>
        <v>0</v>
      </c>
      <c r="O271" s="871">
        <f t="shared" ca="1" si="117"/>
        <v>0</v>
      </c>
      <c r="P271" s="872">
        <f t="shared" ca="1" si="117"/>
        <v>0</v>
      </c>
      <c r="Q271" s="872">
        <f t="shared" ca="1" si="117"/>
        <v>0</v>
      </c>
      <c r="R271" s="872">
        <f t="shared" ca="1" si="117"/>
        <v>0</v>
      </c>
      <c r="S271" s="871">
        <f t="shared" ca="1" si="117"/>
        <v>0</v>
      </c>
      <c r="T271" s="872">
        <f t="shared" ca="1" si="117"/>
        <v>0</v>
      </c>
      <c r="U271" s="872">
        <f t="shared" ca="1" si="117"/>
        <v>0</v>
      </c>
      <c r="V271" s="872">
        <f t="shared" ca="1" si="117"/>
        <v>0</v>
      </c>
      <c r="W271" s="871">
        <f t="shared" ca="1" si="117"/>
        <v>0</v>
      </c>
      <c r="X271" s="872">
        <f t="shared" ca="1" si="117"/>
        <v>0</v>
      </c>
      <c r="Y271" s="872">
        <f t="shared" ca="1" si="117"/>
        <v>0</v>
      </c>
      <c r="Z271" s="872">
        <f t="shared" ca="1" si="117"/>
        <v>0</v>
      </c>
      <c r="AA271" s="871">
        <f t="shared" ca="1" si="117"/>
        <v>0</v>
      </c>
      <c r="AB271" s="872">
        <f t="shared" ca="1" si="117"/>
        <v>0</v>
      </c>
      <c r="AC271" s="872">
        <f t="shared" ca="1" si="117"/>
        <v>0</v>
      </c>
      <c r="AD271" s="872">
        <f t="shared" ca="1" si="117"/>
        <v>0</v>
      </c>
      <c r="AE271" s="871">
        <f t="shared" ca="1" si="117"/>
        <v>0</v>
      </c>
      <c r="AF271" s="872">
        <f t="shared" ca="1" si="117"/>
        <v>0</v>
      </c>
      <c r="AG271" s="872">
        <f t="shared" ca="1" si="117"/>
        <v>0</v>
      </c>
      <c r="AH271" s="872">
        <f t="shared" ca="1" si="117"/>
        <v>0</v>
      </c>
      <c r="AI271" s="871">
        <f t="shared" ca="1" si="117"/>
        <v>0</v>
      </c>
      <c r="AJ271" s="872">
        <f t="shared" ca="1" si="117"/>
        <v>0</v>
      </c>
      <c r="AK271" s="872">
        <f t="shared" ca="1" si="117"/>
        <v>0</v>
      </c>
      <c r="AL271" s="872">
        <f t="shared" ca="1" si="117"/>
        <v>0</v>
      </c>
      <c r="AM271" s="871">
        <f t="shared" ca="1" si="117"/>
        <v>0</v>
      </c>
      <c r="AN271" s="872">
        <f t="shared" ca="1" si="117"/>
        <v>0</v>
      </c>
      <c r="AO271" s="872">
        <f t="shared" ca="1" si="117"/>
        <v>0</v>
      </c>
      <c r="AP271" s="872">
        <f t="shared" ca="1" si="117"/>
        <v>0</v>
      </c>
      <c r="AQ271" s="871">
        <f t="shared" ca="1" si="117"/>
        <v>0</v>
      </c>
      <c r="AR271" s="872">
        <f t="shared" ca="1" si="117"/>
        <v>0</v>
      </c>
      <c r="AS271" s="872">
        <f t="shared" ca="1" si="117"/>
        <v>0</v>
      </c>
      <c r="AT271" s="872">
        <f t="shared" ca="1" si="117"/>
        <v>0</v>
      </c>
      <c r="AU271" s="823">
        <f t="shared" ca="1" si="111"/>
        <v>0</v>
      </c>
    </row>
    <row r="272" spans="1:47" s="77" customFormat="1" ht="18" customHeight="1" outlineLevel="2">
      <c r="A272" s="869">
        <f>'8.项目规划指标表'!B$13</f>
        <v>0</v>
      </c>
      <c r="B272" s="870">
        <f ca="1">'17.财务费用测算表'!L$30</f>
        <v>0</v>
      </c>
      <c r="C272" s="871">
        <f t="shared" ref="C272:AT272" ca="1" si="118">IFERROR($B272/$B16*C16,0)</f>
        <v>0</v>
      </c>
      <c r="D272" s="872">
        <f t="shared" ca="1" si="118"/>
        <v>0</v>
      </c>
      <c r="E272" s="872">
        <f t="shared" ca="1" si="118"/>
        <v>0</v>
      </c>
      <c r="F272" s="872">
        <f t="shared" ca="1" si="118"/>
        <v>0</v>
      </c>
      <c r="G272" s="871">
        <f t="shared" ca="1" si="118"/>
        <v>0</v>
      </c>
      <c r="H272" s="872">
        <f t="shared" ca="1" si="118"/>
        <v>0</v>
      </c>
      <c r="I272" s="872">
        <f t="shared" ca="1" si="118"/>
        <v>0</v>
      </c>
      <c r="J272" s="872">
        <f t="shared" ca="1" si="118"/>
        <v>0</v>
      </c>
      <c r="K272" s="871">
        <f t="shared" ca="1" si="118"/>
        <v>0</v>
      </c>
      <c r="L272" s="872">
        <f t="shared" ca="1" si="118"/>
        <v>0</v>
      </c>
      <c r="M272" s="872">
        <f t="shared" ca="1" si="118"/>
        <v>0</v>
      </c>
      <c r="N272" s="872">
        <f t="shared" ca="1" si="118"/>
        <v>0</v>
      </c>
      <c r="O272" s="871">
        <f t="shared" ca="1" si="118"/>
        <v>0</v>
      </c>
      <c r="P272" s="872">
        <f t="shared" ca="1" si="118"/>
        <v>0</v>
      </c>
      <c r="Q272" s="872">
        <f t="shared" ca="1" si="118"/>
        <v>0</v>
      </c>
      <c r="R272" s="872">
        <f t="shared" ca="1" si="118"/>
        <v>0</v>
      </c>
      <c r="S272" s="871">
        <f t="shared" ca="1" si="118"/>
        <v>0</v>
      </c>
      <c r="T272" s="872">
        <f t="shared" ca="1" si="118"/>
        <v>0</v>
      </c>
      <c r="U272" s="872">
        <f t="shared" ca="1" si="118"/>
        <v>0</v>
      </c>
      <c r="V272" s="872">
        <f t="shared" ca="1" si="118"/>
        <v>0</v>
      </c>
      <c r="W272" s="871">
        <f t="shared" ca="1" si="118"/>
        <v>0</v>
      </c>
      <c r="X272" s="872">
        <f t="shared" ca="1" si="118"/>
        <v>0</v>
      </c>
      <c r="Y272" s="872">
        <f t="shared" ca="1" si="118"/>
        <v>0</v>
      </c>
      <c r="Z272" s="872">
        <f t="shared" ca="1" si="118"/>
        <v>0</v>
      </c>
      <c r="AA272" s="871">
        <f t="shared" ca="1" si="118"/>
        <v>0</v>
      </c>
      <c r="AB272" s="872">
        <f t="shared" ca="1" si="118"/>
        <v>0</v>
      </c>
      <c r="AC272" s="872">
        <f t="shared" ca="1" si="118"/>
        <v>0</v>
      </c>
      <c r="AD272" s="872">
        <f t="shared" ca="1" si="118"/>
        <v>0</v>
      </c>
      <c r="AE272" s="871">
        <f t="shared" ca="1" si="118"/>
        <v>0</v>
      </c>
      <c r="AF272" s="872">
        <f t="shared" ca="1" si="118"/>
        <v>0</v>
      </c>
      <c r="AG272" s="872">
        <f t="shared" ca="1" si="118"/>
        <v>0</v>
      </c>
      <c r="AH272" s="872">
        <f t="shared" ca="1" si="118"/>
        <v>0</v>
      </c>
      <c r="AI272" s="871">
        <f t="shared" ca="1" si="118"/>
        <v>0</v>
      </c>
      <c r="AJ272" s="872">
        <f t="shared" ca="1" si="118"/>
        <v>0</v>
      </c>
      <c r="AK272" s="872">
        <f t="shared" ca="1" si="118"/>
        <v>0</v>
      </c>
      <c r="AL272" s="872">
        <f t="shared" ca="1" si="118"/>
        <v>0</v>
      </c>
      <c r="AM272" s="871">
        <f t="shared" ca="1" si="118"/>
        <v>0</v>
      </c>
      <c r="AN272" s="872">
        <f t="shared" ca="1" si="118"/>
        <v>0</v>
      </c>
      <c r="AO272" s="872">
        <f t="shared" ca="1" si="118"/>
        <v>0</v>
      </c>
      <c r="AP272" s="872">
        <f t="shared" ca="1" si="118"/>
        <v>0</v>
      </c>
      <c r="AQ272" s="871">
        <f t="shared" ca="1" si="118"/>
        <v>0</v>
      </c>
      <c r="AR272" s="872">
        <f t="shared" ca="1" si="118"/>
        <v>0</v>
      </c>
      <c r="AS272" s="872">
        <f t="shared" ca="1" si="118"/>
        <v>0</v>
      </c>
      <c r="AT272" s="872">
        <f t="shared" ca="1" si="118"/>
        <v>0</v>
      </c>
      <c r="AU272" s="823">
        <f t="shared" ca="1" si="111"/>
        <v>0</v>
      </c>
    </row>
    <row r="273" spans="1:47" s="77" customFormat="1" ht="18" customHeight="1" outlineLevel="2">
      <c r="A273" s="869" t="str">
        <f>'8.项目规划指标表'!B$14</f>
        <v>自持物业</v>
      </c>
      <c r="B273" s="870"/>
      <c r="C273" s="871"/>
      <c r="D273" s="872"/>
      <c r="E273" s="872"/>
      <c r="F273" s="872"/>
      <c r="G273" s="871"/>
      <c r="H273" s="872"/>
      <c r="I273" s="872"/>
      <c r="J273" s="872"/>
      <c r="K273" s="871"/>
      <c r="L273" s="872"/>
      <c r="M273" s="872"/>
      <c r="N273" s="872"/>
      <c r="O273" s="871"/>
      <c r="P273" s="872"/>
      <c r="Q273" s="872"/>
      <c r="R273" s="872"/>
      <c r="S273" s="871"/>
      <c r="T273" s="872"/>
      <c r="U273" s="872"/>
      <c r="V273" s="872"/>
      <c r="W273" s="871"/>
      <c r="X273" s="872"/>
      <c r="Y273" s="872"/>
      <c r="Z273" s="872"/>
      <c r="AA273" s="871"/>
      <c r="AB273" s="872"/>
      <c r="AC273" s="872"/>
      <c r="AD273" s="872"/>
      <c r="AE273" s="871"/>
      <c r="AF273" s="872"/>
      <c r="AG273" s="872"/>
      <c r="AH273" s="872"/>
      <c r="AI273" s="871"/>
      <c r="AJ273" s="872"/>
      <c r="AK273" s="872"/>
      <c r="AL273" s="872"/>
      <c r="AM273" s="871"/>
      <c r="AN273" s="872"/>
      <c r="AO273" s="872"/>
      <c r="AP273" s="872"/>
      <c r="AQ273" s="871"/>
      <c r="AR273" s="872"/>
      <c r="AS273" s="872"/>
      <c r="AT273" s="872"/>
      <c r="AU273" s="823">
        <f t="shared" si="111"/>
        <v>0</v>
      </c>
    </row>
    <row r="274" spans="1:47" s="77" customFormat="1" ht="18" customHeight="1" outlineLevel="2">
      <c r="A274" s="869" t="str">
        <f>'8.项目规划指标表'!B$18</f>
        <v>有产权车库(个)</v>
      </c>
      <c r="B274" s="870">
        <f ca="1">'17.财务费用测算表'!N$30</f>
        <v>53.993974979330268</v>
      </c>
      <c r="C274" s="871">
        <f t="shared" ref="C274:AT274" ca="1" si="119">IFERROR($B274/$B18*C18,0)</f>
        <v>0</v>
      </c>
      <c r="D274" s="872">
        <f t="shared" ca="1" si="119"/>
        <v>0</v>
      </c>
      <c r="E274" s="872">
        <f t="shared" ca="1" si="119"/>
        <v>0</v>
      </c>
      <c r="F274" s="872">
        <f t="shared" ca="1" si="119"/>
        <v>0</v>
      </c>
      <c r="G274" s="871">
        <f t="shared" ca="1" si="119"/>
        <v>0</v>
      </c>
      <c r="H274" s="872">
        <f t="shared" ca="1" si="119"/>
        <v>0</v>
      </c>
      <c r="I274" s="872">
        <f t="shared" ca="1" si="119"/>
        <v>0</v>
      </c>
      <c r="J274" s="872">
        <f t="shared" ca="1" si="119"/>
        <v>0</v>
      </c>
      <c r="K274" s="871">
        <f t="shared" ca="1" si="119"/>
        <v>0</v>
      </c>
      <c r="L274" s="872">
        <f t="shared" ca="1" si="119"/>
        <v>0</v>
      </c>
      <c r="M274" s="872">
        <f t="shared" ca="1" si="119"/>
        <v>16.19819249379908</v>
      </c>
      <c r="N274" s="872">
        <f t="shared" ca="1" si="119"/>
        <v>16.19819249379908</v>
      </c>
      <c r="O274" s="871">
        <f t="shared" ca="1" si="119"/>
        <v>10.798794995866054</v>
      </c>
      <c r="P274" s="872">
        <f t="shared" ca="1" si="119"/>
        <v>10.798794995866054</v>
      </c>
      <c r="Q274" s="872">
        <f t="shared" ca="1" si="119"/>
        <v>0</v>
      </c>
      <c r="R274" s="872">
        <f t="shared" ca="1" si="119"/>
        <v>0</v>
      </c>
      <c r="S274" s="871">
        <f t="shared" ca="1" si="119"/>
        <v>0</v>
      </c>
      <c r="T274" s="872">
        <f t="shared" ca="1" si="119"/>
        <v>0</v>
      </c>
      <c r="U274" s="872">
        <f t="shared" ca="1" si="119"/>
        <v>0</v>
      </c>
      <c r="V274" s="872">
        <f t="shared" ca="1" si="119"/>
        <v>0</v>
      </c>
      <c r="W274" s="871">
        <f t="shared" ca="1" si="119"/>
        <v>0</v>
      </c>
      <c r="X274" s="872">
        <f t="shared" ca="1" si="119"/>
        <v>0</v>
      </c>
      <c r="Y274" s="872">
        <f t="shared" ca="1" si="119"/>
        <v>0</v>
      </c>
      <c r="Z274" s="872">
        <f t="shared" ca="1" si="119"/>
        <v>0</v>
      </c>
      <c r="AA274" s="871">
        <f t="shared" ca="1" si="119"/>
        <v>0</v>
      </c>
      <c r="AB274" s="872">
        <f t="shared" ca="1" si="119"/>
        <v>0</v>
      </c>
      <c r="AC274" s="872">
        <f t="shared" ca="1" si="119"/>
        <v>0</v>
      </c>
      <c r="AD274" s="872">
        <f t="shared" ca="1" si="119"/>
        <v>0</v>
      </c>
      <c r="AE274" s="871">
        <f t="shared" ca="1" si="119"/>
        <v>0</v>
      </c>
      <c r="AF274" s="872">
        <f t="shared" ca="1" si="119"/>
        <v>0</v>
      </c>
      <c r="AG274" s="872">
        <f t="shared" ca="1" si="119"/>
        <v>0</v>
      </c>
      <c r="AH274" s="872">
        <f t="shared" ca="1" si="119"/>
        <v>0</v>
      </c>
      <c r="AI274" s="871">
        <f t="shared" ca="1" si="119"/>
        <v>0</v>
      </c>
      <c r="AJ274" s="872">
        <f t="shared" ca="1" si="119"/>
        <v>0</v>
      </c>
      <c r="AK274" s="872">
        <f t="shared" ca="1" si="119"/>
        <v>0</v>
      </c>
      <c r="AL274" s="872">
        <f t="shared" ca="1" si="119"/>
        <v>0</v>
      </c>
      <c r="AM274" s="871">
        <f t="shared" ca="1" si="119"/>
        <v>0</v>
      </c>
      <c r="AN274" s="872">
        <f t="shared" ca="1" si="119"/>
        <v>0</v>
      </c>
      <c r="AO274" s="872">
        <f t="shared" ca="1" si="119"/>
        <v>0</v>
      </c>
      <c r="AP274" s="872">
        <f t="shared" ca="1" si="119"/>
        <v>0</v>
      </c>
      <c r="AQ274" s="871">
        <f t="shared" ca="1" si="119"/>
        <v>0</v>
      </c>
      <c r="AR274" s="872">
        <f t="shared" ca="1" si="119"/>
        <v>0</v>
      </c>
      <c r="AS274" s="872">
        <f t="shared" ca="1" si="119"/>
        <v>0</v>
      </c>
      <c r="AT274" s="872">
        <f t="shared" ca="1" si="119"/>
        <v>0</v>
      </c>
      <c r="AU274" s="823">
        <f t="shared" ca="1" si="111"/>
        <v>0</v>
      </c>
    </row>
    <row r="275" spans="1:47" s="77" customFormat="1" ht="18" customHeight="1" outlineLevel="2">
      <c r="A275" s="869" t="str">
        <f>'8.项目规划指标表'!B$19</f>
        <v>无产权车库(个)</v>
      </c>
      <c r="B275" s="870">
        <f ca="1">'17.财务费用测算表'!O$30</f>
        <v>0</v>
      </c>
      <c r="C275" s="871">
        <f t="shared" ref="C275:AT275" ca="1" si="120">IFERROR($B275/$B19*C19,0)</f>
        <v>0</v>
      </c>
      <c r="D275" s="872">
        <f t="shared" ca="1" si="120"/>
        <v>0</v>
      </c>
      <c r="E275" s="872">
        <f t="shared" ca="1" si="120"/>
        <v>0</v>
      </c>
      <c r="F275" s="872">
        <f t="shared" ca="1" si="120"/>
        <v>0</v>
      </c>
      <c r="G275" s="871">
        <f t="shared" ca="1" si="120"/>
        <v>0</v>
      </c>
      <c r="H275" s="872">
        <f t="shared" ca="1" si="120"/>
        <v>0</v>
      </c>
      <c r="I275" s="872">
        <f t="shared" ca="1" si="120"/>
        <v>0</v>
      </c>
      <c r="J275" s="872">
        <f t="shared" ca="1" si="120"/>
        <v>0</v>
      </c>
      <c r="K275" s="871">
        <f t="shared" ca="1" si="120"/>
        <v>0</v>
      </c>
      <c r="L275" s="872">
        <f t="shared" ca="1" si="120"/>
        <v>0</v>
      </c>
      <c r="M275" s="872">
        <f t="shared" ca="1" si="120"/>
        <v>0</v>
      </c>
      <c r="N275" s="872">
        <f t="shared" ca="1" si="120"/>
        <v>0</v>
      </c>
      <c r="O275" s="871">
        <f t="shared" ca="1" si="120"/>
        <v>0</v>
      </c>
      <c r="P275" s="872">
        <f t="shared" ca="1" si="120"/>
        <v>0</v>
      </c>
      <c r="Q275" s="872">
        <f t="shared" ca="1" si="120"/>
        <v>0</v>
      </c>
      <c r="R275" s="872">
        <f t="shared" ca="1" si="120"/>
        <v>0</v>
      </c>
      <c r="S275" s="871">
        <f t="shared" ca="1" si="120"/>
        <v>0</v>
      </c>
      <c r="T275" s="872">
        <f t="shared" ca="1" si="120"/>
        <v>0</v>
      </c>
      <c r="U275" s="872">
        <f t="shared" ca="1" si="120"/>
        <v>0</v>
      </c>
      <c r="V275" s="872">
        <f t="shared" ca="1" si="120"/>
        <v>0</v>
      </c>
      <c r="W275" s="871">
        <f t="shared" ca="1" si="120"/>
        <v>0</v>
      </c>
      <c r="X275" s="872">
        <f t="shared" ca="1" si="120"/>
        <v>0</v>
      </c>
      <c r="Y275" s="872">
        <f t="shared" ca="1" si="120"/>
        <v>0</v>
      </c>
      <c r="Z275" s="872">
        <f t="shared" ca="1" si="120"/>
        <v>0</v>
      </c>
      <c r="AA275" s="871">
        <f t="shared" ca="1" si="120"/>
        <v>0</v>
      </c>
      <c r="AB275" s="872">
        <f t="shared" ca="1" si="120"/>
        <v>0</v>
      </c>
      <c r="AC275" s="872">
        <f t="shared" ca="1" si="120"/>
        <v>0</v>
      </c>
      <c r="AD275" s="872">
        <f t="shared" ca="1" si="120"/>
        <v>0</v>
      </c>
      <c r="AE275" s="871">
        <f t="shared" ca="1" si="120"/>
        <v>0</v>
      </c>
      <c r="AF275" s="872">
        <f t="shared" ca="1" si="120"/>
        <v>0</v>
      </c>
      <c r="AG275" s="872">
        <f t="shared" ca="1" si="120"/>
        <v>0</v>
      </c>
      <c r="AH275" s="872">
        <f t="shared" ca="1" si="120"/>
        <v>0</v>
      </c>
      <c r="AI275" s="871">
        <f t="shared" ca="1" si="120"/>
        <v>0</v>
      </c>
      <c r="AJ275" s="872">
        <f t="shared" ca="1" si="120"/>
        <v>0</v>
      </c>
      <c r="AK275" s="872">
        <f t="shared" ca="1" si="120"/>
        <v>0</v>
      </c>
      <c r="AL275" s="872">
        <f t="shared" ca="1" si="120"/>
        <v>0</v>
      </c>
      <c r="AM275" s="871">
        <f t="shared" ca="1" si="120"/>
        <v>0</v>
      </c>
      <c r="AN275" s="872">
        <f t="shared" ca="1" si="120"/>
        <v>0</v>
      </c>
      <c r="AO275" s="872">
        <f t="shared" ca="1" si="120"/>
        <v>0</v>
      </c>
      <c r="AP275" s="872">
        <f t="shared" ca="1" si="120"/>
        <v>0</v>
      </c>
      <c r="AQ275" s="871">
        <f t="shared" ca="1" si="120"/>
        <v>0</v>
      </c>
      <c r="AR275" s="872">
        <f t="shared" ca="1" si="120"/>
        <v>0</v>
      </c>
      <c r="AS275" s="872">
        <f t="shared" ca="1" si="120"/>
        <v>0</v>
      </c>
      <c r="AT275" s="872">
        <f t="shared" ca="1" si="120"/>
        <v>0</v>
      </c>
      <c r="AU275" s="823">
        <f t="shared" ca="1" si="111"/>
        <v>0</v>
      </c>
    </row>
    <row r="276" spans="1:47" s="77" customFormat="1" ht="18" customHeight="1" outlineLevel="1">
      <c r="A276" s="865" t="s">
        <v>20</v>
      </c>
      <c r="B276" s="866">
        <f ca="1">SUM(B277:B288)</f>
        <v>0</v>
      </c>
      <c r="C276" s="867">
        <f ca="1">SUM(C277:C288)</f>
        <v>0</v>
      </c>
      <c r="D276" s="868">
        <f t="shared" ref="D276:AT276" ca="1" si="121">SUM(D277:D288)</f>
        <v>0</v>
      </c>
      <c r="E276" s="868">
        <f t="shared" ca="1" si="121"/>
        <v>0</v>
      </c>
      <c r="F276" s="868">
        <f t="shared" ca="1" si="121"/>
        <v>0</v>
      </c>
      <c r="G276" s="867">
        <f t="shared" ca="1" si="121"/>
        <v>0</v>
      </c>
      <c r="H276" s="868">
        <f t="shared" ca="1" si="121"/>
        <v>0</v>
      </c>
      <c r="I276" s="868">
        <f t="shared" ca="1" si="121"/>
        <v>0</v>
      </c>
      <c r="J276" s="868">
        <f t="shared" ca="1" si="121"/>
        <v>0</v>
      </c>
      <c r="K276" s="867">
        <f t="shared" ca="1" si="121"/>
        <v>0</v>
      </c>
      <c r="L276" s="868">
        <f t="shared" ca="1" si="121"/>
        <v>0</v>
      </c>
      <c r="M276" s="868">
        <f t="shared" ca="1" si="121"/>
        <v>0</v>
      </c>
      <c r="N276" s="868">
        <f t="shared" ca="1" si="121"/>
        <v>0</v>
      </c>
      <c r="O276" s="867">
        <f t="shared" ca="1" si="121"/>
        <v>0</v>
      </c>
      <c r="P276" s="868">
        <f t="shared" ca="1" si="121"/>
        <v>0</v>
      </c>
      <c r="Q276" s="868">
        <f t="shared" ca="1" si="121"/>
        <v>0</v>
      </c>
      <c r="R276" s="868">
        <f t="shared" ca="1" si="121"/>
        <v>0</v>
      </c>
      <c r="S276" s="867">
        <f t="shared" ca="1" si="121"/>
        <v>0</v>
      </c>
      <c r="T276" s="868">
        <f t="shared" ca="1" si="121"/>
        <v>0</v>
      </c>
      <c r="U276" s="868">
        <f t="shared" ca="1" si="121"/>
        <v>0</v>
      </c>
      <c r="V276" s="868">
        <f t="shared" ca="1" si="121"/>
        <v>0</v>
      </c>
      <c r="W276" s="867">
        <f t="shared" ca="1" si="121"/>
        <v>0</v>
      </c>
      <c r="X276" s="868">
        <f t="shared" ca="1" si="121"/>
        <v>0</v>
      </c>
      <c r="Y276" s="868">
        <f t="shared" ca="1" si="121"/>
        <v>0</v>
      </c>
      <c r="Z276" s="868">
        <f t="shared" ca="1" si="121"/>
        <v>0</v>
      </c>
      <c r="AA276" s="867">
        <f t="shared" ca="1" si="121"/>
        <v>0</v>
      </c>
      <c r="AB276" s="868">
        <f t="shared" ca="1" si="121"/>
        <v>0</v>
      </c>
      <c r="AC276" s="868">
        <f t="shared" ca="1" si="121"/>
        <v>0</v>
      </c>
      <c r="AD276" s="868">
        <f t="shared" ca="1" si="121"/>
        <v>0</v>
      </c>
      <c r="AE276" s="867">
        <f t="shared" ca="1" si="121"/>
        <v>0</v>
      </c>
      <c r="AF276" s="868">
        <f t="shared" ca="1" si="121"/>
        <v>0</v>
      </c>
      <c r="AG276" s="868">
        <f t="shared" ca="1" si="121"/>
        <v>0</v>
      </c>
      <c r="AH276" s="868">
        <f t="shared" ca="1" si="121"/>
        <v>0</v>
      </c>
      <c r="AI276" s="867">
        <f t="shared" ca="1" si="121"/>
        <v>0</v>
      </c>
      <c r="AJ276" s="868">
        <f t="shared" ca="1" si="121"/>
        <v>0</v>
      </c>
      <c r="AK276" s="868">
        <f t="shared" ca="1" si="121"/>
        <v>0</v>
      </c>
      <c r="AL276" s="868">
        <f t="shared" ca="1" si="121"/>
        <v>0</v>
      </c>
      <c r="AM276" s="867">
        <f t="shared" ca="1" si="121"/>
        <v>0</v>
      </c>
      <c r="AN276" s="868">
        <f t="shared" ca="1" si="121"/>
        <v>0</v>
      </c>
      <c r="AO276" s="868">
        <f t="shared" ca="1" si="121"/>
        <v>0</v>
      </c>
      <c r="AP276" s="868">
        <f t="shared" ca="1" si="121"/>
        <v>0</v>
      </c>
      <c r="AQ276" s="867">
        <f t="shared" ca="1" si="121"/>
        <v>0</v>
      </c>
      <c r="AR276" s="868">
        <f t="shared" ca="1" si="121"/>
        <v>0</v>
      </c>
      <c r="AS276" s="868">
        <f t="shared" ca="1" si="121"/>
        <v>0</v>
      </c>
      <c r="AT276" s="868">
        <f t="shared" ca="1" si="121"/>
        <v>0</v>
      </c>
    </row>
    <row r="277" spans="1:47" s="77" customFormat="1" ht="18" customHeight="1" outlineLevel="2">
      <c r="A277" s="869" t="str">
        <f>'8.项目规划指标表'!B$5</f>
        <v>高层</v>
      </c>
      <c r="B277" s="870">
        <f ca="1">'17.财务费用测算表'!D$31</f>
        <v>0</v>
      </c>
      <c r="C277" s="871">
        <f ca="1">IFERROR($B277/$B21*C21,0)</f>
        <v>0</v>
      </c>
      <c r="D277" s="872">
        <f t="shared" ref="D277:AT277" ca="1" si="122">IFERROR($B277/$B21*D21,0)</f>
        <v>0</v>
      </c>
      <c r="E277" s="872">
        <f t="shared" ca="1" si="122"/>
        <v>0</v>
      </c>
      <c r="F277" s="872">
        <f t="shared" ca="1" si="122"/>
        <v>0</v>
      </c>
      <c r="G277" s="871">
        <f t="shared" ca="1" si="122"/>
        <v>0</v>
      </c>
      <c r="H277" s="872">
        <f t="shared" ca="1" si="122"/>
        <v>0</v>
      </c>
      <c r="I277" s="872">
        <f t="shared" ca="1" si="122"/>
        <v>0</v>
      </c>
      <c r="J277" s="872">
        <f t="shared" ca="1" si="122"/>
        <v>0</v>
      </c>
      <c r="K277" s="871">
        <f t="shared" ca="1" si="122"/>
        <v>0</v>
      </c>
      <c r="L277" s="872">
        <f t="shared" ca="1" si="122"/>
        <v>0</v>
      </c>
      <c r="M277" s="872">
        <f t="shared" ca="1" si="122"/>
        <v>0</v>
      </c>
      <c r="N277" s="872">
        <f t="shared" ca="1" si="122"/>
        <v>0</v>
      </c>
      <c r="O277" s="871">
        <f t="shared" ca="1" si="122"/>
        <v>0</v>
      </c>
      <c r="P277" s="872">
        <f t="shared" ca="1" si="122"/>
        <v>0</v>
      </c>
      <c r="Q277" s="872">
        <f t="shared" ca="1" si="122"/>
        <v>0</v>
      </c>
      <c r="R277" s="872">
        <f t="shared" ca="1" si="122"/>
        <v>0</v>
      </c>
      <c r="S277" s="871">
        <f t="shared" ca="1" si="122"/>
        <v>0</v>
      </c>
      <c r="T277" s="872">
        <f t="shared" ca="1" si="122"/>
        <v>0</v>
      </c>
      <c r="U277" s="872">
        <f t="shared" ca="1" si="122"/>
        <v>0</v>
      </c>
      <c r="V277" s="872">
        <f t="shared" ca="1" si="122"/>
        <v>0</v>
      </c>
      <c r="W277" s="871">
        <f t="shared" ca="1" si="122"/>
        <v>0</v>
      </c>
      <c r="X277" s="872">
        <f t="shared" ca="1" si="122"/>
        <v>0</v>
      </c>
      <c r="Y277" s="872">
        <f t="shared" ca="1" si="122"/>
        <v>0</v>
      </c>
      <c r="Z277" s="872">
        <f t="shared" ca="1" si="122"/>
        <v>0</v>
      </c>
      <c r="AA277" s="871">
        <f t="shared" ca="1" si="122"/>
        <v>0</v>
      </c>
      <c r="AB277" s="872">
        <f t="shared" ca="1" si="122"/>
        <v>0</v>
      </c>
      <c r="AC277" s="872">
        <f t="shared" ca="1" si="122"/>
        <v>0</v>
      </c>
      <c r="AD277" s="872">
        <f t="shared" ca="1" si="122"/>
        <v>0</v>
      </c>
      <c r="AE277" s="871">
        <f t="shared" ca="1" si="122"/>
        <v>0</v>
      </c>
      <c r="AF277" s="872">
        <f t="shared" ca="1" si="122"/>
        <v>0</v>
      </c>
      <c r="AG277" s="872">
        <f t="shared" ca="1" si="122"/>
        <v>0</v>
      </c>
      <c r="AH277" s="872">
        <f t="shared" ca="1" si="122"/>
        <v>0</v>
      </c>
      <c r="AI277" s="871">
        <f t="shared" ca="1" si="122"/>
        <v>0</v>
      </c>
      <c r="AJ277" s="872">
        <f t="shared" ca="1" si="122"/>
        <v>0</v>
      </c>
      <c r="AK277" s="872">
        <f t="shared" ca="1" si="122"/>
        <v>0</v>
      </c>
      <c r="AL277" s="872">
        <f t="shared" ca="1" si="122"/>
        <v>0</v>
      </c>
      <c r="AM277" s="871">
        <f t="shared" ca="1" si="122"/>
        <v>0</v>
      </c>
      <c r="AN277" s="872">
        <f t="shared" ca="1" si="122"/>
        <v>0</v>
      </c>
      <c r="AO277" s="872">
        <f t="shared" ca="1" si="122"/>
        <v>0</v>
      </c>
      <c r="AP277" s="872">
        <f t="shared" ca="1" si="122"/>
        <v>0</v>
      </c>
      <c r="AQ277" s="871">
        <f t="shared" ca="1" si="122"/>
        <v>0</v>
      </c>
      <c r="AR277" s="872">
        <f t="shared" ca="1" si="122"/>
        <v>0</v>
      </c>
      <c r="AS277" s="872">
        <f t="shared" ca="1" si="122"/>
        <v>0</v>
      </c>
      <c r="AT277" s="872">
        <f t="shared" ca="1" si="122"/>
        <v>0</v>
      </c>
      <c r="AU277" s="823">
        <f ca="1">SUM(C277:AT277)-B277</f>
        <v>0</v>
      </c>
    </row>
    <row r="278" spans="1:47" s="77" customFormat="1" ht="18" customHeight="1" outlineLevel="2">
      <c r="A278" s="869" t="str">
        <f>'8.项目规划指标表'!B$6</f>
        <v>商铺</v>
      </c>
      <c r="B278" s="870">
        <f ca="1">'17.财务费用测算表'!E$31</f>
        <v>0</v>
      </c>
      <c r="C278" s="871">
        <f t="shared" ref="C278:AT278" ca="1" si="123">IFERROR($B278/$B22*C22,0)</f>
        <v>0</v>
      </c>
      <c r="D278" s="872">
        <f t="shared" ca="1" si="123"/>
        <v>0</v>
      </c>
      <c r="E278" s="872">
        <f t="shared" ca="1" si="123"/>
        <v>0</v>
      </c>
      <c r="F278" s="872">
        <f t="shared" ca="1" si="123"/>
        <v>0</v>
      </c>
      <c r="G278" s="871">
        <f t="shared" ca="1" si="123"/>
        <v>0</v>
      </c>
      <c r="H278" s="872">
        <f t="shared" ca="1" si="123"/>
        <v>0</v>
      </c>
      <c r="I278" s="872">
        <f t="shared" ca="1" si="123"/>
        <v>0</v>
      </c>
      <c r="J278" s="872">
        <f t="shared" ca="1" si="123"/>
        <v>0</v>
      </c>
      <c r="K278" s="871">
        <f t="shared" ca="1" si="123"/>
        <v>0</v>
      </c>
      <c r="L278" s="872">
        <f t="shared" ca="1" si="123"/>
        <v>0</v>
      </c>
      <c r="M278" s="872">
        <f t="shared" ca="1" si="123"/>
        <v>0</v>
      </c>
      <c r="N278" s="872">
        <f t="shared" ca="1" si="123"/>
        <v>0</v>
      </c>
      <c r="O278" s="871">
        <f t="shared" ca="1" si="123"/>
        <v>0</v>
      </c>
      <c r="P278" s="872">
        <f t="shared" ca="1" si="123"/>
        <v>0</v>
      </c>
      <c r="Q278" s="872">
        <f t="shared" ca="1" si="123"/>
        <v>0</v>
      </c>
      <c r="R278" s="872">
        <f t="shared" ca="1" si="123"/>
        <v>0</v>
      </c>
      <c r="S278" s="871">
        <f t="shared" ca="1" si="123"/>
        <v>0</v>
      </c>
      <c r="T278" s="872">
        <f t="shared" ca="1" si="123"/>
        <v>0</v>
      </c>
      <c r="U278" s="872">
        <f t="shared" ca="1" si="123"/>
        <v>0</v>
      </c>
      <c r="V278" s="872">
        <f t="shared" ca="1" si="123"/>
        <v>0</v>
      </c>
      <c r="W278" s="871">
        <f t="shared" ca="1" si="123"/>
        <v>0</v>
      </c>
      <c r="X278" s="872">
        <f t="shared" ca="1" si="123"/>
        <v>0</v>
      </c>
      <c r="Y278" s="872">
        <f t="shared" ca="1" si="123"/>
        <v>0</v>
      </c>
      <c r="Z278" s="872">
        <f t="shared" ca="1" si="123"/>
        <v>0</v>
      </c>
      <c r="AA278" s="871">
        <f t="shared" ca="1" si="123"/>
        <v>0</v>
      </c>
      <c r="AB278" s="872">
        <f t="shared" ca="1" si="123"/>
        <v>0</v>
      </c>
      <c r="AC278" s="872">
        <f t="shared" ca="1" si="123"/>
        <v>0</v>
      </c>
      <c r="AD278" s="872">
        <f t="shared" ca="1" si="123"/>
        <v>0</v>
      </c>
      <c r="AE278" s="871">
        <f t="shared" ca="1" si="123"/>
        <v>0</v>
      </c>
      <c r="AF278" s="872">
        <f t="shared" ca="1" si="123"/>
        <v>0</v>
      </c>
      <c r="AG278" s="872">
        <f t="shared" ca="1" si="123"/>
        <v>0</v>
      </c>
      <c r="AH278" s="872">
        <f t="shared" ca="1" si="123"/>
        <v>0</v>
      </c>
      <c r="AI278" s="871">
        <f t="shared" ca="1" si="123"/>
        <v>0</v>
      </c>
      <c r="AJ278" s="872">
        <f t="shared" ca="1" si="123"/>
        <v>0</v>
      </c>
      <c r="AK278" s="872">
        <f t="shared" ca="1" si="123"/>
        <v>0</v>
      </c>
      <c r="AL278" s="872">
        <f t="shared" ca="1" si="123"/>
        <v>0</v>
      </c>
      <c r="AM278" s="871">
        <f t="shared" ca="1" si="123"/>
        <v>0</v>
      </c>
      <c r="AN278" s="872">
        <f t="shared" ca="1" si="123"/>
        <v>0</v>
      </c>
      <c r="AO278" s="872">
        <f t="shared" ca="1" si="123"/>
        <v>0</v>
      </c>
      <c r="AP278" s="872">
        <f t="shared" ca="1" si="123"/>
        <v>0</v>
      </c>
      <c r="AQ278" s="871">
        <f t="shared" ca="1" si="123"/>
        <v>0</v>
      </c>
      <c r="AR278" s="872">
        <f t="shared" ca="1" si="123"/>
        <v>0</v>
      </c>
      <c r="AS278" s="872">
        <f t="shared" ca="1" si="123"/>
        <v>0</v>
      </c>
      <c r="AT278" s="872">
        <f t="shared" ca="1" si="123"/>
        <v>0</v>
      </c>
      <c r="AU278" s="823">
        <f t="shared" ref="AU278:AU288" ca="1" si="124">SUM(C278:AT278)-B278</f>
        <v>0</v>
      </c>
    </row>
    <row r="279" spans="1:47" s="77" customFormat="1" ht="18" customHeight="1" outlineLevel="2">
      <c r="A279" s="869" t="str">
        <f>'8.项目规划指标表'!B$7</f>
        <v>回迁商业</v>
      </c>
      <c r="B279" s="870">
        <f>'17.财务费用测算表'!F$31</f>
        <v>0</v>
      </c>
      <c r="C279" s="871">
        <f t="shared" ref="C279:AT279" si="125">IFERROR($B279/$B23*C23,0)</f>
        <v>0</v>
      </c>
      <c r="D279" s="872">
        <f t="shared" si="125"/>
        <v>0</v>
      </c>
      <c r="E279" s="872">
        <f t="shared" si="125"/>
        <v>0</v>
      </c>
      <c r="F279" s="872">
        <f t="shared" si="125"/>
        <v>0</v>
      </c>
      <c r="G279" s="871">
        <f t="shared" si="125"/>
        <v>0</v>
      </c>
      <c r="H279" s="872">
        <f t="shared" si="125"/>
        <v>0</v>
      </c>
      <c r="I279" s="872">
        <f t="shared" si="125"/>
        <v>0</v>
      </c>
      <c r="J279" s="872">
        <f t="shared" si="125"/>
        <v>0</v>
      </c>
      <c r="K279" s="871">
        <f t="shared" si="125"/>
        <v>0</v>
      </c>
      <c r="L279" s="872">
        <f t="shared" si="125"/>
        <v>0</v>
      </c>
      <c r="M279" s="872">
        <f t="shared" si="125"/>
        <v>0</v>
      </c>
      <c r="N279" s="872">
        <f t="shared" si="125"/>
        <v>0</v>
      </c>
      <c r="O279" s="871">
        <f t="shared" si="125"/>
        <v>0</v>
      </c>
      <c r="P279" s="872">
        <f t="shared" si="125"/>
        <v>0</v>
      </c>
      <c r="Q279" s="872">
        <f t="shared" si="125"/>
        <v>0</v>
      </c>
      <c r="R279" s="872">
        <f t="shared" si="125"/>
        <v>0</v>
      </c>
      <c r="S279" s="871">
        <f t="shared" si="125"/>
        <v>0</v>
      </c>
      <c r="T279" s="872">
        <f t="shared" si="125"/>
        <v>0</v>
      </c>
      <c r="U279" s="872">
        <f t="shared" si="125"/>
        <v>0</v>
      </c>
      <c r="V279" s="872">
        <f t="shared" si="125"/>
        <v>0</v>
      </c>
      <c r="W279" s="871">
        <f t="shared" si="125"/>
        <v>0</v>
      </c>
      <c r="X279" s="872">
        <f t="shared" si="125"/>
        <v>0</v>
      </c>
      <c r="Y279" s="872">
        <f t="shared" si="125"/>
        <v>0</v>
      </c>
      <c r="Z279" s="872">
        <f t="shared" si="125"/>
        <v>0</v>
      </c>
      <c r="AA279" s="871">
        <f t="shared" si="125"/>
        <v>0</v>
      </c>
      <c r="AB279" s="872">
        <f t="shared" si="125"/>
        <v>0</v>
      </c>
      <c r="AC279" s="872">
        <f t="shared" si="125"/>
        <v>0</v>
      </c>
      <c r="AD279" s="872">
        <f t="shared" si="125"/>
        <v>0</v>
      </c>
      <c r="AE279" s="871">
        <f t="shared" si="125"/>
        <v>0</v>
      </c>
      <c r="AF279" s="872">
        <f t="shared" si="125"/>
        <v>0</v>
      </c>
      <c r="AG279" s="872">
        <f t="shared" si="125"/>
        <v>0</v>
      </c>
      <c r="AH279" s="872">
        <f t="shared" si="125"/>
        <v>0</v>
      </c>
      <c r="AI279" s="871">
        <f t="shared" si="125"/>
        <v>0</v>
      </c>
      <c r="AJ279" s="872">
        <f t="shared" si="125"/>
        <v>0</v>
      </c>
      <c r="AK279" s="872">
        <f t="shared" si="125"/>
        <v>0</v>
      </c>
      <c r="AL279" s="872">
        <f t="shared" si="125"/>
        <v>0</v>
      </c>
      <c r="AM279" s="871">
        <f t="shared" si="125"/>
        <v>0</v>
      </c>
      <c r="AN279" s="872">
        <f t="shared" si="125"/>
        <v>0</v>
      </c>
      <c r="AO279" s="872">
        <f t="shared" si="125"/>
        <v>0</v>
      </c>
      <c r="AP279" s="872">
        <f t="shared" si="125"/>
        <v>0</v>
      </c>
      <c r="AQ279" s="871">
        <f t="shared" si="125"/>
        <v>0</v>
      </c>
      <c r="AR279" s="872">
        <f t="shared" si="125"/>
        <v>0</v>
      </c>
      <c r="AS279" s="872">
        <f t="shared" si="125"/>
        <v>0</v>
      </c>
      <c r="AT279" s="872">
        <f t="shared" si="125"/>
        <v>0</v>
      </c>
      <c r="AU279" s="823">
        <f t="shared" si="124"/>
        <v>0</v>
      </c>
    </row>
    <row r="280" spans="1:47" s="77" customFormat="1" ht="18" customHeight="1" outlineLevel="2">
      <c r="A280" s="869">
        <f>'8.项目规划指标表'!B$8</f>
        <v>0</v>
      </c>
      <c r="B280" s="870">
        <f ca="1">'17.财务费用测算表'!G$31</f>
        <v>0</v>
      </c>
      <c r="C280" s="871">
        <f t="shared" ref="C280:AT280" ca="1" si="126">IFERROR($B280/$B24*C24,0)</f>
        <v>0</v>
      </c>
      <c r="D280" s="872">
        <f t="shared" ca="1" si="126"/>
        <v>0</v>
      </c>
      <c r="E280" s="872">
        <f t="shared" ca="1" si="126"/>
        <v>0</v>
      </c>
      <c r="F280" s="872">
        <f t="shared" ca="1" si="126"/>
        <v>0</v>
      </c>
      <c r="G280" s="871">
        <f t="shared" ca="1" si="126"/>
        <v>0</v>
      </c>
      <c r="H280" s="872">
        <f t="shared" ca="1" si="126"/>
        <v>0</v>
      </c>
      <c r="I280" s="872">
        <f t="shared" ca="1" si="126"/>
        <v>0</v>
      </c>
      <c r="J280" s="872">
        <f t="shared" ca="1" si="126"/>
        <v>0</v>
      </c>
      <c r="K280" s="871">
        <f t="shared" ca="1" si="126"/>
        <v>0</v>
      </c>
      <c r="L280" s="872">
        <f t="shared" ca="1" si="126"/>
        <v>0</v>
      </c>
      <c r="M280" s="872">
        <f t="shared" ca="1" si="126"/>
        <v>0</v>
      </c>
      <c r="N280" s="872">
        <f t="shared" ca="1" si="126"/>
        <v>0</v>
      </c>
      <c r="O280" s="871">
        <f t="shared" ca="1" si="126"/>
        <v>0</v>
      </c>
      <c r="P280" s="872">
        <f t="shared" ca="1" si="126"/>
        <v>0</v>
      </c>
      <c r="Q280" s="872">
        <f t="shared" ca="1" si="126"/>
        <v>0</v>
      </c>
      <c r="R280" s="872">
        <f t="shared" ca="1" si="126"/>
        <v>0</v>
      </c>
      <c r="S280" s="871">
        <f t="shared" ca="1" si="126"/>
        <v>0</v>
      </c>
      <c r="T280" s="872">
        <f t="shared" ca="1" si="126"/>
        <v>0</v>
      </c>
      <c r="U280" s="872">
        <f t="shared" ca="1" si="126"/>
        <v>0</v>
      </c>
      <c r="V280" s="872">
        <f t="shared" ca="1" si="126"/>
        <v>0</v>
      </c>
      <c r="W280" s="871">
        <f t="shared" ca="1" si="126"/>
        <v>0</v>
      </c>
      <c r="X280" s="872">
        <f t="shared" ca="1" si="126"/>
        <v>0</v>
      </c>
      <c r="Y280" s="872">
        <f t="shared" ca="1" si="126"/>
        <v>0</v>
      </c>
      <c r="Z280" s="872">
        <f t="shared" ca="1" si="126"/>
        <v>0</v>
      </c>
      <c r="AA280" s="871">
        <f t="shared" ca="1" si="126"/>
        <v>0</v>
      </c>
      <c r="AB280" s="872">
        <f t="shared" ca="1" si="126"/>
        <v>0</v>
      </c>
      <c r="AC280" s="872">
        <f t="shared" ca="1" si="126"/>
        <v>0</v>
      </c>
      <c r="AD280" s="872">
        <f t="shared" ca="1" si="126"/>
        <v>0</v>
      </c>
      <c r="AE280" s="871">
        <f t="shared" ca="1" si="126"/>
        <v>0</v>
      </c>
      <c r="AF280" s="872">
        <f t="shared" ca="1" si="126"/>
        <v>0</v>
      </c>
      <c r="AG280" s="872">
        <f t="shared" ca="1" si="126"/>
        <v>0</v>
      </c>
      <c r="AH280" s="872">
        <f t="shared" ca="1" si="126"/>
        <v>0</v>
      </c>
      <c r="AI280" s="871">
        <f t="shared" ca="1" si="126"/>
        <v>0</v>
      </c>
      <c r="AJ280" s="872">
        <f t="shared" ca="1" si="126"/>
        <v>0</v>
      </c>
      <c r="AK280" s="872">
        <f t="shared" ca="1" si="126"/>
        <v>0</v>
      </c>
      <c r="AL280" s="872">
        <f t="shared" ca="1" si="126"/>
        <v>0</v>
      </c>
      <c r="AM280" s="871">
        <f t="shared" ca="1" si="126"/>
        <v>0</v>
      </c>
      <c r="AN280" s="872">
        <f t="shared" ca="1" si="126"/>
        <v>0</v>
      </c>
      <c r="AO280" s="872">
        <f t="shared" ca="1" si="126"/>
        <v>0</v>
      </c>
      <c r="AP280" s="872">
        <f t="shared" ca="1" si="126"/>
        <v>0</v>
      </c>
      <c r="AQ280" s="871">
        <f t="shared" ca="1" si="126"/>
        <v>0</v>
      </c>
      <c r="AR280" s="872">
        <f t="shared" ca="1" si="126"/>
        <v>0</v>
      </c>
      <c r="AS280" s="872">
        <f t="shared" ca="1" si="126"/>
        <v>0</v>
      </c>
      <c r="AT280" s="872">
        <f t="shared" ca="1" si="126"/>
        <v>0</v>
      </c>
      <c r="AU280" s="823">
        <f t="shared" ca="1" si="124"/>
        <v>0</v>
      </c>
    </row>
    <row r="281" spans="1:47" s="77" customFormat="1" ht="18" customHeight="1" outlineLevel="2">
      <c r="A281" s="869">
        <f>'8.项目规划指标表'!B$9</f>
        <v>0</v>
      </c>
      <c r="B281" s="870">
        <f ca="1">'17.财务费用测算表'!H$31</f>
        <v>0</v>
      </c>
      <c r="C281" s="871">
        <f t="shared" ref="C281:AT281" ca="1" si="127">IFERROR($B281/$B25*C25,0)</f>
        <v>0</v>
      </c>
      <c r="D281" s="872">
        <f t="shared" ca="1" si="127"/>
        <v>0</v>
      </c>
      <c r="E281" s="872">
        <f t="shared" ca="1" si="127"/>
        <v>0</v>
      </c>
      <c r="F281" s="872">
        <f t="shared" ca="1" si="127"/>
        <v>0</v>
      </c>
      <c r="G281" s="871">
        <f t="shared" ca="1" si="127"/>
        <v>0</v>
      </c>
      <c r="H281" s="872">
        <f t="shared" ca="1" si="127"/>
        <v>0</v>
      </c>
      <c r="I281" s="872">
        <f t="shared" ca="1" si="127"/>
        <v>0</v>
      </c>
      <c r="J281" s="872">
        <f t="shared" ca="1" si="127"/>
        <v>0</v>
      </c>
      <c r="K281" s="871">
        <f t="shared" ca="1" si="127"/>
        <v>0</v>
      </c>
      <c r="L281" s="872">
        <f t="shared" ca="1" si="127"/>
        <v>0</v>
      </c>
      <c r="M281" s="872">
        <f t="shared" ca="1" si="127"/>
        <v>0</v>
      </c>
      <c r="N281" s="872">
        <f t="shared" ca="1" si="127"/>
        <v>0</v>
      </c>
      <c r="O281" s="871">
        <f t="shared" ca="1" si="127"/>
        <v>0</v>
      </c>
      <c r="P281" s="872">
        <f t="shared" ca="1" si="127"/>
        <v>0</v>
      </c>
      <c r="Q281" s="872">
        <f t="shared" ca="1" si="127"/>
        <v>0</v>
      </c>
      <c r="R281" s="872">
        <f t="shared" ca="1" si="127"/>
        <v>0</v>
      </c>
      <c r="S281" s="871">
        <f t="shared" ca="1" si="127"/>
        <v>0</v>
      </c>
      <c r="T281" s="872">
        <f t="shared" ca="1" si="127"/>
        <v>0</v>
      </c>
      <c r="U281" s="872">
        <f t="shared" ca="1" si="127"/>
        <v>0</v>
      </c>
      <c r="V281" s="872">
        <f t="shared" ca="1" si="127"/>
        <v>0</v>
      </c>
      <c r="W281" s="871">
        <f t="shared" ca="1" si="127"/>
        <v>0</v>
      </c>
      <c r="X281" s="872">
        <f t="shared" ca="1" si="127"/>
        <v>0</v>
      </c>
      <c r="Y281" s="872">
        <f t="shared" ca="1" si="127"/>
        <v>0</v>
      </c>
      <c r="Z281" s="872">
        <f t="shared" ca="1" si="127"/>
        <v>0</v>
      </c>
      <c r="AA281" s="871">
        <f t="shared" ca="1" si="127"/>
        <v>0</v>
      </c>
      <c r="AB281" s="872">
        <f t="shared" ca="1" si="127"/>
        <v>0</v>
      </c>
      <c r="AC281" s="872">
        <f t="shared" ca="1" si="127"/>
        <v>0</v>
      </c>
      <c r="AD281" s="872">
        <f t="shared" ca="1" si="127"/>
        <v>0</v>
      </c>
      <c r="AE281" s="871">
        <f t="shared" ca="1" si="127"/>
        <v>0</v>
      </c>
      <c r="AF281" s="872">
        <f t="shared" ca="1" si="127"/>
        <v>0</v>
      </c>
      <c r="AG281" s="872">
        <f t="shared" ca="1" si="127"/>
        <v>0</v>
      </c>
      <c r="AH281" s="872">
        <f t="shared" ca="1" si="127"/>
        <v>0</v>
      </c>
      <c r="AI281" s="871">
        <f t="shared" ca="1" si="127"/>
        <v>0</v>
      </c>
      <c r="AJ281" s="872">
        <f t="shared" ca="1" si="127"/>
        <v>0</v>
      </c>
      <c r="AK281" s="872">
        <f t="shared" ca="1" si="127"/>
        <v>0</v>
      </c>
      <c r="AL281" s="872">
        <f t="shared" ca="1" si="127"/>
        <v>0</v>
      </c>
      <c r="AM281" s="871">
        <f t="shared" ca="1" si="127"/>
        <v>0</v>
      </c>
      <c r="AN281" s="872">
        <f t="shared" ca="1" si="127"/>
        <v>0</v>
      </c>
      <c r="AO281" s="872">
        <f t="shared" ca="1" si="127"/>
        <v>0</v>
      </c>
      <c r="AP281" s="872">
        <f t="shared" ca="1" si="127"/>
        <v>0</v>
      </c>
      <c r="AQ281" s="871">
        <f t="shared" ca="1" si="127"/>
        <v>0</v>
      </c>
      <c r="AR281" s="872">
        <f t="shared" ca="1" si="127"/>
        <v>0</v>
      </c>
      <c r="AS281" s="872">
        <f t="shared" ca="1" si="127"/>
        <v>0</v>
      </c>
      <c r="AT281" s="872">
        <f t="shared" ca="1" si="127"/>
        <v>0</v>
      </c>
      <c r="AU281" s="823">
        <f t="shared" ca="1" si="124"/>
        <v>0</v>
      </c>
    </row>
    <row r="282" spans="1:47" s="77" customFormat="1" ht="18" customHeight="1" outlineLevel="2">
      <c r="A282" s="869">
        <f>'8.项目规划指标表'!B$10</f>
        <v>0</v>
      </c>
      <c r="B282" s="870">
        <f ca="1">'17.财务费用测算表'!I$31</f>
        <v>0</v>
      </c>
      <c r="C282" s="871">
        <f t="shared" ref="C282:AT282" ca="1" si="128">IFERROR($B282/$B26*C26,0)</f>
        <v>0</v>
      </c>
      <c r="D282" s="872">
        <f t="shared" ca="1" si="128"/>
        <v>0</v>
      </c>
      <c r="E282" s="872">
        <f t="shared" ca="1" si="128"/>
        <v>0</v>
      </c>
      <c r="F282" s="872">
        <f t="shared" ca="1" si="128"/>
        <v>0</v>
      </c>
      <c r="G282" s="871">
        <f t="shared" ca="1" si="128"/>
        <v>0</v>
      </c>
      <c r="H282" s="872">
        <f t="shared" ca="1" si="128"/>
        <v>0</v>
      </c>
      <c r="I282" s="872">
        <f t="shared" ca="1" si="128"/>
        <v>0</v>
      </c>
      <c r="J282" s="872">
        <f t="shared" ca="1" si="128"/>
        <v>0</v>
      </c>
      <c r="K282" s="871">
        <f t="shared" ca="1" si="128"/>
        <v>0</v>
      </c>
      <c r="L282" s="872">
        <f t="shared" ca="1" si="128"/>
        <v>0</v>
      </c>
      <c r="M282" s="872">
        <f t="shared" ca="1" si="128"/>
        <v>0</v>
      </c>
      <c r="N282" s="872">
        <f t="shared" ca="1" si="128"/>
        <v>0</v>
      </c>
      <c r="O282" s="871">
        <f t="shared" ca="1" si="128"/>
        <v>0</v>
      </c>
      <c r="P282" s="872">
        <f t="shared" ca="1" si="128"/>
        <v>0</v>
      </c>
      <c r="Q282" s="872">
        <f t="shared" ca="1" si="128"/>
        <v>0</v>
      </c>
      <c r="R282" s="872">
        <f t="shared" ca="1" si="128"/>
        <v>0</v>
      </c>
      <c r="S282" s="871">
        <f t="shared" ca="1" si="128"/>
        <v>0</v>
      </c>
      <c r="T282" s="872">
        <f t="shared" ca="1" si="128"/>
        <v>0</v>
      </c>
      <c r="U282" s="872">
        <f t="shared" ca="1" si="128"/>
        <v>0</v>
      </c>
      <c r="V282" s="872">
        <f t="shared" ca="1" si="128"/>
        <v>0</v>
      </c>
      <c r="W282" s="871">
        <f t="shared" ca="1" si="128"/>
        <v>0</v>
      </c>
      <c r="X282" s="872">
        <f t="shared" ca="1" si="128"/>
        <v>0</v>
      </c>
      <c r="Y282" s="872">
        <f t="shared" ca="1" si="128"/>
        <v>0</v>
      </c>
      <c r="Z282" s="872">
        <f t="shared" ca="1" si="128"/>
        <v>0</v>
      </c>
      <c r="AA282" s="871">
        <f t="shared" ca="1" si="128"/>
        <v>0</v>
      </c>
      <c r="AB282" s="872">
        <f t="shared" ca="1" si="128"/>
        <v>0</v>
      </c>
      <c r="AC282" s="872">
        <f t="shared" ca="1" si="128"/>
        <v>0</v>
      </c>
      <c r="AD282" s="872">
        <f t="shared" ca="1" si="128"/>
        <v>0</v>
      </c>
      <c r="AE282" s="871">
        <f t="shared" ca="1" si="128"/>
        <v>0</v>
      </c>
      <c r="AF282" s="872">
        <f t="shared" ca="1" si="128"/>
        <v>0</v>
      </c>
      <c r="AG282" s="872">
        <f t="shared" ca="1" si="128"/>
        <v>0</v>
      </c>
      <c r="AH282" s="872">
        <f t="shared" ca="1" si="128"/>
        <v>0</v>
      </c>
      <c r="AI282" s="871">
        <f t="shared" ca="1" si="128"/>
        <v>0</v>
      </c>
      <c r="AJ282" s="872">
        <f t="shared" ca="1" si="128"/>
        <v>0</v>
      </c>
      <c r="AK282" s="872">
        <f t="shared" ca="1" si="128"/>
        <v>0</v>
      </c>
      <c r="AL282" s="872">
        <f t="shared" ca="1" si="128"/>
        <v>0</v>
      </c>
      <c r="AM282" s="871">
        <f t="shared" ca="1" si="128"/>
        <v>0</v>
      </c>
      <c r="AN282" s="872">
        <f t="shared" ca="1" si="128"/>
        <v>0</v>
      </c>
      <c r="AO282" s="872">
        <f t="shared" ca="1" si="128"/>
        <v>0</v>
      </c>
      <c r="AP282" s="872">
        <f t="shared" ca="1" si="128"/>
        <v>0</v>
      </c>
      <c r="AQ282" s="871">
        <f t="shared" ca="1" si="128"/>
        <v>0</v>
      </c>
      <c r="AR282" s="872">
        <f t="shared" ca="1" si="128"/>
        <v>0</v>
      </c>
      <c r="AS282" s="872">
        <f t="shared" ca="1" si="128"/>
        <v>0</v>
      </c>
      <c r="AT282" s="872">
        <f t="shared" ca="1" si="128"/>
        <v>0</v>
      </c>
      <c r="AU282" s="823">
        <f t="shared" ca="1" si="124"/>
        <v>0</v>
      </c>
    </row>
    <row r="283" spans="1:47" s="77" customFormat="1" ht="18" customHeight="1" outlineLevel="2">
      <c r="A283" s="869">
        <f>'8.项目规划指标表'!B$11</f>
        <v>0</v>
      </c>
      <c r="B283" s="870">
        <f ca="1">'17.财务费用测算表'!J$31</f>
        <v>0</v>
      </c>
      <c r="C283" s="871">
        <f t="shared" ref="C283:AT283" ca="1" si="129">IFERROR($B283/$B27*C27,0)</f>
        <v>0</v>
      </c>
      <c r="D283" s="872">
        <f t="shared" ca="1" si="129"/>
        <v>0</v>
      </c>
      <c r="E283" s="872">
        <f t="shared" ca="1" si="129"/>
        <v>0</v>
      </c>
      <c r="F283" s="872">
        <f t="shared" ca="1" si="129"/>
        <v>0</v>
      </c>
      <c r="G283" s="871">
        <f t="shared" ca="1" si="129"/>
        <v>0</v>
      </c>
      <c r="H283" s="872">
        <f t="shared" ca="1" si="129"/>
        <v>0</v>
      </c>
      <c r="I283" s="872">
        <f t="shared" ca="1" si="129"/>
        <v>0</v>
      </c>
      <c r="J283" s="872">
        <f t="shared" ca="1" si="129"/>
        <v>0</v>
      </c>
      <c r="K283" s="871">
        <f t="shared" ca="1" si="129"/>
        <v>0</v>
      </c>
      <c r="L283" s="872">
        <f t="shared" ca="1" si="129"/>
        <v>0</v>
      </c>
      <c r="M283" s="872">
        <f t="shared" ca="1" si="129"/>
        <v>0</v>
      </c>
      <c r="N283" s="872">
        <f t="shared" ca="1" si="129"/>
        <v>0</v>
      </c>
      <c r="O283" s="871">
        <f t="shared" ca="1" si="129"/>
        <v>0</v>
      </c>
      <c r="P283" s="872">
        <f t="shared" ca="1" si="129"/>
        <v>0</v>
      </c>
      <c r="Q283" s="872">
        <f t="shared" ca="1" si="129"/>
        <v>0</v>
      </c>
      <c r="R283" s="872">
        <f t="shared" ca="1" si="129"/>
        <v>0</v>
      </c>
      <c r="S283" s="871">
        <f t="shared" ca="1" si="129"/>
        <v>0</v>
      </c>
      <c r="T283" s="872">
        <f t="shared" ca="1" si="129"/>
        <v>0</v>
      </c>
      <c r="U283" s="872">
        <f t="shared" ca="1" si="129"/>
        <v>0</v>
      </c>
      <c r="V283" s="872">
        <f t="shared" ca="1" si="129"/>
        <v>0</v>
      </c>
      <c r="W283" s="871">
        <f t="shared" ca="1" si="129"/>
        <v>0</v>
      </c>
      <c r="X283" s="872">
        <f t="shared" ca="1" si="129"/>
        <v>0</v>
      </c>
      <c r="Y283" s="872">
        <f t="shared" ca="1" si="129"/>
        <v>0</v>
      </c>
      <c r="Z283" s="872">
        <f t="shared" ca="1" si="129"/>
        <v>0</v>
      </c>
      <c r="AA283" s="871">
        <f t="shared" ca="1" si="129"/>
        <v>0</v>
      </c>
      <c r="AB283" s="872">
        <f t="shared" ca="1" si="129"/>
        <v>0</v>
      </c>
      <c r="AC283" s="872">
        <f t="shared" ca="1" si="129"/>
        <v>0</v>
      </c>
      <c r="AD283" s="872">
        <f t="shared" ca="1" si="129"/>
        <v>0</v>
      </c>
      <c r="AE283" s="871">
        <f t="shared" ca="1" si="129"/>
        <v>0</v>
      </c>
      <c r="AF283" s="872">
        <f t="shared" ca="1" si="129"/>
        <v>0</v>
      </c>
      <c r="AG283" s="872">
        <f t="shared" ca="1" si="129"/>
        <v>0</v>
      </c>
      <c r="AH283" s="872">
        <f t="shared" ca="1" si="129"/>
        <v>0</v>
      </c>
      <c r="AI283" s="871">
        <f t="shared" ca="1" si="129"/>
        <v>0</v>
      </c>
      <c r="AJ283" s="872">
        <f t="shared" ca="1" si="129"/>
        <v>0</v>
      </c>
      <c r="AK283" s="872">
        <f t="shared" ca="1" si="129"/>
        <v>0</v>
      </c>
      <c r="AL283" s="872">
        <f t="shared" ca="1" si="129"/>
        <v>0</v>
      </c>
      <c r="AM283" s="871">
        <f t="shared" ca="1" si="129"/>
        <v>0</v>
      </c>
      <c r="AN283" s="872">
        <f t="shared" ca="1" si="129"/>
        <v>0</v>
      </c>
      <c r="AO283" s="872">
        <f t="shared" ca="1" si="129"/>
        <v>0</v>
      </c>
      <c r="AP283" s="872">
        <f t="shared" ca="1" si="129"/>
        <v>0</v>
      </c>
      <c r="AQ283" s="871">
        <f t="shared" ca="1" si="129"/>
        <v>0</v>
      </c>
      <c r="AR283" s="872">
        <f t="shared" ca="1" si="129"/>
        <v>0</v>
      </c>
      <c r="AS283" s="872">
        <f t="shared" ca="1" si="129"/>
        <v>0</v>
      </c>
      <c r="AT283" s="872">
        <f t="shared" ca="1" si="129"/>
        <v>0</v>
      </c>
      <c r="AU283" s="823">
        <f t="shared" ca="1" si="124"/>
        <v>0</v>
      </c>
    </row>
    <row r="284" spans="1:47" s="77" customFormat="1" ht="18" customHeight="1" outlineLevel="2">
      <c r="A284" s="869">
        <f>'8.项目规划指标表'!B$12</f>
        <v>0</v>
      </c>
      <c r="B284" s="870">
        <f ca="1">'17.财务费用测算表'!K$31</f>
        <v>0</v>
      </c>
      <c r="C284" s="871">
        <f t="shared" ref="C284:AT284" ca="1" si="130">IFERROR($B284/$B28*C28,0)</f>
        <v>0</v>
      </c>
      <c r="D284" s="872">
        <f t="shared" ca="1" si="130"/>
        <v>0</v>
      </c>
      <c r="E284" s="872">
        <f t="shared" ca="1" si="130"/>
        <v>0</v>
      </c>
      <c r="F284" s="872">
        <f t="shared" ca="1" si="130"/>
        <v>0</v>
      </c>
      <c r="G284" s="871">
        <f t="shared" ca="1" si="130"/>
        <v>0</v>
      </c>
      <c r="H284" s="872">
        <f t="shared" ca="1" si="130"/>
        <v>0</v>
      </c>
      <c r="I284" s="872">
        <f t="shared" ca="1" si="130"/>
        <v>0</v>
      </c>
      <c r="J284" s="872">
        <f t="shared" ca="1" si="130"/>
        <v>0</v>
      </c>
      <c r="K284" s="871">
        <f t="shared" ca="1" si="130"/>
        <v>0</v>
      </c>
      <c r="L284" s="872">
        <f t="shared" ca="1" si="130"/>
        <v>0</v>
      </c>
      <c r="M284" s="872">
        <f t="shared" ca="1" si="130"/>
        <v>0</v>
      </c>
      <c r="N284" s="872">
        <f t="shared" ca="1" si="130"/>
        <v>0</v>
      </c>
      <c r="O284" s="871">
        <f t="shared" ca="1" si="130"/>
        <v>0</v>
      </c>
      <c r="P284" s="872">
        <f t="shared" ca="1" si="130"/>
        <v>0</v>
      </c>
      <c r="Q284" s="872">
        <f t="shared" ca="1" si="130"/>
        <v>0</v>
      </c>
      <c r="R284" s="872">
        <f t="shared" ca="1" si="130"/>
        <v>0</v>
      </c>
      <c r="S284" s="871">
        <f t="shared" ca="1" si="130"/>
        <v>0</v>
      </c>
      <c r="T284" s="872">
        <f t="shared" ca="1" si="130"/>
        <v>0</v>
      </c>
      <c r="U284" s="872">
        <f t="shared" ca="1" si="130"/>
        <v>0</v>
      </c>
      <c r="V284" s="872">
        <f t="shared" ca="1" si="130"/>
        <v>0</v>
      </c>
      <c r="W284" s="871">
        <f t="shared" ca="1" si="130"/>
        <v>0</v>
      </c>
      <c r="X284" s="872">
        <f t="shared" ca="1" si="130"/>
        <v>0</v>
      </c>
      <c r="Y284" s="872">
        <f t="shared" ca="1" si="130"/>
        <v>0</v>
      </c>
      <c r="Z284" s="872">
        <f t="shared" ca="1" si="130"/>
        <v>0</v>
      </c>
      <c r="AA284" s="871">
        <f t="shared" ca="1" si="130"/>
        <v>0</v>
      </c>
      <c r="AB284" s="872">
        <f t="shared" ca="1" si="130"/>
        <v>0</v>
      </c>
      <c r="AC284" s="872">
        <f t="shared" ca="1" si="130"/>
        <v>0</v>
      </c>
      <c r="AD284" s="872">
        <f t="shared" ca="1" si="130"/>
        <v>0</v>
      </c>
      <c r="AE284" s="871">
        <f t="shared" ca="1" si="130"/>
        <v>0</v>
      </c>
      <c r="AF284" s="872">
        <f t="shared" ca="1" si="130"/>
        <v>0</v>
      </c>
      <c r="AG284" s="872">
        <f t="shared" ca="1" si="130"/>
        <v>0</v>
      </c>
      <c r="AH284" s="872">
        <f t="shared" ca="1" si="130"/>
        <v>0</v>
      </c>
      <c r="AI284" s="871">
        <f t="shared" ca="1" si="130"/>
        <v>0</v>
      </c>
      <c r="AJ284" s="872">
        <f t="shared" ca="1" si="130"/>
        <v>0</v>
      </c>
      <c r="AK284" s="872">
        <f t="shared" ca="1" si="130"/>
        <v>0</v>
      </c>
      <c r="AL284" s="872">
        <f t="shared" ca="1" si="130"/>
        <v>0</v>
      </c>
      <c r="AM284" s="871">
        <f t="shared" ca="1" si="130"/>
        <v>0</v>
      </c>
      <c r="AN284" s="872">
        <f t="shared" ca="1" si="130"/>
        <v>0</v>
      </c>
      <c r="AO284" s="872">
        <f t="shared" ca="1" si="130"/>
        <v>0</v>
      </c>
      <c r="AP284" s="872">
        <f t="shared" ca="1" si="130"/>
        <v>0</v>
      </c>
      <c r="AQ284" s="871">
        <f t="shared" ca="1" si="130"/>
        <v>0</v>
      </c>
      <c r="AR284" s="872">
        <f t="shared" ca="1" si="130"/>
        <v>0</v>
      </c>
      <c r="AS284" s="872">
        <f t="shared" ca="1" si="130"/>
        <v>0</v>
      </c>
      <c r="AT284" s="872">
        <f t="shared" ca="1" si="130"/>
        <v>0</v>
      </c>
      <c r="AU284" s="823">
        <f t="shared" ca="1" si="124"/>
        <v>0</v>
      </c>
    </row>
    <row r="285" spans="1:47" s="77" customFormat="1" ht="18" customHeight="1" outlineLevel="2">
      <c r="A285" s="869">
        <f>'8.项目规划指标表'!B$13</f>
        <v>0</v>
      </c>
      <c r="B285" s="870">
        <f ca="1">'17.财务费用测算表'!L$31</f>
        <v>0</v>
      </c>
      <c r="C285" s="871">
        <f t="shared" ref="C285:AT285" ca="1" si="131">IFERROR($B285/$B29*C29,0)</f>
        <v>0</v>
      </c>
      <c r="D285" s="872">
        <f t="shared" ca="1" si="131"/>
        <v>0</v>
      </c>
      <c r="E285" s="872">
        <f t="shared" ca="1" si="131"/>
        <v>0</v>
      </c>
      <c r="F285" s="872">
        <f t="shared" ca="1" si="131"/>
        <v>0</v>
      </c>
      <c r="G285" s="871">
        <f t="shared" ca="1" si="131"/>
        <v>0</v>
      </c>
      <c r="H285" s="872">
        <f t="shared" ca="1" si="131"/>
        <v>0</v>
      </c>
      <c r="I285" s="872">
        <f t="shared" ca="1" si="131"/>
        <v>0</v>
      </c>
      <c r="J285" s="872">
        <f t="shared" ca="1" si="131"/>
        <v>0</v>
      </c>
      <c r="K285" s="871">
        <f t="shared" ca="1" si="131"/>
        <v>0</v>
      </c>
      <c r="L285" s="872">
        <f t="shared" ca="1" si="131"/>
        <v>0</v>
      </c>
      <c r="M285" s="872">
        <f t="shared" ca="1" si="131"/>
        <v>0</v>
      </c>
      <c r="N285" s="872">
        <f t="shared" ca="1" si="131"/>
        <v>0</v>
      </c>
      <c r="O285" s="871">
        <f t="shared" ca="1" si="131"/>
        <v>0</v>
      </c>
      <c r="P285" s="872">
        <f t="shared" ca="1" si="131"/>
        <v>0</v>
      </c>
      <c r="Q285" s="872">
        <f t="shared" ca="1" si="131"/>
        <v>0</v>
      </c>
      <c r="R285" s="872">
        <f t="shared" ca="1" si="131"/>
        <v>0</v>
      </c>
      <c r="S285" s="871">
        <f t="shared" ca="1" si="131"/>
        <v>0</v>
      </c>
      <c r="T285" s="872">
        <f t="shared" ca="1" si="131"/>
        <v>0</v>
      </c>
      <c r="U285" s="872">
        <f t="shared" ca="1" si="131"/>
        <v>0</v>
      </c>
      <c r="V285" s="872">
        <f t="shared" ca="1" si="131"/>
        <v>0</v>
      </c>
      <c r="W285" s="871">
        <f t="shared" ca="1" si="131"/>
        <v>0</v>
      </c>
      <c r="X285" s="872">
        <f t="shared" ca="1" si="131"/>
        <v>0</v>
      </c>
      <c r="Y285" s="872">
        <f t="shared" ca="1" si="131"/>
        <v>0</v>
      </c>
      <c r="Z285" s="872">
        <f t="shared" ca="1" si="131"/>
        <v>0</v>
      </c>
      <c r="AA285" s="871">
        <f t="shared" ca="1" si="131"/>
        <v>0</v>
      </c>
      <c r="AB285" s="872">
        <f t="shared" ca="1" si="131"/>
        <v>0</v>
      </c>
      <c r="AC285" s="872">
        <f t="shared" ca="1" si="131"/>
        <v>0</v>
      </c>
      <c r="AD285" s="872">
        <f t="shared" ca="1" si="131"/>
        <v>0</v>
      </c>
      <c r="AE285" s="871">
        <f t="shared" ca="1" si="131"/>
        <v>0</v>
      </c>
      <c r="AF285" s="872">
        <f t="shared" ca="1" si="131"/>
        <v>0</v>
      </c>
      <c r="AG285" s="872">
        <f t="shared" ca="1" si="131"/>
        <v>0</v>
      </c>
      <c r="AH285" s="872">
        <f t="shared" ca="1" si="131"/>
        <v>0</v>
      </c>
      <c r="AI285" s="871">
        <f t="shared" ca="1" si="131"/>
        <v>0</v>
      </c>
      <c r="AJ285" s="872">
        <f t="shared" ca="1" si="131"/>
        <v>0</v>
      </c>
      <c r="AK285" s="872">
        <f t="shared" ca="1" si="131"/>
        <v>0</v>
      </c>
      <c r="AL285" s="872">
        <f t="shared" ca="1" si="131"/>
        <v>0</v>
      </c>
      <c r="AM285" s="871">
        <f t="shared" ca="1" si="131"/>
        <v>0</v>
      </c>
      <c r="AN285" s="872">
        <f t="shared" ca="1" si="131"/>
        <v>0</v>
      </c>
      <c r="AO285" s="872">
        <f t="shared" ca="1" si="131"/>
        <v>0</v>
      </c>
      <c r="AP285" s="872">
        <f t="shared" ca="1" si="131"/>
        <v>0</v>
      </c>
      <c r="AQ285" s="871">
        <f t="shared" ca="1" si="131"/>
        <v>0</v>
      </c>
      <c r="AR285" s="872">
        <f t="shared" ca="1" si="131"/>
        <v>0</v>
      </c>
      <c r="AS285" s="872">
        <f t="shared" ca="1" si="131"/>
        <v>0</v>
      </c>
      <c r="AT285" s="872">
        <f t="shared" ca="1" si="131"/>
        <v>0</v>
      </c>
      <c r="AU285" s="823">
        <f t="shared" ca="1" si="124"/>
        <v>0</v>
      </c>
    </row>
    <row r="286" spans="1:47" s="77" customFormat="1" ht="18" customHeight="1" outlineLevel="2">
      <c r="A286" s="869" t="str">
        <f>'8.项目规划指标表'!B$14</f>
        <v>自持物业</v>
      </c>
      <c r="B286" s="870"/>
      <c r="C286" s="871"/>
      <c r="D286" s="872"/>
      <c r="E286" s="872"/>
      <c r="F286" s="872"/>
      <c r="G286" s="871"/>
      <c r="H286" s="872"/>
      <c r="I286" s="872"/>
      <c r="J286" s="872"/>
      <c r="K286" s="871"/>
      <c r="L286" s="872"/>
      <c r="M286" s="872"/>
      <c r="N286" s="872"/>
      <c r="O286" s="871"/>
      <c r="P286" s="872"/>
      <c r="Q286" s="872"/>
      <c r="R286" s="872"/>
      <c r="S286" s="871"/>
      <c r="T286" s="872"/>
      <c r="U286" s="872"/>
      <c r="V286" s="872"/>
      <c r="W286" s="871"/>
      <c r="X286" s="872"/>
      <c r="Y286" s="872"/>
      <c r="Z286" s="872"/>
      <c r="AA286" s="871"/>
      <c r="AB286" s="872"/>
      <c r="AC286" s="872"/>
      <c r="AD286" s="872"/>
      <c r="AE286" s="871"/>
      <c r="AF286" s="872"/>
      <c r="AG286" s="872"/>
      <c r="AH286" s="872"/>
      <c r="AI286" s="871"/>
      <c r="AJ286" s="872"/>
      <c r="AK286" s="872"/>
      <c r="AL286" s="872"/>
      <c r="AM286" s="871"/>
      <c r="AN286" s="872"/>
      <c r="AO286" s="872"/>
      <c r="AP286" s="872"/>
      <c r="AQ286" s="871"/>
      <c r="AR286" s="872"/>
      <c r="AS286" s="872"/>
      <c r="AT286" s="872"/>
      <c r="AU286" s="823">
        <f t="shared" si="124"/>
        <v>0</v>
      </c>
    </row>
    <row r="287" spans="1:47" s="77" customFormat="1" ht="18" customHeight="1" outlineLevel="2">
      <c r="A287" s="869" t="str">
        <f>'8.项目规划指标表'!B$18</f>
        <v>有产权车库(个)</v>
      </c>
      <c r="B287" s="870">
        <f ca="1">'17.财务费用测算表'!N$31</f>
        <v>0</v>
      </c>
      <c r="C287" s="871">
        <f t="shared" ref="C287:AT287" ca="1" si="132">IFERROR($B287/$B31*C31,0)</f>
        <v>0</v>
      </c>
      <c r="D287" s="872">
        <f t="shared" ca="1" si="132"/>
        <v>0</v>
      </c>
      <c r="E287" s="872">
        <f t="shared" ca="1" si="132"/>
        <v>0</v>
      </c>
      <c r="F287" s="872">
        <f t="shared" ca="1" si="132"/>
        <v>0</v>
      </c>
      <c r="G287" s="871">
        <f t="shared" ca="1" si="132"/>
        <v>0</v>
      </c>
      <c r="H287" s="872">
        <f t="shared" ca="1" si="132"/>
        <v>0</v>
      </c>
      <c r="I287" s="872">
        <f t="shared" ca="1" si="132"/>
        <v>0</v>
      </c>
      <c r="J287" s="872">
        <f t="shared" ca="1" si="132"/>
        <v>0</v>
      </c>
      <c r="K287" s="871">
        <f t="shared" ca="1" si="132"/>
        <v>0</v>
      </c>
      <c r="L287" s="872">
        <f t="shared" ca="1" si="132"/>
        <v>0</v>
      </c>
      <c r="M287" s="872">
        <f t="shared" ca="1" si="132"/>
        <v>0</v>
      </c>
      <c r="N287" s="872">
        <f t="shared" ca="1" si="132"/>
        <v>0</v>
      </c>
      <c r="O287" s="871">
        <f t="shared" ca="1" si="132"/>
        <v>0</v>
      </c>
      <c r="P287" s="872">
        <f t="shared" ca="1" si="132"/>
        <v>0</v>
      </c>
      <c r="Q287" s="872">
        <f t="shared" ca="1" si="132"/>
        <v>0</v>
      </c>
      <c r="R287" s="872">
        <f t="shared" ca="1" si="132"/>
        <v>0</v>
      </c>
      <c r="S287" s="871">
        <f t="shared" ca="1" si="132"/>
        <v>0</v>
      </c>
      <c r="T287" s="872">
        <f t="shared" ca="1" si="132"/>
        <v>0</v>
      </c>
      <c r="U287" s="872">
        <f t="shared" ca="1" si="132"/>
        <v>0</v>
      </c>
      <c r="V287" s="872">
        <f t="shared" ca="1" si="132"/>
        <v>0</v>
      </c>
      <c r="W287" s="871">
        <f t="shared" ca="1" si="132"/>
        <v>0</v>
      </c>
      <c r="X287" s="872">
        <f t="shared" ca="1" si="132"/>
        <v>0</v>
      </c>
      <c r="Y287" s="872">
        <f t="shared" ca="1" si="132"/>
        <v>0</v>
      </c>
      <c r="Z287" s="872">
        <f t="shared" ca="1" si="132"/>
        <v>0</v>
      </c>
      <c r="AA287" s="871">
        <f t="shared" ca="1" si="132"/>
        <v>0</v>
      </c>
      <c r="AB287" s="872">
        <f t="shared" ca="1" si="132"/>
        <v>0</v>
      </c>
      <c r="AC287" s="872">
        <f t="shared" ca="1" si="132"/>
        <v>0</v>
      </c>
      <c r="AD287" s="872">
        <f t="shared" ca="1" si="132"/>
        <v>0</v>
      </c>
      <c r="AE287" s="871">
        <f t="shared" ca="1" si="132"/>
        <v>0</v>
      </c>
      <c r="AF287" s="872">
        <f t="shared" ca="1" si="132"/>
        <v>0</v>
      </c>
      <c r="AG287" s="872">
        <f t="shared" ca="1" si="132"/>
        <v>0</v>
      </c>
      <c r="AH287" s="872">
        <f t="shared" ca="1" si="132"/>
        <v>0</v>
      </c>
      <c r="AI287" s="871">
        <f t="shared" ca="1" si="132"/>
        <v>0</v>
      </c>
      <c r="AJ287" s="872">
        <f t="shared" ca="1" si="132"/>
        <v>0</v>
      </c>
      <c r="AK287" s="872">
        <f t="shared" ca="1" si="132"/>
        <v>0</v>
      </c>
      <c r="AL287" s="872">
        <f t="shared" ca="1" si="132"/>
        <v>0</v>
      </c>
      <c r="AM287" s="871">
        <f t="shared" ca="1" si="132"/>
        <v>0</v>
      </c>
      <c r="AN287" s="872">
        <f t="shared" ca="1" si="132"/>
        <v>0</v>
      </c>
      <c r="AO287" s="872">
        <f t="shared" ca="1" si="132"/>
        <v>0</v>
      </c>
      <c r="AP287" s="872">
        <f t="shared" ca="1" si="132"/>
        <v>0</v>
      </c>
      <c r="AQ287" s="871">
        <f t="shared" ca="1" si="132"/>
        <v>0</v>
      </c>
      <c r="AR287" s="872">
        <f t="shared" ca="1" si="132"/>
        <v>0</v>
      </c>
      <c r="AS287" s="872">
        <f t="shared" ca="1" si="132"/>
        <v>0</v>
      </c>
      <c r="AT287" s="872">
        <f t="shared" ca="1" si="132"/>
        <v>0</v>
      </c>
      <c r="AU287" s="823">
        <f t="shared" ca="1" si="124"/>
        <v>0</v>
      </c>
    </row>
    <row r="288" spans="1:47" s="77" customFormat="1" ht="18" customHeight="1" outlineLevel="2">
      <c r="A288" s="869" t="str">
        <f>'8.项目规划指标表'!B$19</f>
        <v>无产权车库(个)</v>
      </c>
      <c r="B288" s="870">
        <f ca="1">'17.财务费用测算表'!O$31</f>
        <v>0</v>
      </c>
      <c r="C288" s="871">
        <f t="shared" ref="C288:AT288" ca="1" si="133">IFERROR($B288/$B32*C32,0)</f>
        <v>0</v>
      </c>
      <c r="D288" s="872">
        <f t="shared" ca="1" si="133"/>
        <v>0</v>
      </c>
      <c r="E288" s="872">
        <f t="shared" ca="1" si="133"/>
        <v>0</v>
      </c>
      <c r="F288" s="872">
        <f t="shared" ca="1" si="133"/>
        <v>0</v>
      </c>
      <c r="G288" s="871">
        <f t="shared" ca="1" si="133"/>
        <v>0</v>
      </c>
      <c r="H288" s="872">
        <f t="shared" ca="1" si="133"/>
        <v>0</v>
      </c>
      <c r="I288" s="872">
        <f t="shared" ca="1" si="133"/>
        <v>0</v>
      </c>
      <c r="J288" s="872">
        <f t="shared" ca="1" si="133"/>
        <v>0</v>
      </c>
      <c r="K288" s="871">
        <f t="shared" ca="1" si="133"/>
        <v>0</v>
      </c>
      <c r="L288" s="872">
        <f t="shared" ca="1" si="133"/>
        <v>0</v>
      </c>
      <c r="M288" s="872">
        <f t="shared" ca="1" si="133"/>
        <v>0</v>
      </c>
      <c r="N288" s="872">
        <f t="shared" ca="1" si="133"/>
        <v>0</v>
      </c>
      <c r="O288" s="871">
        <f t="shared" ca="1" si="133"/>
        <v>0</v>
      </c>
      <c r="P288" s="872">
        <f t="shared" ca="1" si="133"/>
        <v>0</v>
      </c>
      <c r="Q288" s="872">
        <f t="shared" ca="1" si="133"/>
        <v>0</v>
      </c>
      <c r="R288" s="872">
        <f t="shared" ca="1" si="133"/>
        <v>0</v>
      </c>
      <c r="S288" s="871">
        <f t="shared" ca="1" si="133"/>
        <v>0</v>
      </c>
      <c r="T288" s="872">
        <f t="shared" ca="1" si="133"/>
        <v>0</v>
      </c>
      <c r="U288" s="872">
        <f t="shared" ca="1" si="133"/>
        <v>0</v>
      </c>
      <c r="V288" s="872">
        <f t="shared" ca="1" si="133"/>
        <v>0</v>
      </c>
      <c r="W288" s="871">
        <f t="shared" ca="1" si="133"/>
        <v>0</v>
      </c>
      <c r="X288" s="872">
        <f t="shared" ca="1" si="133"/>
        <v>0</v>
      </c>
      <c r="Y288" s="872">
        <f t="shared" ca="1" si="133"/>
        <v>0</v>
      </c>
      <c r="Z288" s="872">
        <f t="shared" ca="1" si="133"/>
        <v>0</v>
      </c>
      <c r="AA288" s="871">
        <f t="shared" ca="1" si="133"/>
        <v>0</v>
      </c>
      <c r="AB288" s="872">
        <f t="shared" ca="1" si="133"/>
        <v>0</v>
      </c>
      <c r="AC288" s="872">
        <f t="shared" ca="1" si="133"/>
        <v>0</v>
      </c>
      <c r="AD288" s="872">
        <f t="shared" ca="1" si="133"/>
        <v>0</v>
      </c>
      <c r="AE288" s="871">
        <f t="shared" ca="1" si="133"/>
        <v>0</v>
      </c>
      <c r="AF288" s="872">
        <f t="shared" ca="1" si="133"/>
        <v>0</v>
      </c>
      <c r="AG288" s="872">
        <f t="shared" ca="1" si="133"/>
        <v>0</v>
      </c>
      <c r="AH288" s="872">
        <f t="shared" ca="1" si="133"/>
        <v>0</v>
      </c>
      <c r="AI288" s="871">
        <f t="shared" ca="1" si="133"/>
        <v>0</v>
      </c>
      <c r="AJ288" s="872">
        <f t="shared" ca="1" si="133"/>
        <v>0</v>
      </c>
      <c r="AK288" s="872">
        <f t="shared" ca="1" si="133"/>
        <v>0</v>
      </c>
      <c r="AL288" s="872">
        <f t="shared" ca="1" si="133"/>
        <v>0</v>
      </c>
      <c r="AM288" s="871">
        <f t="shared" ca="1" si="133"/>
        <v>0</v>
      </c>
      <c r="AN288" s="872">
        <f t="shared" ca="1" si="133"/>
        <v>0</v>
      </c>
      <c r="AO288" s="872">
        <f t="shared" ca="1" si="133"/>
        <v>0</v>
      </c>
      <c r="AP288" s="872">
        <f t="shared" ca="1" si="133"/>
        <v>0</v>
      </c>
      <c r="AQ288" s="871">
        <f t="shared" ca="1" si="133"/>
        <v>0</v>
      </c>
      <c r="AR288" s="872">
        <f t="shared" ca="1" si="133"/>
        <v>0</v>
      </c>
      <c r="AS288" s="872">
        <f t="shared" ca="1" si="133"/>
        <v>0</v>
      </c>
      <c r="AT288" s="872">
        <f t="shared" ca="1" si="133"/>
        <v>0</v>
      </c>
      <c r="AU288" s="823">
        <f t="shared" ca="1" si="124"/>
        <v>0</v>
      </c>
    </row>
    <row r="289" spans="1:47" s="77" customFormat="1" ht="18" customHeight="1" outlineLevel="1">
      <c r="A289" s="865" t="s">
        <v>21</v>
      </c>
      <c r="B289" s="866">
        <f ca="1">SUM(B290:B301)</f>
        <v>0</v>
      </c>
      <c r="C289" s="867">
        <f ca="1">SUM(C290:C301)</f>
        <v>0</v>
      </c>
      <c r="D289" s="868">
        <f t="shared" ref="D289:AT289" ca="1" si="134">SUM(D290:D301)</f>
        <v>0</v>
      </c>
      <c r="E289" s="868">
        <f t="shared" ca="1" si="134"/>
        <v>0</v>
      </c>
      <c r="F289" s="868">
        <f t="shared" ca="1" si="134"/>
        <v>0</v>
      </c>
      <c r="G289" s="867">
        <f t="shared" ca="1" si="134"/>
        <v>0</v>
      </c>
      <c r="H289" s="868">
        <f t="shared" ca="1" si="134"/>
        <v>0</v>
      </c>
      <c r="I289" s="868">
        <f t="shared" ca="1" si="134"/>
        <v>0</v>
      </c>
      <c r="J289" s="868">
        <f t="shared" ca="1" si="134"/>
        <v>0</v>
      </c>
      <c r="K289" s="867">
        <f t="shared" ca="1" si="134"/>
        <v>0</v>
      </c>
      <c r="L289" s="868">
        <f t="shared" ca="1" si="134"/>
        <v>0</v>
      </c>
      <c r="M289" s="868">
        <f t="shared" ca="1" si="134"/>
        <v>0</v>
      </c>
      <c r="N289" s="868">
        <f t="shared" ca="1" si="134"/>
        <v>0</v>
      </c>
      <c r="O289" s="867">
        <f t="shared" ca="1" si="134"/>
        <v>0</v>
      </c>
      <c r="P289" s="868">
        <f t="shared" ca="1" si="134"/>
        <v>0</v>
      </c>
      <c r="Q289" s="868">
        <f t="shared" ca="1" si="134"/>
        <v>0</v>
      </c>
      <c r="R289" s="868">
        <f t="shared" ca="1" si="134"/>
        <v>0</v>
      </c>
      <c r="S289" s="867">
        <f t="shared" ca="1" si="134"/>
        <v>0</v>
      </c>
      <c r="T289" s="868">
        <f t="shared" ca="1" si="134"/>
        <v>0</v>
      </c>
      <c r="U289" s="868">
        <f t="shared" ca="1" si="134"/>
        <v>0</v>
      </c>
      <c r="V289" s="868">
        <f t="shared" ca="1" si="134"/>
        <v>0</v>
      </c>
      <c r="W289" s="867">
        <f t="shared" ca="1" si="134"/>
        <v>0</v>
      </c>
      <c r="X289" s="868">
        <f t="shared" ca="1" si="134"/>
        <v>0</v>
      </c>
      <c r="Y289" s="868">
        <f t="shared" ca="1" si="134"/>
        <v>0</v>
      </c>
      <c r="Z289" s="868">
        <f t="shared" ca="1" si="134"/>
        <v>0</v>
      </c>
      <c r="AA289" s="867">
        <f t="shared" ca="1" si="134"/>
        <v>0</v>
      </c>
      <c r="AB289" s="868">
        <f t="shared" ca="1" si="134"/>
        <v>0</v>
      </c>
      <c r="AC289" s="868">
        <f t="shared" ca="1" si="134"/>
        <v>0</v>
      </c>
      <c r="AD289" s="868">
        <f t="shared" ca="1" si="134"/>
        <v>0</v>
      </c>
      <c r="AE289" s="867">
        <f t="shared" ca="1" si="134"/>
        <v>0</v>
      </c>
      <c r="AF289" s="868">
        <f t="shared" ca="1" si="134"/>
        <v>0</v>
      </c>
      <c r="AG289" s="868">
        <f t="shared" ca="1" si="134"/>
        <v>0</v>
      </c>
      <c r="AH289" s="868">
        <f t="shared" ca="1" si="134"/>
        <v>0</v>
      </c>
      <c r="AI289" s="867">
        <f t="shared" ca="1" si="134"/>
        <v>0</v>
      </c>
      <c r="AJ289" s="868">
        <f t="shared" ca="1" si="134"/>
        <v>0</v>
      </c>
      <c r="AK289" s="868">
        <f t="shared" ca="1" si="134"/>
        <v>0</v>
      </c>
      <c r="AL289" s="868">
        <f t="shared" ca="1" si="134"/>
        <v>0</v>
      </c>
      <c r="AM289" s="867">
        <f t="shared" ca="1" si="134"/>
        <v>0</v>
      </c>
      <c r="AN289" s="868">
        <f t="shared" ca="1" si="134"/>
        <v>0</v>
      </c>
      <c r="AO289" s="868">
        <f t="shared" ca="1" si="134"/>
        <v>0</v>
      </c>
      <c r="AP289" s="868">
        <f t="shared" ca="1" si="134"/>
        <v>0</v>
      </c>
      <c r="AQ289" s="867">
        <f t="shared" ca="1" si="134"/>
        <v>0</v>
      </c>
      <c r="AR289" s="868">
        <f t="shared" ca="1" si="134"/>
        <v>0</v>
      </c>
      <c r="AS289" s="868">
        <f t="shared" ca="1" si="134"/>
        <v>0</v>
      </c>
      <c r="AT289" s="868">
        <f t="shared" ca="1" si="134"/>
        <v>0</v>
      </c>
    </row>
    <row r="290" spans="1:47" s="77" customFormat="1" ht="18" customHeight="1" outlineLevel="2">
      <c r="A290" s="869" t="str">
        <f>'8.项目规划指标表'!B$5</f>
        <v>高层</v>
      </c>
      <c r="B290" s="870">
        <f ca="1">'17.财务费用测算表'!D$32</f>
        <v>0</v>
      </c>
      <c r="C290" s="871">
        <f ca="1">IFERROR($B290/$B34*C34,0)</f>
        <v>0</v>
      </c>
      <c r="D290" s="872">
        <f t="shared" ref="D290:AT290" ca="1" si="135">IFERROR($B290/$B34*D34,0)</f>
        <v>0</v>
      </c>
      <c r="E290" s="872">
        <f t="shared" ca="1" si="135"/>
        <v>0</v>
      </c>
      <c r="F290" s="872">
        <f t="shared" ca="1" si="135"/>
        <v>0</v>
      </c>
      <c r="G290" s="871">
        <f t="shared" ca="1" si="135"/>
        <v>0</v>
      </c>
      <c r="H290" s="872">
        <f t="shared" ca="1" si="135"/>
        <v>0</v>
      </c>
      <c r="I290" s="872">
        <f t="shared" ca="1" si="135"/>
        <v>0</v>
      </c>
      <c r="J290" s="872">
        <f t="shared" ca="1" si="135"/>
        <v>0</v>
      </c>
      <c r="K290" s="871">
        <f t="shared" ca="1" si="135"/>
        <v>0</v>
      </c>
      <c r="L290" s="872">
        <f t="shared" ca="1" si="135"/>
        <v>0</v>
      </c>
      <c r="M290" s="872">
        <f t="shared" ca="1" si="135"/>
        <v>0</v>
      </c>
      <c r="N290" s="872">
        <f t="shared" ca="1" si="135"/>
        <v>0</v>
      </c>
      <c r="O290" s="871">
        <f t="shared" ca="1" si="135"/>
        <v>0</v>
      </c>
      <c r="P290" s="872">
        <f t="shared" ca="1" si="135"/>
        <v>0</v>
      </c>
      <c r="Q290" s="872">
        <f t="shared" ca="1" si="135"/>
        <v>0</v>
      </c>
      <c r="R290" s="872">
        <f t="shared" ca="1" si="135"/>
        <v>0</v>
      </c>
      <c r="S290" s="871">
        <f t="shared" ca="1" si="135"/>
        <v>0</v>
      </c>
      <c r="T290" s="872">
        <f t="shared" ca="1" si="135"/>
        <v>0</v>
      </c>
      <c r="U290" s="872">
        <f t="shared" ca="1" si="135"/>
        <v>0</v>
      </c>
      <c r="V290" s="872">
        <f t="shared" ca="1" si="135"/>
        <v>0</v>
      </c>
      <c r="W290" s="871">
        <f t="shared" ca="1" si="135"/>
        <v>0</v>
      </c>
      <c r="X290" s="872">
        <f t="shared" ca="1" si="135"/>
        <v>0</v>
      </c>
      <c r="Y290" s="872">
        <f t="shared" ca="1" si="135"/>
        <v>0</v>
      </c>
      <c r="Z290" s="872">
        <f t="shared" ca="1" si="135"/>
        <v>0</v>
      </c>
      <c r="AA290" s="871">
        <f t="shared" ca="1" si="135"/>
        <v>0</v>
      </c>
      <c r="AB290" s="872">
        <f t="shared" ca="1" si="135"/>
        <v>0</v>
      </c>
      <c r="AC290" s="872">
        <f t="shared" ca="1" si="135"/>
        <v>0</v>
      </c>
      <c r="AD290" s="872">
        <f t="shared" ca="1" si="135"/>
        <v>0</v>
      </c>
      <c r="AE290" s="871">
        <f t="shared" ca="1" si="135"/>
        <v>0</v>
      </c>
      <c r="AF290" s="872">
        <f t="shared" ca="1" si="135"/>
        <v>0</v>
      </c>
      <c r="AG290" s="872">
        <f t="shared" ca="1" si="135"/>
        <v>0</v>
      </c>
      <c r="AH290" s="872">
        <f t="shared" ca="1" si="135"/>
        <v>0</v>
      </c>
      <c r="AI290" s="871">
        <f t="shared" ca="1" si="135"/>
        <v>0</v>
      </c>
      <c r="AJ290" s="872">
        <f t="shared" ca="1" si="135"/>
        <v>0</v>
      </c>
      <c r="AK290" s="872">
        <f t="shared" ca="1" si="135"/>
        <v>0</v>
      </c>
      <c r="AL290" s="872">
        <f t="shared" ca="1" si="135"/>
        <v>0</v>
      </c>
      <c r="AM290" s="871">
        <f t="shared" ca="1" si="135"/>
        <v>0</v>
      </c>
      <c r="AN290" s="872">
        <f t="shared" ca="1" si="135"/>
        <v>0</v>
      </c>
      <c r="AO290" s="872">
        <f t="shared" ca="1" si="135"/>
        <v>0</v>
      </c>
      <c r="AP290" s="872">
        <f t="shared" ca="1" si="135"/>
        <v>0</v>
      </c>
      <c r="AQ290" s="871">
        <f t="shared" ca="1" si="135"/>
        <v>0</v>
      </c>
      <c r="AR290" s="872">
        <f t="shared" ca="1" si="135"/>
        <v>0</v>
      </c>
      <c r="AS290" s="872">
        <f t="shared" ca="1" si="135"/>
        <v>0</v>
      </c>
      <c r="AT290" s="872">
        <f t="shared" ca="1" si="135"/>
        <v>0</v>
      </c>
      <c r="AU290" s="823">
        <f ca="1">SUM(C290:AT290)-B290</f>
        <v>0</v>
      </c>
    </row>
    <row r="291" spans="1:47" s="77" customFormat="1" ht="18" customHeight="1" outlineLevel="2">
      <c r="A291" s="869" t="str">
        <f>'8.项目规划指标表'!B$6</f>
        <v>商铺</v>
      </c>
      <c r="B291" s="870">
        <f ca="1">'17.财务费用测算表'!E$32</f>
        <v>0</v>
      </c>
      <c r="C291" s="871">
        <f t="shared" ref="C291:AT291" ca="1" si="136">IFERROR($B291/$B35*C35,0)</f>
        <v>0</v>
      </c>
      <c r="D291" s="872">
        <f t="shared" ca="1" si="136"/>
        <v>0</v>
      </c>
      <c r="E291" s="872">
        <f t="shared" ca="1" si="136"/>
        <v>0</v>
      </c>
      <c r="F291" s="872">
        <f t="shared" ca="1" si="136"/>
        <v>0</v>
      </c>
      <c r="G291" s="871">
        <f t="shared" ca="1" si="136"/>
        <v>0</v>
      </c>
      <c r="H291" s="872">
        <f t="shared" ca="1" si="136"/>
        <v>0</v>
      </c>
      <c r="I291" s="872">
        <f t="shared" ca="1" si="136"/>
        <v>0</v>
      </c>
      <c r="J291" s="872">
        <f t="shared" ca="1" si="136"/>
        <v>0</v>
      </c>
      <c r="K291" s="871">
        <f t="shared" ca="1" si="136"/>
        <v>0</v>
      </c>
      <c r="L291" s="872">
        <f t="shared" ca="1" si="136"/>
        <v>0</v>
      </c>
      <c r="M291" s="872">
        <f t="shared" ca="1" si="136"/>
        <v>0</v>
      </c>
      <c r="N291" s="872">
        <f t="shared" ca="1" si="136"/>
        <v>0</v>
      </c>
      <c r="O291" s="871">
        <f t="shared" ca="1" si="136"/>
        <v>0</v>
      </c>
      <c r="P291" s="872">
        <f t="shared" ca="1" si="136"/>
        <v>0</v>
      </c>
      <c r="Q291" s="872">
        <f t="shared" ca="1" si="136"/>
        <v>0</v>
      </c>
      <c r="R291" s="872">
        <f t="shared" ca="1" si="136"/>
        <v>0</v>
      </c>
      <c r="S291" s="871">
        <f t="shared" ca="1" si="136"/>
        <v>0</v>
      </c>
      <c r="T291" s="872">
        <f t="shared" ca="1" si="136"/>
        <v>0</v>
      </c>
      <c r="U291" s="872">
        <f t="shared" ca="1" si="136"/>
        <v>0</v>
      </c>
      <c r="V291" s="872">
        <f t="shared" ca="1" si="136"/>
        <v>0</v>
      </c>
      <c r="W291" s="871">
        <f t="shared" ca="1" si="136"/>
        <v>0</v>
      </c>
      <c r="X291" s="872">
        <f t="shared" ca="1" si="136"/>
        <v>0</v>
      </c>
      <c r="Y291" s="872">
        <f t="shared" ca="1" si="136"/>
        <v>0</v>
      </c>
      <c r="Z291" s="872">
        <f t="shared" ca="1" si="136"/>
        <v>0</v>
      </c>
      <c r="AA291" s="871">
        <f t="shared" ca="1" si="136"/>
        <v>0</v>
      </c>
      <c r="AB291" s="872">
        <f t="shared" ca="1" si="136"/>
        <v>0</v>
      </c>
      <c r="AC291" s="872">
        <f t="shared" ca="1" si="136"/>
        <v>0</v>
      </c>
      <c r="AD291" s="872">
        <f t="shared" ca="1" si="136"/>
        <v>0</v>
      </c>
      <c r="AE291" s="871">
        <f t="shared" ca="1" si="136"/>
        <v>0</v>
      </c>
      <c r="AF291" s="872">
        <f t="shared" ca="1" si="136"/>
        <v>0</v>
      </c>
      <c r="AG291" s="872">
        <f t="shared" ca="1" si="136"/>
        <v>0</v>
      </c>
      <c r="AH291" s="872">
        <f t="shared" ca="1" si="136"/>
        <v>0</v>
      </c>
      <c r="AI291" s="871">
        <f t="shared" ca="1" si="136"/>
        <v>0</v>
      </c>
      <c r="AJ291" s="872">
        <f t="shared" ca="1" si="136"/>
        <v>0</v>
      </c>
      <c r="AK291" s="872">
        <f t="shared" ca="1" si="136"/>
        <v>0</v>
      </c>
      <c r="AL291" s="872">
        <f t="shared" ca="1" si="136"/>
        <v>0</v>
      </c>
      <c r="AM291" s="871">
        <f t="shared" ca="1" si="136"/>
        <v>0</v>
      </c>
      <c r="AN291" s="872">
        <f t="shared" ca="1" si="136"/>
        <v>0</v>
      </c>
      <c r="AO291" s="872">
        <f t="shared" ca="1" si="136"/>
        <v>0</v>
      </c>
      <c r="AP291" s="872">
        <f t="shared" ca="1" si="136"/>
        <v>0</v>
      </c>
      <c r="AQ291" s="871">
        <f t="shared" ca="1" si="136"/>
        <v>0</v>
      </c>
      <c r="AR291" s="872">
        <f t="shared" ca="1" si="136"/>
        <v>0</v>
      </c>
      <c r="AS291" s="872">
        <f t="shared" ca="1" si="136"/>
        <v>0</v>
      </c>
      <c r="AT291" s="872">
        <f t="shared" ca="1" si="136"/>
        <v>0</v>
      </c>
      <c r="AU291" s="823">
        <f t="shared" ref="AU291:AU301" ca="1" si="137">SUM(C291:AT291)-B291</f>
        <v>0</v>
      </c>
    </row>
    <row r="292" spans="1:47" s="77" customFormat="1" ht="18" customHeight="1" outlineLevel="2">
      <c r="A292" s="869" t="str">
        <f>'8.项目规划指标表'!B$7</f>
        <v>回迁商业</v>
      </c>
      <c r="B292" s="870">
        <f>'17.财务费用测算表'!F$32</f>
        <v>0</v>
      </c>
      <c r="C292" s="871">
        <f t="shared" ref="C292:AT292" si="138">IFERROR($B292/$B36*C36,0)</f>
        <v>0</v>
      </c>
      <c r="D292" s="872">
        <f t="shared" si="138"/>
        <v>0</v>
      </c>
      <c r="E292" s="872">
        <f t="shared" si="138"/>
        <v>0</v>
      </c>
      <c r="F292" s="872">
        <f t="shared" si="138"/>
        <v>0</v>
      </c>
      <c r="G292" s="871">
        <f t="shared" si="138"/>
        <v>0</v>
      </c>
      <c r="H292" s="872">
        <f t="shared" si="138"/>
        <v>0</v>
      </c>
      <c r="I292" s="872">
        <f t="shared" si="138"/>
        <v>0</v>
      </c>
      <c r="J292" s="872">
        <f t="shared" si="138"/>
        <v>0</v>
      </c>
      <c r="K292" s="871">
        <f t="shared" si="138"/>
        <v>0</v>
      </c>
      <c r="L292" s="872">
        <f t="shared" si="138"/>
        <v>0</v>
      </c>
      <c r="M292" s="872">
        <f t="shared" si="138"/>
        <v>0</v>
      </c>
      <c r="N292" s="872">
        <f t="shared" si="138"/>
        <v>0</v>
      </c>
      <c r="O292" s="871">
        <f t="shared" si="138"/>
        <v>0</v>
      </c>
      <c r="P292" s="872">
        <f t="shared" si="138"/>
        <v>0</v>
      </c>
      <c r="Q292" s="872">
        <f t="shared" si="138"/>
        <v>0</v>
      </c>
      <c r="R292" s="872">
        <f t="shared" si="138"/>
        <v>0</v>
      </c>
      <c r="S292" s="871">
        <f t="shared" si="138"/>
        <v>0</v>
      </c>
      <c r="T292" s="872">
        <f t="shared" si="138"/>
        <v>0</v>
      </c>
      <c r="U292" s="872">
        <f t="shared" si="138"/>
        <v>0</v>
      </c>
      <c r="V292" s="872">
        <f t="shared" si="138"/>
        <v>0</v>
      </c>
      <c r="W292" s="871">
        <f t="shared" si="138"/>
        <v>0</v>
      </c>
      <c r="X292" s="872">
        <f t="shared" si="138"/>
        <v>0</v>
      </c>
      <c r="Y292" s="872">
        <f t="shared" si="138"/>
        <v>0</v>
      </c>
      <c r="Z292" s="872">
        <f t="shared" si="138"/>
        <v>0</v>
      </c>
      <c r="AA292" s="871">
        <f t="shared" si="138"/>
        <v>0</v>
      </c>
      <c r="AB292" s="872">
        <f t="shared" si="138"/>
        <v>0</v>
      </c>
      <c r="AC292" s="872">
        <f t="shared" si="138"/>
        <v>0</v>
      </c>
      <c r="AD292" s="872">
        <f t="shared" si="138"/>
        <v>0</v>
      </c>
      <c r="AE292" s="871">
        <f t="shared" si="138"/>
        <v>0</v>
      </c>
      <c r="AF292" s="872">
        <f t="shared" si="138"/>
        <v>0</v>
      </c>
      <c r="AG292" s="872">
        <f t="shared" si="138"/>
        <v>0</v>
      </c>
      <c r="AH292" s="872">
        <f t="shared" si="138"/>
        <v>0</v>
      </c>
      <c r="AI292" s="871">
        <f t="shared" si="138"/>
        <v>0</v>
      </c>
      <c r="AJ292" s="872">
        <f t="shared" si="138"/>
        <v>0</v>
      </c>
      <c r="AK292" s="872">
        <f t="shared" si="138"/>
        <v>0</v>
      </c>
      <c r="AL292" s="872">
        <f t="shared" si="138"/>
        <v>0</v>
      </c>
      <c r="AM292" s="871">
        <f t="shared" si="138"/>
        <v>0</v>
      </c>
      <c r="AN292" s="872">
        <f t="shared" si="138"/>
        <v>0</v>
      </c>
      <c r="AO292" s="872">
        <f t="shared" si="138"/>
        <v>0</v>
      </c>
      <c r="AP292" s="872">
        <f t="shared" si="138"/>
        <v>0</v>
      </c>
      <c r="AQ292" s="871">
        <f t="shared" si="138"/>
        <v>0</v>
      </c>
      <c r="AR292" s="872">
        <f t="shared" si="138"/>
        <v>0</v>
      </c>
      <c r="AS292" s="872">
        <f t="shared" si="138"/>
        <v>0</v>
      </c>
      <c r="AT292" s="872">
        <f t="shared" si="138"/>
        <v>0</v>
      </c>
      <c r="AU292" s="823">
        <f t="shared" si="137"/>
        <v>0</v>
      </c>
    </row>
    <row r="293" spans="1:47" s="77" customFormat="1" ht="18" customHeight="1" outlineLevel="2">
      <c r="A293" s="869">
        <f>'8.项目规划指标表'!B$8</f>
        <v>0</v>
      </c>
      <c r="B293" s="870">
        <f ca="1">'17.财务费用测算表'!G$32</f>
        <v>0</v>
      </c>
      <c r="C293" s="871">
        <f t="shared" ref="C293:AT293" ca="1" si="139">IFERROR($B293/$B37*C37,0)</f>
        <v>0</v>
      </c>
      <c r="D293" s="872">
        <f t="shared" ca="1" si="139"/>
        <v>0</v>
      </c>
      <c r="E293" s="872">
        <f t="shared" ca="1" si="139"/>
        <v>0</v>
      </c>
      <c r="F293" s="872">
        <f t="shared" ca="1" si="139"/>
        <v>0</v>
      </c>
      <c r="G293" s="871">
        <f t="shared" ca="1" si="139"/>
        <v>0</v>
      </c>
      <c r="H293" s="872">
        <f t="shared" ca="1" si="139"/>
        <v>0</v>
      </c>
      <c r="I293" s="872">
        <f t="shared" ca="1" si="139"/>
        <v>0</v>
      </c>
      <c r="J293" s="872">
        <f t="shared" ca="1" si="139"/>
        <v>0</v>
      </c>
      <c r="K293" s="871">
        <f t="shared" ca="1" si="139"/>
        <v>0</v>
      </c>
      <c r="L293" s="872">
        <f t="shared" ca="1" si="139"/>
        <v>0</v>
      </c>
      <c r="M293" s="872">
        <f t="shared" ca="1" si="139"/>
        <v>0</v>
      </c>
      <c r="N293" s="872">
        <f t="shared" ca="1" si="139"/>
        <v>0</v>
      </c>
      <c r="O293" s="871">
        <f t="shared" ca="1" si="139"/>
        <v>0</v>
      </c>
      <c r="P293" s="872">
        <f t="shared" ca="1" si="139"/>
        <v>0</v>
      </c>
      <c r="Q293" s="872">
        <f t="shared" ca="1" si="139"/>
        <v>0</v>
      </c>
      <c r="R293" s="872">
        <f t="shared" ca="1" si="139"/>
        <v>0</v>
      </c>
      <c r="S293" s="871">
        <f t="shared" ca="1" si="139"/>
        <v>0</v>
      </c>
      <c r="T293" s="872">
        <f t="shared" ca="1" si="139"/>
        <v>0</v>
      </c>
      <c r="U293" s="872">
        <f t="shared" ca="1" si="139"/>
        <v>0</v>
      </c>
      <c r="V293" s="872">
        <f t="shared" ca="1" si="139"/>
        <v>0</v>
      </c>
      <c r="W293" s="871">
        <f t="shared" ca="1" si="139"/>
        <v>0</v>
      </c>
      <c r="X293" s="872">
        <f t="shared" ca="1" si="139"/>
        <v>0</v>
      </c>
      <c r="Y293" s="872">
        <f t="shared" ca="1" si="139"/>
        <v>0</v>
      </c>
      <c r="Z293" s="872">
        <f t="shared" ca="1" si="139"/>
        <v>0</v>
      </c>
      <c r="AA293" s="871">
        <f t="shared" ca="1" si="139"/>
        <v>0</v>
      </c>
      <c r="AB293" s="872">
        <f t="shared" ca="1" si="139"/>
        <v>0</v>
      </c>
      <c r="AC293" s="872">
        <f t="shared" ca="1" si="139"/>
        <v>0</v>
      </c>
      <c r="AD293" s="872">
        <f t="shared" ca="1" si="139"/>
        <v>0</v>
      </c>
      <c r="AE293" s="871">
        <f t="shared" ca="1" si="139"/>
        <v>0</v>
      </c>
      <c r="AF293" s="872">
        <f t="shared" ca="1" si="139"/>
        <v>0</v>
      </c>
      <c r="AG293" s="872">
        <f t="shared" ca="1" si="139"/>
        <v>0</v>
      </c>
      <c r="AH293" s="872">
        <f t="shared" ca="1" si="139"/>
        <v>0</v>
      </c>
      <c r="AI293" s="871">
        <f t="shared" ca="1" si="139"/>
        <v>0</v>
      </c>
      <c r="AJ293" s="872">
        <f t="shared" ca="1" si="139"/>
        <v>0</v>
      </c>
      <c r="AK293" s="872">
        <f t="shared" ca="1" si="139"/>
        <v>0</v>
      </c>
      <c r="AL293" s="872">
        <f t="shared" ca="1" si="139"/>
        <v>0</v>
      </c>
      <c r="AM293" s="871">
        <f t="shared" ca="1" si="139"/>
        <v>0</v>
      </c>
      <c r="AN293" s="872">
        <f t="shared" ca="1" si="139"/>
        <v>0</v>
      </c>
      <c r="AO293" s="872">
        <f t="shared" ca="1" si="139"/>
        <v>0</v>
      </c>
      <c r="AP293" s="872">
        <f t="shared" ca="1" si="139"/>
        <v>0</v>
      </c>
      <c r="AQ293" s="871">
        <f t="shared" ca="1" si="139"/>
        <v>0</v>
      </c>
      <c r="AR293" s="872">
        <f t="shared" ca="1" si="139"/>
        <v>0</v>
      </c>
      <c r="AS293" s="872">
        <f t="shared" ca="1" si="139"/>
        <v>0</v>
      </c>
      <c r="AT293" s="872">
        <f t="shared" ca="1" si="139"/>
        <v>0</v>
      </c>
      <c r="AU293" s="823">
        <f t="shared" ca="1" si="137"/>
        <v>0</v>
      </c>
    </row>
    <row r="294" spans="1:47" s="77" customFormat="1" ht="18" customHeight="1" outlineLevel="2">
      <c r="A294" s="869">
        <f>'8.项目规划指标表'!B$9</f>
        <v>0</v>
      </c>
      <c r="B294" s="870">
        <f ca="1">'17.财务费用测算表'!H$32</f>
        <v>0</v>
      </c>
      <c r="C294" s="871">
        <f t="shared" ref="C294:AT294" ca="1" si="140">IFERROR($B294/$B38*C38,0)</f>
        <v>0</v>
      </c>
      <c r="D294" s="872">
        <f t="shared" ca="1" si="140"/>
        <v>0</v>
      </c>
      <c r="E294" s="872">
        <f t="shared" ca="1" si="140"/>
        <v>0</v>
      </c>
      <c r="F294" s="872">
        <f t="shared" ca="1" si="140"/>
        <v>0</v>
      </c>
      <c r="G294" s="871">
        <f t="shared" ca="1" si="140"/>
        <v>0</v>
      </c>
      <c r="H294" s="872">
        <f t="shared" ca="1" si="140"/>
        <v>0</v>
      </c>
      <c r="I294" s="872">
        <f t="shared" ca="1" si="140"/>
        <v>0</v>
      </c>
      <c r="J294" s="872">
        <f t="shared" ca="1" si="140"/>
        <v>0</v>
      </c>
      <c r="K294" s="871">
        <f t="shared" ca="1" si="140"/>
        <v>0</v>
      </c>
      <c r="L294" s="872">
        <f t="shared" ca="1" si="140"/>
        <v>0</v>
      </c>
      <c r="M294" s="872">
        <f t="shared" ca="1" si="140"/>
        <v>0</v>
      </c>
      <c r="N294" s="872">
        <f t="shared" ca="1" si="140"/>
        <v>0</v>
      </c>
      <c r="O294" s="871">
        <f t="shared" ca="1" si="140"/>
        <v>0</v>
      </c>
      <c r="P294" s="872">
        <f t="shared" ca="1" si="140"/>
        <v>0</v>
      </c>
      <c r="Q294" s="872">
        <f t="shared" ca="1" si="140"/>
        <v>0</v>
      </c>
      <c r="R294" s="872">
        <f t="shared" ca="1" si="140"/>
        <v>0</v>
      </c>
      <c r="S294" s="871">
        <f t="shared" ca="1" si="140"/>
        <v>0</v>
      </c>
      <c r="T294" s="872">
        <f t="shared" ca="1" si="140"/>
        <v>0</v>
      </c>
      <c r="U294" s="872">
        <f t="shared" ca="1" si="140"/>
        <v>0</v>
      </c>
      <c r="V294" s="872">
        <f t="shared" ca="1" si="140"/>
        <v>0</v>
      </c>
      <c r="W294" s="871">
        <f t="shared" ca="1" si="140"/>
        <v>0</v>
      </c>
      <c r="X294" s="872">
        <f t="shared" ca="1" si="140"/>
        <v>0</v>
      </c>
      <c r="Y294" s="872">
        <f t="shared" ca="1" si="140"/>
        <v>0</v>
      </c>
      <c r="Z294" s="872">
        <f t="shared" ca="1" si="140"/>
        <v>0</v>
      </c>
      <c r="AA294" s="871">
        <f t="shared" ca="1" si="140"/>
        <v>0</v>
      </c>
      <c r="AB294" s="872">
        <f t="shared" ca="1" si="140"/>
        <v>0</v>
      </c>
      <c r="AC294" s="872">
        <f t="shared" ca="1" si="140"/>
        <v>0</v>
      </c>
      <c r="AD294" s="872">
        <f t="shared" ca="1" si="140"/>
        <v>0</v>
      </c>
      <c r="AE294" s="871">
        <f t="shared" ca="1" si="140"/>
        <v>0</v>
      </c>
      <c r="AF294" s="872">
        <f t="shared" ca="1" si="140"/>
        <v>0</v>
      </c>
      <c r="AG294" s="872">
        <f t="shared" ca="1" si="140"/>
        <v>0</v>
      </c>
      <c r="AH294" s="872">
        <f t="shared" ca="1" si="140"/>
        <v>0</v>
      </c>
      <c r="AI294" s="871">
        <f t="shared" ca="1" si="140"/>
        <v>0</v>
      </c>
      <c r="AJ294" s="872">
        <f t="shared" ca="1" si="140"/>
        <v>0</v>
      </c>
      <c r="AK294" s="872">
        <f t="shared" ca="1" si="140"/>
        <v>0</v>
      </c>
      <c r="AL294" s="872">
        <f t="shared" ca="1" si="140"/>
        <v>0</v>
      </c>
      <c r="AM294" s="871">
        <f t="shared" ca="1" si="140"/>
        <v>0</v>
      </c>
      <c r="AN294" s="872">
        <f t="shared" ca="1" si="140"/>
        <v>0</v>
      </c>
      <c r="AO294" s="872">
        <f t="shared" ca="1" si="140"/>
        <v>0</v>
      </c>
      <c r="AP294" s="872">
        <f t="shared" ca="1" si="140"/>
        <v>0</v>
      </c>
      <c r="AQ294" s="871">
        <f t="shared" ca="1" si="140"/>
        <v>0</v>
      </c>
      <c r="AR294" s="872">
        <f t="shared" ca="1" si="140"/>
        <v>0</v>
      </c>
      <c r="AS294" s="872">
        <f t="shared" ca="1" si="140"/>
        <v>0</v>
      </c>
      <c r="AT294" s="872">
        <f t="shared" ca="1" si="140"/>
        <v>0</v>
      </c>
      <c r="AU294" s="823">
        <f t="shared" ca="1" si="137"/>
        <v>0</v>
      </c>
    </row>
    <row r="295" spans="1:47" s="77" customFormat="1" ht="18" customHeight="1" outlineLevel="2">
      <c r="A295" s="869">
        <f>'8.项目规划指标表'!B$10</f>
        <v>0</v>
      </c>
      <c r="B295" s="870">
        <f ca="1">'17.财务费用测算表'!I$32</f>
        <v>0</v>
      </c>
      <c r="C295" s="871">
        <f t="shared" ref="C295:AT295" ca="1" si="141">IFERROR($B295/$B39*C39,0)</f>
        <v>0</v>
      </c>
      <c r="D295" s="872">
        <f t="shared" ca="1" si="141"/>
        <v>0</v>
      </c>
      <c r="E295" s="872">
        <f t="shared" ca="1" si="141"/>
        <v>0</v>
      </c>
      <c r="F295" s="872">
        <f t="shared" ca="1" si="141"/>
        <v>0</v>
      </c>
      <c r="G295" s="871">
        <f t="shared" ca="1" si="141"/>
        <v>0</v>
      </c>
      <c r="H295" s="872">
        <f t="shared" ca="1" si="141"/>
        <v>0</v>
      </c>
      <c r="I295" s="872">
        <f t="shared" ca="1" si="141"/>
        <v>0</v>
      </c>
      <c r="J295" s="872">
        <f t="shared" ca="1" si="141"/>
        <v>0</v>
      </c>
      <c r="K295" s="871">
        <f t="shared" ca="1" si="141"/>
        <v>0</v>
      </c>
      <c r="L295" s="872">
        <f t="shared" ca="1" si="141"/>
        <v>0</v>
      </c>
      <c r="M295" s="872">
        <f t="shared" ca="1" si="141"/>
        <v>0</v>
      </c>
      <c r="N295" s="872">
        <f t="shared" ca="1" si="141"/>
        <v>0</v>
      </c>
      <c r="O295" s="871">
        <f t="shared" ca="1" si="141"/>
        <v>0</v>
      </c>
      <c r="P295" s="872">
        <f t="shared" ca="1" si="141"/>
        <v>0</v>
      </c>
      <c r="Q295" s="872">
        <f t="shared" ca="1" si="141"/>
        <v>0</v>
      </c>
      <c r="R295" s="872">
        <f t="shared" ca="1" si="141"/>
        <v>0</v>
      </c>
      <c r="S295" s="871">
        <f t="shared" ca="1" si="141"/>
        <v>0</v>
      </c>
      <c r="T295" s="872">
        <f t="shared" ca="1" si="141"/>
        <v>0</v>
      </c>
      <c r="U295" s="872">
        <f t="shared" ca="1" si="141"/>
        <v>0</v>
      </c>
      <c r="V295" s="872">
        <f t="shared" ca="1" si="141"/>
        <v>0</v>
      </c>
      <c r="W295" s="871">
        <f t="shared" ca="1" si="141"/>
        <v>0</v>
      </c>
      <c r="X295" s="872">
        <f t="shared" ca="1" si="141"/>
        <v>0</v>
      </c>
      <c r="Y295" s="872">
        <f t="shared" ca="1" si="141"/>
        <v>0</v>
      </c>
      <c r="Z295" s="872">
        <f t="shared" ca="1" si="141"/>
        <v>0</v>
      </c>
      <c r="AA295" s="871">
        <f t="shared" ca="1" si="141"/>
        <v>0</v>
      </c>
      <c r="AB295" s="872">
        <f t="shared" ca="1" si="141"/>
        <v>0</v>
      </c>
      <c r="AC295" s="872">
        <f t="shared" ca="1" si="141"/>
        <v>0</v>
      </c>
      <c r="AD295" s="872">
        <f t="shared" ca="1" si="141"/>
        <v>0</v>
      </c>
      <c r="AE295" s="871">
        <f t="shared" ca="1" si="141"/>
        <v>0</v>
      </c>
      <c r="AF295" s="872">
        <f t="shared" ca="1" si="141"/>
        <v>0</v>
      </c>
      <c r="AG295" s="872">
        <f t="shared" ca="1" si="141"/>
        <v>0</v>
      </c>
      <c r="AH295" s="872">
        <f t="shared" ca="1" si="141"/>
        <v>0</v>
      </c>
      <c r="AI295" s="871">
        <f t="shared" ca="1" si="141"/>
        <v>0</v>
      </c>
      <c r="AJ295" s="872">
        <f t="shared" ca="1" si="141"/>
        <v>0</v>
      </c>
      <c r="AK295" s="872">
        <f t="shared" ca="1" si="141"/>
        <v>0</v>
      </c>
      <c r="AL295" s="872">
        <f t="shared" ca="1" si="141"/>
        <v>0</v>
      </c>
      <c r="AM295" s="871">
        <f t="shared" ca="1" si="141"/>
        <v>0</v>
      </c>
      <c r="AN295" s="872">
        <f t="shared" ca="1" si="141"/>
        <v>0</v>
      </c>
      <c r="AO295" s="872">
        <f t="shared" ca="1" si="141"/>
        <v>0</v>
      </c>
      <c r="AP295" s="872">
        <f t="shared" ca="1" si="141"/>
        <v>0</v>
      </c>
      <c r="AQ295" s="871">
        <f t="shared" ca="1" si="141"/>
        <v>0</v>
      </c>
      <c r="AR295" s="872">
        <f t="shared" ca="1" si="141"/>
        <v>0</v>
      </c>
      <c r="AS295" s="872">
        <f t="shared" ca="1" si="141"/>
        <v>0</v>
      </c>
      <c r="AT295" s="872">
        <f t="shared" ca="1" si="141"/>
        <v>0</v>
      </c>
      <c r="AU295" s="823">
        <f t="shared" ca="1" si="137"/>
        <v>0</v>
      </c>
    </row>
    <row r="296" spans="1:47" s="77" customFormat="1" ht="18" customHeight="1" outlineLevel="2">
      <c r="A296" s="869">
        <f>'8.项目规划指标表'!B$11</f>
        <v>0</v>
      </c>
      <c r="B296" s="870">
        <f ca="1">'17.财务费用测算表'!J$32</f>
        <v>0</v>
      </c>
      <c r="C296" s="871">
        <f t="shared" ref="C296:AT296" ca="1" si="142">IFERROR($B296/$B40*C40,0)</f>
        <v>0</v>
      </c>
      <c r="D296" s="872">
        <f t="shared" ca="1" si="142"/>
        <v>0</v>
      </c>
      <c r="E296" s="872">
        <f t="shared" ca="1" si="142"/>
        <v>0</v>
      </c>
      <c r="F296" s="872">
        <f t="shared" ca="1" si="142"/>
        <v>0</v>
      </c>
      <c r="G296" s="871">
        <f t="shared" ca="1" si="142"/>
        <v>0</v>
      </c>
      <c r="H296" s="872">
        <f t="shared" ca="1" si="142"/>
        <v>0</v>
      </c>
      <c r="I296" s="872">
        <f t="shared" ca="1" si="142"/>
        <v>0</v>
      </c>
      <c r="J296" s="872">
        <f t="shared" ca="1" si="142"/>
        <v>0</v>
      </c>
      <c r="K296" s="871">
        <f t="shared" ca="1" si="142"/>
        <v>0</v>
      </c>
      <c r="L296" s="872">
        <f t="shared" ca="1" si="142"/>
        <v>0</v>
      </c>
      <c r="M296" s="872">
        <f t="shared" ca="1" si="142"/>
        <v>0</v>
      </c>
      <c r="N296" s="872">
        <f t="shared" ca="1" si="142"/>
        <v>0</v>
      </c>
      <c r="O296" s="871">
        <f t="shared" ca="1" si="142"/>
        <v>0</v>
      </c>
      <c r="P296" s="872">
        <f t="shared" ca="1" si="142"/>
        <v>0</v>
      </c>
      <c r="Q296" s="872">
        <f t="shared" ca="1" si="142"/>
        <v>0</v>
      </c>
      <c r="R296" s="872">
        <f t="shared" ca="1" si="142"/>
        <v>0</v>
      </c>
      <c r="S296" s="871">
        <f t="shared" ca="1" si="142"/>
        <v>0</v>
      </c>
      <c r="T296" s="872">
        <f t="shared" ca="1" si="142"/>
        <v>0</v>
      </c>
      <c r="U296" s="872">
        <f t="shared" ca="1" si="142"/>
        <v>0</v>
      </c>
      <c r="V296" s="872">
        <f t="shared" ca="1" si="142"/>
        <v>0</v>
      </c>
      <c r="W296" s="871">
        <f t="shared" ca="1" si="142"/>
        <v>0</v>
      </c>
      <c r="X296" s="872">
        <f t="shared" ca="1" si="142"/>
        <v>0</v>
      </c>
      <c r="Y296" s="872">
        <f t="shared" ca="1" si="142"/>
        <v>0</v>
      </c>
      <c r="Z296" s="872">
        <f t="shared" ca="1" si="142"/>
        <v>0</v>
      </c>
      <c r="AA296" s="871">
        <f t="shared" ca="1" si="142"/>
        <v>0</v>
      </c>
      <c r="AB296" s="872">
        <f t="shared" ca="1" si="142"/>
        <v>0</v>
      </c>
      <c r="AC296" s="872">
        <f t="shared" ca="1" si="142"/>
        <v>0</v>
      </c>
      <c r="AD296" s="872">
        <f t="shared" ca="1" si="142"/>
        <v>0</v>
      </c>
      <c r="AE296" s="871">
        <f t="shared" ca="1" si="142"/>
        <v>0</v>
      </c>
      <c r="AF296" s="872">
        <f t="shared" ca="1" si="142"/>
        <v>0</v>
      </c>
      <c r="AG296" s="872">
        <f t="shared" ca="1" si="142"/>
        <v>0</v>
      </c>
      <c r="AH296" s="872">
        <f t="shared" ca="1" si="142"/>
        <v>0</v>
      </c>
      <c r="AI296" s="871">
        <f t="shared" ca="1" si="142"/>
        <v>0</v>
      </c>
      <c r="AJ296" s="872">
        <f t="shared" ca="1" si="142"/>
        <v>0</v>
      </c>
      <c r="AK296" s="872">
        <f t="shared" ca="1" si="142"/>
        <v>0</v>
      </c>
      <c r="AL296" s="872">
        <f t="shared" ca="1" si="142"/>
        <v>0</v>
      </c>
      <c r="AM296" s="871">
        <f t="shared" ca="1" si="142"/>
        <v>0</v>
      </c>
      <c r="AN296" s="872">
        <f t="shared" ca="1" si="142"/>
        <v>0</v>
      </c>
      <c r="AO296" s="872">
        <f t="shared" ca="1" si="142"/>
        <v>0</v>
      </c>
      <c r="AP296" s="872">
        <f t="shared" ca="1" si="142"/>
        <v>0</v>
      </c>
      <c r="AQ296" s="871">
        <f t="shared" ca="1" si="142"/>
        <v>0</v>
      </c>
      <c r="AR296" s="872">
        <f t="shared" ca="1" si="142"/>
        <v>0</v>
      </c>
      <c r="AS296" s="872">
        <f t="shared" ca="1" si="142"/>
        <v>0</v>
      </c>
      <c r="AT296" s="872">
        <f t="shared" ca="1" si="142"/>
        <v>0</v>
      </c>
      <c r="AU296" s="823">
        <f t="shared" ca="1" si="137"/>
        <v>0</v>
      </c>
    </row>
    <row r="297" spans="1:47" s="77" customFormat="1" ht="18" customHeight="1" outlineLevel="2">
      <c r="A297" s="869">
        <f>'8.项目规划指标表'!B$12</f>
        <v>0</v>
      </c>
      <c r="B297" s="870">
        <f ca="1">'17.财务费用测算表'!K$32</f>
        <v>0</v>
      </c>
      <c r="C297" s="871">
        <f t="shared" ref="C297:AT297" ca="1" si="143">IFERROR($B297/$B41*C41,0)</f>
        <v>0</v>
      </c>
      <c r="D297" s="872">
        <f t="shared" ca="1" si="143"/>
        <v>0</v>
      </c>
      <c r="E297" s="872">
        <f t="shared" ca="1" si="143"/>
        <v>0</v>
      </c>
      <c r="F297" s="872">
        <f t="shared" ca="1" si="143"/>
        <v>0</v>
      </c>
      <c r="G297" s="871">
        <f t="shared" ca="1" si="143"/>
        <v>0</v>
      </c>
      <c r="H297" s="872">
        <f t="shared" ca="1" si="143"/>
        <v>0</v>
      </c>
      <c r="I297" s="872">
        <f t="shared" ca="1" si="143"/>
        <v>0</v>
      </c>
      <c r="J297" s="872">
        <f t="shared" ca="1" si="143"/>
        <v>0</v>
      </c>
      <c r="K297" s="871">
        <f t="shared" ca="1" si="143"/>
        <v>0</v>
      </c>
      <c r="L297" s="872">
        <f t="shared" ca="1" si="143"/>
        <v>0</v>
      </c>
      <c r="M297" s="872">
        <f t="shared" ca="1" si="143"/>
        <v>0</v>
      </c>
      <c r="N297" s="872">
        <f t="shared" ca="1" si="143"/>
        <v>0</v>
      </c>
      <c r="O297" s="871">
        <f t="shared" ca="1" si="143"/>
        <v>0</v>
      </c>
      <c r="P297" s="872">
        <f t="shared" ca="1" si="143"/>
        <v>0</v>
      </c>
      <c r="Q297" s="872">
        <f t="shared" ca="1" si="143"/>
        <v>0</v>
      </c>
      <c r="R297" s="872">
        <f t="shared" ca="1" si="143"/>
        <v>0</v>
      </c>
      <c r="S297" s="871">
        <f t="shared" ca="1" si="143"/>
        <v>0</v>
      </c>
      <c r="T297" s="872">
        <f t="shared" ca="1" si="143"/>
        <v>0</v>
      </c>
      <c r="U297" s="872">
        <f t="shared" ca="1" si="143"/>
        <v>0</v>
      </c>
      <c r="V297" s="872">
        <f t="shared" ca="1" si="143"/>
        <v>0</v>
      </c>
      <c r="W297" s="871">
        <f t="shared" ca="1" si="143"/>
        <v>0</v>
      </c>
      <c r="X297" s="872">
        <f t="shared" ca="1" si="143"/>
        <v>0</v>
      </c>
      <c r="Y297" s="872">
        <f t="shared" ca="1" si="143"/>
        <v>0</v>
      </c>
      <c r="Z297" s="872">
        <f t="shared" ca="1" si="143"/>
        <v>0</v>
      </c>
      <c r="AA297" s="871">
        <f t="shared" ca="1" si="143"/>
        <v>0</v>
      </c>
      <c r="AB297" s="872">
        <f t="shared" ca="1" si="143"/>
        <v>0</v>
      </c>
      <c r="AC297" s="872">
        <f t="shared" ca="1" si="143"/>
        <v>0</v>
      </c>
      <c r="AD297" s="872">
        <f t="shared" ca="1" si="143"/>
        <v>0</v>
      </c>
      <c r="AE297" s="871">
        <f t="shared" ca="1" si="143"/>
        <v>0</v>
      </c>
      <c r="AF297" s="872">
        <f t="shared" ca="1" si="143"/>
        <v>0</v>
      </c>
      <c r="AG297" s="872">
        <f t="shared" ca="1" si="143"/>
        <v>0</v>
      </c>
      <c r="AH297" s="872">
        <f t="shared" ca="1" si="143"/>
        <v>0</v>
      </c>
      <c r="AI297" s="871">
        <f t="shared" ca="1" si="143"/>
        <v>0</v>
      </c>
      <c r="AJ297" s="872">
        <f t="shared" ca="1" si="143"/>
        <v>0</v>
      </c>
      <c r="AK297" s="872">
        <f t="shared" ca="1" si="143"/>
        <v>0</v>
      </c>
      <c r="AL297" s="872">
        <f t="shared" ca="1" si="143"/>
        <v>0</v>
      </c>
      <c r="AM297" s="871">
        <f t="shared" ca="1" si="143"/>
        <v>0</v>
      </c>
      <c r="AN297" s="872">
        <f t="shared" ca="1" si="143"/>
        <v>0</v>
      </c>
      <c r="AO297" s="872">
        <f t="shared" ca="1" si="143"/>
        <v>0</v>
      </c>
      <c r="AP297" s="872">
        <f t="shared" ca="1" si="143"/>
        <v>0</v>
      </c>
      <c r="AQ297" s="871">
        <f t="shared" ca="1" si="143"/>
        <v>0</v>
      </c>
      <c r="AR297" s="872">
        <f t="shared" ca="1" si="143"/>
        <v>0</v>
      </c>
      <c r="AS297" s="872">
        <f t="shared" ca="1" si="143"/>
        <v>0</v>
      </c>
      <c r="AT297" s="872">
        <f t="shared" ca="1" si="143"/>
        <v>0</v>
      </c>
      <c r="AU297" s="823">
        <f t="shared" ca="1" si="137"/>
        <v>0</v>
      </c>
    </row>
    <row r="298" spans="1:47" s="77" customFormat="1" ht="18" customHeight="1" outlineLevel="2">
      <c r="A298" s="869">
        <f>'8.项目规划指标表'!B$13</f>
        <v>0</v>
      </c>
      <c r="B298" s="870">
        <f ca="1">'17.财务费用测算表'!L$32</f>
        <v>0</v>
      </c>
      <c r="C298" s="871">
        <f t="shared" ref="C298:AT298" ca="1" si="144">IFERROR($B298/$B42*C42,0)</f>
        <v>0</v>
      </c>
      <c r="D298" s="872">
        <f t="shared" ca="1" si="144"/>
        <v>0</v>
      </c>
      <c r="E298" s="872">
        <f t="shared" ca="1" si="144"/>
        <v>0</v>
      </c>
      <c r="F298" s="872">
        <f t="shared" ca="1" si="144"/>
        <v>0</v>
      </c>
      <c r="G298" s="871">
        <f t="shared" ca="1" si="144"/>
        <v>0</v>
      </c>
      <c r="H298" s="872">
        <f t="shared" ca="1" si="144"/>
        <v>0</v>
      </c>
      <c r="I298" s="872">
        <f t="shared" ca="1" si="144"/>
        <v>0</v>
      </c>
      <c r="J298" s="872">
        <f t="shared" ca="1" si="144"/>
        <v>0</v>
      </c>
      <c r="K298" s="871">
        <f t="shared" ca="1" si="144"/>
        <v>0</v>
      </c>
      <c r="L298" s="872">
        <f t="shared" ca="1" si="144"/>
        <v>0</v>
      </c>
      <c r="M298" s="872">
        <f t="shared" ca="1" si="144"/>
        <v>0</v>
      </c>
      <c r="N298" s="872">
        <f t="shared" ca="1" si="144"/>
        <v>0</v>
      </c>
      <c r="O298" s="871">
        <f t="shared" ca="1" si="144"/>
        <v>0</v>
      </c>
      <c r="P298" s="872">
        <f t="shared" ca="1" si="144"/>
        <v>0</v>
      </c>
      <c r="Q298" s="872">
        <f t="shared" ca="1" si="144"/>
        <v>0</v>
      </c>
      <c r="R298" s="872">
        <f t="shared" ca="1" si="144"/>
        <v>0</v>
      </c>
      <c r="S298" s="871">
        <f t="shared" ca="1" si="144"/>
        <v>0</v>
      </c>
      <c r="T298" s="872">
        <f t="shared" ca="1" si="144"/>
        <v>0</v>
      </c>
      <c r="U298" s="872">
        <f t="shared" ca="1" si="144"/>
        <v>0</v>
      </c>
      <c r="V298" s="872">
        <f t="shared" ca="1" si="144"/>
        <v>0</v>
      </c>
      <c r="W298" s="871">
        <f t="shared" ca="1" si="144"/>
        <v>0</v>
      </c>
      <c r="X298" s="872">
        <f t="shared" ca="1" si="144"/>
        <v>0</v>
      </c>
      <c r="Y298" s="872">
        <f t="shared" ca="1" si="144"/>
        <v>0</v>
      </c>
      <c r="Z298" s="872">
        <f t="shared" ca="1" si="144"/>
        <v>0</v>
      </c>
      <c r="AA298" s="871">
        <f t="shared" ca="1" si="144"/>
        <v>0</v>
      </c>
      <c r="AB298" s="872">
        <f t="shared" ca="1" si="144"/>
        <v>0</v>
      </c>
      <c r="AC298" s="872">
        <f t="shared" ca="1" si="144"/>
        <v>0</v>
      </c>
      <c r="AD298" s="872">
        <f t="shared" ca="1" si="144"/>
        <v>0</v>
      </c>
      <c r="AE298" s="871">
        <f t="shared" ca="1" si="144"/>
        <v>0</v>
      </c>
      <c r="AF298" s="872">
        <f t="shared" ca="1" si="144"/>
        <v>0</v>
      </c>
      <c r="AG298" s="872">
        <f t="shared" ca="1" si="144"/>
        <v>0</v>
      </c>
      <c r="AH298" s="872">
        <f t="shared" ca="1" si="144"/>
        <v>0</v>
      </c>
      <c r="AI298" s="871">
        <f t="shared" ca="1" si="144"/>
        <v>0</v>
      </c>
      <c r="AJ298" s="872">
        <f t="shared" ca="1" si="144"/>
        <v>0</v>
      </c>
      <c r="AK298" s="872">
        <f t="shared" ca="1" si="144"/>
        <v>0</v>
      </c>
      <c r="AL298" s="872">
        <f t="shared" ca="1" si="144"/>
        <v>0</v>
      </c>
      <c r="AM298" s="871">
        <f t="shared" ca="1" si="144"/>
        <v>0</v>
      </c>
      <c r="AN298" s="872">
        <f t="shared" ca="1" si="144"/>
        <v>0</v>
      </c>
      <c r="AO298" s="872">
        <f t="shared" ca="1" si="144"/>
        <v>0</v>
      </c>
      <c r="AP298" s="872">
        <f t="shared" ca="1" si="144"/>
        <v>0</v>
      </c>
      <c r="AQ298" s="871">
        <f t="shared" ca="1" si="144"/>
        <v>0</v>
      </c>
      <c r="AR298" s="872">
        <f t="shared" ca="1" si="144"/>
        <v>0</v>
      </c>
      <c r="AS298" s="872">
        <f t="shared" ca="1" si="144"/>
        <v>0</v>
      </c>
      <c r="AT298" s="872">
        <f t="shared" ca="1" si="144"/>
        <v>0</v>
      </c>
      <c r="AU298" s="823">
        <f t="shared" ca="1" si="137"/>
        <v>0</v>
      </c>
    </row>
    <row r="299" spans="1:47" s="77" customFormat="1" ht="18" customHeight="1" outlineLevel="2">
      <c r="A299" s="869" t="str">
        <f>'8.项目规划指标表'!B$14</f>
        <v>自持物业</v>
      </c>
      <c r="B299" s="870"/>
      <c r="C299" s="871"/>
      <c r="D299" s="872"/>
      <c r="E299" s="872"/>
      <c r="F299" s="872"/>
      <c r="G299" s="871"/>
      <c r="H299" s="872"/>
      <c r="I299" s="872"/>
      <c r="J299" s="872"/>
      <c r="K299" s="871"/>
      <c r="L299" s="872"/>
      <c r="M299" s="872"/>
      <c r="N299" s="872"/>
      <c r="O299" s="871"/>
      <c r="P299" s="872"/>
      <c r="Q299" s="872"/>
      <c r="R299" s="872"/>
      <c r="S299" s="871"/>
      <c r="T299" s="872"/>
      <c r="U299" s="872"/>
      <c r="V299" s="872"/>
      <c r="W299" s="871"/>
      <c r="X299" s="872"/>
      <c r="Y299" s="872"/>
      <c r="Z299" s="872"/>
      <c r="AA299" s="871"/>
      <c r="AB299" s="872"/>
      <c r="AC299" s="872"/>
      <c r="AD299" s="872"/>
      <c r="AE299" s="871"/>
      <c r="AF299" s="872"/>
      <c r="AG299" s="872"/>
      <c r="AH299" s="872"/>
      <c r="AI299" s="871"/>
      <c r="AJ299" s="872"/>
      <c r="AK299" s="872"/>
      <c r="AL299" s="872"/>
      <c r="AM299" s="871"/>
      <c r="AN299" s="872"/>
      <c r="AO299" s="872"/>
      <c r="AP299" s="872"/>
      <c r="AQ299" s="871"/>
      <c r="AR299" s="872"/>
      <c r="AS299" s="872"/>
      <c r="AT299" s="872"/>
      <c r="AU299" s="823">
        <f t="shared" si="137"/>
        <v>0</v>
      </c>
    </row>
    <row r="300" spans="1:47" s="77" customFormat="1" ht="18" customHeight="1" outlineLevel="2">
      <c r="A300" s="869" t="str">
        <f>'8.项目规划指标表'!B$18</f>
        <v>有产权车库(个)</v>
      </c>
      <c r="B300" s="870">
        <f ca="1">'17.财务费用测算表'!N$32</f>
        <v>0</v>
      </c>
      <c r="C300" s="871">
        <f t="shared" ref="C300:AT300" ca="1" si="145">IFERROR($B300/$B44*C44,0)</f>
        <v>0</v>
      </c>
      <c r="D300" s="872">
        <f t="shared" ca="1" si="145"/>
        <v>0</v>
      </c>
      <c r="E300" s="872">
        <f t="shared" ca="1" si="145"/>
        <v>0</v>
      </c>
      <c r="F300" s="872">
        <f t="shared" ca="1" si="145"/>
        <v>0</v>
      </c>
      <c r="G300" s="871">
        <f t="shared" ca="1" si="145"/>
        <v>0</v>
      </c>
      <c r="H300" s="872">
        <f t="shared" ca="1" si="145"/>
        <v>0</v>
      </c>
      <c r="I300" s="872">
        <f t="shared" ca="1" si="145"/>
        <v>0</v>
      </c>
      <c r="J300" s="872">
        <f t="shared" ca="1" si="145"/>
        <v>0</v>
      </c>
      <c r="K300" s="871">
        <f t="shared" ca="1" si="145"/>
        <v>0</v>
      </c>
      <c r="L300" s="872">
        <f t="shared" ca="1" si="145"/>
        <v>0</v>
      </c>
      <c r="M300" s="872">
        <f t="shared" ca="1" si="145"/>
        <v>0</v>
      </c>
      <c r="N300" s="872">
        <f t="shared" ca="1" si="145"/>
        <v>0</v>
      </c>
      <c r="O300" s="871">
        <f t="shared" ca="1" si="145"/>
        <v>0</v>
      </c>
      <c r="P300" s="872">
        <f t="shared" ca="1" si="145"/>
        <v>0</v>
      </c>
      <c r="Q300" s="872">
        <f t="shared" ca="1" si="145"/>
        <v>0</v>
      </c>
      <c r="R300" s="872">
        <f t="shared" ca="1" si="145"/>
        <v>0</v>
      </c>
      <c r="S300" s="871">
        <f t="shared" ca="1" si="145"/>
        <v>0</v>
      </c>
      <c r="T300" s="872">
        <f t="shared" ca="1" si="145"/>
        <v>0</v>
      </c>
      <c r="U300" s="872">
        <f t="shared" ca="1" si="145"/>
        <v>0</v>
      </c>
      <c r="V300" s="872">
        <f t="shared" ca="1" si="145"/>
        <v>0</v>
      </c>
      <c r="W300" s="871">
        <f t="shared" ca="1" si="145"/>
        <v>0</v>
      </c>
      <c r="X300" s="872">
        <f t="shared" ca="1" si="145"/>
        <v>0</v>
      </c>
      <c r="Y300" s="872">
        <f t="shared" ca="1" si="145"/>
        <v>0</v>
      </c>
      <c r="Z300" s="872">
        <f t="shared" ca="1" si="145"/>
        <v>0</v>
      </c>
      <c r="AA300" s="871">
        <f t="shared" ca="1" si="145"/>
        <v>0</v>
      </c>
      <c r="AB300" s="872">
        <f t="shared" ca="1" si="145"/>
        <v>0</v>
      </c>
      <c r="AC300" s="872">
        <f t="shared" ca="1" si="145"/>
        <v>0</v>
      </c>
      <c r="AD300" s="872">
        <f t="shared" ca="1" si="145"/>
        <v>0</v>
      </c>
      <c r="AE300" s="871">
        <f t="shared" ca="1" si="145"/>
        <v>0</v>
      </c>
      <c r="AF300" s="872">
        <f t="shared" ca="1" si="145"/>
        <v>0</v>
      </c>
      <c r="AG300" s="872">
        <f t="shared" ca="1" si="145"/>
        <v>0</v>
      </c>
      <c r="AH300" s="872">
        <f t="shared" ca="1" si="145"/>
        <v>0</v>
      </c>
      <c r="AI300" s="871">
        <f t="shared" ca="1" si="145"/>
        <v>0</v>
      </c>
      <c r="AJ300" s="872">
        <f t="shared" ca="1" si="145"/>
        <v>0</v>
      </c>
      <c r="AK300" s="872">
        <f t="shared" ca="1" si="145"/>
        <v>0</v>
      </c>
      <c r="AL300" s="872">
        <f t="shared" ca="1" si="145"/>
        <v>0</v>
      </c>
      <c r="AM300" s="871">
        <f t="shared" ca="1" si="145"/>
        <v>0</v>
      </c>
      <c r="AN300" s="872">
        <f t="shared" ca="1" si="145"/>
        <v>0</v>
      </c>
      <c r="AO300" s="872">
        <f t="shared" ca="1" si="145"/>
        <v>0</v>
      </c>
      <c r="AP300" s="872">
        <f t="shared" ca="1" si="145"/>
        <v>0</v>
      </c>
      <c r="AQ300" s="871">
        <f t="shared" ca="1" si="145"/>
        <v>0</v>
      </c>
      <c r="AR300" s="872">
        <f t="shared" ca="1" si="145"/>
        <v>0</v>
      </c>
      <c r="AS300" s="872">
        <f t="shared" ca="1" si="145"/>
        <v>0</v>
      </c>
      <c r="AT300" s="872">
        <f t="shared" ca="1" si="145"/>
        <v>0</v>
      </c>
      <c r="AU300" s="823">
        <f t="shared" ca="1" si="137"/>
        <v>0</v>
      </c>
    </row>
    <row r="301" spans="1:47" s="77" customFormat="1" ht="18" customHeight="1" outlineLevel="2">
      <c r="A301" s="869" t="str">
        <f>'8.项目规划指标表'!B$19</f>
        <v>无产权车库(个)</v>
      </c>
      <c r="B301" s="870">
        <f ca="1">'17.财务费用测算表'!O$32</f>
        <v>0</v>
      </c>
      <c r="C301" s="871">
        <f t="shared" ref="C301:AT301" ca="1" si="146">IFERROR($B301/$B45*C45,0)</f>
        <v>0</v>
      </c>
      <c r="D301" s="872">
        <f t="shared" ca="1" si="146"/>
        <v>0</v>
      </c>
      <c r="E301" s="872">
        <f t="shared" ca="1" si="146"/>
        <v>0</v>
      </c>
      <c r="F301" s="872">
        <f t="shared" ca="1" si="146"/>
        <v>0</v>
      </c>
      <c r="G301" s="871">
        <f t="shared" ca="1" si="146"/>
        <v>0</v>
      </c>
      <c r="H301" s="872">
        <f t="shared" ca="1" si="146"/>
        <v>0</v>
      </c>
      <c r="I301" s="872">
        <f t="shared" ca="1" si="146"/>
        <v>0</v>
      </c>
      <c r="J301" s="872">
        <f t="shared" ca="1" si="146"/>
        <v>0</v>
      </c>
      <c r="K301" s="871">
        <f t="shared" ca="1" si="146"/>
        <v>0</v>
      </c>
      <c r="L301" s="872">
        <f t="shared" ca="1" si="146"/>
        <v>0</v>
      </c>
      <c r="M301" s="872">
        <f t="shared" ca="1" si="146"/>
        <v>0</v>
      </c>
      <c r="N301" s="872">
        <f t="shared" ca="1" si="146"/>
        <v>0</v>
      </c>
      <c r="O301" s="871">
        <f t="shared" ca="1" si="146"/>
        <v>0</v>
      </c>
      <c r="P301" s="872">
        <f t="shared" ca="1" si="146"/>
        <v>0</v>
      </c>
      <c r="Q301" s="872">
        <f t="shared" ca="1" si="146"/>
        <v>0</v>
      </c>
      <c r="R301" s="872">
        <f t="shared" ca="1" si="146"/>
        <v>0</v>
      </c>
      <c r="S301" s="871">
        <f t="shared" ca="1" si="146"/>
        <v>0</v>
      </c>
      <c r="T301" s="872">
        <f t="shared" ca="1" si="146"/>
        <v>0</v>
      </c>
      <c r="U301" s="872">
        <f t="shared" ca="1" si="146"/>
        <v>0</v>
      </c>
      <c r="V301" s="872">
        <f t="shared" ca="1" si="146"/>
        <v>0</v>
      </c>
      <c r="W301" s="871">
        <f t="shared" ca="1" si="146"/>
        <v>0</v>
      </c>
      <c r="X301" s="872">
        <f t="shared" ca="1" si="146"/>
        <v>0</v>
      </c>
      <c r="Y301" s="872">
        <f t="shared" ca="1" si="146"/>
        <v>0</v>
      </c>
      <c r="Z301" s="872">
        <f t="shared" ca="1" si="146"/>
        <v>0</v>
      </c>
      <c r="AA301" s="871">
        <f t="shared" ca="1" si="146"/>
        <v>0</v>
      </c>
      <c r="AB301" s="872">
        <f t="shared" ca="1" si="146"/>
        <v>0</v>
      </c>
      <c r="AC301" s="872">
        <f t="shared" ca="1" si="146"/>
        <v>0</v>
      </c>
      <c r="AD301" s="872">
        <f t="shared" ca="1" si="146"/>
        <v>0</v>
      </c>
      <c r="AE301" s="871">
        <f t="shared" ca="1" si="146"/>
        <v>0</v>
      </c>
      <c r="AF301" s="872">
        <f t="shared" ca="1" si="146"/>
        <v>0</v>
      </c>
      <c r="AG301" s="872">
        <f t="shared" ca="1" si="146"/>
        <v>0</v>
      </c>
      <c r="AH301" s="872">
        <f t="shared" ca="1" si="146"/>
        <v>0</v>
      </c>
      <c r="AI301" s="871">
        <f t="shared" ca="1" si="146"/>
        <v>0</v>
      </c>
      <c r="AJ301" s="872">
        <f t="shared" ca="1" si="146"/>
        <v>0</v>
      </c>
      <c r="AK301" s="872">
        <f t="shared" ca="1" si="146"/>
        <v>0</v>
      </c>
      <c r="AL301" s="872">
        <f t="shared" ca="1" si="146"/>
        <v>0</v>
      </c>
      <c r="AM301" s="871">
        <f t="shared" ca="1" si="146"/>
        <v>0</v>
      </c>
      <c r="AN301" s="872">
        <f t="shared" ca="1" si="146"/>
        <v>0</v>
      </c>
      <c r="AO301" s="872">
        <f t="shared" ca="1" si="146"/>
        <v>0</v>
      </c>
      <c r="AP301" s="872">
        <f t="shared" ca="1" si="146"/>
        <v>0</v>
      </c>
      <c r="AQ301" s="871">
        <f t="shared" ca="1" si="146"/>
        <v>0</v>
      </c>
      <c r="AR301" s="872">
        <f t="shared" ca="1" si="146"/>
        <v>0</v>
      </c>
      <c r="AS301" s="872">
        <f t="shared" ca="1" si="146"/>
        <v>0</v>
      </c>
      <c r="AT301" s="872">
        <f t="shared" ca="1" si="146"/>
        <v>0</v>
      </c>
      <c r="AU301" s="823">
        <f t="shared" ca="1" si="137"/>
        <v>0</v>
      </c>
    </row>
    <row r="302" spans="1:47" s="77" customFormat="1" ht="18" customHeight="1" outlineLevel="1">
      <c r="A302" s="865" t="s">
        <v>22</v>
      </c>
      <c r="B302" s="866">
        <f ca="1">SUM(B303:B314)</f>
        <v>0</v>
      </c>
      <c r="C302" s="867">
        <f ca="1">SUM(C303:C314)</f>
        <v>0</v>
      </c>
      <c r="D302" s="868">
        <f t="shared" ref="D302:AT302" ca="1" si="147">SUM(D303:D314)</f>
        <v>0</v>
      </c>
      <c r="E302" s="868">
        <f t="shared" ca="1" si="147"/>
        <v>0</v>
      </c>
      <c r="F302" s="868">
        <f t="shared" ca="1" si="147"/>
        <v>0</v>
      </c>
      <c r="G302" s="867">
        <f t="shared" ca="1" si="147"/>
        <v>0</v>
      </c>
      <c r="H302" s="868">
        <f t="shared" ca="1" si="147"/>
        <v>0</v>
      </c>
      <c r="I302" s="868">
        <f t="shared" ca="1" si="147"/>
        <v>0</v>
      </c>
      <c r="J302" s="868">
        <f t="shared" ca="1" si="147"/>
        <v>0</v>
      </c>
      <c r="K302" s="867">
        <f t="shared" ca="1" si="147"/>
        <v>0</v>
      </c>
      <c r="L302" s="868">
        <f t="shared" ca="1" si="147"/>
        <v>0</v>
      </c>
      <c r="M302" s="868">
        <f t="shared" ca="1" si="147"/>
        <v>0</v>
      </c>
      <c r="N302" s="868">
        <f t="shared" ca="1" si="147"/>
        <v>0</v>
      </c>
      <c r="O302" s="867">
        <f t="shared" ca="1" si="147"/>
        <v>0</v>
      </c>
      <c r="P302" s="868">
        <f t="shared" ca="1" si="147"/>
        <v>0</v>
      </c>
      <c r="Q302" s="868">
        <f t="shared" ca="1" si="147"/>
        <v>0</v>
      </c>
      <c r="R302" s="868">
        <f t="shared" ca="1" si="147"/>
        <v>0</v>
      </c>
      <c r="S302" s="867">
        <f t="shared" ca="1" si="147"/>
        <v>0</v>
      </c>
      <c r="T302" s="868">
        <f t="shared" ca="1" si="147"/>
        <v>0</v>
      </c>
      <c r="U302" s="868">
        <f t="shared" ca="1" si="147"/>
        <v>0</v>
      </c>
      <c r="V302" s="868">
        <f t="shared" ca="1" si="147"/>
        <v>0</v>
      </c>
      <c r="W302" s="867">
        <f t="shared" ca="1" si="147"/>
        <v>0</v>
      </c>
      <c r="X302" s="868">
        <f t="shared" ca="1" si="147"/>
        <v>0</v>
      </c>
      <c r="Y302" s="868">
        <f t="shared" ca="1" si="147"/>
        <v>0</v>
      </c>
      <c r="Z302" s="868">
        <f t="shared" ca="1" si="147"/>
        <v>0</v>
      </c>
      <c r="AA302" s="867">
        <f t="shared" ca="1" si="147"/>
        <v>0</v>
      </c>
      <c r="AB302" s="868">
        <f t="shared" ca="1" si="147"/>
        <v>0</v>
      </c>
      <c r="AC302" s="868">
        <f t="shared" ca="1" si="147"/>
        <v>0</v>
      </c>
      <c r="AD302" s="868">
        <f t="shared" ca="1" si="147"/>
        <v>0</v>
      </c>
      <c r="AE302" s="867">
        <f t="shared" ca="1" si="147"/>
        <v>0</v>
      </c>
      <c r="AF302" s="868">
        <f t="shared" ca="1" si="147"/>
        <v>0</v>
      </c>
      <c r="AG302" s="868">
        <f t="shared" ca="1" si="147"/>
        <v>0</v>
      </c>
      <c r="AH302" s="868">
        <f t="shared" ca="1" si="147"/>
        <v>0</v>
      </c>
      <c r="AI302" s="867">
        <f t="shared" ca="1" si="147"/>
        <v>0</v>
      </c>
      <c r="AJ302" s="868">
        <f t="shared" ca="1" si="147"/>
        <v>0</v>
      </c>
      <c r="AK302" s="868">
        <f t="shared" ca="1" si="147"/>
        <v>0</v>
      </c>
      <c r="AL302" s="868">
        <f t="shared" ca="1" si="147"/>
        <v>0</v>
      </c>
      <c r="AM302" s="867">
        <f t="shared" ca="1" si="147"/>
        <v>0</v>
      </c>
      <c r="AN302" s="868">
        <f t="shared" ca="1" si="147"/>
        <v>0</v>
      </c>
      <c r="AO302" s="868">
        <f t="shared" ca="1" si="147"/>
        <v>0</v>
      </c>
      <c r="AP302" s="868">
        <f t="shared" ca="1" si="147"/>
        <v>0</v>
      </c>
      <c r="AQ302" s="867">
        <f t="shared" ca="1" si="147"/>
        <v>0</v>
      </c>
      <c r="AR302" s="868">
        <f t="shared" ca="1" si="147"/>
        <v>0</v>
      </c>
      <c r="AS302" s="868">
        <f t="shared" ca="1" si="147"/>
        <v>0</v>
      </c>
      <c r="AT302" s="868">
        <f t="shared" ca="1" si="147"/>
        <v>0</v>
      </c>
    </row>
    <row r="303" spans="1:47" s="77" customFormat="1" ht="18" customHeight="1" outlineLevel="2">
      <c r="A303" s="869" t="str">
        <f>'8.项目规划指标表'!B$5</f>
        <v>高层</v>
      </c>
      <c r="B303" s="870">
        <f ca="1">'17.财务费用测算表'!D$33</f>
        <v>0</v>
      </c>
      <c r="C303" s="871">
        <f ca="1">IFERROR($B303/$B47*C47,0)</f>
        <v>0</v>
      </c>
      <c r="D303" s="872">
        <f t="shared" ref="D303:AT303" ca="1" si="148">IFERROR($B303/$B47*D47,0)</f>
        <v>0</v>
      </c>
      <c r="E303" s="872">
        <f t="shared" ca="1" si="148"/>
        <v>0</v>
      </c>
      <c r="F303" s="872">
        <f t="shared" ca="1" si="148"/>
        <v>0</v>
      </c>
      <c r="G303" s="871">
        <f t="shared" ca="1" si="148"/>
        <v>0</v>
      </c>
      <c r="H303" s="872">
        <f t="shared" ca="1" si="148"/>
        <v>0</v>
      </c>
      <c r="I303" s="872">
        <f t="shared" ca="1" si="148"/>
        <v>0</v>
      </c>
      <c r="J303" s="872">
        <f t="shared" ca="1" si="148"/>
        <v>0</v>
      </c>
      <c r="K303" s="871">
        <f t="shared" ca="1" si="148"/>
        <v>0</v>
      </c>
      <c r="L303" s="872">
        <f t="shared" ca="1" si="148"/>
        <v>0</v>
      </c>
      <c r="M303" s="872">
        <f t="shared" ca="1" si="148"/>
        <v>0</v>
      </c>
      <c r="N303" s="872">
        <f t="shared" ca="1" si="148"/>
        <v>0</v>
      </c>
      <c r="O303" s="871">
        <f t="shared" ca="1" si="148"/>
        <v>0</v>
      </c>
      <c r="P303" s="872">
        <f t="shared" ca="1" si="148"/>
        <v>0</v>
      </c>
      <c r="Q303" s="872">
        <f t="shared" ca="1" si="148"/>
        <v>0</v>
      </c>
      <c r="R303" s="872">
        <f t="shared" ca="1" si="148"/>
        <v>0</v>
      </c>
      <c r="S303" s="871">
        <f t="shared" ca="1" si="148"/>
        <v>0</v>
      </c>
      <c r="T303" s="872">
        <f t="shared" ca="1" si="148"/>
        <v>0</v>
      </c>
      <c r="U303" s="872">
        <f t="shared" ca="1" si="148"/>
        <v>0</v>
      </c>
      <c r="V303" s="872">
        <f t="shared" ca="1" si="148"/>
        <v>0</v>
      </c>
      <c r="W303" s="871">
        <f t="shared" ca="1" si="148"/>
        <v>0</v>
      </c>
      <c r="X303" s="872">
        <f t="shared" ca="1" si="148"/>
        <v>0</v>
      </c>
      <c r="Y303" s="872">
        <f t="shared" ca="1" si="148"/>
        <v>0</v>
      </c>
      <c r="Z303" s="872">
        <f t="shared" ca="1" si="148"/>
        <v>0</v>
      </c>
      <c r="AA303" s="871">
        <f t="shared" ca="1" si="148"/>
        <v>0</v>
      </c>
      <c r="AB303" s="872">
        <f t="shared" ca="1" si="148"/>
        <v>0</v>
      </c>
      <c r="AC303" s="872">
        <f t="shared" ca="1" si="148"/>
        <v>0</v>
      </c>
      <c r="AD303" s="872">
        <f t="shared" ca="1" si="148"/>
        <v>0</v>
      </c>
      <c r="AE303" s="871">
        <f t="shared" ca="1" si="148"/>
        <v>0</v>
      </c>
      <c r="AF303" s="872">
        <f t="shared" ca="1" si="148"/>
        <v>0</v>
      </c>
      <c r="AG303" s="872">
        <f t="shared" ca="1" si="148"/>
        <v>0</v>
      </c>
      <c r="AH303" s="872">
        <f t="shared" ca="1" si="148"/>
        <v>0</v>
      </c>
      <c r="AI303" s="871">
        <f t="shared" ca="1" si="148"/>
        <v>0</v>
      </c>
      <c r="AJ303" s="872">
        <f t="shared" ca="1" si="148"/>
        <v>0</v>
      </c>
      <c r="AK303" s="872">
        <f t="shared" ca="1" si="148"/>
        <v>0</v>
      </c>
      <c r="AL303" s="872">
        <f t="shared" ca="1" si="148"/>
        <v>0</v>
      </c>
      <c r="AM303" s="871">
        <f t="shared" ca="1" si="148"/>
        <v>0</v>
      </c>
      <c r="AN303" s="872">
        <f t="shared" ca="1" si="148"/>
        <v>0</v>
      </c>
      <c r="AO303" s="872">
        <f t="shared" ca="1" si="148"/>
        <v>0</v>
      </c>
      <c r="AP303" s="872">
        <f t="shared" ca="1" si="148"/>
        <v>0</v>
      </c>
      <c r="AQ303" s="871">
        <f t="shared" ca="1" si="148"/>
        <v>0</v>
      </c>
      <c r="AR303" s="872">
        <f t="shared" ca="1" si="148"/>
        <v>0</v>
      </c>
      <c r="AS303" s="872">
        <f t="shared" ca="1" si="148"/>
        <v>0</v>
      </c>
      <c r="AT303" s="872">
        <f t="shared" ca="1" si="148"/>
        <v>0</v>
      </c>
      <c r="AU303" s="823">
        <f ca="1">SUM(C303:AT303)-B303</f>
        <v>0</v>
      </c>
    </row>
    <row r="304" spans="1:47" s="77" customFormat="1" ht="18" customHeight="1" outlineLevel="2">
      <c r="A304" s="869" t="str">
        <f>'8.项目规划指标表'!B$6</f>
        <v>商铺</v>
      </c>
      <c r="B304" s="870">
        <f ca="1">'17.财务费用测算表'!E$33</f>
        <v>0</v>
      </c>
      <c r="C304" s="871">
        <f t="shared" ref="C304:AT304" ca="1" si="149">IFERROR($B304/$B48*C48,0)</f>
        <v>0</v>
      </c>
      <c r="D304" s="872">
        <f t="shared" ca="1" si="149"/>
        <v>0</v>
      </c>
      <c r="E304" s="872">
        <f t="shared" ca="1" si="149"/>
        <v>0</v>
      </c>
      <c r="F304" s="872">
        <f t="shared" ca="1" si="149"/>
        <v>0</v>
      </c>
      <c r="G304" s="871">
        <f t="shared" ca="1" si="149"/>
        <v>0</v>
      </c>
      <c r="H304" s="872">
        <f t="shared" ca="1" si="149"/>
        <v>0</v>
      </c>
      <c r="I304" s="872">
        <f t="shared" ca="1" si="149"/>
        <v>0</v>
      </c>
      <c r="J304" s="872">
        <f t="shared" ca="1" si="149"/>
        <v>0</v>
      </c>
      <c r="K304" s="871">
        <f t="shared" ca="1" si="149"/>
        <v>0</v>
      </c>
      <c r="L304" s="872">
        <f t="shared" ca="1" si="149"/>
        <v>0</v>
      </c>
      <c r="M304" s="872">
        <f t="shared" ca="1" si="149"/>
        <v>0</v>
      </c>
      <c r="N304" s="872">
        <f t="shared" ca="1" si="149"/>
        <v>0</v>
      </c>
      <c r="O304" s="871">
        <f t="shared" ca="1" si="149"/>
        <v>0</v>
      </c>
      <c r="P304" s="872">
        <f t="shared" ca="1" si="149"/>
        <v>0</v>
      </c>
      <c r="Q304" s="872">
        <f t="shared" ca="1" si="149"/>
        <v>0</v>
      </c>
      <c r="R304" s="872">
        <f t="shared" ca="1" si="149"/>
        <v>0</v>
      </c>
      <c r="S304" s="871">
        <f t="shared" ca="1" si="149"/>
        <v>0</v>
      </c>
      <c r="T304" s="872">
        <f t="shared" ca="1" si="149"/>
        <v>0</v>
      </c>
      <c r="U304" s="872">
        <f t="shared" ca="1" si="149"/>
        <v>0</v>
      </c>
      <c r="V304" s="872">
        <f t="shared" ca="1" si="149"/>
        <v>0</v>
      </c>
      <c r="W304" s="871">
        <f t="shared" ca="1" si="149"/>
        <v>0</v>
      </c>
      <c r="X304" s="872">
        <f t="shared" ca="1" si="149"/>
        <v>0</v>
      </c>
      <c r="Y304" s="872">
        <f t="shared" ca="1" si="149"/>
        <v>0</v>
      </c>
      <c r="Z304" s="872">
        <f t="shared" ca="1" si="149"/>
        <v>0</v>
      </c>
      <c r="AA304" s="871">
        <f t="shared" ca="1" si="149"/>
        <v>0</v>
      </c>
      <c r="AB304" s="872">
        <f t="shared" ca="1" si="149"/>
        <v>0</v>
      </c>
      <c r="AC304" s="872">
        <f t="shared" ca="1" si="149"/>
        <v>0</v>
      </c>
      <c r="AD304" s="872">
        <f t="shared" ca="1" si="149"/>
        <v>0</v>
      </c>
      <c r="AE304" s="871">
        <f t="shared" ca="1" si="149"/>
        <v>0</v>
      </c>
      <c r="AF304" s="872">
        <f t="shared" ca="1" si="149"/>
        <v>0</v>
      </c>
      <c r="AG304" s="872">
        <f t="shared" ca="1" si="149"/>
        <v>0</v>
      </c>
      <c r="AH304" s="872">
        <f t="shared" ca="1" si="149"/>
        <v>0</v>
      </c>
      <c r="AI304" s="871">
        <f t="shared" ca="1" si="149"/>
        <v>0</v>
      </c>
      <c r="AJ304" s="872">
        <f t="shared" ca="1" si="149"/>
        <v>0</v>
      </c>
      <c r="AK304" s="872">
        <f t="shared" ca="1" si="149"/>
        <v>0</v>
      </c>
      <c r="AL304" s="872">
        <f t="shared" ca="1" si="149"/>
        <v>0</v>
      </c>
      <c r="AM304" s="871">
        <f t="shared" ca="1" si="149"/>
        <v>0</v>
      </c>
      <c r="AN304" s="872">
        <f t="shared" ca="1" si="149"/>
        <v>0</v>
      </c>
      <c r="AO304" s="872">
        <f t="shared" ca="1" si="149"/>
        <v>0</v>
      </c>
      <c r="AP304" s="872">
        <f t="shared" ca="1" si="149"/>
        <v>0</v>
      </c>
      <c r="AQ304" s="871">
        <f t="shared" ca="1" si="149"/>
        <v>0</v>
      </c>
      <c r="AR304" s="872">
        <f t="shared" ca="1" si="149"/>
        <v>0</v>
      </c>
      <c r="AS304" s="872">
        <f t="shared" ca="1" si="149"/>
        <v>0</v>
      </c>
      <c r="AT304" s="872">
        <f t="shared" ca="1" si="149"/>
        <v>0</v>
      </c>
      <c r="AU304" s="823">
        <f t="shared" ref="AU304:AU314" ca="1" si="150">SUM(C304:AT304)-B304</f>
        <v>0</v>
      </c>
    </row>
    <row r="305" spans="1:47" s="77" customFormat="1" ht="18" customHeight="1" outlineLevel="2">
      <c r="A305" s="869" t="str">
        <f>'8.项目规划指标表'!B$7</f>
        <v>回迁商业</v>
      </c>
      <c r="B305" s="870">
        <f>'17.财务费用测算表'!F$33</f>
        <v>0</v>
      </c>
      <c r="C305" s="871">
        <f t="shared" ref="C305:AT305" si="151">IFERROR($B305/$B49*C49,0)</f>
        <v>0</v>
      </c>
      <c r="D305" s="872">
        <f t="shared" si="151"/>
        <v>0</v>
      </c>
      <c r="E305" s="872">
        <f t="shared" si="151"/>
        <v>0</v>
      </c>
      <c r="F305" s="872">
        <f t="shared" si="151"/>
        <v>0</v>
      </c>
      <c r="G305" s="871">
        <f t="shared" si="151"/>
        <v>0</v>
      </c>
      <c r="H305" s="872">
        <f t="shared" si="151"/>
        <v>0</v>
      </c>
      <c r="I305" s="872">
        <f t="shared" si="151"/>
        <v>0</v>
      </c>
      <c r="J305" s="872">
        <f t="shared" si="151"/>
        <v>0</v>
      </c>
      <c r="K305" s="871">
        <f t="shared" si="151"/>
        <v>0</v>
      </c>
      <c r="L305" s="872">
        <f t="shared" si="151"/>
        <v>0</v>
      </c>
      <c r="M305" s="872">
        <f t="shared" si="151"/>
        <v>0</v>
      </c>
      <c r="N305" s="872">
        <f t="shared" si="151"/>
        <v>0</v>
      </c>
      <c r="O305" s="871">
        <f t="shared" si="151"/>
        <v>0</v>
      </c>
      <c r="P305" s="872">
        <f t="shared" si="151"/>
        <v>0</v>
      </c>
      <c r="Q305" s="872">
        <f t="shared" si="151"/>
        <v>0</v>
      </c>
      <c r="R305" s="872">
        <f t="shared" si="151"/>
        <v>0</v>
      </c>
      <c r="S305" s="871">
        <f t="shared" si="151"/>
        <v>0</v>
      </c>
      <c r="T305" s="872">
        <f t="shared" si="151"/>
        <v>0</v>
      </c>
      <c r="U305" s="872">
        <f t="shared" si="151"/>
        <v>0</v>
      </c>
      <c r="V305" s="872">
        <f t="shared" si="151"/>
        <v>0</v>
      </c>
      <c r="W305" s="871">
        <f t="shared" si="151"/>
        <v>0</v>
      </c>
      <c r="X305" s="872">
        <f t="shared" si="151"/>
        <v>0</v>
      </c>
      <c r="Y305" s="872">
        <f t="shared" si="151"/>
        <v>0</v>
      </c>
      <c r="Z305" s="872">
        <f t="shared" si="151"/>
        <v>0</v>
      </c>
      <c r="AA305" s="871">
        <f t="shared" si="151"/>
        <v>0</v>
      </c>
      <c r="AB305" s="872">
        <f t="shared" si="151"/>
        <v>0</v>
      </c>
      <c r="AC305" s="872">
        <f t="shared" si="151"/>
        <v>0</v>
      </c>
      <c r="AD305" s="872">
        <f t="shared" si="151"/>
        <v>0</v>
      </c>
      <c r="AE305" s="871">
        <f t="shared" si="151"/>
        <v>0</v>
      </c>
      <c r="AF305" s="872">
        <f t="shared" si="151"/>
        <v>0</v>
      </c>
      <c r="AG305" s="872">
        <f t="shared" si="151"/>
        <v>0</v>
      </c>
      <c r="AH305" s="872">
        <f t="shared" si="151"/>
        <v>0</v>
      </c>
      <c r="AI305" s="871">
        <f t="shared" si="151"/>
        <v>0</v>
      </c>
      <c r="AJ305" s="872">
        <f t="shared" si="151"/>
        <v>0</v>
      </c>
      <c r="AK305" s="872">
        <f t="shared" si="151"/>
        <v>0</v>
      </c>
      <c r="AL305" s="872">
        <f t="shared" si="151"/>
        <v>0</v>
      </c>
      <c r="AM305" s="871">
        <f t="shared" si="151"/>
        <v>0</v>
      </c>
      <c r="AN305" s="872">
        <f t="shared" si="151"/>
        <v>0</v>
      </c>
      <c r="AO305" s="872">
        <f t="shared" si="151"/>
        <v>0</v>
      </c>
      <c r="AP305" s="872">
        <f t="shared" si="151"/>
        <v>0</v>
      </c>
      <c r="AQ305" s="871">
        <f t="shared" si="151"/>
        <v>0</v>
      </c>
      <c r="AR305" s="872">
        <f t="shared" si="151"/>
        <v>0</v>
      </c>
      <c r="AS305" s="872">
        <f t="shared" si="151"/>
        <v>0</v>
      </c>
      <c r="AT305" s="872">
        <f t="shared" si="151"/>
        <v>0</v>
      </c>
      <c r="AU305" s="823">
        <f t="shared" si="150"/>
        <v>0</v>
      </c>
    </row>
    <row r="306" spans="1:47" s="77" customFormat="1" ht="18" customHeight="1" outlineLevel="2">
      <c r="A306" s="869">
        <f>'8.项目规划指标表'!B$8</f>
        <v>0</v>
      </c>
      <c r="B306" s="870">
        <f ca="1">'17.财务费用测算表'!G$33</f>
        <v>0</v>
      </c>
      <c r="C306" s="871">
        <f t="shared" ref="C306:AT306" ca="1" si="152">IFERROR($B306/$B50*C50,0)</f>
        <v>0</v>
      </c>
      <c r="D306" s="872">
        <f t="shared" ca="1" si="152"/>
        <v>0</v>
      </c>
      <c r="E306" s="872">
        <f t="shared" ca="1" si="152"/>
        <v>0</v>
      </c>
      <c r="F306" s="872">
        <f t="shared" ca="1" si="152"/>
        <v>0</v>
      </c>
      <c r="G306" s="871">
        <f t="shared" ca="1" si="152"/>
        <v>0</v>
      </c>
      <c r="H306" s="872">
        <f t="shared" ca="1" si="152"/>
        <v>0</v>
      </c>
      <c r="I306" s="872">
        <f t="shared" ca="1" si="152"/>
        <v>0</v>
      </c>
      <c r="J306" s="872">
        <f t="shared" ca="1" si="152"/>
        <v>0</v>
      </c>
      <c r="K306" s="871">
        <f t="shared" ca="1" si="152"/>
        <v>0</v>
      </c>
      <c r="L306" s="872">
        <f t="shared" ca="1" si="152"/>
        <v>0</v>
      </c>
      <c r="M306" s="872">
        <f t="shared" ca="1" si="152"/>
        <v>0</v>
      </c>
      <c r="N306" s="872">
        <f t="shared" ca="1" si="152"/>
        <v>0</v>
      </c>
      <c r="O306" s="871">
        <f t="shared" ca="1" si="152"/>
        <v>0</v>
      </c>
      <c r="P306" s="872">
        <f t="shared" ca="1" si="152"/>
        <v>0</v>
      </c>
      <c r="Q306" s="872">
        <f t="shared" ca="1" si="152"/>
        <v>0</v>
      </c>
      <c r="R306" s="872">
        <f t="shared" ca="1" si="152"/>
        <v>0</v>
      </c>
      <c r="S306" s="871">
        <f t="shared" ca="1" si="152"/>
        <v>0</v>
      </c>
      <c r="T306" s="872">
        <f t="shared" ca="1" si="152"/>
        <v>0</v>
      </c>
      <c r="U306" s="872">
        <f t="shared" ca="1" si="152"/>
        <v>0</v>
      </c>
      <c r="V306" s="872">
        <f t="shared" ca="1" si="152"/>
        <v>0</v>
      </c>
      <c r="W306" s="871">
        <f t="shared" ca="1" si="152"/>
        <v>0</v>
      </c>
      <c r="X306" s="872">
        <f t="shared" ca="1" si="152"/>
        <v>0</v>
      </c>
      <c r="Y306" s="872">
        <f t="shared" ca="1" si="152"/>
        <v>0</v>
      </c>
      <c r="Z306" s="872">
        <f t="shared" ca="1" si="152"/>
        <v>0</v>
      </c>
      <c r="AA306" s="871">
        <f t="shared" ca="1" si="152"/>
        <v>0</v>
      </c>
      <c r="AB306" s="872">
        <f t="shared" ca="1" si="152"/>
        <v>0</v>
      </c>
      <c r="AC306" s="872">
        <f t="shared" ca="1" si="152"/>
        <v>0</v>
      </c>
      <c r="AD306" s="872">
        <f t="shared" ca="1" si="152"/>
        <v>0</v>
      </c>
      <c r="AE306" s="871">
        <f t="shared" ca="1" si="152"/>
        <v>0</v>
      </c>
      <c r="AF306" s="872">
        <f t="shared" ca="1" si="152"/>
        <v>0</v>
      </c>
      <c r="AG306" s="872">
        <f t="shared" ca="1" si="152"/>
        <v>0</v>
      </c>
      <c r="AH306" s="872">
        <f t="shared" ca="1" si="152"/>
        <v>0</v>
      </c>
      <c r="AI306" s="871">
        <f t="shared" ca="1" si="152"/>
        <v>0</v>
      </c>
      <c r="AJ306" s="872">
        <f t="shared" ca="1" si="152"/>
        <v>0</v>
      </c>
      <c r="AK306" s="872">
        <f t="shared" ca="1" si="152"/>
        <v>0</v>
      </c>
      <c r="AL306" s="872">
        <f t="shared" ca="1" si="152"/>
        <v>0</v>
      </c>
      <c r="AM306" s="871">
        <f t="shared" ca="1" si="152"/>
        <v>0</v>
      </c>
      <c r="AN306" s="872">
        <f t="shared" ca="1" si="152"/>
        <v>0</v>
      </c>
      <c r="AO306" s="872">
        <f t="shared" ca="1" si="152"/>
        <v>0</v>
      </c>
      <c r="AP306" s="872">
        <f t="shared" ca="1" si="152"/>
        <v>0</v>
      </c>
      <c r="AQ306" s="871">
        <f t="shared" ca="1" si="152"/>
        <v>0</v>
      </c>
      <c r="AR306" s="872">
        <f t="shared" ca="1" si="152"/>
        <v>0</v>
      </c>
      <c r="AS306" s="872">
        <f t="shared" ca="1" si="152"/>
        <v>0</v>
      </c>
      <c r="AT306" s="872">
        <f t="shared" ca="1" si="152"/>
        <v>0</v>
      </c>
      <c r="AU306" s="823">
        <f t="shared" ca="1" si="150"/>
        <v>0</v>
      </c>
    </row>
    <row r="307" spans="1:47" s="77" customFormat="1" ht="18" customHeight="1" outlineLevel="2">
      <c r="A307" s="869">
        <f>'8.项目规划指标表'!B$9</f>
        <v>0</v>
      </c>
      <c r="B307" s="870">
        <f ca="1">'17.财务费用测算表'!H$33</f>
        <v>0</v>
      </c>
      <c r="C307" s="871">
        <f t="shared" ref="C307:AT307" ca="1" si="153">IFERROR($B307/$B51*C51,0)</f>
        <v>0</v>
      </c>
      <c r="D307" s="872">
        <f t="shared" ca="1" si="153"/>
        <v>0</v>
      </c>
      <c r="E307" s="872">
        <f t="shared" ca="1" si="153"/>
        <v>0</v>
      </c>
      <c r="F307" s="872">
        <f t="shared" ca="1" si="153"/>
        <v>0</v>
      </c>
      <c r="G307" s="871">
        <f t="shared" ca="1" si="153"/>
        <v>0</v>
      </c>
      <c r="H307" s="872">
        <f t="shared" ca="1" si="153"/>
        <v>0</v>
      </c>
      <c r="I307" s="872">
        <f t="shared" ca="1" si="153"/>
        <v>0</v>
      </c>
      <c r="J307" s="872">
        <f t="shared" ca="1" si="153"/>
        <v>0</v>
      </c>
      <c r="K307" s="871">
        <f t="shared" ca="1" si="153"/>
        <v>0</v>
      </c>
      <c r="L307" s="872">
        <f t="shared" ca="1" si="153"/>
        <v>0</v>
      </c>
      <c r="M307" s="872">
        <f t="shared" ca="1" si="153"/>
        <v>0</v>
      </c>
      <c r="N307" s="872">
        <f t="shared" ca="1" si="153"/>
        <v>0</v>
      </c>
      <c r="O307" s="871">
        <f t="shared" ca="1" si="153"/>
        <v>0</v>
      </c>
      <c r="P307" s="872">
        <f t="shared" ca="1" si="153"/>
        <v>0</v>
      </c>
      <c r="Q307" s="872">
        <f t="shared" ca="1" si="153"/>
        <v>0</v>
      </c>
      <c r="R307" s="872">
        <f t="shared" ca="1" si="153"/>
        <v>0</v>
      </c>
      <c r="S307" s="871">
        <f t="shared" ca="1" si="153"/>
        <v>0</v>
      </c>
      <c r="T307" s="872">
        <f t="shared" ca="1" si="153"/>
        <v>0</v>
      </c>
      <c r="U307" s="872">
        <f t="shared" ca="1" si="153"/>
        <v>0</v>
      </c>
      <c r="V307" s="872">
        <f t="shared" ca="1" si="153"/>
        <v>0</v>
      </c>
      <c r="W307" s="871">
        <f t="shared" ca="1" si="153"/>
        <v>0</v>
      </c>
      <c r="X307" s="872">
        <f t="shared" ca="1" si="153"/>
        <v>0</v>
      </c>
      <c r="Y307" s="872">
        <f t="shared" ca="1" si="153"/>
        <v>0</v>
      </c>
      <c r="Z307" s="872">
        <f t="shared" ca="1" si="153"/>
        <v>0</v>
      </c>
      <c r="AA307" s="871">
        <f t="shared" ca="1" si="153"/>
        <v>0</v>
      </c>
      <c r="AB307" s="872">
        <f t="shared" ca="1" si="153"/>
        <v>0</v>
      </c>
      <c r="AC307" s="872">
        <f t="shared" ca="1" si="153"/>
        <v>0</v>
      </c>
      <c r="AD307" s="872">
        <f t="shared" ca="1" si="153"/>
        <v>0</v>
      </c>
      <c r="AE307" s="871">
        <f t="shared" ca="1" si="153"/>
        <v>0</v>
      </c>
      <c r="AF307" s="872">
        <f t="shared" ca="1" si="153"/>
        <v>0</v>
      </c>
      <c r="AG307" s="872">
        <f t="shared" ca="1" si="153"/>
        <v>0</v>
      </c>
      <c r="AH307" s="872">
        <f t="shared" ca="1" si="153"/>
        <v>0</v>
      </c>
      <c r="AI307" s="871">
        <f t="shared" ca="1" si="153"/>
        <v>0</v>
      </c>
      <c r="AJ307" s="872">
        <f t="shared" ca="1" si="153"/>
        <v>0</v>
      </c>
      <c r="AK307" s="872">
        <f t="shared" ca="1" si="153"/>
        <v>0</v>
      </c>
      <c r="AL307" s="872">
        <f t="shared" ca="1" si="153"/>
        <v>0</v>
      </c>
      <c r="AM307" s="871">
        <f t="shared" ca="1" si="153"/>
        <v>0</v>
      </c>
      <c r="AN307" s="872">
        <f t="shared" ca="1" si="153"/>
        <v>0</v>
      </c>
      <c r="AO307" s="872">
        <f t="shared" ca="1" si="153"/>
        <v>0</v>
      </c>
      <c r="AP307" s="872">
        <f t="shared" ca="1" si="153"/>
        <v>0</v>
      </c>
      <c r="AQ307" s="871">
        <f t="shared" ca="1" si="153"/>
        <v>0</v>
      </c>
      <c r="AR307" s="872">
        <f t="shared" ca="1" si="153"/>
        <v>0</v>
      </c>
      <c r="AS307" s="872">
        <f t="shared" ca="1" si="153"/>
        <v>0</v>
      </c>
      <c r="AT307" s="872">
        <f t="shared" ca="1" si="153"/>
        <v>0</v>
      </c>
      <c r="AU307" s="823">
        <f t="shared" ca="1" si="150"/>
        <v>0</v>
      </c>
    </row>
    <row r="308" spans="1:47" s="77" customFormat="1" ht="18" customHeight="1" outlineLevel="2">
      <c r="A308" s="869">
        <f>'8.项目规划指标表'!B$10</f>
        <v>0</v>
      </c>
      <c r="B308" s="870">
        <f ca="1">'17.财务费用测算表'!I$33</f>
        <v>0</v>
      </c>
      <c r="C308" s="871">
        <f t="shared" ref="C308:AT308" ca="1" si="154">IFERROR($B308/$B52*C52,0)</f>
        <v>0</v>
      </c>
      <c r="D308" s="872">
        <f t="shared" ca="1" si="154"/>
        <v>0</v>
      </c>
      <c r="E308" s="872">
        <f t="shared" ca="1" si="154"/>
        <v>0</v>
      </c>
      <c r="F308" s="872">
        <f t="shared" ca="1" si="154"/>
        <v>0</v>
      </c>
      <c r="G308" s="871">
        <f t="shared" ca="1" si="154"/>
        <v>0</v>
      </c>
      <c r="H308" s="872">
        <f t="shared" ca="1" si="154"/>
        <v>0</v>
      </c>
      <c r="I308" s="872">
        <f t="shared" ca="1" si="154"/>
        <v>0</v>
      </c>
      <c r="J308" s="872">
        <f t="shared" ca="1" si="154"/>
        <v>0</v>
      </c>
      <c r="K308" s="871">
        <f t="shared" ca="1" si="154"/>
        <v>0</v>
      </c>
      <c r="L308" s="872">
        <f t="shared" ca="1" si="154"/>
        <v>0</v>
      </c>
      <c r="M308" s="872">
        <f t="shared" ca="1" si="154"/>
        <v>0</v>
      </c>
      <c r="N308" s="872">
        <f t="shared" ca="1" si="154"/>
        <v>0</v>
      </c>
      <c r="O308" s="871">
        <f t="shared" ca="1" si="154"/>
        <v>0</v>
      </c>
      <c r="P308" s="872">
        <f t="shared" ca="1" si="154"/>
        <v>0</v>
      </c>
      <c r="Q308" s="872">
        <f t="shared" ca="1" si="154"/>
        <v>0</v>
      </c>
      <c r="R308" s="872">
        <f t="shared" ca="1" si="154"/>
        <v>0</v>
      </c>
      <c r="S308" s="871">
        <f t="shared" ca="1" si="154"/>
        <v>0</v>
      </c>
      <c r="T308" s="872">
        <f t="shared" ca="1" si="154"/>
        <v>0</v>
      </c>
      <c r="U308" s="872">
        <f t="shared" ca="1" si="154"/>
        <v>0</v>
      </c>
      <c r="V308" s="872">
        <f t="shared" ca="1" si="154"/>
        <v>0</v>
      </c>
      <c r="W308" s="871">
        <f t="shared" ca="1" si="154"/>
        <v>0</v>
      </c>
      <c r="X308" s="872">
        <f t="shared" ca="1" si="154"/>
        <v>0</v>
      </c>
      <c r="Y308" s="872">
        <f t="shared" ca="1" si="154"/>
        <v>0</v>
      </c>
      <c r="Z308" s="872">
        <f t="shared" ca="1" si="154"/>
        <v>0</v>
      </c>
      <c r="AA308" s="871">
        <f t="shared" ca="1" si="154"/>
        <v>0</v>
      </c>
      <c r="AB308" s="872">
        <f t="shared" ca="1" si="154"/>
        <v>0</v>
      </c>
      <c r="AC308" s="872">
        <f t="shared" ca="1" si="154"/>
        <v>0</v>
      </c>
      <c r="AD308" s="872">
        <f t="shared" ca="1" si="154"/>
        <v>0</v>
      </c>
      <c r="AE308" s="871">
        <f t="shared" ca="1" si="154"/>
        <v>0</v>
      </c>
      <c r="AF308" s="872">
        <f t="shared" ca="1" si="154"/>
        <v>0</v>
      </c>
      <c r="AG308" s="872">
        <f t="shared" ca="1" si="154"/>
        <v>0</v>
      </c>
      <c r="AH308" s="872">
        <f t="shared" ca="1" si="154"/>
        <v>0</v>
      </c>
      <c r="AI308" s="871">
        <f t="shared" ca="1" si="154"/>
        <v>0</v>
      </c>
      <c r="AJ308" s="872">
        <f t="shared" ca="1" si="154"/>
        <v>0</v>
      </c>
      <c r="AK308" s="872">
        <f t="shared" ca="1" si="154"/>
        <v>0</v>
      </c>
      <c r="AL308" s="872">
        <f t="shared" ca="1" si="154"/>
        <v>0</v>
      </c>
      <c r="AM308" s="871">
        <f t="shared" ca="1" si="154"/>
        <v>0</v>
      </c>
      <c r="AN308" s="872">
        <f t="shared" ca="1" si="154"/>
        <v>0</v>
      </c>
      <c r="AO308" s="872">
        <f t="shared" ca="1" si="154"/>
        <v>0</v>
      </c>
      <c r="AP308" s="872">
        <f t="shared" ca="1" si="154"/>
        <v>0</v>
      </c>
      <c r="AQ308" s="871">
        <f t="shared" ca="1" si="154"/>
        <v>0</v>
      </c>
      <c r="AR308" s="872">
        <f t="shared" ca="1" si="154"/>
        <v>0</v>
      </c>
      <c r="AS308" s="872">
        <f t="shared" ca="1" si="154"/>
        <v>0</v>
      </c>
      <c r="AT308" s="872">
        <f t="shared" ca="1" si="154"/>
        <v>0</v>
      </c>
      <c r="AU308" s="823">
        <f t="shared" ca="1" si="150"/>
        <v>0</v>
      </c>
    </row>
    <row r="309" spans="1:47" s="77" customFormat="1" ht="18" customHeight="1" outlineLevel="2">
      <c r="A309" s="869">
        <f>'8.项目规划指标表'!B$11</f>
        <v>0</v>
      </c>
      <c r="B309" s="870">
        <f ca="1">'17.财务费用测算表'!J$33</f>
        <v>0</v>
      </c>
      <c r="C309" s="871">
        <f t="shared" ref="C309:AT309" ca="1" si="155">IFERROR($B309/$B53*C53,0)</f>
        <v>0</v>
      </c>
      <c r="D309" s="872">
        <f t="shared" ca="1" si="155"/>
        <v>0</v>
      </c>
      <c r="E309" s="872">
        <f t="shared" ca="1" si="155"/>
        <v>0</v>
      </c>
      <c r="F309" s="872">
        <f t="shared" ca="1" si="155"/>
        <v>0</v>
      </c>
      <c r="G309" s="871">
        <f t="shared" ca="1" si="155"/>
        <v>0</v>
      </c>
      <c r="H309" s="872">
        <f t="shared" ca="1" si="155"/>
        <v>0</v>
      </c>
      <c r="I309" s="872">
        <f t="shared" ca="1" si="155"/>
        <v>0</v>
      </c>
      <c r="J309" s="872">
        <f t="shared" ca="1" si="155"/>
        <v>0</v>
      </c>
      <c r="K309" s="871">
        <f t="shared" ca="1" si="155"/>
        <v>0</v>
      </c>
      <c r="L309" s="872">
        <f t="shared" ca="1" si="155"/>
        <v>0</v>
      </c>
      <c r="M309" s="872">
        <f t="shared" ca="1" si="155"/>
        <v>0</v>
      </c>
      <c r="N309" s="872">
        <f t="shared" ca="1" si="155"/>
        <v>0</v>
      </c>
      <c r="O309" s="871">
        <f t="shared" ca="1" si="155"/>
        <v>0</v>
      </c>
      <c r="P309" s="872">
        <f t="shared" ca="1" si="155"/>
        <v>0</v>
      </c>
      <c r="Q309" s="872">
        <f t="shared" ca="1" si="155"/>
        <v>0</v>
      </c>
      <c r="R309" s="872">
        <f t="shared" ca="1" si="155"/>
        <v>0</v>
      </c>
      <c r="S309" s="871">
        <f t="shared" ca="1" si="155"/>
        <v>0</v>
      </c>
      <c r="T309" s="872">
        <f t="shared" ca="1" si="155"/>
        <v>0</v>
      </c>
      <c r="U309" s="872">
        <f t="shared" ca="1" si="155"/>
        <v>0</v>
      </c>
      <c r="V309" s="872">
        <f t="shared" ca="1" si="155"/>
        <v>0</v>
      </c>
      <c r="W309" s="871">
        <f t="shared" ca="1" si="155"/>
        <v>0</v>
      </c>
      <c r="X309" s="872">
        <f t="shared" ca="1" si="155"/>
        <v>0</v>
      </c>
      <c r="Y309" s="872">
        <f t="shared" ca="1" si="155"/>
        <v>0</v>
      </c>
      <c r="Z309" s="872">
        <f t="shared" ca="1" si="155"/>
        <v>0</v>
      </c>
      <c r="AA309" s="871">
        <f t="shared" ca="1" si="155"/>
        <v>0</v>
      </c>
      <c r="AB309" s="872">
        <f t="shared" ca="1" si="155"/>
        <v>0</v>
      </c>
      <c r="AC309" s="872">
        <f t="shared" ca="1" si="155"/>
        <v>0</v>
      </c>
      <c r="AD309" s="872">
        <f t="shared" ca="1" si="155"/>
        <v>0</v>
      </c>
      <c r="AE309" s="871">
        <f t="shared" ca="1" si="155"/>
        <v>0</v>
      </c>
      <c r="AF309" s="872">
        <f t="shared" ca="1" si="155"/>
        <v>0</v>
      </c>
      <c r="AG309" s="872">
        <f t="shared" ca="1" si="155"/>
        <v>0</v>
      </c>
      <c r="AH309" s="872">
        <f t="shared" ca="1" si="155"/>
        <v>0</v>
      </c>
      <c r="AI309" s="871">
        <f t="shared" ca="1" si="155"/>
        <v>0</v>
      </c>
      <c r="AJ309" s="872">
        <f t="shared" ca="1" si="155"/>
        <v>0</v>
      </c>
      <c r="AK309" s="872">
        <f t="shared" ca="1" si="155"/>
        <v>0</v>
      </c>
      <c r="AL309" s="872">
        <f t="shared" ca="1" si="155"/>
        <v>0</v>
      </c>
      <c r="AM309" s="871">
        <f t="shared" ca="1" si="155"/>
        <v>0</v>
      </c>
      <c r="AN309" s="872">
        <f t="shared" ca="1" si="155"/>
        <v>0</v>
      </c>
      <c r="AO309" s="872">
        <f t="shared" ca="1" si="155"/>
        <v>0</v>
      </c>
      <c r="AP309" s="872">
        <f t="shared" ca="1" si="155"/>
        <v>0</v>
      </c>
      <c r="AQ309" s="871">
        <f t="shared" ca="1" si="155"/>
        <v>0</v>
      </c>
      <c r="AR309" s="872">
        <f t="shared" ca="1" si="155"/>
        <v>0</v>
      </c>
      <c r="AS309" s="872">
        <f t="shared" ca="1" si="155"/>
        <v>0</v>
      </c>
      <c r="AT309" s="872">
        <f t="shared" ca="1" si="155"/>
        <v>0</v>
      </c>
      <c r="AU309" s="823">
        <f t="shared" ca="1" si="150"/>
        <v>0</v>
      </c>
    </row>
    <row r="310" spans="1:47" s="77" customFormat="1" ht="18" customHeight="1" outlineLevel="2">
      <c r="A310" s="869">
        <f>'8.项目规划指标表'!B$12</f>
        <v>0</v>
      </c>
      <c r="B310" s="870">
        <f ca="1">'17.财务费用测算表'!K$33</f>
        <v>0</v>
      </c>
      <c r="C310" s="871">
        <f t="shared" ref="C310:AT310" ca="1" si="156">IFERROR($B310/$B54*C54,0)</f>
        <v>0</v>
      </c>
      <c r="D310" s="872">
        <f t="shared" ca="1" si="156"/>
        <v>0</v>
      </c>
      <c r="E310" s="872">
        <f t="shared" ca="1" si="156"/>
        <v>0</v>
      </c>
      <c r="F310" s="872">
        <f t="shared" ca="1" si="156"/>
        <v>0</v>
      </c>
      <c r="G310" s="871">
        <f t="shared" ca="1" si="156"/>
        <v>0</v>
      </c>
      <c r="H310" s="872">
        <f t="shared" ca="1" si="156"/>
        <v>0</v>
      </c>
      <c r="I310" s="872">
        <f t="shared" ca="1" si="156"/>
        <v>0</v>
      </c>
      <c r="J310" s="872">
        <f t="shared" ca="1" si="156"/>
        <v>0</v>
      </c>
      <c r="K310" s="871">
        <f t="shared" ca="1" si="156"/>
        <v>0</v>
      </c>
      <c r="L310" s="872">
        <f t="shared" ca="1" si="156"/>
        <v>0</v>
      </c>
      <c r="M310" s="872">
        <f t="shared" ca="1" si="156"/>
        <v>0</v>
      </c>
      <c r="N310" s="872">
        <f t="shared" ca="1" si="156"/>
        <v>0</v>
      </c>
      <c r="O310" s="871">
        <f t="shared" ca="1" si="156"/>
        <v>0</v>
      </c>
      <c r="P310" s="872">
        <f t="shared" ca="1" si="156"/>
        <v>0</v>
      </c>
      <c r="Q310" s="872">
        <f t="shared" ca="1" si="156"/>
        <v>0</v>
      </c>
      <c r="R310" s="872">
        <f t="shared" ca="1" si="156"/>
        <v>0</v>
      </c>
      <c r="S310" s="871">
        <f t="shared" ca="1" si="156"/>
        <v>0</v>
      </c>
      <c r="T310" s="872">
        <f t="shared" ca="1" si="156"/>
        <v>0</v>
      </c>
      <c r="U310" s="872">
        <f t="shared" ca="1" si="156"/>
        <v>0</v>
      </c>
      <c r="V310" s="872">
        <f t="shared" ca="1" si="156"/>
        <v>0</v>
      </c>
      <c r="W310" s="871">
        <f t="shared" ca="1" si="156"/>
        <v>0</v>
      </c>
      <c r="X310" s="872">
        <f t="shared" ca="1" si="156"/>
        <v>0</v>
      </c>
      <c r="Y310" s="872">
        <f t="shared" ca="1" si="156"/>
        <v>0</v>
      </c>
      <c r="Z310" s="872">
        <f t="shared" ca="1" si="156"/>
        <v>0</v>
      </c>
      <c r="AA310" s="871">
        <f t="shared" ca="1" si="156"/>
        <v>0</v>
      </c>
      <c r="AB310" s="872">
        <f t="shared" ca="1" si="156"/>
        <v>0</v>
      </c>
      <c r="AC310" s="872">
        <f t="shared" ca="1" si="156"/>
        <v>0</v>
      </c>
      <c r="AD310" s="872">
        <f t="shared" ca="1" si="156"/>
        <v>0</v>
      </c>
      <c r="AE310" s="871">
        <f t="shared" ca="1" si="156"/>
        <v>0</v>
      </c>
      <c r="AF310" s="872">
        <f t="shared" ca="1" si="156"/>
        <v>0</v>
      </c>
      <c r="AG310" s="872">
        <f t="shared" ca="1" si="156"/>
        <v>0</v>
      </c>
      <c r="AH310" s="872">
        <f t="shared" ca="1" si="156"/>
        <v>0</v>
      </c>
      <c r="AI310" s="871">
        <f t="shared" ca="1" si="156"/>
        <v>0</v>
      </c>
      <c r="AJ310" s="872">
        <f t="shared" ca="1" si="156"/>
        <v>0</v>
      </c>
      <c r="AK310" s="872">
        <f t="shared" ca="1" si="156"/>
        <v>0</v>
      </c>
      <c r="AL310" s="872">
        <f t="shared" ca="1" si="156"/>
        <v>0</v>
      </c>
      <c r="AM310" s="871">
        <f t="shared" ca="1" si="156"/>
        <v>0</v>
      </c>
      <c r="AN310" s="872">
        <f t="shared" ca="1" si="156"/>
        <v>0</v>
      </c>
      <c r="AO310" s="872">
        <f t="shared" ca="1" si="156"/>
        <v>0</v>
      </c>
      <c r="AP310" s="872">
        <f t="shared" ca="1" si="156"/>
        <v>0</v>
      </c>
      <c r="AQ310" s="871">
        <f t="shared" ca="1" si="156"/>
        <v>0</v>
      </c>
      <c r="AR310" s="872">
        <f t="shared" ca="1" si="156"/>
        <v>0</v>
      </c>
      <c r="AS310" s="872">
        <f t="shared" ca="1" si="156"/>
        <v>0</v>
      </c>
      <c r="AT310" s="872">
        <f t="shared" ca="1" si="156"/>
        <v>0</v>
      </c>
      <c r="AU310" s="823">
        <f t="shared" ca="1" si="150"/>
        <v>0</v>
      </c>
    </row>
    <row r="311" spans="1:47" s="77" customFormat="1" ht="18" customHeight="1" outlineLevel="2">
      <c r="A311" s="869">
        <f>'8.项目规划指标表'!B$13</f>
        <v>0</v>
      </c>
      <c r="B311" s="870">
        <f ca="1">'17.财务费用测算表'!L$33</f>
        <v>0</v>
      </c>
      <c r="C311" s="871">
        <f t="shared" ref="C311:AT311" ca="1" si="157">IFERROR($B311/$B55*C55,0)</f>
        <v>0</v>
      </c>
      <c r="D311" s="872">
        <f t="shared" ca="1" si="157"/>
        <v>0</v>
      </c>
      <c r="E311" s="872">
        <f t="shared" ca="1" si="157"/>
        <v>0</v>
      </c>
      <c r="F311" s="872">
        <f t="shared" ca="1" si="157"/>
        <v>0</v>
      </c>
      <c r="G311" s="871">
        <f t="shared" ca="1" si="157"/>
        <v>0</v>
      </c>
      <c r="H311" s="872">
        <f t="shared" ca="1" si="157"/>
        <v>0</v>
      </c>
      <c r="I311" s="872">
        <f t="shared" ca="1" si="157"/>
        <v>0</v>
      </c>
      <c r="J311" s="872">
        <f t="shared" ca="1" si="157"/>
        <v>0</v>
      </c>
      <c r="K311" s="871">
        <f t="shared" ca="1" si="157"/>
        <v>0</v>
      </c>
      <c r="L311" s="872">
        <f t="shared" ca="1" si="157"/>
        <v>0</v>
      </c>
      <c r="M311" s="872">
        <f t="shared" ca="1" si="157"/>
        <v>0</v>
      </c>
      <c r="N311" s="872">
        <f t="shared" ca="1" si="157"/>
        <v>0</v>
      </c>
      <c r="O311" s="871">
        <f t="shared" ca="1" si="157"/>
        <v>0</v>
      </c>
      <c r="P311" s="872">
        <f t="shared" ca="1" si="157"/>
        <v>0</v>
      </c>
      <c r="Q311" s="872">
        <f t="shared" ca="1" si="157"/>
        <v>0</v>
      </c>
      <c r="R311" s="872">
        <f t="shared" ca="1" si="157"/>
        <v>0</v>
      </c>
      <c r="S311" s="871">
        <f t="shared" ca="1" si="157"/>
        <v>0</v>
      </c>
      <c r="T311" s="872">
        <f t="shared" ca="1" si="157"/>
        <v>0</v>
      </c>
      <c r="U311" s="872">
        <f t="shared" ca="1" si="157"/>
        <v>0</v>
      </c>
      <c r="V311" s="872">
        <f t="shared" ca="1" si="157"/>
        <v>0</v>
      </c>
      <c r="W311" s="871">
        <f t="shared" ca="1" si="157"/>
        <v>0</v>
      </c>
      <c r="X311" s="872">
        <f t="shared" ca="1" si="157"/>
        <v>0</v>
      </c>
      <c r="Y311" s="872">
        <f t="shared" ca="1" si="157"/>
        <v>0</v>
      </c>
      <c r="Z311" s="872">
        <f t="shared" ca="1" si="157"/>
        <v>0</v>
      </c>
      <c r="AA311" s="871">
        <f t="shared" ca="1" si="157"/>
        <v>0</v>
      </c>
      <c r="AB311" s="872">
        <f t="shared" ca="1" si="157"/>
        <v>0</v>
      </c>
      <c r="AC311" s="872">
        <f t="shared" ca="1" si="157"/>
        <v>0</v>
      </c>
      <c r="AD311" s="872">
        <f t="shared" ca="1" si="157"/>
        <v>0</v>
      </c>
      <c r="AE311" s="871">
        <f t="shared" ca="1" si="157"/>
        <v>0</v>
      </c>
      <c r="AF311" s="872">
        <f t="shared" ca="1" si="157"/>
        <v>0</v>
      </c>
      <c r="AG311" s="872">
        <f t="shared" ca="1" si="157"/>
        <v>0</v>
      </c>
      <c r="AH311" s="872">
        <f t="shared" ca="1" si="157"/>
        <v>0</v>
      </c>
      <c r="AI311" s="871">
        <f t="shared" ca="1" si="157"/>
        <v>0</v>
      </c>
      <c r="AJ311" s="872">
        <f t="shared" ca="1" si="157"/>
        <v>0</v>
      </c>
      <c r="AK311" s="872">
        <f t="shared" ca="1" si="157"/>
        <v>0</v>
      </c>
      <c r="AL311" s="872">
        <f t="shared" ca="1" si="157"/>
        <v>0</v>
      </c>
      <c r="AM311" s="871">
        <f t="shared" ca="1" si="157"/>
        <v>0</v>
      </c>
      <c r="AN311" s="872">
        <f t="shared" ca="1" si="157"/>
        <v>0</v>
      </c>
      <c r="AO311" s="872">
        <f t="shared" ca="1" si="157"/>
        <v>0</v>
      </c>
      <c r="AP311" s="872">
        <f t="shared" ca="1" si="157"/>
        <v>0</v>
      </c>
      <c r="AQ311" s="871">
        <f t="shared" ca="1" si="157"/>
        <v>0</v>
      </c>
      <c r="AR311" s="872">
        <f t="shared" ca="1" si="157"/>
        <v>0</v>
      </c>
      <c r="AS311" s="872">
        <f t="shared" ca="1" si="157"/>
        <v>0</v>
      </c>
      <c r="AT311" s="872">
        <f t="shared" ca="1" si="157"/>
        <v>0</v>
      </c>
      <c r="AU311" s="823">
        <f t="shared" ca="1" si="150"/>
        <v>0</v>
      </c>
    </row>
    <row r="312" spans="1:47" s="77" customFormat="1" ht="18" customHeight="1" outlineLevel="2">
      <c r="A312" s="869" t="str">
        <f>'8.项目规划指标表'!B$14</f>
        <v>自持物业</v>
      </c>
      <c r="B312" s="870"/>
      <c r="C312" s="871"/>
      <c r="D312" s="872"/>
      <c r="E312" s="872"/>
      <c r="F312" s="872"/>
      <c r="G312" s="871"/>
      <c r="H312" s="872"/>
      <c r="I312" s="872"/>
      <c r="J312" s="872"/>
      <c r="K312" s="871"/>
      <c r="L312" s="872"/>
      <c r="M312" s="872"/>
      <c r="N312" s="872"/>
      <c r="O312" s="871"/>
      <c r="P312" s="872"/>
      <c r="Q312" s="872"/>
      <c r="R312" s="872"/>
      <c r="S312" s="871"/>
      <c r="T312" s="872"/>
      <c r="U312" s="872"/>
      <c r="V312" s="872"/>
      <c r="W312" s="871"/>
      <c r="X312" s="872"/>
      <c r="Y312" s="872"/>
      <c r="Z312" s="872"/>
      <c r="AA312" s="871"/>
      <c r="AB312" s="872"/>
      <c r="AC312" s="872"/>
      <c r="AD312" s="872"/>
      <c r="AE312" s="871"/>
      <c r="AF312" s="872"/>
      <c r="AG312" s="872"/>
      <c r="AH312" s="872"/>
      <c r="AI312" s="871"/>
      <c r="AJ312" s="872"/>
      <c r="AK312" s="872"/>
      <c r="AL312" s="872"/>
      <c r="AM312" s="871"/>
      <c r="AN312" s="872"/>
      <c r="AO312" s="872"/>
      <c r="AP312" s="872"/>
      <c r="AQ312" s="871"/>
      <c r="AR312" s="872"/>
      <c r="AS312" s="872"/>
      <c r="AT312" s="872"/>
      <c r="AU312" s="823">
        <f t="shared" si="150"/>
        <v>0</v>
      </c>
    </row>
    <row r="313" spans="1:47" s="77" customFormat="1" ht="18" customHeight="1" outlineLevel="2">
      <c r="A313" s="869" t="str">
        <f>'8.项目规划指标表'!B$18</f>
        <v>有产权车库(个)</v>
      </c>
      <c r="B313" s="870">
        <f ca="1">'17.财务费用测算表'!N$33</f>
        <v>0</v>
      </c>
      <c r="C313" s="871">
        <f t="shared" ref="C313:AT313" ca="1" si="158">IFERROR($B313/$B57*C57,0)</f>
        <v>0</v>
      </c>
      <c r="D313" s="872">
        <f t="shared" ca="1" si="158"/>
        <v>0</v>
      </c>
      <c r="E313" s="872">
        <f t="shared" ca="1" si="158"/>
        <v>0</v>
      </c>
      <c r="F313" s="872">
        <f t="shared" ca="1" si="158"/>
        <v>0</v>
      </c>
      <c r="G313" s="871">
        <f t="shared" ca="1" si="158"/>
        <v>0</v>
      </c>
      <c r="H313" s="872">
        <f t="shared" ca="1" si="158"/>
        <v>0</v>
      </c>
      <c r="I313" s="872">
        <f t="shared" ca="1" si="158"/>
        <v>0</v>
      </c>
      <c r="J313" s="872">
        <f t="shared" ca="1" si="158"/>
        <v>0</v>
      </c>
      <c r="K313" s="871">
        <f t="shared" ca="1" si="158"/>
        <v>0</v>
      </c>
      <c r="L313" s="872">
        <f t="shared" ca="1" si="158"/>
        <v>0</v>
      </c>
      <c r="M313" s="872">
        <f t="shared" ca="1" si="158"/>
        <v>0</v>
      </c>
      <c r="N313" s="872">
        <f t="shared" ca="1" si="158"/>
        <v>0</v>
      </c>
      <c r="O313" s="871">
        <f t="shared" ca="1" si="158"/>
        <v>0</v>
      </c>
      <c r="P313" s="872">
        <f t="shared" ca="1" si="158"/>
        <v>0</v>
      </c>
      <c r="Q313" s="872">
        <f t="shared" ca="1" si="158"/>
        <v>0</v>
      </c>
      <c r="R313" s="872">
        <f t="shared" ca="1" si="158"/>
        <v>0</v>
      </c>
      <c r="S313" s="871">
        <f t="shared" ca="1" si="158"/>
        <v>0</v>
      </c>
      <c r="T313" s="872">
        <f t="shared" ca="1" si="158"/>
        <v>0</v>
      </c>
      <c r="U313" s="872">
        <f t="shared" ca="1" si="158"/>
        <v>0</v>
      </c>
      <c r="V313" s="872">
        <f t="shared" ca="1" si="158"/>
        <v>0</v>
      </c>
      <c r="W313" s="871">
        <f t="shared" ca="1" si="158"/>
        <v>0</v>
      </c>
      <c r="X313" s="872">
        <f t="shared" ca="1" si="158"/>
        <v>0</v>
      </c>
      <c r="Y313" s="872">
        <f t="shared" ca="1" si="158"/>
        <v>0</v>
      </c>
      <c r="Z313" s="872">
        <f t="shared" ca="1" si="158"/>
        <v>0</v>
      </c>
      <c r="AA313" s="871">
        <f t="shared" ca="1" si="158"/>
        <v>0</v>
      </c>
      <c r="AB313" s="872">
        <f t="shared" ca="1" si="158"/>
        <v>0</v>
      </c>
      <c r="AC313" s="872">
        <f t="shared" ca="1" si="158"/>
        <v>0</v>
      </c>
      <c r="AD313" s="872">
        <f t="shared" ca="1" si="158"/>
        <v>0</v>
      </c>
      <c r="AE313" s="871">
        <f t="shared" ca="1" si="158"/>
        <v>0</v>
      </c>
      <c r="AF313" s="872">
        <f t="shared" ca="1" si="158"/>
        <v>0</v>
      </c>
      <c r="AG313" s="872">
        <f t="shared" ca="1" si="158"/>
        <v>0</v>
      </c>
      <c r="AH313" s="872">
        <f t="shared" ca="1" si="158"/>
        <v>0</v>
      </c>
      <c r="AI313" s="871">
        <f t="shared" ca="1" si="158"/>
        <v>0</v>
      </c>
      <c r="AJ313" s="872">
        <f t="shared" ca="1" si="158"/>
        <v>0</v>
      </c>
      <c r="AK313" s="872">
        <f t="shared" ca="1" si="158"/>
        <v>0</v>
      </c>
      <c r="AL313" s="872">
        <f t="shared" ca="1" si="158"/>
        <v>0</v>
      </c>
      <c r="AM313" s="871">
        <f t="shared" ca="1" si="158"/>
        <v>0</v>
      </c>
      <c r="AN313" s="872">
        <f t="shared" ca="1" si="158"/>
        <v>0</v>
      </c>
      <c r="AO313" s="872">
        <f t="shared" ca="1" si="158"/>
        <v>0</v>
      </c>
      <c r="AP313" s="872">
        <f t="shared" ca="1" si="158"/>
        <v>0</v>
      </c>
      <c r="AQ313" s="871">
        <f t="shared" ca="1" si="158"/>
        <v>0</v>
      </c>
      <c r="AR313" s="872">
        <f t="shared" ca="1" si="158"/>
        <v>0</v>
      </c>
      <c r="AS313" s="872">
        <f t="shared" ca="1" si="158"/>
        <v>0</v>
      </c>
      <c r="AT313" s="872">
        <f t="shared" ca="1" si="158"/>
        <v>0</v>
      </c>
      <c r="AU313" s="823">
        <f t="shared" ca="1" si="150"/>
        <v>0</v>
      </c>
    </row>
    <row r="314" spans="1:47" s="77" customFormat="1" ht="18" customHeight="1" outlineLevel="2">
      <c r="A314" s="869" t="str">
        <f>'8.项目规划指标表'!B$19</f>
        <v>无产权车库(个)</v>
      </c>
      <c r="B314" s="870">
        <f ca="1">'17.财务费用测算表'!O$33</f>
        <v>0</v>
      </c>
      <c r="C314" s="871">
        <f t="shared" ref="C314:AT314" ca="1" si="159">IFERROR($B314/$B58*C58,0)</f>
        <v>0</v>
      </c>
      <c r="D314" s="872">
        <f t="shared" ca="1" si="159"/>
        <v>0</v>
      </c>
      <c r="E314" s="872">
        <f t="shared" ca="1" si="159"/>
        <v>0</v>
      </c>
      <c r="F314" s="872">
        <f t="shared" ca="1" si="159"/>
        <v>0</v>
      </c>
      <c r="G314" s="871">
        <f t="shared" ca="1" si="159"/>
        <v>0</v>
      </c>
      <c r="H314" s="872">
        <f t="shared" ca="1" si="159"/>
        <v>0</v>
      </c>
      <c r="I314" s="872">
        <f t="shared" ca="1" si="159"/>
        <v>0</v>
      </c>
      <c r="J314" s="872">
        <f t="shared" ca="1" si="159"/>
        <v>0</v>
      </c>
      <c r="K314" s="871">
        <f t="shared" ca="1" si="159"/>
        <v>0</v>
      </c>
      <c r="L314" s="872">
        <f t="shared" ca="1" si="159"/>
        <v>0</v>
      </c>
      <c r="M314" s="872">
        <f t="shared" ca="1" si="159"/>
        <v>0</v>
      </c>
      <c r="N314" s="872">
        <f t="shared" ca="1" si="159"/>
        <v>0</v>
      </c>
      <c r="O314" s="871">
        <f t="shared" ca="1" si="159"/>
        <v>0</v>
      </c>
      <c r="P314" s="872">
        <f t="shared" ca="1" si="159"/>
        <v>0</v>
      </c>
      <c r="Q314" s="872">
        <f t="shared" ca="1" si="159"/>
        <v>0</v>
      </c>
      <c r="R314" s="872">
        <f t="shared" ca="1" si="159"/>
        <v>0</v>
      </c>
      <c r="S314" s="871">
        <f t="shared" ca="1" si="159"/>
        <v>0</v>
      </c>
      <c r="T314" s="872">
        <f t="shared" ca="1" si="159"/>
        <v>0</v>
      </c>
      <c r="U314" s="872">
        <f t="shared" ca="1" si="159"/>
        <v>0</v>
      </c>
      <c r="V314" s="872">
        <f t="shared" ca="1" si="159"/>
        <v>0</v>
      </c>
      <c r="W314" s="871">
        <f t="shared" ca="1" si="159"/>
        <v>0</v>
      </c>
      <c r="X314" s="872">
        <f t="shared" ca="1" si="159"/>
        <v>0</v>
      </c>
      <c r="Y314" s="872">
        <f t="shared" ca="1" si="159"/>
        <v>0</v>
      </c>
      <c r="Z314" s="872">
        <f t="shared" ca="1" si="159"/>
        <v>0</v>
      </c>
      <c r="AA314" s="871">
        <f t="shared" ca="1" si="159"/>
        <v>0</v>
      </c>
      <c r="AB314" s="872">
        <f t="shared" ca="1" si="159"/>
        <v>0</v>
      </c>
      <c r="AC314" s="872">
        <f t="shared" ca="1" si="159"/>
        <v>0</v>
      </c>
      <c r="AD314" s="872">
        <f t="shared" ca="1" si="159"/>
        <v>0</v>
      </c>
      <c r="AE314" s="871">
        <f t="shared" ca="1" si="159"/>
        <v>0</v>
      </c>
      <c r="AF314" s="872">
        <f t="shared" ca="1" si="159"/>
        <v>0</v>
      </c>
      <c r="AG314" s="872">
        <f t="shared" ca="1" si="159"/>
        <v>0</v>
      </c>
      <c r="AH314" s="872">
        <f t="shared" ca="1" si="159"/>
        <v>0</v>
      </c>
      <c r="AI314" s="871">
        <f t="shared" ca="1" si="159"/>
        <v>0</v>
      </c>
      <c r="AJ314" s="872">
        <f t="shared" ca="1" si="159"/>
        <v>0</v>
      </c>
      <c r="AK314" s="872">
        <f t="shared" ca="1" si="159"/>
        <v>0</v>
      </c>
      <c r="AL314" s="872">
        <f t="shared" ca="1" si="159"/>
        <v>0</v>
      </c>
      <c r="AM314" s="871">
        <f t="shared" ca="1" si="159"/>
        <v>0</v>
      </c>
      <c r="AN314" s="872">
        <f t="shared" ca="1" si="159"/>
        <v>0</v>
      </c>
      <c r="AO314" s="872">
        <f t="shared" ca="1" si="159"/>
        <v>0</v>
      </c>
      <c r="AP314" s="872">
        <f t="shared" ca="1" si="159"/>
        <v>0</v>
      </c>
      <c r="AQ314" s="871">
        <f t="shared" ca="1" si="159"/>
        <v>0</v>
      </c>
      <c r="AR314" s="872">
        <f t="shared" ca="1" si="159"/>
        <v>0</v>
      </c>
      <c r="AS314" s="872">
        <f t="shared" ca="1" si="159"/>
        <v>0</v>
      </c>
      <c r="AT314" s="872">
        <f t="shared" ca="1" si="159"/>
        <v>0</v>
      </c>
      <c r="AU314" s="823">
        <f t="shared" ca="1" si="150"/>
        <v>0</v>
      </c>
    </row>
    <row r="315" spans="1:47" s="77" customFormat="1" ht="18" customHeight="1" outlineLevel="1">
      <c r="A315" s="865" t="s">
        <v>23</v>
      </c>
      <c r="B315" s="866">
        <f ca="1">SUM(B316:B327)</f>
        <v>0</v>
      </c>
      <c r="C315" s="867">
        <f ca="1">SUM(C316:C327)</f>
        <v>0</v>
      </c>
      <c r="D315" s="868">
        <f t="shared" ref="D315:AT315" ca="1" si="160">SUM(D316:D327)</f>
        <v>0</v>
      </c>
      <c r="E315" s="868">
        <f t="shared" ca="1" si="160"/>
        <v>0</v>
      </c>
      <c r="F315" s="868">
        <f t="shared" ca="1" si="160"/>
        <v>0</v>
      </c>
      <c r="G315" s="867">
        <f t="shared" ca="1" si="160"/>
        <v>0</v>
      </c>
      <c r="H315" s="868">
        <f t="shared" ca="1" si="160"/>
        <v>0</v>
      </c>
      <c r="I315" s="868">
        <f t="shared" ca="1" si="160"/>
        <v>0</v>
      </c>
      <c r="J315" s="868">
        <f t="shared" ca="1" si="160"/>
        <v>0</v>
      </c>
      <c r="K315" s="867">
        <f t="shared" ca="1" si="160"/>
        <v>0</v>
      </c>
      <c r="L315" s="868">
        <f t="shared" ca="1" si="160"/>
        <v>0</v>
      </c>
      <c r="M315" s="868">
        <f t="shared" ca="1" si="160"/>
        <v>0</v>
      </c>
      <c r="N315" s="868">
        <f t="shared" ca="1" si="160"/>
        <v>0</v>
      </c>
      <c r="O315" s="867">
        <f t="shared" ca="1" si="160"/>
        <v>0</v>
      </c>
      <c r="P315" s="868">
        <f t="shared" ca="1" si="160"/>
        <v>0</v>
      </c>
      <c r="Q315" s="868">
        <f t="shared" ca="1" si="160"/>
        <v>0</v>
      </c>
      <c r="R315" s="868">
        <f t="shared" ca="1" si="160"/>
        <v>0</v>
      </c>
      <c r="S315" s="867">
        <f t="shared" ca="1" si="160"/>
        <v>0</v>
      </c>
      <c r="T315" s="868">
        <f t="shared" ca="1" si="160"/>
        <v>0</v>
      </c>
      <c r="U315" s="868">
        <f t="shared" ca="1" si="160"/>
        <v>0</v>
      </c>
      <c r="V315" s="868">
        <f t="shared" ca="1" si="160"/>
        <v>0</v>
      </c>
      <c r="W315" s="867">
        <f t="shared" ca="1" si="160"/>
        <v>0</v>
      </c>
      <c r="X315" s="868">
        <f t="shared" ca="1" si="160"/>
        <v>0</v>
      </c>
      <c r="Y315" s="868">
        <f t="shared" ca="1" si="160"/>
        <v>0</v>
      </c>
      <c r="Z315" s="868">
        <f t="shared" ca="1" si="160"/>
        <v>0</v>
      </c>
      <c r="AA315" s="867">
        <f t="shared" ca="1" si="160"/>
        <v>0</v>
      </c>
      <c r="AB315" s="868">
        <f t="shared" ca="1" si="160"/>
        <v>0</v>
      </c>
      <c r="AC315" s="868">
        <f t="shared" ca="1" si="160"/>
        <v>0</v>
      </c>
      <c r="AD315" s="868">
        <f t="shared" ca="1" si="160"/>
        <v>0</v>
      </c>
      <c r="AE315" s="867">
        <f t="shared" ca="1" si="160"/>
        <v>0</v>
      </c>
      <c r="AF315" s="868">
        <f t="shared" ca="1" si="160"/>
        <v>0</v>
      </c>
      <c r="AG315" s="868">
        <f t="shared" ca="1" si="160"/>
        <v>0</v>
      </c>
      <c r="AH315" s="868">
        <f t="shared" ca="1" si="160"/>
        <v>0</v>
      </c>
      <c r="AI315" s="867">
        <f t="shared" ca="1" si="160"/>
        <v>0</v>
      </c>
      <c r="AJ315" s="868">
        <f t="shared" ca="1" si="160"/>
        <v>0</v>
      </c>
      <c r="AK315" s="868">
        <f t="shared" ca="1" si="160"/>
        <v>0</v>
      </c>
      <c r="AL315" s="868">
        <f t="shared" ca="1" si="160"/>
        <v>0</v>
      </c>
      <c r="AM315" s="867">
        <f t="shared" ca="1" si="160"/>
        <v>0</v>
      </c>
      <c r="AN315" s="868">
        <f t="shared" ca="1" si="160"/>
        <v>0</v>
      </c>
      <c r="AO315" s="868">
        <f t="shared" ca="1" si="160"/>
        <v>0</v>
      </c>
      <c r="AP315" s="868">
        <f t="shared" ca="1" si="160"/>
        <v>0</v>
      </c>
      <c r="AQ315" s="867">
        <f t="shared" ca="1" si="160"/>
        <v>0</v>
      </c>
      <c r="AR315" s="868">
        <f t="shared" ca="1" si="160"/>
        <v>0</v>
      </c>
      <c r="AS315" s="868">
        <f t="shared" ca="1" si="160"/>
        <v>0</v>
      </c>
      <c r="AT315" s="868">
        <f t="shared" ca="1" si="160"/>
        <v>0</v>
      </c>
    </row>
    <row r="316" spans="1:47" s="77" customFormat="1" ht="18" customHeight="1" outlineLevel="2">
      <c r="A316" s="869" t="str">
        <f>'8.项目规划指标表'!B$5</f>
        <v>高层</v>
      </c>
      <c r="B316" s="870">
        <f ca="1">'17.财务费用测算表'!D$34</f>
        <v>0</v>
      </c>
      <c r="C316" s="871">
        <f ca="1">IFERROR($B316/$B60*C60,0)</f>
        <v>0</v>
      </c>
      <c r="D316" s="872">
        <f t="shared" ref="D316:AT316" ca="1" si="161">IFERROR($B316/$B60*D60,0)</f>
        <v>0</v>
      </c>
      <c r="E316" s="872">
        <f t="shared" ca="1" si="161"/>
        <v>0</v>
      </c>
      <c r="F316" s="872">
        <f t="shared" ca="1" si="161"/>
        <v>0</v>
      </c>
      <c r="G316" s="871">
        <f t="shared" ca="1" si="161"/>
        <v>0</v>
      </c>
      <c r="H316" s="872">
        <f t="shared" ca="1" si="161"/>
        <v>0</v>
      </c>
      <c r="I316" s="872">
        <f t="shared" ca="1" si="161"/>
        <v>0</v>
      </c>
      <c r="J316" s="872">
        <f t="shared" ca="1" si="161"/>
        <v>0</v>
      </c>
      <c r="K316" s="871">
        <f t="shared" ca="1" si="161"/>
        <v>0</v>
      </c>
      <c r="L316" s="872">
        <f t="shared" ca="1" si="161"/>
        <v>0</v>
      </c>
      <c r="M316" s="872">
        <f t="shared" ca="1" si="161"/>
        <v>0</v>
      </c>
      <c r="N316" s="872">
        <f t="shared" ca="1" si="161"/>
        <v>0</v>
      </c>
      <c r="O316" s="871">
        <f t="shared" ca="1" si="161"/>
        <v>0</v>
      </c>
      <c r="P316" s="872">
        <f t="shared" ca="1" si="161"/>
        <v>0</v>
      </c>
      <c r="Q316" s="872">
        <f t="shared" ca="1" si="161"/>
        <v>0</v>
      </c>
      <c r="R316" s="872">
        <f t="shared" ca="1" si="161"/>
        <v>0</v>
      </c>
      <c r="S316" s="871">
        <f t="shared" ca="1" si="161"/>
        <v>0</v>
      </c>
      <c r="T316" s="872">
        <f t="shared" ca="1" si="161"/>
        <v>0</v>
      </c>
      <c r="U316" s="872">
        <f t="shared" ca="1" si="161"/>
        <v>0</v>
      </c>
      <c r="V316" s="872">
        <f t="shared" ca="1" si="161"/>
        <v>0</v>
      </c>
      <c r="W316" s="871">
        <f t="shared" ca="1" si="161"/>
        <v>0</v>
      </c>
      <c r="X316" s="872">
        <f t="shared" ca="1" si="161"/>
        <v>0</v>
      </c>
      <c r="Y316" s="872">
        <f t="shared" ca="1" si="161"/>
        <v>0</v>
      </c>
      <c r="Z316" s="872">
        <f t="shared" ca="1" si="161"/>
        <v>0</v>
      </c>
      <c r="AA316" s="871">
        <f t="shared" ca="1" si="161"/>
        <v>0</v>
      </c>
      <c r="AB316" s="872">
        <f t="shared" ca="1" si="161"/>
        <v>0</v>
      </c>
      <c r="AC316" s="872">
        <f t="shared" ca="1" si="161"/>
        <v>0</v>
      </c>
      <c r="AD316" s="872">
        <f t="shared" ca="1" si="161"/>
        <v>0</v>
      </c>
      <c r="AE316" s="871">
        <f t="shared" ca="1" si="161"/>
        <v>0</v>
      </c>
      <c r="AF316" s="872">
        <f t="shared" ca="1" si="161"/>
        <v>0</v>
      </c>
      <c r="AG316" s="872">
        <f t="shared" ca="1" si="161"/>
        <v>0</v>
      </c>
      <c r="AH316" s="872">
        <f t="shared" ca="1" si="161"/>
        <v>0</v>
      </c>
      <c r="AI316" s="871">
        <f t="shared" ca="1" si="161"/>
        <v>0</v>
      </c>
      <c r="AJ316" s="872">
        <f t="shared" ca="1" si="161"/>
        <v>0</v>
      </c>
      <c r="AK316" s="872">
        <f t="shared" ca="1" si="161"/>
        <v>0</v>
      </c>
      <c r="AL316" s="872">
        <f t="shared" ca="1" si="161"/>
        <v>0</v>
      </c>
      <c r="AM316" s="871">
        <f t="shared" ca="1" si="161"/>
        <v>0</v>
      </c>
      <c r="AN316" s="872">
        <f t="shared" ca="1" si="161"/>
        <v>0</v>
      </c>
      <c r="AO316" s="872">
        <f t="shared" ca="1" si="161"/>
        <v>0</v>
      </c>
      <c r="AP316" s="872">
        <f t="shared" ca="1" si="161"/>
        <v>0</v>
      </c>
      <c r="AQ316" s="871">
        <f t="shared" ca="1" si="161"/>
        <v>0</v>
      </c>
      <c r="AR316" s="872">
        <f t="shared" ca="1" si="161"/>
        <v>0</v>
      </c>
      <c r="AS316" s="872">
        <f t="shared" ca="1" si="161"/>
        <v>0</v>
      </c>
      <c r="AT316" s="872">
        <f t="shared" ca="1" si="161"/>
        <v>0</v>
      </c>
      <c r="AU316" s="823">
        <f ca="1">SUM(C316:AT316)-B316</f>
        <v>0</v>
      </c>
    </row>
    <row r="317" spans="1:47" s="77" customFormat="1" ht="18" customHeight="1" outlineLevel="2">
      <c r="A317" s="869" t="str">
        <f>'8.项目规划指标表'!B$6</f>
        <v>商铺</v>
      </c>
      <c r="B317" s="870">
        <f ca="1">'17.财务费用测算表'!E$34</f>
        <v>0</v>
      </c>
      <c r="C317" s="871">
        <f t="shared" ref="C317:AT317" ca="1" si="162">IFERROR($B317/$B61*C61,0)</f>
        <v>0</v>
      </c>
      <c r="D317" s="872">
        <f t="shared" ca="1" si="162"/>
        <v>0</v>
      </c>
      <c r="E317" s="872">
        <f t="shared" ca="1" si="162"/>
        <v>0</v>
      </c>
      <c r="F317" s="872">
        <f t="shared" ca="1" si="162"/>
        <v>0</v>
      </c>
      <c r="G317" s="871">
        <f t="shared" ca="1" si="162"/>
        <v>0</v>
      </c>
      <c r="H317" s="872">
        <f t="shared" ca="1" si="162"/>
        <v>0</v>
      </c>
      <c r="I317" s="872">
        <f t="shared" ca="1" si="162"/>
        <v>0</v>
      </c>
      <c r="J317" s="872">
        <f t="shared" ca="1" si="162"/>
        <v>0</v>
      </c>
      <c r="K317" s="871">
        <f t="shared" ca="1" si="162"/>
        <v>0</v>
      </c>
      <c r="L317" s="872">
        <f t="shared" ca="1" si="162"/>
        <v>0</v>
      </c>
      <c r="M317" s="872">
        <f t="shared" ca="1" si="162"/>
        <v>0</v>
      </c>
      <c r="N317" s="872">
        <f t="shared" ca="1" si="162"/>
        <v>0</v>
      </c>
      <c r="O317" s="871">
        <f t="shared" ca="1" si="162"/>
        <v>0</v>
      </c>
      <c r="P317" s="872">
        <f t="shared" ca="1" si="162"/>
        <v>0</v>
      </c>
      <c r="Q317" s="872">
        <f t="shared" ca="1" si="162"/>
        <v>0</v>
      </c>
      <c r="R317" s="872">
        <f t="shared" ca="1" si="162"/>
        <v>0</v>
      </c>
      <c r="S317" s="871">
        <f t="shared" ca="1" si="162"/>
        <v>0</v>
      </c>
      <c r="T317" s="872">
        <f t="shared" ca="1" si="162"/>
        <v>0</v>
      </c>
      <c r="U317" s="872">
        <f t="shared" ca="1" si="162"/>
        <v>0</v>
      </c>
      <c r="V317" s="872">
        <f t="shared" ca="1" si="162"/>
        <v>0</v>
      </c>
      <c r="W317" s="871">
        <f t="shared" ca="1" si="162"/>
        <v>0</v>
      </c>
      <c r="X317" s="872">
        <f t="shared" ca="1" si="162"/>
        <v>0</v>
      </c>
      <c r="Y317" s="872">
        <f t="shared" ca="1" si="162"/>
        <v>0</v>
      </c>
      <c r="Z317" s="872">
        <f t="shared" ca="1" si="162"/>
        <v>0</v>
      </c>
      <c r="AA317" s="871">
        <f t="shared" ca="1" si="162"/>
        <v>0</v>
      </c>
      <c r="AB317" s="872">
        <f t="shared" ca="1" si="162"/>
        <v>0</v>
      </c>
      <c r="AC317" s="872">
        <f t="shared" ca="1" si="162"/>
        <v>0</v>
      </c>
      <c r="AD317" s="872">
        <f t="shared" ca="1" si="162"/>
        <v>0</v>
      </c>
      <c r="AE317" s="871">
        <f t="shared" ca="1" si="162"/>
        <v>0</v>
      </c>
      <c r="AF317" s="872">
        <f t="shared" ca="1" si="162"/>
        <v>0</v>
      </c>
      <c r="AG317" s="872">
        <f t="shared" ca="1" si="162"/>
        <v>0</v>
      </c>
      <c r="AH317" s="872">
        <f t="shared" ca="1" si="162"/>
        <v>0</v>
      </c>
      <c r="AI317" s="871">
        <f t="shared" ca="1" si="162"/>
        <v>0</v>
      </c>
      <c r="AJ317" s="872">
        <f t="shared" ca="1" si="162"/>
        <v>0</v>
      </c>
      <c r="AK317" s="872">
        <f t="shared" ca="1" si="162"/>
        <v>0</v>
      </c>
      <c r="AL317" s="872">
        <f t="shared" ca="1" si="162"/>
        <v>0</v>
      </c>
      <c r="AM317" s="871">
        <f t="shared" ca="1" si="162"/>
        <v>0</v>
      </c>
      <c r="AN317" s="872">
        <f t="shared" ca="1" si="162"/>
        <v>0</v>
      </c>
      <c r="AO317" s="872">
        <f t="shared" ca="1" si="162"/>
        <v>0</v>
      </c>
      <c r="AP317" s="872">
        <f t="shared" ca="1" si="162"/>
        <v>0</v>
      </c>
      <c r="AQ317" s="871">
        <f t="shared" ca="1" si="162"/>
        <v>0</v>
      </c>
      <c r="AR317" s="872">
        <f t="shared" ca="1" si="162"/>
        <v>0</v>
      </c>
      <c r="AS317" s="872">
        <f t="shared" ca="1" si="162"/>
        <v>0</v>
      </c>
      <c r="AT317" s="872">
        <f t="shared" ca="1" si="162"/>
        <v>0</v>
      </c>
      <c r="AU317" s="823">
        <f t="shared" ref="AU317:AU327" ca="1" si="163">SUM(C317:AT317)-B317</f>
        <v>0</v>
      </c>
    </row>
    <row r="318" spans="1:47" s="77" customFormat="1" ht="18" customHeight="1" outlineLevel="2">
      <c r="A318" s="869" t="str">
        <f>'8.项目规划指标表'!B$7</f>
        <v>回迁商业</v>
      </c>
      <c r="B318" s="870">
        <f>'17.财务费用测算表'!F$34</f>
        <v>0</v>
      </c>
      <c r="C318" s="871">
        <f t="shared" ref="C318:AT318" si="164">IFERROR($B318/$B62*C62,0)</f>
        <v>0</v>
      </c>
      <c r="D318" s="872">
        <f t="shared" si="164"/>
        <v>0</v>
      </c>
      <c r="E318" s="872">
        <f t="shared" si="164"/>
        <v>0</v>
      </c>
      <c r="F318" s="872">
        <f t="shared" si="164"/>
        <v>0</v>
      </c>
      <c r="G318" s="871">
        <f t="shared" si="164"/>
        <v>0</v>
      </c>
      <c r="H318" s="872">
        <f t="shared" si="164"/>
        <v>0</v>
      </c>
      <c r="I318" s="872">
        <f t="shared" si="164"/>
        <v>0</v>
      </c>
      <c r="J318" s="872">
        <f t="shared" si="164"/>
        <v>0</v>
      </c>
      <c r="K318" s="871">
        <f t="shared" si="164"/>
        <v>0</v>
      </c>
      <c r="L318" s="872">
        <f t="shared" si="164"/>
        <v>0</v>
      </c>
      <c r="M318" s="872">
        <f t="shared" si="164"/>
        <v>0</v>
      </c>
      <c r="N318" s="872">
        <f t="shared" si="164"/>
        <v>0</v>
      </c>
      <c r="O318" s="871">
        <f t="shared" si="164"/>
        <v>0</v>
      </c>
      <c r="P318" s="872">
        <f t="shared" si="164"/>
        <v>0</v>
      </c>
      <c r="Q318" s="872">
        <f t="shared" si="164"/>
        <v>0</v>
      </c>
      <c r="R318" s="872">
        <f t="shared" si="164"/>
        <v>0</v>
      </c>
      <c r="S318" s="871">
        <f t="shared" si="164"/>
        <v>0</v>
      </c>
      <c r="T318" s="872">
        <f t="shared" si="164"/>
        <v>0</v>
      </c>
      <c r="U318" s="872">
        <f t="shared" si="164"/>
        <v>0</v>
      </c>
      <c r="V318" s="872">
        <f t="shared" si="164"/>
        <v>0</v>
      </c>
      <c r="W318" s="871">
        <f t="shared" si="164"/>
        <v>0</v>
      </c>
      <c r="X318" s="872">
        <f t="shared" si="164"/>
        <v>0</v>
      </c>
      <c r="Y318" s="872">
        <f t="shared" si="164"/>
        <v>0</v>
      </c>
      <c r="Z318" s="872">
        <f t="shared" si="164"/>
        <v>0</v>
      </c>
      <c r="AA318" s="871">
        <f t="shared" si="164"/>
        <v>0</v>
      </c>
      <c r="AB318" s="872">
        <f t="shared" si="164"/>
        <v>0</v>
      </c>
      <c r="AC318" s="872">
        <f t="shared" si="164"/>
        <v>0</v>
      </c>
      <c r="AD318" s="872">
        <f t="shared" si="164"/>
        <v>0</v>
      </c>
      <c r="AE318" s="871">
        <f t="shared" si="164"/>
        <v>0</v>
      </c>
      <c r="AF318" s="872">
        <f t="shared" si="164"/>
        <v>0</v>
      </c>
      <c r="AG318" s="872">
        <f t="shared" si="164"/>
        <v>0</v>
      </c>
      <c r="AH318" s="872">
        <f t="shared" si="164"/>
        <v>0</v>
      </c>
      <c r="AI318" s="871">
        <f t="shared" si="164"/>
        <v>0</v>
      </c>
      <c r="AJ318" s="872">
        <f t="shared" si="164"/>
        <v>0</v>
      </c>
      <c r="AK318" s="872">
        <f t="shared" si="164"/>
        <v>0</v>
      </c>
      <c r="AL318" s="872">
        <f t="shared" si="164"/>
        <v>0</v>
      </c>
      <c r="AM318" s="871">
        <f t="shared" si="164"/>
        <v>0</v>
      </c>
      <c r="AN318" s="872">
        <f t="shared" si="164"/>
        <v>0</v>
      </c>
      <c r="AO318" s="872">
        <f t="shared" si="164"/>
        <v>0</v>
      </c>
      <c r="AP318" s="872">
        <f t="shared" si="164"/>
        <v>0</v>
      </c>
      <c r="AQ318" s="871">
        <f t="shared" si="164"/>
        <v>0</v>
      </c>
      <c r="AR318" s="872">
        <f t="shared" si="164"/>
        <v>0</v>
      </c>
      <c r="AS318" s="872">
        <f t="shared" si="164"/>
        <v>0</v>
      </c>
      <c r="AT318" s="872">
        <f t="shared" si="164"/>
        <v>0</v>
      </c>
      <c r="AU318" s="823">
        <f t="shared" si="163"/>
        <v>0</v>
      </c>
    </row>
    <row r="319" spans="1:47" s="77" customFormat="1" ht="18" customHeight="1" outlineLevel="2">
      <c r="A319" s="869">
        <f>'8.项目规划指标表'!B$8</f>
        <v>0</v>
      </c>
      <c r="B319" s="870">
        <f ca="1">'17.财务费用测算表'!G$34</f>
        <v>0</v>
      </c>
      <c r="C319" s="871">
        <f t="shared" ref="C319:AT319" ca="1" si="165">IFERROR($B319/$B63*C63,0)</f>
        <v>0</v>
      </c>
      <c r="D319" s="872">
        <f t="shared" ca="1" si="165"/>
        <v>0</v>
      </c>
      <c r="E319" s="872">
        <f t="shared" ca="1" si="165"/>
        <v>0</v>
      </c>
      <c r="F319" s="872">
        <f t="shared" ca="1" si="165"/>
        <v>0</v>
      </c>
      <c r="G319" s="871">
        <f t="shared" ca="1" si="165"/>
        <v>0</v>
      </c>
      <c r="H319" s="872">
        <f t="shared" ca="1" si="165"/>
        <v>0</v>
      </c>
      <c r="I319" s="872">
        <f t="shared" ca="1" si="165"/>
        <v>0</v>
      </c>
      <c r="J319" s="872">
        <f t="shared" ca="1" si="165"/>
        <v>0</v>
      </c>
      <c r="K319" s="871">
        <f t="shared" ca="1" si="165"/>
        <v>0</v>
      </c>
      <c r="L319" s="872">
        <f t="shared" ca="1" si="165"/>
        <v>0</v>
      </c>
      <c r="M319" s="872">
        <f t="shared" ca="1" si="165"/>
        <v>0</v>
      </c>
      <c r="N319" s="872">
        <f t="shared" ca="1" si="165"/>
        <v>0</v>
      </c>
      <c r="O319" s="871">
        <f t="shared" ca="1" si="165"/>
        <v>0</v>
      </c>
      <c r="P319" s="872">
        <f t="shared" ca="1" si="165"/>
        <v>0</v>
      </c>
      <c r="Q319" s="872">
        <f t="shared" ca="1" si="165"/>
        <v>0</v>
      </c>
      <c r="R319" s="872">
        <f t="shared" ca="1" si="165"/>
        <v>0</v>
      </c>
      <c r="S319" s="871">
        <f t="shared" ca="1" si="165"/>
        <v>0</v>
      </c>
      <c r="T319" s="872">
        <f t="shared" ca="1" si="165"/>
        <v>0</v>
      </c>
      <c r="U319" s="872">
        <f t="shared" ca="1" si="165"/>
        <v>0</v>
      </c>
      <c r="V319" s="872">
        <f t="shared" ca="1" si="165"/>
        <v>0</v>
      </c>
      <c r="W319" s="871">
        <f t="shared" ca="1" si="165"/>
        <v>0</v>
      </c>
      <c r="X319" s="872">
        <f t="shared" ca="1" si="165"/>
        <v>0</v>
      </c>
      <c r="Y319" s="872">
        <f t="shared" ca="1" si="165"/>
        <v>0</v>
      </c>
      <c r="Z319" s="872">
        <f t="shared" ca="1" si="165"/>
        <v>0</v>
      </c>
      <c r="AA319" s="871">
        <f t="shared" ca="1" si="165"/>
        <v>0</v>
      </c>
      <c r="AB319" s="872">
        <f t="shared" ca="1" si="165"/>
        <v>0</v>
      </c>
      <c r="AC319" s="872">
        <f t="shared" ca="1" si="165"/>
        <v>0</v>
      </c>
      <c r="AD319" s="872">
        <f t="shared" ca="1" si="165"/>
        <v>0</v>
      </c>
      <c r="AE319" s="871">
        <f t="shared" ca="1" si="165"/>
        <v>0</v>
      </c>
      <c r="AF319" s="872">
        <f t="shared" ca="1" si="165"/>
        <v>0</v>
      </c>
      <c r="AG319" s="872">
        <f t="shared" ca="1" si="165"/>
        <v>0</v>
      </c>
      <c r="AH319" s="872">
        <f t="shared" ca="1" si="165"/>
        <v>0</v>
      </c>
      <c r="AI319" s="871">
        <f t="shared" ca="1" si="165"/>
        <v>0</v>
      </c>
      <c r="AJ319" s="872">
        <f t="shared" ca="1" si="165"/>
        <v>0</v>
      </c>
      <c r="AK319" s="872">
        <f t="shared" ca="1" si="165"/>
        <v>0</v>
      </c>
      <c r="AL319" s="872">
        <f t="shared" ca="1" si="165"/>
        <v>0</v>
      </c>
      <c r="AM319" s="871">
        <f t="shared" ca="1" si="165"/>
        <v>0</v>
      </c>
      <c r="AN319" s="872">
        <f t="shared" ca="1" si="165"/>
        <v>0</v>
      </c>
      <c r="AO319" s="872">
        <f t="shared" ca="1" si="165"/>
        <v>0</v>
      </c>
      <c r="AP319" s="872">
        <f t="shared" ca="1" si="165"/>
        <v>0</v>
      </c>
      <c r="AQ319" s="871">
        <f t="shared" ca="1" si="165"/>
        <v>0</v>
      </c>
      <c r="AR319" s="872">
        <f t="shared" ca="1" si="165"/>
        <v>0</v>
      </c>
      <c r="AS319" s="872">
        <f t="shared" ca="1" si="165"/>
        <v>0</v>
      </c>
      <c r="AT319" s="872">
        <f t="shared" ca="1" si="165"/>
        <v>0</v>
      </c>
      <c r="AU319" s="823">
        <f t="shared" ca="1" si="163"/>
        <v>0</v>
      </c>
    </row>
    <row r="320" spans="1:47" s="77" customFormat="1" ht="18" customHeight="1" outlineLevel="2">
      <c r="A320" s="869">
        <f>'8.项目规划指标表'!B$9</f>
        <v>0</v>
      </c>
      <c r="B320" s="870">
        <f ca="1">'17.财务费用测算表'!H$34</f>
        <v>0</v>
      </c>
      <c r="C320" s="871">
        <f t="shared" ref="C320:AT320" ca="1" si="166">IFERROR($B320/$B64*C64,0)</f>
        <v>0</v>
      </c>
      <c r="D320" s="872">
        <f t="shared" ca="1" si="166"/>
        <v>0</v>
      </c>
      <c r="E320" s="872">
        <f t="shared" ca="1" si="166"/>
        <v>0</v>
      </c>
      <c r="F320" s="872">
        <f t="shared" ca="1" si="166"/>
        <v>0</v>
      </c>
      <c r="G320" s="871">
        <f t="shared" ca="1" si="166"/>
        <v>0</v>
      </c>
      <c r="H320" s="872">
        <f t="shared" ca="1" si="166"/>
        <v>0</v>
      </c>
      <c r="I320" s="872">
        <f t="shared" ca="1" si="166"/>
        <v>0</v>
      </c>
      <c r="J320" s="872">
        <f t="shared" ca="1" si="166"/>
        <v>0</v>
      </c>
      <c r="K320" s="871">
        <f t="shared" ca="1" si="166"/>
        <v>0</v>
      </c>
      <c r="L320" s="872">
        <f t="shared" ca="1" si="166"/>
        <v>0</v>
      </c>
      <c r="M320" s="872">
        <f t="shared" ca="1" si="166"/>
        <v>0</v>
      </c>
      <c r="N320" s="872">
        <f t="shared" ca="1" si="166"/>
        <v>0</v>
      </c>
      <c r="O320" s="871">
        <f t="shared" ca="1" si="166"/>
        <v>0</v>
      </c>
      <c r="P320" s="872">
        <f t="shared" ca="1" si="166"/>
        <v>0</v>
      </c>
      <c r="Q320" s="872">
        <f t="shared" ca="1" si="166"/>
        <v>0</v>
      </c>
      <c r="R320" s="872">
        <f t="shared" ca="1" si="166"/>
        <v>0</v>
      </c>
      <c r="S320" s="871">
        <f t="shared" ca="1" si="166"/>
        <v>0</v>
      </c>
      <c r="T320" s="872">
        <f t="shared" ca="1" si="166"/>
        <v>0</v>
      </c>
      <c r="U320" s="872">
        <f t="shared" ca="1" si="166"/>
        <v>0</v>
      </c>
      <c r="V320" s="872">
        <f t="shared" ca="1" si="166"/>
        <v>0</v>
      </c>
      <c r="W320" s="871">
        <f t="shared" ca="1" si="166"/>
        <v>0</v>
      </c>
      <c r="X320" s="872">
        <f t="shared" ca="1" si="166"/>
        <v>0</v>
      </c>
      <c r="Y320" s="872">
        <f t="shared" ca="1" si="166"/>
        <v>0</v>
      </c>
      <c r="Z320" s="872">
        <f t="shared" ca="1" si="166"/>
        <v>0</v>
      </c>
      <c r="AA320" s="871">
        <f t="shared" ca="1" si="166"/>
        <v>0</v>
      </c>
      <c r="AB320" s="872">
        <f t="shared" ca="1" si="166"/>
        <v>0</v>
      </c>
      <c r="AC320" s="872">
        <f t="shared" ca="1" si="166"/>
        <v>0</v>
      </c>
      <c r="AD320" s="872">
        <f t="shared" ca="1" si="166"/>
        <v>0</v>
      </c>
      <c r="AE320" s="871">
        <f t="shared" ca="1" si="166"/>
        <v>0</v>
      </c>
      <c r="AF320" s="872">
        <f t="shared" ca="1" si="166"/>
        <v>0</v>
      </c>
      <c r="AG320" s="872">
        <f t="shared" ca="1" si="166"/>
        <v>0</v>
      </c>
      <c r="AH320" s="872">
        <f t="shared" ca="1" si="166"/>
        <v>0</v>
      </c>
      <c r="AI320" s="871">
        <f t="shared" ca="1" si="166"/>
        <v>0</v>
      </c>
      <c r="AJ320" s="872">
        <f t="shared" ca="1" si="166"/>
        <v>0</v>
      </c>
      <c r="AK320" s="872">
        <f t="shared" ca="1" si="166"/>
        <v>0</v>
      </c>
      <c r="AL320" s="872">
        <f t="shared" ca="1" si="166"/>
        <v>0</v>
      </c>
      <c r="AM320" s="871">
        <f t="shared" ca="1" si="166"/>
        <v>0</v>
      </c>
      <c r="AN320" s="872">
        <f t="shared" ca="1" si="166"/>
        <v>0</v>
      </c>
      <c r="AO320" s="872">
        <f t="shared" ca="1" si="166"/>
        <v>0</v>
      </c>
      <c r="AP320" s="872">
        <f t="shared" ca="1" si="166"/>
        <v>0</v>
      </c>
      <c r="AQ320" s="871">
        <f t="shared" ca="1" si="166"/>
        <v>0</v>
      </c>
      <c r="AR320" s="872">
        <f t="shared" ca="1" si="166"/>
        <v>0</v>
      </c>
      <c r="AS320" s="872">
        <f t="shared" ca="1" si="166"/>
        <v>0</v>
      </c>
      <c r="AT320" s="872">
        <f t="shared" ca="1" si="166"/>
        <v>0</v>
      </c>
      <c r="AU320" s="823">
        <f t="shared" ca="1" si="163"/>
        <v>0</v>
      </c>
    </row>
    <row r="321" spans="1:47" s="77" customFormat="1" ht="18" customHeight="1" outlineLevel="2">
      <c r="A321" s="869">
        <f>'8.项目规划指标表'!B$10</f>
        <v>0</v>
      </c>
      <c r="B321" s="870">
        <f ca="1">'17.财务费用测算表'!I$34</f>
        <v>0</v>
      </c>
      <c r="C321" s="871">
        <f t="shared" ref="C321:AT321" ca="1" si="167">IFERROR($B321/$B65*C65,0)</f>
        <v>0</v>
      </c>
      <c r="D321" s="872">
        <f t="shared" ca="1" si="167"/>
        <v>0</v>
      </c>
      <c r="E321" s="872">
        <f t="shared" ca="1" si="167"/>
        <v>0</v>
      </c>
      <c r="F321" s="872">
        <f t="shared" ca="1" si="167"/>
        <v>0</v>
      </c>
      <c r="G321" s="871">
        <f t="shared" ca="1" si="167"/>
        <v>0</v>
      </c>
      <c r="H321" s="872">
        <f t="shared" ca="1" si="167"/>
        <v>0</v>
      </c>
      <c r="I321" s="872">
        <f t="shared" ca="1" si="167"/>
        <v>0</v>
      </c>
      <c r="J321" s="872">
        <f t="shared" ca="1" si="167"/>
        <v>0</v>
      </c>
      <c r="K321" s="871">
        <f t="shared" ca="1" si="167"/>
        <v>0</v>
      </c>
      <c r="L321" s="872">
        <f t="shared" ca="1" si="167"/>
        <v>0</v>
      </c>
      <c r="M321" s="872">
        <f t="shared" ca="1" si="167"/>
        <v>0</v>
      </c>
      <c r="N321" s="872">
        <f t="shared" ca="1" si="167"/>
        <v>0</v>
      </c>
      <c r="O321" s="871">
        <f t="shared" ca="1" si="167"/>
        <v>0</v>
      </c>
      <c r="P321" s="872">
        <f t="shared" ca="1" si="167"/>
        <v>0</v>
      </c>
      <c r="Q321" s="872">
        <f t="shared" ca="1" si="167"/>
        <v>0</v>
      </c>
      <c r="R321" s="872">
        <f t="shared" ca="1" si="167"/>
        <v>0</v>
      </c>
      <c r="S321" s="871">
        <f t="shared" ca="1" si="167"/>
        <v>0</v>
      </c>
      <c r="T321" s="872">
        <f t="shared" ca="1" si="167"/>
        <v>0</v>
      </c>
      <c r="U321" s="872">
        <f t="shared" ca="1" si="167"/>
        <v>0</v>
      </c>
      <c r="V321" s="872">
        <f t="shared" ca="1" si="167"/>
        <v>0</v>
      </c>
      <c r="W321" s="871">
        <f t="shared" ca="1" si="167"/>
        <v>0</v>
      </c>
      <c r="X321" s="872">
        <f t="shared" ca="1" si="167"/>
        <v>0</v>
      </c>
      <c r="Y321" s="872">
        <f t="shared" ca="1" si="167"/>
        <v>0</v>
      </c>
      <c r="Z321" s="872">
        <f t="shared" ca="1" si="167"/>
        <v>0</v>
      </c>
      <c r="AA321" s="871">
        <f t="shared" ca="1" si="167"/>
        <v>0</v>
      </c>
      <c r="AB321" s="872">
        <f t="shared" ca="1" si="167"/>
        <v>0</v>
      </c>
      <c r="AC321" s="872">
        <f t="shared" ca="1" si="167"/>
        <v>0</v>
      </c>
      <c r="AD321" s="872">
        <f t="shared" ca="1" si="167"/>
        <v>0</v>
      </c>
      <c r="AE321" s="871">
        <f t="shared" ca="1" si="167"/>
        <v>0</v>
      </c>
      <c r="AF321" s="872">
        <f t="shared" ca="1" si="167"/>
        <v>0</v>
      </c>
      <c r="AG321" s="872">
        <f t="shared" ca="1" si="167"/>
        <v>0</v>
      </c>
      <c r="AH321" s="872">
        <f t="shared" ca="1" si="167"/>
        <v>0</v>
      </c>
      <c r="AI321" s="871">
        <f t="shared" ca="1" si="167"/>
        <v>0</v>
      </c>
      <c r="AJ321" s="872">
        <f t="shared" ca="1" si="167"/>
        <v>0</v>
      </c>
      <c r="AK321" s="872">
        <f t="shared" ca="1" si="167"/>
        <v>0</v>
      </c>
      <c r="AL321" s="872">
        <f t="shared" ca="1" si="167"/>
        <v>0</v>
      </c>
      <c r="AM321" s="871">
        <f t="shared" ca="1" si="167"/>
        <v>0</v>
      </c>
      <c r="AN321" s="872">
        <f t="shared" ca="1" si="167"/>
        <v>0</v>
      </c>
      <c r="AO321" s="872">
        <f t="shared" ca="1" si="167"/>
        <v>0</v>
      </c>
      <c r="AP321" s="872">
        <f t="shared" ca="1" si="167"/>
        <v>0</v>
      </c>
      <c r="AQ321" s="871">
        <f t="shared" ca="1" si="167"/>
        <v>0</v>
      </c>
      <c r="AR321" s="872">
        <f t="shared" ca="1" si="167"/>
        <v>0</v>
      </c>
      <c r="AS321" s="872">
        <f t="shared" ca="1" si="167"/>
        <v>0</v>
      </c>
      <c r="AT321" s="872">
        <f t="shared" ca="1" si="167"/>
        <v>0</v>
      </c>
      <c r="AU321" s="823">
        <f t="shared" ca="1" si="163"/>
        <v>0</v>
      </c>
    </row>
    <row r="322" spans="1:47" s="77" customFormat="1" ht="18" customHeight="1" outlineLevel="2">
      <c r="A322" s="869">
        <f>'8.项目规划指标表'!B$11</f>
        <v>0</v>
      </c>
      <c r="B322" s="870">
        <f ca="1">'17.财务费用测算表'!J$34</f>
        <v>0</v>
      </c>
      <c r="C322" s="871">
        <f t="shared" ref="C322:AT322" ca="1" si="168">IFERROR($B322/$B66*C66,0)</f>
        <v>0</v>
      </c>
      <c r="D322" s="872">
        <f t="shared" ca="1" si="168"/>
        <v>0</v>
      </c>
      <c r="E322" s="872">
        <f t="shared" ca="1" si="168"/>
        <v>0</v>
      </c>
      <c r="F322" s="872">
        <f t="shared" ca="1" si="168"/>
        <v>0</v>
      </c>
      <c r="G322" s="871">
        <f t="shared" ca="1" si="168"/>
        <v>0</v>
      </c>
      <c r="H322" s="872">
        <f t="shared" ca="1" si="168"/>
        <v>0</v>
      </c>
      <c r="I322" s="872">
        <f t="shared" ca="1" si="168"/>
        <v>0</v>
      </c>
      <c r="J322" s="872">
        <f t="shared" ca="1" si="168"/>
        <v>0</v>
      </c>
      <c r="K322" s="871">
        <f t="shared" ca="1" si="168"/>
        <v>0</v>
      </c>
      <c r="L322" s="872">
        <f t="shared" ca="1" si="168"/>
        <v>0</v>
      </c>
      <c r="M322" s="872">
        <f t="shared" ca="1" si="168"/>
        <v>0</v>
      </c>
      <c r="N322" s="872">
        <f t="shared" ca="1" si="168"/>
        <v>0</v>
      </c>
      <c r="O322" s="871">
        <f t="shared" ca="1" si="168"/>
        <v>0</v>
      </c>
      <c r="P322" s="872">
        <f t="shared" ca="1" si="168"/>
        <v>0</v>
      </c>
      <c r="Q322" s="872">
        <f t="shared" ca="1" si="168"/>
        <v>0</v>
      </c>
      <c r="R322" s="872">
        <f t="shared" ca="1" si="168"/>
        <v>0</v>
      </c>
      <c r="S322" s="871">
        <f t="shared" ca="1" si="168"/>
        <v>0</v>
      </c>
      <c r="T322" s="872">
        <f t="shared" ca="1" si="168"/>
        <v>0</v>
      </c>
      <c r="U322" s="872">
        <f t="shared" ca="1" si="168"/>
        <v>0</v>
      </c>
      <c r="V322" s="872">
        <f t="shared" ca="1" si="168"/>
        <v>0</v>
      </c>
      <c r="W322" s="871">
        <f t="shared" ca="1" si="168"/>
        <v>0</v>
      </c>
      <c r="X322" s="872">
        <f t="shared" ca="1" si="168"/>
        <v>0</v>
      </c>
      <c r="Y322" s="872">
        <f t="shared" ca="1" si="168"/>
        <v>0</v>
      </c>
      <c r="Z322" s="872">
        <f t="shared" ca="1" si="168"/>
        <v>0</v>
      </c>
      <c r="AA322" s="871">
        <f t="shared" ca="1" si="168"/>
        <v>0</v>
      </c>
      <c r="AB322" s="872">
        <f t="shared" ca="1" si="168"/>
        <v>0</v>
      </c>
      <c r="AC322" s="872">
        <f t="shared" ca="1" si="168"/>
        <v>0</v>
      </c>
      <c r="AD322" s="872">
        <f t="shared" ca="1" si="168"/>
        <v>0</v>
      </c>
      <c r="AE322" s="871">
        <f t="shared" ca="1" si="168"/>
        <v>0</v>
      </c>
      <c r="AF322" s="872">
        <f t="shared" ca="1" si="168"/>
        <v>0</v>
      </c>
      <c r="AG322" s="872">
        <f t="shared" ca="1" si="168"/>
        <v>0</v>
      </c>
      <c r="AH322" s="872">
        <f t="shared" ca="1" si="168"/>
        <v>0</v>
      </c>
      <c r="AI322" s="871">
        <f t="shared" ca="1" si="168"/>
        <v>0</v>
      </c>
      <c r="AJ322" s="872">
        <f t="shared" ca="1" si="168"/>
        <v>0</v>
      </c>
      <c r="AK322" s="872">
        <f t="shared" ca="1" si="168"/>
        <v>0</v>
      </c>
      <c r="AL322" s="872">
        <f t="shared" ca="1" si="168"/>
        <v>0</v>
      </c>
      <c r="AM322" s="871">
        <f t="shared" ca="1" si="168"/>
        <v>0</v>
      </c>
      <c r="AN322" s="872">
        <f t="shared" ca="1" si="168"/>
        <v>0</v>
      </c>
      <c r="AO322" s="872">
        <f t="shared" ca="1" si="168"/>
        <v>0</v>
      </c>
      <c r="AP322" s="872">
        <f t="shared" ca="1" si="168"/>
        <v>0</v>
      </c>
      <c r="AQ322" s="871">
        <f t="shared" ca="1" si="168"/>
        <v>0</v>
      </c>
      <c r="AR322" s="872">
        <f t="shared" ca="1" si="168"/>
        <v>0</v>
      </c>
      <c r="AS322" s="872">
        <f t="shared" ca="1" si="168"/>
        <v>0</v>
      </c>
      <c r="AT322" s="872">
        <f t="shared" ca="1" si="168"/>
        <v>0</v>
      </c>
      <c r="AU322" s="823">
        <f t="shared" ca="1" si="163"/>
        <v>0</v>
      </c>
    </row>
    <row r="323" spans="1:47" s="77" customFormat="1" ht="18" customHeight="1" outlineLevel="2">
      <c r="A323" s="869">
        <f>'8.项目规划指标表'!B$12</f>
        <v>0</v>
      </c>
      <c r="B323" s="870">
        <f ca="1">'17.财务费用测算表'!K$34</f>
        <v>0</v>
      </c>
      <c r="C323" s="871">
        <f t="shared" ref="C323:AT323" ca="1" si="169">IFERROR($B323/$B67*C67,0)</f>
        <v>0</v>
      </c>
      <c r="D323" s="872">
        <f t="shared" ca="1" si="169"/>
        <v>0</v>
      </c>
      <c r="E323" s="872">
        <f t="shared" ca="1" si="169"/>
        <v>0</v>
      </c>
      <c r="F323" s="872">
        <f t="shared" ca="1" si="169"/>
        <v>0</v>
      </c>
      <c r="G323" s="871">
        <f t="shared" ca="1" si="169"/>
        <v>0</v>
      </c>
      <c r="H323" s="872">
        <f t="shared" ca="1" si="169"/>
        <v>0</v>
      </c>
      <c r="I323" s="872">
        <f t="shared" ca="1" si="169"/>
        <v>0</v>
      </c>
      <c r="J323" s="872">
        <f t="shared" ca="1" si="169"/>
        <v>0</v>
      </c>
      <c r="K323" s="871">
        <f t="shared" ca="1" si="169"/>
        <v>0</v>
      </c>
      <c r="L323" s="872">
        <f t="shared" ca="1" si="169"/>
        <v>0</v>
      </c>
      <c r="M323" s="872">
        <f t="shared" ca="1" si="169"/>
        <v>0</v>
      </c>
      <c r="N323" s="872">
        <f t="shared" ca="1" si="169"/>
        <v>0</v>
      </c>
      <c r="O323" s="871">
        <f t="shared" ca="1" si="169"/>
        <v>0</v>
      </c>
      <c r="P323" s="872">
        <f t="shared" ca="1" si="169"/>
        <v>0</v>
      </c>
      <c r="Q323" s="872">
        <f t="shared" ca="1" si="169"/>
        <v>0</v>
      </c>
      <c r="R323" s="872">
        <f t="shared" ca="1" si="169"/>
        <v>0</v>
      </c>
      <c r="S323" s="871">
        <f t="shared" ca="1" si="169"/>
        <v>0</v>
      </c>
      <c r="T323" s="872">
        <f t="shared" ca="1" si="169"/>
        <v>0</v>
      </c>
      <c r="U323" s="872">
        <f t="shared" ca="1" si="169"/>
        <v>0</v>
      </c>
      <c r="V323" s="872">
        <f t="shared" ca="1" si="169"/>
        <v>0</v>
      </c>
      <c r="W323" s="871">
        <f t="shared" ca="1" si="169"/>
        <v>0</v>
      </c>
      <c r="X323" s="872">
        <f t="shared" ca="1" si="169"/>
        <v>0</v>
      </c>
      <c r="Y323" s="872">
        <f t="shared" ca="1" si="169"/>
        <v>0</v>
      </c>
      <c r="Z323" s="872">
        <f t="shared" ca="1" si="169"/>
        <v>0</v>
      </c>
      <c r="AA323" s="871">
        <f t="shared" ca="1" si="169"/>
        <v>0</v>
      </c>
      <c r="AB323" s="872">
        <f t="shared" ca="1" si="169"/>
        <v>0</v>
      </c>
      <c r="AC323" s="872">
        <f t="shared" ca="1" si="169"/>
        <v>0</v>
      </c>
      <c r="AD323" s="872">
        <f t="shared" ca="1" si="169"/>
        <v>0</v>
      </c>
      <c r="AE323" s="871">
        <f t="shared" ca="1" si="169"/>
        <v>0</v>
      </c>
      <c r="AF323" s="872">
        <f t="shared" ca="1" si="169"/>
        <v>0</v>
      </c>
      <c r="AG323" s="872">
        <f t="shared" ca="1" si="169"/>
        <v>0</v>
      </c>
      <c r="AH323" s="872">
        <f t="shared" ca="1" si="169"/>
        <v>0</v>
      </c>
      <c r="AI323" s="871">
        <f t="shared" ca="1" si="169"/>
        <v>0</v>
      </c>
      <c r="AJ323" s="872">
        <f t="shared" ca="1" si="169"/>
        <v>0</v>
      </c>
      <c r="AK323" s="872">
        <f t="shared" ca="1" si="169"/>
        <v>0</v>
      </c>
      <c r="AL323" s="872">
        <f t="shared" ca="1" si="169"/>
        <v>0</v>
      </c>
      <c r="AM323" s="871">
        <f t="shared" ca="1" si="169"/>
        <v>0</v>
      </c>
      <c r="AN323" s="872">
        <f t="shared" ca="1" si="169"/>
        <v>0</v>
      </c>
      <c r="AO323" s="872">
        <f t="shared" ca="1" si="169"/>
        <v>0</v>
      </c>
      <c r="AP323" s="872">
        <f t="shared" ca="1" si="169"/>
        <v>0</v>
      </c>
      <c r="AQ323" s="871">
        <f t="shared" ca="1" si="169"/>
        <v>0</v>
      </c>
      <c r="AR323" s="872">
        <f t="shared" ca="1" si="169"/>
        <v>0</v>
      </c>
      <c r="AS323" s="872">
        <f t="shared" ca="1" si="169"/>
        <v>0</v>
      </c>
      <c r="AT323" s="872">
        <f t="shared" ca="1" si="169"/>
        <v>0</v>
      </c>
      <c r="AU323" s="823">
        <f t="shared" ca="1" si="163"/>
        <v>0</v>
      </c>
    </row>
    <row r="324" spans="1:47" s="77" customFormat="1" ht="18" customHeight="1" outlineLevel="2">
      <c r="A324" s="869">
        <f>'8.项目规划指标表'!B$13</f>
        <v>0</v>
      </c>
      <c r="B324" s="870">
        <f ca="1">'17.财务费用测算表'!L$34</f>
        <v>0</v>
      </c>
      <c r="C324" s="871">
        <f t="shared" ref="C324:AT324" ca="1" si="170">IFERROR($B324/$B68*C68,0)</f>
        <v>0</v>
      </c>
      <c r="D324" s="872">
        <f t="shared" ca="1" si="170"/>
        <v>0</v>
      </c>
      <c r="E324" s="872">
        <f t="shared" ca="1" si="170"/>
        <v>0</v>
      </c>
      <c r="F324" s="872">
        <f t="shared" ca="1" si="170"/>
        <v>0</v>
      </c>
      <c r="G324" s="871">
        <f t="shared" ca="1" si="170"/>
        <v>0</v>
      </c>
      <c r="H324" s="872">
        <f t="shared" ca="1" si="170"/>
        <v>0</v>
      </c>
      <c r="I324" s="872">
        <f t="shared" ca="1" si="170"/>
        <v>0</v>
      </c>
      <c r="J324" s="872">
        <f t="shared" ca="1" si="170"/>
        <v>0</v>
      </c>
      <c r="K324" s="871">
        <f t="shared" ca="1" si="170"/>
        <v>0</v>
      </c>
      <c r="L324" s="872">
        <f t="shared" ca="1" si="170"/>
        <v>0</v>
      </c>
      <c r="M324" s="872">
        <f t="shared" ca="1" si="170"/>
        <v>0</v>
      </c>
      <c r="N324" s="872">
        <f t="shared" ca="1" si="170"/>
        <v>0</v>
      </c>
      <c r="O324" s="871">
        <f t="shared" ca="1" si="170"/>
        <v>0</v>
      </c>
      <c r="P324" s="872">
        <f t="shared" ca="1" si="170"/>
        <v>0</v>
      </c>
      <c r="Q324" s="872">
        <f t="shared" ca="1" si="170"/>
        <v>0</v>
      </c>
      <c r="R324" s="872">
        <f t="shared" ca="1" si="170"/>
        <v>0</v>
      </c>
      <c r="S324" s="871">
        <f t="shared" ca="1" si="170"/>
        <v>0</v>
      </c>
      <c r="T324" s="872">
        <f t="shared" ca="1" si="170"/>
        <v>0</v>
      </c>
      <c r="U324" s="872">
        <f t="shared" ca="1" si="170"/>
        <v>0</v>
      </c>
      <c r="V324" s="872">
        <f t="shared" ca="1" si="170"/>
        <v>0</v>
      </c>
      <c r="W324" s="871">
        <f t="shared" ca="1" si="170"/>
        <v>0</v>
      </c>
      <c r="X324" s="872">
        <f t="shared" ca="1" si="170"/>
        <v>0</v>
      </c>
      <c r="Y324" s="872">
        <f t="shared" ca="1" si="170"/>
        <v>0</v>
      </c>
      <c r="Z324" s="872">
        <f t="shared" ca="1" si="170"/>
        <v>0</v>
      </c>
      <c r="AA324" s="871">
        <f t="shared" ca="1" si="170"/>
        <v>0</v>
      </c>
      <c r="AB324" s="872">
        <f t="shared" ca="1" si="170"/>
        <v>0</v>
      </c>
      <c r="AC324" s="872">
        <f t="shared" ca="1" si="170"/>
        <v>0</v>
      </c>
      <c r="AD324" s="872">
        <f t="shared" ca="1" si="170"/>
        <v>0</v>
      </c>
      <c r="AE324" s="871">
        <f t="shared" ca="1" si="170"/>
        <v>0</v>
      </c>
      <c r="AF324" s="872">
        <f t="shared" ca="1" si="170"/>
        <v>0</v>
      </c>
      <c r="AG324" s="872">
        <f t="shared" ca="1" si="170"/>
        <v>0</v>
      </c>
      <c r="AH324" s="872">
        <f t="shared" ca="1" si="170"/>
        <v>0</v>
      </c>
      <c r="AI324" s="871">
        <f t="shared" ca="1" si="170"/>
        <v>0</v>
      </c>
      <c r="AJ324" s="872">
        <f t="shared" ca="1" si="170"/>
        <v>0</v>
      </c>
      <c r="AK324" s="872">
        <f t="shared" ca="1" si="170"/>
        <v>0</v>
      </c>
      <c r="AL324" s="872">
        <f t="shared" ca="1" si="170"/>
        <v>0</v>
      </c>
      <c r="AM324" s="871">
        <f t="shared" ca="1" si="170"/>
        <v>0</v>
      </c>
      <c r="AN324" s="872">
        <f t="shared" ca="1" si="170"/>
        <v>0</v>
      </c>
      <c r="AO324" s="872">
        <f t="shared" ca="1" si="170"/>
        <v>0</v>
      </c>
      <c r="AP324" s="872">
        <f t="shared" ca="1" si="170"/>
        <v>0</v>
      </c>
      <c r="AQ324" s="871">
        <f t="shared" ca="1" si="170"/>
        <v>0</v>
      </c>
      <c r="AR324" s="872">
        <f t="shared" ca="1" si="170"/>
        <v>0</v>
      </c>
      <c r="AS324" s="872">
        <f t="shared" ca="1" si="170"/>
        <v>0</v>
      </c>
      <c r="AT324" s="872">
        <f t="shared" ca="1" si="170"/>
        <v>0</v>
      </c>
      <c r="AU324" s="823">
        <f t="shared" ca="1" si="163"/>
        <v>0</v>
      </c>
    </row>
    <row r="325" spans="1:47" s="77" customFormat="1" ht="18" customHeight="1" outlineLevel="2">
      <c r="A325" s="869" t="str">
        <f>'8.项目规划指标表'!B$14</f>
        <v>自持物业</v>
      </c>
      <c r="B325" s="870"/>
      <c r="C325" s="871"/>
      <c r="D325" s="872"/>
      <c r="E325" s="872"/>
      <c r="F325" s="872"/>
      <c r="G325" s="871"/>
      <c r="H325" s="872"/>
      <c r="I325" s="872"/>
      <c r="J325" s="872"/>
      <c r="K325" s="871"/>
      <c r="L325" s="872"/>
      <c r="M325" s="872"/>
      <c r="N325" s="872"/>
      <c r="O325" s="871"/>
      <c r="P325" s="872"/>
      <c r="Q325" s="872"/>
      <c r="R325" s="872"/>
      <c r="S325" s="871"/>
      <c r="T325" s="872"/>
      <c r="U325" s="872"/>
      <c r="V325" s="872"/>
      <c r="W325" s="871"/>
      <c r="X325" s="872"/>
      <c r="Y325" s="872"/>
      <c r="Z325" s="872"/>
      <c r="AA325" s="871"/>
      <c r="AB325" s="872"/>
      <c r="AC325" s="872"/>
      <c r="AD325" s="872"/>
      <c r="AE325" s="871"/>
      <c r="AF325" s="872"/>
      <c r="AG325" s="872"/>
      <c r="AH325" s="872"/>
      <c r="AI325" s="871"/>
      <c r="AJ325" s="872"/>
      <c r="AK325" s="872"/>
      <c r="AL325" s="872"/>
      <c r="AM325" s="871"/>
      <c r="AN325" s="872"/>
      <c r="AO325" s="872"/>
      <c r="AP325" s="872"/>
      <c r="AQ325" s="871"/>
      <c r="AR325" s="872"/>
      <c r="AS325" s="872"/>
      <c r="AT325" s="872"/>
      <c r="AU325" s="823">
        <f t="shared" si="163"/>
        <v>0</v>
      </c>
    </row>
    <row r="326" spans="1:47" s="77" customFormat="1" ht="18" customHeight="1" outlineLevel="2">
      <c r="A326" s="869" t="str">
        <f>'8.项目规划指标表'!B$18</f>
        <v>有产权车库(个)</v>
      </c>
      <c r="B326" s="870">
        <f ca="1">'17.财务费用测算表'!N$34</f>
        <v>0</v>
      </c>
      <c r="C326" s="871">
        <f t="shared" ref="C326:AT326" ca="1" si="171">IFERROR($B326/$B70*C70,0)</f>
        <v>0</v>
      </c>
      <c r="D326" s="872">
        <f t="shared" ca="1" si="171"/>
        <v>0</v>
      </c>
      <c r="E326" s="872">
        <f t="shared" ca="1" si="171"/>
        <v>0</v>
      </c>
      <c r="F326" s="872">
        <f t="shared" ca="1" si="171"/>
        <v>0</v>
      </c>
      <c r="G326" s="871">
        <f t="shared" ca="1" si="171"/>
        <v>0</v>
      </c>
      <c r="H326" s="872">
        <f t="shared" ca="1" si="171"/>
        <v>0</v>
      </c>
      <c r="I326" s="872">
        <f t="shared" ca="1" si="171"/>
        <v>0</v>
      </c>
      <c r="J326" s="872">
        <f t="shared" ca="1" si="171"/>
        <v>0</v>
      </c>
      <c r="K326" s="871">
        <f t="shared" ca="1" si="171"/>
        <v>0</v>
      </c>
      <c r="L326" s="872">
        <f t="shared" ca="1" si="171"/>
        <v>0</v>
      </c>
      <c r="M326" s="872">
        <f t="shared" ca="1" si="171"/>
        <v>0</v>
      </c>
      <c r="N326" s="872">
        <f t="shared" ca="1" si="171"/>
        <v>0</v>
      </c>
      <c r="O326" s="871">
        <f t="shared" ca="1" si="171"/>
        <v>0</v>
      </c>
      <c r="P326" s="872">
        <f t="shared" ca="1" si="171"/>
        <v>0</v>
      </c>
      <c r="Q326" s="872">
        <f t="shared" ca="1" si="171"/>
        <v>0</v>
      </c>
      <c r="R326" s="872">
        <f t="shared" ca="1" si="171"/>
        <v>0</v>
      </c>
      <c r="S326" s="871">
        <f t="shared" ca="1" si="171"/>
        <v>0</v>
      </c>
      <c r="T326" s="872">
        <f t="shared" ca="1" si="171"/>
        <v>0</v>
      </c>
      <c r="U326" s="872">
        <f t="shared" ca="1" si="171"/>
        <v>0</v>
      </c>
      <c r="V326" s="872">
        <f t="shared" ca="1" si="171"/>
        <v>0</v>
      </c>
      <c r="W326" s="871">
        <f t="shared" ca="1" si="171"/>
        <v>0</v>
      </c>
      <c r="X326" s="872">
        <f t="shared" ca="1" si="171"/>
        <v>0</v>
      </c>
      <c r="Y326" s="872">
        <f t="shared" ca="1" si="171"/>
        <v>0</v>
      </c>
      <c r="Z326" s="872">
        <f t="shared" ca="1" si="171"/>
        <v>0</v>
      </c>
      <c r="AA326" s="871">
        <f t="shared" ca="1" si="171"/>
        <v>0</v>
      </c>
      <c r="AB326" s="872">
        <f t="shared" ca="1" si="171"/>
        <v>0</v>
      </c>
      <c r="AC326" s="872">
        <f t="shared" ca="1" si="171"/>
        <v>0</v>
      </c>
      <c r="AD326" s="872">
        <f t="shared" ca="1" si="171"/>
        <v>0</v>
      </c>
      <c r="AE326" s="871">
        <f t="shared" ca="1" si="171"/>
        <v>0</v>
      </c>
      <c r="AF326" s="872">
        <f t="shared" ca="1" si="171"/>
        <v>0</v>
      </c>
      <c r="AG326" s="872">
        <f t="shared" ca="1" si="171"/>
        <v>0</v>
      </c>
      <c r="AH326" s="872">
        <f t="shared" ca="1" si="171"/>
        <v>0</v>
      </c>
      <c r="AI326" s="871">
        <f t="shared" ca="1" si="171"/>
        <v>0</v>
      </c>
      <c r="AJ326" s="872">
        <f t="shared" ca="1" si="171"/>
        <v>0</v>
      </c>
      <c r="AK326" s="872">
        <f t="shared" ca="1" si="171"/>
        <v>0</v>
      </c>
      <c r="AL326" s="872">
        <f t="shared" ca="1" si="171"/>
        <v>0</v>
      </c>
      <c r="AM326" s="871">
        <f t="shared" ca="1" si="171"/>
        <v>0</v>
      </c>
      <c r="AN326" s="872">
        <f t="shared" ca="1" si="171"/>
        <v>0</v>
      </c>
      <c r="AO326" s="872">
        <f t="shared" ca="1" si="171"/>
        <v>0</v>
      </c>
      <c r="AP326" s="872">
        <f t="shared" ca="1" si="171"/>
        <v>0</v>
      </c>
      <c r="AQ326" s="871">
        <f t="shared" ca="1" si="171"/>
        <v>0</v>
      </c>
      <c r="AR326" s="872">
        <f t="shared" ca="1" si="171"/>
        <v>0</v>
      </c>
      <c r="AS326" s="872">
        <f t="shared" ca="1" si="171"/>
        <v>0</v>
      </c>
      <c r="AT326" s="872">
        <f t="shared" ca="1" si="171"/>
        <v>0</v>
      </c>
      <c r="AU326" s="823">
        <f t="shared" ca="1" si="163"/>
        <v>0</v>
      </c>
    </row>
    <row r="327" spans="1:47" s="77" customFormat="1" ht="18" customHeight="1" outlineLevel="2">
      <c r="A327" s="869" t="str">
        <f>'8.项目规划指标表'!B$19</f>
        <v>无产权车库(个)</v>
      </c>
      <c r="B327" s="870">
        <f ca="1">'17.财务费用测算表'!O$34</f>
        <v>0</v>
      </c>
      <c r="C327" s="871">
        <f t="shared" ref="C327:AT327" ca="1" si="172">IFERROR($B327/$B71*C71,0)</f>
        <v>0</v>
      </c>
      <c r="D327" s="872">
        <f t="shared" ca="1" si="172"/>
        <v>0</v>
      </c>
      <c r="E327" s="872">
        <f t="shared" ca="1" si="172"/>
        <v>0</v>
      </c>
      <c r="F327" s="872">
        <f t="shared" ca="1" si="172"/>
        <v>0</v>
      </c>
      <c r="G327" s="871">
        <f t="shared" ca="1" si="172"/>
        <v>0</v>
      </c>
      <c r="H327" s="872">
        <f t="shared" ca="1" si="172"/>
        <v>0</v>
      </c>
      <c r="I327" s="872">
        <f t="shared" ca="1" si="172"/>
        <v>0</v>
      </c>
      <c r="J327" s="872">
        <f t="shared" ca="1" si="172"/>
        <v>0</v>
      </c>
      <c r="K327" s="871">
        <f t="shared" ca="1" si="172"/>
        <v>0</v>
      </c>
      <c r="L327" s="872">
        <f t="shared" ca="1" si="172"/>
        <v>0</v>
      </c>
      <c r="M327" s="872">
        <f t="shared" ca="1" si="172"/>
        <v>0</v>
      </c>
      <c r="N327" s="872">
        <f t="shared" ca="1" si="172"/>
        <v>0</v>
      </c>
      <c r="O327" s="871">
        <f t="shared" ca="1" si="172"/>
        <v>0</v>
      </c>
      <c r="P327" s="872">
        <f t="shared" ca="1" si="172"/>
        <v>0</v>
      </c>
      <c r="Q327" s="872">
        <f t="shared" ca="1" si="172"/>
        <v>0</v>
      </c>
      <c r="R327" s="872">
        <f t="shared" ca="1" si="172"/>
        <v>0</v>
      </c>
      <c r="S327" s="871">
        <f t="shared" ca="1" si="172"/>
        <v>0</v>
      </c>
      <c r="T327" s="872">
        <f t="shared" ca="1" si="172"/>
        <v>0</v>
      </c>
      <c r="U327" s="872">
        <f t="shared" ca="1" si="172"/>
        <v>0</v>
      </c>
      <c r="V327" s="872">
        <f t="shared" ca="1" si="172"/>
        <v>0</v>
      </c>
      <c r="W327" s="871">
        <f t="shared" ca="1" si="172"/>
        <v>0</v>
      </c>
      <c r="X327" s="872">
        <f t="shared" ca="1" si="172"/>
        <v>0</v>
      </c>
      <c r="Y327" s="872">
        <f t="shared" ca="1" si="172"/>
        <v>0</v>
      </c>
      <c r="Z327" s="872">
        <f t="shared" ca="1" si="172"/>
        <v>0</v>
      </c>
      <c r="AA327" s="871">
        <f t="shared" ca="1" si="172"/>
        <v>0</v>
      </c>
      <c r="AB327" s="872">
        <f t="shared" ca="1" si="172"/>
        <v>0</v>
      </c>
      <c r="AC327" s="872">
        <f t="shared" ca="1" si="172"/>
        <v>0</v>
      </c>
      <c r="AD327" s="872">
        <f t="shared" ca="1" si="172"/>
        <v>0</v>
      </c>
      <c r="AE327" s="871">
        <f t="shared" ca="1" si="172"/>
        <v>0</v>
      </c>
      <c r="AF327" s="872">
        <f t="shared" ca="1" si="172"/>
        <v>0</v>
      </c>
      <c r="AG327" s="872">
        <f t="shared" ca="1" si="172"/>
        <v>0</v>
      </c>
      <c r="AH327" s="872">
        <f t="shared" ca="1" si="172"/>
        <v>0</v>
      </c>
      <c r="AI327" s="871">
        <f t="shared" ca="1" si="172"/>
        <v>0</v>
      </c>
      <c r="AJ327" s="872">
        <f t="shared" ca="1" si="172"/>
        <v>0</v>
      </c>
      <c r="AK327" s="872">
        <f t="shared" ca="1" si="172"/>
        <v>0</v>
      </c>
      <c r="AL327" s="872">
        <f t="shared" ca="1" si="172"/>
        <v>0</v>
      </c>
      <c r="AM327" s="871">
        <f t="shared" ca="1" si="172"/>
        <v>0</v>
      </c>
      <c r="AN327" s="872">
        <f t="shared" ca="1" si="172"/>
        <v>0</v>
      </c>
      <c r="AO327" s="872">
        <f t="shared" ca="1" si="172"/>
        <v>0</v>
      </c>
      <c r="AP327" s="872">
        <f t="shared" ca="1" si="172"/>
        <v>0</v>
      </c>
      <c r="AQ327" s="871">
        <f t="shared" ca="1" si="172"/>
        <v>0</v>
      </c>
      <c r="AR327" s="872">
        <f t="shared" ca="1" si="172"/>
        <v>0</v>
      </c>
      <c r="AS327" s="872">
        <f t="shared" ca="1" si="172"/>
        <v>0</v>
      </c>
      <c r="AT327" s="872">
        <f t="shared" ca="1" si="172"/>
        <v>0</v>
      </c>
      <c r="AU327" s="823">
        <f t="shared" ca="1" si="163"/>
        <v>0</v>
      </c>
    </row>
    <row r="328" spans="1:47" s="77" customFormat="1" ht="18" customHeight="1" outlineLevel="1">
      <c r="A328" s="865" t="s">
        <v>24</v>
      </c>
      <c r="B328" s="866">
        <f ca="1">SUM(B329:B340)</f>
        <v>0</v>
      </c>
      <c r="C328" s="867">
        <f ca="1">SUM(C329:C340)</f>
        <v>0</v>
      </c>
      <c r="D328" s="868">
        <f t="shared" ref="D328:AT328" ca="1" si="173">SUM(D329:D340)</f>
        <v>0</v>
      </c>
      <c r="E328" s="868">
        <f t="shared" ca="1" si="173"/>
        <v>0</v>
      </c>
      <c r="F328" s="868">
        <f t="shared" ca="1" si="173"/>
        <v>0</v>
      </c>
      <c r="G328" s="867">
        <f t="shared" ca="1" si="173"/>
        <v>0</v>
      </c>
      <c r="H328" s="868">
        <f t="shared" ca="1" si="173"/>
        <v>0</v>
      </c>
      <c r="I328" s="868">
        <f t="shared" ca="1" si="173"/>
        <v>0</v>
      </c>
      <c r="J328" s="868">
        <f t="shared" ca="1" si="173"/>
        <v>0</v>
      </c>
      <c r="K328" s="867">
        <f t="shared" ca="1" si="173"/>
        <v>0</v>
      </c>
      <c r="L328" s="868">
        <f t="shared" ca="1" si="173"/>
        <v>0</v>
      </c>
      <c r="M328" s="868">
        <f t="shared" ca="1" si="173"/>
        <v>0</v>
      </c>
      <c r="N328" s="868">
        <f t="shared" ca="1" si="173"/>
        <v>0</v>
      </c>
      <c r="O328" s="867">
        <f t="shared" ca="1" si="173"/>
        <v>0</v>
      </c>
      <c r="P328" s="868">
        <f t="shared" ca="1" si="173"/>
        <v>0</v>
      </c>
      <c r="Q328" s="868">
        <f t="shared" ca="1" si="173"/>
        <v>0</v>
      </c>
      <c r="R328" s="868">
        <f t="shared" ca="1" si="173"/>
        <v>0</v>
      </c>
      <c r="S328" s="867">
        <f t="shared" ca="1" si="173"/>
        <v>0</v>
      </c>
      <c r="T328" s="868">
        <f t="shared" ca="1" si="173"/>
        <v>0</v>
      </c>
      <c r="U328" s="868">
        <f t="shared" ca="1" si="173"/>
        <v>0</v>
      </c>
      <c r="V328" s="868">
        <f t="shared" ca="1" si="173"/>
        <v>0</v>
      </c>
      <c r="W328" s="867">
        <f t="shared" ca="1" si="173"/>
        <v>0</v>
      </c>
      <c r="X328" s="868">
        <f t="shared" ca="1" si="173"/>
        <v>0</v>
      </c>
      <c r="Y328" s="868">
        <f t="shared" ca="1" si="173"/>
        <v>0</v>
      </c>
      <c r="Z328" s="868">
        <f t="shared" ca="1" si="173"/>
        <v>0</v>
      </c>
      <c r="AA328" s="867">
        <f t="shared" ca="1" si="173"/>
        <v>0</v>
      </c>
      <c r="AB328" s="868">
        <f t="shared" ca="1" si="173"/>
        <v>0</v>
      </c>
      <c r="AC328" s="868">
        <f t="shared" ca="1" si="173"/>
        <v>0</v>
      </c>
      <c r="AD328" s="868">
        <f t="shared" ca="1" si="173"/>
        <v>0</v>
      </c>
      <c r="AE328" s="867">
        <f t="shared" ca="1" si="173"/>
        <v>0</v>
      </c>
      <c r="AF328" s="868">
        <f t="shared" ca="1" si="173"/>
        <v>0</v>
      </c>
      <c r="AG328" s="868">
        <f t="shared" ca="1" si="173"/>
        <v>0</v>
      </c>
      <c r="AH328" s="868">
        <f t="shared" ca="1" si="173"/>
        <v>0</v>
      </c>
      <c r="AI328" s="867">
        <f t="shared" ca="1" si="173"/>
        <v>0</v>
      </c>
      <c r="AJ328" s="868">
        <f t="shared" ca="1" si="173"/>
        <v>0</v>
      </c>
      <c r="AK328" s="868">
        <f t="shared" ca="1" si="173"/>
        <v>0</v>
      </c>
      <c r="AL328" s="868">
        <f t="shared" ca="1" si="173"/>
        <v>0</v>
      </c>
      <c r="AM328" s="867">
        <f t="shared" ca="1" si="173"/>
        <v>0</v>
      </c>
      <c r="AN328" s="868">
        <f t="shared" ca="1" si="173"/>
        <v>0</v>
      </c>
      <c r="AO328" s="868">
        <f t="shared" ca="1" si="173"/>
        <v>0</v>
      </c>
      <c r="AP328" s="868">
        <f t="shared" ca="1" si="173"/>
        <v>0</v>
      </c>
      <c r="AQ328" s="867">
        <f t="shared" ca="1" si="173"/>
        <v>0</v>
      </c>
      <c r="AR328" s="868">
        <f t="shared" ca="1" si="173"/>
        <v>0</v>
      </c>
      <c r="AS328" s="868">
        <f t="shared" ca="1" si="173"/>
        <v>0</v>
      </c>
      <c r="AT328" s="868">
        <f t="shared" ca="1" si="173"/>
        <v>0</v>
      </c>
    </row>
    <row r="329" spans="1:47" s="77" customFormat="1" ht="18" customHeight="1" outlineLevel="2">
      <c r="A329" s="869" t="str">
        <f>'8.项目规划指标表'!B$5</f>
        <v>高层</v>
      </c>
      <c r="B329" s="870">
        <f ca="1">'17.财务费用测算表'!D$35</f>
        <v>0</v>
      </c>
      <c r="C329" s="871">
        <f ca="1">IFERROR($B329/$B73*C73,0)</f>
        <v>0</v>
      </c>
      <c r="D329" s="872">
        <f t="shared" ref="D329:AT329" ca="1" si="174">IFERROR($B329/$B73*D73,0)</f>
        <v>0</v>
      </c>
      <c r="E329" s="872">
        <f t="shared" ca="1" si="174"/>
        <v>0</v>
      </c>
      <c r="F329" s="872">
        <f t="shared" ca="1" si="174"/>
        <v>0</v>
      </c>
      <c r="G329" s="871">
        <f t="shared" ca="1" si="174"/>
        <v>0</v>
      </c>
      <c r="H329" s="872">
        <f t="shared" ca="1" si="174"/>
        <v>0</v>
      </c>
      <c r="I329" s="872">
        <f t="shared" ca="1" si="174"/>
        <v>0</v>
      </c>
      <c r="J329" s="872">
        <f t="shared" ca="1" si="174"/>
        <v>0</v>
      </c>
      <c r="K329" s="871">
        <f t="shared" ca="1" si="174"/>
        <v>0</v>
      </c>
      <c r="L329" s="872">
        <f t="shared" ca="1" si="174"/>
        <v>0</v>
      </c>
      <c r="M329" s="872">
        <f t="shared" ca="1" si="174"/>
        <v>0</v>
      </c>
      <c r="N329" s="872">
        <f t="shared" ca="1" si="174"/>
        <v>0</v>
      </c>
      <c r="O329" s="871">
        <f t="shared" ca="1" si="174"/>
        <v>0</v>
      </c>
      <c r="P329" s="872">
        <f t="shared" ca="1" si="174"/>
        <v>0</v>
      </c>
      <c r="Q329" s="872">
        <f t="shared" ca="1" si="174"/>
        <v>0</v>
      </c>
      <c r="R329" s="872">
        <f t="shared" ca="1" si="174"/>
        <v>0</v>
      </c>
      <c r="S329" s="871">
        <f t="shared" ca="1" si="174"/>
        <v>0</v>
      </c>
      <c r="T329" s="872">
        <f t="shared" ca="1" si="174"/>
        <v>0</v>
      </c>
      <c r="U329" s="872">
        <f t="shared" ca="1" si="174"/>
        <v>0</v>
      </c>
      <c r="V329" s="872">
        <f t="shared" ca="1" si="174"/>
        <v>0</v>
      </c>
      <c r="W329" s="871">
        <f t="shared" ca="1" si="174"/>
        <v>0</v>
      </c>
      <c r="X329" s="872">
        <f t="shared" ca="1" si="174"/>
        <v>0</v>
      </c>
      <c r="Y329" s="872">
        <f t="shared" ca="1" si="174"/>
        <v>0</v>
      </c>
      <c r="Z329" s="872">
        <f t="shared" ca="1" si="174"/>
        <v>0</v>
      </c>
      <c r="AA329" s="871">
        <f t="shared" ca="1" si="174"/>
        <v>0</v>
      </c>
      <c r="AB329" s="872">
        <f t="shared" ca="1" si="174"/>
        <v>0</v>
      </c>
      <c r="AC329" s="872">
        <f t="shared" ca="1" si="174"/>
        <v>0</v>
      </c>
      <c r="AD329" s="872">
        <f t="shared" ca="1" si="174"/>
        <v>0</v>
      </c>
      <c r="AE329" s="871">
        <f t="shared" ca="1" si="174"/>
        <v>0</v>
      </c>
      <c r="AF329" s="872">
        <f t="shared" ca="1" si="174"/>
        <v>0</v>
      </c>
      <c r="AG329" s="872">
        <f t="shared" ca="1" si="174"/>
        <v>0</v>
      </c>
      <c r="AH329" s="872">
        <f t="shared" ca="1" si="174"/>
        <v>0</v>
      </c>
      <c r="AI329" s="871">
        <f t="shared" ca="1" si="174"/>
        <v>0</v>
      </c>
      <c r="AJ329" s="872">
        <f t="shared" ca="1" si="174"/>
        <v>0</v>
      </c>
      <c r="AK329" s="872">
        <f t="shared" ca="1" si="174"/>
        <v>0</v>
      </c>
      <c r="AL329" s="872">
        <f t="shared" ca="1" si="174"/>
        <v>0</v>
      </c>
      <c r="AM329" s="871">
        <f t="shared" ca="1" si="174"/>
        <v>0</v>
      </c>
      <c r="AN329" s="872">
        <f t="shared" ca="1" si="174"/>
        <v>0</v>
      </c>
      <c r="AO329" s="872">
        <f t="shared" ca="1" si="174"/>
        <v>0</v>
      </c>
      <c r="AP329" s="872">
        <f t="shared" ca="1" si="174"/>
        <v>0</v>
      </c>
      <c r="AQ329" s="871">
        <f t="shared" ca="1" si="174"/>
        <v>0</v>
      </c>
      <c r="AR329" s="872">
        <f t="shared" ca="1" si="174"/>
        <v>0</v>
      </c>
      <c r="AS329" s="872">
        <f t="shared" ca="1" si="174"/>
        <v>0</v>
      </c>
      <c r="AT329" s="872">
        <f t="shared" ca="1" si="174"/>
        <v>0</v>
      </c>
      <c r="AU329" s="823">
        <f ca="1">SUM(C329:AT329)-B329</f>
        <v>0</v>
      </c>
    </row>
    <row r="330" spans="1:47" s="77" customFormat="1" ht="18" customHeight="1" outlineLevel="2">
      <c r="A330" s="869" t="str">
        <f>'8.项目规划指标表'!B$6</f>
        <v>商铺</v>
      </c>
      <c r="B330" s="870">
        <f ca="1">'17.财务费用测算表'!E$35</f>
        <v>0</v>
      </c>
      <c r="C330" s="871">
        <f t="shared" ref="C330:AT330" ca="1" si="175">IFERROR($B330/$B74*C74,0)</f>
        <v>0</v>
      </c>
      <c r="D330" s="872">
        <f t="shared" ca="1" si="175"/>
        <v>0</v>
      </c>
      <c r="E330" s="872">
        <f t="shared" ca="1" si="175"/>
        <v>0</v>
      </c>
      <c r="F330" s="872">
        <f t="shared" ca="1" si="175"/>
        <v>0</v>
      </c>
      <c r="G330" s="871">
        <f t="shared" ca="1" si="175"/>
        <v>0</v>
      </c>
      <c r="H330" s="872">
        <f t="shared" ca="1" si="175"/>
        <v>0</v>
      </c>
      <c r="I330" s="872">
        <f t="shared" ca="1" si="175"/>
        <v>0</v>
      </c>
      <c r="J330" s="872">
        <f t="shared" ca="1" si="175"/>
        <v>0</v>
      </c>
      <c r="K330" s="871">
        <f t="shared" ca="1" si="175"/>
        <v>0</v>
      </c>
      <c r="L330" s="872">
        <f t="shared" ca="1" si="175"/>
        <v>0</v>
      </c>
      <c r="M330" s="872">
        <f t="shared" ca="1" si="175"/>
        <v>0</v>
      </c>
      <c r="N330" s="872">
        <f t="shared" ca="1" si="175"/>
        <v>0</v>
      </c>
      <c r="O330" s="871">
        <f t="shared" ca="1" si="175"/>
        <v>0</v>
      </c>
      <c r="P330" s="872">
        <f t="shared" ca="1" si="175"/>
        <v>0</v>
      </c>
      <c r="Q330" s="872">
        <f t="shared" ca="1" si="175"/>
        <v>0</v>
      </c>
      <c r="R330" s="872">
        <f t="shared" ca="1" si="175"/>
        <v>0</v>
      </c>
      <c r="S330" s="871">
        <f t="shared" ca="1" si="175"/>
        <v>0</v>
      </c>
      <c r="T330" s="872">
        <f t="shared" ca="1" si="175"/>
        <v>0</v>
      </c>
      <c r="U330" s="872">
        <f t="shared" ca="1" si="175"/>
        <v>0</v>
      </c>
      <c r="V330" s="872">
        <f t="shared" ca="1" si="175"/>
        <v>0</v>
      </c>
      <c r="W330" s="871">
        <f t="shared" ca="1" si="175"/>
        <v>0</v>
      </c>
      <c r="X330" s="872">
        <f t="shared" ca="1" si="175"/>
        <v>0</v>
      </c>
      <c r="Y330" s="872">
        <f t="shared" ca="1" si="175"/>
        <v>0</v>
      </c>
      <c r="Z330" s="872">
        <f t="shared" ca="1" si="175"/>
        <v>0</v>
      </c>
      <c r="AA330" s="871">
        <f t="shared" ca="1" si="175"/>
        <v>0</v>
      </c>
      <c r="AB330" s="872">
        <f t="shared" ca="1" si="175"/>
        <v>0</v>
      </c>
      <c r="AC330" s="872">
        <f t="shared" ca="1" si="175"/>
        <v>0</v>
      </c>
      <c r="AD330" s="872">
        <f t="shared" ca="1" si="175"/>
        <v>0</v>
      </c>
      <c r="AE330" s="871">
        <f t="shared" ca="1" si="175"/>
        <v>0</v>
      </c>
      <c r="AF330" s="872">
        <f t="shared" ca="1" si="175"/>
        <v>0</v>
      </c>
      <c r="AG330" s="872">
        <f t="shared" ca="1" si="175"/>
        <v>0</v>
      </c>
      <c r="AH330" s="872">
        <f t="shared" ca="1" si="175"/>
        <v>0</v>
      </c>
      <c r="AI330" s="871">
        <f t="shared" ca="1" si="175"/>
        <v>0</v>
      </c>
      <c r="AJ330" s="872">
        <f t="shared" ca="1" si="175"/>
        <v>0</v>
      </c>
      <c r="AK330" s="872">
        <f t="shared" ca="1" si="175"/>
        <v>0</v>
      </c>
      <c r="AL330" s="872">
        <f t="shared" ca="1" si="175"/>
        <v>0</v>
      </c>
      <c r="AM330" s="871">
        <f t="shared" ca="1" si="175"/>
        <v>0</v>
      </c>
      <c r="AN330" s="872">
        <f t="shared" ca="1" si="175"/>
        <v>0</v>
      </c>
      <c r="AO330" s="872">
        <f t="shared" ca="1" si="175"/>
        <v>0</v>
      </c>
      <c r="AP330" s="872">
        <f t="shared" ca="1" si="175"/>
        <v>0</v>
      </c>
      <c r="AQ330" s="871">
        <f t="shared" ca="1" si="175"/>
        <v>0</v>
      </c>
      <c r="AR330" s="872">
        <f t="shared" ca="1" si="175"/>
        <v>0</v>
      </c>
      <c r="AS330" s="872">
        <f t="shared" ca="1" si="175"/>
        <v>0</v>
      </c>
      <c r="AT330" s="872">
        <f t="shared" ca="1" si="175"/>
        <v>0</v>
      </c>
      <c r="AU330" s="823">
        <f t="shared" ref="AU330:AU340" ca="1" si="176">SUM(C330:AT330)-B330</f>
        <v>0</v>
      </c>
    </row>
    <row r="331" spans="1:47" s="77" customFormat="1" ht="18" customHeight="1" outlineLevel="2">
      <c r="A331" s="869" t="str">
        <f>'8.项目规划指标表'!B$7</f>
        <v>回迁商业</v>
      </c>
      <c r="B331" s="870">
        <f>'17.财务费用测算表'!F$35</f>
        <v>0</v>
      </c>
      <c r="C331" s="871">
        <f t="shared" ref="C331:AT331" si="177">IFERROR($B331/$B75*C75,0)</f>
        <v>0</v>
      </c>
      <c r="D331" s="872">
        <f t="shared" si="177"/>
        <v>0</v>
      </c>
      <c r="E331" s="872">
        <f t="shared" si="177"/>
        <v>0</v>
      </c>
      <c r="F331" s="872">
        <f t="shared" si="177"/>
        <v>0</v>
      </c>
      <c r="G331" s="871">
        <f t="shared" si="177"/>
        <v>0</v>
      </c>
      <c r="H331" s="872">
        <f t="shared" si="177"/>
        <v>0</v>
      </c>
      <c r="I331" s="872">
        <f t="shared" si="177"/>
        <v>0</v>
      </c>
      <c r="J331" s="872">
        <f t="shared" si="177"/>
        <v>0</v>
      </c>
      <c r="K331" s="871">
        <f t="shared" si="177"/>
        <v>0</v>
      </c>
      <c r="L331" s="872">
        <f t="shared" si="177"/>
        <v>0</v>
      </c>
      <c r="M331" s="872">
        <f t="shared" si="177"/>
        <v>0</v>
      </c>
      <c r="N331" s="872">
        <f t="shared" si="177"/>
        <v>0</v>
      </c>
      <c r="O331" s="871">
        <f t="shared" si="177"/>
        <v>0</v>
      </c>
      <c r="P331" s="872">
        <f t="shared" si="177"/>
        <v>0</v>
      </c>
      <c r="Q331" s="872">
        <f t="shared" si="177"/>
        <v>0</v>
      </c>
      <c r="R331" s="872">
        <f t="shared" si="177"/>
        <v>0</v>
      </c>
      <c r="S331" s="871">
        <f t="shared" si="177"/>
        <v>0</v>
      </c>
      <c r="T331" s="872">
        <f t="shared" si="177"/>
        <v>0</v>
      </c>
      <c r="U331" s="872">
        <f t="shared" si="177"/>
        <v>0</v>
      </c>
      <c r="V331" s="872">
        <f t="shared" si="177"/>
        <v>0</v>
      </c>
      <c r="W331" s="871">
        <f t="shared" si="177"/>
        <v>0</v>
      </c>
      <c r="X331" s="872">
        <f t="shared" si="177"/>
        <v>0</v>
      </c>
      <c r="Y331" s="872">
        <f t="shared" si="177"/>
        <v>0</v>
      </c>
      <c r="Z331" s="872">
        <f t="shared" si="177"/>
        <v>0</v>
      </c>
      <c r="AA331" s="871">
        <f t="shared" si="177"/>
        <v>0</v>
      </c>
      <c r="AB331" s="872">
        <f t="shared" si="177"/>
        <v>0</v>
      </c>
      <c r="AC331" s="872">
        <f t="shared" si="177"/>
        <v>0</v>
      </c>
      <c r="AD331" s="872">
        <f t="shared" si="177"/>
        <v>0</v>
      </c>
      <c r="AE331" s="871">
        <f t="shared" si="177"/>
        <v>0</v>
      </c>
      <c r="AF331" s="872">
        <f t="shared" si="177"/>
        <v>0</v>
      </c>
      <c r="AG331" s="872">
        <f t="shared" si="177"/>
        <v>0</v>
      </c>
      <c r="AH331" s="872">
        <f t="shared" si="177"/>
        <v>0</v>
      </c>
      <c r="AI331" s="871">
        <f t="shared" si="177"/>
        <v>0</v>
      </c>
      <c r="AJ331" s="872">
        <f t="shared" si="177"/>
        <v>0</v>
      </c>
      <c r="AK331" s="872">
        <f t="shared" si="177"/>
        <v>0</v>
      </c>
      <c r="AL331" s="872">
        <f t="shared" si="177"/>
        <v>0</v>
      </c>
      <c r="AM331" s="871">
        <f t="shared" si="177"/>
        <v>0</v>
      </c>
      <c r="AN331" s="872">
        <f t="shared" si="177"/>
        <v>0</v>
      </c>
      <c r="AO331" s="872">
        <f t="shared" si="177"/>
        <v>0</v>
      </c>
      <c r="AP331" s="872">
        <f t="shared" si="177"/>
        <v>0</v>
      </c>
      <c r="AQ331" s="871">
        <f t="shared" si="177"/>
        <v>0</v>
      </c>
      <c r="AR331" s="872">
        <f t="shared" si="177"/>
        <v>0</v>
      </c>
      <c r="AS331" s="872">
        <f t="shared" si="177"/>
        <v>0</v>
      </c>
      <c r="AT331" s="872">
        <f t="shared" si="177"/>
        <v>0</v>
      </c>
      <c r="AU331" s="823">
        <f t="shared" si="176"/>
        <v>0</v>
      </c>
    </row>
    <row r="332" spans="1:47" s="77" customFormat="1" ht="18" customHeight="1" outlineLevel="2">
      <c r="A332" s="869">
        <f>'8.项目规划指标表'!B$8</f>
        <v>0</v>
      </c>
      <c r="B332" s="870">
        <f ca="1">'17.财务费用测算表'!G$35</f>
        <v>0</v>
      </c>
      <c r="C332" s="871">
        <f t="shared" ref="C332:AT332" ca="1" si="178">IFERROR($B332/$B76*C76,0)</f>
        <v>0</v>
      </c>
      <c r="D332" s="872">
        <f t="shared" ca="1" si="178"/>
        <v>0</v>
      </c>
      <c r="E332" s="872">
        <f t="shared" ca="1" si="178"/>
        <v>0</v>
      </c>
      <c r="F332" s="872">
        <f t="shared" ca="1" si="178"/>
        <v>0</v>
      </c>
      <c r="G332" s="871">
        <f t="shared" ca="1" si="178"/>
        <v>0</v>
      </c>
      <c r="H332" s="872">
        <f t="shared" ca="1" si="178"/>
        <v>0</v>
      </c>
      <c r="I332" s="872">
        <f t="shared" ca="1" si="178"/>
        <v>0</v>
      </c>
      <c r="J332" s="872">
        <f t="shared" ca="1" si="178"/>
        <v>0</v>
      </c>
      <c r="K332" s="871">
        <f t="shared" ca="1" si="178"/>
        <v>0</v>
      </c>
      <c r="L332" s="872">
        <f t="shared" ca="1" si="178"/>
        <v>0</v>
      </c>
      <c r="M332" s="872">
        <f t="shared" ca="1" si="178"/>
        <v>0</v>
      </c>
      <c r="N332" s="872">
        <f t="shared" ca="1" si="178"/>
        <v>0</v>
      </c>
      <c r="O332" s="871">
        <f t="shared" ca="1" si="178"/>
        <v>0</v>
      </c>
      <c r="P332" s="872">
        <f t="shared" ca="1" si="178"/>
        <v>0</v>
      </c>
      <c r="Q332" s="872">
        <f t="shared" ca="1" si="178"/>
        <v>0</v>
      </c>
      <c r="R332" s="872">
        <f t="shared" ca="1" si="178"/>
        <v>0</v>
      </c>
      <c r="S332" s="871">
        <f t="shared" ca="1" si="178"/>
        <v>0</v>
      </c>
      <c r="T332" s="872">
        <f t="shared" ca="1" si="178"/>
        <v>0</v>
      </c>
      <c r="U332" s="872">
        <f t="shared" ca="1" si="178"/>
        <v>0</v>
      </c>
      <c r="V332" s="872">
        <f t="shared" ca="1" si="178"/>
        <v>0</v>
      </c>
      <c r="W332" s="871">
        <f t="shared" ca="1" si="178"/>
        <v>0</v>
      </c>
      <c r="X332" s="872">
        <f t="shared" ca="1" si="178"/>
        <v>0</v>
      </c>
      <c r="Y332" s="872">
        <f t="shared" ca="1" si="178"/>
        <v>0</v>
      </c>
      <c r="Z332" s="872">
        <f t="shared" ca="1" si="178"/>
        <v>0</v>
      </c>
      <c r="AA332" s="871">
        <f t="shared" ca="1" si="178"/>
        <v>0</v>
      </c>
      <c r="AB332" s="872">
        <f t="shared" ca="1" si="178"/>
        <v>0</v>
      </c>
      <c r="AC332" s="872">
        <f t="shared" ca="1" si="178"/>
        <v>0</v>
      </c>
      <c r="AD332" s="872">
        <f t="shared" ca="1" si="178"/>
        <v>0</v>
      </c>
      <c r="AE332" s="871">
        <f t="shared" ca="1" si="178"/>
        <v>0</v>
      </c>
      <c r="AF332" s="872">
        <f t="shared" ca="1" si="178"/>
        <v>0</v>
      </c>
      <c r="AG332" s="872">
        <f t="shared" ca="1" si="178"/>
        <v>0</v>
      </c>
      <c r="AH332" s="872">
        <f t="shared" ca="1" si="178"/>
        <v>0</v>
      </c>
      <c r="AI332" s="871">
        <f t="shared" ca="1" si="178"/>
        <v>0</v>
      </c>
      <c r="AJ332" s="872">
        <f t="shared" ca="1" si="178"/>
        <v>0</v>
      </c>
      <c r="AK332" s="872">
        <f t="shared" ca="1" si="178"/>
        <v>0</v>
      </c>
      <c r="AL332" s="872">
        <f t="shared" ca="1" si="178"/>
        <v>0</v>
      </c>
      <c r="AM332" s="871">
        <f t="shared" ca="1" si="178"/>
        <v>0</v>
      </c>
      <c r="AN332" s="872">
        <f t="shared" ca="1" si="178"/>
        <v>0</v>
      </c>
      <c r="AO332" s="872">
        <f t="shared" ca="1" si="178"/>
        <v>0</v>
      </c>
      <c r="AP332" s="872">
        <f t="shared" ca="1" si="178"/>
        <v>0</v>
      </c>
      <c r="AQ332" s="871">
        <f t="shared" ca="1" si="178"/>
        <v>0</v>
      </c>
      <c r="AR332" s="872">
        <f t="shared" ca="1" si="178"/>
        <v>0</v>
      </c>
      <c r="AS332" s="872">
        <f t="shared" ca="1" si="178"/>
        <v>0</v>
      </c>
      <c r="AT332" s="872">
        <f t="shared" ca="1" si="178"/>
        <v>0</v>
      </c>
      <c r="AU332" s="823">
        <f t="shared" ca="1" si="176"/>
        <v>0</v>
      </c>
    </row>
    <row r="333" spans="1:47" s="77" customFormat="1" ht="18" customHeight="1" outlineLevel="2">
      <c r="A333" s="869">
        <f>'8.项目规划指标表'!B$9</f>
        <v>0</v>
      </c>
      <c r="B333" s="870">
        <f ca="1">'17.财务费用测算表'!H$35</f>
        <v>0</v>
      </c>
      <c r="C333" s="871">
        <f t="shared" ref="C333:AT333" ca="1" si="179">IFERROR($B333/$B77*C77,0)</f>
        <v>0</v>
      </c>
      <c r="D333" s="872">
        <f t="shared" ca="1" si="179"/>
        <v>0</v>
      </c>
      <c r="E333" s="872">
        <f t="shared" ca="1" si="179"/>
        <v>0</v>
      </c>
      <c r="F333" s="872">
        <f t="shared" ca="1" si="179"/>
        <v>0</v>
      </c>
      <c r="G333" s="871">
        <f t="shared" ca="1" si="179"/>
        <v>0</v>
      </c>
      <c r="H333" s="872">
        <f t="shared" ca="1" si="179"/>
        <v>0</v>
      </c>
      <c r="I333" s="872">
        <f t="shared" ca="1" si="179"/>
        <v>0</v>
      </c>
      <c r="J333" s="872">
        <f t="shared" ca="1" si="179"/>
        <v>0</v>
      </c>
      <c r="K333" s="871">
        <f t="shared" ca="1" si="179"/>
        <v>0</v>
      </c>
      <c r="L333" s="872">
        <f t="shared" ca="1" si="179"/>
        <v>0</v>
      </c>
      <c r="M333" s="872">
        <f t="shared" ca="1" si="179"/>
        <v>0</v>
      </c>
      <c r="N333" s="872">
        <f t="shared" ca="1" si="179"/>
        <v>0</v>
      </c>
      <c r="O333" s="871">
        <f t="shared" ca="1" si="179"/>
        <v>0</v>
      </c>
      <c r="P333" s="872">
        <f t="shared" ca="1" si="179"/>
        <v>0</v>
      </c>
      <c r="Q333" s="872">
        <f t="shared" ca="1" si="179"/>
        <v>0</v>
      </c>
      <c r="R333" s="872">
        <f t="shared" ca="1" si="179"/>
        <v>0</v>
      </c>
      <c r="S333" s="871">
        <f t="shared" ca="1" si="179"/>
        <v>0</v>
      </c>
      <c r="T333" s="872">
        <f t="shared" ca="1" si="179"/>
        <v>0</v>
      </c>
      <c r="U333" s="872">
        <f t="shared" ca="1" si="179"/>
        <v>0</v>
      </c>
      <c r="V333" s="872">
        <f t="shared" ca="1" si="179"/>
        <v>0</v>
      </c>
      <c r="W333" s="871">
        <f t="shared" ca="1" si="179"/>
        <v>0</v>
      </c>
      <c r="X333" s="872">
        <f t="shared" ca="1" si="179"/>
        <v>0</v>
      </c>
      <c r="Y333" s="872">
        <f t="shared" ca="1" si="179"/>
        <v>0</v>
      </c>
      <c r="Z333" s="872">
        <f t="shared" ca="1" si="179"/>
        <v>0</v>
      </c>
      <c r="AA333" s="871">
        <f t="shared" ca="1" si="179"/>
        <v>0</v>
      </c>
      <c r="AB333" s="872">
        <f t="shared" ca="1" si="179"/>
        <v>0</v>
      </c>
      <c r="AC333" s="872">
        <f t="shared" ca="1" si="179"/>
        <v>0</v>
      </c>
      <c r="AD333" s="872">
        <f t="shared" ca="1" si="179"/>
        <v>0</v>
      </c>
      <c r="AE333" s="871">
        <f t="shared" ca="1" si="179"/>
        <v>0</v>
      </c>
      <c r="AF333" s="872">
        <f t="shared" ca="1" si="179"/>
        <v>0</v>
      </c>
      <c r="AG333" s="872">
        <f t="shared" ca="1" si="179"/>
        <v>0</v>
      </c>
      <c r="AH333" s="872">
        <f t="shared" ca="1" si="179"/>
        <v>0</v>
      </c>
      <c r="AI333" s="871">
        <f t="shared" ca="1" si="179"/>
        <v>0</v>
      </c>
      <c r="AJ333" s="872">
        <f t="shared" ca="1" si="179"/>
        <v>0</v>
      </c>
      <c r="AK333" s="872">
        <f t="shared" ca="1" si="179"/>
        <v>0</v>
      </c>
      <c r="AL333" s="872">
        <f t="shared" ca="1" si="179"/>
        <v>0</v>
      </c>
      <c r="AM333" s="871">
        <f t="shared" ca="1" si="179"/>
        <v>0</v>
      </c>
      <c r="AN333" s="872">
        <f t="shared" ca="1" si="179"/>
        <v>0</v>
      </c>
      <c r="AO333" s="872">
        <f t="shared" ca="1" si="179"/>
        <v>0</v>
      </c>
      <c r="AP333" s="872">
        <f t="shared" ca="1" si="179"/>
        <v>0</v>
      </c>
      <c r="AQ333" s="871">
        <f t="shared" ca="1" si="179"/>
        <v>0</v>
      </c>
      <c r="AR333" s="872">
        <f t="shared" ca="1" si="179"/>
        <v>0</v>
      </c>
      <c r="AS333" s="872">
        <f t="shared" ca="1" si="179"/>
        <v>0</v>
      </c>
      <c r="AT333" s="872">
        <f t="shared" ca="1" si="179"/>
        <v>0</v>
      </c>
      <c r="AU333" s="823">
        <f t="shared" ca="1" si="176"/>
        <v>0</v>
      </c>
    </row>
    <row r="334" spans="1:47" s="77" customFormat="1" ht="18" customHeight="1" outlineLevel="2">
      <c r="A334" s="869">
        <f>'8.项目规划指标表'!B$10</f>
        <v>0</v>
      </c>
      <c r="B334" s="870">
        <f ca="1">'17.财务费用测算表'!I$35</f>
        <v>0</v>
      </c>
      <c r="C334" s="871">
        <f t="shared" ref="C334:AT334" ca="1" si="180">IFERROR($B334/$B78*C78,0)</f>
        <v>0</v>
      </c>
      <c r="D334" s="872">
        <f t="shared" ca="1" si="180"/>
        <v>0</v>
      </c>
      <c r="E334" s="872">
        <f t="shared" ca="1" si="180"/>
        <v>0</v>
      </c>
      <c r="F334" s="872">
        <f t="shared" ca="1" si="180"/>
        <v>0</v>
      </c>
      <c r="G334" s="871">
        <f t="shared" ca="1" si="180"/>
        <v>0</v>
      </c>
      <c r="H334" s="872">
        <f t="shared" ca="1" si="180"/>
        <v>0</v>
      </c>
      <c r="I334" s="872">
        <f t="shared" ca="1" si="180"/>
        <v>0</v>
      </c>
      <c r="J334" s="872">
        <f t="shared" ca="1" si="180"/>
        <v>0</v>
      </c>
      <c r="K334" s="871">
        <f t="shared" ca="1" si="180"/>
        <v>0</v>
      </c>
      <c r="L334" s="872">
        <f t="shared" ca="1" si="180"/>
        <v>0</v>
      </c>
      <c r="M334" s="872">
        <f t="shared" ca="1" si="180"/>
        <v>0</v>
      </c>
      <c r="N334" s="872">
        <f t="shared" ca="1" si="180"/>
        <v>0</v>
      </c>
      <c r="O334" s="871">
        <f t="shared" ca="1" si="180"/>
        <v>0</v>
      </c>
      <c r="P334" s="872">
        <f t="shared" ca="1" si="180"/>
        <v>0</v>
      </c>
      <c r="Q334" s="872">
        <f t="shared" ca="1" si="180"/>
        <v>0</v>
      </c>
      <c r="R334" s="872">
        <f t="shared" ca="1" si="180"/>
        <v>0</v>
      </c>
      <c r="S334" s="871">
        <f t="shared" ca="1" si="180"/>
        <v>0</v>
      </c>
      <c r="T334" s="872">
        <f t="shared" ca="1" si="180"/>
        <v>0</v>
      </c>
      <c r="U334" s="872">
        <f t="shared" ca="1" si="180"/>
        <v>0</v>
      </c>
      <c r="V334" s="872">
        <f t="shared" ca="1" si="180"/>
        <v>0</v>
      </c>
      <c r="W334" s="871">
        <f t="shared" ca="1" si="180"/>
        <v>0</v>
      </c>
      <c r="X334" s="872">
        <f t="shared" ca="1" si="180"/>
        <v>0</v>
      </c>
      <c r="Y334" s="872">
        <f t="shared" ca="1" si="180"/>
        <v>0</v>
      </c>
      <c r="Z334" s="872">
        <f t="shared" ca="1" si="180"/>
        <v>0</v>
      </c>
      <c r="AA334" s="871">
        <f t="shared" ca="1" si="180"/>
        <v>0</v>
      </c>
      <c r="AB334" s="872">
        <f t="shared" ca="1" si="180"/>
        <v>0</v>
      </c>
      <c r="AC334" s="872">
        <f t="shared" ca="1" si="180"/>
        <v>0</v>
      </c>
      <c r="AD334" s="872">
        <f t="shared" ca="1" si="180"/>
        <v>0</v>
      </c>
      <c r="AE334" s="871">
        <f t="shared" ca="1" si="180"/>
        <v>0</v>
      </c>
      <c r="AF334" s="872">
        <f t="shared" ca="1" si="180"/>
        <v>0</v>
      </c>
      <c r="AG334" s="872">
        <f t="shared" ca="1" si="180"/>
        <v>0</v>
      </c>
      <c r="AH334" s="872">
        <f t="shared" ca="1" si="180"/>
        <v>0</v>
      </c>
      <c r="AI334" s="871">
        <f t="shared" ca="1" si="180"/>
        <v>0</v>
      </c>
      <c r="AJ334" s="872">
        <f t="shared" ca="1" si="180"/>
        <v>0</v>
      </c>
      <c r="AK334" s="872">
        <f t="shared" ca="1" si="180"/>
        <v>0</v>
      </c>
      <c r="AL334" s="872">
        <f t="shared" ca="1" si="180"/>
        <v>0</v>
      </c>
      <c r="AM334" s="871">
        <f t="shared" ca="1" si="180"/>
        <v>0</v>
      </c>
      <c r="AN334" s="872">
        <f t="shared" ca="1" si="180"/>
        <v>0</v>
      </c>
      <c r="AO334" s="872">
        <f t="shared" ca="1" si="180"/>
        <v>0</v>
      </c>
      <c r="AP334" s="872">
        <f t="shared" ca="1" si="180"/>
        <v>0</v>
      </c>
      <c r="AQ334" s="871">
        <f t="shared" ca="1" si="180"/>
        <v>0</v>
      </c>
      <c r="AR334" s="872">
        <f t="shared" ca="1" si="180"/>
        <v>0</v>
      </c>
      <c r="AS334" s="872">
        <f t="shared" ca="1" si="180"/>
        <v>0</v>
      </c>
      <c r="AT334" s="872">
        <f t="shared" ca="1" si="180"/>
        <v>0</v>
      </c>
      <c r="AU334" s="823">
        <f t="shared" ca="1" si="176"/>
        <v>0</v>
      </c>
    </row>
    <row r="335" spans="1:47" s="77" customFormat="1" ht="18" customHeight="1" outlineLevel="2">
      <c r="A335" s="869">
        <f>'8.项目规划指标表'!B$11</f>
        <v>0</v>
      </c>
      <c r="B335" s="870">
        <f ca="1">'17.财务费用测算表'!J$35</f>
        <v>0</v>
      </c>
      <c r="C335" s="871">
        <f t="shared" ref="C335:AT335" ca="1" si="181">IFERROR($B335/$B79*C79,0)</f>
        <v>0</v>
      </c>
      <c r="D335" s="872">
        <f t="shared" ca="1" si="181"/>
        <v>0</v>
      </c>
      <c r="E335" s="872">
        <f t="shared" ca="1" si="181"/>
        <v>0</v>
      </c>
      <c r="F335" s="872">
        <f t="shared" ca="1" si="181"/>
        <v>0</v>
      </c>
      <c r="G335" s="871">
        <f t="shared" ca="1" si="181"/>
        <v>0</v>
      </c>
      <c r="H335" s="872">
        <f t="shared" ca="1" si="181"/>
        <v>0</v>
      </c>
      <c r="I335" s="872">
        <f t="shared" ca="1" si="181"/>
        <v>0</v>
      </c>
      <c r="J335" s="872">
        <f t="shared" ca="1" si="181"/>
        <v>0</v>
      </c>
      <c r="K335" s="871">
        <f t="shared" ca="1" si="181"/>
        <v>0</v>
      </c>
      <c r="L335" s="872">
        <f t="shared" ca="1" si="181"/>
        <v>0</v>
      </c>
      <c r="M335" s="872">
        <f t="shared" ca="1" si="181"/>
        <v>0</v>
      </c>
      <c r="N335" s="872">
        <f t="shared" ca="1" si="181"/>
        <v>0</v>
      </c>
      <c r="O335" s="871">
        <f t="shared" ca="1" si="181"/>
        <v>0</v>
      </c>
      <c r="P335" s="872">
        <f t="shared" ca="1" si="181"/>
        <v>0</v>
      </c>
      <c r="Q335" s="872">
        <f t="shared" ca="1" si="181"/>
        <v>0</v>
      </c>
      <c r="R335" s="872">
        <f t="shared" ca="1" si="181"/>
        <v>0</v>
      </c>
      <c r="S335" s="871">
        <f t="shared" ca="1" si="181"/>
        <v>0</v>
      </c>
      <c r="T335" s="872">
        <f t="shared" ca="1" si="181"/>
        <v>0</v>
      </c>
      <c r="U335" s="872">
        <f t="shared" ca="1" si="181"/>
        <v>0</v>
      </c>
      <c r="V335" s="872">
        <f t="shared" ca="1" si="181"/>
        <v>0</v>
      </c>
      <c r="W335" s="871">
        <f t="shared" ca="1" si="181"/>
        <v>0</v>
      </c>
      <c r="X335" s="872">
        <f t="shared" ca="1" si="181"/>
        <v>0</v>
      </c>
      <c r="Y335" s="872">
        <f t="shared" ca="1" si="181"/>
        <v>0</v>
      </c>
      <c r="Z335" s="872">
        <f t="shared" ca="1" si="181"/>
        <v>0</v>
      </c>
      <c r="AA335" s="871">
        <f t="shared" ca="1" si="181"/>
        <v>0</v>
      </c>
      <c r="AB335" s="872">
        <f t="shared" ca="1" si="181"/>
        <v>0</v>
      </c>
      <c r="AC335" s="872">
        <f t="shared" ca="1" si="181"/>
        <v>0</v>
      </c>
      <c r="AD335" s="872">
        <f t="shared" ca="1" si="181"/>
        <v>0</v>
      </c>
      <c r="AE335" s="871">
        <f t="shared" ca="1" si="181"/>
        <v>0</v>
      </c>
      <c r="AF335" s="872">
        <f t="shared" ca="1" si="181"/>
        <v>0</v>
      </c>
      <c r="AG335" s="872">
        <f t="shared" ca="1" si="181"/>
        <v>0</v>
      </c>
      <c r="AH335" s="872">
        <f t="shared" ca="1" si="181"/>
        <v>0</v>
      </c>
      <c r="AI335" s="871">
        <f t="shared" ca="1" si="181"/>
        <v>0</v>
      </c>
      <c r="AJ335" s="872">
        <f t="shared" ca="1" si="181"/>
        <v>0</v>
      </c>
      <c r="AK335" s="872">
        <f t="shared" ca="1" si="181"/>
        <v>0</v>
      </c>
      <c r="AL335" s="872">
        <f t="shared" ca="1" si="181"/>
        <v>0</v>
      </c>
      <c r="AM335" s="871">
        <f t="shared" ca="1" si="181"/>
        <v>0</v>
      </c>
      <c r="AN335" s="872">
        <f t="shared" ca="1" si="181"/>
        <v>0</v>
      </c>
      <c r="AO335" s="872">
        <f t="shared" ca="1" si="181"/>
        <v>0</v>
      </c>
      <c r="AP335" s="872">
        <f t="shared" ca="1" si="181"/>
        <v>0</v>
      </c>
      <c r="AQ335" s="871">
        <f t="shared" ca="1" si="181"/>
        <v>0</v>
      </c>
      <c r="AR335" s="872">
        <f t="shared" ca="1" si="181"/>
        <v>0</v>
      </c>
      <c r="AS335" s="872">
        <f t="shared" ca="1" si="181"/>
        <v>0</v>
      </c>
      <c r="AT335" s="872">
        <f t="shared" ca="1" si="181"/>
        <v>0</v>
      </c>
      <c r="AU335" s="823">
        <f t="shared" ca="1" si="176"/>
        <v>0</v>
      </c>
    </row>
    <row r="336" spans="1:47" s="77" customFormat="1" ht="18" customHeight="1" outlineLevel="2">
      <c r="A336" s="869">
        <f>'8.项目规划指标表'!B$12</f>
        <v>0</v>
      </c>
      <c r="B336" s="870">
        <f ca="1">'17.财务费用测算表'!K$35</f>
        <v>0</v>
      </c>
      <c r="C336" s="871">
        <f t="shared" ref="C336:AT336" ca="1" si="182">IFERROR($B336/$B80*C80,0)</f>
        <v>0</v>
      </c>
      <c r="D336" s="872">
        <f t="shared" ca="1" si="182"/>
        <v>0</v>
      </c>
      <c r="E336" s="872">
        <f t="shared" ca="1" si="182"/>
        <v>0</v>
      </c>
      <c r="F336" s="872">
        <f t="shared" ca="1" si="182"/>
        <v>0</v>
      </c>
      <c r="G336" s="871">
        <f t="shared" ca="1" si="182"/>
        <v>0</v>
      </c>
      <c r="H336" s="872">
        <f t="shared" ca="1" si="182"/>
        <v>0</v>
      </c>
      <c r="I336" s="872">
        <f t="shared" ca="1" si="182"/>
        <v>0</v>
      </c>
      <c r="J336" s="872">
        <f t="shared" ca="1" si="182"/>
        <v>0</v>
      </c>
      <c r="K336" s="871">
        <f t="shared" ca="1" si="182"/>
        <v>0</v>
      </c>
      <c r="L336" s="872">
        <f t="shared" ca="1" si="182"/>
        <v>0</v>
      </c>
      <c r="M336" s="872">
        <f t="shared" ca="1" si="182"/>
        <v>0</v>
      </c>
      <c r="N336" s="872">
        <f t="shared" ca="1" si="182"/>
        <v>0</v>
      </c>
      <c r="O336" s="871">
        <f t="shared" ca="1" si="182"/>
        <v>0</v>
      </c>
      <c r="P336" s="872">
        <f t="shared" ca="1" si="182"/>
        <v>0</v>
      </c>
      <c r="Q336" s="872">
        <f t="shared" ca="1" si="182"/>
        <v>0</v>
      </c>
      <c r="R336" s="872">
        <f t="shared" ca="1" si="182"/>
        <v>0</v>
      </c>
      <c r="S336" s="871">
        <f t="shared" ca="1" si="182"/>
        <v>0</v>
      </c>
      <c r="T336" s="872">
        <f t="shared" ca="1" si="182"/>
        <v>0</v>
      </c>
      <c r="U336" s="872">
        <f t="shared" ca="1" si="182"/>
        <v>0</v>
      </c>
      <c r="V336" s="872">
        <f t="shared" ca="1" si="182"/>
        <v>0</v>
      </c>
      <c r="W336" s="871">
        <f t="shared" ca="1" si="182"/>
        <v>0</v>
      </c>
      <c r="X336" s="872">
        <f t="shared" ca="1" si="182"/>
        <v>0</v>
      </c>
      <c r="Y336" s="872">
        <f t="shared" ca="1" si="182"/>
        <v>0</v>
      </c>
      <c r="Z336" s="872">
        <f t="shared" ca="1" si="182"/>
        <v>0</v>
      </c>
      <c r="AA336" s="871">
        <f t="shared" ca="1" si="182"/>
        <v>0</v>
      </c>
      <c r="AB336" s="872">
        <f t="shared" ca="1" si="182"/>
        <v>0</v>
      </c>
      <c r="AC336" s="872">
        <f t="shared" ca="1" si="182"/>
        <v>0</v>
      </c>
      <c r="AD336" s="872">
        <f t="shared" ca="1" si="182"/>
        <v>0</v>
      </c>
      <c r="AE336" s="871">
        <f t="shared" ca="1" si="182"/>
        <v>0</v>
      </c>
      <c r="AF336" s="872">
        <f t="shared" ca="1" si="182"/>
        <v>0</v>
      </c>
      <c r="AG336" s="872">
        <f t="shared" ca="1" si="182"/>
        <v>0</v>
      </c>
      <c r="AH336" s="872">
        <f t="shared" ca="1" si="182"/>
        <v>0</v>
      </c>
      <c r="AI336" s="871">
        <f t="shared" ca="1" si="182"/>
        <v>0</v>
      </c>
      <c r="AJ336" s="872">
        <f t="shared" ca="1" si="182"/>
        <v>0</v>
      </c>
      <c r="AK336" s="872">
        <f t="shared" ca="1" si="182"/>
        <v>0</v>
      </c>
      <c r="AL336" s="872">
        <f t="shared" ca="1" si="182"/>
        <v>0</v>
      </c>
      <c r="AM336" s="871">
        <f t="shared" ca="1" si="182"/>
        <v>0</v>
      </c>
      <c r="AN336" s="872">
        <f t="shared" ca="1" si="182"/>
        <v>0</v>
      </c>
      <c r="AO336" s="872">
        <f t="shared" ca="1" si="182"/>
        <v>0</v>
      </c>
      <c r="AP336" s="872">
        <f t="shared" ca="1" si="182"/>
        <v>0</v>
      </c>
      <c r="AQ336" s="871">
        <f t="shared" ca="1" si="182"/>
        <v>0</v>
      </c>
      <c r="AR336" s="872">
        <f t="shared" ca="1" si="182"/>
        <v>0</v>
      </c>
      <c r="AS336" s="872">
        <f t="shared" ca="1" si="182"/>
        <v>0</v>
      </c>
      <c r="AT336" s="872">
        <f t="shared" ca="1" si="182"/>
        <v>0</v>
      </c>
      <c r="AU336" s="823">
        <f t="shared" ca="1" si="176"/>
        <v>0</v>
      </c>
    </row>
    <row r="337" spans="1:47" s="77" customFormat="1" ht="18" customHeight="1" outlineLevel="2">
      <c r="A337" s="869">
        <f>'8.项目规划指标表'!B$13</f>
        <v>0</v>
      </c>
      <c r="B337" s="870">
        <f ca="1">'17.财务费用测算表'!L$35</f>
        <v>0</v>
      </c>
      <c r="C337" s="871">
        <f t="shared" ref="C337:AT337" ca="1" si="183">IFERROR($B337/$B81*C81,0)</f>
        <v>0</v>
      </c>
      <c r="D337" s="872">
        <f t="shared" ca="1" si="183"/>
        <v>0</v>
      </c>
      <c r="E337" s="872">
        <f t="shared" ca="1" si="183"/>
        <v>0</v>
      </c>
      <c r="F337" s="872">
        <f t="shared" ca="1" si="183"/>
        <v>0</v>
      </c>
      <c r="G337" s="871">
        <f t="shared" ca="1" si="183"/>
        <v>0</v>
      </c>
      <c r="H337" s="872">
        <f t="shared" ca="1" si="183"/>
        <v>0</v>
      </c>
      <c r="I337" s="872">
        <f t="shared" ca="1" si="183"/>
        <v>0</v>
      </c>
      <c r="J337" s="872">
        <f t="shared" ca="1" si="183"/>
        <v>0</v>
      </c>
      <c r="K337" s="871">
        <f t="shared" ca="1" si="183"/>
        <v>0</v>
      </c>
      <c r="L337" s="872">
        <f t="shared" ca="1" si="183"/>
        <v>0</v>
      </c>
      <c r="M337" s="872">
        <f t="shared" ca="1" si="183"/>
        <v>0</v>
      </c>
      <c r="N337" s="872">
        <f t="shared" ca="1" si="183"/>
        <v>0</v>
      </c>
      <c r="O337" s="871">
        <f t="shared" ca="1" si="183"/>
        <v>0</v>
      </c>
      <c r="P337" s="872">
        <f t="shared" ca="1" si="183"/>
        <v>0</v>
      </c>
      <c r="Q337" s="872">
        <f t="shared" ca="1" si="183"/>
        <v>0</v>
      </c>
      <c r="R337" s="872">
        <f t="shared" ca="1" si="183"/>
        <v>0</v>
      </c>
      <c r="S337" s="871">
        <f t="shared" ca="1" si="183"/>
        <v>0</v>
      </c>
      <c r="T337" s="872">
        <f t="shared" ca="1" si="183"/>
        <v>0</v>
      </c>
      <c r="U337" s="872">
        <f t="shared" ca="1" si="183"/>
        <v>0</v>
      </c>
      <c r="V337" s="872">
        <f t="shared" ca="1" si="183"/>
        <v>0</v>
      </c>
      <c r="W337" s="871">
        <f t="shared" ca="1" si="183"/>
        <v>0</v>
      </c>
      <c r="X337" s="872">
        <f t="shared" ca="1" si="183"/>
        <v>0</v>
      </c>
      <c r="Y337" s="872">
        <f t="shared" ca="1" si="183"/>
        <v>0</v>
      </c>
      <c r="Z337" s="872">
        <f t="shared" ca="1" si="183"/>
        <v>0</v>
      </c>
      <c r="AA337" s="871">
        <f t="shared" ca="1" si="183"/>
        <v>0</v>
      </c>
      <c r="AB337" s="872">
        <f t="shared" ca="1" si="183"/>
        <v>0</v>
      </c>
      <c r="AC337" s="872">
        <f t="shared" ca="1" si="183"/>
        <v>0</v>
      </c>
      <c r="AD337" s="872">
        <f t="shared" ca="1" si="183"/>
        <v>0</v>
      </c>
      <c r="AE337" s="871">
        <f t="shared" ca="1" si="183"/>
        <v>0</v>
      </c>
      <c r="AF337" s="872">
        <f t="shared" ca="1" si="183"/>
        <v>0</v>
      </c>
      <c r="AG337" s="872">
        <f t="shared" ca="1" si="183"/>
        <v>0</v>
      </c>
      <c r="AH337" s="872">
        <f t="shared" ca="1" si="183"/>
        <v>0</v>
      </c>
      <c r="AI337" s="871">
        <f t="shared" ca="1" si="183"/>
        <v>0</v>
      </c>
      <c r="AJ337" s="872">
        <f t="shared" ca="1" si="183"/>
        <v>0</v>
      </c>
      <c r="AK337" s="872">
        <f t="shared" ca="1" si="183"/>
        <v>0</v>
      </c>
      <c r="AL337" s="872">
        <f t="shared" ca="1" si="183"/>
        <v>0</v>
      </c>
      <c r="AM337" s="871">
        <f t="shared" ca="1" si="183"/>
        <v>0</v>
      </c>
      <c r="AN337" s="872">
        <f t="shared" ca="1" si="183"/>
        <v>0</v>
      </c>
      <c r="AO337" s="872">
        <f t="shared" ca="1" si="183"/>
        <v>0</v>
      </c>
      <c r="AP337" s="872">
        <f t="shared" ca="1" si="183"/>
        <v>0</v>
      </c>
      <c r="AQ337" s="871">
        <f t="shared" ca="1" si="183"/>
        <v>0</v>
      </c>
      <c r="AR337" s="872">
        <f t="shared" ca="1" si="183"/>
        <v>0</v>
      </c>
      <c r="AS337" s="872">
        <f t="shared" ca="1" si="183"/>
        <v>0</v>
      </c>
      <c r="AT337" s="872">
        <f t="shared" ca="1" si="183"/>
        <v>0</v>
      </c>
      <c r="AU337" s="823">
        <f t="shared" ca="1" si="176"/>
        <v>0</v>
      </c>
    </row>
    <row r="338" spans="1:47" s="77" customFormat="1" ht="18" customHeight="1" outlineLevel="2">
      <c r="A338" s="869" t="str">
        <f>'8.项目规划指标表'!B$14</f>
        <v>自持物业</v>
      </c>
      <c r="B338" s="870"/>
      <c r="C338" s="871"/>
      <c r="D338" s="872"/>
      <c r="E338" s="872"/>
      <c r="F338" s="872"/>
      <c r="G338" s="871"/>
      <c r="H338" s="872"/>
      <c r="I338" s="872"/>
      <c r="J338" s="872"/>
      <c r="K338" s="871"/>
      <c r="L338" s="872"/>
      <c r="M338" s="872"/>
      <c r="N338" s="872"/>
      <c r="O338" s="871"/>
      <c r="P338" s="872"/>
      <c r="Q338" s="872"/>
      <c r="R338" s="872"/>
      <c r="S338" s="871"/>
      <c r="T338" s="872"/>
      <c r="U338" s="872"/>
      <c r="V338" s="872"/>
      <c r="W338" s="871"/>
      <c r="X338" s="872"/>
      <c r="Y338" s="872"/>
      <c r="Z338" s="872"/>
      <c r="AA338" s="871"/>
      <c r="AB338" s="872"/>
      <c r="AC338" s="872"/>
      <c r="AD338" s="872"/>
      <c r="AE338" s="871"/>
      <c r="AF338" s="872"/>
      <c r="AG338" s="872"/>
      <c r="AH338" s="872"/>
      <c r="AI338" s="871"/>
      <c r="AJ338" s="872"/>
      <c r="AK338" s="872"/>
      <c r="AL338" s="872"/>
      <c r="AM338" s="871"/>
      <c r="AN338" s="872"/>
      <c r="AO338" s="872"/>
      <c r="AP338" s="872"/>
      <c r="AQ338" s="871"/>
      <c r="AR338" s="872"/>
      <c r="AS338" s="872"/>
      <c r="AT338" s="872"/>
      <c r="AU338" s="823">
        <f t="shared" si="176"/>
        <v>0</v>
      </c>
    </row>
    <row r="339" spans="1:47" s="77" customFormat="1" ht="18" customHeight="1" outlineLevel="2">
      <c r="A339" s="869" t="str">
        <f>'8.项目规划指标表'!B$18</f>
        <v>有产权车库(个)</v>
      </c>
      <c r="B339" s="870">
        <f ca="1">'17.财务费用测算表'!N$35</f>
        <v>0</v>
      </c>
      <c r="C339" s="871">
        <f t="shared" ref="C339:AT339" ca="1" si="184">IFERROR($B339/$B83*C83,0)</f>
        <v>0</v>
      </c>
      <c r="D339" s="872">
        <f t="shared" ca="1" si="184"/>
        <v>0</v>
      </c>
      <c r="E339" s="872">
        <f t="shared" ca="1" si="184"/>
        <v>0</v>
      </c>
      <c r="F339" s="872">
        <f t="shared" ca="1" si="184"/>
        <v>0</v>
      </c>
      <c r="G339" s="871">
        <f t="shared" ca="1" si="184"/>
        <v>0</v>
      </c>
      <c r="H339" s="872">
        <f t="shared" ca="1" si="184"/>
        <v>0</v>
      </c>
      <c r="I339" s="872">
        <f t="shared" ca="1" si="184"/>
        <v>0</v>
      </c>
      <c r="J339" s="872">
        <f t="shared" ca="1" si="184"/>
        <v>0</v>
      </c>
      <c r="K339" s="871">
        <f t="shared" ca="1" si="184"/>
        <v>0</v>
      </c>
      <c r="L339" s="872">
        <f t="shared" ca="1" si="184"/>
        <v>0</v>
      </c>
      <c r="M339" s="872">
        <f t="shared" ca="1" si="184"/>
        <v>0</v>
      </c>
      <c r="N339" s="872">
        <f t="shared" ca="1" si="184"/>
        <v>0</v>
      </c>
      <c r="O339" s="871">
        <f t="shared" ca="1" si="184"/>
        <v>0</v>
      </c>
      <c r="P339" s="872">
        <f t="shared" ca="1" si="184"/>
        <v>0</v>
      </c>
      <c r="Q339" s="872">
        <f t="shared" ca="1" si="184"/>
        <v>0</v>
      </c>
      <c r="R339" s="872">
        <f t="shared" ca="1" si="184"/>
        <v>0</v>
      </c>
      <c r="S339" s="871">
        <f t="shared" ca="1" si="184"/>
        <v>0</v>
      </c>
      <c r="T339" s="872">
        <f t="shared" ca="1" si="184"/>
        <v>0</v>
      </c>
      <c r="U339" s="872">
        <f t="shared" ca="1" si="184"/>
        <v>0</v>
      </c>
      <c r="V339" s="872">
        <f t="shared" ca="1" si="184"/>
        <v>0</v>
      </c>
      <c r="W339" s="871">
        <f t="shared" ca="1" si="184"/>
        <v>0</v>
      </c>
      <c r="X339" s="872">
        <f t="shared" ca="1" si="184"/>
        <v>0</v>
      </c>
      <c r="Y339" s="872">
        <f t="shared" ca="1" si="184"/>
        <v>0</v>
      </c>
      <c r="Z339" s="872">
        <f t="shared" ca="1" si="184"/>
        <v>0</v>
      </c>
      <c r="AA339" s="871">
        <f t="shared" ca="1" si="184"/>
        <v>0</v>
      </c>
      <c r="AB339" s="872">
        <f t="shared" ca="1" si="184"/>
        <v>0</v>
      </c>
      <c r="AC339" s="872">
        <f t="shared" ca="1" si="184"/>
        <v>0</v>
      </c>
      <c r="AD339" s="872">
        <f t="shared" ca="1" si="184"/>
        <v>0</v>
      </c>
      <c r="AE339" s="871">
        <f t="shared" ca="1" si="184"/>
        <v>0</v>
      </c>
      <c r="AF339" s="872">
        <f t="shared" ca="1" si="184"/>
        <v>0</v>
      </c>
      <c r="AG339" s="872">
        <f t="shared" ca="1" si="184"/>
        <v>0</v>
      </c>
      <c r="AH339" s="872">
        <f t="shared" ca="1" si="184"/>
        <v>0</v>
      </c>
      <c r="AI339" s="871">
        <f t="shared" ca="1" si="184"/>
        <v>0</v>
      </c>
      <c r="AJ339" s="872">
        <f t="shared" ca="1" si="184"/>
        <v>0</v>
      </c>
      <c r="AK339" s="872">
        <f t="shared" ca="1" si="184"/>
        <v>0</v>
      </c>
      <c r="AL339" s="872">
        <f t="shared" ca="1" si="184"/>
        <v>0</v>
      </c>
      <c r="AM339" s="871">
        <f t="shared" ca="1" si="184"/>
        <v>0</v>
      </c>
      <c r="AN339" s="872">
        <f t="shared" ca="1" si="184"/>
        <v>0</v>
      </c>
      <c r="AO339" s="872">
        <f t="shared" ca="1" si="184"/>
        <v>0</v>
      </c>
      <c r="AP339" s="872">
        <f t="shared" ca="1" si="184"/>
        <v>0</v>
      </c>
      <c r="AQ339" s="871">
        <f t="shared" ca="1" si="184"/>
        <v>0</v>
      </c>
      <c r="AR339" s="872">
        <f t="shared" ca="1" si="184"/>
        <v>0</v>
      </c>
      <c r="AS339" s="872">
        <f t="shared" ca="1" si="184"/>
        <v>0</v>
      </c>
      <c r="AT339" s="872">
        <f t="shared" ca="1" si="184"/>
        <v>0</v>
      </c>
      <c r="AU339" s="823">
        <f t="shared" ca="1" si="176"/>
        <v>0</v>
      </c>
    </row>
    <row r="340" spans="1:47" s="77" customFormat="1" ht="18" customHeight="1" outlineLevel="2">
      <c r="A340" s="869" t="str">
        <f>'8.项目规划指标表'!B$19</f>
        <v>无产权车库(个)</v>
      </c>
      <c r="B340" s="870">
        <f ca="1">'17.财务费用测算表'!O$35</f>
        <v>0</v>
      </c>
      <c r="C340" s="871">
        <f t="shared" ref="C340:AT340" ca="1" si="185">IFERROR($B340/$B84*C84,0)</f>
        <v>0</v>
      </c>
      <c r="D340" s="872">
        <f t="shared" ca="1" si="185"/>
        <v>0</v>
      </c>
      <c r="E340" s="872">
        <f t="shared" ca="1" si="185"/>
        <v>0</v>
      </c>
      <c r="F340" s="872">
        <f t="shared" ca="1" si="185"/>
        <v>0</v>
      </c>
      <c r="G340" s="871">
        <f t="shared" ca="1" si="185"/>
        <v>0</v>
      </c>
      <c r="H340" s="872">
        <f t="shared" ca="1" si="185"/>
        <v>0</v>
      </c>
      <c r="I340" s="872">
        <f t="shared" ca="1" si="185"/>
        <v>0</v>
      </c>
      <c r="J340" s="872">
        <f t="shared" ca="1" si="185"/>
        <v>0</v>
      </c>
      <c r="K340" s="871">
        <f t="shared" ca="1" si="185"/>
        <v>0</v>
      </c>
      <c r="L340" s="872">
        <f t="shared" ca="1" si="185"/>
        <v>0</v>
      </c>
      <c r="M340" s="872">
        <f t="shared" ca="1" si="185"/>
        <v>0</v>
      </c>
      <c r="N340" s="872">
        <f t="shared" ca="1" si="185"/>
        <v>0</v>
      </c>
      <c r="O340" s="871">
        <f t="shared" ca="1" si="185"/>
        <v>0</v>
      </c>
      <c r="P340" s="872">
        <f t="shared" ca="1" si="185"/>
        <v>0</v>
      </c>
      <c r="Q340" s="872">
        <f t="shared" ca="1" si="185"/>
        <v>0</v>
      </c>
      <c r="R340" s="872">
        <f t="shared" ca="1" si="185"/>
        <v>0</v>
      </c>
      <c r="S340" s="871">
        <f t="shared" ca="1" si="185"/>
        <v>0</v>
      </c>
      <c r="T340" s="872">
        <f t="shared" ca="1" si="185"/>
        <v>0</v>
      </c>
      <c r="U340" s="872">
        <f t="shared" ca="1" si="185"/>
        <v>0</v>
      </c>
      <c r="V340" s="872">
        <f t="shared" ca="1" si="185"/>
        <v>0</v>
      </c>
      <c r="W340" s="871">
        <f t="shared" ca="1" si="185"/>
        <v>0</v>
      </c>
      <c r="X340" s="872">
        <f t="shared" ca="1" si="185"/>
        <v>0</v>
      </c>
      <c r="Y340" s="872">
        <f t="shared" ca="1" si="185"/>
        <v>0</v>
      </c>
      <c r="Z340" s="872">
        <f t="shared" ca="1" si="185"/>
        <v>0</v>
      </c>
      <c r="AA340" s="871">
        <f t="shared" ca="1" si="185"/>
        <v>0</v>
      </c>
      <c r="AB340" s="872">
        <f t="shared" ca="1" si="185"/>
        <v>0</v>
      </c>
      <c r="AC340" s="872">
        <f t="shared" ca="1" si="185"/>
        <v>0</v>
      </c>
      <c r="AD340" s="872">
        <f t="shared" ca="1" si="185"/>
        <v>0</v>
      </c>
      <c r="AE340" s="871">
        <f t="shared" ca="1" si="185"/>
        <v>0</v>
      </c>
      <c r="AF340" s="872">
        <f t="shared" ca="1" si="185"/>
        <v>0</v>
      </c>
      <c r="AG340" s="872">
        <f t="shared" ca="1" si="185"/>
        <v>0</v>
      </c>
      <c r="AH340" s="872">
        <f t="shared" ca="1" si="185"/>
        <v>0</v>
      </c>
      <c r="AI340" s="871">
        <f t="shared" ca="1" si="185"/>
        <v>0</v>
      </c>
      <c r="AJ340" s="872">
        <f t="shared" ca="1" si="185"/>
        <v>0</v>
      </c>
      <c r="AK340" s="872">
        <f t="shared" ca="1" si="185"/>
        <v>0</v>
      </c>
      <c r="AL340" s="872">
        <f t="shared" ca="1" si="185"/>
        <v>0</v>
      </c>
      <c r="AM340" s="871">
        <f t="shared" ca="1" si="185"/>
        <v>0</v>
      </c>
      <c r="AN340" s="872">
        <f t="shared" ca="1" si="185"/>
        <v>0</v>
      </c>
      <c r="AO340" s="872">
        <f t="shared" ca="1" si="185"/>
        <v>0</v>
      </c>
      <c r="AP340" s="872">
        <f t="shared" ca="1" si="185"/>
        <v>0</v>
      </c>
      <c r="AQ340" s="871">
        <f t="shared" ca="1" si="185"/>
        <v>0</v>
      </c>
      <c r="AR340" s="872">
        <f t="shared" ca="1" si="185"/>
        <v>0</v>
      </c>
      <c r="AS340" s="872">
        <f t="shared" ca="1" si="185"/>
        <v>0</v>
      </c>
      <c r="AT340" s="872">
        <f t="shared" ca="1" si="185"/>
        <v>0</v>
      </c>
      <c r="AU340" s="823">
        <f t="shared" ca="1" si="176"/>
        <v>0</v>
      </c>
    </row>
    <row r="341" spans="1:47" s="77" customFormat="1" ht="18" customHeight="1">
      <c r="A341" s="877" t="s">
        <v>591</v>
      </c>
      <c r="B341" s="878">
        <f ca="1">SUM(C341:AT341)</f>
        <v>27810.481844812577</v>
      </c>
      <c r="C341" s="879">
        <f ca="1">C85-C164-C178-C179-C180-C181-C260-C261-C262</f>
        <v>0</v>
      </c>
      <c r="D341" s="884">
        <f t="shared" ref="D341:AT341" ca="1" si="186">D85-D164-D178-D179-D180-D181-D260-D261-D262</f>
        <v>0</v>
      </c>
      <c r="E341" s="884">
        <f t="shared" ca="1" si="186"/>
        <v>0</v>
      </c>
      <c r="F341" s="884">
        <f t="shared" ca="1" si="186"/>
        <v>0</v>
      </c>
      <c r="G341" s="879">
        <f t="shared" ca="1" si="186"/>
        <v>0</v>
      </c>
      <c r="H341" s="884">
        <f t="shared" ca="1" si="186"/>
        <v>8547.0149525413253</v>
      </c>
      <c r="I341" s="884">
        <f t="shared" ca="1" si="186"/>
        <v>9599.7146539902424</v>
      </c>
      <c r="J341" s="884">
        <f t="shared" ca="1" si="186"/>
        <v>4348.7650708901483</v>
      </c>
      <c r="K341" s="879">
        <f t="shared" ca="1" si="186"/>
        <v>4588.0587515966499</v>
      </c>
      <c r="L341" s="884">
        <f t="shared" ca="1" si="186"/>
        <v>-1259.4212923166888</v>
      </c>
      <c r="M341" s="884">
        <f t="shared" ca="1" si="186"/>
        <v>692.25433174055365</v>
      </c>
      <c r="N341" s="884">
        <f t="shared" ca="1" si="186"/>
        <v>1007.1096548197261</v>
      </c>
      <c r="O341" s="879">
        <f t="shared" ca="1" si="186"/>
        <v>671.40643654648386</v>
      </c>
      <c r="P341" s="884">
        <f t="shared" ca="1" si="186"/>
        <v>-384.42071499586609</v>
      </c>
      <c r="Q341" s="884">
        <f t="shared" ca="1" si="186"/>
        <v>0</v>
      </c>
      <c r="R341" s="884">
        <f t="shared" ca="1" si="186"/>
        <v>0</v>
      </c>
      <c r="S341" s="879">
        <f t="shared" ca="1" si="186"/>
        <v>0</v>
      </c>
      <c r="T341" s="884">
        <f t="shared" ca="1" si="186"/>
        <v>0</v>
      </c>
      <c r="U341" s="884">
        <f t="shared" ca="1" si="186"/>
        <v>0</v>
      </c>
      <c r="V341" s="884">
        <f t="shared" ca="1" si="186"/>
        <v>0</v>
      </c>
      <c r="W341" s="879">
        <f t="shared" ca="1" si="186"/>
        <v>0</v>
      </c>
      <c r="X341" s="884">
        <f t="shared" ca="1" si="186"/>
        <v>0</v>
      </c>
      <c r="Y341" s="884">
        <f t="shared" ca="1" si="186"/>
        <v>0</v>
      </c>
      <c r="Z341" s="884">
        <f t="shared" ca="1" si="186"/>
        <v>0</v>
      </c>
      <c r="AA341" s="879">
        <f t="shared" ca="1" si="186"/>
        <v>0</v>
      </c>
      <c r="AB341" s="884">
        <f t="shared" ca="1" si="186"/>
        <v>0</v>
      </c>
      <c r="AC341" s="884">
        <f t="shared" ca="1" si="186"/>
        <v>0</v>
      </c>
      <c r="AD341" s="884">
        <f t="shared" ca="1" si="186"/>
        <v>0</v>
      </c>
      <c r="AE341" s="879">
        <f t="shared" ca="1" si="186"/>
        <v>0</v>
      </c>
      <c r="AF341" s="884">
        <f t="shared" ca="1" si="186"/>
        <v>0</v>
      </c>
      <c r="AG341" s="884">
        <f t="shared" ca="1" si="186"/>
        <v>0</v>
      </c>
      <c r="AH341" s="884">
        <f t="shared" ca="1" si="186"/>
        <v>0</v>
      </c>
      <c r="AI341" s="879">
        <f t="shared" ca="1" si="186"/>
        <v>0</v>
      </c>
      <c r="AJ341" s="884">
        <f t="shared" ca="1" si="186"/>
        <v>0</v>
      </c>
      <c r="AK341" s="884">
        <f t="shared" ca="1" si="186"/>
        <v>0</v>
      </c>
      <c r="AL341" s="884">
        <f t="shared" ca="1" si="186"/>
        <v>0</v>
      </c>
      <c r="AM341" s="879">
        <f t="shared" ca="1" si="186"/>
        <v>0</v>
      </c>
      <c r="AN341" s="884">
        <f t="shared" ca="1" si="186"/>
        <v>0</v>
      </c>
      <c r="AO341" s="884">
        <f t="shared" ca="1" si="186"/>
        <v>0</v>
      </c>
      <c r="AP341" s="884">
        <f t="shared" ca="1" si="186"/>
        <v>0</v>
      </c>
      <c r="AQ341" s="879">
        <f t="shared" ca="1" si="186"/>
        <v>0</v>
      </c>
      <c r="AR341" s="884">
        <f t="shared" ca="1" si="186"/>
        <v>0</v>
      </c>
      <c r="AS341" s="884">
        <f t="shared" ca="1" si="186"/>
        <v>0</v>
      </c>
      <c r="AT341" s="884">
        <f t="shared" ca="1" si="186"/>
        <v>0</v>
      </c>
    </row>
    <row r="342" spans="1:47" s="77" customFormat="1" ht="18" customHeight="1">
      <c r="A342" s="880" t="s">
        <v>585</v>
      </c>
      <c r="B342" s="881">
        <f ca="1">SUM(C342:AT342)</f>
        <v>7078.6204612031388</v>
      </c>
      <c r="C342" s="882">
        <f ca="1">SUM(C343:C348)</f>
        <v>0</v>
      </c>
      <c r="D342" s="883">
        <f t="shared" ref="D342:AT342" ca="1" si="187">SUM(D343:D348)</f>
        <v>0</v>
      </c>
      <c r="E342" s="883">
        <f t="shared" ca="1" si="187"/>
        <v>0</v>
      </c>
      <c r="F342" s="883">
        <f t="shared" ca="1" si="187"/>
        <v>0</v>
      </c>
      <c r="G342" s="882">
        <f t="shared" ca="1" si="187"/>
        <v>0</v>
      </c>
      <c r="H342" s="883">
        <f t="shared" ca="1" si="187"/>
        <v>2072.5365092190077</v>
      </c>
      <c r="I342" s="883">
        <f t="shared" ca="1" si="187"/>
        <v>2155.4379695877678</v>
      </c>
      <c r="J342" s="883">
        <f t="shared" ca="1" si="187"/>
        <v>942.23431241979574</v>
      </c>
      <c r="K342" s="882">
        <f t="shared" ca="1" si="187"/>
        <v>961.07899866819162</v>
      </c>
      <c r="L342" s="883">
        <f t="shared" ca="1" si="187"/>
        <v>491.79333352448185</v>
      </c>
      <c r="M342" s="883">
        <f t="shared" ca="1" si="187"/>
        <v>247.66996003216096</v>
      </c>
      <c r="N342" s="883">
        <f t="shared" ca="1" si="187"/>
        <v>124.72162665104047</v>
      </c>
      <c r="O342" s="882">
        <f t="shared" ca="1" si="187"/>
        <v>83.14775110069364</v>
      </c>
      <c r="P342" s="883">
        <f t="shared" ca="1" si="187"/>
        <v>0</v>
      </c>
      <c r="Q342" s="883">
        <f t="shared" ca="1" si="187"/>
        <v>0</v>
      </c>
      <c r="R342" s="883">
        <f t="shared" ca="1" si="187"/>
        <v>0</v>
      </c>
      <c r="S342" s="882">
        <f t="shared" ca="1" si="187"/>
        <v>0</v>
      </c>
      <c r="T342" s="883">
        <f t="shared" ca="1" si="187"/>
        <v>0</v>
      </c>
      <c r="U342" s="883">
        <f t="shared" ca="1" si="187"/>
        <v>0</v>
      </c>
      <c r="V342" s="883">
        <f t="shared" ca="1" si="187"/>
        <v>0</v>
      </c>
      <c r="W342" s="882">
        <f t="shared" ca="1" si="187"/>
        <v>0</v>
      </c>
      <c r="X342" s="883">
        <f t="shared" ca="1" si="187"/>
        <v>0</v>
      </c>
      <c r="Y342" s="883">
        <f t="shared" ca="1" si="187"/>
        <v>0</v>
      </c>
      <c r="Z342" s="883">
        <f t="shared" ca="1" si="187"/>
        <v>0</v>
      </c>
      <c r="AA342" s="882">
        <f t="shared" ca="1" si="187"/>
        <v>0</v>
      </c>
      <c r="AB342" s="883">
        <f t="shared" ca="1" si="187"/>
        <v>0</v>
      </c>
      <c r="AC342" s="883">
        <f t="shared" ca="1" si="187"/>
        <v>0</v>
      </c>
      <c r="AD342" s="883">
        <f t="shared" ca="1" si="187"/>
        <v>0</v>
      </c>
      <c r="AE342" s="882">
        <f t="shared" ca="1" si="187"/>
        <v>0</v>
      </c>
      <c r="AF342" s="883">
        <f t="shared" ca="1" si="187"/>
        <v>0</v>
      </c>
      <c r="AG342" s="883">
        <f t="shared" ca="1" si="187"/>
        <v>0</v>
      </c>
      <c r="AH342" s="883">
        <f t="shared" ca="1" si="187"/>
        <v>0</v>
      </c>
      <c r="AI342" s="882">
        <f t="shared" ca="1" si="187"/>
        <v>0</v>
      </c>
      <c r="AJ342" s="883">
        <f t="shared" ca="1" si="187"/>
        <v>0</v>
      </c>
      <c r="AK342" s="883">
        <f t="shared" ca="1" si="187"/>
        <v>0</v>
      </c>
      <c r="AL342" s="883">
        <f t="shared" ca="1" si="187"/>
        <v>0</v>
      </c>
      <c r="AM342" s="882">
        <f t="shared" ca="1" si="187"/>
        <v>0</v>
      </c>
      <c r="AN342" s="883">
        <f t="shared" ca="1" si="187"/>
        <v>0</v>
      </c>
      <c r="AO342" s="883">
        <f t="shared" ca="1" si="187"/>
        <v>0</v>
      </c>
      <c r="AP342" s="883">
        <f t="shared" ca="1" si="187"/>
        <v>0</v>
      </c>
      <c r="AQ342" s="882">
        <f t="shared" ca="1" si="187"/>
        <v>0</v>
      </c>
      <c r="AR342" s="883">
        <f t="shared" ca="1" si="187"/>
        <v>0</v>
      </c>
      <c r="AS342" s="883">
        <f t="shared" ca="1" si="187"/>
        <v>0</v>
      </c>
      <c r="AT342" s="883">
        <f t="shared" ca="1" si="187"/>
        <v>0</v>
      </c>
    </row>
    <row r="343" spans="1:47" s="77" customFormat="1" ht="18" customHeight="1" outlineLevel="1">
      <c r="A343" s="865" t="s">
        <v>19</v>
      </c>
      <c r="B343" s="878">
        <f ca="1">'5.分产品利润表'!O19</f>
        <v>7078.6204612031397</v>
      </c>
      <c r="C343" s="879">
        <f ca="1">IFERROR($B343/$B86*C86,0)</f>
        <v>0</v>
      </c>
      <c r="D343" s="884">
        <f ca="1">IFERROR($B343/$B86*D86,0)</f>
        <v>0</v>
      </c>
      <c r="E343" s="884">
        <f t="shared" ref="E343:AT343" ca="1" si="188">IFERROR($B343/$B86*E86,0)</f>
        <v>0</v>
      </c>
      <c r="F343" s="884">
        <f t="shared" ca="1" si="188"/>
        <v>0</v>
      </c>
      <c r="G343" s="879">
        <f t="shared" ca="1" si="188"/>
        <v>0</v>
      </c>
      <c r="H343" s="884">
        <f t="shared" ca="1" si="188"/>
        <v>2072.5365092190077</v>
      </c>
      <c r="I343" s="884">
        <f t="shared" ca="1" si="188"/>
        <v>2155.4379695877678</v>
      </c>
      <c r="J343" s="884">
        <f t="shared" ca="1" si="188"/>
        <v>942.23431241979574</v>
      </c>
      <c r="K343" s="879">
        <f t="shared" ca="1" si="188"/>
        <v>961.07899866819162</v>
      </c>
      <c r="L343" s="884">
        <f t="shared" ca="1" si="188"/>
        <v>491.79333352448185</v>
      </c>
      <c r="M343" s="884">
        <f t="shared" ca="1" si="188"/>
        <v>247.66996003216096</v>
      </c>
      <c r="N343" s="884">
        <f t="shared" ca="1" si="188"/>
        <v>124.72162665104047</v>
      </c>
      <c r="O343" s="879">
        <f t="shared" ca="1" si="188"/>
        <v>83.14775110069364</v>
      </c>
      <c r="P343" s="884">
        <f t="shared" ca="1" si="188"/>
        <v>0</v>
      </c>
      <c r="Q343" s="884">
        <f t="shared" ca="1" si="188"/>
        <v>0</v>
      </c>
      <c r="R343" s="884">
        <f t="shared" ca="1" si="188"/>
        <v>0</v>
      </c>
      <c r="S343" s="879">
        <f t="shared" ca="1" si="188"/>
        <v>0</v>
      </c>
      <c r="T343" s="884">
        <f t="shared" ca="1" si="188"/>
        <v>0</v>
      </c>
      <c r="U343" s="884">
        <f t="shared" ca="1" si="188"/>
        <v>0</v>
      </c>
      <c r="V343" s="884">
        <f t="shared" ca="1" si="188"/>
        <v>0</v>
      </c>
      <c r="W343" s="879">
        <f t="shared" ca="1" si="188"/>
        <v>0</v>
      </c>
      <c r="X343" s="884">
        <f t="shared" ca="1" si="188"/>
        <v>0</v>
      </c>
      <c r="Y343" s="884">
        <f t="shared" ca="1" si="188"/>
        <v>0</v>
      </c>
      <c r="Z343" s="884">
        <f t="shared" ca="1" si="188"/>
        <v>0</v>
      </c>
      <c r="AA343" s="879">
        <f t="shared" ca="1" si="188"/>
        <v>0</v>
      </c>
      <c r="AB343" s="884">
        <f t="shared" ca="1" si="188"/>
        <v>0</v>
      </c>
      <c r="AC343" s="884">
        <f t="shared" ca="1" si="188"/>
        <v>0</v>
      </c>
      <c r="AD343" s="884">
        <f t="shared" ca="1" si="188"/>
        <v>0</v>
      </c>
      <c r="AE343" s="879">
        <f t="shared" ca="1" si="188"/>
        <v>0</v>
      </c>
      <c r="AF343" s="884">
        <f t="shared" ca="1" si="188"/>
        <v>0</v>
      </c>
      <c r="AG343" s="884">
        <f t="shared" ca="1" si="188"/>
        <v>0</v>
      </c>
      <c r="AH343" s="884">
        <f t="shared" ca="1" si="188"/>
        <v>0</v>
      </c>
      <c r="AI343" s="879">
        <f t="shared" ca="1" si="188"/>
        <v>0</v>
      </c>
      <c r="AJ343" s="884">
        <f t="shared" ca="1" si="188"/>
        <v>0</v>
      </c>
      <c r="AK343" s="884">
        <f t="shared" ca="1" si="188"/>
        <v>0</v>
      </c>
      <c r="AL343" s="884">
        <f t="shared" ca="1" si="188"/>
        <v>0</v>
      </c>
      <c r="AM343" s="879">
        <f t="shared" ca="1" si="188"/>
        <v>0</v>
      </c>
      <c r="AN343" s="884">
        <f t="shared" ca="1" si="188"/>
        <v>0</v>
      </c>
      <c r="AO343" s="884">
        <f t="shared" ca="1" si="188"/>
        <v>0</v>
      </c>
      <c r="AP343" s="884">
        <f t="shared" ca="1" si="188"/>
        <v>0</v>
      </c>
      <c r="AQ343" s="879">
        <f t="shared" ca="1" si="188"/>
        <v>0</v>
      </c>
      <c r="AR343" s="884">
        <f t="shared" ca="1" si="188"/>
        <v>0</v>
      </c>
      <c r="AS343" s="884">
        <f t="shared" ca="1" si="188"/>
        <v>0</v>
      </c>
      <c r="AT343" s="884">
        <f t="shared" ca="1" si="188"/>
        <v>0</v>
      </c>
      <c r="AU343" s="823">
        <f t="shared" ref="AU343:AU348" ca="1" si="189">SUM(C343:AT343)-B343</f>
        <v>0</v>
      </c>
    </row>
    <row r="344" spans="1:47" s="77" customFormat="1" ht="18" customHeight="1" outlineLevel="1">
      <c r="A344" s="865" t="s">
        <v>20</v>
      </c>
      <c r="B344" s="878">
        <f ca="1">'5.分产品利润表'!AB19</f>
        <v>0</v>
      </c>
      <c r="C344" s="879">
        <f ca="1">IFERROR($B344/$B99*C99,0)</f>
        <v>0</v>
      </c>
      <c r="D344" s="884">
        <f t="shared" ref="D344:AT344" ca="1" si="190">IFERROR($B344/$B99*D99,0)</f>
        <v>0</v>
      </c>
      <c r="E344" s="884">
        <f t="shared" ca="1" si="190"/>
        <v>0</v>
      </c>
      <c r="F344" s="884">
        <f t="shared" ca="1" si="190"/>
        <v>0</v>
      </c>
      <c r="G344" s="879">
        <f t="shared" ca="1" si="190"/>
        <v>0</v>
      </c>
      <c r="H344" s="884">
        <f t="shared" ca="1" si="190"/>
        <v>0</v>
      </c>
      <c r="I344" s="884">
        <f t="shared" ca="1" si="190"/>
        <v>0</v>
      </c>
      <c r="J344" s="884">
        <f t="shared" ca="1" si="190"/>
        <v>0</v>
      </c>
      <c r="K344" s="879">
        <f t="shared" ca="1" si="190"/>
        <v>0</v>
      </c>
      <c r="L344" s="884">
        <f t="shared" ca="1" si="190"/>
        <v>0</v>
      </c>
      <c r="M344" s="884">
        <f t="shared" ca="1" si="190"/>
        <v>0</v>
      </c>
      <c r="N344" s="884">
        <f t="shared" ca="1" si="190"/>
        <v>0</v>
      </c>
      <c r="O344" s="879">
        <f t="shared" ca="1" si="190"/>
        <v>0</v>
      </c>
      <c r="P344" s="884">
        <f t="shared" ca="1" si="190"/>
        <v>0</v>
      </c>
      <c r="Q344" s="884">
        <f t="shared" ca="1" si="190"/>
        <v>0</v>
      </c>
      <c r="R344" s="884">
        <f t="shared" ca="1" si="190"/>
        <v>0</v>
      </c>
      <c r="S344" s="879">
        <f t="shared" ca="1" si="190"/>
        <v>0</v>
      </c>
      <c r="T344" s="884">
        <f t="shared" ca="1" si="190"/>
        <v>0</v>
      </c>
      <c r="U344" s="884">
        <f t="shared" ca="1" si="190"/>
        <v>0</v>
      </c>
      <c r="V344" s="884">
        <f t="shared" ca="1" si="190"/>
        <v>0</v>
      </c>
      <c r="W344" s="879">
        <f t="shared" ca="1" si="190"/>
        <v>0</v>
      </c>
      <c r="X344" s="884">
        <f t="shared" ca="1" si="190"/>
        <v>0</v>
      </c>
      <c r="Y344" s="884">
        <f t="shared" ca="1" si="190"/>
        <v>0</v>
      </c>
      <c r="Z344" s="884">
        <f t="shared" ca="1" si="190"/>
        <v>0</v>
      </c>
      <c r="AA344" s="879">
        <f t="shared" ca="1" si="190"/>
        <v>0</v>
      </c>
      <c r="AB344" s="884">
        <f t="shared" ca="1" si="190"/>
        <v>0</v>
      </c>
      <c r="AC344" s="884">
        <f t="shared" ca="1" si="190"/>
        <v>0</v>
      </c>
      <c r="AD344" s="884">
        <f t="shared" ca="1" si="190"/>
        <v>0</v>
      </c>
      <c r="AE344" s="879">
        <f t="shared" ca="1" si="190"/>
        <v>0</v>
      </c>
      <c r="AF344" s="884">
        <f t="shared" ca="1" si="190"/>
        <v>0</v>
      </c>
      <c r="AG344" s="884">
        <f t="shared" ca="1" si="190"/>
        <v>0</v>
      </c>
      <c r="AH344" s="884">
        <f t="shared" ca="1" si="190"/>
        <v>0</v>
      </c>
      <c r="AI344" s="879">
        <f t="shared" ca="1" si="190"/>
        <v>0</v>
      </c>
      <c r="AJ344" s="884">
        <f t="shared" ca="1" si="190"/>
        <v>0</v>
      </c>
      <c r="AK344" s="884">
        <f t="shared" ca="1" si="190"/>
        <v>0</v>
      </c>
      <c r="AL344" s="884">
        <f t="shared" ca="1" si="190"/>
        <v>0</v>
      </c>
      <c r="AM344" s="879">
        <f t="shared" ca="1" si="190"/>
        <v>0</v>
      </c>
      <c r="AN344" s="884">
        <f t="shared" ca="1" si="190"/>
        <v>0</v>
      </c>
      <c r="AO344" s="884">
        <f t="shared" ca="1" si="190"/>
        <v>0</v>
      </c>
      <c r="AP344" s="884">
        <f t="shared" ca="1" si="190"/>
        <v>0</v>
      </c>
      <c r="AQ344" s="879">
        <f t="shared" ca="1" si="190"/>
        <v>0</v>
      </c>
      <c r="AR344" s="884">
        <f t="shared" ca="1" si="190"/>
        <v>0</v>
      </c>
      <c r="AS344" s="884">
        <f t="shared" ca="1" si="190"/>
        <v>0</v>
      </c>
      <c r="AT344" s="884">
        <f t="shared" ca="1" si="190"/>
        <v>0</v>
      </c>
      <c r="AU344" s="823">
        <f t="shared" ca="1" si="189"/>
        <v>0</v>
      </c>
    </row>
    <row r="345" spans="1:47" s="77" customFormat="1" ht="18" customHeight="1" outlineLevel="1">
      <c r="A345" s="865" t="s">
        <v>21</v>
      </c>
      <c r="B345" s="878">
        <f ca="1">'5.分产品利润表'!AO19</f>
        <v>0</v>
      </c>
      <c r="C345" s="879">
        <f ca="1">IFERROR($B345/$B112*C112,0)</f>
        <v>0</v>
      </c>
      <c r="D345" s="884">
        <f t="shared" ref="D345:AT345" ca="1" si="191">IFERROR($B345/$B112*D112,0)</f>
        <v>0</v>
      </c>
      <c r="E345" s="884">
        <f t="shared" ca="1" si="191"/>
        <v>0</v>
      </c>
      <c r="F345" s="884">
        <f t="shared" ca="1" si="191"/>
        <v>0</v>
      </c>
      <c r="G345" s="879">
        <f t="shared" ca="1" si="191"/>
        <v>0</v>
      </c>
      <c r="H345" s="884">
        <f t="shared" ca="1" si="191"/>
        <v>0</v>
      </c>
      <c r="I345" s="884">
        <f t="shared" ca="1" si="191"/>
        <v>0</v>
      </c>
      <c r="J345" s="884">
        <f t="shared" ca="1" si="191"/>
        <v>0</v>
      </c>
      <c r="K345" s="879">
        <f t="shared" ca="1" si="191"/>
        <v>0</v>
      </c>
      <c r="L345" s="884">
        <f t="shared" ca="1" si="191"/>
        <v>0</v>
      </c>
      <c r="M345" s="884">
        <f t="shared" ca="1" si="191"/>
        <v>0</v>
      </c>
      <c r="N345" s="884">
        <f t="shared" ca="1" si="191"/>
        <v>0</v>
      </c>
      <c r="O345" s="879">
        <f t="shared" ca="1" si="191"/>
        <v>0</v>
      </c>
      <c r="P345" s="884">
        <f t="shared" ca="1" si="191"/>
        <v>0</v>
      </c>
      <c r="Q345" s="884">
        <f t="shared" ca="1" si="191"/>
        <v>0</v>
      </c>
      <c r="R345" s="884">
        <f t="shared" ca="1" si="191"/>
        <v>0</v>
      </c>
      <c r="S345" s="879">
        <f t="shared" ca="1" si="191"/>
        <v>0</v>
      </c>
      <c r="T345" s="884">
        <f t="shared" ca="1" si="191"/>
        <v>0</v>
      </c>
      <c r="U345" s="884">
        <f t="shared" ca="1" si="191"/>
        <v>0</v>
      </c>
      <c r="V345" s="884">
        <f t="shared" ca="1" si="191"/>
        <v>0</v>
      </c>
      <c r="W345" s="879">
        <f t="shared" ca="1" si="191"/>
        <v>0</v>
      </c>
      <c r="X345" s="884">
        <f t="shared" ca="1" si="191"/>
        <v>0</v>
      </c>
      <c r="Y345" s="884">
        <f t="shared" ca="1" si="191"/>
        <v>0</v>
      </c>
      <c r="Z345" s="884">
        <f t="shared" ca="1" si="191"/>
        <v>0</v>
      </c>
      <c r="AA345" s="879">
        <f t="shared" ca="1" si="191"/>
        <v>0</v>
      </c>
      <c r="AB345" s="884">
        <f t="shared" ca="1" si="191"/>
        <v>0</v>
      </c>
      <c r="AC345" s="884">
        <f t="shared" ca="1" si="191"/>
        <v>0</v>
      </c>
      <c r="AD345" s="884">
        <f t="shared" ca="1" si="191"/>
        <v>0</v>
      </c>
      <c r="AE345" s="879">
        <f t="shared" ca="1" si="191"/>
        <v>0</v>
      </c>
      <c r="AF345" s="884">
        <f t="shared" ca="1" si="191"/>
        <v>0</v>
      </c>
      <c r="AG345" s="884">
        <f t="shared" ca="1" si="191"/>
        <v>0</v>
      </c>
      <c r="AH345" s="884">
        <f t="shared" ca="1" si="191"/>
        <v>0</v>
      </c>
      <c r="AI345" s="879">
        <f t="shared" ca="1" si="191"/>
        <v>0</v>
      </c>
      <c r="AJ345" s="884">
        <f t="shared" ca="1" si="191"/>
        <v>0</v>
      </c>
      <c r="AK345" s="884">
        <f t="shared" ca="1" si="191"/>
        <v>0</v>
      </c>
      <c r="AL345" s="884">
        <f t="shared" ca="1" si="191"/>
        <v>0</v>
      </c>
      <c r="AM345" s="879">
        <f t="shared" ca="1" si="191"/>
        <v>0</v>
      </c>
      <c r="AN345" s="884">
        <f t="shared" ca="1" si="191"/>
        <v>0</v>
      </c>
      <c r="AO345" s="884">
        <f t="shared" ca="1" si="191"/>
        <v>0</v>
      </c>
      <c r="AP345" s="884">
        <f t="shared" ca="1" si="191"/>
        <v>0</v>
      </c>
      <c r="AQ345" s="879">
        <f t="shared" ca="1" si="191"/>
        <v>0</v>
      </c>
      <c r="AR345" s="884">
        <f t="shared" ca="1" si="191"/>
        <v>0</v>
      </c>
      <c r="AS345" s="884">
        <f t="shared" ca="1" si="191"/>
        <v>0</v>
      </c>
      <c r="AT345" s="884">
        <f t="shared" ca="1" si="191"/>
        <v>0</v>
      </c>
      <c r="AU345" s="823">
        <f t="shared" ca="1" si="189"/>
        <v>0</v>
      </c>
    </row>
    <row r="346" spans="1:47" s="77" customFormat="1" ht="18" customHeight="1" outlineLevel="1">
      <c r="A346" s="865" t="s">
        <v>22</v>
      </c>
      <c r="B346" s="878">
        <f ca="1">'5.分产品利润表'!BB19</f>
        <v>0</v>
      </c>
      <c r="C346" s="879">
        <f ca="1">IFERROR($B346/$B125*C125,0)</f>
        <v>0</v>
      </c>
      <c r="D346" s="884">
        <f t="shared" ref="D346:AT346" ca="1" si="192">IFERROR($B346/$B125*D125,0)</f>
        <v>0</v>
      </c>
      <c r="E346" s="884">
        <f t="shared" ca="1" si="192"/>
        <v>0</v>
      </c>
      <c r="F346" s="884">
        <f t="shared" ca="1" si="192"/>
        <v>0</v>
      </c>
      <c r="G346" s="879">
        <f t="shared" ca="1" si="192"/>
        <v>0</v>
      </c>
      <c r="H346" s="884">
        <f t="shared" ca="1" si="192"/>
        <v>0</v>
      </c>
      <c r="I346" s="884">
        <f t="shared" ca="1" si="192"/>
        <v>0</v>
      </c>
      <c r="J346" s="884">
        <f t="shared" ca="1" si="192"/>
        <v>0</v>
      </c>
      <c r="K346" s="879">
        <f t="shared" ca="1" si="192"/>
        <v>0</v>
      </c>
      <c r="L346" s="884">
        <f t="shared" ca="1" si="192"/>
        <v>0</v>
      </c>
      <c r="M346" s="884">
        <f t="shared" ca="1" si="192"/>
        <v>0</v>
      </c>
      <c r="N346" s="884">
        <f t="shared" ca="1" si="192"/>
        <v>0</v>
      </c>
      <c r="O346" s="879">
        <f t="shared" ca="1" si="192"/>
        <v>0</v>
      </c>
      <c r="P346" s="884">
        <f t="shared" ca="1" si="192"/>
        <v>0</v>
      </c>
      <c r="Q346" s="884">
        <f t="shared" ca="1" si="192"/>
        <v>0</v>
      </c>
      <c r="R346" s="884">
        <f t="shared" ca="1" si="192"/>
        <v>0</v>
      </c>
      <c r="S346" s="879">
        <f t="shared" ca="1" si="192"/>
        <v>0</v>
      </c>
      <c r="T346" s="884">
        <f t="shared" ca="1" si="192"/>
        <v>0</v>
      </c>
      <c r="U346" s="884">
        <f t="shared" ca="1" si="192"/>
        <v>0</v>
      </c>
      <c r="V346" s="884">
        <f t="shared" ca="1" si="192"/>
        <v>0</v>
      </c>
      <c r="W346" s="879">
        <f t="shared" ca="1" si="192"/>
        <v>0</v>
      </c>
      <c r="X346" s="884">
        <f t="shared" ca="1" si="192"/>
        <v>0</v>
      </c>
      <c r="Y346" s="884">
        <f t="shared" ca="1" si="192"/>
        <v>0</v>
      </c>
      <c r="Z346" s="884">
        <f t="shared" ca="1" si="192"/>
        <v>0</v>
      </c>
      <c r="AA346" s="879">
        <f t="shared" ca="1" si="192"/>
        <v>0</v>
      </c>
      <c r="AB346" s="884">
        <f t="shared" ca="1" si="192"/>
        <v>0</v>
      </c>
      <c r="AC346" s="884">
        <f t="shared" ca="1" si="192"/>
        <v>0</v>
      </c>
      <c r="AD346" s="884">
        <f t="shared" ca="1" si="192"/>
        <v>0</v>
      </c>
      <c r="AE346" s="879">
        <f t="shared" ca="1" si="192"/>
        <v>0</v>
      </c>
      <c r="AF346" s="884">
        <f t="shared" ca="1" si="192"/>
        <v>0</v>
      </c>
      <c r="AG346" s="884">
        <f t="shared" ca="1" si="192"/>
        <v>0</v>
      </c>
      <c r="AH346" s="884">
        <f t="shared" ca="1" si="192"/>
        <v>0</v>
      </c>
      <c r="AI346" s="879">
        <f t="shared" ca="1" si="192"/>
        <v>0</v>
      </c>
      <c r="AJ346" s="884">
        <f t="shared" ca="1" si="192"/>
        <v>0</v>
      </c>
      <c r="AK346" s="884">
        <f t="shared" ca="1" si="192"/>
        <v>0</v>
      </c>
      <c r="AL346" s="884">
        <f t="shared" ca="1" si="192"/>
        <v>0</v>
      </c>
      <c r="AM346" s="879">
        <f t="shared" ca="1" si="192"/>
        <v>0</v>
      </c>
      <c r="AN346" s="884">
        <f t="shared" ca="1" si="192"/>
        <v>0</v>
      </c>
      <c r="AO346" s="884">
        <f t="shared" ca="1" si="192"/>
        <v>0</v>
      </c>
      <c r="AP346" s="884">
        <f t="shared" ca="1" si="192"/>
        <v>0</v>
      </c>
      <c r="AQ346" s="879">
        <f t="shared" ca="1" si="192"/>
        <v>0</v>
      </c>
      <c r="AR346" s="884">
        <f t="shared" ca="1" si="192"/>
        <v>0</v>
      </c>
      <c r="AS346" s="884">
        <f t="shared" ca="1" si="192"/>
        <v>0</v>
      </c>
      <c r="AT346" s="884">
        <f t="shared" ca="1" si="192"/>
        <v>0</v>
      </c>
      <c r="AU346" s="823">
        <f t="shared" ca="1" si="189"/>
        <v>0</v>
      </c>
    </row>
    <row r="347" spans="1:47" s="77" customFormat="1" ht="18" customHeight="1" outlineLevel="1">
      <c r="A347" s="865" t="s">
        <v>23</v>
      </c>
      <c r="B347" s="878">
        <f ca="1">'5.分产品利润表'!BO19</f>
        <v>0</v>
      </c>
      <c r="C347" s="879">
        <f ca="1">IFERROR($B347/$B138*C138,0)</f>
        <v>0</v>
      </c>
      <c r="D347" s="884">
        <f t="shared" ref="D347:AT347" ca="1" si="193">IFERROR($B347/$B138*D138,0)</f>
        <v>0</v>
      </c>
      <c r="E347" s="884">
        <f t="shared" ca="1" si="193"/>
        <v>0</v>
      </c>
      <c r="F347" s="884">
        <f t="shared" ca="1" si="193"/>
        <v>0</v>
      </c>
      <c r="G347" s="879">
        <f t="shared" ca="1" si="193"/>
        <v>0</v>
      </c>
      <c r="H347" s="884">
        <f t="shared" ca="1" si="193"/>
        <v>0</v>
      </c>
      <c r="I347" s="884">
        <f t="shared" ca="1" si="193"/>
        <v>0</v>
      </c>
      <c r="J347" s="884">
        <f t="shared" ca="1" si="193"/>
        <v>0</v>
      </c>
      <c r="K347" s="879">
        <f t="shared" ca="1" si="193"/>
        <v>0</v>
      </c>
      <c r="L347" s="884">
        <f t="shared" ca="1" si="193"/>
        <v>0</v>
      </c>
      <c r="M347" s="884">
        <f t="shared" ca="1" si="193"/>
        <v>0</v>
      </c>
      <c r="N347" s="884">
        <f t="shared" ca="1" si="193"/>
        <v>0</v>
      </c>
      <c r="O347" s="879">
        <f t="shared" ca="1" si="193"/>
        <v>0</v>
      </c>
      <c r="P347" s="884">
        <f t="shared" ca="1" si="193"/>
        <v>0</v>
      </c>
      <c r="Q347" s="884">
        <f t="shared" ca="1" si="193"/>
        <v>0</v>
      </c>
      <c r="R347" s="884">
        <f t="shared" ca="1" si="193"/>
        <v>0</v>
      </c>
      <c r="S347" s="879">
        <f t="shared" ca="1" si="193"/>
        <v>0</v>
      </c>
      <c r="T347" s="884">
        <f t="shared" ca="1" si="193"/>
        <v>0</v>
      </c>
      <c r="U347" s="884">
        <f t="shared" ca="1" si="193"/>
        <v>0</v>
      </c>
      <c r="V347" s="884">
        <f t="shared" ca="1" si="193"/>
        <v>0</v>
      </c>
      <c r="W347" s="879">
        <f t="shared" ca="1" si="193"/>
        <v>0</v>
      </c>
      <c r="X347" s="884">
        <f t="shared" ca="1" si="193"/>
        <v>0</v>
      </c>
      <c r="Y347" s="884">
        <f t="shared" ca="1" si="193"/>
        <v>0</v>
      </c>
      <c r="Z347" s="884">
        <f t="shared" ca="1" si="193"/>
        <v>0</v>
      </c>
      <c r="AA347" s="879">
        <f t="shared" ca="1" si="193"/>
        <v>0</v>
      </c>
      <c r="AB347" s="884">
        <f t="shared" ca="1" si="193"/>
        <v>0</v>
      </c>
      <c r="AC347" s="884">
        <f t="shared" ca="1" si="193"/>
        <v>0</v>
      </c>
      <c r="AD347" s="884">
        <f t="shared" ca="1" si="193"/>
        <v>0</v>
      </c>
      <c r="AE347" s="879">
        <f t="shared" ca="1" si="193"/>
        <v>0</v>
      </c>
      <c r="AF347" s="884">
        <f t="shared" ca="1" si="193"/>
        <v>0</v>
      </c>
      <c r="AG347" s="884">
        <f t="shared" ca="1" si="193"/>
        <v>0</v>
      </c>
      <c r="AH347" s="884">
        <f t="shared" ca="1" si="193"/>
        <v>0</v>
      </c>
      <c r="AI347" s="879">
        <f t="shared" ca="1" si="193"/>
        <v>0</v>
      </c>
      <c r="AJ347" s="884">
        <f t="shared" ca="1" si="193"/>
        <v>0</v>
      </c>
      <c r="AK347" s="884">
        <f t="shared" ca="1" si="193"/>
        <v>0</v>
      </c>
      <c r="AL347" s="884">
        <f t="shared" ca="1" si="193"/>
        <v>0</v>
      </c>
      <c r="AM347" s="879">
        <f t="shared" ca="1" si="193"/>
        <v>0</v>
      </c>
      <c r="AN347" s="884">
        <f t="shared" ca="1" si="193"/>
        <v>0</v>
      </c>
      <c r="AO347" s="884">
        <f t="shared" ca="1" si="193"/>
        <v>0</v>
      </c>
      <c r="AP347" s="884">
        <f t="shared" ca="1" si="193"/>
        <v>0</v>
      </c>
      <c r="AQ347" s="879">
        <f t="shared" ca="1" si="193"/>
        <v>0</v>
      </c>
      <c r="AR347" s="884">
        <f t="shared" ca="1" si="193"/>
        <v>0</v>
      </c>
      <c r="AS347" s="884">
        <f t="shared" ca="1" si="193"/>
        <v>0</v>
      </c>
      <c r="AT347" s="884">
        <f t="shared" ca="1" si="193"/>
        <v>0</v>
      </c>
      <c r="AU347" s="823">
        <f t="shared" ca="1" si="189"/>
        <v>0</v>
      </c>
    </row>
    <row r="348" spans="1:47" s="77" customFormat="1" ht="18" customHeight="1" outlineLevel="1">
      <c r="A348" s="865" t="s">
        <v>24</v>
      </c>
      <c r="B348" s="878">
        <f ca="1">'5.分产品利润表'!CB19</f>
        <v>0</v>
      </c>
      <c r="C348" s="879">
        <f ca="1">IFERROR($B348/$B151*C151,0)</f>
        <v>0</v>
      </c>
      <c r="D348" s="884">
        <f t="shared" ref="D348:AT348" ca="1" si="194">IFERROR($B348/$B151*D151,0)</f>
        <v>0</v>
      </c>
      <c r="E348" s="884">
        <f t="shared" ca="1" si="194"/>
        <v>0</v>
      </c>
      <c r="F348" s="884">
        <f t="shared" ca="1" si="194"/>
        <v>0</v>
      </c>
      <c r="G348" s="879">
        <f t="shared" ca="1" si="194"/>
        <v>0</v>
      </c>
      <c r="H348" s="884">
        <f t="shared" ca="1" si="194"/>
        <v>0</v>
      </c>
      <c r="I348" s="884">
        <f t="shared" ca="1" si="194"/>
        <v>0</v>
      </c>
      <c r="J348" s="884">
        <f t="shared" ca="1" si="194"/>
        <v>0</v>
      </c>
      <c r="K348" s="879">
        <f t="shared" ca="1" si="194"/>
        <v>0</v>
      </c>
      <c r="L348" s="884">
        <f t="shared" ca="1" si="194"/>
        <v>0</v>
      </c>
      <c r="M348" s="884">
        <f t="shared" ca="1" si="194"/>
        <v>0</v>
      </c>
      <c r="N348" s="884">
        <f t="shared" ca="1" si="194"/>
        <v>0</v>
      </c>
      <c r="O348" s="879">
        <f t="shared" ca="1" si="194"/>
        <v>0</v>
      </c>
      <c r="P348" s="884">
        <f t="shared" ca="1" si="194"/>
        <v>0</v>
      </c>
      <c r="Q348" s="884">
        <f t="shared" ca="1" si="194"/>
        <v>0</v>
      </c>
      <c r="R348" s="884">
        <f t="shared" ca="1" si="194"/>
        <v>0</v>
      </c>
      <c r="S348" s="879">
        <f t="shared" ca="1" si="194"/>
        <v>0</v>
      </c>
      <c r="T348" s="884">
        <f t="shared" ca="1" si="194"/>
        <v>0</v>
      </c>
      <c r="U348" s="884">
        <f t="shared" ca="1" si="194"/>
        <v>0</v>
      </c>
      <c r="V348" s="884">
        <f t="shared" ca="1" si="194"/>
        <v>0</v>
      </c>
      <c r="W348" s="879">
        <f t="shared" ca="1" si="194"/>
        <v>0</v>
      </c>
      <c r="X348" s="884">
        <f t="shared" ca="1" si="194"/>
        <v>0</v>
      </c>
      <c r="Y348" s="884">
        <f t="shared" ca="1" si="194"/>
        <v>0</v>
      </c>
      <c r="Z348" s="884">
        <f t="shared" ca="1" si="194"/>
        <v>0</v>
      </c>
      <c r="AA348" s="879">
        <f t="shared" ca="1" si="194"/>
        <v>0</v>
      </c>
      <c r="AB348" s="884">
        <f t="shared" ca="1" si="194"/>
        <v>0</v>
      </c>
      <c r="AC348" s="884">
        <f t="shared" ca="1" si="194"/>
        <v>0</v>
      </c>
      <c r="AD348" s="884">
        <f t="shared" ca="1" si="194"/>
        <v>0</v>
      </c>
      <c r="AE348" s="879">
        <f t="shared" ca="1" si="194"/>
        <v>0</v>
      </c>
      <c r="AF348" s="884">
        <f t="shared" ca="1" si="194"/>
        <v>0</v>
      </c>
      <c r="AG348" s="884">
        <f t="shared" ca="1" si="194"/>
        <v>0</v>
      </c>
      <c r="AH348" s="884">
        <f t="shared" ca="1" si="194"/>
        <v>0</v>
      </c>
      <c r="AI348" s="879">
        <f t="shared" ca="1" si="194"/>
        <v>0</v>
      </c>
      <c r="AJ348" s="884">
        <f t="shared" ca="1" si="194"/>
        <v>0</v>
      </c>
      <c r="AK348" s="884">
        <f t="shared" ca="1" si="194"/>
        <v>0</v>
      </c>
      <c r="AL348" s="884">
        <f t="shared" ca="1" si="194"/>
        <v>0</v>
      </c>
      <c r="AM348" s="879">
        <f t="shared" ca="1" si="194"/>
        <v>0</v>
      </c>
      <c r="AN348" s="884">
        <f t="shared" ca="1" si="194"/>
        <v>0</v>
      </c>
      <c r="AO348" s="884">
        <f t="shared" ca="1" si="194"/>
        <v>0</v>
      </c>
      <c r="AP348" s="884">
        <f t="shared" ca="1" si="194"/>
        <v>0</v>
      </c>
      <c r="AQ348" s="879">
        <f t="shared" ca="1" si="194"/>
        <v>0</v>
      </c>
      <c r="AR348" s="884">
        <f t="shared" ca="1" si="194"/>
        <v>0</v>
      </c>
      <c r="AS348" s="884">
        <f t="shared" ca="1" si="194"/>
        <v>0</v>
      </c>
      <c r="AT348" s="884">
        <f t="shared" ca="1" si="194"/>
        <v>0</v>
      </c>
      <c r="AU348" s="823">
        <f t="shared" ca="1" si="189"/>
        <v>0</v>
      </c>
    </row>
    <row r="349" spans="1:47" s="77" customFormat="1" ht="18" customHeight="1" outlineLevel="1">
      <c r="A349" s="877" t="s">
        <v>230</v>
      </c>
      <c r="B349" s="878">
        <f ca="1">B177-B178-B181-B260-B261-B342-B179-B180-B262</f>
        <v>20731.861383609441</v>
      </c>
      <c r="C349" s="879">
        <f ca="1">C341-C342</f>
        <v>0</v>
      </c>
      <c r="D349" s="884">
        <f ca="1">D341-D342</f>
        <v>0</v>
      </c>
      <c r="E349" s="884">
        <f ca="1">E341-E342</f>
        <v>0</v>
      </c>
      <c r="F349" s="884">
        <f ca="1">F341-F342</f>
        <v>0</v>
      </c>
      <c r="G349" s="879">
        <f t="shared" ref="G349:AT349" ca="1" si="195">G341-G342</f>
        <v>0</v>
      </c>
      <c r="H349" s="884">
        <f t="shared" ca="1" si="195"/>
        <v>6474.4784433223176</v>
      </c>
      <c r="I349" s="884">
        <f t="shared" ca="1" si="195"/>
        <v>7444.2766844024745</v>
      </c>
      <c r="J349" s="884">
        <f t="shared" ca="1" si="195"/>
        <v>3406.5307584703523</v>
      </c>
      <c r="K349" s="879">
        <f t="shared" ca="1" si="195"/>
        <v>3626.9797529284583</v>
      </c>
      <c r="L349" s="884">
        <f t="shared" ca="1" si="195"/>
        <v>-1751.2146258411706</v>
      </c>
      <c r="M349" s="884">
        <f t="shared" ca="1" si="195"/>
        <v>444.58437170839272</v>
      </c>
      <c r="N349" s="884">
        <f t="shared" ca="1" si="195"/>
        <v>882.38802816868565</v>
      </c>
      <c r="O349" s="879">
        <f t="shared" ca="1" si="195"/>
        <v>588.25868544579021</v>
      </c>
      <c r="P349" s="884">
        <f t="shared" ca="1" si="195"/>
        <v>-384.42071499586609</v>
      </c>
      <c r="Q349" s="884">
        <f t="shared" ca="1" si="195"/>
        <v>0</v>
      </c>
      <c r="R349" s="884">
        <f t="shared" ca="1" si="195"/>
        <v>0</v>
      </c>
      <c r="S349" s="879">
        <f t="shared" ca="1" si="195"/>
        <v>0</v>
      </c>
      <c r="T349" s="884">
        <f t="shared" ca="1" si="195"/>
        <v>0</v>
      </c>
      <c r="U349" s="884">
        <f t="shared" ca="1" si="195"/>
        <v>0</v>
      </c>
      <c r="V349" s="884">
        <f t="shared" ca="1" si="195"/>
        <v>0</v>
      </c>
      <c r="W349" s="879">
        <f t="shared" ca="1" si="195"/>
        <v>0</v>
      </c>
      <c r="X349" s="884">
        <f t="shared" ca="1" si="195"/>
        <v>0</v>
      </c>
      <c r="Y349" s="884">
        <f t="shared" ca="1" si="195"/>
        <v>0</v>
      </c>
      <c r="Z349" s="884">
        <f t="shared" ca="1" si="195"/>
        <v>0</v>
      </c>
      <c r="AA349" s="879">
        <f t="shared" ca="1" si="195"/>
        <v>0</v>
      </c>
      <c r="AB349" s="884">
        <f t="shared" ca="1" si="195"/>
        <v>0</v>
      </c>
      <c r="AC349" s="884">
        <f t="shared" ca="1" si="195"/>
        <v>0</v>
      </c>
      <c r="AD349" s="884">
        <f t="shared" ca="1" si="195"/>
        <v>0</v>
      </c>
      <c r="AE349" s="879">
        <f t="shared" ca="1" si="195"/>
        <v>0</v>
      </c>
      <c r="AF349" s="884">
        <f t="shared" ca="1" si="195"/>
        <v>0</v>
      </c>
      <c r="AG349" s="884">
        <f t="shared" ca="1" si="195"/>
        <v>0</v>
      </c>
      <c r="AH349" s="884">
        <f t="shared" ca="1" si="195"/>
        <v>0</v>
      </c>
      <c r="AI349" s="879">
        <f t="shared" ca="1" si="195"/>
        <v>0</v>
      </c>
      <c r="AJ349" s="884">
        <f t="shared" ca="1" si="195"/>
        <v>0</v>
      </c>
      <c r="AK349" s="884">
        <f t="shared" ca="1" si="195"/>
        <v>0</v>
      </c>
      <c r="AL349" s="884">
        <f t="shared" ca="1" si="195"/>
        <v>0</v>
      </c>
      <c r="AM349" s="879">
        <f t="shared" ca="1" si="195"/>
        <v>0</v>
      </c>
      <c r="AN349" s="884">
        <f t="shared" ca="1" si="195"/>
        <v>0</v>
      </c>
      <c r="AO349" s="884">
        <f t="shared" ca="1" si="195"/>
        <v>0</v>
      </c>
      <c r="AP349" s="884">
        <f t="shared" ca="1" si="195"/>
        <v>0</v>
      </c>
      <c r="AQ349" s="879">
        <f t="shared" ca="1" si="195"/>
        <v>0</v>
      </c>
      <c r="AR349" s="884">
        <f t="shared" ca="1" si="195"/>
        <v>0</v>
      </c>
      <c r="AS349" s="884">
        <f t="shared" ca="1" si="195"/>
        <v>0</v>
      </c>
      <c r="AT349" s="884">
        <f t="shared" ca="1" si="195"/>
        <v>0</v>
      </c>
      <c r="AU349" s="823"/>
    </row>
    <row r="350" spans="1:47" s="77" customFormat="1" ht="18" customHeight="1">
      <c r="A350" s="877" t="s">
        <v>13</v>
      </c>
      <c r="B350" s="885">
        <f ca="1">IF(B85=0,0,B349/B85)</f>
        <v>0.20609606238129016</v>
      </c>
      <c r="C350" s="886">
        <f t="shared" ref="C350:AT350" si="196">IF(C85=0,0,C349/C85)</f>
        <v>0</v>
      </c>
      <c r="D350" s="885">
        <f t="shared" si="196"/>
        <v>0</v>
      </c>
      <c r="E350" s="885">
        <f t="shared" si="196"/>
        <v>0</v>
      </c>
      <c r="F350" s="885">
        <f t="shared" si="196"/>
        <v>0</v>
      </c>
      <c r="G350" s="886">
        <f t="shared" si="196"/>
        <v>0</v>
      </c>
      <c r="H350" s="885">
        <f t="shared" ca="1" si="196"/>
        <v>0.21982780556225506</v>
      </c>
      <c r="I350" s="885">
        <f t="shared" ca="1" si="196"/>
        <v>0.24303398184829794</v>
      </c>
      <c r="J350" s="885">
        <f t="shared" ca="1" si="196"/>
        <v>0.25440955845910324</v>
      </c>
      <c r="K350" s="886">
        <f t="shared" ca="1" si="196"/>
        <v>0.26556208454812802</v>
      </c>
      <c r="L350" s="885">
        <f t="shared" ca="1" si="196"/>
        <v>-0.25057443707663268</v>
      </c>
      <c r="M350" s="885">
        <f t="shared" ca="1" si="196"/>
        <v>0.12631673250039568</v>
      </c>
      <c r="N350" s="885">
        <f t="shared" ca="1" si="196"/>
        <v>0.49784925985594991</v>
      </c>
      <c r="O350" s="886">
        <f t="shared" ca="1" si="196"/>
        <v>0.4978492598559498</v>
      </c>
      <c r="P350" s="885">
        <f t="shared" si="196"/>
        <v>0</v>
      </c>
      <c r="Q350" s="885">
        <f t="shared" si="196"/>
        <v>0</v>
      </c>
      <c r="R350" s="885">
        <f t="shared" si="196"/>
        <v>0</v>
      </c>
      <c r="S350" s="886">
        <f t="shared" si="196"/>
        <v>0</v>
      </c>
      <c r="T350" s="885">
        <f t="shared" si="196"/>
        <v>0</v>
      </c>
      <c r="U350" s="885">
        <f t="shared" si="196"/>
        <v>0</v>
      </c>
      <c r="V350" s="885">
        <f t="shared" si="196"/>
        <v>0</v>
      </c>
      <c r="W350" s="886">
        <f t="shared" si="196"/>
        <v>0</v>
      </c>
      <c r="X350" s="885">
        <f t="shared" si="196"/>
        <v>0</v>
      </c>
      <c r="Y350" s="885">
        <f t="shared" si="196"/>
        <v>0</v>
      </c>
      <c r="Z350" s="885">
        <f t="shared" si="196"/>
        <v>0</v>
      </c>
      <c r="AA350" s="886">
        <f t="shared" si="196"/>
        <v>0</v>
      </c>
      <c r="AB350" s="885">
        <f t="shared" si="196"/>
        <v>0</v>
      </c>
      <c r="AC350" s="885">
        <f t="shared" si="196"/>
        <v>0</v>
      </c>
      <c r="AD350" s="885">
        <f t="shared" si="196"/>
        <v>0</v>
      </c>
      <c r="AE350" s="886">
        <f t="shared" si="196"/>
        <v>0</v>
      </c>
      <c r="AF350" s="885">
        <f t="shared" si="196"/>
        <v>0</v>
      </c>
      <c r="AG350" s="885">
        <f t="shared" si="196"/>
        <v>0</v>
      </c>
      <c r="AH350" s="885">
        <f t="shared" si="196"/>
        <v>0</v>
      </c>
      <c r="AI350" s="886">
        <f t="shared" si="196"/>
        <v>0</v>
      </c>
      <c r="AJ350" s="885">
        <f t="shared" si="196"/>
        <v>0</v>
      </c>
      <c r="AK350" s="885">
        <f t="shared" si="196"/>
        <v>0</v>
      </c>
      <c r="AL350" s="885">
        <f t="shared" si="196"/>
        <v>0</v>
      </c>
      <c r="AM350" s="886">
        <f t="shared" si="196"/>
        <v>0</v>
      </c>
      <c r="AN350" s="885">
        <f t="shared" si="196"/>
        <v>0</v>
      </c>
      <c r="AO350" s="885">
        <f t="shared" si="196"/>
        <v>0</v>
      </c>
      <c r="AP350" s="885">
        <f t="shared" si="196"/>
        <v>0</v>
      </c>
      <c r="AQ350" s="886">
        <f t="shared" si="196"/>
        <v>0</v>
      </c>
      <c r="AR350" s="885">
        <f t="shared" si="196"/>
        <v>0</v>
      </c>
      <c r="AS350" s="885">
        <f t="shared" si="196"/>
        <v>0</v>
      </c>
      <c r="AT350" s="885">
        <f t="shared" si="196"/>
        <v>0</v>
      </c>
    </row>
    <row r="351" spans="1:47" s="77" customFormat="1" ht="18" customHeight="1">
      <c r="A351" s="887" t="s">
        <v>210</v>
      </c>
      <c r="B351" s="888">
        <f>IF(B85=0,0,B177/B85)</f>
        <v>0.48653938931451368</v>
      </c>
      <c r="C351" s="889">
        <f t="shared" ref="C351:AT351" si="197">IF(C85=0,0,C177/C85)</f>
        <v>0</v>
      </c>
      <c r="D351" s="888">
        <f t="shared" si="197"/>
        <v>0</v>
      </c>
      <c r="E351" s="888">
        <f t="shared" si="197"/>
        <v>0</v>
      </c>
      <c r="F351" s="888">
        <f t="shared" si="197"/>
        <v>0</v>
      </c>
      <c r="G351" s="889">
        <f t="shared" si="197"/>
        <v>0</v>
      </c>
      <c r="H351" s="888">
        <f t="shared" si="197"/>
        <v>0.51915369590350136</v>
      </c>
      <c r="I351" s="888">
        <f t="shared" si="197"/>
        <v>0.53764778452259743</v>
      </c>
      <c r="J351" s="888">
        <f t="shared" si="197"/>
        <v>0.54671351423784065</v>
      </c>
      <c r="K351" s="889">
        <f t="shared" si="197"/>
        <v>0.5556014845469025</v>
      </c>
      <c r="L351" s="888">
        <f t="shared" si="197"/>
        <v>-6.6771660398972699E-2</v>
      </c>
      <c r="M351" s="888">
        <f t="shared" si="197"/>
        <v>0.31120118051793244</v>
      </c>
      <c r="N351" s="888">
        <f t="shared" si="197"/>
        <v>0.68380000000000007</v>
      </c>
      <c r="O351" s="889">
        <f t="shared" si="197"/>
        <v>0.68379999999999996</v>
      </c>
      <c r="P351" s="888">
        <f t="shared" si="197"/>
        <v>0</v>
      </c>
      <c r="Q351" s="888">
        <f t="shared" si="197"/>
        <v>0</v>
      </c>
      <c r="R351" s="888">
        <f t="shared" si="197"/>
        <v>0</v>
      </c>
      <c r="S351" s="889">
        <f t="shared" si="197"/>
        <v>0</v>
      </c>
      <c r="T351" s="888">
        <f t="shared" si="197"/>
        <v>0</v>
      </c>
      <c r="U351" s="888">
        <f t="shared" si="197"/>
        <v>0</v>
      </c>
      <c r="V351" s="888">
        <f t="shared" si="197"/>
        <v>0</v>
      </c>
      <c r="W351" s="889">
        <f t="shared" si="197"/>
        <v>0</v>
      </c>
      <c r="X351" s="888">
        <f t="shared" si="197"/>
        <v>0</v>
      </c>
      <c r="Y351" s="888">
        <f t="shared" si="197"/>
        <v>0</v>
      </c>
      <c r="Z351" s="888">
        <f t="shared" si="197"/>
        <v>0</v>
      </c>
      <c r="AA351" s="889">
        <f t="shared" si="197"/>
        <v>0</v>
      </c>
      <c r="AB351" s="888">
        <f t="shared" si="197"/>
        <v>0</v>
      </c>
      <c r="AC351" s="888">
        <f t="shared" si="197"/>
        <v>0</v>
      </c>
      <c r="AD351" s="888">
        <f t="shared" si="197"/>
        <v>0</v>
      </c>
      <c r="AE351" s="889">
        <f t="shared" si="197"/>
        <v>0</v>
      </c>
      <c r="AF351" s="888">
        <f t="shared" si="197"/>
        <v>0</v>
      </c>
      <c r="AG351" s="888">
        <f t="shared" si="197"/>
        <v>0</v>
      </c>
      <c r="AH351" s="888">
        <f t="shared" si="197"/>
        <v>0</v>
      </c>
      <c r="AI351" s="889">
        <f t="shared" si="197"/>
        <v>0</v>
      </c>
      <c r="AJ351" s="888">
        <f t="shared" si="197"/>
        <v>0</v>
      </c>
      <c r="AK351" s="888">
        <f t="shared" si="197"/>
        <v>0</v>
      </c>
      <c r="AL351" s="888">
        <f t="shared" si="197"/>
        <v>0</v>
      </c>
      <c r="AM351" s="889">
        <f t="shared" si="197"/>
        <v>0</v>
      </c>
      <c r="AN351" s="888">
        <f t="shared" si="197"/>
        <v>0</v>
      </c>
      <c r="AO351" s="888">
        <f t="shared" si="197"/>
        <v>0</v>
      </c>
      <c r="AP351" s="888">
        <f t="shared" si="197"/>
        <v>0</v>
      </c>
      <c r="AQ351" s="889">
        <f t="shared" si="197"/>
        <v>0</v>
      </c>
      <c r="AR351" s="888">
        <f t="shared" si="197"/>
        <v>0</v>
      </c>
      <c r="AS351" s="888">
        <f t="shared" si="197"/>
        <v>0</v>
      </c>
      <c r="AT351" s="888">
        <f t="shared" si="197"/>
        <v>0</v>
      </c>
    </row>
    <row r="352" spans="1:47" s="77" customFormat="1" ht="18" customHeight="1">
      <c r="A352" s="887" t="s">
        <v>667</v>
      </c>
      <c r="B352" s="888">
        <f>IF(B85=0,0,SUM(B260,B261)/B85)</f>
        <v>4.4999999999999998E-2</v>
      </c>
      <c r="C352" s="889">
        <f t="shared" ref="C352:AT352" si="198">IF(C85=0,0,SUM(C260,C261)/C85)</f>
        <v>0</v>
      </c>
      <c r="D352" s="888">
        <f t="shared" si="198"/>
        <v>0</v>
      </c>
      <c r="E352" s="888">
        <f t="shared" si="198"/>
        <v>0</v>
      </c>
      <c r="F352" s="888">
        <f t="shared" si="198"/>
        <v>0</v>
      </c>
      <c r="G352" s="889">
        <f t="shared" si="198"/>
        <v>0</v>
      </c>
      <c r="H352" s="888">
        <f t="shared" si="198"/>
        <v>4.5000000000000005E-2</v>
      </c>
      <c r="I352" s="888">
        <f t="shared" si="198"/>
        <v>4.4999999999999998E-2</v>
      </c>
      <c r="J352" s="888">
        <f t="shared" si="198"/>
        <v>4.5000000000000005E-2</v>
      </c>
      <c r="K352" s="889">
        <f t="shared" si="198"/>
        <v>4.5000000000000005E-2</v>
      </c>
      <c r="L352" s="888">
        <f t="shared" si="198"/>
        <v>4.5000000000000005E-2</v>
      </c>
      <c r="M352" s="888">
        <f t="shared" si="198"/>
        <v>4.4999999999999998E-2</v>
      </c>
      <c r="N352" s="888">
        <f t="shared" si="198"/>
        <v>4.5000000000000005E-2</v>
      </c>
      <c r="O352" s="889">
        <f t="shared" si="198"/>
        <v>4.4999999999999998E-2</v>
      </c>
      <c r="P352" s="888">
        <f t="shared" si="198"/>
        <v>0</v>
      </c>
      <c r="Q352" s="888">
        <f t="shared" si="198"/>
        <v>0</v>
      </c>
      <c r="R352" s="888">
        <f t="shared" si="198"/>
        <v>0</v>
      </c>
      <c r="S352" s="889">
        <f t="shared" si="198"/>
        <v>0</v>
      </c>
      <c r="T352" s="888">
        <f t="shared" si="198"/>
        <v>0</v>
      </c>
      <c r="U352" s="888">
        <f t="shared" si="198"/>
        <v>0</v>
      </c>
      <c r="V352" s="888">
        <f t="shared" si="198"/>
        <v>0</v>
      </c>
      <c r="W352" s="889">
        <f t="shared" si="198"/>
        <v>0</v>
      </c>
      <c r="X352" s="888">
        <f t="shared" si="198"/>
        <v>0</v>
      </c>
      <c r="Y352" s="888">
        <f t="shared" si="198"/>
        <v>0</v>
      </c>
      <c r="Z352" s="888">
        <f t="shared" si="198"/>
        <v>0</v>
      </c>
      <c r="AA352" s="889">
        <f t="shared" si="198"/>
        <v>0</v>
      </c>
      <c r="AB352" s="888">
        <f t="shared" si="198"/>
        <v>0</v>
      </c>
      <c r="AC352" s="888">
        <f t="shared" si="198"/>
        <v>0</v>
      </c>
      <c r="AD352" s="888">
        <f t="shared" si="198"/>
        <v>0</v>
      </c>
      <c r="AE352" s="889">
        <f t="shared" si="198"/>
        <v>0</v>
      </c>
      <c r="AF352" s="888">
        <f t="shared" si="198"/>
        <v>0</v>
      </c>
      <c r="AG352" s="888">
        <f t="shared" si="198"/>
        <v>0</v>
      </c>
      <c r="AH352" s="888">
        <f t="shared" si="198"/>
        <v>0</v>
      </c>
      <c r="AI352" s="889">
        <f t="shared" si="198"/>
        <v>0</v>
      </c>
      <c r="AJ352" s="888">
        <f t="shared" si="198"/>
        <v>0</v>
      </c>
      <c r="AK352" s="888">
        <f t="shared" si="198"/>
        <v>0</v>
      </c>
      <c r="AL352" s="888">
        <f t="shared" si="198"/>
        <v>0</v>
      </c>
      <c r="AM352" s="889">
        <f t="shared" si="198"/>
        <v>0</v>
      </c>
      <c r="AN352" s="888">
        <f t="shared" si="198"/>
        <v>0</v>
      </c>
      <c r="AO352" s="888">
        <f t="shared" si="198"/>
        <v>0</v>
      </c>
      <c r="AP352" s="888">
        <f t="shared" si="198"/>
        <v>0</v>
      </c>
      <c r="AQ352" s="889">
        <f t="shared" si="198"/>
        <v>0</v>
      </c>
      <c r="AR352" s="888">
        <f t="shared" si="198"/>
        <v>0</v>
      </c>
      <c r="AS352" s="888">
        <f t="shared" si="198"/>
        <v>0</v>
      </c>
      <c r="AT352" s="888">
        <f t="shared" si="198"/>
        <v>0</v>
      </c>
    </row>
    <row r="353" spans="1:46">
      <c r="A353" s="890" t="s">
        <v>553</v>
      </c>
      <c r="B353" s="891">
        <f ca="1">B349-'5.分产品利润表'!B20</f>
        <v>0</v>
      </c>
    </row>
    <row r="354" spans="1:46">
      <c r="B354" s="892"/>
      <c r="D354" s="892"/>
    </row>
    <row r="356" spans="1:46">
      <c r="C356" s="892">
        <f>('4.综合指标表'!$G$91+'4.综合指标表'!$G$104)*C18/10000</f>
        <v>0</v>
      </c>
      <c r="D356">
        <f>('4.综合指标表'!$G$91+'4.综合指标表'!$G$104)*D18/10000</f>
        <v>0</v>
      </c>
      <c r="E356">
        <f>('4.综合指标表'!$G$91+'4.综合指标表'!$G$104)*E18/10000</f>
        <v>0</v>
      </c>
      <c r="F356">
        <f>('4.综合指标表'!$G$91+'4.综合指标表'!$G$104)*F18/10000</f>
        <v>0</v>
      </c>
      <c r="G356">
        <f>('4.综合指标表'!$G$91+'4.综合指标表'!$G$104)*G18/10000</f>
        <v>0</v>
      </c>
      <c r="H356">
        <f>('4.综合指标表'!$G$91+'4.综合指标表'!$G$104)*H18/10000</f>
        <v>0</v>
      </c>
      <c r="I356">
        <f>('4.综合指标表'!$G$91+'4.综合指标表'!$G$104)*I18/10000</f>
        <v>0</v>
      </c>
      <c r="J356">
        <f>('4.综合指标表'!$G$91+'4.综合指标表'!$G$104)*J18/10000</f>
        <v>0</v>
      </c>
      <c r="K356">
        <f>('4.综合指标表'!$G$91+'4.综合指标表'!$G$104)*K18/10000</f>
        <v>0</v>
      </c>
      <c r="L356">
        <f>('4.综合指标表'!$G$91+'4.综合指标表'!$G$104)*L18/10000</f>
        <v>0</v>
      </c>
      <c r="M356">
        <f>('4.综合指标表'!$G$91+'4.综合指标表'!$G$104)*M18/10000</f>
        <v>560.43287999999995</v>
      </c>
      <c r="N356">
        <f>('4.综合指标表'!$G$91+'4.综合指标表'!$G$104)*N18/10000</f>
        <v>560.43287999999995</v>
      </c>
      <c r="O356">
        <f>('4.综合指标表'!$G$91+'4.综合指标表'!$G$104)*O18/10000</f>
        <v>373.62192000000005</v>
      </c>
      <c r="P356">
        <f>('4.综合指标表'!$G$91+'4.综合指标表'!$G$104)*P18/10000</f>
        <v>373.62192000000005</v>
      </c>
      <c r="Q356">
        <f>('4.综合指标表'!$G$91+'4.综合指标表'!$G$104)*Q18/10000</f>
        <v>0</v>
      </c>
      <c r="R356">
        <f>('4.综合指标表'!$G$91+'4.综合指标表'!$G$104)*R18/10000</f>
        <v>0</v>
      </c>
      <c r="S356">
        <f>('4.综合指标表'!$G$91+'4.综合指标表'!$G$104)*S18/10000</f>
        <v>0</v>
      </c>
      <c r="T356">
        <f>('4.综合指标表'!$G$91+'4.综合指标表'!$G$104)*T18/10000</f>
        <v>0</v>
      </c>
      <c r="U356">
        <f>('4.综合指标表'!$G$91+'4.综合指标表'!$G$104)*U18/10000</f>
        <v>0</v>
      </c>
      <c r="V356">
        <f>('4.综合指标表'!$G$91+'4.综合指标表'!$G$104)*V18/10000</f>
        <v>0</v>
      </c>
      <c r="W356">
        <f>('4.综合指标表'!$G$91+'4.综合指标表'!$G$104)*W18/10000</f>
        <v>0</v>
      </c>
      <c r="X356">
        <f>('4.综合指标表'!$G$91+'4.综合指标表'!$G$104)*X18/10000</f>
        <v>0</v>
      </c>
      <c r="Y356">
        <f>('4.综合指标表'!$G$91+'4.综合指标表'!$G$104)*Y18/10000</f>
        <v>0</v>
      </c>
      <c r="Z356">
        <f>('4.综合指标表'!$G$91+'4.综合指标表'!$G$104)*Z18/10000</f>
        <v>0</v>
      </c>
      <c r="AA356">
        <f>('4.综合指标表'!$G$91+'4.综合指标表'!$G$104)*AA18/10000</f>
        <v>0</v>
      </c>
      <c r="AB356">
        <f>('4.综合指标表'!$G$91+'4.综合指标表'!$G$104)*AB18/10000</f>
        <v>0</v>
      </c>
      <c r="AC356">
        <f>('4.综合指标表'!$G$91+'4.综合指标表'!$G$104)*AC18/10000</f>
        <v>0</v>
      </c>
      <c r="AD356">
        <f>('4.综合指标表'!$G$91+'4.综合指标表'!$G$104)*AD18/10000</f>
        <v>0</v>
      </c>
      <c r="AE356">
        <f>('4.综合指标表'!$G$91+'4.综合指标表'!$G$104)*AE18/10000</f>
        <v>0</v>
      </c>
      <c r="AF356">
        <f>('4.综合指标表'!$G$91+'4.综合指标表'!$G$104)*AF18/10000</f>
        <v>0</v>
      </c>
      <c r="AG356">
        <f>('4.综合指标表'!$G$91+'4.综合指标表'!$G$104)*AG18/10000</f>
        <v>0</v>
      </c>
      <c r="AH356">
        <f>('4.综合指标表'!$G$91+'4.综合指标表'!$G$104)*AH18/10000</f>
        <v>0</v>
      </c>
      <c r="AI356">
        <f>('4.综合指标表'!$G$91+'4.综合指标表'!$G$104)*AI18/10000</f>
        <v>0</v>
      </c>
      <c r="AJ356">
        <f>('4.综合指标表'!$G$91+'4.综合指标表'!$G$104)*AJ18/10000</f>
        <v>0</v>
      </c>
      <c r="AK356">
        <f>('4.综合指标表'!$G$91+'4.综合指标表'!$G$104)*AK18/10000</f>
        <v>0</v>
      </c>
      <c r="AL356">
        <f>('4.综合指标表'!$G$91+'4.综合指标表'!$G$104)*AL18/10000</f>
        <v>0</v>
      </c>
      <c r="AM356">
        <f>('4.综合指标表'!$G$91+'4.综合指标表'!$G$104)*AM18/10000</f>
        <v>0</v>
      </c>
      <c r="AN356">
        <f>('4.综合指标表'!$G$91+'4.综合指标表'!$G$104)*AN18/10000</f>
        <v>0</v>
      </c>
      <c r="AO356">
        <f>('4.综合指标表'!$G$91+'4.综合指标表'!$G$104)*AO18/10000</f>
        <v>0</v>
      </c>
      <c r="AP356">
        <f>('4.综合指标表'!$G$91+'4.综合指标表'!$G$104)*AP18/10000</f>
        <v>0</v>
      </c>
      <c r="AQ356">
        <f>('4.综合指标表'!$G$91+'4.综合指标表'!$G$104)*AQ18/10000</f>
        <v>0</v>
      </c>
      <c r="AR356">
        <f>('4.综合指标表'!$G$91+'4.综合指标表'!$G$104)*AR18/10000</f>
        <v>0</v>
      </c>
      <c r="AS356">
        <f>('4.综合指标表'!$G$91+'4.综合指标表'!$G$104)*AS18/10000</f>
        <v>0</v>
      </c>
      <c r="AT356">
        <f>('4.综合指标表'!$G$91+'4.综合指标表'!$G$104)*AT18/10000</f>
        <v>0</v>
      </c>
    </row>
    <row r="357" spans="1:46">
      <c r="C357" s="892">
        <f>('4.综合指标表'!$H$91+'4.综合指标表'!$H$104)*C31/10000</f>
        <v>0</v>
      </c>
      <c r="D357">
        <f>('4.综合指标表'!$H$91+'4.综合指标表'!$H$104)*D31/10000</f>
        <v>0</v>
      </c>
      <c r="E357">
        <f>('4.综合指标表'!$H$91+'4.综合指标表'!$H$104)*E31/10000</f>
        <v>0</v>
      </c>
      <c r="F357">
        <f>('4.综合指标表'!$H$91+'4.综合指标表'!$H$104)*F31/10000</f>
        <v>0</v>
      </c>
      <c r="G357">
        <f>('4.综合指标表'!$H$91+'4.综合指标表'!$H$104)*G31/10000</f>
        <v>0</v>
      </c>
      <c r="H357">
        <f>('4.综合指标表'!$H$91+'4.综合指标表'!$H$104)*H31/10000</f>
        <v>0</v>
      </c>
      <c r="I357">
        <f>('4.综合指标表'!$H$91+'4.综合指标表'!$H$104)*I31/10000</f>
        <v>0</v>
      </c>
      <c r="J357">
        <f>('4.综合指标表'!$H$91+'4.综合指标表'!$H$104)*J31/10000</f>
        <v>0</v>
      </c>
      <c r="K357">
        <f>('4.综合指标表'!$H$91+'4.综合指标表'!$H$104)*K31/10000</f>
        <v>0</v>
      </c>
      <c r="L357">
        <f>('4.综合指标表'!$H$91+'4.综合指标表'!$H$104)*L31/10000</f>
        <v>0</v>
      </c>
      <c r="M357">
        <f>('4.综合指标表'!$H$91+'4.综合指标表'!$H$104)*M31/10000</f>
        <v>0</v>
      </c>
      <c r="N357">
        <f>('4.综合指标表'!$H$91+'4.综合指标表'!$H$104)*N31/10000</f>
        <v>0</v>
      </c>
      <c r="O357">
        <f>('4.综合指标表'!$H$91+'4.综合指标表'!$H$104)*O31/10000</f>
        <v>0</v>
      </c>
      <c r="P357">
        <f>('4.综合指标表'!$H$91+'4.综合指标表'!$H$104)*P31/10000</f>
        <v>0</v>
      </c>
      <c r="Q357">
        <f>('4.综合指标表'!$H$91+'4.综合指标表'!$H$104)*Q31/10000</f>
        <v>0</v>
      </c>
      <c r="R357">
        <f>('4.综合指标表'!$H$91+'4.综合指标表'!$H$104)*R31/10000</f>
        <v>0</v>
      </c>
      <c r="S357">
        <f>('4.综合指标表'!$H$91+'4.综合指标表'!$H$104)*S31/10000</f>
        <v>0</v>
      </c>
      <c r="T357">
        <f>('4.综合指标表'!$H$91+'4.综合指标表'!$H$104)*T31/10000</f>
        <v>0</v>
      </c>
      <c r="U357">
        <f>('4.综合指标表'!$H$91+'4.综合指标表'!$H$104)*U31/10000</f>
        <v>0</v>
      </c>
      <c r="V357">
        <f>('4.综合指标表'!$H$91+'4.综合指标表'!$H$104)*V31/10000</f>
        <v>0</v>
      </c>
      <c r="W357">
        <f>('4.综合指标表'!$H$91+'4.综合指标表'!$H$104)*W31/10000</f>
        <v>0</v>
      </c>
      <c r="X357">
        <f>('4.综合指标表'!$H$91+'4.综合指标表'!$H$104)*X31/10000</f>
        <v>0</v>
      </c>
      <c r="Y357">
        <f>('4.综合指标表'!$H$91+'4.综合指标表'!$H$104)*Y31/10000</f>
        <v>0</v>
      </c>
      <c r="Z357">
        <f>('4.综合指标表'!$H$91+'4.综合指标表'!$H$104)*Z31/10000</f>
        <v>0</v>
      </c>
      <c r="AA357">
        <f>('4.综合指标表'!$H$91+'4.综合指标表'!$H$104)*AA31/10000</f>
        <v>0</v>
      </c>
      <c r="AB357">
        <f>('4.综合指标表'!$H$91+'4.综合指标表'!$H$104)*AB31/10000</f>
        <v>0</v>
      </c>
      <c r="AC357">
        <f>('4.综合指标表'!$H$91+'4.综合指标表'!$H$104)*AC31/10000</f>
        <v>0</v>
      </c>
      <c r="AD357">
        <f>('4.综合指标表'!$H$91+'4.综合指标表'!$H$104)*AD31/10000</f>
        <v>0</v>
      </c>
      <c r="AE357">
        <f>('4.综合指标表'!$H$91+'4.综合指标表'!$H$104)*AE31/10000</f>
        <v>0</v>
      </c>
      <c r="AF357">
        <f>('4.综合指标表'!$H$91+'4.综合指标表'!$H$104)*AF31/10000</f>
        <v>0</v>
      </c>
      <c r="AG357">
        <f>('4.综合指标表'!$H$91+'4.综合指标表'!$H$104)*AG31/10000</f>
        <v>0</v>
      </c>
      <c r="AH357">
        <f>('4.综合指标表'!$H$91+'4.综合指标表'!$H$104)*AH31/10000</f>
        <v>0</v>
      </c>
      <c r="AI357">
        <f>('4.综合指标表'!$H$91+'4.综合指标表'!$H$104)*AI31/10000</f>
        <v>0</v>
      </c>
      <c r="AJ357">
        <f>('4.综合指标表'!$H$91+'4.综合指标表'!$H$104)*AJ31/10000</f>
        <v>0</v>
      </c>
      <c r="AK357">
        <f>('4.综合指标表'!$H$91+'4.综合指标表'!$H$104)*AK31/10000</f>
        <v>0</v>
      </c>
      <c r="AL357">
        <f>('4.综合指标表'!$H$91+'4.综合指标表'!$H$104)*AL31/10000</f>
        <v>0</v>
      </c>
      <c r="AM357">
        <f>('4.综合指标表'!$H$91+'4.综合指标表'!$H$104)*AM31/10000</f>
        <v>0</v>
      </c>
      <c r="AN357">
        <f>('4.综合指标表'!$H$91+'4.综合指标表'!$H$104)*AN31/10000</f>
        <v>0</v>
      </c>
      <c r="AO357">
        <f>('4.综合指标表'!$H$91+'4.综合指标表'!$H$104)*AO31/10000</f>
        <v>0</v>
      </c>
      <c r="AP357">
        <f>('4.综合指标表'!$H$91+'4.综合指标表'!$H$104)*AP31/10000</f>
        <v>0</v>
      </c>
      <c r="AQ357">
        <f>('4.综合指标表'!$H$91+'4.综合指标表'!$H$104)*AQ31/10000</f>
        <v>0</v>
      </c>
      <c r="AR357">
        <f>('4.综合指标表'!$H$91+'4.综合指标表'!$H$104)*AR31/10000</f>
        <v>0</v>
      </c>
      <c r="AS357">
        <f>('4.综合指标表'!$H$91+'4.综合指标表'!$H$104)*AS31/10000</f>
        <v>0</v>
      </c>
      <c r="AT357">
        <f>('4.综合指标表'!$H$91+'4.综合指标表'!$H$104)*AT31/10000</f>
        <v>0</v>
      </c>
    </row>
    <row r="358" spans="1:46">
      <c r="C358" s="893">
        <f>('4.综合指标表'!$I$91+'4.综合指标表'!$I$104)*C44/10000</f>
        <v>0</v>
      </c>
      <c r="D358">
        <f>('4.综合指标表'!$I$91+'4.综合指标表'!$I$104)*D44/10000</f>
        <v>0</v>
      </c>
      <c r="E358">
        <f>('4.综合指标表'!$I$91+'4.综合指标表'!$I$104)*E44/10000</f>
        <v>0</v>
      </c>
      <c r="F358">
        <f>('4.综合指标表'!$I$91+'4.综合指标表'!$I$104)*F44/10000</f>
        <v>0</v>
      </c>
      <c r="G358">
        <f>('4.综合指标表'!$I$91+'4.综合指标表'!$I$104)*G44/10000</f>
        <v>0</v>
      </c>
      <c r="H358">
        <f>('4.综合指标表'!$I$91+'4.综合指标表'!$I$104)*H44/10000</f>
        <v>0</v>
      </c>
      <c r="I358">
        <f>('4.综合指标表'!$I$91+'4.综合指标表'!$I$104)*I44/10000</f>
        <v>0</v>
      </c>
      <c r="J358">
        <f>('4.综合指标表'!$I$91+'4.综合指标表'!$I$104)*J44/10000</f>
        <v>0</v>
      </c>
      <c r="K358">
        <f>('4.综合指标表'!$I$91+'4.综合指标表'!$I$104)*K44/10000</f>
        <v>0</v>
      </c>
      <c r="L358">
        <f>('4.综合指标表'!$I$91+'4.综合指标表'!$I$104)*L44/10000</f>
        <v>0</v>
      </c>
      <c r="M358">
        <f>('4.综合指标表'!$I$91+'4.综合指标表'!$I$104)*M44/10000</f>
        <v>0</v>
      </c>
      <c r="N358">
        <f>('4.综合指标表'!$I$91+'4.综合指标表'!$I$104)*N44/10000</f>
        <v>0</v>
      </c>
      <c r="O358">
        <f>('4.综合指标表'!$I$91+'4.综合指标表'!$I$104)*O44/10000</f>
        <v>0</v>
      </c>
      <c r="P358">
        <f>('4.综合指标表'!$I$91+'4.综合指标表'!$I$104)*P44/10000</f>
        <v>0</v>
      </c>
      <c r="Q358">
        <f>('4.综合指标表'!$I$91+'4.综合指标表'!$I$104)*Q44/10000</f>
        <v>0</v>
      </c>
      <c r="R358">
        <f>('4.综合指标表'!$I$91+'4.综合指标表'!$I$104)*R44/10000</f>
        <v>0</v>
      </c>
      <c r="S358">
        <f>('4.综合指标表'!$I$91+'4.综合指标表'!$I$104)*S44/10000</f>
        <v>0</v>
      </c>
      <c r="T358">
        <f>('4.综合指标表'!$I$91+'4.综合指标表'!$I$104)*T44/10000</f>
        <v>0</v>
      </c>
      <c r="U358">
        <f>('4.综合指标表'!$I$91+'4.综合指标表'!$I$104)*U44/10000</f>
        <v>0</v>
      </c>
      <c r="V358">
        <f>('4.综合指标表'!$I$91+'4.综合指标表'!$I$104)*V44/10000</f>
        <v>0</v>
      </c>
      <c r="W358">
        <f>('4.综合指标表'!$I$91+'4.综合指标表'!$I$104)*W44/10000</f>
        <v>0</v>
      </c>
      <c r="X358">
        <f>('4.综合指标表'!$I$91+'4.综合指标表'!$I$104)*X44/10000</f>
        <v>0</v>
      </c>
      <c r="Y358">
        <f>('4.综合指标表'!$I$91+'4.综合指标表'!$I$104)*Y44/10000</f>
        <v>0</v>
      </c>
      <c r="Z358">
        <f>('4.综合指标表'!$I$91+'4.综合指标表'!$I$104)*Z44/10000</f>
        <v>0</v>
      </c>
      <c r="AA358">
        <f>('4.综合指标表'!$I$91+'4.综合指标表'!$I$104)*AA44/10000</f>
        <v>0</v>
      </c>
      <c r="AB358">
        <f>('4.综合指标表'!$I$91+'4.综合指标表'!$I$104)*AB44/10000</f>
        <v>0</v>
      </c>
      <c r="AC358">
        <f>('4.综合指标表'!$I$91+'4.综合指标表'!$I$104)*AC44/10000</f>
        <v>0</v>
      </c>
      <c r="AD358">
        <f>('4.综合指标表'!$I$91+'4.综合指标表'!$I$104)*AD44/10000</f>
        <v>0</v>
      </c>
      <c r="AE358">
        <f>('4.综合指标表'!$I$91+'4.综合指标表'!$I$104)*AE44/10000</f>
        <v>0</v>
      </c>
      <c r="AF358">
        <f>('4.综合指标表'!$I$91+'4.综合指标表'!$I$104)*AF44/10000</f>
        <v>0</v>
      </c>
      <c r="AG358">
        <f>('4.综合指标表'!$I$91+'4.综合指标表'!$I$104)*AG44/10000</f>
        <v>0</v>
      </c>
      <c r="AH358">
        <f>('4.综合指标表'!$I$91+'4.综合指标表'!$I$104)*AH44/10000</f>
        <v>0</v>
      </c>
      <c r="AI358">
        <f>('4.综合指标表'!$I$91+'4.综合指标表'!$I$104)*AI44/10000</f>
        <v>0</v>
      </c>
      <c r="AJ358">
        <f>('4.综合指标表'!$I$91+'4.综合指标表'!$I$104)*AJ44/10000</f>
        <v>0</v>
      </c>
      <c r="AK358">
        <f>('4.综合指标表'!$I$91+'4.综合指标表'!$I$104)*AK44/10000</f>
        <v>0</v>
      </c>
      <c r="AL358">
        <f>('4.综合指标表'!$I$91+'4.综合指标表'!$I$104)*AL44/10000</f>
        <v>0</v>
      </c>
      <c r="AM358">
        <f>('4.综合指标表'!$I$91+'4.综合指标表'!$I$104)*AM44/10000</f>
        <v>0</v>
      </c>
      <c r="AN358">
        <f>('4.综合指标表'!$I$91+'4.综合指标表'!$I$104)*AN44/10000</f>
        <v>0</v>
      </c>
      <c r="AO358">
        <f>('4.综合指标表'!$I$91+'4.综合指标表'!$I$104)*AO44/10000</f>
        <v>0</v>
      </c>
      <c r="AP358">
        <f>('4.综合指标表'!$I$91+'4.综合指标表'!$I$104)*AP44/10000</f>
        <v>0</v>
      </c>
      <c r="AQ358">
        <f>('4.综合指标表'!$I$91+'4.综合指标表'!$I$104)*AQ44/10000</f>
        <v>0</v>
      </c>
      <c r="AR358">
        <f>('4.综合指标表'!$I$91+'4.综合指标表'!$I$104)*AR44/10000</f>
        <v>0</v>
      </c>
      <c r="AS358">
        <f>('4.综合指标表'!$I$91+'4.综合指标表'!$I$104)*AS44/10000</f>
        <v>0</v>
      </c>
      <c r="AT358">
        <f>('4.综合指标表'!$I$91+'4.综合指标表'!$I$104)*AT44/10000</f>
        <v>0</v>
      </c>
    </row>
    <row r="359" spans="1:46">
      <c r="C359" s="892">
        <f>('4.综合指标表'!$J$91+'4.综合指标表'!$J$104)*C57/10000</f>
        <v>0</v>
      </c>
      <c r="D359">
        <f>('4.综合指标表'!$J$91+'4.综合指标表'!$J$104)*D57/10000</f>
        <v>0</v>
      </c>
      <c r="E359">
        <f>('4.综合指标表'!$J$91+'4.综合指标表'!$J$104)*E57/10000</f>
        <v>0</v>
      </c>
      <c r="F359">
        <f>('4.综合指标表'!$J$91+'4.综合指标表'!$J$104)*F57/10000</f>
        <v>0</v>
      </c>
      <c r="G359">
        <f>('4.综合指标表'!$J$91+'4.综合指标表'!$J$104)*G57/10000</f>
        <v>0</v>
      </c>
      <c r="H359">
        <f>('4.综合指标表'!$J$91+'4.综合指标表'!$J$104)*H57/10000</f>
        <v>0</v>
      </c>
      <c r="I359">
        <f>('4.综合指标表'!$J$91+'4.综合指标表'!$J$104)*I57/10000</f>
        <v>0</v>
      </c>
      <c r="J359">
        <f>('4.综合指标表'!$J$91+'4.综合指标表'!$J$104)*J57/10000</f>
        <v>0</v>
      </c>
      <c r="K359">
        <f>('4.综合指标表'!$J$91+'4.综合指标表'!$J$104)*K57/10000</f>
        <v>0</v>
      </c>
      <c r="L359">
        <f>('4.综合指标表'!$J$91+'4.综合指标表'!$J$104)*L57/10000</f>
        <v>0</v>
      </c>
      <c r="M359">
        <f>('4.综合指标表'!$J$91+'4.综合指标表'!$J$104)*M57/10000</f>
        <v>0</v>
      </c>
      <c r="N359">
        <f>('4.综合指标表'!$J$91+'4.综合指标表'!$J$104)*N57/10000</f>
        <v>0</v>
      </c>
      <c r="O359">
        <f>('4.综合指标表'!$J$91+'4.综合指标表'!$J$104)*O57/10000</f>
        <v>0</v>
      </c>
      <c r="P359">
        <f>('4.综合指标表'!$J$91+'4.综合指标表'!$J$104)*P57/10000</f>
        <v>0</v>
      </c>
      <c r="Q359">
        <f>('4.综合指标表'!$J$91+'4.综合指标表'!$J$104)*Q57/10000</f>
        <v>0</v>
      </c>
      <c r="R359">
        <f>('4.综合指标表'!$J$91+'4.综合指标表'!$J$104)*R57/10000</f>
        <v>0</v>
      </c>
      <c r="S359">
        <f>('4.综合指标表'!$J$91+'4.综合指标表'!$J$104)*S57/10000</f>
        <v>0</v>
      </c>
      <c r="T359">
        <f>('4.综合指标表'!$J$91+'4.综合指标表'!$J$104)*T57/10000</f>
        <v>0</v>
      </c>
      <c r="U359">
        <f>('4.综合指标表'!$J$91+'4.综合指标表'!$J$104)*U57/10000</f>
        <v>0</v>
      </c>
      <c r="V359">
        <f>('4.综合指标表'!$J$91+'4.综合指标表'!$J$104)*V57/10000</f>
        <v>0</v>
      </c>
      <c r="W359">
        <f>('4.综合指标表'!$J$91+'4.综合指标表'!$J$104)*W57/10000</f>
        <v>0</v>
      </c>
      <c r="X359">
        <f>('4.综合指标表'!$J$91+'4.综合指标表'!$J$104)*X57/10000</f>
        <v>0</v>
      </c>
      <c r="Y359">
        <f>('4.综合指标表'!$J$91+'4.综合指标表'!$J$104)*Y57/10000</f>
        <v>0</v>
      </c>
      <c r="Z359">
        <f>('4.综合指标表'!$J$91+'4.综合指标表'!$J$104)*Z57/10000</f>
        <v>0</v>
      </c>
      <c r="AA359">
        <f>('4.综合指标表'!$J$91+'4.综合指标表'!$J$104)*AA57/10000</f>
        <v>0</v>
      </c>
      <c r="AB359">
        <f>('4.综合指标表'!$J$91+'4.综合指标表'!$J$104)*AB57/10000</f>
        <v>0</v>
      </c>
      <c r="AC359">
        <f>('4.综合指标表'!$J$91+'4.综合指标表'!$J$104)*AC57/10000</f>
        <v>0</v>
      </c>
      <c r="AD359">
        <f>('4.综合指标表'!$J$91+'4.综合指标表'!$J$104)*AD57/10000</f>
        <v>0</v>
      </c>
      <c r="AE359">
        <f>('4.综合指标表'!$J$91+'4.综合指标表'!$J$104)*AE57/10000</f>
        <v>0</v>
      </c>
      <c r="AF359">
        <f>('4.综合指标表'!$J$91+'4.综合指标表'!$J$104)*AF57/10000</f>
        <v>0</v>
      </c>
      <c r="AG359">
        <f>('4.综合指标表'!$J$91+'4.综合指标表'!$J$104)*AG57/10000</f>
        <v>0</v>
      </c>
      <c r="AH359">
        <f>('4.综合指标表'!$J$91+'4.综合指标表'!$J$104)*AH57/10000</f>
        <v>0</v>
      </c>
      <c r="AI359">
        <f>('4.综合指标表'!$J$91+'4.综合指标表'!$J$104)*AI57/10000</f>
        <v>0</v>
      </c>
      <c r="AJ359">
        <f>('4.综合指标表'!$J$91+'4.综合指标表'!$J$104)*AJ57/10000</f>
        <v>0</v>
      </c>
      <c r="AK359">
        <f>('4.综合指标表'!$J$91+'4.综合指标表'!$J$104)*AK57/10000</f>
        <v>0</v>
      </c>
      <c r="AL359">
        <f>('4.综合指标表'!$J$91+'4.综合指标表'!$J$104)*AL57/10000</f>
        <v>0</v>
      </c>
      <c r="AM359">
        <f>('4.综合指标表'!$J$91+'4.综合指标表'!$J$104)*AM57/10000</f>
        <v>0</v>
      </c>
      <c r="AN359">
        <f>('4.综合指标表'!$J$91+'4.综合指标表'!$J$104)*AN57/10000</f>
        <v>0</v>
      </c>
      <c r="AO359">
        <f>('4.综合指标表'!$J$91+'4.综合指标表'!$J$104)*AO57/10000</f>
        <v>0</v>
      </c>
      <c r="AP359">
        <f>('4.综合指标表'!$J$91+'4.综合指标表'!$J$104)*AP57/10000</f>
        <v>0</v>
      </c>
      <c r="AQ359">
        <f>('4.综合指标表'!$J$91+'4.综合指标表'!$J$104)*AQ57/10000</f>
        <v>0</v>
      </c>
      <c r="AR359">
        <f>('4.综合指标表'!$J$91+'4.综合指标表'!$J$104)*AR57/10000</f>
        <v>0</v>
      </c>
      <c r="AS359">
        <f>('4.综合指标表'!$J$91+'4.综合指标表'!$J$104)*AS57/10000</f>
        <v>0</v>
      </c>
      <c r="AT359">
        <f>('4.综合指标表'!$J$91+'4.综合指标表'!$J$104)*AT57/10000</f>
        <v>0</v>
      </c>
    </row>
  </sheetData>
  <sheetProtection password="D9A8" sheet="1" objects="1" scenarios="1"/>
  <mergeCells count="13">
    <mergeCell ref="AQ4:AT4"/>
    <mergeCell ref="A4:A5"/>
    <mergeCell ref="B4:B5"/>
    <mergeCell ref="W4:Z4"/>
    <mergeCell ref="AA4:AD4"/>
    <mergeCell ref="AE4:AH4"/>
    <mergeCell ref="AI4:AL4"/>
    <mergeCell ref="AM4:AP4"/>
    <mergeCell ref="C4:F4"/>
    <mergeCell ref="G4:J4"/>
    <mergeCell ref="K4:N4"/>
    <mergeCell ref="O4:R4"/>
    <mergeCell ref="S4:V4"/>
  </mergeCells>
  <phoneticPr fontId="102" type="noConversion"/>
  <conditionalFormatting sqref="G5:J5">
    <cfRule type="cellIs" dxfId="110" priority="1" stopIfTrue="1" operator="equal">
      <formula>0</formula>
    </cfRule>
  </conditionalFormatting>
  <conditionalFormatting sqref="K5:N5">
    <cfRule type="cellIs" dxfId="109" priority="2" stopIfTrue="1" operator="equal">
      <formula>0</formula>
    </cfRule>
  </conditionalFormatting>
  <conditionalFormatting sqref="O5:R5">
    <cfRule type="cellIs" dxfId="108" priority="3" stopIfTrue="1" operator="equal">
      <formula>0</formula>
    </cfRule>
  </conditionalFormatting>
  <conditionalFormatting sqref="S5:V5">
    <cfRule type="cellIs" dxfId="107" priority="4" stopIfTrue="1" operator="equal">
      <formula>0</formula>
    </cfRule>
  </conditionalFormatting>
  <conditionalFormatting sqref="W5:Z5">
    <cfRule type="cellIs" dxfId="106" priority="5" stopIfTrue="1" operator="equal">
      <formula>0</formula>
    </cfRule>
  </conditionalFormatting>
  <conditionalFormatting sqref="AA5:AD5">
    <cfRule type="cellIs" dxfId="105" priority="6" stopIfTrue="1" operator="equal">
      <formula>0</formula>
    </cfRule>
  </conditionalFormatting>
  <conditionalFormatting sqref="AE5:AH5">
    <cfRule type="cellIs" dxfId="104" priority="7" stopIfTrue="1" operator="equal">
      <formula>0</formula>
    </cfRule>
  </conditionalFormatting>
  <conditionalFormatting sqref="AI5:AL5">
    <cfRule type="cellIs" dxfId="103" priority="8" stopIfTrue="1" operator="equal">
      <formula>0</formula>
    </cfRule>
  </conditionalFormatting>
  <conditionalFormatting sqref="AM5:AP5">
    <cfRule type="cellIs" dxfId="102" priority="9" stopIfTrue="1" operator="equal">
      <formula>0</formula>
    </cfRule>
  </conditionalFormatting>
  <conditionalFormatting sqref="AQ5:AT5">
    <cfRule type="cellIs" dxfId="101" priority="10" stopIfTrue="1" operator="equal">
      <formula>0</formula>
    </cfRule>
  </conditionalFormatting>
  <conditionalFormatting sqref="A5 AU5:XFD5 C5:F5">
    <cfRule type="cellIs" dxfId="100" priority="11" stopIfTrue="1" operator="equal">
      <formula>0</formula>
    </cfRule>
  </conditionalFormatting>
  <conditionalFormatting sqref="A351:F352 AU351:XFD352 A353">
    <cfRule type="cellIs" dxfId="99" priority="12" stopIfTrue="1" operator="equal">
      <formula>0</formula>
    </cfRule>
  </conditionalFormatting>
  <conditionalFormatting sqref="G351:J352">
    <cfRule type="cellIs" dxfId="98" priority="13" stopIfTrue="1" operator="equal">
      <formula>0</formula>
    </cfRule>
  </conditionalFormatting>
  <conditionalFormatting sqref="K351:N352">
    <cfRule type="cellIs" dxfId="97" priority="14" stopIfTrue="1" operator="equal">
      <formula>0</formula>
    </cfRule>
  </conditionalFormatting>
  <conditionalFormatting sqref="O351:R352">
    <cfRule type="cellIs" dxfId="96" priority="15" stopIfTrue="1" operator="equal">
      <formula>0</formula>
    </cfRule>
  </conditionalFormatting>
  <conditionalFormatting sqref="S351:V352">
    <cfRule type="cellIs" dxfId="95" priority="16" stopIfTrue="1" operator="equal">
      <formula>0</formula>
    </cfRule>
  </conditionalFormatting>
  <conditionalFormatting sqref="W351:Z352">
    <cfRule type="cellIs" dxfId="94" priority="17" stopIfTrue="1" operator="equal">
      <formula>0</formula>
    </cfRule>
  </conditionalFormatting>
  <conditionalFormatting sqref="AA351:AD352">
    <cfRule type="cellIs" dxfId="93" priority="18" stopIfTrue="1" operator="equal">
      <formula>0</formula>
    </cfRule>
  </conditionalFormatting>
  <conditionalFormatting sqref="AE351:AH352">
    <cfRule type="cellIs" dxfId="92" priority="19" stopIfTrue="1" operator="equal">
      <formula>0</formula>
    </cfRule>
  </conditionalFormatting>
  <conditionalFormatting sqref="AI351:AL352">
    <cfRule type="cellIs" dxfId="91" priority="20" stopIfTrue="1" operator="equal">
      <formula>0</formula>
    </cfRule>
  </conditionalFormatting>
  <conditionalFormatting sqref="AM351:AP352">
    <cfRule type="cellIs" dxfId="90" priority="21" stopIfTrue="1" operator="equal">
      <formula>0</formula>
    </cfRule>
  </conditionalFormatting>
  <conditionalFormatting sqref="AQ351:AT352">
    <cfRule type="cellIs" dxfId="89" priority="22" stopIfTrue="1" operator="equal">
      <formula>0</formula>
    </cfRule>
  </conditionalFormatting>
  <hyperlinks>
    <hyperlink ref="C1" location="目录!A1" display="返回目录"/>
  </hyperlinks>
  <pageMargins left="0.69930555555555596" right="0.69930555555555596" top="0.75" bottom="0.75" header="0.3" footer="0.3"/>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outlinePr summaryBelow="0" summaryRight="0"/>
  </sheetPr>
  <dimension ref="A1:GT68"/>
  <sheetViews>
    <sheetView showGridLines="0" workbookViewId="0">
      <pane xSplit="2" ySplit="3" topLeftCell="C42" activePane="bottomRight" state="frozen"/>
      <selection activeCell="G2" sqref="G2"/>
      <selection pane="topRight" activeCell="G2" sqref="G2"/>
      <selection pane="bottomLeft" activeCell="G2" sqref="G2"/>
      <selection pane="bottomRight" activeCell="K59" sqref="K59"/>
    </sheetView>
  </sheetViews>
  <sheetFormatPr defaultColWidth="9" defaultRowHeight="15" outlineLevelRow="2" outlineLevelCol="1"/>
  <cols>
    <col min="1" max="1" width="4.375" style="247" customWidth="1"/>
    <col min="2" max="2" width="32.25" style="741" customWidth="1"/>
    <col min="3" max="3" width="19.125" style="742" customWidth="1"/>
    <col min="4" max="4" width="21.625" style="743" customWidth="1"/>
    <col min="5" max="8" width="10.125" style="743" customWidth="1" outlineLevel="1"/>
    <col min="9" max="9" width="9.5" style="743" customWidth="1"/>
    <col min="10" max="13" width="10.125" style="743" customWidth="1" outlineLevel="1"/>
    <col min="14" max="14" width="10.125" style="743" customWidth="1"/>
    <col min="15" max="18" width="10.125" style="743" customWidth="1" outlineLevel="1"/>
    <col min="19" max="19" width="10.125" style="743" customWidth="1"/>
    <col min="20" max="23" width="10.125" style="743" customWidth="1" outlineLevel="1"/>
    <col min="24" max="24" width="10.125" style="743" customWidth="1"/>
    <col min="25" max="28" width="10.125" style="743" customWidth="1" outlineLevel="1"/>
    <col min="29" max="29" width="10.125" style="743" customWidth="1"/>
    <col min="30" max="33" width="10.125" style="743" customWidth="1" outlineLevel="1"/>
    <col min="34" max="34" width="10.125" style="743" customWidth="1"/>
    <col min="35" max="38" width="10.125" style="743" customWidth="1" outlineLevel="1"/>
    <col min="39" max="39" width="10.125" style="743" customWidth="1"/>
    <col min="40" max="43" width="10.125" style="743" customWidth="1" outlineLevel="1"/>
    <col min="44" max="44" width="10.125" style="743" customWidth="1"/>
    <col min="45" max="48" width="10.125" style="743" customWidth="1" outlineLevel="1"/>
    <col min="49" max="49" width="10.125" style="743" customWidth="1"/>
    <col min="50" max="53" width="10.125" style="743" customWidth="1" outlineLevel="1"/>
    <col min="54" max="54" width="10.125" style="743" customWidth="1"/>
    <col min="55" max="58" width="10.125" style="743" customWidth="1" outlineLevel="1"/>
    <col min="59" max="16384" width="9" style="743"/>
  </cols>
  <sheetData>
    <row r="1" spans="1:192" ht="23.25">
      <c r="A1" s="744"/>
      <c r="B1" s="261" t="str">
        <f>"项目"&amp;'1.参数设置'!E4&amp;"现金流量测算表"</f>
        <v>项目拿地阶段现金流量测算表</v>
      </c>
      <c r="C1" s="745"/>
      <c r="D1" s="746" t="s">
        <v>117</v>
      </c>
      <c r="E1" s="747"/>
      <c r="F1" s="747"/>
      <c r="G1" s="747"/>
      <c r="H1" s="747"/>
      <c r="I1" s="747"/>
      <c r="J1" s="747"/>
      <c r="K1" s="747"/>
      <c r="L1" s="747"/>
      <c r="M1" s="747"/>
      <c r="N1" s="747"/>
      <c r="O1" s="747"/>
      <c r="P1" s="747"/>
      <c r="Q1" s="747"/>
      <c r="R1" s="747"/>
      <c r="S1" s="747"/>
      <c r="T1" s="747"/>
      <c r="U1" s="747"/>
      <c r="V1" s="747"/>
      <c r="W1" s="747"/>
      <c r="X1" s="747"/>
      <c r="Y1" s="747"/>
      <c r="Z1" s="747"/>
      <c r="AA1" s="747"/>
      <c r="AB1" s="747"/>
      <c r="AC1" s="747"/>
      <c r="AD1" s="747"/>
      <c r="AE1" s="747"/>
      <c r="AF1" s="747"/>
      <c r="AG1" s="747"/>
      <c r="AH1" s="747"/>
      <c r="AI1" s="747"/>
      <c r="AJ1" s="747"/>
      <c r="AK1" s="747"/>
      <c r="AL1" s="747"/>
      <c r="AM1" s="747"/>
      <c r="AN1" s="747"/>
      <c r="AO1" s="747"/>
      <c r="AP1" s="747"/>
      <c r="AQ1" s="747"/>
      <c r="AR1" s="747"/>
      <c r="AS1" s="747"/>
      <c r="AT1" s="747"/>
      <c r="AU1" s="747"/>
      <c r="AV1" s="747"/>
      <c r="AW1" s="747"/>
      <c r="AX1" s="747"/>
      <c r="AY1" s="747"/>
      <c r="AZ1" s="747"/>
      <c r="BA1" s="747"/>
      <c r="BB1" s="747"/>
      <c r="BC1" s="747"/>
      <c r="BD1" s="747"/>
      <c r="BE1" s="747"/>
      <c r="BF1" s="747"/>
      <c r="BG1" s="747"/>
      <c r="BH1" s="747"/>
      <c r="BI1" s="747"/>
      <c r="BJ1" s="747"/>
      <c r="BK1" s="747"/>
      <c r="BL1" s="747"/>
      <c r="BM1" s="747"/>
      <c r="BN1" s="747"/>
      <c r="BO1" s="747"/>
      <c r="BP1" s="747"/>
      <c r="BQ1" s="747"/>
      <c r="BR1" s="747"/>
      <c r="BS1" s="747"/>
      <c r="BT1" s="747"/>
      <c r="BU1" s="747"/>
      <c r="BV1" s="747"/>
      <c r="BW1" s="747"/>
      <c r="BX1" s="747"/>
      <c r="BY1" s="747"/>
      <c r="BZ1" s="747"/>
      <c r="CA1" s="747"/>
      <c r="CB1" s="747"/>
      <c r="CC1" s="747"/>
      <c r="CD1" s="747"/>
      <c r="CE1" s="747"/>
      <c r="CF1" s="747"/>
      <c r="CG1" s="747"/>
      <c r="CH1" s="747"/>
      <c r="CI1" s="747"/>
      <c r="CJ1" s="747"/>
      <c r="CK1" s="747"/>
      <c r="CL1" s="747"/>
      <c r="CM1" s="747"/>
      <c r="CN1" s="747"/>
      <c r="CO1" s="747"/>
      <c r="CP1" s="747"/>
      <c r="CQ1" s="747"/>
      <c r="CR1" s="747"/>
      <c r="CS1" s="747"/>
      <c r="CT1" s="747"/>
      <c r="CU1" s="747"/>
      <c r="CV1" s="747"/>
      <c r="CW1" s="747"/>
      <c r="CX1" s="747"/>
      <c r="CY1" s="747"/>
      <c r="CZ1" s="747"/>
      <c r="DA1" s="747"/>
      <c r="DB1" s="747"/>
      <c r="DC1" s="747"/>
      <c r="DD1" s="747"/>
      <c r="DE1" s="747"/>
      <c r="DF1" s="747"/>
      <c r="DG1" s="747"/>
      <c r="DH1" s="747"/>
      <c r="DI1" s="747"/>
      <c r="DJ1" s="747"/>
      <c r="DK1" s="747"/>
      <c r="DL1" s="747"/>
      <c r="DM1" s="747"/>
      <c r="DN1" s="747"/>
      <c r="DO1" s="747"/>
      <c r="DP1" s="747"/>
      <c r="DQ1" s="747"/>
      <c r="DR1" s="747"/>
      <c r="DS1" s="747"/>
      <c r="DT1" s="747"/>
      <c r="DU1" s="747"/>
      <c r="DV1" s="747"/>
      <c r="DW1" s="747"/>
      <c r="DX1" s="747"/>
      <c r="DY1" s="747"/>
      <c r="DZ1" s="747"/>
      <c r="EA1" s="747"/>
      <c r="EB1" s="747"/>
      <c r="EC1" s="747"/>
      <c r="ED1" s="747"/>
      <c r="EE1" s="747"/>
      <c r="EF1" s="747"/>
      <c r="EG1" s="747"/>
      <c r="EH1" s="747"/>
      <c r="EI1" s="747"/>
      <c r="EJ1" s="747"/>
      <c r="EK1" s="747"/>
      <c r="EL1" s="747"/>
      <c r="EM1" s="747"/>
      <c r="EN1" s="747"/>
      <c r="EO1" s="747"/>
      <c r="EP1" s="747"/>
      <c r="EQ1" s="747"/>
      <c r="ER1" s="747"/>
      <c r="ES1" s="747"/>
      <c r="ET1" s="747"/>
      <c r="EU1" s="747"/>
      <c r="EV1" s="747"/>
      <c r="EW1" s="747"/>
      <c r="EX1" s="747"/>
      <c r="EY1" s="747"/>
      <c r="EZ1" s="747"/>
      <c r="FA1" s="747"/>
      <c r="FB1" s="747"/>
      <c r="FC1" s="747"/>
      <c r="FD1" s="747"/>
      <c r="FE1" s="747"/>
      <c r="FF1" s="747"/>
      <c r="FG1" s="747"/>
      <c r="FH1" s="747"/>
      <c r="FI1" s="747"/>
      <c r="FJ1" s="747"/>
      <c r="FK1" s="747"/>
      <c r="FL1" s="747"/>
      <c r="FM1" s="747"/>
      <c r="FN1" s="747"/>
      <c r="FO1" s="747"/>
      <c r="FP1" s="747"/>
      <c r="FQ1" s="747"/>
      <c r="FR1" s="747"/>
      <c r="FS1" s="747"/>
      <c r="FT1" s="747"/>
      <c r="FU1" s="747"/>
      <c r="FV1" s="747"/>
      <c r="FW1" s="747"/>
      <c r="FX1" s="747"/>
      <c r="FY1" s="747"/>
      <c r="FZ1" s="747"/>
      <c r="GA1" s="747"/>
      <c r="GB1" s="747"/>
      <c r="GC1" s="747"/>
      <c r="GD1" s="747"/>
      <c r="GE1" s="747"/>
      <c r="GF1" s="747"/>
      <c r="GG1" s="747"/>
      <c r="GH1" s="747"/>
      <c r="GI1" s="747"/>
      <c r="GJ1" s="747"/>
    </row>
    <row r="2" spans="1:192" s="736" customFormat="1" ht="27" customHeight="1">
      <c r="A2" s="748"/>
      <c r="B2" s="749" t="s">
        <v>684</v>
      </c>
      <c r="C2" s="750" t="s">
        <v>685</v>
      </c>
      <c r="D2" s="751"/>
      <c r="E2" s="751"/>
      <c r="F2" s="751"/>
      <c r="G2" s="751"/>
      <c r="H2" s="751"/>
      <c r="I2" s="751"/>
      <c r="J2" s="751"/>
      <c r="K2" s="751"/>
      <c r="L2" s="751"/>
      <c r="M2" s="751"/>
      <c r="N2" s="751"/>
      <c r="O2" s="751"/>
      <c r="P2" s="751"/>
      <c r="Q2" s="751"/>
      <c r="R2" s="751"/>
      <c r="S2" s="751"/>
      <c r="T2" s="751"/>
      <c r="U2" s="751"/>
      <c r="V2" s="751"/>
      <c r="W2" s="751"/>
      <c r="X2" s="751"/>
      <c r="Y2" s="751"/>
      <c r="Z2" s="751"/>
      <c r="AA2" s="751"/>
      <c r="AB2" s="751"/>
      <c r="AC2" s="751"/>
      <c r="AD2" s="751"/>
      <c r="AE2" s="751"/>
      <c r="AF2" s="751"/>
      <c r="AG2" s="751"/>
      <c r="AH2" s="751"/>
      <c r="AI2" s="751"/>
      <c r="AJ2" s="751"/>
      <c r="AK2" s="751"/>
      <c r="AL2" s="751"/>
      <c r="AM2" s="751"/>
      <c r="AN2" s="751"/>
      <c r="AO2" s="751"/>
      <c r="AP2" s="751"/>
      <c r="AQ2" s="751"/>
      <c r="AR2" s="751"/>
      <c r="AS2" s="751"/>
      <c r="AT2" s="751"/>
      <c r="AU2" s="751"/>
      <c r="AV2" s="751"/>
      <c r="AW2" s="751"/>
      <c r="AX2" s="751"/>
      <c r="AY2" s="751"/>
      <c r="AZ2" s="751"/>
      <c r="BA2" s="751"/>
      <c r="BB2" s="751"/>
      <c r="BC2" s="751"/>
      <c r="BD2" s="751"/>
      <c r="BE2" s="751"/>
      <c r="BF2" s="751"/>
      <c r="BG2" s="839"/>
      <c r="BH2" s="839"/>
      <c r="BI2" s="839"/>
      <c r="BJ2" s="839"/>
      <c r="BK2" s="839"/>
      <c r="BL2" s="839"/>
      <c r="BM2" s="839"/>
      <c r="BN2" s="839"/>
      <c r="BO2" s="839"/>
      <c r="BP2" s="839"/>
      <c r="BQ2" s="839"/>
      <c r="BR2" s="839"/>
      <c r="BS2" s="839"/>
      <c r="BT2" s="839"/>
      <c r="BU2" s="839"/>
      <c r="BV2" s="839"/>
      <c r="BW2" s="839"/>
      <c r="BX2" s="839"/>
      <c r="BY2" s="839"/>
      <c r="BZ2" s="839"/>
      <c r="CA2" s="839"/>
      <c r="CB2" s="839"/>
      <c r="CC2" s="839"/>
      <c r="CD2" s="839"/>
      <c r="CE2" s="839"/>
      <c r="CF2" s="839"/>
      <c r="CG2" s="839"/>
      <c r="CH2" s="839"/>
      <c r="CI2" s="839"/>
      <c r="CJ2" s="839"/>
      <c r="CK2" s="839"/>
      <c r="CL2" s="839"/>
      <c r="CM2" s="839"/>
      <c r="CN2" s="839"/>
      <c r="CO2" s="839"/>
      <c r="CP2" s="839"/>
      <c r="CQ2" s="839"/>
      <c r="CR2" s="839"/>
      <c r="CS2" s="839"/>
      <c r="CT2" s="839"/>
      <c r="CU2" s="839"/>
      <c r="CV2" s="839"/>
      <c r="CW2" s="839"/>
      <c r="CX2" s="839"/>
      <c r="CY2" s="839"/>
      <c r="CZ2" s="839"/>
      <c r="DA2" s="839"/>
      <c r="DB2" s="839"/>
      <c r="DC2" s="839"/>
      <c r="DD2" s="839"/>
      <c r="DE2" s="839"/>
      <c r="DF2" s="839"/>
      <c r="DG2" s="839"/>
      <c r="DH2" s="839"/>
      <c r="DI2" s="839"/>
      <c r="DJ2" s="839"/>
      <c r="DK2" s="839"/>
      <c r="DL2" s="839"/>
      <c r="DM2" s="839"/>
      <c r="DN2" s="839"/>
      <c r="DO2" s="839"/>
      <c r="DP2" s="839"/>
      <c r="DQ2" s="839"/>
      <c r="DR2" s="839"/>
      <c r="DS2" s="839"/>
      <c r="DT2" s="839"/>
      <c r="DU2" s="839"/>
      <c r="DV2" s="839"/>
      <c r="DW2" s="839"/>
      <c r="DX2" s="839"/>
      <c r="DY2" s="839"/>
      <c r="DZ2" s="839"/>
      <c r="EA2" s="839"/>
      <c r="EB2" s="839"/>
      <c r="EC2" s="839"/>
      <c r="ED2" s="839"/>
      <c r="EE2" s="839"/>
      <c r="EF2" s="839"/>
      <c r="EG2" s="839"/>
      <c r="EH2" s="839"/>
      <c r="EI2" s="839"/>
      <c r="EJ2" s="839"/>
      <c r="EK2" s="839"/>
      <c r="EL2" s="839"/>
      <c r="EM2" s="839"/>
      <c r="EN2" s="839"/>
      <c r="EO2" s="839"/>
      <c r="EP2" s="839"/>
      <c r="EQ2" s="839"/>
      <c r="ER2" s="839"/>
      <c r="ES2" s="839"/>
      <c r="ET2" s="839"/>
      <c r="EU2" s="839"/>
      <c r="EV2" s="839"/>
      <c r="EW2" s="839"/>
      <c r="EX2" s="839"/>
      <c r="EY2" s="839"/>
      <c r="EZ2" s="839"/>
      <c r="FA2" s="839"/>
      <c r="FB2" s="839"/>
      <c r="FC2" s="839"/>
      <c r="FD2" s="839"/>
      <c r="FE2" s="839"/>
      <c r="FF2" s="839"/>
      <c r="FG2" s="839"/>
      <c r="FH2" s="839"/>
      <c r="FI2" s="839"/>
      <c r="FJ2" s="839"/>
      <c r="FK2" s="839"/>
      <c r="FL2" s="839"/>
      <c r="FM2" s="839"/>
      <c r="FN2" s="839"/>
      <c r="FO2" s="839"/>
      <c r="FP2" s="839"/>
      <c r="FQ2" s="839"/>
      <c r="FR2" s="839"/>
      <c r="FS2" s="839"/>
      <c r="FT2" s="839"/>
      <c r="FU2" s="839"/>
      <c r="FV2" s="839"/>
      <c r="FW2" s="839"/>
      <c r="FX2" s="839"/>
      <c r="FY2" s="839"/>
      <c r="FZ2" s="839"/>
      <c r="GA2" s="839"/>
      <c r="GB2" s="839"/>
      <c r="GC2" s="839"/>
      <c r="GD2" s="839"/>
      <c r="GE2" s="839"/>
      <c r="GF2" s="839"/>
      <c r="GG2" s="839"/>
      <c r="GH2" s="839"/>
      <c r="GI2" s="839"/>
      <c r="GJ2" s="839"/>
    </row>
    <row r="3" spans="1:192" s="737" customFormat="1" ht="33.75" customHeight="1">
      <c r="A3" s="752"/>
      <c r="B3" s="753" t="s">
        <v>686</v>
      </c>
      <c r="C3" s="754" t="s">
        <v>687</v>
      </c>
      <c r="D3" s="755">
        <f>'1.参数设置'!C4</f>
        <v>2018</v>
      </c>
      <c r="E3" s="756" t="str">
        <f>$D3&amp;"年"&amp;"1季度"</f>
        <v>2018年1季度</v>
      </c>
      <c r="F3" s="756" t="str">
        <f>$D3&amp;"年"&amp;"2季度"</f>
        <v>2018年2季度</v>
      </c>
      <c r="G3" s="756" t="str">
        <f>$D3&amp;"年"&amp;"3季度"</f>
        <v>2018年3季度</v>
      </c>
      <c r="H3" s="757" t="str">
        <f>$D3&amp;"年"&amp;"4季度"</f>
        <v>2018年4季度</v>
      </c>
      <c r="I3" s="755">
        <f>D3+1</f>
        <v>2019</v>
      </c>
      <c r="J3" s="756" t="str">
        <f>I3&amp;"年"&amp;"1季度"</f>
        <v>2019年1季度</v>
      </c>
      <c r="K3" s="756" t="str">
        <f>I3&amp;"年"&amp;"2季度"</f>
        <v>2019年2季度</v>
      </c>
      <c r="L3" s="756" t="str">
        <f>I3&amp;"年"&amp;"3季度"</f>
        <v>2019年3季度</v>
      </c>
      <c r="M3" s="757" t="str">
        <f>I3&amp;"年"&amp;"4季度"</f>
        <v>2019年4季度</v>
      </c>
      <c r="N3" s="755">
        <f>I3+1</f>
        <v>2020</v>
      </c>
      <c r="O3" s="756" t="str">
        <f>N3&amp;"年"&amp;"1季度"</f>
        <v>2020年1季度</v>
      </c>
      <c r="P3" s="756" t="str">
        <f>N3&amp;"年"&amp;"2季度"</f>
        <v>2020年2季度</v>
      </c>
      <c r="Q3" s="756" t="str">
        <f>N3&amp;"年"&amp;"3季度"</f>
        <v>2020年3季度</v>
      </c>
      <c r="R3" s="757" t="str">
        <f>N3&amp;"年"&amp;"4季度"</f>
        <v>2020年4季度</v>
      </c>
      <c r="S3" s="755">
        <f>N3+1</f>
        <v>2021</v>
      </c>
      <c r="T3" s="756" t="str">
        <f>S3&amp;"年"&amp;"1季度"</f>
        <v>2021年1季度</v>
      </c>
      <c r="U3" s="756" t="str">
        <f>S3&amp;"年"&amp;"2季度"</f>
        <v>2021年2季度</v>
      </c>
      <c r="V3" s="756" t="str">
        <f>S3&amp;"年"&amp;"3季度"</f>
        <v>2021年3季度</v>
      </c>
      <c r="W3" s="757" t="str">
        <f>S3&amp;"年"&amp;"4季度"</f>
        <v>2021年4季度</v>
      </c>
      <c r="X3" s="755">
        <f>S3+1</f>
        <v>2022</v>
      </c>
      <c r="Y3" s="756" t="str">
        <f>X3&amp;"年"&amp;"1季度"</f>
        <v>2022年1季度</v>
      </c>
      <c r="Z3" s="756" t="str">
        <f>X3&amp;"年"&amp;"2季度"</f>
        <v>2022年2季度</v>
      </c>
      <c r="AA3" s="756" t="str">
        <f>X3&amp;"年"&amp;"3季度"</f>
        <v>2022年3季度</v>
      </c>
      <c r="AB3" s="757" t="str">
        <f>X3&amp;"年"&amp;"4季度"</f>
        <v>2022年4季度</v>
      </c>
      <c r="AC3" s="755">
        <f>X3+1</f>
        <v>2023</v>
      </c>
      <c r="AD3" s="756" t="str">
        <f>AC3&amp;"年"&amp;"1季度"</f>
        <v>2023年1季度</v>
      </c>
      <c r="AE3" s="756" t="str">
        <f>AC3&amp;"年"&amp;"2季度"</f>
        <v>2023年2季度</v>
      </c>
      <c r="AF3" s="756" t="str">
        <f>AC3&amp;"年"&amp;"3季度"</f>
        <v>2023年3季度</v>
      </c>
      <c r="AG3" s="757" t="str">
        <f>AC3&amp;"年"&amp;"4季度"</f>
        <v>2023年4季度</v>
      </c>
      <c r="AH3" s="755">
        <f>AC3+1</f>
        <v>2024</v>
      </c>
      <c r="AI3" s="756" t="str">
        <f>AH3&amp;"年"&amp;"1季度"</f>
        <v>2024年1季度</v>
      </c>
      <c r="AJ3" s="756" t="str">
        <f>AH3&amp;"年"&amp;"2季度"</f>
        <v>2024年2季度</v>
      </c>
      <c r="AK3" s="756" t="str">
        <f>AH3&amp;"年"&amp;"3季度"</f>
        <v>2024年3季度</v>
      </c>
      <c r="AL3" s="757" t="str">
        <f>AH3&amp;"年"&amp;"4季度"</f>
        <v>2024年4季度</v>
      </c>
      <c r="AM3" s="755">
        <f>AH3+1</f>
        <v>2025</v>
      </c>
      <c r="AN3" s="756" t="str">
        <f>AM3&amp;"年"&amp;"1季度"</f>
        <v>2025年1季度</v>
      </c>
      <c r="AO3" s="756" t="str">
        <f>AM3&amp;"年"&amp;"2季度"</f>
        <v>2025年2季度</v>
      </c>
      <c r="AP3" s="756" t="str">
        <f>AM3&amp;"年"&amp;"3季度"</f>
        <v>2025年3季度</v>
      </c>
      <c r="AQ3" s="757" t="str">
        <f>AM3&amp;"年"&amp;"4季度"</f>
        <v>2025年4季度</v>
      </c>
      <c r="AR3" s="755">
        <f>AM3+1</f>
        <v>2026</v>
      </c>
      <c r="AS3" s="756" t="str">
        <f>AR3&amp;"年"&amp;"1季度"</f>
        <v>2026年1季度</v>
      </c>
      <c r="AT3" s="756" t="str">
        <f>AR3&amp;"年"&amp;"2季度"</f>
        <v>2026年2季度</v>
      </c>
      <c r="AU3" s="756" t="str">
        <f>AR3&amp;"年"&amp;"3季度"</f>
        <v>2026年3季度</v>
      </c>
      <c r="AV3" s="757" t="str">
        <f>AR3&amp;"年"&amp;"4季度"</f>
        <v>2026年4季度</v>
      </c>
      <c r="AW3" s="755">
        <f>AR3+1</f>
        <v>2027</v>
      </c>
      <c r="AX3" s="756" t="str">
        <f>AW3&amp;"年"&amp;"1季度"</f>
        <v>2027年1季度</v>
      </c>
      <c r="AY3" s="756" t="str">
        <f>AW3&amp;"年"&amp;"2季度"</f>
        <v>2027年2季度</v>
      </c>
      <c r="AZ3" s="756" t="str">
        <f>AW3&amp;"年"&amp;"3季度"</f>
        <v>2027年3季度</v>
      </c>
      <c r="BA3" s="757" t="str">
        <f>AW3&amp;"年"&amp;"4季度"</f>
        <v>2027年4季度</v>
      </c>
      <c r="BB3" s="755">
        <f>AW3+1</f>
        <v>2028</v>
      </c>
      <c r="BC3" s="756" t="str">
        <f>BB3&amp;"年"&amp;"1季度"</f>
        <v>2028年1季度</v>
      </c>
      <c r="BD3" s="756" t="str">
        <f>BB3&amp;"年"&amp;"2季度"</f>
        <v>2028年2季度</v>
      </c>
      <c r="BE3" s="756" t="str">
        <f>BB3&amp;"年"&amp;"3季度"</f>
        <v>2028年3季度</v>
      </c>
      <c r="BF3" s="840" t="str">
        <f>BB3&amp;"年"&amp;"4季度"</f>
        <v>2028年4季度</v>
      </c>
      <c r="BG3" s="841"/>
      <c r="BH3" s="841"/>
      <c r="BI3" s="841"/>
      <c r="BJ3" s="841"/>
      <c r="BK3" s="841"/>
      <c r="BL3" s="841"/>
      <c r="BM3" s="841"/>
      <c r="BN3" s="841"/>
      <c r="BO3" s="841"/>
      <c r="BP3" s="841"/>
      <c r="BQ3" s="841"/>
      <c r="BR3" s="841"/>
      <c r="BS3" s="841"/>
      <c r="BT3" s="841"/>
      <c r="BU3" s="841"/>
      <c r="BV3" s="841"/>
      <c r="BW3" s="841"/>
      <c r="BX3" s="841"/>
      <c r="BY3" s="841"/>
      <c r="BZ3" s="841"/>
      <c r="CA3" s="841"/>
      <c r="CB3" s="841"/>
      <c r="CC3" s="841"/>
      <c r="CD3" s="841"/>
      <c r="CE3" s="841"/>
      <c r="CF3" s="841"/>
      <c r="CG3" s="841"/>
      <c r="CH3" s="841"/>
      <c r="CI3" s="841"/>
      <c r="CJ3" s="841"/>
      <c r="CK3" s="841"/>
      <c r="CL3" s="841"/>
      <c r="CM3" s="841"/>
      <c r="CN3" s="841"/>
      <c r="CO3" s="841"/>
      <c r="CP3" s="841"/>
      <c r="CQ3" s="841"/>
      <c r="CR3" s="841"/>
      <c r="CS3" s="841"/>
      <c r="CT3" s="841"/>
      <c r="CU3" s="841"/>
      <c r="CV3" s="841"/>
      <c r="CW3" s="841"/>
      <c r="CX3" s="841"/>
      <c r="CY3" s="841"/>
      <c r="CZ3" s="841"/>
      <c r="DA3" s="841"/>
      <c r="DB3" s="841"/>
      <c r="DC3" s="841"/>
      <c r="DD3" s="841"/>
      <c r="DE3" s="841"/>
      <c r="DF3" s="841"/>
      <c r="DG3" s="841"/>
      <c r="DH3" s="841"/>
      <c r="DI3" s="841"/>
      <c r="DJ3" s="841"/>
      <c r="DK3" s="841"/>
      <c r="DL3" s="841"/>
      <c r="DM3" s="841"/>
      <c r="DN3" s="841"/>
      <c r="DO3" s="841"/>
      <c r="DP3" s="841"/>
      <c r="DQ3" s="841"/>
      <c r="DR3" s="841"/>
      <c r="DS3" s="841"/>
      <c r="DT3" s="841"/>
      <c r="DU3" s="841"/>
      <c r="DV3" s="841"/>
      <c r="DW3" s="841"/>
      <c r="DX3" s="841"/>
      <c r="DY3" s="841"/>
      <c r="DZ3" s="841"/>
      <c r="EA3" s="841"/>
      <c r="EB3" s="841"/>
      <c r="EC3" s="841"/>
      <c r="ED3" s="841"/>
      <c r="EE3" s="841"/>
      <c r="EF3" s="841"/>
      <c r="EG3" s="841"/>
      <c r="EH3" s="841"/>
      <c r="EI3" s="841"/>
      <c r="EJ3" s="841"/>
      <c r="EK3" s="841"/>
      <c r="EL3" s="841"/>
      <c r="EM3" s="841"/>
      <c r="EN3" s="841"/>
      <c r="EO3" s="841"/>
      <c r="EP3" s="841"/>
      <c r="EQ3" s="841"/>
      <c r="ER3" s="841"/>
      <c r="ES3" s="841"/>
      <c r="ET3" s="841"/>
      <c r="EU3" s="841"/>
      <c r="EV3" s="841"/>
      <c r="EW3" s="841"/>
      <c r="EX3" s="841"/>
      <c r="EY3" s="841"/>
      <c r="EZ3" s="841"/>
      <c r="FA3" s="841"/>
      <c r="FB3" s="841"/>
      <c r="FC3" s="841"/>
      <c r="FD3" s="841"/>
      <c r="FE3" s="841"/>
      <c r="FF3" s="841"/>
      <c r="FG3" s="841"/>
      <c r="FH3" s="841"/>
      <c r="FI3" s="841"/>
      <c r="FJ3" s="841"/>
      <c r="FK3" s="841"/>
      <c r="FL3" s="841"/>
      <c r="FM3" s="841"/>
      <c r="FN3" s="841"/>
      <c r="FO3" s="841"/>
      <c r="FP3" s="841"/>
      <c r="FQ3" s="841"/>
      <c r="FR3" s="841"/>
      <c r="FS3" s="841"/>
      <c r="FT3" s="841"/>
      <c r="FU3" s="841"/>
      <c r="FV3" s="841"/>
      <c r="FW3" s="841"/>
      <c r="FX3" s="841"/>
      <c r="FY3" s="841"/>
      <c r="FZ3" s="841"/>
      <c r="GA3" s="841"/>
      <c r="GB3" s="841"/>
      <c r="GC3" s="841"/>
      <c r="GD3" s="841"/>
      <c r="GE3" s="841"/>
      <c r="GF3" s="841"/>
      <c r="GG3" s="841"/>
      <c r="GH3" s="841"/>
      <c r="GI3" s="841"/>
      <c r="GJ3" s="841"/>
    </row>
    <row r="4" spans="1:192" ht="17.25" customHeight="1">
      <c r="A4" s="758"/>
      <c r="B4" s="759" t="s">
        <v>688</v>
      </c>
      <c r="C4" s="760">
        <v>0</v>
      </c>
      <c r="D4" s="761">
        <v>0</v>
      </c>
      <c r="E4" s="762">
        <v>0</v>
      </c>
      <c r="F4" s="762">
        <f t="shared" ref="F4:I4" ca="1" si="0">E39</f>
        <v>0</v>
      </c>
      <c r="G4" s="762">
        <f t="shared" ca="1" si="0"/>
        <v>0</v>
      </c>
      <c r="H4" s="763">
        <f t="shared" ca="1" si="0"/>
        <v>-7150</v>
      </c>
      <c r="I4" s="761">
        <f t="shared" ca="1" si="0"/>
        <v>-20514.472114965785</v>
      </c>
      <c r="J4" s="826">
        <f ca="1">H39</f>
        <v>-20514.472114965785</v>
      </c>
      <c r="K4" s="762">
        <f t="shared" ref="K4:M4" ca="1" si="1">J39</f>
        <v>-13003.355534965785</v>
      </c>
      <c r="L4" s="762">
        <f t="shared" ca="1" si="1"/>
        <v>20562.108611401847</v>
      </c>
      <c r="M4" s="762">
        <f t="shared" ca="1" si="1"/>
        <v>20775.559900024185</v>
      </c>
      <c r="N4" s="761">
        <f ca="1">I39</f>
        <v>30676.903789136231</v>
      </c>
      <c r="O4" s="826">
        <f ca="1">M39</f>
        <v>30676.903789136235</v>
      </c>
      <c r="P4" s="762">
        <f t="shared" ref="P4:R4" ca="1" si="2">O39</f>
        <v>30615.564704165488</v>
      </c>
      <c r="Q4" s="762">
        <f t="shared" ca="1" si="2"/>
        <v>34826.482380490808</v>
      </c>
      <c r="R4" s="762">
        <f t="shared" ca="1" si="2"/>
        <v>36440.530494522623</v>
      </c>
      <c r="S4" s="761">
        <f ca="1">N39</f>
        <v>26370.199064220487</v>
      </c>
      <c r="T4" s="826">
        <f ca="1">R39</f>
        <v>26370.199064220484</v>
      </c>
      <c r="U4" s="762">
        <f t="shared" ref="U4:W4" ca="1" si="3">T39</f>
        <v>24968.965763609434</v>
      </c>
      <c r="V4" s="762">
        <f t="shared" ca="1" si="3"/>
        <v>23401.679883609435</v>
      </c>
      <c r="W4" s="762">
        <f t="shared" ca="1" si="3"/>
        <v>22214.002303609435</v>
      </c>
      <c r="X4" s="761">
        <f ca="1">S39</f>
        <v>22214.002303609439</v>
      </c>
      <c r="Y4" s="826">
        <f ca="1">W39</f>
        <v>22214.002303609435</v>
      </c>
      <c r="Z4" s="762">
        <f t="shared" ref="Z4:AB4" ca="1" si="4">Y39</f>
        <v>22214.002303609435</v>
      </c>
      <c r="AA4" s="762">
        <f t="shared" ca="1" si="4"/>
        <v>22214.002303609435</v>
      </c>
      <c r="AB4" s="762">
        <f t="shared" ca="1" si="4"/>
        <v>21621.145935609435</v>
      </c>
      <c r="AC4" s="761">
        <f ca="1">X39</f>
        <v>20731.861383609437</v>
      </c>
      <c r="AD4" s="826">
        <f ca="1">AB39</f>
        <v>20731.861383609434</v>
      </c>
      <c r="AE4" s="762">
        <f t="shared" ref="AE4:AG4" ca="1" si="5">AD39</f>
        <v>20731.861383609434</v>
      </c>
      <c r="AF4" s="762">
        <f t="shared" ca="1" si="5"/>
        <v>20731.861383609434</v>
      </c>
      <c r="AG4" s="762">
        <f t="shared" ca="1" si="5"/>
        <v>20731.861383609434</v>
      </c>
      <c r="AH4" s="761">
        <f ca="1">AC39</f>
        <v>20731.861383609437</v>
      </c>
      <c r="AI4" s="826">
        <f ca="1">AG39</f>
        <v>20731.861383609434</v>
      </c>
      <c r="AJ4" s="762">
        <f t="shared" ref="AJ4:AL4" ca="1" si="6">AI39</f>
        <v>20731.861383609434</v>
      </c>
      <c r="AK4" s="762">
        <f t="shared" ca="1" si="6"/>
        <v>20731.861383609434</v>
      </c>
      <c r="AL4" s="762">
        <f t="shared" ca="1" si="6"/>
        <v>20731.861383609434</v>
      </c>
      <c r="AM4" s="761">
        <f ca="1">AH39</f>
        <v>20731.861383609437</v>
      </c>
      <c r="AN4" s="826">
        <f ca="1">AL39</f>
        <v>20731.861383609434</v>
      </c>
      <c r="AO4" s="762">
        <f t="shared" ref="AO4:AQ4" ca="1" si="7">AN39</f>
        <v>20731.861383609434</v>
      </c>
      <c r="AP4" s="762">
        <f t="shared" ca="1" si="7"/>
        <v>20731.861383609434</v>
      </c>
      <c r="AQ4" s="762">
        <f t="shared" ca="1" si="7"/>
        <v>20731.861383609434</v>
      </c>
      <c r="AR4" s="761">
        <f ca="1">AM39</f>
        <v>20731.861383609437</v>
      </c>
      <c r="AS4" s="826">
        <f ca="1">AQ39</f>
        <v>20731.861383609434</v>
      </c>
      <c r="AT4" s="762">
        <f t="shared" ref="AT4:AV4" ca="1" si="8">AS39</f>
        <v>20731.861383609434</v>
      </c>
      <c r="AU4" s="762">
        <f t="shared" ca="1" si="8"/>
        <v>20731.861383609434</v>
      </c>
      <c r="AV4" s="762">
        <f t="shared" ca="1" si="8"/>
        <v>20731.861383609434</v>
      </c>
      <c r="AW4" s="761">
        <f ca="1">AR39</f>
        <v>20731.861383609437</v>
      </c>
      <c r="AX4" s="826">
        <f ca="1">AV39</f>
        <v>20731.861383609434</v>
      </c>
      <c r="AY4" s="762">
        <f t="shared" ref="AY4:BA4" ca="1" si="9">AX39</f>
        <v>20731.861383609434</v>
      </c>
      <c r="AZ4" s="762">
        <f t="shared" ca="1" si="9"/>
        <v>20731.861383609434</v>
      </c>
      <c r="BA4" s="762">
        <f t="shared" ca="1" si="9"/>
        <v>20731.861383609434</v>
      </c>
      <c r="BB4" s="761">
        <f ca="1">AW39</f>
        <v>20731.861383609437</v>
      </c>
      <c r="BC4" s="826">
        <f ca="1">BA39</f>
        <v>20731.861383609434</v>
      </c>
      <c r="BD4" s="762">
        <f t="shared" ref="BD4:BF4" ca="1" si="10">BC39</f>
        <v>20731.861383609434</v>
      </c>
      <c r="BE4" s="762">
        <f t="shared" ca="1" si="10"/>
        <v>20731.861383609434</v>
      </c>
      <c r="BF4" s="842">
        <f t="shared" ca="1" si="10"/>
        <v>20731.861383609434</v>
      </c>
      <c r="BG4" s="747"/>
      <c r="BH4" s="747"/>
      <c r="BI4" s="747"/>
      <c r="BJ4" s="747"/>
      <c r="BK4" s="747"/>
      <c r="BL4" s="747"/>
      <c r="BM4" s="747"/>
      <c r="BN4" s="747"/>
      <c r="BO4" s="747"/>
      <c r="BP4" s="747"/>
      <c r="BQ4" s="747"/>
      <c r="BR4" s="747"/>
      <c r="BS4" s="747"/>
      <c r="BT4" s="747"/>
      <c r="BU4" s="747"/>
      <c r="BV4" s="747"/>
      <c r="BW4" s="747"/>
      <c r="BX4" s="747"/>
      <c r="BY4" s="747"/>
      <c r="BZ4" s="747"/>
      <c r="CA4" s="747"/>
      <c r="CB4" s="747"/>
      <c r="CC4" s="747"/>
      <c r="CD4" s="747"/>
      <c r="CE4" s="747"/>
      <c r="CF4" s="747"/>
      <c r="CG4" s="747"/>
      <c r="CH4" s="747"/>
      <c r="CI4" s="747"/>
      <c r="CJ4" s="747"/>
      <c r="CK4" s="747"/>
      <c r="CL4" s="747"/>
      <c r="CM4" s="747"/>
      <c r="CN4" s="747"/>
      <c r="CO4" s="747"/>
      <c r="CP4" s="747"/>
      <c r="CQ4" s="747"/>
      <c r="CR4" s="747"/>
      <c r="CS4" s="747"/>
      <c r="CT4" s="747"/>
      <c r="CU4" s="747"/>
      <c r="CV4" s="747"/>
      <c r="CW4" s="747"/>
      <c r="CX4" s="747"/>
      <c r="CY4" s="747"/>
      <c r="CZ4" s="747"/>
      <c r="DA4" s="747"/>
      <c r="DB4" s="747"/>
      <c r="DC4" s="747"/>
      <c r="DD4" s="747"/>
      <c r="DE4" s="747"/>
      <c r="DF4" s="747"/>
      <c r="DG4" s="747"/>
      <c r="DH4" s="747"/>
      <c r="DI4" s="747"/>
      <c r="DJ4" s="747"/>
      <c r="DK4" s="747"/>
      <c r="DL4" s="747"/>
      <c r="DM4" s="747"/>
      <c r="DN4" s="747"/>
      <c r="DO4" s="747"/>
      <c r="DP4" s="747"/>
      <c r="DQ4" s="747"/>
      <c r="DR4" s="747"/>
      <c r="DS4" s="747"/>
      <c r="DT4" s="747"/>
      <c r="DU4" s="747"/>
      <c r="DV4" s="747"/>
      <c r="DW4" s="747"/>
      <c r="DX4" s="747"/>
      <c r="DY4" s="747"/>
      <c r="DZ4" s="747"/>
      <c r="EA4" s="747"/>
      <c r="EB4" s="747"/>
      <c r="EC4" s="747"/>
      <c r="ED4" s="747"/>
      <c r="EE4" s="747"/>
      <c r="EF4" s="747"/>
      <c r="EG4" s="747"/>
      <c r="EH4" s="747"/>
      <c r="EI4" s="747"/>
      <c r="EJ4" s="747"/>
      <c r="EK4" s="747"/>
      <c r="EL4" s="747"/>
      <c r="EM4" s="747"/>
      <c r="EN4" s="747"/>
      <c r="EO4" s="747"/>
      <c r="EP4" s="747"/>
      <c r="EQ4" s="747"/>
      <c r="ER4" s="747"/>
      <c r="ES4" s="747"/>
      <c r="ET4" s="747"/>
      <c r="EU4" s="747"/>
      <c r="EV4" s="747"/>
      <c r="EW4" s="747"/>
      <c r="EX4" s="747"/>
      <c r="EY4" s="747"/>
      <c r="EZ4" s="747"/>
      <c r="FA4" s="747"/>
      <c r="FB4" s="747"/>
      <c r="FC4" s="747"/>
      <c r="FD4" s="747"/>
      <c r="FE4" s="747"/>
      <c r="FF4" s="747"/>
      <c r="FG4" s="747"/>
      <c r="FH4" s="747"/>
      <c r="FI4" s="747"/>
      <c r="FJ4" s="747"/>
      <c r="FK4" s="747"/>
      <c r="FL4" s="747"/>
      <c r="FM4" s="747"/>
      <c r="FN4" s="747"/>
      <c r="FO4" s="747"/>
      <c r="FP4" s="747"/>
      <c r="FQ4" s="747"/>
      <c r="FR4" s="747"/>
      <c r="FS4" s="747"/>
      <c r="FT4" s="747"/>
      <c r="FU4" s="747"/>
      <c r="FV4" s="747"/>
      <c r="FW4" s="747"/>
      <c r="FX4" s="747"/>
      <c r="FY4" s="747"/>
      <c r="FZ4" s="747"/>
      <c r="GA4" s="747"/>
      <c r="GB4" s="747"/>
      <c r="GC4" s="747"/>
      <c r="GD4" s="747"/>
      <c r="GE4" s="747"/>
      <c r="GF4" s="747"/>
      <c r="GG4" s="747"/>
      <c r="GH4" s="747"/>
      <c r="GI4" s="747"/>
      <c r="GJ4" s="747"/>
    </row>
    <row r="5" spans="1:192" ht="17.25" customHeight="1">
      <c r="A5" s="758"/>
      <c r="B5" s="759" t="s">
        <v>689</v>
      </c>
      <c r="C5" s="760">
        <v>0</v>
      </c>
      <c r="D5" s="761">
        <v>0</v>
      </c>
      <c r="E5" s="762">
        <v>0</v>
      </c>
      <c r="F5" s="762">
        <f t="shared" ref="F5:I5" ca="1" si="11">E42</f>
        <v>0</v>
      </c>
      <c r="G5" s="762">
        <f t="shared" ca="1" si="11"/>
        <v>0</v>
      </c>
      <c r="H5" s="763">
        <f t="shared" ca="1" si="11"/>
        <v>-7150</v>
      </c>
      <c r="I5" s="761">
        <f t="shared" ca="1" si="11"/>
        <v>-20514.472114965785</v>
      </c>
      <c r="J5" s="826">
        <f ca="1">H42</f>
        <v>-20514.472114965785</v>
      </c>
      <c r="K5" s="762">
        <f t="shared" ref="K5:M5" ca="1" si="12">J42</f>
        <v>-13003.355534965785</v>
      </c>
      <c r="L5" s="762">
        <f t="shared" ca="1" si="12"/>
        <v>20562.108611401847</v>
      </c>
      <c r="M5" s="762">
        <f t="shared" ca="1" si="12"/>
        <v>20775.559900024185</v>
      </c>
      <c r="N5" s="761">
        <f ca="1">I42</f>
        <v>30676.903789136231</v>
      </c>
      <c r="O5" s="826">
        <f ca="1">M42</f>
        <v>30676.903789136235</v>
      </c>
      <c r="P5" s="762">
        <f t="shared" ref="P5:R5" ca="1" si="13">O42</f>
        <v>30615.564704165488</v>
      </c>
      <c r="Q5" s="762">
        <f t="shared" ca="1" si="13"/>
        <v>34826.482380490808</v>
      </c>
      <c r="R5" s="762">
        <f t="shared" ca="1" si="13"/>
        <v>36440.530494522623</v>
      </c>
      <c r="S5" s="761">
        <f ca="1">N42</f>
        <v>26370.199064220487</v>
      </c>
      <c r="T5" s="826">
        <f ca="1">R42</f>
        <v>26370.199064220484</v>
      </c>
      <c r="U5" s="762">
        <f t="shared" ref="U5:W5" ca="1" si="14">T42</f>
        <v>24968.965763609434</v>
      </c>
      <c r="V5" s="762">
        <f t="shared" ca="1" si="14"/>
        <v>23401.679883609435</v>
      </c>
      <c r="W5" s="762">
        <f t="shared" ca="1" si="14"/>
        <v>22214.002303609435</v>
      </c>
      <c r="X5" s="761">
        <f ca="1">S42</f>
        <v>22214.002303609439</v>
      </c>
      <c r="Y5" s="826">
        <f ca="1">W42</f>
        <v>22214.002303609435</v>
      </c>
      <c r="Z5" s="762">
        <f t="shared" ref="Z5:AB5" ca="1" si="15">Y42</f>
        <v>22214.002303609435</v>
      </c>
      <c r="AA5" s="762">
        <f t="shared" ca="1" si="15"/>
        <v>22214.002303609435</v>
      </c>
      <c r="AB5" s="762">
        <f t="shared" ca="1" si="15"/>
        <v>21621.145935609435</v>
      </c>
      <c r="AC5" s="761">
        <f ca="1">X42</f>
        <v>20731.861383609437</v>
      </c>
      <c r="AD5" s="826">
        <f ca="1">AB42</f>
        <v>20731.861383609434</v>
      </c>
      <c r="AE5" s="762">
        <f t="shared" ref="AE5:AG5" ca="1" si="16">AD42</f>
        <v>20731.861383609434</v>
      </c>
      <c r="AF5" s="762">
        <f t="shared" ca="1" si="16"/>
        <v>20731.861383609434</v>
      </c>
      <c r="AG5" s="762">
        <f t="shared" ca="1" si="16"/>
        <v>20731.861383609434</v>
      </c>
      <c r="AH5" s="761">
        <f ca="1">AC42</f>
        <v>20731.861383609437</v>
      </c>
      <c r="AI5" s="826">
        <f ca="1">AG42</f>
        <v>20731.861383609434</v>
      </c>
      <c r="AJ5" s="762">
        <f t="shared" ref="AJ5:AL5" ca="1" si="17">AI42</f>
        <v>20731.861383609434</v>
      </c>
      <c r="AK5" s="762">
        <f t="shared" ca="1" si="17"/>
        <v>20731.861383609434</v>
      </c>
      <c r="AL5" s="762">
        <f t="shared" ca="1" si="17"/>
        <v>20731.861383609434</v>
      </c>
      <c r="AM5" s="761">
        <f ca="1">AH42</f>
        <v>20731.861383609437</v>
      </c>
      <c r="AN5" s="826">
        <f ca="1">AL42</f>
        <v>20731.861383609434</v>
      </c>
      <c r="AO5" s="762">
        <f t="shared" ref="AO5:AQ5" ca="1" si="18">AN42</f>
        <v>20731.861383609434</v>
      </c>
      <c r="AP5" s="762">
        <f t="shared" ca="1" si="18"/>
        <v>20731.861383609434</v>
      </c>
      <c r="AQ5" s="762">
        <f t="shared" ca="1" si="18"/>
        <v>20731.861383609434</v>
      </c>
      <c r="AR5" s="761">
        <f ca="1">AM42</f>
        <v>20731.861383609437</v>
      </c>
      <c r="AS5" s="826">
        <f ca="1">AQ42</f>
        <v>20731.861383609434</v>
      </c>
      <c r="AT5" s="762">
        <f t="shared" ref="AT5:AV5" ca="1" si="19">AS42</f>
        <v>20731.861383609434</v>
      </c>
      <c r="AU5" s="762">
        <f t="shared" ca="1" si="19"/>
        <v>20731.861383609434</v>
      </c>
      <c r="AV5" s="762">
        <f t="shared" ca="1" si="19"/>
        <v>20731.861383609434</v>
      </c>
      <c r="AW5" s="761">
        <f ca="1">AR42</f>
        <v>20731.861383609437</v>
      </c>
      <c r="AX5" s="826">
        <f ca="1">AV42</f>
        <v>20731.861383609434</v>
      </c>
      <c r="AY5" s="762">
        <f t="shared" ref="AY5:BA5" ca="1" si="20">AX42</f>
        <v>20731.861383609434</v>
      </c>
      <c r="AZ5" s="762">
        <f t="shared" ca="1" si="20"/>
        <v>20731.861383609434</v>
      </c>
      <c r="BA5" s="762">
        <f t="shared" ca="1" si="20"/>
        <v>20731.861383609434</v>
      </c>
      <c r="BB5" s="761">
        <f ca="1">AW42</f>
        <v>20731.861383609437</v>
      </c>
      <c r="BC5" s="826">
        <f ca="1">BA42</f>
        <v>20731.861383609434</v>
      </c>
      <c r="BD5" s="762">
        <f t="shared" ref="BD5:BF5" ca="1" si="21">BC42</f>
        <v>20731.861383609434</v>
      </c>
      <c r="BE5" s="762">
        <f t="shared" ca="1" si="21"/>
        <v>20731.861383609434</v>
      </c>
      <c r="BF5" s="842">
        <f t="shared" ca="1" si="21"/>
        <v>20731.861383609434</v>
      </c>
      <c r="BG5" s="747"/>
      <c r="BH5" s="747"/>
      <c r="BI5" s="747"/>
      <c r="BJ5" s="747"/>
      <c r="BK5" s="747"/>
      <c r="BL5" s="747"/>
      <c r="BM5" s="747"/>
      <c r="BN5" s="747"/>
      <c r="BO5" s="747"/>
      <c r="BP5" s="747"/>
      <c r="BQ5" s="747"/>
      <c r="BR5" s="747"/>
      <c r="BS5" s="747"/>
      <c r="BT5" s="747"/>
      <c r="BU5" s="747"/>
      <c r="BV5" s="747"/>
      <c r="BW5" s="747"/>
      <c r="BX5" s="747"/>
      <c r="BY5" s="747"/>
      <c r="BZ5" s="747"/>
      <c r="CA5" s="747"/>
      <c r="CB5" s="747"/>
      <c r="CC5" s="747"/>
      <c r="CD5" s="747"/>
      <c r="CE5" s="747"/>
      <c r="CF5" s="747"/>
      <c r="CG5" s="747"/>
      <c r="CH5" s="747"/>
      <c r="CI5" s="747"/>
      <c r="CJ5" s="747"/>
      <c r="CK5" s="747"/>
      <c r="CL5" s="747"/>
      <c r="CM5" s="747"/>
      <c r="CN5" s="747"/>
      <c r="CO5" s="747"/>
      <c r="CP5" s="747"/>
      <c r="CQ5" s="747"/>
      <c r="CR5" s="747"/>
      <c r="CS5" s="747"/>
      <c r="CT5" s="747"/>
      <c r="CU5" s="747"/>
      <c r="CV5" s="747"/>
      <c r="CW5" s="747"/>
      <c r="CX5" s="747"/>
      <c r="CY5" s="747"/>
      <c r="CZ5" s="747"/>
      <c r="DA5" s="747"/>
      <c r="DB5" s="747"/>
      <c r="DC5" s="747"/>
      <c r="DD5" s="747"/>
      <c r="DE5" s="747"/>
      <c r="DF5" s="747"/>
      <c r="DG5" s="747"/>
      <c r="DH5" s="747"/>
      <c r="DI5" s="747"/>
      <c r="DJ5" s="747"/>
      <c r="DK5" s="747"/>
      <c r="DL5" s="747"/>
      <c r="DM5" s="747"/>
      <c r="DN5" s="747"/>
      <c r="DO5" s="747"/>
      <c r="DP5" s="747"/>
      <c r="DQ5" s="747"/>
      <c r="DR5" s="747"/>
      <c r="DS5" s="747"/>
      <c r="DT5" s="747"/>
      <c r="DU5" s="747"/>
      <c r="DV5" s="747"/>
      <c r="DW5" s="747"/>
      <c r="DX5" s="747"/>
      <c r="DY5" s="747"/>
      <c r="DZ5" s="747"/>
      <c r="EA5" s="747"/>
      <c r="EB5" s="747"/>
      <c r="EC5" s="747"/>
      <c r="ED5" s="747"/>
      <c r="EE5" s="747"/>
      <c r="EF5" s="747"/>
      <c r="EG5" s="747"/>
      <c r="EH5" s="747"/>
      <c r="EI5" s="747"/>
      <c r="EJ5" s="747"/>
      <c r="EK5" s="747"/>
      <c r="EL5" s="747"/>
      <c r="EM5" s="747"/>
      <c r="EN5" s="747"/>
      <c r="EO5" s="747"/>
      <c r="EP5" s="747"/>
      <c r="EQ5" s="747"/>
      <c r="ER5" s="747"/>
      <c r="ES5" s="747"/>
      <c r="ET5" s="747"/>
      <c r="EU5" s="747"/>
      <c r="EV5" s="747"/>
      <c r="EW5" s="747"/>
      <c r="EX5" s="747"/>
      <c r="EY5" s="747"/>
      <c r="EZ5" s="747"/>
      <c r="FA5" s="747"/>
      <c r="FB5" s="747"/>
      <c r="FC5" s="747"/>
      <c r="FD5" s="747"/>
      <c r="FE5" s="747"/>
      <c r="FF5" s="747"/>
      <c r="FG5" s="747"/>
      <c r="FH5" s="747"/>
      <c r="FI5" s="747"/>
      <c r="FJ5" s="747"/>
      <c r="FK5" s="747"/>
      <c r="FL5" s="747"/>
      <c r="FM5" s="747"/>
      <c r="FN5" s="747"/>
      <c r="FO5" s="747"/>
      <c r="FP5" s="747"/>
      <c r="FQ5" s="747"/>
      <c r="FR5" s="747"/>
      <c r="FS5" s="747"/>
      <c r="FT5" s="747"/>
      <c r="FU5" s="747"/>
      <c r="FV5" s="747"/>
      <c r="FW5" s="747"/>
      <c r="FX5" s="747"/>
      <c r="FY5" s="747"/>
      <c r="FZ5" s="747"/>
      <c r="GA5" s="747"/>
      <c r="GB5" s="747"/>
      <c r="GC5" s="747"/>
      <c r="GD5" s="747"/>
      <c r="GE5" s="747"/>
      <c r="GF5" s="747"/>
      <c r="GG5" s="747"/>
      <c r="GH5" s="747"/>
      <c r="GI5" s="747"/>
      <c r="GJ5" s="747"/>
    </row>
    <row r="6" spans="1:192" ht="17.25" customHeight="1">
      <c r="A6" s="758"/>
      <c r="B6" s="759" t="s">
        <v>690</v>
      </c>
      <c r="C6" s="764">
        <f t="shared" ref="C6:C10" si="22">SUM(D6,I6,N6,S6,X6,AC6,AH6,AM6,AR6,AW6,BB6)</f>
        <v>100593.19495999999</v>
      </c>
      <c r="D6" s="761">
        <f t="shared" ref="D6:D13" si="23">SUM(E6:H6)</f>
        <v>0</v>
      </c>
      <c r="E6" s="765">
        <f>'11.销售及回款表'!E8+'11.销售及回款表'!E13</f>
        <v>0</v>
      </c>
      <c r="F6" s="765">
        <f>'11.销售及回款表'!F8+'11.销售及回款表'!F13</f>
        <v>0</v>
      </c>
      <c r="G6" s="765">
        <f>'11.销售及回款表'!G8+'11.销售及回款表'!G13</f>
        <v>0</v>
      </c>
      <c r="H6" s="766">
        <f>'11.销售及回款表'!H8+'11.销售及回款表'!H13</f>
        <v>0</v>
      </c>
      <c r="I6" s="761">
        <f t="shared" ref="I6:I13" si="24">SUM(J6:M6)</f>
        <v>73473.047999999995</v>
      </c>
      <c r="J6" s="827">
        <f>'11.销售及回款表'!I8+'11.销售及回款表'!I13</f>
        <v>0</v>
      </c>
      <c r="K6" s="765">
        <f>'11.销售及回款表'!J8+'11.销售及回款表'!J13</f>
        <v>29452.5</v>
      </c>
      <c r="L6" s="765">
        <f>'11.销售及回款表'!K8+'11.销售及回款表'!K13</f>
        <v>30630.6</v>
      </c>
      <c r="M6" s="765">
        <f>'11.销售及回款表'!L8+'11.销售及回款表'!L13</f>
        <v>13389.948</v>
      </c>
      <c r="N6" s="761">
        <f t="shared" ref="N6:N13" si="25">SUM(O6:R6)</f>
        <v>25938.54696</v>
      </c>
      <c r="O6" s="827">
        <f>'11.销售及回款表'!M8+'11.销售及回款表'!M13</f>
        <v>13657.746959999999</v>
      </c>
      <c r="P6" s="765">
        <f>'11.销售及回款表'!N8+'11.销售及回款表'!N13</f>
        <v>6988.8</v>
      </c>
      <c r="Q6" s="765">
        <f>'11.销售及回款表'!O8+'11.销售及回款表'!O13</f>
        <v>3519.6000000000004</v>
      </c>
      <c r="R6" s="765">
        <f>'11.销售及回款表'!P8+'11.销售及回款表'!P13</f>
        <v>1772.4</v>
      </c>
      <c r="S6" s="761">
        <f t="shared" ref="S6:S13" si="26">SUM(T6:W6)</f>
        <v>1181.5999999999999</v>
      </c>
      <c r="T6" s="827">
        <f>'11.销售及回款表'!Q8+'11.销售及回款表'!Q13</f>
        <v>1181.5999999999999</v>
      </c>
      <c r="U6" s="765">
        <f>'11.销售及回款表'!R8+'11.销售及回款表'!R13</f>
        <v>0</v>
      </c>
      <c r="V6" s="765">
        <f>'11.销售及回款表'!S8+'11.销售及回款表'!S13</f>
        <v>0</v>
      </c>
      <c r="W6" s="765">
        <f>'11.销售及回款表'!T8+'11.销售及回款表'!T13</f>
        <v>0</v>
      </c>
      <c r="X6" s="761">
        <f t="shared" ref="X6:X13" si="27">SUM(Y6:AB6)</f>
        <v>0</v>
      </c>
      <c r="Y6" s="827">
        <f>'11.销售及回款表'!U8+'11.销售及回款表'!U13</f>
        <v>0</v>
      </c>
      <c r="Z6" s="765">
        <f>'11.销售及回款表'!V8+'11.销售及回款表'!V13</f>
        <v>0</v>
      </c>
      <c r="AA6" s="765">
        <f>'11.销售及回款表'!W8+'11.销售及回款表'!W13</f>
        <v>0</v>
      </c>
      <c r="AB6" s="765">
        <f>'11.销售及回款表'!X8+'11.销售及回款表'!X13</f>
        <v>0</v>
      </c>
      <c r="AC6" s="761">
        <f t="shared" ref="AC6:AC13" si="28">SUM(AD6:AG6)</f>
        <v>0</v>
      </c>
      <c r="AD6" s="827">
        <f>'11.销售及回款表'!Y8+'11.销售及回款表'!Y13</f>
        <v>0</v>
      </c>
      <c r="AE6" s="765">
        <f>'11.销售及回款表'!Z8+'11.销售及回款表'!Z13</f>
        <v>0</v>
      </c>
      <c r="AF6" s="765">
        <f>'11.销售及回款表'!AA8+'11.销售及回款表'!AA13</f>
        <v>0</v>
      </c>
      <c r="AG6" s="765">
        <f>'11.销售及回款表'!AB8+'11.销售及回款表'!AB13</f>
        <v>0</v>
      </c>
      <c r="AH6" s="761">
        <f t="shared" ref="AH6:AH13" si="29">SUM(AI6:AL6)</f>
        <v>0</v>
      </c>
      <c r="AI6" s="827">
        <f>'11.销售及回款表'!AC8+'11.销售及回款表'!AC13</f>
        <v>0</v>
      </c>
      <c r="AJ6" s="765">
        <f>'11.销售及回款表'!AD8+'11.销售及回款表'!AD13</f>
        <v>0</v>
      </c>
      <c r="AK6" s="765">
        <f>'11.销售及回款表'!AE8+'11.销售及回款表'!AE13</f>
        <v>0</v>
      </c>
      <c r="AL6" s="765">
        <f>'11.销售及回款表'!AF8+'11.销售及回款表'!AF13</f>
        <v>0</v>
      </c>
      <c r="AM6" s="761">
        <f t="shared" ref="AM6:AM13" si="30">SUM(AN6:AQ6)</f>
        <v>0</v>
      </c>
      <c r="AN6" s="827">
        <f>'11.销售及回款表'!AG8+'11.销售及回款表'!AG13</f>
        <v>0</v>
      </c>
      <c r="AO6" s="765">
        <f>'11.销售及回款表'!AH8+'11.销售及回款表'!AH13</f>
        <v>0</v>
      </c>
      <c r="AP6" s="765">
        <f>'11.销售及回款表'!AI8+'11.销售及回款表'!AI13</f>
        <v>0</v>
      </c>
      <c r="AQ6" s="765">
        <f>'11.销售及回款表'!AJ8+'11.销售及回款表'!AJ13</f>
        <v>0</v>
      </c>
      <c r="AR6" s="761">
        <f t="shared" ref="AR6:AR13" si="31">SUM(AS6:AV6)</f>
        <v>0</v>
      </c>
      <c r="AS6" s="827">
        <f>'11.销售及回款表'!AK8+'11.销售及回款表'!AK13</f>
        <v>0</v>
      </c>
      <c r="AT6" s="765">
        <f>'11.销售及回款表'!AL8+'11.销售及回款表'!AL13</f>
        <v>0</v>
      </c>
      <c r="AU6" s="765">
        <f>'11.销售及回款表'!AM8+'11.销售及回款表'!AM13</f>
        <v>0</v>
      </c>
      <c r="AV6" s="765">
        <f>'11.销售及回款表'!AN8+'11.销售及回款表'!AN13</f>
        <v>0</v>
      </c>
      <c r="AW6" s="761">
        <f t="shared" ref="AW6:AW13" si="32">SUM(AX6:BA6)</f>
        <v>0</v>
      </c>
      <c r="AX6" s="827">
        <f>'11.销售及回款表'!AO8+'11.销售及回款表'!AO13</f>
        <v>0</v>
      </c>
      <c r="AY6" s="765">
        <f>'11.销售及回款表'!AP8+'11.销售及回款表'!AP13</f>
        <v>0</v>
      </c>
      <c r="AZ6" s="765">
        <f>'11.销售及回款表'!AQ8+'11.销售及回款表'!AQ13</f>
        <v>0</v>
      </c>
      <c r="BA6" s="765">
        <f>'11.销售及回款表'!AR8+'11.销售及回款表'!AR13</f>
        <v>0</v>
      </c>
      <c r="BB6" s="761">
        <f t="shared" ref="BB6:BB13" si="33">SUM(BC6:BF6)</f>
        <v>0</v>
      </c>
      <c r="BC6" s="827">
        <f>'11.销售及回款表'!AS8+'11.销售及回款表'!AS13</f>
        <v>0</v>
      </c>
      <c r="BD6" s="765">
        <f>'11.销售及回款表'!AT8+'11.销售及回款表'!AT13</f>
        <v>0</v>
      </c>
      <c r="BE6" s="765">
        <f>'11.销售及回款表'!AU8+'11.销售及回款表'!AU13</f>
        <v>0</v>
      </c>
      <c r="BF6" s="843">
        <f>'11.销售及回款表'!AV8+'11.销售及回款表'!AV13</f>
        <v>0</v>
      </c>
      <c r="BG6" s="747"/>
      <c r="BH6" s="747"/>
      <c r="BI6" s="747"/>
      <c r="BJ6" s="747"/>
      <c r="BK6" s="747"/>
      <c r="BL6" s="747"/>
      <c r="BM6" s="747"/>
      <c r="BN6" s="747"/>
      <c r="BO6" s="747"/>
      <c r="BP6" s="747"/>
      <c r="BQ6" s="747"/>
      <c r="BR6" s="747"/>
      <c r="BS6" s="747"/>
      <c r="BT6" s="747"/>
      <c r="BU6" s="747"/>
      <c r="BV6" s="747"/>
      <c r="BW6" s="747"/>
      <c r="BX6" s="747"/>
      <c r="BY6" s="747"/>
      <c r="BZ6" s="747"/>
      <c r="CA6" s="747"/>
      <c r="CB6" s="747"/>
      <c r="CC6" s="747"/>
      <c r="CD6" s="747"/>
      <c r="CE6" s="747"/>
      <c r="CF6" s="747"/>
      <c r="CG6" s="747"/>
      <c r="CH6" s="747"/>
      <c r="CI6" s="747"/>
      <c r="CJ6" s="747"/>
      <c r="CK6" s="747"/>
      <c r="CL6" s="747"/>
      <c r="CM6" s="747"/>
      <c r="CN6" s="747"/>
      <c r="CO6" s="747"/>
      <c r="CP6" s="747"/>
      <c r="CQ6" s="747"/>
      <c r="CR6" s="747"/>
      <c r="CS6" s="747"/>
      <c r="CT6" s="747"/>
      <c r="CU6" s="747"/>
      <c r="CV6" s="747"/>
      <c r="CW6" s="747"/>
      <c r="CX6" s="747"/>
      <c r="CY6" s="747"/>
      <c r="CZ6" s="747"/>
      <c r="DA6" s="747"/>
      <c r="DB6" s="747"/>
      <c r="DC6" s="747"/>
      <c r="DD6" s="747"/>
      <c r="DE6" s="747"/>
      <c r="DF6" s="747"/>
      <c r="DG6" s="747"/>
      <c r="DH6" s="747"/>
      <c r="DI6" s="747"/>
      <c r="DJ6" s="747"/>
      <c r="DK6" s="747"/>
      <c r="DL6" s="747"/>
      <c r="DM6" s="747"/>
      <c r="DN6" s="747"/>
      <c r="DO6" s="747"/>
      <c r="DP6" s="747"/>
      <c r="DQ6" s="747"/>
      <c r="DR6" s="747"/>
      <c r="DS6" s="747"/>
      <c r="DT6" s="747"/>
      <c r="DU6" s="747"/>
      <c r="DV6" s="747"/>
      <c r="DW6" s="747"/>
      <c r="DX6" s="747"/>
      <c r="DY6" s="747"/>
      <c r="DZ6" s="747"/>
      <c r="EA6" s="747"/>
      <c r="EB6" s="747"/>
      <c r="EC6" s="747"/>
      <c r="ED6" s="747"/>
      <c r="EE6" s="747"/>
      <c r="EF6" s="747"/>
      <c r="EG6" s="747"/>
      <c r="EH6" s="747"/>
      <c r="EI6" s="747"/>
      <c r="EJ6" s="747"/>
      <c r="EK6" s="747"/>
      <c r="EL6" s="747"/>
      <c r="EM6" s="747"/>
      <c r="EN6" s="747"/>
      <c r="EO6" s="747"/>
      <c r="EP6" s="747"/>
      <c r="EQ6" s="747"/>
      <c r="ER6" s="747"/>
      <c r="ES6" s="747"/>
      <c r="ET6" s="747"/>
      <c r="EU6" s="747"/>
      <c r="EV6" s="747"/>
      <c r="EW6" s="747"/>
      <c r="EX6" s="747"/>
      <c r="EY6" s="747"/>
      <c r="EZ6" s="747"/>
      <c r="FA6" s="747"/>
      <c r="FB6" s="747"/>
      <c r="FC6" s="747"/>
      <c r="FD6" s="747"/>
      <c r="FE6" s="747"/>
      <c r="FF6" s="747"/>
      <c r="FG6" s="747"/>
      <c r="FH6" s="747"/>
      <c r="FI6" s="747"/>
      <c r="FJ6" s="747"/>
      <c r="FK6" s="747"/>
      <c r="FL6" s="747"/>
      <c r="FM6" s="747"/>
      <c r="FN6" s="747"/>
      <c r="FO6" s="747"/>
      <c r="FP6" s="747"/>
      <c r="FQ6" s="747"/>
      <c r="FR6" s="747"/>
      <c r="FS6" s="747"/>
      <c r="FT6" s="747"/>
      <c r="FU6" s="747"/>
      <c r="FV6" s="747"/>
      <c r="FW6" s="747"/>
      <c r="FX6" s="747"/>
      <c r="FY6" s="747"/>
      <c r="FZ6" s="747"/>
      <c r="GA6" s="747"/>
      <c r="GB6" s="747"/>
      <c r="GC6" s="747"/>
      <c r="GD6" s="747"/>
      <c r="GE6" s="747"/>
      <c r="GF6" s="747"/>
      <c r="GG6" s="747"/>
      <c r="GH6" s="747"/>
      <c r="GI6" s="747"/>
      <c r="GJ6" s="747"/>
    </row>
    <row r="7" spans="1:192" s="738" customFormat="1" ht="17.25" customHeight="1">
      <c r="A7" s="767"/>
      <c r="B7" s="768" t="s">
        <v>691</v>
      </c>
      <c r="C7" s="769">
        <f t="shared" si="22"/>
        <v>100593.19496000001</v>
      </c>
      <c r="D7" s="761">
        <f t="shared" si="23"/>
        <v>0</v>
      </c>
      <c r="E7" s="770">
        <f>'11.销售及回款表'!E9+'11.销售及回款表'!E14</f>
        <v>0</v>
      </c>
      <c r="F7" s="770">
        <f>'11.销售及回款表'!F9+'11.销售及回款表'!F14</f>
        <v>0</v>
      </c>
      <c r="G7" s="770">
        <f>'11.销售及回款表'!G9+'11.销售及回款表'!G14</f>
        <v>0</v>
      </c>
      <c r="H7" s="771">
        <f>'11.销售及回款表'!H9+'11.销售及回款表'!H14</f>
        <v>0</v>
      </c>
      <c r="I7" s="761">
        <f t="shared" si="24"/>
        <v>69456.063599999994</v>
      </c>
      <c r="J7" s="828">
        <f>'11.销售及回款表'!I9+'11.销售及回款表'!I14</f>
        <v>0</v>
      </c>
      <c r="K7" s="770">
        <f>'11.销售及回款表'!J9+'11.销售及回款表'!J14</f>
        <v>20616.75</v>
      </c>
      <c r="L7" s="770">
        <f>'11.销售及回款表'!K9+'11.销售及回款表'!K14</f>
        <v>30277.17</v>
      </c>
      <c r="M7" s="770">
        <f>'11.销售及回款表'!L9+'11.销售及回款表'!L14</f>
        <v>18562.143599999999</v>
      </c>
      <c r="N7" s="761">
        <f t="shared" si="25"/>
        <v>29955.531360000004</v>
      </c>
      <c r="O7" s="828">
        <f>'11.销售及回款表'!M9+'11.销售及回款表'!M14</f>
        <v>13577.407272</v>
      </c>
      <c r="P7" s="770">
        <f>'11.销售及回款表'!N9+'11.销售及回款表'!N14</f>
        <v>8989.4840880000011</v>
      </c>
      <c r="Q7" s="770">
        <f>'11.销售及回款表'!O9+'11.销售及回款表'!O14</f>
        <v>5092.08</v>
      </c>
      <c r="R7" s="770">
        <f>'11.销售及回款表'!P9+'11.销售及回款表'!P14</f>
        <v>2296.5600000000004</v>
      </c>
      <c r="S7" s="761">
        <f t="shared" si="26"/>
        <v>1181.5999999999999</v>
      </c>
      <c r="T7" s="828">
        <f>'11.销售及回款表'!Q9+'11.销售及回款表'!Q14</f>
        <v>1181.5999999999999</v>
      </c>
      <c r="U7" s="770">
        <f>'11.销售及回款表'!R9+'11.销售及回款表'!R14</f>
        <v>0</v>
      </c>
      <c r="V7" s="770">
        <f>'11.销售及回款表'!S9+'11.销售及回款表'!S14</f>
        <v>0</v>
      </c>
      <c r="W7" s="770">
        <f>'11.销售及回款表'!T9+'11.销售及回款表'!T14</f>
        <v>0</v>
      </c>
      <c r="X7" s="761">
        <f t="shared" si="27"/>
        <v>0</v>
      </c>
      <c r="Y7" s="828">
        <f>'11.销售及回款表'!U9+'11.销售及回款表'!U14</f>
        <v>0</v>
      </c>
      <c r="Z7" s="770">
        <f>'11.销售及回款表'!V9+'11.销售及回款表'!V14</f>
        <v>0</v>
      </c>
      <c r="AA7" s="770">
        <f>'11.销售及回款表'!W9+'11.销售及回款表'!W14</f>
        <v>0</v>
      </c>
      <c r="AB7" s="770">
        <f>'11.销售及回款表'!X9+'11.销售及回款表'!X14</f>
        <v>0</v>
      </c>
      <c r="AC7" s="761">
        <f t="shared" si="28"/>
        <v>0</v>
      </c>
      <c r="AD7" s="828">
        <f>'11.销售及回款表'!Y9+'11.销售及回款表'!Y14</f>
        <v>0</v>
      </c>
      <c r="AE7" s="770">
        <f>'11.销售及回款表'!Z9+'11.销售及回款表'!Z14</f>
        <v>0</v>
      </c>
      <c r="AF7" s="770">
        <f>'11.销售及回款表'!AA9+'11.销售及回款表'!AA14</f>
        <v>0</v>
      </c>
      <c r="AG7" s="770">
        <f>'11.销售及回款表'!AB9+'11.销售及回款表'!AB14</f>
        <v>0</v>
      </c>
      <c r="AH7" s="761">
        <f t="shared" si="29"/>
        <v>0</v>
      </c>
      <c r="AI7" s="828">
        <f>'11.销售及回款表'!AC9+'11.销售及回款表'!AC14</f>
        <v>0</v>
      </c>
      <c r="AJ7" s="770">
        <f>'11.销售及回款表'!AD9+'11.销售及回款表'!AD14</f>
        <v>0</v>
      </c>
      <c r="AK7" s="770">
        <f>'11.销售及回款表'!AE9+'11.销售及回款表'!AE14</f>
        <v>0</v>
      </c>
      <c r="AL7" s="770">
        <f>'11.销售及回款表'!AF9+'11.销售及回款表'!AF14</f>
        <v>0</v>
      </c>
      <c r="AM7" s="761">
        <f t="shared" si="30"/>
        <v>0</v>
      </c>
      <c r="AN7" s="828">
        <f>'11.销售及回款表'!AG9+'11.销售及回款表'!AG14</f>
        <v>0</v>
      </c>
      <c r="AO7" s="770">
        <f>'11.销售及回款表'!AH9+'11.销售及回款表'!AH14</f>
        <v>0</v>
      </c>
      <c r="AP7" s="770">
        <f>'11.销售及回款表'!AI9+'11.销售及回款表'!AI14</f>
        <v>0</v>
      </c>
      <c r="AQ7" s="770">
        <f>'11.销售及回款表'!AJ9+'11.销售及回款表'!AJ14</f>
        <v>0</v>
      </c>
      <c r="AR7" s="761">
        <f t="shared" si="31"/>
        <v>0</v>
      </c>
      <c r="AS7" s="828">
        <f>'11.销售及回款表'!AK9+'11.销售及回款表'!AK14</f>
        <v>0</v>
      </c>
      <c r="AT7" s="770">
        <f>'11.销售及回款表'!AL9+'11.销售及回款表'!AL14</f>
        <v>0</v>
      </c>
      <c r="AU7" s="770">
        <f>'11.销售及回款表'!AM9+'11.销售及回款表'!AM14</f>
        <v>0</v>
      </c>
      <c r="AV7" s="770">
        <f>'11.销售及回款表'!AN9+'11.销售及回款表'!AN14</f>
        <v>0</v>
      </c>
      <c r="AW7" s="761">
        <f t="shared" si="32"/>
        <v>0</v>
      </c>
      <c r="AX7" s="828">
        <f>'11.销售及回款表'!AO9+'11.销售及回款表'!AO14</f>
        <v>0</v>
      </c>
      <c r="AY7" s="770">
        <f>'11.销售及回款表'!AP9+'11.销售及回款表'!AP14</f>
        <v>0</v>
      </c>
      <c r="AZ7" s="770">
        <f>'11.销售及回款表'!AQ9+'11.销售及回款表'!AQ14</f>
        <v>0</v>
      </c>
      <c r="BA7" s="770">
        <f>'11.销售及回款表'!AR9+'11.销售及回款表'!AR14</f>
        <v>0</v>
      </c>
      <c r="BB7" s="761">
        <f t="shared" si="33"/>
        <v>0</v>
      </c>
      <c r="BC7" s="828">
        <f>'11.销售及回款表'!AS9+'11.销售及回款表'!AS14</f>
        <v>0</v>
      </c>
      <c r="BD7" s="770">
        <f>'11.销售及回款表'!AT9+'11.销售及回款表'!AT14</f>
        <v>0</v>
      </c>
      <c r="BE7" s="770">
        <f>'11.销售及回款表'!AU9+'11.销售及回款表'!AU14</f>
        <v>0</v>
      </c>
      <c r="BF7" s="844">
        <f>'11.销售及回款表'!AV9+'11.销售及回款表'!AV14</f>
        <v>0</v>
      </c>
      <c r="BG7" s="792"/>
      <c r="BH7" s="792"/>
      <c r="BI7" s="792"/>
      <c r="BJ7" s="792"/>
      <c r="BK7" s="792"/>
      <c r="BL7" s="792"/>
      <c r="BM7" s="792"/>
      <c r="BN7" s="792"/>
      <c r="BO7" s="792"/>
      <c r="BP7" s="792"/>
      <c r="BQ7" s="792"/>
      <c r="BR7" s="792"/>
      <c r="BS7" s="792"/>
      <c r="BT7" s="792"/>
      <c r="BU7" s="792"/>
      <c r="BV7" s="792"/>
      <c r="BW7" s="792"/>
      <c r="BX7" s="792"/>
      <c r="BY7" s="792"/>
      <c r="BZ7" s="792"/>
      <c r="CA7" s="792"/>
      <c r="CB7" s="792"/>
      <c r="CC7" s="792"/>
      <c r="CD7" s="792"/>
      <c r="CE7" s="792"/>
      <c r="CF7" s="792"/>
      <c r="CG7" s="792"/>
      <c r="CH7" s="792"/>
      <c r="CI7" s="792"/>
      <c r="CJ7" s="792"/>
      <c r="CK7" s="792"/>
      <c r="CL7" s="792"/>
      <c r="CM7" s="792"/>
      <c r="CN7" s="792"/>
      <c r="CO7" s="792"/>
      <c r="CP7" s="792"/>
      <c r="CQ7" s="792"/>
      <c r="CR7" s="792"/>
      <c r="CS7" s="792"/>
      <c r="CT7" s="792"/>
      <c r="CU7" s="792"/>
      <c r="CV7" s="792"/>
      <c r="CW7" s="792"/>
      <c r="CX7" s="792"/>
      <c r="CY7" s="792"/>
      <c r="CZ7" s="792"/>
      <c r="DA7" s="792"/>
      <c r="DB7" s="792"/>
      <c r="DC7" s="792"/>
      <c r="DD7" s="792"/>
      <c r="DE7" s="792"/>
      <c r="DF7" s="792"/>
      <c r="DG7" s="792"/>
      <c r="DH7" s="792"/>
      <c r="DI7" s="792"/>
      <c r="DJ7" s="792"/>
      <c r="DK7" s="792"/>
      <c r="DL7" s="792"/>
      <c r="DM7" s="792"/>
      <c r="DN7" s="792"/>
      <c r="DO7" s="792"/>
      <c r="DP7" s="792"/>
      <c r="DQ7" s="792"/>
      <c r="DR7" s="792"/>
      <c r="DS7" s="792"/>
      <c r="DT7" s="792"/>
      <c r="DU7" s="792"/>
      <c r="DV7" s="792"/>
      <c r="DW7" s="792"/>
      <c r="DX7" s="792"/>
      <c r="DY7" s="792"/>
      <c r="DZ7" s="792"/>
      <c r="EA7" s="792"/>
      <c r="EB7" s="792"/>
      <c r="EC7" s="792"/>
      <c r="ED7" s="792"/>
      <c r="EE7" s="792"/>
      <c r="EF7" s="792"/>
      <c r="EG7" s="792"/>
      <c r="EH7" s="792"/>
      <c r="EI7" s="792"/>
      <c r="EJ7" s="792"/>
      <c r="EK7" s="792"/>
      <c r="EL7" s="792"/>
      <c r="EM7" s="792"/>
      <c r="EN7" s="792"/>
      <c r="EO7" s="792"/>
      <c r="EP7" s="792"/>
      <c r="EQ7" s="792"/>
      <c r="ER7" s="792"/>
      <c r="ES7" s="792"/>
      <c r="ET7" s="792"/>
      <c r="EU7" s="792"/>
      <c r="EV7" s="792"/>
      <c r="EW7" s="792"/>
      <c r="EX7" s="792"/>
      <c r="EY7" s="792"/>
      <c r="EZ7" s="792"/>
      <c r="FA7" s="792"/>
      <c r="FB7" s="792"/>
      <c r="FC7" s="792"/>
      <c r="FD7" s="792"/>
      <c r="FE7" s="792"/>
      <c r="FF7" s="792"/>
      <c r="FG7" s="792"/>
      <c r="FH7" s="792"/>
      <c r="FI7" s="792"/>
      <c r="FJ7" s="792"/>
      <c r="FK7" s="792"/>
      <c r="FL7" s="792"/>
      <c r="FM7" s="792"/>
      <c r="FN7" s="792"/>
      <c r="FO7" s="792"/>
      <c r="FP7" s="792"/>
      <c r="FQ7" s="792"/>
      <c r="FR7" s="792"/>
      <c r="FS7" s="792"/>
      <c r="FT7" s="792"/>
      <c r="FU7" s="792"/>
      <c r="FV7" s="792"/>
      <c r="FW7" s="792"/>
      <c r="FX7" s="792"/>
      <c r="FY7" s="792"/>
      <c r="FZ7" s="792"/>
      <c r="GA7" s="792"/>
      <c r="GB7" s="792"/>
      <c r="GC7" s="792"/>
      <c r="GD7" s="792"/>
      <c r="GE7" s="792"/>
      <c r="GF7" s="792"/>
      <c r="GG7" s="792"/>
      <c r="GH7" s="792"/>
      <c r="GI7" s="792"/>
      <c r="GJ7" s="792"/>
    </row>
    <row r="8" spans="1:192" s="736" customFormat="1" ht="17.25" customHeight="1">
      <c r="A8" s="767"/>
      <c r="B8" s="768" t="s">
        <v>692</v>
      </c>
      <c r="C8" s="769">
        <f t="shared" ref="C8:H8" si="34">SUM(C9,C10)</f>
        <v>51650.64331496579</v>
      </c>
      <c r="D8" s="761">
        <f t="shared" si="23"/>
        <v>20514.472114965785</v>
      </c>
      <c r="E8" s="770">
        <f t="shared" si="34"/>
        <v>0</v>
      </c>
      <c r="F8" s="770">
        <f t="shared" si="34"/>
        <v>0</v>
      </c>
      <c r="G8" s="770">
        <f t="shared" si="34"/>
        <v>7150</v>
      </c>
      <c r="H8" s="771">
        <f t="shared" si="34"/>
        <v>13364.472114965785</v>
      </c>
      <c r="I8" s="761">
        <f t="shared" si="24"/>
        <v>9368.9912000000004</v>
      </c>
      <c r="J8" s="828">
        <f t="shared" ref="J8:M8" si="35">SUM(J9,J10)</f>
        <v>1156.8834200000001</v>
      </c>
      <c r="K8" s="770">
        <f t="shared" si="35"/>
        <v>2090.9356600000001</v>
      </c>
      <c r="L8" s="770">
        <f t="shared" si="35"/>
        <v>2327.5432599999999</v>
      </c>
      <c r="M8" s="770">
        <f t="shared" si="35"/>
        <v>3793.6288600000003</v>
      </c>
      <c r="N8" s="761">
        <f t="shared" si="25"/>
        <v>15200.780220000001</v>
      </c>
      <c r="O8" s="828">
        <f t="shared" ref="O8:R8" si="36">SUM(O9,O10)</f>
        <v>4720.3802199999991</v>
      </c>
      <c r="P8" s="770">
        <f t="shared" si="36"/>
        <v>4059.5709799999995</v>
      </c>
      <c r="Q8" s="770">
        <f t="shared" si="36"/>
        <v>3098.9939199999999</v>
      </c>
      <c r="R8" s="770">
        <f t="shared" si="36"/>
        <v>3321.8350999999998</v>
      </c>
      <c r="S8" s="761">
        <f t="shared" si="26"/>
        <v>5084.2588600000008</v>
      </c>
      <c r="T8" s="828">
        <f t="shared" ref="T8:W8" si="37">SUM(T9,T10)</f>
        <v>2329.2954000000004</v>
      </c>
      <c r="U8" s="770">
        <f t="shared" si="37"/>
        <v>1567.2858800000001</v>
      </c>
      <c r="V8" s="770">
        <f t="shared" si="37"/>
        <v>1187.6775800000003</v>
      </c>
      <c r="W8" s="770">
        <f t="shared" si="37"/>
        <v>0</v>
      </c>
      <c r="X8" s="761">
        <f t="shared" si="27"/>
        <v>1482.1409200000001</v>
      </c>
      <c r="Y8" s="828">
        <f t="shared" ref="Y8:AB8" si="38">SUM(Y9,Y10)</f>
        <v>0</v>
      </c>
      <c r="Z8" s="770">
        <f t="shared" si="38"/>
        <v>0</v>
      </c>
      <c r="AA8" s="770">
        <f t="shared" si="38"/>
        <v>592.85636800000009</v>
      </c>
      <c r="AB8" s="770">
        <f t="shared" si="38"/>
        <v>889.28455199999996</v>
      </c>
      <c r="AC8" s="761">
        <f t="shared" si="28"/>
        <v>0</v>
      </c>
      <c r="AD8" s="828">
        <f t="shared" ref="AD8:AG8" si="39">SUM(AD9,AD10)</f>
        <v>0</v>
      </c>
      <c r="AE8" s="770">
        <f t="shared" si="39"/>
        <v>0</v>
      </c>
      <c r="AF8" s="770">
        <f t="shared" si="39"/>
        <v>0</v>
      </c>
      <c r="AG8" s="770">
        <f t="shared" si="39"/>
        <v>0</v>
      </c>
      <c r="AH8" s="761">
        <f t="shared" si="29"/>
        <v>0</v>
      </c>
      <c r="AI8" s="828">
        <f t="shared" ref="AI8:AL8" si="40">SUM(AI9,AI10)</f>
        <v>0</v>
      </c>
      <c r="AJ8" s="770">
        <f t="shared" si="40"/>
        <v>0</v>
      </c>
      <c r="AK8" s="770">
        <f t="shared" si="40"/>
        <v>0</v>
      </c>
      <c r="AL8" s="770">
        <f t="shared" si="40"/>
        <v>0</v>
      </c>
      <c r="AM8" s="761">
        <f t="shared" si="30"/>
        <v>0</v>
      </c>
      <c r="AN8" s="828">
        <f t="shared" ref="AN8:AQ8" si="41">SUM(AN9,AN10)</f>
        <v>0</v>
      </c>
      <c r="AO8" s="770">
        <f t="shared" si="41"/>
        <v>0</v>
      </c>
      <c r="AP8" s="770">
        <f t="shared" si="41"/>
        <v>0</v>
      </c>
      <c r="AQ8" s="770">
        <f t="shared" si="41"/>
        <v>0</v>
      </c>
      <c r="AR8" s="761">
        <f t="shared" si="31"/>
        <v>0</v>
      </c>
      <c r="AS8" s="828">
        <f t="shared" ref="AS8:AV8" si="42">SUM(AS9,AS10)</f>
        <v>0</v>
      </c>
      <c r="AT8" s="770">
        <f t="shared" si="42"/>
        <v>0</v>
      </c>
      <c r="AU8" s="770">
        <f t="shared" si="42"/>
        <v>0</v>
      </c>
      <c r="AV8" s="770">
        <f t="shared" si="42"/>
        <v>0</v>
      </c>
      <c r="AW8" s="761">
        <f t="shared" si="32"/>
        <v>0</v>
      </c>
      <c r="AX8" s="828">
        <f t="shared" ref="AX8:BA8" si="43">SUM(AX9,AX10)</f>
        <v>0</v>
      </c>
      <c r="AY8" s="770">
        <f t="shared" si="43"/>
        <v>0</v>
      </c>
      <c r="AZ8" s="770">
        <f t="shared" si="43"/>
        <v>0</v>
      </c>
      <c r="BA8" s="770">
        <f t="shared" si="43"/>
        <v>0</v>
      </c>
      <c r="BB8" s="761">
        <f t="shared" si="33"/>
        <v>0</v>
      </c>
      <c r="BC8" s="828">
        <f t="shared" ref="BC8:BF8" si="44">SUM(BC9,BC10)</f>
        <v>0</v>
      </c>
      <c r="BD8" s="770">
        <f t="shared" si="44"/>
        <v>0</v>
      </c>
      <c r="BE8" s="770">
        <f t="shared" si="44"/>
        <v>0</v>
      </c>
      <c r="BF8" s="844">
        <f t="shared" si="44"/>
        <v>0</v>
      </c>
      <c r="BG8" s="839"/>
      <c r="BH8" s="839"/>
      <c r="BI8" s="839"/>
      <c r="BJ8" s="839"/>
      <c r="BK8" s="839"/>
      <c r="BL8" s="839"/>
      <c r="BM8" s="839"/>
      <c r="BN8" s="839"/>
      <c r="BO8" s="839"/>
      <c r="BP8" s="839"/>
      <c r="BQ8" s="839"/>
      <c r="BR8" s="839"/>
      <c r="BS8" s="839"/>
      <c r="BT8" s="839"/>
      <c r="BU8" s="839"/>
      <c r="BV8" s="839"/>
      <c r="BW8" s="839"/>
      <c r="BX8" s="839"/>
      <c r="BY8" s="839"/>
      <c r="BZ8" s="839"/>
      <c r="CA8" s="839"/>
      <c r="CB8" s="839"/>
      <c r="CC8" s="839"/>
      <c r="CD8" s="839"/>
      <c r="CE8" s="839"/>
      <c r="CF8" s="839"/>
      <c r="CG8" s="839"/>
      <c r="CH8" s="839"/>
      <c r="CI8" s="839"/>
      <c r="CJ8" s="839"/>
      <c r="CK8" s="839"/>
      <c r="CL8" s="839"/>
      <c r="CM8" s="839"/>
      <c r="CN8" s="839"/>
      <c r="CO8" s="839"/>
      <c r="CP8" s="839"/>
      <c r="CQ8" s="839"/>
      <c r="CR8" s="839"/>
      <c r="CS8" s="839"/>
      <c r="CT8" s="839"/>
      <c r="CU8" s="839"/>
      <c r="CV8" s="839"/>
      <c r="CW8" s="839"/>
      <c r="CX8" s="839"/>
      <c r="CY8" s="839"/>
      <c r="CZ8" s="839"/>
      <c r="DA8" s="839"/>
      <c r="DB8" s="839"/>
      <c r="DC8" s="839"/>
      <c r="DD8" s="839"/>
      <c r="DE8" s="839"/>
      <c r="DF8" s="839"/>
      <c r="DG8" s="839"/>
      <c r="DH8" s="839"/>
      <c r="DI8" s="839"/>
      <c r="DJ8" s="839"/>
      <c r="DK8" s="839"/>
      <c r="DL8" s="839"/>
      <c r="DM8" s="839"/>
      <c r="DN8" s="839"/>
      <c r="DO8" s="839"/>
      <c r="DP8" s="839"/>
      <c r="DQ8" s="839"/>
      <c r="DR8" s="839"/>
      <c r="DS8" s="839"/>
      <c r="DT8" s="839"/>
      <c r="DU8" s="839"/>
      <c r="DV8" s="839"/>
      <c r="DW8" s="839"/>
      <c r="DX8" s="839"/>
      <c r="DY8" s="839"/>
      <c r="DZ8" s="839"/>
      <c r="EA8" s="839"/>
      <c r="EB8" s="839"/>
      <c r="EC8" s="839"/>
      <c r="ED8" s="839"/>
      <c r="EE8" s="839"/>
      <c r="EF8" s="839"/>
      <c r="EG8" s="839"/>
      <c r="EH8" s="839"/>
      <c r="EI8" s="839"/>
      <c r="EJ8" s="839"/>
      <c r="EK8" s="839"/>
      <c r="EL8" s="839"/>
      <c r="EM8" s="839"/>
      <c r="EN8" s="839"/>
      <c r="EO8" s="839"/>
      <c r="EP8" s="839"/>
      <c r="EQ8" s="839"/>
      <c r="ER8" s="839"/>
      <c r="ES8" s="839"/>
      <c r="ET8" s="839"/>
      <c r="EU8" s="839"/>
      <c r="EV8" s="839"/>
      <c r="EW8" s="839"/>
      <c r="EX8" s="839"/>
      <c r="EY8" s="839"/>
      <c r="EZ8" s="839"/>
      <c r="FA8" s="839"/>
      <c r="FB8" s="839"/>
      <c r="FC8" s="839"/>
      <c r="FD8" s="839"/>
      <c r="FE8" s="839"/>
      <c r="FF8" s="839"/>
      <c r="FG8" s="839"/>
      <c r="FH8" s="839"/>
      <c r="FI8" s="839"/>
      <c r="FJ8" s="839"/>
      <c r="FK8" s="839"/>
      <c r="FL8" s="839"/>
      <c r="FM8" s="839"/>
      <c r="FN8" s="839"/>
      <c r="FO8" s="839"/>
      <c r="FP8" s="839"/>
      <c r="FQ8" s="839"/>
      <c r="FR8" s="839"/>
      <c r="FS8" s="839"/>
      <c r="FT8" s="839"/>
      <c r="FU8" s="839"/>
      <c r="FV8" s="839"/>
      <c r="FW8" s="839"/>
      <c r="FX8" s="839"/>
      <c r="FY8" s="839"/>
      <c r="FZ8" s="839"/>
      <c r="GA8" s="839"/>
      <c r="GB8" s="839"/>
      <c r="GC8" s="839"/>
      <c r="GD8" s="839"/>
      <c r="GE8" s="839"/>
      <c r="GF8" s="839"/>
      <c r="GG8" s="839"/>
      <c r="GH8" s="839"/>
      <c r="GI8" s="839"/>
      <c r="GJ8" s="839"/>
    </row>
    <row r="9" spans="1:192" ht="17.25" customHeight="1" outlineLevel="1">
      <c r="A9" s="758"/>
      <c r="B9" s="772" t="s">
        <v>693</v>
      </c>
      <c r="C9" s="773">
        <f t="shared" si="22"/>
        <v>20460.111314965787</v>
      </c>
      <c r="D9" s="761">
        <f t="shared" si="23"/>
        <v>20460.116314965788</v>
      </c>
      <c r="E9" s="773">
        <f>'12.土地成本表'!D16</f>
        <v>0</v>
      </c>
      <c r="F9" s="773">
        <f>'12.土地成本表'!E16</f>
        <v>0</v>
      </c>
      <c r="G9" s="773">
        <f>'12.土地成本表'!F16</f>
        <v>7150</v>
      </c>
      <c r="H9" s="774">
        <f>'12.土地成本表'!G16</f>
        <v>13310.116314965786</v>
      </c>
      <c r="I9" s="761">
        <f t="shared" si="24"/>
        <v>-4.9999999999954525E-3</v>
      </c>
      <c r="J9" s="829">
        <f>'12.土地成本表'!H16</f>
        <v>-4.9999999999954525E-3</v>
      </c>
      <c r="K9" s="773">
        <f>'12.土地成本表'!I16</f>
        <v>0</v>
      </c>
      <c r="L9" s="773">
        <f>'12.土地成本表'!J16</f>
        <v>0</v>
      </c>
      <c r="M9" s="773">
        <f>'12.土地成本表'!K16</f>
        <v>0</v>
      </c>
      <c r="N9" s="761">
        <f t="shared" si="25"/>
        <v>0</v>
      </c>
      <c r="O9" s="829">
        <f>'12.土地成本表'!L16</f>
        <v>0</v>
      </c>
      <c r="P9" s="773">
        <f>'12.土地成本表'!M16</f>
        <v>0</v>
      </c>
      <c r="Q9" s="773">
        <f>'12.土地成本表'!N16</f>
        <v>0</v>
      </c>
      <c r="R9" s="773">
        <f>'12.土地成本表'!O16</f>
        <v>0</v>
      </c>
      <c r="S9" s="761">
        <f t="shared" si="26"/>
        <v>0</v>
      </c>
      <c r="T9" s="829">
        <f>'12.土地成本表'!P16</f>
        <v>0</v>
      </c>
      <c r="U9" s="773">
        <f>'12.土地成本表'!Q16</f>
        <v>0</v>
      </c>
      <c r="V9" s="773">
        <f>'12.土地成本表'!R16</f>
        <v>0</v>
      </c>
      <c r="W9" s="773">
        <f>'12.土地成本表'!S16</f>
        <v>0</v>
      </c>
      <c r="X9" s="761">
        <f t="shared" si="27"/>
        <v>0</v>
      </c>
      <c r="Y9" s="829">
        <f>'12.土地成本表'!T16</f>
        <v>0</v>
      </c>
      <c r="Z9" s="773">
        <f>'12.土地成本表'!U16</f>
        <v>0</v>
      </c>
      <c r="AA9" s="773">
        <f>'12.土地成本表'!V16</f>
        <v>0</v>
      </c>
      <c r="AB9" s="773">
        <f>'12.土地成本表'!W16</f>
        <v>0</v>
      </c>
      <c r="AC9" s="761">
        <f t="shared" si="28"/>
        <v>0</v>
      </c>
      <c r="AD9" s="829">
        <f>'12.土地成本表'!X16</f>
        <v>0</v>
      </c>
      <c r="AE9" s="773">
        <f>'12.土地成本表'!Y16</f>
        <v>0</v>
      </c>
      <c r="AF9" s="773">
        <f>'12.土地成本表'!Z16</f>
        <v>0</v>
      </c>
      <c r="AG9" s="773">
        <f>'12.土地成本表'!AA16</f>
        <v>0</v>
      </c>
      <c r="AH9" s="761">
        <f t="shared" si="29"/>
        <v>0</v>
      </c>
      <c r="AI9" s="829">
        <f>'12.土地成本表'!AB16</f>
        <v>0</v>
      </c>
      <c r="AJ9" s="773">
        <f>'12.土地成本表'!AC16</f>
        <v>0</v>
      </c>
      <c r="AK9" s="773">
        <f>'12.土地成本表'!AD16</f>
        <v>0</v>
      </c>
      <c r="AL9" s="773">
        <f>'12.土地成本表'!AE16</f>
        <v>0</v>
      </c>
      <c r="AM9" s="761">
        <f t="shared" si="30"/>
        <v>0</v>
      </c>
      <c r="AN9" s="829">
        <f>'12.土地成本表'!AF16</f>
        <v>0</v>
      </c>
      <c r="AO9" s="773">
        <f>'12.土地成本表'!AG16</f>
        <v>0</v>
      </c>
      <c r="AP9" s="773">
        <f>'12.土地成本表'!AH16</f>
        <v>0</v>
      </c>
      <c r="AQ9" s="773">
        <f>'12.土地成本表'!AI16</f>
        <v>0</v>
      </c>
      <c r="AR9" s="761">
        <f t="shared" si="31"/>
        <v>0</v>
      </c>
      <c r="AS9" s="829">
        <f>'12.土地成本表'!AJ16</f>
        <v>0</v>
      </c>
      <c r="AT9" s="773">
        <f>'12.土地成本表'!AK16</f>
        <v>0</v>
      </c>
      <c r="AU9" s="773">
        <f>'12.土地成本表'!AL16</f>
        <v>0</v>
      </c>
      <c r="AV9" s="773">
        <f>'12.土地成本表'!AM16</f>
        <v>0</v>
      </c>
      <c r="AW9" s="761">
        <f t="shared" si="32"/>
        <v>0</v>
      </c>
      <c r="AX9" s="829">
        <f>'12.土地成本表'!AN16</f>
        <v>0</v>
      </c>
      <c r="AY9" s="773">
        <f>'12.土地成本表'!AO16</f>
        <v>0</v>
      </c>
      <c r="AZ9" s="773">
        <f>'12.土地成本表'!AP16</f>
        <v>0</v>
      </c>
      <c r="BA9" s="773">
        <f>'12.土地成本表'!AQ16</f>
        <v>0</v>
      </c>
      <c r="BB9" s="761">
        <f t="shared" si="33"/>
        <v>0</v>
      </c>
      <c r="BC9" s="829">
        <f>'12.土地成本表'!AR16</f>
        <v>0</v>
      </c>
      <c r="BD9" s="773">
        <f>'12.土地成本表'!AS16</f>
        <v>0</v>
      </c>
      <c r="BE9" s="773">
        <f>'12.土地成本表'!AT16</f>
        <v>0</v>
      </c>
      <c r="BF9" s="845">
        <f>'12.土地成本表'!AU16</f>
        <v>0</v>
      </c>
      <c r="BG9" s="747"/>
      <c r="BH9" s="747"/>
      <c r="BI9" s="747"/>
      <c r="BJ9" s="747"/>
      <c r="BK9" s="747"/>
      <c r="BL9" s="747"/>
      <c r="BM9" s="747"/>
      <c r="BN9" s="747"/>
      <c r="BO9" s="747"/>
      <c r="BP9" s="747"/>
      <c r="BQ9" s="747"/>
      <c r="BR9" s="747"/>
      <c r="BS9" s="747"/>
      <c r="BT9" s="747"/>
      <c r="BU9" s="747"/>
      <c r="BV9" s="747"/>
      <c r="BW9" s="747"/>
      <c r="BX9" s="747"/>
      <c r="BY9" s="747"/>
      <c r="BZ9" s="747"/>
      <c r="CA9" s="747"/>
      <c r="CB9" s="747"/>
      <c r="CC9" s="747"/>
      <c r="CD9" s="747"/>
      <c r="CE9" s="747"/>
      <c r="CF9" s="747"/>
      <c r="CG9" s="747"/>
      <c r="CH9" s="747"/>
      <c r="CI9" s="747"/>
      <c r="CJ9" s="747"/>
      <c r="CK9" s="747"/>
      <c r="CL9" s="747"/>
      <c r="CM9" s="747"/>
      <c r="CN9" s="747"/>
      <c r="CO9" s="747"/>
      <c r="CP9" s="747"/>
      <c r="CQ9" s="747"/>
      <c r="CR9" s="747"/>
      <c r="CS9" s="747"/>
      <c r="CT9" s="747"/>
      <c r="CU9" s="747"/>
      <c r="CV9" s="747"/>
      <c r="CW9" s="747"/>
      <c r="CX9" s="747"/>
      <c r="CY9" s="747"/>
      <c r="CZ9" s="747"/>
      <c r="DA9" s="747"/>
      <c r="DB9" s="747"/>
      <c r="DC9" s="747"/>
      <c r="DD9" s="747"/>
      <c r="DE9" s="747"/>
      <c r="DF9" s="747"/>
      <c r="DG9" s="747"/>
      <c r="DH9" s="747"/>
      <c r="DI9" s="747"/>
      <c r="DJ9" s="747"/>
      <c r="DK9" s="747"/>
      <c r="DL9" s="747"/>
      <c r="DM9" s="747"/>
      <c r="DN9" s="747"/>
      <c r="DO9" s="747"/>
      <c r="DP9" s="747"/>
      <c r="DQ9" s="747"/>
      <c r="DR9" s="747"/>
      <c r="DS9" s="747"/>
      <c r="DT9" s="747"/>
      <c r="DU9" s="747"/>
      <c r="DV9" s="747"/>
      <c r="DW9" s="747"/>
      <c r="DX9" s="747"/>
      <c r="DY9" s="747"/>
      <c r="DZ9" s="747"/>
      <c r="EA9" s="747"/>
      <c r="EB9" s="747"/>
      <c r="EC9" s="747"/>
      <c r="ED9" s="747"/>
      <c r="EE9" s="747"/>
      <c r="EF9" s="747"/>
      <c r="EG9" s="747"/>
      <c r="EH9" s="747"/>
      <c r="EI9" s="747"/>
      <c r="EJ9" s="747"/>
      <c r="EK9" s="747"/>
      <c r="EL9" s="747"/>
      <c r="EM9" s="747"/>
      <c r="EN9" s="747"/>
      <c r="EO9" s="747"/>
      <c r="EP9" s="747"/>
      <c r="EQ9" s="747"/>
      <c r="ER9" s="747"/>
      <c r="ES9" s="747"/>
      <c r="ET9" s="747"/>
      <c r="EU9" s="747"/>
      <c r="EV9" s="747"/>
      <c r="EW9" s="747"/>
      <c r="EX9" s="747"/>
      <c r="EY9" s="747"/>
      <c r="EZ9" s="747"/>
      <c r="FA9" s="747"/>
      <c r="FB9" s="747"/>
      <c r="FC9" s="747"/>
      <c r="FD9" s="747"/>
      <c r="FE9" s="747"/>
      <c r="FF9" s="747"/>
      <c r="FG9" s="747"/>
      <c r="FH9" s="747"/>
      <c r="FI9" s="747"/>
      <c r="FJ9" s="747"/>
      <c r="FK9" s="747"/>
      <c r="FL9" s="747"/>
      <c r="FM9" s="747"/>
      <c r="FN9" s="747"/>
      <c r="FO9" s="747"/>
      <c r="FP9" s="747"/>
      <c r="FQ9" s="747"/>
      <c r="FR9" s="747"/>
      <c r="FS9" s="747"/>
      <c r="FT9" s="747"/>
      <c r="FU9" s="747"/>
      <c r="FV9" s="747"/>
      <c r="FW9" s="747"/>
      <c r="FX9" s="747"/>
      <c r="FY9" s="747"/>
      <c r="FZ9" s="747"/>
      <c r="GA9" s="747"/>
      <c r="GB9" s="747"/>
      <c r="GC9" s="747"/>
      <c r="GD9" s="747"/>
      <c r="GE9" s="747"/>
      <c r="GF9" s="747"/>
      <c r="GG9" s="747"/>
      <c r="GH9" s="747"/>
      <c r="GI9" s="747"/>
      <c r="GJ9" s="747"/>
    </row>
    <row r="10" spans="1:192" ht="17.25" customHeight="1" outlineLevel="1">
      <c r="A10" s="758"/>
      <c r="B10" s="772" t="s">
        <v>694</v>
      </c>
      <c r="C10" s="773">
        <f t="shared" si="22"/>
        <v>31190.532000000003</v>
      </c>
      <c r="D10" s="761">
        <f t="shared" si="23"/>
        <v>54.355800000000002</v>
      </c>
      <c r="E10" s="773">
        <f>'10.工程成本支出表'!D80</f>
        <v>0</v>
      </c>
      <c r="F10" s="773">
        <f>'10.工程成本支出表'!E80</f>
        <v>0</v>
      </c>
      <c r="G10" s="773">
        <f>'10.工程成本支出表'!F80</f>
        <v>0</v>
      </c>
      <c r="H10" s="774">
        <f>'10.工程成本支出表'!G80</f>
        <v>54.355800000000002</v>
      </c>
      <c r="I10" s="761">
        <f t="shared" si="24"/>
        <v>9368.9962000000014</v>
      </c>
      <c r="J10" s="829">
        <f>'10.工程成本支出表'!H80</f>
        <v>1156.8884200000002</v>
      </c>
      <c r="K10" s="773">
        <f>'10.工程成本支出表'!I80</f>
        <v>2090.9356600000001</v>
      </c>
      <c r="L10" s="773">
        <f>'10.工程成本支出表'!J80</f>
        <v>2327.5432599999999</v>
      </c>
      <c r="M10" s="773">
        <f>'10.工程成本支出表'!K80</f>
        <v>3793.6288600000003</v>
      </c>
      <c r="N10" s="761">
        <f t="shared" si="25"/>
        <v>15200.780220000001</v>
      </c>
      <c r="O10" s="829">
        <f>'10.工程成本支出表'!L80</f>
        <v>4720.3802199999991</v>
      </c>
      <c r="P10" s="773">
        <f>'10.工程成本支出表'!M80</f>
        <v>4059.5709799999995</v>
      </c>
      <c r="Q10" s="773">
        <f>'10.工程成本支出表'!N80</f>
        <v>3098.9939199999999</v>
      </c>
      <c r="R10" s="773">
        <f>'10.工程成本支出表'!O80</f>
        <v>3321.8350999999998</v>
      </c>
      <c r="S10" s="761">
        <f t="shared" si="26"/>
        <v>5084.2588600000008</v>
      </c>
      <c r="T10" s="829">
        <f>'10.工程成本支出表'!P80</f>
        <v>2329.2954000000004</v>
      </c>
      <c r="U10" s="773">
        <f>'10.工程成本支出表'!Q80</f>
        <v>1567.2858800000001</v>
      </c>
      <c r="V10" s="773">
        <f>'10.工程成本支出表'!R80</f>
        <v>1187.6775800000003</v>
      </c>
      <c r="W10" s="773">
        <f>'10.工程成本支出表'!S80</f>
        <v>0</v>
      </c>
      <c r="X10" s="761">
        <f t="shared" si="27"/>
        <v>1482.1409200000001</v>
      </c>
      <c r="Y10" s="829">
        <f>'10.工程成本支出表'!T80</f>
        <v>0</v>
      </c>
      <c r="Z10" s="773">
        <f>'10.工程成本支出表'!U80</f>
        <v>0</v>
      </c>
      <c r="AA10" s="773">
        <f>'10.工程成本支出表'!V80</f>
        <v>592.85636800000009</v>
      </c>
      <c r="AB10" s="773">
        <f>'10.工程成本支出表'!W80</f>
        <v>889.28455199999996</v>
      </c>
      <c r="AC10" s="761">
        <f t="shared" si="28"/>
        <v>0</v>
      </c>
      <c r="AD10" s="829">
        <f>'10.工程成本支出表'!X80</f>
        <v>0</v>
      </c>
      <c r="AE10" s="773">
        <f>'10.工程成本支出表'!Y80</f>
        <v>0</v>
      </c>
      <c r="AF10" s="773">
        <f>'10.工程成本支出表'!Z80</f>
        <v>0</v>
      </c>
      <c r="AG10" s="773">
        <f>'10.工程成本支出表'!AA80</f>
        <v>0</v>
      </c>
      <c r="AH10" s="761">
        <f t="shared" si="29"/>
        <v>0</v>
      </c>
      <c r="AI10" s="829">
        <f>'10.工程成本支出表'!AB80</f>
        <v>0</v>
      </c>
      <c r="AJ10" s="773">
        <f>'10.工程成本支出表'!AC80</f>
        <v>0</v>
      </c>
      <c r="AK10" s="773">
        <f>'10.工程成本支出表'!AD80</f>
        <v>0</v>
      </c>
      <c r="AL10" s="773">
        <f>'10.工程成本支出表'!AE80</f>
        <v>0</v>
      </c>
      <c r="AM10" s="761">
        <f t="shared" si="30"/>
        <v>0</v>
      </c>
      <c r="AN10" s="829">
        <f>'10.工程成本支出表'!AF80</f>
        <v>0</v>
      </c>
      <c r="AO10" s="773">
        <f>'10.工程成本支出表'!AG80</f>
        <v>0</v>
      </c>
      <c r="AP10" s="773">
        <f>'10.工程成本支出表'!AH80</f>
        <v>0</v>
      </c>
      <c r="AQ10" s="773">
        <f>'10.工程成本支出表'!AI80</f>
        <v>0</v>
      </c>
      <c r="AR10" s="761">
        <f t="shared" si="31"/>
        <v>0</v>
      </c>
      <c r="AS10" s="829">
        <f>'10.工程成本支出表'!AJ80</f>
        <v>0</v>
      </c>
      <c r="AT10" s="773">
        <f>'10.工程成本支出表'!AK80</f>
        <v>0</v>
      </c>
      <c r="AU10" s="773">
        <f>'10.工程成本支出表'!AL80</f>
        <v>0</v>
      </c>
      <c r="AV10" s="773">
        <f>'10.工程成本支出表'!AM80</f>
        <v>0</v>
      </c>
      <c r="AW10" s="761">
        <f t="shared" si="32"/>
        <v>0</v>
      </c>
      <c r="AX10" s="829">
        <f>'10.工程成本支出表'!AN80</f>
        <v>0</v>
      </c>
      <c r="AY10" s="773">
        <f>'10.工程成本支出表'!AO80</f>
        <v>0</v>
      </c>
      <c r="AZ10" s="773">
        <f>'10.工程成本支出表'!AP80</f>
        <v>0</v>
      </c>
      <c r="BA10" s="773">
        <f>'10.工程成本支出表'!AQ80</f>
        <v>0</v>
      </c>
      <c r="BB10" s="761">
        <f t="shared" si="33"/>
        <v>0</v>
      </c>
      <c r="BC10" s="829">
        <f>'10.工程成本支出表'!AR80</f>
        <v>0</v>
      </c>
      <c r="BD10" s="773">
        <f>'10.工程成本支出表'!AS80</f>
        <v>0</v>
      </c>
      <c r="BE10" s="773">
        <f>'10.工程成本支出表'!AT80</f>
        <v>0</v>
      </c>
      <c r="BF10" s="845">
        <f>'10.工程成本支出表'!AU80</f>
        <v>0</v>
      </c>
      <c r="BG10" s="747"/>
      <c r="BH10" s="747"/>
      <c r="BI10" s="747"/>
      <c r="BJ10" s="747"/>
      <c r="BK10" s="747"/>
      <c r="BL10" s="747"/>
      <c r="BM10" s="747"/>
      <c r="BN10" s="747"/>
      <c r="BO10" s="747"/>
      <c r="BP10" s="747"/>
      <c r="BQ10" s="747"/>
      <c r="BR10" s="747"/>
      <c r="BS10" s="747"/>
      <c r="BT10" s="747"/>
      <c r="BU10" s="747"/>
      <c r="BV10" s="747"/>
      <c r="BW10" s="747"/>
      <c r="BX10" s="747"/>
      <c r="BY10" s="747"/>
      <c r="BZ10" s="747"/>
      <c r="CA10" s="747"/>
      <c r="CB10" s="747"/>
      <c r="CC10" s="747"/>
      <c r="CD10" s="747"/>
      <c r="CE10" s="747"/>
      <c r="CF10" s="747"/>
      <c r="CG10" s="747"/>
      <c r="CH10" s="747"/>
      <c r="CI10" s="747"/>
      <c r="CJ10" s="747"/>
      <c r="CK10" s="747"/>
      <c r="CL10" s="747"/>
      <c r="CM10" s="747"/>
      <c r="CN10" s="747"/>
      <c r="CO10" s="747"/>
      <c r="CP10" s="747"/>
      <c r="CQ10" s="747"/>
      <c r="CR10" s="747"/>
      <c r="CS10" s="747"/>
      <c r="CT10" s="747"/>
      <c r="CU10" s="747"/>
      <c r="CV10" s="747"/>
      <c r="CW10" s="747"/>
      <c r="CX10" s="747"/>
      <c r="CY10" s="747"/>
      <c r="CZ10" s="747"/>
      <c r="DA10" s="747"/>
      <c r="DB10" s="747"/>
      <c r="DC10" s="747"/>
      <c r="DD10" s="747"/>
      <c r="DE10" s="747"/>
      <c r="DF10" s="747"/>
      <c r="DG10" s="747"/>
      <c r="DH10" s="747"/>
      <c r="DI10" s="747"/>
      <c r="DJ10" s="747"/>
      <c r="DK10" s="747"/>
      <c r="DL10" s="747"/>
      <c r="DM10" s="747"/>
      <c r="DN10" s="747"/>
      <c r="DO10" s="747"/>
      <c r="DP10" s="747"/>
      <c r="DQ10" s="747"/>
      <c r="DR10" s="747"/>
      <c r="DS10" s="747"/>
      <c r="DT10" s="747"/>
      <c r="DU10" s="747"/>
      <c r="DV10" s="747"/>
      <c r="DW10" s="747"/>
      <c r="DX10" s="747"/>
      <c r="DY10" s="747"/>
      <c r="DZ10" s="747"/>
      <c r="EA10" s="747"/>
      <c r="EB10" s="747"/>
      <c r="EC10" s="747"/>
      <c r="ED10" s="747"/>
      <c r="EE10" s="747"/>
      <c r="EF10" s="747"/>
      <c r="EG10" s="747"/>
      <c r="EH10" s="747"/>
      <c r="EI10" s="747"/>
      <c r="EJ10" s="747"/>
      <c r="EK10" s="747"/>
      <c r="EL10" s="747"/>
      <c r="EM10" s="747"/>
      <c r="EN10" s="747"/>
      <c r="EO10" s="747"/>
      <c r="EP10" s="747"/>
      <c r="EQ10" s="747"/>
      <c r="ER10" s="747"/>
      <c r="ES10" s="747"/>
      <c r="ET10" s="747"/>
      <c r="EU10" s="747"/>
      <c r="EV10" s="747"/>
      <c r="EW10" s="747"/>
      <c r="EX10" s="747"/>
      <c r="EY10" s="747"/>
      <c r="EZ10" s="747"/>
      <c r="FA10" s="747"/>
      <c r="FB10" s="747"/>
      <c r="FC10" s="747"/>
      <c r="FD10" s="747"/>
      <c r="FE10" s="747"/>
      <c r="FF10" s="747"/>
      <c r="FG10" s="747"/>
      <c r="FH10" s="747"/>
      <c r="FI10" s="747"/>
      <c r="FJ10" s="747"/>
      <c r="FK10" s="747"/>
      <c r="FL10" s="747"/>
      <c r="FM10" s="747"/>
      <c r="FN10" s="747"/>
      <c r="FO10" s="747"/>
      <c r="FP10" s="747"/>
      <c r="FQ10" s="747"/>
      <c r="FR10" s="747"/>
      <c r="FS10" s="747"/>
      <c r="FT10" s="747"/>
      <c r="FU10" s="747"/>
      <c r="FV10" s="747"/>
      <c r="FW10" s="747"/>
      <c r="FX10" s="747"/>
      <c r="FY10" s="747"/>
      <c r="FZ10" s="747"/>
      <c r="GA10" s="747"/>
      <c r="GB10" s="747"/>
      <c r="GC10" s="747"/>
      <c r="GD10" s="747"/>
      <c r="GE10" s="747"/>
      <c r="GF10" s="747"/>
      <c r="GG10" s="747"/>
      <c r="GH10" s="747"/>
      <c r="GI10" s="747"/>
      <c r="GJ10" s="747"/>
    </row>
    <row r="11" spans="1:192" s="736" customFormat="1" ht="17.25" customHeight="1">
      <c r="A11" s="767"/>
      <c r="B11" s="768" t="s">
        <v>695</v>
      </c>
      <c r="C11" s="769">
        <f t="shared" ref="C11:H11" si="45">SUM(C12:C13)</f>
        <v>4526.6937732000006</v>
      </c>
      <c r="D11" s="761">
        <f t="shared" si="23"/>
        <v>0</v>
      </c>
      <c r="E11" s="770">
        <f t="shared" si="45"/>
        <v>0</v>
      </c>
      <c r="F11" s="770">
        <f t="shared" si="45"/>
        <v>0</v>
      </c>
      <c r="G11" s="770">
        <f t="shared" si="45"/>
        <v>0</v>
      </c>
      <c r="H11" s="771">
        <f t="shared" si="45"/>
        <v>0</v>
      </c>
      <c r="I11" s="761">
        <f t="shared" si="24"/>
        <v>3306.2871600000003</v>
      </c>
      <c r="J11" s="828">
        <f t="shared" ref="J11:M11" si="46">SUM(J12:J13)</f>
        <v>0</v>
      </c>
      <c r="K11" s="770">
        <f t="shared" si="46"/>
        <v>1325.3625000000002</v>
      </c>
      <c r="L11" s="770">
        <f t="shared" si="46"/>
        <v>1378.377</v>
      </c>
      <c r="M11" s="770">
        <f t="shared" si="46"/>
        <v>602.54766000000006</v>
      </c>
      <c r="N11" s="761">
        <f t="shared" si="25"/>
        <v>1167.2346132000002</v>
      </c>
      <c r="O11" s="828">
        <f t="shared" ref="O11:R11" si="47">SUM(O12:O13)</f>
        <v>614.59861320000005</v>
      </c>
      <c r="P11" s="770">
        <f t="shared" si="47"/>
        <v>314.49600000000004</v>
      </c>
      <c r="Q11" s="770">
        <f t="shared" si="47"/>
        <v>158.38200000000001</v>
      </c>
      <c r="R11" s="770">
        <f t="shared" si="47"/>
        <v>79.75800000000001</v>
      </c>
      <c r="S11" s="761">
        <f t="shared" si="26"/>
        <v>53.171999999999997</v>
      </c>
      <c r="T11" s="828">
        <f t="shared" ref="T11:W11" si="48">SUM(T12:T13)</f>
        <v>53.171999999999997</v>
      </c>
      <c r="U11" s="770">
        <f t="shared" si="48"/>
        <v>0</v>
      </c>
      <c r="V11" s="770">
        <f t="shared" si="48"/>
        <v>0</v>
      </c>
      <c r="W11" s="770">
        <f t="shared" si="48"/>
        <v>0</v>
      </c>
      <c r="X11" s="761">
        <f t="shared" si="27"/>
        <v>0</v>
      </c>
      <c r="Y11" s="828">
        <f t="shared" ref="Y11:AB11" si="49">SUM(Y12:Y13)</f>
        <v>0</v>
      </c>
      <c r="Z11" s="770">
        <f t="shared" si="49"/>
        <v>0</v>
      </c>
      <c r="AA11" s="770">
        <f t="shared" si="49"/>
        <v>0</v>
      </c>
      <c r="AB11" s="770">
        <f t="shared" si="49"/>
        <v>0</v>
      </c>
      <c r="AC11" s="761">
        <f t="shared" si="28"/>
        <v>0</v>
      </c>
      <c r="AD11" s="828">
        <f t="shared" ref="AD11:AG11" si="50">SUM(AD12:AD13)</f>
        <v>0</v>
      </c>
      <c r="AE11" s="770">
        <f t="shared" si="50"/>
        <v>0</v>
      </c>
      <c r="AF11" s="770">
        <f t="shared" si="50"/>
        <v>0</v>
      </c>
      <c r="AG11" s="770">
        <f t="shared" si="50"/>
        <v>0</v>
      </c>
      <c r="AH11" s="761">
        <f t="shared" si="29"/>
        <v>0</v>
      </c>
      <c r="AI11" s="828">
        <f t="shared" ref="AI11:AL11" si="51">SUM(AI12:AI13)</f>
        <v>0</v>
      </c>
      <c r="AJ11" s="770">
        <f t="shared" si="51"/>
        <v>0</v>
      </c>
      <c r="AK11" s="770">
        <f t="shared" si="51"/>
        <v>0</v>
      </c>
      <c r="AL11" s="770">
        <f t="shared" si="51"/>
        <v>0</v>
      </c>
      <c r="AM11" s="761">
        <f t="shared" si="30"/>
        <v>0</v>
      </c>
      <c r="AN11" s="828">
        <f t="shared" ref="AN11:AQ11" si="52">SUM(AN12:AN13)</f>
        <v>0</v>
      </c>
      <c r="AO11" s="770">
        <f t="shared" si="52"/>
        <v>0</v>
      </c>
      <c r="AP11" s="770">
        <f t="shared" si="52"/>
        <v>0</v>
      </c>
      <c r="AQ11" s="770">
        <f t="shared" si="52"/>
        <v>0</v>
      </c>
      <c r="AR11" s="761">
        <f t="shared" si="31"/>
        <v>0</v>
      </c>
      <c r="AS11" s="828">
        <f t="shared" ref="AS11:AV11" si="53">SUM(AS12:AS13)</f>
        <v>0</v>
      </c>
      <c r="AT11" s="770">
        <f t="shared" si="53"/>
        <v>0</v>
      </c>
      <c r="AU11" s="770">
        <f t="shared" si="53"/>
        <v>0</v>
      </c>
      <c r="AV11" s="770">
        <f t="shared" si="53"/>
        <v>0</v>
      </c>
      <c r="AW11" s="761">
        <f t="shared" si="32"/>
        <v>0</v>
      </c>
      <c r="AX11" s="828">
        <f t="shared" ref="AX11:BA11" si="54">SUM(AX12:AX13)</f>
        <v>0</v>
      </c>
      <c r="AY11" s="770">
        <f t="shared" si="54"/>
        <v>0</v>
      </c>
      <c r="AZ11" s="770">
        <f t="shared" si="54"/>
        <v>0</v>
      </c>
      <c r="BA11" s="770">
        <f t="shared" si="54"/>
        <v>0</v>
      </c>
      <c r="BB11" s="761">
        <f t="shared" si="33"/>
        <v>0</v>
      </c>
      <c r="BC11" s="828">
        <f t="shared" ref="BC11:BF11" si="55">SUM(BC12:BC13)</f>
        <v>0</v>
      </c>
      <c r="BD11" s="770">
        <f t="shared" si="55"/>
        <v>0</v>
      </c>
      <c r="BE11" s="770">
        <f t="shared" si="55"/>
        <v>0</v>
      </c>
      <c r="BF11" s="844">
        <f t="shared" si="55"/>
        <v>0</v>
      </c>
      <c r="BG11" s="839"/>
      <c r="BH11" s="839"/>
      <c r="BI11" s="839"/>
      <c r="BJ11" s="839"/>
      <c r="BK11" s="839"/>
      <c r="BL11" s="839"/>
      <c r="BM11" s="839"/>
      <c r="BN11" s="839"/>
      <c r="BO11" s="839"/>
      <c r="BP11" s="839"/>
      <c r="BQ11" s="839"/>
      <c r="BR11" s="839"/>
      <c r="BS11" s="839"/>
      <c r="BT11" s="839"/>
      <c r="BU11" s="839"/>
      <c r="BV11" s="839"/>
      <c r="BW11" s="839"/>
      <c r="BX11" s="839"/>
      <c r="BY11" s="839"/>
      <c r="BZ11" s="839"/>
      <c r="CA11" s="839"/>
      <c r="CB11" s="839"/>
      <c r="CC11" s="839"/>
      <c r="CD11" s="839"/>
      <c r="CE11" s="839"/>
      <c r="CF11" s="839"/>
      <c r="CG11" s="839"/>
      <c r="CH11" s="839"/>
      <c r="CI11" s="839"/>
      <c r="CJ11" s="839"/>
      <c r="CK11" s="839"/>
      <c r="CL11" s="839"/>
      <c r="CM11" s="839"/>
      <c r="CN11" s="839"/>
      <c r="CO11" s="839"/>
      <c r="CP11" s="839"/>
      <c r="CQ11" s="839"/>
      <c r="CR11" s="839"/>
      <c r="CS11" s="839"/>
      <c r="CT11" s="839"/>
      <c r="CU11" s="839"/>
      <c r="CV11" s="839"/>
      <c r="CW11" s="839"/>
      <c r="CX11" s="839"/>
      <c r="CY11" s="839"/>
      <c r="CZ11" s="839"/>
      <c r="DA11" s="839"/>
      <c r="DB11" s="839"/>
      <c r="DC11" s="839"/>
      <c r="DD11" s="839"/>
      <c r="DE11" s="839"/>
      <c r="DF11" s="839"/>
      <c r="DG11" s="839"/>
      <c r="DH11" s="839"/>
      <c r="DI11" s="839"/>
      <c r="DJ11" s="839"/>
      <c r="DK11" s="839"/>
      <c r="DL11" s="839"/>
      <c r="DM11" s="839"/>
      <c r="DN11" s="839"/>
      <c r="DO11" s="839"/>
      <c r="DP11" s="839"/>
      <c r="DQ11" s="839"/>
      <c r="DR11" s="839"/>
      <c r="DS11" s="839"/>
      <c r="DT11" s="839"/>
      <c r="DU11" s="839"/>
      <c r="DV11" s="839"/>
      <c r="DW11" s="839"/>
      <c r="DX11" s="839"/>
      <c r="DY11" s="839"/>
      <c r="DZ11" s="839"/>
      <c r="EA11" s="839"/>
      <c r="EB11" s="839"/>
      <c r="EC11" s="839"/>
      <c r="ED11" s="839"/>
      <c r="EE11" s="839"/>
      <c r="EF11" s="839"/>
      <c r="EG11" s="839"/>
      <c r="EH11" s="839"/>
      <c r="EI11" s="839"/>
      <c r="EJ11" s="839"/>
      <c r="EK11" s="839"/>
      <c r="EL11" s="839"/>
      <c r="EM11" s="839"/>
      <c r="EN11" s="839"/>
      <c r="EO11" s="839"/>
      <c r="EP11" s="839"/>
      <c r="EQ11" s="839"/>
      <c r="ER11" s="839"/>
      <c r="ES11" s="839"/>
      <c r="ET11" s="839"/>
      <c r="EU11" s="839"/>
      <c r="EV11" s="839"/>
      <c r="EW11" s="839"/>
      <c r="EX11" s="839"/>
      <c r="EY11" s="839"/>
      <c r="EZ11" s="839"/>
      <c r="FA11" s="839"/>
      <c r="FB11" s="839"/>
      <c r="FC11" s="839"/>
      <c r="FD11" s="839"/>
      <c r="FE11" s="839"/>
      <c r="FF11" s="839"/>
      <c r="FG11" s="839"/>
      <c r="FH11" s="839"/>
      <c r="FI11" s="839"/>
      <c r="FJ11" s="839"/>
      <c r="FK11" s="839"/>
      <c r="FL11" s="839"/>
      <c r="FM11" s="839"/>
      <c r="FN11" s="839"/>
      <c r="FO11" s="839"/>
      <c r="FP11" s="839"/>
      <c r="FQ11" s="839"/>
      <c r="FR11" s="839"/>
      <c r="FS11" s="839"/>
      <c r="FT11" s="839"/>
      <c r="FU11" s="839"/>
      <c r="FV11" s="839"/>
      <c r="FW11" s="839"/>
      <c r="FX11" s="839"/>
      <c r="FY11" s="839"/>
      <c r="FZ11" s="839"/>
      <c r="GA11" s="839"/>
      <c r="GB11" s="839"/>
      <c r="GC11" s="839"/>
      <c r="GD11" s="839"/>
      <c r="GE11" s="839"/>
      <c r="GF11" s="839"/>
      <c r="GG11" s="839"/>
      <c r="GH11" s="839"/>
      <c r="GI11" s="839"/>
      <c r="GJ11" s="839"/>
    </row>
    <row r="12" spans="1:192" ht="17.25" customHeight="1" outlineLevel="1">
      <c r="A12" s="758"/>
      <c r="B12" s="772" t="s">
        <v>696</v>
      </c>
      <c r="C12" s="773">
        <f t="shared" ref="C12:C14" si="56">SUM(D12,I12,N12,S12,X12,AC12,AH12,AM12,AR12,AW12,BB12)</f>
        <v>2514.829874</v>
      </c>
      <c r="D12" s="761">
        <f t="shared" si="23"/>
        <v>0</v>
      </c>
      <c r="E12" s="773">
        <f>E6*'1.参数设置'!$C$5</f>
        <v>0</v>
      </c>
      <c r="F12" s="773">
        <f>F6*'1.参数设置'!$C$5</f>
        <v>0</v>
      </c>
      <c r="G12" s="773">
        <f>G6*'1.参数设置'!$C$5</f>
        <v>0</v>
      </c>
      <c r="H12" s="774">
        <f>H6*'1.参数设置'!$C$5</f>
        <v>0</v>
      </c>
      <c r="I12" s="761">
        <f t="shared" si="24"/>
        <v>1836.8262</v>
      </c>
      <c r="J12" s="773">
        <f>J6*'1.参数设置'!$C$5</f>
        <v>0</v>
      </c>
      <c r="K12" s="773">
        <f>K6*'1.参数设置'!$C$5</f>
        <v>736.3125</v>
      </c>
      <c r="L12" s="773">
        <f>L6*'1.参数设置'!$C$5</f>
        <v>765.76499999999999</v>
      </c>
      <c r="M12" s="774">
        <f>M6*'1.参数设置'!$C$5</f>
        <v>334.74870000000004</v>
      </c>
      <c r="N12" s="761">
        <f t="shared" si="25"/>
        <v>648.46367400000008</v>
      </c>
      <c r="O12" s="773">
        <f>O6*'1.参数设置'!$C$5</f>
        <v>341.44367399999999</v>
      </c>
      <c r="P12" s="773">
        <f>P6*'1.参数设置'!$C$5</f>
        <v>174.72000000000003</v>
      </c>
      <c r="Q12" s="773">
        <f>Q6*'1.参数设置'!$C$5</f>
        <v>87.990000000000009</v>
      </c>
      <c r="R12" s="774">
        <f>R6*'1.参数设置'!$C$5</f>
        <v>44.31</v>
      </c>
      <c r="S12" s="761">
        <f t="shared" si="26"/>
        <v>29.54</v>
      </c>
      <c r="T12" s="773">
        <f>T6*'1.参数设置'!$C$5</f>
        <v>29.54</v>
      </c>
      <c r="U12" s="773">
        <f>U6*'1.参数设置'!$C$5</f>
        <v>0</v>
      </c>
      <c r="V12" s="773">
        <f>V6*'1.参数设置'!$C$5</f>
        <v>0</v>
      </c>
      <c r="W12" s="774">
        <f>W6*'1.参数设置'!$C$5</f>
        <v>0</v>
      </c>
      <c r="X12" s="761">
        <f t="shared" si="27"/>
        <v>0</v>
      </c>
      <c r="Y12" s="773">
        <f>Y6*'1.参数设置'!$C$5</f>
        <v>0</v>
      </c>
      <c r="Z12" s="773">
        <f>Z6*'1.参数设置'!$C$5</f>
        <v>0</v>
      </c>
      <c r="AA12" s="773">
        <f>AA6*'1.参数设置'!$C$5</f>
        <v>0</v>
      </c>
      <c r="AB12" s="774">
        <f>AB6*'1.参数设置'!$C$5</f>
        <v>0</v>
      </c>
      <c r="AC12" s="761">
        <f t="shared" si="28"/>
        <v>0</v>
      </c>
      <c r="AD12" s="773">
        <f>AD6*'1.参数设置'!$C$5</f>
        <v>0</v>
      </c>
      <c r="AE12" s="773">
        <f>AE6*'1.参数设置'!$C$5</f>
        <v>0</v>
      </c>
      <c r="AF12" s="773">
        <f>AF6*'1.参数设置'!$C$5</f>
        <v>0</v>
      </c>
      <c r="AG12" s="774">
        <f>AG6*'1.参数设置'!$C$5</f>
        <v>0</v>
      </c>
      <c r="AH12" s="761">
        <f t="shared" si="29"/>
        <v>0</v>
      </c>
      <c r="AI12" s="773">
        <f>AI6*'1.参数设置'!$C$5</f>
        <v>0</v>
      </c>
      <c r="AJ12" s="773">
        <f>AJ6*'1.参数设置'!$C$5</f>
        <v>0</v>
      </c>
      <c r="AK12" s="773">
        <f>AK6*'1.参数设置'!$C$5</f>
        <v>0</v>
      </c>
      <c r="AL12" s="774">
        <f>AL6*'1.参数设置'!$C$5</f>
        <v>0</v>
      </c>
      <c r="AM12" s="761">
        <f t="shared" si="30"/>
        <v>0</v>
      </c>
      <c r="AN12" s="773">
        <f>AN6*'1.参数设置'!$C$5</f>
        <v>0</v>
      </c>
      <c r="AO12" s="773">
        <f>AO6*'1.参数设置'!$C$5</f>
        <v>0</v>
      </c>
      <c r="AP12" s="773">
        <f>AP6*'1.参数设置'!$C$5</f>
        <v>0</v>
      </c>
      <c r="AQ12" s="774">
        <f>AQ6*'1.参数设置'!$C$5</f>
        <v>0</v>
      </c>
      <c r="AR12" s="761">
        <f t="shared" si="31"/>
        <v>0</v>
      </c>
      <c r="AS12" s="773">
        <f>AS6*'1.参数设置'!$C$5</f>
        <v>0</v>
      </c>
      <c r="AT12" s="773">
        <f>AT6*'1.参数设置'!$C$5</f>
        <v>0</v>
      </c>
      <c r="AU12" s="773">
        <f>AU6*'1.参数设置'!$C$5</f>
        <v>0</v>
      </c>
      <c r="AV12" s="774">
        <f>AV6*'1.参数设置'!$C$5</f>
        <v>0</v>
      </c>
      <c r="AW12" s="761">
        <f t="shared" si="32"/>
        <v>0</v>
      </c>
      <c r="AX12" s="773">
        <f>AX6*'1.参数设置'!$C$5</f>
        <v>0</v>
      </c>
      <c r="AY12" s="773">
        <f>AY6*'1.参数设置'!$C$5</f>
        <v>0</v>
      </c>
      <c r="AZ12" s="773">
        <f>AZ6*'1.参数设置'!$C$5</f>
        <v>0</v>
      </c>
      <c r="BA12" s="774">
        <f>BA6*'1.参数设置'!$C$5</f>
        <v>0</v>
      </c>
      <c r="BB12" s="761">
        <f t="shared" si="33"/>
        <v>0</v>
      </c>
      <c r="BC12" s="773">
        <f>BC6*'1.参数设置'!$C$5</f>
        <v>0</v>
      </c>
      <c r="BD12" s="773">
        <f>BD6*'1.参数设置'!$C$5</f>
        <v>0</v>
      </c>
      <c r="BE12" s="773">
        <f>BE6*'1.参数设置'!$C$5</f>
        <v>0</v>
      </c>
      <c r="BF12" s="845">
        <f>BF6*'1.参数设置'!$C$5</f>
        <v>0</v>
      </c>
      <c r="BG12" s="747"/>
      <c r="BH12" s="747"/>
      <c r="BI12" s="747"/>
      <c r="BJ12" s="747"/>
      <c r="BK12" s="747"/>
      <c r="BL12" s="747"/>
      <c r="BM12" s="747"/>
      <c r="BN12" s="747"/>
      <c r="BO12" s="747"/>
      <c r="BP12" s="747"/>
      <c r="BQ12" s="747"/>
      <c r="BR12" s="747"/>
      <c r="BS12" s="747"/>
      <c r="BT12" s="747"/>
      <c r="BU12" s="747"/>
      <c r="BV12" s="747"/>
      <c r="BW12" s="747"/>
      <c r="BX12" s="747"/>
      <c r="BY12" s="747"/>
      <c r="BZ12" s="747"/>
      <c r="CA12" s="747"/>
      <c r="CB12" s="747"/>
      <c r="CC12" s="747"/>
      <c r="CD12" s="747"/>
      <c r="CE12" s="747"/>
      <c r="CF12" s="747"/>
      <c r="CG12" s="747"/>
      <c r="CH12" s="747"/>
      <c r="CI12" s="747"/>
      <c r="CJ12" s="747"/>
      <c r="CK12" s="747"/>
      <c r="CL12" s="747"/>
      <c r="CM12" s="747"/>
      <c r="CN12" s="747"/>
      <c r="CO12" s="747"/>
      <c r="CP12" s="747"/>
      <c r="CQ12" s="747"/>
      <c r="CR12" s="747"/>
      <c r="CS12" s="747"/>
      <c r="CT12" s="747"/>
      <c r="CU12" s="747"/>
      <c r="CV12" s="747"/>
      <c r="CW12" s="747"/>
      <c r="CX12" s="747"/>
      <c r="CY12" s="747"/>
      <c r="CZ12" s="747"/>
      <c r="DA12" s="747"/>
      <c r="DB12" s="747"/>
      <c r="DC12" s="747"/>
      <c r="DD12" s="747"/>
      <c r="DE12" s="747"/>
      <c r="DF12" s="747"/>
      <c r="DG12" s="747"/>
      <c r="DH12" s="747"/>
      <c r="DI12" s="747"/>
      <c r="DJ12" s="747"/>
      <c r="DK12" s="747"/>
      <c r="DL12" s="747"/>
      <c r="DM12" s="747"/>
      <c r="DN12" s="747"/>
      <c r="DO12" s="747"/>
      <c r="DP12" s="747"/>
      <c r="DQ12" s="747"/>
      <c r="DR12" s="747"/>
      <c r="DS12" s="747"/>
      <c r="DT12" s="747"/>
      <c r="DU12" s="747"/>
      <c r="DV12" s="747"/>
      <c r="DW12" s="747"/>
      <c r="DX12" s="747"/>
      <c r="DY12" s="747"/>
      <c r="DZ12" s="747"/>
      <c r="EA12" s="747"/>
      <c r="EB12" s="747"/>
      <c r="EC12" s="747"/>
      <c r="ED12" s="747"/>
      <c r="EE12" s="747"/>
      <c r="EF12" s="747"/>
      <c r="EG12" s="747"/>
      <c r="EH12" s="747"/>
      <c r="EI12" s="747"/>
      <c r="EJ12" s="747"/>
      <c r="EK12" s="747"/>
      <c r="EL12" s="747"/>
      <c r="EM12" s="747"/>
      <c r="EN12" s="747"/>
      <c r="EO12" s="747"/>
      <c r="EP12" s="747"/>
      <c r="EQ12" s="747"/>
      <c r="ER12" s="747"/>
      <c r="ES12" s="747"/>
      <c r="ET12" s="747"/>
      <c r="EU12" s="747"/>
      <c r="EV12" s="747"/>
      <c r="EW12" s="747"/>
      <c r="EX12" s="747"/>
      <c r="EY12" s="747"/>
      <c r="EZ12" s="747"/>
      <c r="FA12" s="747"/>
      <c r="FB12" s="747"/>
      <c r="FC12" s="747"/>
      <c r="FD12" s="747"/>
      <c r="FE12" s="747"/>
      <c r="FF12" s="747"/>
      <c r="FG12" s="747"/>
      <c r="FH12" s="747"/>
      <c r="FI12" s="747"/>
      <c r="FJ12" s="747"/>
      <c r="FK12" s="747"/>
      <c r="FL12" s="747"/>
      <c r="FM12" s="747"/>
      <c r="FN12" s="747"/>
      <c r="FO12" s="747"/>
      <c r="FP12" s="747"/>
      <c r="FQ12" s="747"/>
      <c r="FR12" s="747"/>
      <c r="FS12" s="747"/>
      <c r="FT12" s="747"/>
      <c r="FU12" s="747"/>
      <c r="FV12" s="747"/>
      <c r="FW12" s="747"/>
      <c r="FX12" s="747"/>
      <c r="FY12" s="747"/>
      <c r="FZ12" s="747"/>
      <c r="GA12" s="747"/>
      <c r="GB12" s="747"/>
      <c r="GC12" s="747"/>
      <c r="GD12" s="747"/>
      <c r="GE12" s="747"/>
      <c r="GF12" s="747"/>
      <c r="GG12" s="747"/>
      <c r="GH12" s="747"/>
      <c r="GI12" s="747"/>
      <c r="GJ12" s="747"/>
    </row>
    <row r="13" spans="1:192" ht="17.25" customHeight="1" outlineLevel="1">
      <c r="A13" s="758"/>
      <c r="B13" s="772" t="s">
        <v>697</v>
      </c>
      <c r="C13" s="773">
        <f t="shared" si="56"/>
        <v>2011.8638992000001</v>
      </c>
      <c r="D13" s="761">
        <f t="shared" si="23"/>
        <v>0</v>
      </c>
      <c r="E13" s="775">
        <f>E6*'1.参数设置'!$E$5</f>
        <v>0</v>
      </c>
      <c r="F13" s="775">
        <f>F6*'1.参数设置'!$E$5</f>
        <v>0</v>
      </c>
      <c r="G13" s="775">
        <f>G6*'1.参数设置'!$E$5</f>
        <v>0</v>
      </c>
      <c r="H13" s="776">
        <f>H6*'1.参数设置'!$E$5</f>
        <v>0</v>
      </c>
      <c r="I13" s="761">
        <f t="shared" si="24"/>
        <v>1469.4609600000001</v>
      </c>
      <c r="J13" s="775">
        <f>J6*'1.参数设置'!$E$5</f>
        <v>0</v>
      </c>
      <c r="K13" s="775">
        <f>K6*'1.参数设置'!$E$5</f>
        <v>589.05000000000007</v>
      </c>
      <c r="L13" s="775">
        <f>L6*'1.参数设置'!$E$5</f>
        <v>612.61199999999997</v>
      </c>
      <c r="M13" s="776">
        <f>M6*'1.参数设置'!$E$5</f>
        <v>267.79896000000002</v>
      </c>
      <c r="N13" s="761">
        <f t="shared" si="25"/>
        <v>518.77093920000004</v>
      </c>
      <c r="O13" s="775">
        <f>O6*'1.参数设置'!$E$5</f>
        <v>273.1549392</v>
      </c>
      <c r="P13" s="775">
        <f>P6*'1.参数设置'!$E$5</f>
        <v>139.77600000000001</v>
      </c>
      <c r="Q13" s="775">
        <f>Q6*'1.参数设置'!$E$5</f>
        <v>70.39200000000001</v>
      </c>
      <c r="R13" s="776">
        <f>R6*'1.参数设置'!$E$5</f>
        <v>35.448</v>
      </c>
      <c r="S13" s="761">
        <f t="shared" si="26"/>
        <v>23.631999999999998</v>
      </c>
      <c r="T13" s="775">
        <f>T6*'1.参数设置'!$E$5</f>
        <v>23.631999999999998</v>
      </c>
      <c r="U13" s="775">
        <f>U6*'1.参数设置'!$E$5</f>
        <v>0</v>
      </c>
      <c r="V13" s="775">
        <f>V6*'1.参数设置'!$E$5</f>
        <v>0</v>
      </c>
      <c r="W13" s="776">
        <f>W6*'1.参数设置'!$E$5</f>
        <v>0</v>
      </c>
      <c r="X13" s="761">
        <f t="shared" si="27"/>
        <v>0</v>
      </c>
      <c r="Y13" s="775">
        <f>Y6*'1.参数设置'!$E$5</f>
        <v>0</v>
      </c>
      <c r="Z13" s="775">
        <f>Z6*'1.参数设置'!$E$5</f>
        <v>0</v>
      </c>
      <c r="AA13" s="775">
        <f>AA6*'1.参数设置'!$E$5</f>
        <v>0</v>
      </c>
      <c r="AB13" s="776">
        <f>AB6*'1.参数设置'!$E$5</f>
        <v>0</v>
      </c>
      <c r="AC13" s="761">
        <f t="shared" si="28"/>
        <v>0</v>
      </c>
      <c r="AD13" s="775">
        <f>AD6*'1.参数设置'!$E$5</f>
        <v>0</v>
      </c>
      <c r="AE13" s="775">
        <f>AE6*'1.参数设置'!$E$5</f>
        <v>0</v>
      </c>
      <c r="AF13" s="775">
        <f>AF6*'1.参数设置'!$E$5</f>
        <v>0</v>
      </c>
      <c r="AG13" s="776">
        <f>AG6*'1.参数设置'!$E$5</f>
        <v>0</v>
      </c>
      <c r="AH13" s="761">
        <f t="shared" si="29"/>
        <v>0</v>
      </c>
      <c r="AI13" s="775">
        <f>AI6*'1.参数设置'!$E$5</f>
        <v>0</v>
      </c>
      <c r="AJ13" s="775">
        <f>AJ6*'1.参数设置'!$E$5</f>
        <v>0</v>
      </c>
      <c r="AK13" s="775">
        <f>AK6*'1.参数设置'!$E$5</f>
        <v>0</v>
      </c>
      <c r="AL13" s="776">
        <f>AL6*'1.参数设置'!$E$5</f>
        <v>0</v>
      </c>
      <c r="AM13" s="761">
        <f t="shared" si="30"/>
        <v>0</v>
      </c>
      <c r="AN13" s="775">
        <f>AN6*'1.参数设置'!$E$5</f>
        <v>0</v>
      </c>
      <c r="AO13" s="775">
        <f>AO6*'1.参数设置'!$E$5</f>
        <v>0</v>
      </c>
      <c r="AP13" s="775">
        <f>AP6*'1.参数设置'!$E$5</f>
        <v>0</v>
      </c>
      <c r="AQ13" s="776">
        <f>AQ6*'1.参数设置'!$E$5</f>
        <v>0</v>
      </c>
      <c r="AR13" s="761">
        <f t="shared" si="31"/>
        <v>0</v>
      </c>
      <c r="AS13" s="775">
        <f>AS6*'1.参数设置'!$E$5</f>
        <v>0</v>
      </c>
      <c r="AT13" s="775">
        <f>AT6*'1.参数设置'!$E$5</f>
        <v>0</v>
      </c>
      <c r="AU13" s="775">
        <f>AU6*'1.参数设置'!$E$5</f>
        <v>0</v>
      </c>
      <c r="AV13" s="776">
        <f>AV6*'1.参数设置'!$E$5</f>
        <v>0</v>
      </c>
      <c r="AW13" s="761">
        <f t="shared" si="32"/>
        <v>0</v>
      </c>
      <c r="AX13" s="775">
        <f>AX6*'1.参数设置'!$E$5</f>
        <v>0</v>
      </c>
      <c r="AY13" s="775">
        <f>AY6*'1.参数设置'!$E$5</f>
        <v>0</v>
      </c>
      <c r="AZ13" s="775">
        <f>AZ6*'1.参数设置'!$E$5</f>
        <v>0</v>
      </c>
      <c r="BA13" s="776">
        <f>BA6*'1.参数设置'!$E$5</f>
        <v>0</v>
      </c>
      <c r="BB13" s="761">
        <f t="shared" si="33"/>
        <v>0</v>
      </c>
      <c r="BC13" s="775">
        <f>BC6*'1.参数设置'!$E$5</f>
        <v>0</v>
      </c>
      <c r="BD13" s="775">
        <f>BD6*'1.参数设置'!$E$5</f>
        <v>0</v>
      </c>
      <c r="BE13" s="775">
        <f>BE6*'1.参数设置'!$E$5</f>
        <v>0</v>
      </c>
      <c r="BF13" s="846">
        <f>BF6*'1.参数设置'!$E$5</f>
        <v>0</v>
      </c>
      <c r="BG13" s="747"/>
      <c r="BH13" s="747"/>
      <c r="BI13" s="747"/>
      <c r="BJ13" s="747"/>
      <c r="BK13" s="747"/>
      <c r="BL13" s="747"/>
      <c r="BM13" s="747"/>
      <c r="BN13" s="747"/>
      <c r="BO13" s="747"/>
      <c r="BP13" s="747"/>
      <c r="BQ13" s="747"/>
      <c r="BR13" s="747"/>
      <c r="BS13" s="747"/>
      <c r="BT13" s="747"/>
      <c r="BU13" s="747"/>
      <c r="BV13" s="747"/>
      <c r="BW13" s="747"/>
      <c r="BX13" s="747"/>
      <c r="BY13" s="747"/>
      <c r="BZ13" s="747"/>
      <c r="CA13" s="747"/>
      <c r="CB13" s="747"/>
      <c r="CC13" s="747"/>
      <c r="CD13" s="747"/>
      <c r="CE13" s="747"/>
      <c r="CF13" s="747"/>
      <c r="CG13" s="747"/>
      <c r="CH13" s="747"/>
      <c r="CI13" s="747"/>
      <c r="CJ13" s="747"/>
      <c r="CK13" s="747"/>
      <c r="CL13" s="747"/>
      <c r="CM13" s="747"/>
      <c r="CN13" s="747"/>
      <c r="CO13" s="747"/>
      <c r="CP13" s="747"/>
      <c r="CQ13" s="747"/>
      <c r="CR13" s="747"/>
      <c r="CS13" s="747"/>
      <c r="CT13" s="747"/>
      <c r="CU13" s="747"/>
      <c r="CV13" s="747"/>
      <c r="CW13" s="747"/>
      <c r="CX13" s="747"/>
      <c r="CY13" s="747"/>
      <c r="CZ13" s="747"/>
      <c r="DA13" s="747"/>
      <c r="DB13" s="747"/>
      <c r="DC13" s="747"/>
      <c r="DD13" s="747"/>
      <c r="DE13" s="747"/>
      <c r="DF13" s="747"/>
      <c r="DG13" s="747"/>
      <c r="DH13" s="747"/>
      <c r="DI13" s="747"/>
      <c r="DJ13" s="747"/>
      <c r="DK13" s="747"/>
      <c r="DL13" s="747"/>
      <c r="DM13" s="747"/>
      <c r="DN13" s="747"/>
      <c r="DO13" s="747"/>
      <c r="DP13" s="747"/>
      <c r="DQ13" s="747"/>
      <c r="DR13" s="747"/>
      <c r="DS13" s="747"/>
      <c r="DT13" s="747"/>
      <c r="DU13" s="747"/>
      <c r="DV13" s="747"/>
      <c r="DW13" s="747"/>
      <c r="DX13" s="747"/>
      <c r="DY13" s="747"/>
      <c r="DZ13" s="747"/>
      <c r="EA13" s="747"/>
      <c r="EB13" s="747"/>
      <c r="EC13" s="747"/>
      <c r="ED13" s="747"/>
      <c r="EE13" s="747"/>
      <c r="EF13" s="747"/>
      <c r="EG13" s="747"/>
      <c r="EH13" s="747"/>
      <c r="EI13" s="747"/>
      <c r="EJ13" s="747"/>
      <c r="EK13" s="747"/>
      <c r="EL13" s="747"/>
      <c r="EM13" s="747"/>
      <c r="EN13" s="747"/>
      <c r="EO13" s="747"/>
      <c r="EP13" s="747"/>
      <c r="EQ13" s="747"/>
      <c r="ER13" s="747"/>
      <c r="ES13" s="747"/>
      <c r="ET13" s="747"/>
      <c r="EU13" s="747"/>
      <c r="EV13" s="747"/>
      <c r="EW13" s="747"/>
      <c r="EX13" s="747"/>
      <c r="EY13" s="747"/>
      <c r="EZ13" s="747"/>
      <c r="FA13" s="747"/>
      <c r="FB13" s="747"/>
      <c r="FC13" s="747"/>
      <c r="FD13" s="747"/>
      <c r="FE13" s="747"/>
      <c r="FF13" s="747"/>
      <c r="FG13" s="747"/>
      <c r="FH13" s="747"/>
      <c r="FI13" s="747"/>
      <c r="FJ13" s="747"/>
      <c r="FK13" s="747"/>
      <c r="FL13" s="747"/>
      <c r="FM13" s="747"/>
      <c r="FN13" s="747"/>
      <c r="FO13" s="747"/>
      <c r="FP13" s="747"/>
      <c r="FQ13" s="747"/>
      <c r="FR13" s="747"/>
      <c r="FS13" s="747"/>
      <c r="FT13" s="747"/>
      <c r="FU13" s="747"/>
      <c r="FV13" s="747"/>
      <c r="FW13" s="747"/>
      <c r="FX13" s="747"/>
      <c r="FY13" s="747"/>
      <c r="FZ13" s="747"/>
      <c r="GA13" s="747"/>
      <c r="GB13" s="747"/>
      <c r="GC13" s="747"/>
      <c r="GD13" s="747"/>
      <c r="GE13" s="747"/>
      <c r="GF13" s="747"/>
      <c r="GG13" s="747"/>
      <c r="GH13" s="747"/>
      <c r="GI13" s="747"/>
      <c r="GJ13" s="747"/>
    </row>
    <row r="14" spans="1:192" s="736" customFormat="1" ht="17.25" customHeight="1">
      <c r="A14" s="767"/>
      <c r="B14" s="768" t="s">
        <v>698</v>
      </c>
      <c r="C14" s="777">
        <f t="shared" ca="1" si="56"/>
        <v>22782.496488224773</v>
      </c>
      <c r="D14" s="761">
        <f ca="1">SUM(D15,D21)</f>
        <v>0</v>
      </c>
      <c r="E14" s="770">
        <f ca="1">SUM(E15,E21)</f>
        <v>0</v>
      </c>
      <c r="F14" s="770">
        <f t="shared" ref="F14:BF14" ca="1" si="57">SUM(F15,F21)</f>
        <v>0</v>
      </c>
      <c r="G14" s="770">
        <f t="shared" ca="1" si="57"/>
        <v>0</v>
      </c>
      <c r="H14" s="771">
        <f t="shared" ca="1" si="57"/>
        <v>0</v>
      </c>
      <c r="I14" s="761">
        <f t="shared" ca="1" si="57"/>
        <v>4687.9093358979771</v>
      </c>
      <c r="J14" s="828">
        <f t="shared" ca="1" si="57"/>
        <v>0</v>
      </c>
      <c r="K14" s="770">
        <f t="shared" ca="1" si="57"/>
        <v>1416.1126936323667</v>
      </c>
      <c r="L14" s="770">
        <f t="shared" ca="1" si="57"/>
        <v>2039.0484513776612</v>
      </c>
      <c r="M14" s="770">
        <f t="shared" ca="1" si="57"/>
        <v>1232.748190887949</v>
      </c>
      <c r="N14" s="761">
        <f t="shared" ca="1" si="57"/>
        <v>17894.22125171575</v>
      </c>
      <c r="O14" s="828">
        <f t="shared" ca="1" si="57"/>
        <v>8303.7675237707481</v>
      </c>
      <c r="P14" s="770">
        <f t="shared" ca="1" si="57"/>
        <v>404.49943167467774</v>
      </c>
      <c r="Q14" s="770">
        <f t="shared" ca="1" si="57"/>
        <v>220.65596596818509</v>
      </c>
      <c r="R14" s="770">
        <f t="shared" ca="1" si="57"/>
        <v>8965.2983303021392</v>
      </c>
      <c r="S14" s="761">
        <f t="shared" ca="1" si="57"/>
        <v>200.3659006110471</v>
      </c>
      <c r="T14" s="828">
        <f t="shared" ca="1" si="57"/>
        <v>200.3659006110471</v>
      </c>
      <c r="U14" s="770">
        <f t="shared" ca="1" si="57"/>
        <v>0</v>
      </c>
      <c r="V14" s="770">
        <f t="shared" ca="1" si="57"/>
        <v>0</v>
      </c>
      <c r="W14" s="770">
        <f t="shared" ca="1" si="57"/>
        <v>0</v>
      </c>
      <c r="X14" s="761">
        <f t="shared" ca="1" si="57"/>
        <v>0</v>
      </c>
      <c r="Y14" s="828">
        <f t="shared" ca="1" si="57"/>
        <v>0</v>
      </c>
      <c r="Z14" s="770">
        <f t="shared" ca="1" si="57"/>
        <v>0</v>
      </c>
      <c r="AA14" s="770">
        <f t="shared" ca="1" si="57"/>
        <v>0</v>
      </c>
      <c r="AB14" s="770">
        <f t="shared" ca="1" si="57"/>
        <v>0</v>
      </c>
      <c r="AC14" s="761">
        <f t="shared" ca="1" si="57"/>
        <v>0</v>
      </c>
      <c r="AD14" s="828">
        <f t="shared" ca="1" si="57"/>
        <v>0</v>
      </c>
      <c r="AE14" s="770">
        <f t="shared" ca="1" si="57"/>
        <v>0</v>
      </c>
      <c r="AF14" s="770">
        <f t="shared" ca="1" si="57"/>
        <v>0</v>
      </c>
      <c r="AG14" s="770">
        <f t="shared" ca="1" si="57"/>
        <v>0</v>
      </c>
      <c r="AH14" s="761">
        <f t="shared" ca="1" si="57"/>
        <v>0</v>
      </c>
      <c r="AI14" s="828">
        <f t="shared" ca="1" si="57"/>
        <v>0</v>
      </c>
      <c r="AJ14" s="770">
        <f t="shared" ca="1" si="57"/>
        <v>0</v>
      </c>
      <c r="AK14" s="770">
        <f t="shared" ca="1" si="57"/>
        <v>0</v>
      </c>
      <c r="AL14" s="770">
        <f t="shared" ca="1" si="57"/>
        <v>0</v>
      </c>
      <c r="AM14" s="761">
        <f t="shared" ca="1" si="57"/>
        <v>0</v>
      </c>
      <c r="AN14" s="828">
        <f t="shared" ca="1" si="57"/>
        <v>0</v>
      </c>
      <c r="AO14" s="770">
        <f t="shared" ca="1" si="57"/>
        <v>0</v>
      </c>
      <c r="AP14" s="770">
        <f t="shared" ca="1" si="57"/>
        <v>0</v>
      </c>
      <c r="AQ14" s="770">
        <f t="shared" ca="1" si="57"/>
        <v>0</v>
      </c>
      <c r="AR14" s="761">
        <f t="shared" ca="1" si="57"/>
        <v>0</v>
      </c>
      <c r="AS14" s="828">
        <f t="shared" ca="1" si="57"/>
        <v>0</v>
      </c>
      <c r="AT14" s="770">
        <f t="shared" ca="1" si="57"/>
        <v>0</v>
      </c>
      <c r="AU14" s="770">
        <f t="shared" ca="1" si="57"/>
        <v>0</v>
      </c>
      <c r="AV14" s="770">
        <f t="shared" ca="1" si="57"/>
        <v>0</v>
      </c>
      <c r="AW14" s="761">
        <f t="shared" ca="1" si="57"/>
        <v>0</v>
      </c>
      <c r="AX14" s="828">
        <f t="shared" ca="1" si="57"/>
        <v>0</v>
      </c>
      <c r="AY14" s="770">
        <f t="shared" ca="1" si="57"/>
        <v>0</v>
      </c>
      <c r="AZ14" s="770">
        <f t="shared" ca="1" si="57"/>
        <v>0</v>
      </c>
      <c r="BA14" s="770">
        <f t="shared" ca="1" si="57"/>
        <v>0</v>
      </c>
      <c r="BB14" s="761">
        <f t="shared" ca="1" si="57"/>
        <v>0</v>
      </c>
      <c r="BC14" s="828">
        <f t="shared" ca="1" si="57"/>
        <v>0</v>
      </c>
      <c r="BD14" s="770">
        <f t="shared" ca="1" si="57"/>
        <v>0</v>
      </c>
      <c r="BE14" s="770">
        <f t="shared" ca="1" si="57"/>
        <v>0</v>
      </c>
      <c r="BF14" s="844">
        <f t="shared" ca="1" si="57"/>
        <v>0</v>
      </c>
      <c r="BG14" s="839"/>
      <c r="BH14" s="839"/>
      <c r="BI14" s="839"/>
      <c r="BJ14" s="839"/>
      <c r="BK14" s="839"/>
      <c r="BL14" s="839"/>
      <c r="BM14" s="839"/>
      <c r="BN14" s="839"/>
      <c r="BO14" s="839"/>
      <c r="BP14" s="839"/>
      <c r="BQ14" s="839"/>
      <c r="BR14" s="839"/>
      <c r="BS14" s="839"/>
      <c r="BT14" s="839"/>
      <c r="BU14" s="839"/>
      <c r="BV14" s="839"/>
      <c r="BW14" s="839"/>
      <c r="BX14" s="839"/>
      <c r="BY14" s="839"/>
      <c r="BZ14" s="839"/>
      <c r="CA14" s="839"/>
      <c r="CB14" s="839"/>
      <c r="CC14" s="839"/>
      <c r="CD14" s="839"/>
      <c r="CE14" s="839"/>
      <c r="CF14" s="839"/>
      <c r="CG14" s="839"/>
      <c r="CH14" s="839"/>
      <c r="CI14" s="839"/>
      <c r="CJ14" s="839"/>
      <c r="CK14" s="839"/>
      <c r="CL14" s="839"/>
      <c r="CM14" s="839"/>
      <c r="CN14" s="839"/>
      <c r="CO14" s="839"/>
      <c r="CP14" s="839"/>
      <c r="CQ14" s="839"/>
      <c r="CR14" s="839"/>
      <c r="CS14" s="839"/>
      <c r="CT14" s="839"/>
      <c r="CU14" s="839"/>
      <c r="CV14" s="839"/>
      <c r="CW14" s="839"/>
      <c r="CX14" s="839"/>
      <c r="CY14" s="839"/>
      <c r="CZ14" s="839"/>
      <c r="DA14" s="839"/>
      <c r="DB14" s="839"/>
      <c r="DC14" s="839"/>
      <c r="DD14" s="839"/>
      <c r="DE14" s="839"/>
      <c r="DF14" s="839"/>
      <c r="DG14" s="839"/>
      <c r="DH14" s="839"/>
      <c r="DI14" s="839"/>
      <c r="DJ14" s="839"/>
      <c r="DK14" s="839"/>
      <c r="DL14" s="839"/>
      <c r="DM14" s="839"/>
      <c r="DN14" s="839"/>
      <c r="DO14" s="839"/>
      <c r="DP14" s="839"/>
      <c r="DQ14" s="839"/>
      <c r="DR14" s="839"/>
      <c r="DS14" s="839"/>
      <c r="DT14" s="839"/>
      <c r="DU14" s="839"/>
      <c r="DV14" s="839"/>
      <c r="DW14" s="839"/>
      <c r="DX14" s="839"/>
      <c r="DY14" s="839"/>
      <c r="DZ14" s="839"/>
      <c r="EA14" s="839"/>
      <c r="EB14" s="839"/>
      <c r="EC14" s="839"/>
      <c r="ED14" s="839"/>
      <c r="EE14" s="839"/>
      <c r="EF14" s="839"/>
      <c r="EG14" s="839"/>
      <c r="EH14" s="839"/>
      <c r="EI14" s="839"/>
      <c r="EJ14" s="839"/>
      <c r="EK14" s="839"/>
      <c r="EL14" s="839"/>
      <c r="EM14" s="839"/>
      <c r="EN14" s="839"/>
      <c r="EO14" s="839"/>
      <c r="EP14" s="839"/>
      <c r="EQ14" s="839"/>
      <c r="ER14" s="839"/>
      <c r="ES14" s="839"/>
      <c r="ET14" s="839"/>
      <c r="EU14" s="839"/>
      <c r="EV14" s="839"/>
      <c r="EW14" s="839"/>
      <c r="EX14" s="839"/>
      <c r="EY14" s="839"/>
      <c r="EZ14" s="839"/>
      <c r="FA14" s="839"/>
      <c r="FB14" s="839"/>
      <c r="FC14" s="839"/>
      <c r="FD14" s="839"/>
      <c r="FE14" s="839"/>
      <c r="FF14" s="839"/>
      <c r="FG14" s="839"/>
      <c r="FH14" s="839"/>
      <c r="FI14" s="839"/>
      <c r="FJ14" s="839"/>
      <c r="FK14" s="839"/>
      <c r="FL14" s="839"/>
      <c r="FM14" s="839"/>
      <c r="FN14" s="839"/>
      <c r="FO14" s="839"/>
      <c r="FP14" s="839"/>
      <c r="FQ14" s="839"/>
      <c r="FR14" s="839"/>
      <c r="FS14" s="839"/>
      <c r="FT14" s="839"/>
      <c r="FU14" s="839"/>
      <c r="FV14" s="839"/>
      <c r="FW14" s="839"/>
      <c r="FX14" s="839"/>
      <c r="FY14" s="839"/>
      <c r="FZ14" s="839"/>
      <c r="GA14" s="839"/>
      <c r="GB14" s="839"/>
      <c r="GC14" s="839"/>
      <c r="GD14" s="839"/>
      <c r="GE14" s="839"/>
      <c r="GF14" s="839"/>
      <c r="GG14" s="839"/>
      <c r="GH14" s="839"/>
      <c r="GI14" s="839"/>
      <c r="GJ14" s="839"/>
    </row>
    <row r="15" spans="1:192" s="736" customFormat="1" ht="17.25" customHeight="1" outlineLevel="1">
      <c r="A15" s="767"/>
      <c r="B15" s="778" t="s">
        <v>699</v>
      </c>
      <c r="C15" s="779">
        <f t="shared" ref="C15:M15" ca="1" si="58">SUM(C16:C20)</f>
        <v>12036.872815846777</v>
      </c>
      <c r="D15" s="780">
        <f t="shared" ca="1" si="58"/>
        <v>0</v>
      </c>
      <c r="E15" s="781">
        <f t="shared" ca="1" si="58"/>
        <v>0</v>
      </c>
      <c r="F15" s="781">
        <f t="shared" ca="1" si="58"/>
        <v>0</v>
      </c>
      <c r="G15" s="781">
        <f t="shared" ca="1" si="58"/>
        <v>0</v>
      </c>
      <c r="H15" s="782">
        <f t="shared" ca="1" si="58"/>
        <v>0</v>
      </c>
      <c r="I15" s="780">
        <f t="shared" ca="1" si="58"/>
        <v>4687.9093358979771</v>
      </c>
      <c r="J15" s="830">
        <f t="shared" ca="1" si="58"/>
        <v>0</v>
      </c>
      <c r="K15" s="781">
        <f t="shared" ca="1" si="58"/>
        <v>1416.1126936323667</v>
      </c>
      <c r="L15" s="781">
        <f t="shared" ca="1" si="58"/>
        <v>2039.0484513776612</v>
      </c>
      <c r="M15" s="781">
        <f t="shared" ca="1" si="58"/>
        <v>1232.748190887949</v>
      </c>
      <c r="N15" s="780">
        <f t="shared" ref="N15:N27" ca="1" si="59">SUM(O15:R15)</f>
        <v>7185.1596277954022</v>
      </c>
      <c r="O15" s="830">
        <f t="shared" ref="O15:R15" ca="1" si="60">SUM(O16:O20)</f>
        <v>670.78202728761084</v>
      </c>
      <c r="P15" s="781">
        <f t="shared" ca="1" si="60"/>
        <v>404.49943167467774</v>
      </c>
      <c r="Q15" s="781">
        <f t="shared" ca="1" si="60"/>
        <v>220.65596596818509</v>
      </c>
      <c r="R15" s="781">
        <f t="shared" ca="1" si="60"/>
        <v>5889.2222028649285</v>
      </c>
      <c r="S15" s="780">
        <f t="shared" ref="S15:S27" ca="1" si="61">SUM(T15:W15)</f>
        <v>163.80385215339686</v>
      </c>
      <c r="T15" s="830">
        <f t="shared" ref="T15:W15" ca="1" si="62">SUM(T16:T20)</f>
        <v>163.80385215339686</v>
      </c>
      <c r="U15" s="781">
        <f t="shared" ca="1" si="62"/>
        <v>0</v>
      </c>
      <c r="V15" s="781">
        <f t="shared" ca="1" si="62"/>
        <v>0</v>
      </c>
      <c r="W15" s="781">
        <f t="shared" ca="1" si="62"/>
        <v>0</v>
      </c>
      <c r="X15" s="780">
        <f t="shared" ref="X15:X27" ca="1" si="63">SUM(Y15:AB15)</f>
        <v>0</v>
      </c>
      <c r="Y15" s="830">
        <f t="shared" ref="Y15:AB15" ca="1" si="64">SUM(Y16:Y20)</f>
        <v>0</v>
      </c>
      <c r="Z15" s="781">
        <f t="shared" ca="1" si="64"/>
        <v>0</v>
      </c>
      <c r="AA15" s="781">
        <f t="shared" ca="1" si="64"/>
        <v>0</v>
      </c>
      <c r="AB15" s="781">
        <f t="shared" ca="1" si="64"/>
        <v>0</v>
      </c>
      <c r="AC15" s="780">
        <f t="shared" ref="AC15:AC27" ca="1" si="65">SUM(AD15:AG15)</f>
        <v>0</v>
      </c>
      <c r="AD15" s="830">
        <f t="shared" ref="AD15:AG15" ca="1" si="66">SUM(AD16:AD20)</f>
        <v>0</v>
      </c>
      <c r="AE15" s="781">
        <f t="shared" ca="1" si="66"/>
        <v>0</v>
      </c>
      <c r="AF15" s="781">
        <f t="shared" ca="1" si="66"/>
        <v>0</v>
      </c>
      <c r="AG15" s="781">
        <f t="shared" ca="1" si="66"/>
        <v>0</v>
      </c>
      <c r="AH15" s="780">
        <f t="shared" ref="AH15:AH27" ca="1" si="67">SUM(AI15:AL15)</f>
        <v>0</v>
      </c>
      <c r="AI15" s="830">
        <f t="shared" ref="AI15:AL15" ca="1" si="68">SUM(AI16:AI20)</f>
        <v>0</v>
      </c>
      <c r="AJ15" s="781">
        <f t="shared" ca="1" si="68"/>
        <v>0</v>
      </c>
      <c r="AK15" s="781">
        <f t="shared" ca="1" si="68"/>
        <v>0</v>
      </c>
      <c r="AL15" s="781">
        <f t="shared" ca="1" si="68"/>
        <v>0</v>
      </c>
      <c r="AM15" s="780">
        <f t="shared" ref="AM15:AM27" ca="1" si="69">SUM(AN15:AQ15)</f>
        <v>0</v>
      </c>
      <c r="AN15" s="830">
        <f t="shared" ref="AN15:AQ15" ca="1" si="70">SUM(AN16:AN20)</f>
        <v>0</v>
      </c>
      <c r="AO15" s="781">
        <f t="shared" ca="1" si="70"/>
        <v>0</v>
      </c>
      <c r="AP15" s="781">
        <f t="shared" ca="1" si="70"/>
        <v>0</v>
      </c>
      <c r="AQ15" s="781">
        <f t="shared" ca="1" si="70"/>
        <v>0</v>
      </c>
      <c r="AR15" s="780">
        <f t="shared" ref="AR15:AR27" ca="1" si="71">SUM(AS15:AV15)</f>
        <v>0</v>
      </c>
      <c r="AS15" s="830">
        <f t="shared" ref="AS15:AV15" ca="1" si="72">SUM(AS16:AS20)</f>
        <v>0</v>
      </c>
      <c r="AT15" s="781">
        <f t="shared" ca="1" si="72"/>
        <v>0</v>
      </c>
      <c r="AU15" s="781">
        <f t="shared" ca="1" si="72"/>
        <v>0</v>
      </c>
      <c r="AV15" s="781">
        <f t="shared" ca="1" si="72"/>
        <v>0</v>
      </c>
      <c r="AW15" s="780">
        <f t="shared" ref="AW15:AW27" ca="1" si="73">SUM(AX15:BA15)</f>
        <v>0</v>
      </c>
      <c r="AX15" s="830">
        <f t="shared" ref="AX15:BA15" ca="1" si="74">SUM(AX16:AX20)</f>
        <v>0</v>
      </c>
      <c r="AY15" s="781">
        <f t="shared" ca="1" si="74"/>
        <v>0</v>
      </c>
      <c r="AZ15" s="781">
        <f t="shared" ca="1" si="74"/>
        <v>0</v>
      </c>
      <c r="BA15" s="781">
        <f t="shared" ca="1" si="74"/>
        <v>0</v>
      </c>
      <c r="BB15" s="780">
        <f t="shared" ref="BB15:BB27" ca="1" si="75">SUM(BC15:BF15)</f>
        <v>0</v>
      </c>
      <c r="BC15" s="830">
        <f t="shared" ref="BC15:BF15" ca="1" si="76">SUM(BC16:BC20)</f>
        <v>0</v>
      </c>
      <c r="BD15" s="781">
        <f t="shared" ca="1" si="76"/>
        <v>0</v>
      </c>
      <c r="BE15" s="781">
        <f t="shared" ca="1" si="76"/>
        <v>0</v>
      </c>
      <c r="BF15" s="847">
        <f t="shared" ca="1" si="76"/>
        <v>0</v>
      </c>
      <c r="BG15" s="839"/>
      <c r="BH15" s="839"/>
      <c r="BI15" s="839"/>
      <c r="BJ15" s="839"/>
      <c r="BK15" s="839"/>
      <c r="BL15" s="839"/>
      <c r="BM15" s="839"/>
      <c r="BN15" s="839"/>
      <c r="BO15" s="839"/>
      <c r="BP15" s="839"/>
      <c r="BQ15" s="839"/>
      <c r="BR15" s="839"/>
      <c r="BS15" s="839"/>
      <c r="BT15" s="839"/>
      <c r="BU15" s="839"/>
      <c r="BV15" s="839"/>
      <c r="BW15" s="839"/>
      <c r="BX15" s="839"/>
      <c r="BY15" s="839"/>
      <c r="BZ15" s="839"/>
      <c r="CA15" s="839"/>
      <c r="CB15" s="839"/>
      <c r="CC15" s="839"/>
      <c r="CD15" s="839"/>
      <c r="CE15" s="839"/>
      <c r="CF15" s="839"/>
      <c r="CG15" s="839"/>
      <c r="CH15" s="839"/>
      <c r="CI15" s="839"/>
      <c r="CJ15" s="839"/>
      <c r="CK15" s="839"/>
      <c r="CL15" s="839"/>
      <c r="CM15" s="839"/>
      <c r="CN15" s="839"/>
      <c r="CO15" s="839"/>
      <c r="CP15" s="839"/>
      <c r="CQ15" s="839"/>
      <c r="CR15" s="839"/>
      <c r="CS15" s="839"/>
      <c r="CT15" s="839"/>
      <c r="CU15" s="839"/>
      <c r="CV15" s="839"/>
      <c r="CW15" s="839"/>
      <c r="CX15" s="839"/>
      <c r="CY15" s="839"/>
      <c r="CZ15" s="839"/>
      <c r="DA15" s="839"/>
      <c r="DB15" s="839"/>
      <c r="DC15" s="839"/>
      <c r="DD15" s="839"/>
      <c r="DE15" s="839"/>
      <c r="DF15" s="839"/>
      <c r="DG15" s="839"/>
      <c r="DH15" s="839"/>
      <c r="DI15" s="839"/>
      <c r="DJ15" s="839"/>
      <c r="DK15" s="839"/>
      <c r="DL15" s="839"/>
      <c r="DM15" s="839"/>
      <c r="DN15" s="839"/>
      <c r="DO15" s="839"/>
      <c r="DP15" s="839"/>
      <c r="DQ15" s="839"/>
      <c r="DR15" s="839"/>
      <c r="DS15" s="839"/>
      <c r="DT15" s="839"/>
      <c r="DU15" s="839"/>
      <c r="DV15" s="839"/>
      <c r="DW15" s="839"/>
      <c r="DX15" s="839"/>
      <c r="DY15" s="839"/>
      <c r="DZ15" s="839"/>
      <c r="EA15" s="839"/>
      <c r="EB15" s="839"/>
      <c r="EC15" s="839"/>
      <c r="ED15" s="839"/>
      <c r="EE15" s="839"/>
      <c r="EF15" s="839"/>
      <c r="EG15" s="839"/>
      <c r="EH15" s="839"/>
      <c r="EI15" s="839"/>
      <c r="EJ15" s="839"/>
      <c r="EK15" s="839"/>
      <c r="EL15" s="839"/>
      <c r="EM15" s="839"/>
      <c r="EN15" s="839"/>
      <c r="EO15" s="839"/>
      <c r="EP15" s="839"/>
      <c r="EQ15" s="839"/>
      <c r="ER15" s="839"/>
      <c r="ES15" s="839"/>
      <c r="ET15" s="839"/>
      <c r="EU15" s="839"/>
      <c r="EV15" s="839"/>
      <c r="EW15" s="839"/>
      <c r="EX15" s="839"/>
      <c r="EY15" s="839"/>
      <c r="EZ15" s="839"/>
      <c r="FA15" s="839"/>
      <c r="FB15" s="839"/>
      <c r="FC15" s="839"/>
      <c r="FD15" s="839"/>
      <c r="FE15" s="839"/>
      <c r="FF15" s="839"/>
      <c r="FG15" s="839"/>
      <c r="FH15" s="839"/>
      <c r="FI15" s="839"/>
      <c r="FJ15" s="839"/>
      <c r="FK15" s="839"/>
      <c r="FL15" s="839"/>
      <c r="FM15" s="839"/>
      <c r="FN15" s="839"/>
      <c r="FO15" s="839"/>
      <c r="FP15" s="839"/>
      <c r="FQ15" s="839"/>
      <c r="FR15" s="839"/>
      <c r="FS15" s="839"/>
      <c r="FT15" s="839"/>
      <c r="FU15" s="839"/>
      <c r="FV15" s="839"/>
      <c r="FW15" s="839"/>
      <c r="FX15" s="839"/>
      <c r="FY15" s="839"/>
      <c r="FZ15" s="839"/>
      <c r="GA15" s="839"/>
      <c r="GB15" s="839"/>
      <c r="GC15" s="839"/>
      <c r="GD15" s="839"/>
      <c r="GE15" s="839"/>
      <c r="GF15" s="839"/>
      <c r="GG15" s="839"/>
      <c r="GH15" s="839"/>
      <c r="GI15" s="839"/>
      <c r="GJ15" s="839"/>
    </row>
    <row r="16" spans="1:192" s="739" customFormat="1" ht="17.25" customHeight="1" outlineLevel="2">
      <c r="A16" s="758"/>
      <c r="B16" s="783" t="s">
        <v>700</v>
      </c>
      <c r="C16" s="773">
        <f t="shared" ref="C16:C27" si="77">SUM(D16,I16,N16,S16,X16,AC16,AH16,AM16,AR16,AW16,BB16)</f>
        <v>3017.7958487999999</v>
      </c>
      <c r="D16" s="761">
        <f t="shared" ref="D16:D20" si="78">SUM(E16:H16)</f>
        <v>0</v>
      </c>
      <c r="E16" s="773">
        <f>'14.增值税计算表'!E13*(1+'2.税率表'!$D$13+'2.税率表'!$D$14+'2.税率表'!$D$17)</f>
        <v>0</v>
      </c>
      <c r="F16" s="773">
        <f>'14.增值税计算表'!F13*(1+'2.税率表'!$D$13+'2.税率表'!$D$14+'2.税率表'!$D$17)</f>
        <v>0</v>
      </c>
      <c r="G16" s="773">
        <f>'14.增值税计算表'!G13*(1+'2.税率表'!$D$13+'2.税率表'!$D$14+'2.税率表'!$D$17)</f>
        <v>0</v>
      </c>
      <c r="H16" s="774">
        <f>'14.增值税计算表'!H13*(1+'2.税率表'!$D$13+'2.税率表'!$D$14+'2.税率表'!$D$17)</f>
        <v>0</v>
      </c>
      <c r="I16" s="761">
        <f t="shared" ref="I16:I20" si="79">SUM(J16:M16)</f>
        <v>2083.681908</v>
      </c>
      <c r="J16" s="831">
        <f>'14.增值税计算表'!I13*(1+'2.税率表'!$D$13+'2.税率表'!$D$14+'2.税率表'!$D$17)</f>
        <v>0</v>
      </c>
      <c r="K16" s="775">
        <f>'14.增值税计算表'!J13*(1+'2.税率表'!$D$13+'2.税率表'!$D$14+'2.税率表'!$D$17)</f>
        <v>618.50250000000005</v>
      </c>
      <c r="L16" s="775">
        <f>'14.增值税计算表'!K13*(1+'2.税率表'!$D$13+'2.税率表'!$D$14+'2.税率表'!$D$17)</f>
        <v>908.31509999999992</v>
      </c>
      <c r="M16" s="775">
        <f>'14.增值税计算表'!L13*(1+'2.税率表'!$D$13+'2.税率表'!$D$14+'2.税率表'!$D$17)</f>
        <v>556.86430800000005</v>
      </c>
      <c r="N16" s="761">
        <f t="shared" si="59"/>
        <v>898.66594080000004</v>
      </c>
      <c r="O16" s="831">
        <f>'14.增值税计算表'!M13*(1+'2.税率表'!$D$13+'2.税率表'!$D$14+'2.税率表'!$D$17)</f>
        <v>407.32221816000003</v>
      </c>
      <c r="P16" s="775">
        <f>'14.增值税计算表'!N13*(1+'2.税率表'!$D$13+'2.税率表'!$D$14+'2.税率表'!$D$17)</f>
        <v>269.68452264000001</v>
      </c>
      <c r="Q16" s="775">
        <f>'14.增值税计算表'!O13*(1+'2.税率表'!$D$13+'2.税率表'!$D$14+'2.税率表'!$D$17)</f>
        <v>152.76240000000001</v>
      </c>
      <c r="R16" s="775">
        <f>'14.增值税计算表'!P13*(1+'2.税率表'!$D$13+'2.税率表'!$D$14+'2.税率表'!$D$17)</f>
        <v>68.896800000000013</v>
      </c>
      <c r="S16" s="761">
        <f t="shared" si="61"/>
        <v>35.447999999999993</v>
      </c>
      <c r="T16" s="831">
        <f>'14.增值税计算表'!Q13*(1+'2.税率表'!$D$13+'2.税率表'!$D$14+'2.税率表'!$D$17)</f>
        <v>35.447999999999993</v>
      </c>
      <c r="U16" s="775">
        <f>'14.增值税计算表'!R13*(1+'2.税率表'!$D$13+'2.税率表'!$D$14+'2.税率表'!$D$17)</f>
        <v>0</v>
      </c>
      <c r="V16" s="775">
        <f>'14.增值税计算表'!S13*(1+'2.税率表'!$D$13+'2.税率表'!$D$14+'2.税率表'!$D$17)</f>
        <v>0</v>
      </c>
      <c r="W16" s="775">
        <f>'14.增值税计算表'!T13*(1+'2.税率表'!$D$13+'2.税率表'!$D$14+'2.税率表'!$D$17)</f>
        <v>0</v>
      </c>
      <c r="X16" s="761">
        <f t="shared" si="63"/>
        <v>0</v>
      </c>
      <c r="Y16" s="831">
        <f>'14.增值税计算表'!U13*(1+'2.税率表'!$D$13+'2.税率表'!$D$14+'2.税率表'!$D$17)</f>
        <v>0</v>
      </c>
      <c r="Z16" s="775">
        <f>'14.增值税计算表'!V13*(1+'2.税率表'!$D$13+'2.税率表'!$D$14+'2.税率表'!$D$17)</f>
        <v>0</v>
      </c>
      <c r="AA16" s="775">
        <f>'14.增值税计算表'!W13*(1+'2.税率表'!$D$13+'2.税率表'!$D$14+'2.税率表'!$D$17)</f>
        <v>0</v>
      </c>
      <c r="AB16" s="775">
        <f>'14.增值税计算表'!X13*(1+'2.税率表'!$D$13+'2.税率表'!$D$14+'2.税率表'!$D$17)</f>
        <v>0</v>
      </c>
      <c r="AC16" s="761">
        <f t="shared" si="65"/>
        <v>0</v>
      </c>
      <c r="AD16" s="831">
        <f>'14.增值税计算表'!Y13*(1+'2.税率表'!$D$13+'2.税率表'!$D$14+'2.税率表'!$D$17)</f>
        <v>0</v>
      </c>
      <c r="AE16" s="775">
        <f>'14.增值税计算表'!Z13*(1+'2.税率表'!$D$13+'2.税率表'!$D$14+'2.税率表'!$D$17)</f>
        <v>0</v>
      </c>
      <c r="AF16" s="775">
        <f>'14.增值税计算表'!AA13*(1+'2.税率表'!$D$13+'2.税率表'!$D$14+'2.税率表'!$D$17)</f>
        <v>0</v>
      </c>
      <c r="AG16" s="775">
        <f>'14.增值税计算表'!AB13*(1+'2.税率表'!$D$13+'2.税率表'!$D$14+'2.税率表'!$D$17)</f>
        <v>0</v>
      </c>
      <c r="AH16" s="761">
        <f t="shared" si="67"/>
        <v>0</v>
      </c>
      <c r="AI16" s="831">
        <f>'14.增值税计算表'!AC13*(1+'2.税率表'!$D$13+'2.税率表'!$D$14+'2.税率表'!$D$17)</f>
        <v>0</v>
      </c>
      <c r="AJ16" s="775">
        <f>'14.增值税计算表'!AD13*(1+'2.税率表'!$D$13+'2.税率表'!$D$14+'2.税率表'!$D$17)</f>
        <v>0</v>
      </c>
      <c r="AK16" s="775">
        <f>'14.增值税计算表'!AE13*(1+'2.税率表'!$D$13+'2.税率表'!$D$14+'2.税率表'!$D$17)</f>
        <v>0</v>
      </c>
      <c r="AL16" s="775">
        <f>'14.增值税计算表'!AF13*(1+'2.税率表'!$D$13+'2.税率表'!$D$14+'2.税率表'!$D$17)</f>
        <v>0</v>
      </c>
      <c r="AM16" s="761">
        <f t="shared" si="69"/>
        <v>0</v>
      </c>
      <c r="AN16" s="831">
        <f>'14.增值税计算表'!AG13*(1+'2.税率表'!$D$13+'2.税率表'!$D$14+'2.税率表'!$D$17)</f>
        <v>0</v>
      </c>
      <c r="AO16" s="775">
        <f>'14.增值税计算表'!AH13*(1+'2.税率表'!$D$13+'2.税率表'!$D$14+'2.税率表'!$D$17)</f>
        <v>0</v>
      </c>
      <c r="AP16" s="775">
        <f>'14.增值税计算表'!AI13*(1+'2.税率表'!$D$13+'2.税率表'!$D$14+'2.税率表'!$D$17)</f>
        <v>0</v>
      </c>
      <c r="AQ16" s="775">
        <f>'14.增值税计算表'!AJ13*(1+'2.税率表'!$D$13+'2.税率表'!$D$14+'2.税率表'!$D$17)</f>
        <v>0</v>
      </c>
      <c r="AR16" s="761">
        <f t="shared" si="71"/>
        <v>0</v>
      </c>
      <c r="AS16" s="831">
        <f>'14.增值税计算表'!AK13*(1+'2.税率表'!$D$13+'2.税率表'!$D$14+'2.税率表'!$D$17)</f>
        <v>0</v>
      </c>
      <c r="AT16" s="775">
        <f>'14.增值税计算表'!AL13*(1+'2.税率表'!$D$13+'2.税率表'!$D$14+'2.税率表'!$D$17)</f>
        <v>0</v>
      </c>
      <c r="AU16" s="775">
        <f>'14.增值税计算表'!AM13*(1+'2.税率表'!$D$13+'2.税率表'!$D$14+'2.税率表'!$D$17)</f>
        <v>0</v>
      </c>
      <c r="AV16" s="775">
        <f>'14.增值税计算表'!AN13*(1+'2.税率表'!$D$13+'2.税率表'!$D$14+'2.税率表'!$D$17)</f>
        <v>0</v>
      </c>
      <c r="AW16" s="761">
        <f t="shared" si="73"/>
        <v>0</v>
      </c>
      <c r="AX16" s="831">
        <f>'14.增值税计算表'!AO13*(1+'2.税率表'!$D$13+'2.税率表'!$D$14+'2.税率表'!$D$17)</f>
        <v>0</v>
      </c>
      <c r="AY16" s="775">
        <f>'14.增值税计算表'!AP13*(1+'2.税率表'!$D$13+'2.税率表'!$D$14+'2.税率表'!$D$17)</f>
        <v>0</v>
      </c>
      <c r="AZ16" s="775">
        <f>'14.增值税计算表'!AQ13*(1+'2.税率表'!$D$13+'2.税率表'!$D$14+'2.税率表'!$D$17)</f>
        <v>0</v>
      </c>
      <c r="BA16" s="775">
        <f>'14.增值税计算表'!AR13*(1+'2.税率表'!$D$13+'2.税率表'!$D$14+'2.税率表'!$D$17)</f>
        <v>0</v>
      </c>
      <c r="BB16" s="761">
        <f t="shared" si="75"/>
        <v>0</v>
      </c>
      <c r="BC16" s="831">
        <f>'14.增值税计算表'!AS13*(1+'2.税率表'!$D$13+'2.税率表'!$D$14+'2.税率表'!$D$17)</f>
        <v>0</v>
      </c>
      <c r="BD16" s="775">
        <f>'14.增值税计算表'!AT13*(1+'2.税率表'!$D$13+'2.税率表'!$D$14+'2.税率表'!$D$17)</f>
        <v>0</v>
      </c>
      <c r="BE16" s="775">
        <f>'14.增值税计算表'!AU13*(1+'2.税率表'!$D$13+'2.税率表'!$D$14+'2.税率表'!$D$17)</f>
        <v>0</v>
      </c>
      <c r="BF16" s="846">
        <f>'14.增值税计算表'!AV13*(1+'2.税率表'!$D$13+'2.税率表'!$D$14+'2.税率表'!$D$17)</f>
        <v>0</v>
      </c>
      <c r="BG16" s="784"/>
      <c r="BH16" s="784"/>
      <c r="BI16" s="784"/>
      <c r="BJ16" s="784"/>
      <c r="BK16" s="784"/>
      <c r="BL16" s="784"/>
      <c r="BM16" s="784"/>
      <c r="BN16" s="784"/>
      <c r="BO16" s="784"/>
      <c r="BP16" s="784"/>
      <c r="BQ16" s="784"/>
      <c r="BR16" s="784"/>
      <c r="BS16" s="784"/>
      <c r="BT16" s="784"/>
      <c r="BU16" s="784"/>
      <c r="BV16" s="784"/>
      <c r="BW16" s="784"/>
      <c r="BX16" s="784"/>
      <c r="BY16" s="784"/>
      <c r="BZ16" s="784"/>
      <c r="CA16" s="784"/>
      <c r="CB16" s="784"/>
      <c r="CC16" s="784"/>
      <c r="CD16" s="784"/>
      <c r="CE16" s="784"/>
      <c r="CF16" s="784"/>
      <c r="CG16" s="784"/>
      <c r="CH16" s="784"/>
      <c r="CI16" s="784"/>
      <c r="CJ16" s="784"/>
      <c r="CK16" s="784"/>
      <c r="CL16" s="784"/>
      <c r="CM16" s="784"/>
      <c r="CN16" s="784"/>
      <c r="CO16" s="784"/>
      <c r="CP16" s="784"/>
      <c r="CQ16" s="784"/>
      <c r="CR16" s="784"/>
      <c r="CS16" s="784"/>
      <c r="CT16" s="784"/>
      <c r="CU16" s="784"/>
      <c r="CV16" s="784"/>
      <c r="CW16" s="784"/>
      <c r="CX16" s="784"/>
      <c r="CY16" s="784"/>
      <c r="CZ16" s="784"/>
      <c r="DA16" s="784"/>
      <c r="DB16" s="784"/>
      <c r="DC16" s="784"/>
      <c r="DD16" s="784"/>
      <c r="DE16" s="784"/>
      <c r="DF16" s="784"/>
      <c r="DG16" s="784"/>
      <c r="DH16" s="784"/>
      <c r="DI16" s="784"/>
      <c r="DJ16" s="784"/>
      <c r="DK16" s="784"/>
      <c r="DL16" s="784"/>
      <c r="DM16" s="784"/>
      <c r="DN16" s="784"/>
      <c r="DO16" s="784"/>
      <c r="DP16" s="784"/>
      <c r="DQ16" s="784"/>
      <c r="DR16" s="784"/>
      <c r="DS16" s="784"/>
      <c r="DT16" s="784"/>
      <c r="DU16" s="784"/>
      <c r="DV16" s="784"/>
      <c r="DW16" s="784"/>
      <c r="DX16" s="784"/>
      <c r="DY16" s="784"/>
      <c r="DZ16" s="784"/>
      <c r="EA16" s="784"/>
      <c r="EB16" s="784"/>
      <c r="EC16" s="784"/>
      <c r="ED16" s="784"/>
      <c r="EE16" s="784"/>
      <c r="EF16" s="784"/>
      <c r="EG16" s="784"/>
      <c r="EH16" s="784"/>
      <c r="EI16" s="784"/>
      <c r="EJ16" s="784"/>
      <c r="EK16" s="784"/>
      <c r="EL16" s="784"/>
      <c r="EM16" s="784"/>
      <c r="EN16" s="784"/>
      <c r="EO16" s="784"/>
      <c r="EP16" s="784"/>
      <c r="EQ16" s="784"/>
      <c r="ER16" s="784"/>
      <c r="ES16" s="784"/>
      <c r="ET16" s="784"/>
      <c r="EU16" s="784"/>
      <c r="EV16" s="784"/>
      <c r="EW16" s="784"/>
      <c r="EX16" s="784"/>
      <c r="EY16" s="784"/>
      <c r="EZ16" s="784"/>
      <c r="FA16" s="784"/>
      <c r="FB16" s="784"/>
      <c r="FC16" s="784"/>
      <c r="FD16" s="784"/>
      <c r="FE16" s="784"/>
      <c r="FF16" s="784"/>
      <c r="FG16" s="784"/>
      <c r="FH16" s="784"/>
      <c r="FI16" s="784"/>
      <c r="FJ16" s="784"/>
      <c r="FK16" s="784"/>
      <c r="FL16" s="784"/>
      <c r="FM16" s="784"/>
      <c r="FN16" s="784"/>
      <c r="FO16" s="784"/>
      <c r="FP16" s="784"/>
      <c r="FQ16" s="784"/>
      <c r="FR16" s="784"/>
      <c r="FS16" s="784"/>
      <c r="FT16" s="784"/>
      <c r="FU16" s="784"/>
      <c r="FV16" s="784"/>
      <c r="FW16" s="784"/>
      <c r="FX16" s="784"/>
      <c r="FY16" s="784"/>
      <c r="FZ16" s="784"/>
      <c r="GA16" s="784"/>
      <c r="GB16" s="784"/>
      <c r="GC16" s="784"/>
      <c r="GD16" s="784"/>
      <c r="GE16" s="784"/>
      <c r="GF16" s="784"/>
      <c r="GG16" s="784"/>
      <c r="GH16" s="784"/>
      <c r="GI16" s="784"/>
      <c r="GJ16" s="784"/>
    </row>
    <row r="17" spans="1:192" s="739" customFormat="1" ht="17.25" customHeight="1" outlineLevel="2">
      <c r="A17" s="758"/>
      <c r="B17" s="783" t="s">
        <v>701</v>
      </c>
      <c r="C17" s="773">
        <f t="shared" si="77"/>
        <v>1890.1599083636363</v>
      </c>
      <c r="D17" s="761">
        <f t="shared" si="78"/>
        <v>0</v>
      </c>
      <c r="E17" s="773">
        <f>SUM('15.土地增值税'!D118:D123)</f>
        <v>0</v>
      </c>
      <c r="F17" s="773">
        <f>SUM('15.土地增值税'!E118:E123)</f>
        <v>0</v>
      </c>
      <c r="G17" s="773">
        <f>SUM('15.土地增值税'!F118:F123)</f>
        <v>0</v>
      </c>
      <c r="H17" s="773">
        <f>SUM('15.土地增值税'!G118:G123)</f>
        <v>0</v>
      </c>
      <c r="I17" s="761">
        <f t="shared" si="79"/>
        <v>1380.5686331973031</v>
      </c>
      <c r="J17" s="773">
        <f>SUM('15.土地增值税'!H118:H123)</f>
        <v>0</v>
      </c>
      <c r="K17" s="773">
        <f>SUM('15.土地增值税'!I118:I123)</f>
        <v>553.41650817648906</v>
      </c>
      <c r="L17" s="773">
        <f>SUM('15.土地增值税'!J118:J123)</f>
        <v>575.55316850354859</v>
      </c>
      <c r="M17" s="773">
        <f>SUM('15.土地增值税'!K118:K123)</f>
        <v>251.59895651726555</v>
      </c>
      <c r="N17" s="761">
        <f t="shared" si="59"/>
        <v>487.38884935998931</v>
      </c>
      <c r="O17" s="773">
        <f>SUM('15.土地增值税'!L118:L123)</f>
        <v>256.63093564761084</v>
      </c>
      <c r="P17" s="773">
        <f>SUM('15.土地增值税'!M118:M123)</f>
        <v>131.32050903467777</v>
      </c>
      <c r="Q17" s="773">
        <f>SUM('15.土地增值税'!N118:N123)</f>
        <v>66.133765968185074</v>
      </c>
      <c r="R17" s="773">
        <f>SUM('15.土地增值税'!O118:O123)</f>
        <v>33.303638709515639</v>
      </c>
      <c r="S17" s="761">
        <f t="shared" si="61"/>
        <v>22.202425806343754</v>
      </c>
      <c r="T17" s="773">
        <f>SUM('15.土地增值税'!P118:P123)</f>
        <v>22.202425806343754</v>
      </c>
      <c r="U17" s="773">
        <f>SUM('15.土地增值税'!Q118:Q123)</f>
        <v>0</v>
      </c>
      <c r="V17" s="773">
        <f>SUM('15.土地增值税'!R118:R123)</f>
        <v>0</v>
      </c>
      <c r="W17" s="773">
        <f>SUM('15.土地增值税'!S118:S123)</f>
        <v>0</v>
      </c>
      <c r="X17" s="761">
        <f t="shared" si="63"/>
        <v>0</v>
      </c>
      <c r="Y17" s="773">
        <f>SUM('15.土地增值税'!T118:T123)</f>
        <v>0</v>
      </c>
      <c r="Z17" s="773">
        <f>SUM('15.土地增值税'!U118:U123)</f>
        <v>0</v>
      </c>
      <c r="AA17" s="773">
        <f>SUM('15.土地增值税'!V118:V123)</f>
        <v>0</v>
      </c>
      <c r="AB17" s="773">
        <f>SUM('15.土地增值税'!W118:W123)</f>
        <v>0</v>
      </c>
      <c r="AC17" s="761">
        <f t="shared" si="65"/>
        <v>0</v>
      </c>
      <c r="AD17" s="773">
        <f>SUM('15.土地增值税'!X118:X123)</f>
        <v>0</v>
      </c>
      <c r="AE17" s="773">
        <f>SUM('15.土地增值税'!Y118:Y123)</f>
        <v>0</v>
      </c>
      <c r="AF17" s="773">
        <f>SUM('15.土地增值税'!Z118:Z123)</f>
        <v>0</v>
      </c>
      <c r="AG17" s="773">
        <f>SUM('15.土地增值税'!AA118:AA123)</f>
        <v>0</v>
      </c>
      <c r="AH17" s="761">
        <f t="shared" si="67"/>
        <v>0</v>
      </c>
      <c r="AI17" s="773">
        <f>SUM('15.土地增值税'!AB118:AB123)</f>
        <v>0</v>
      </c>
      <c r="AJ17" s="773">
        <f>SUM('15.土地增值税'!AC118:AC123)</f>
        <v>0</v>
      </c>
      <c r="AK17" s="773">
        <f>SUM('15.土地增值税'!AD118:AD123)</f>
        <v>0</v>
      </c>
      <c r="AL17" s="773">
        <f>SUM('15.土地增值税'!AE118:AE123)</f>
        <v>0</v>
      </c>
      <c r="AM17" s="761">
        <f t="shared" si="69"/>
        <v>0</v>
      </c>
      <c r="AN17" s="773">
        <f>SUM('15.土地增值税'!AF118:AF123)</f>
        <v>0</v>
      </c>
      <c r="AO17" s="773">
        <f>SUM('15.土地增值税'!AG118:AG123)</f>
        <v>0</v>
      </c>
      <c r="AP17" s="773">
        <f>SUM('15.土地增值税'!AH118:AH123)</f>
        <v>0</v>
      </c>
      <c r="AQ17" s="773">
        <f>SUM('15.土地增值税'!AI118:AI123)</f>
        <v>0</v>
      </c>
      <c r="AR17" s="761">
        <f t="shared" si="71"/>
        <v>0</v>
      </c>
      <c r="AS17" s="773">
        <f>SUM('15.土地增值税'!AJ118:AJ123)</f>
        <v>0</v>
      </c>
      <c r="AT17" s="773">
        <f>SUM('15.土地增值税'!AK118:AK123)</f>
        <v>0</v>
      </c>
      <c r="AU17" s="773">
        <f>SUM('15.土地增值税'!AL118:AL123)</f>
        <v>0</v>
      </c>
      <c r="AV17" s="773">
        <f>SUM('15.土地增值税'!AM118:AM123)</f>
        <v>0</v>
      </c>
      <c r="AW17" s="761">
        <f t="shared" si="73"/>
        <v>0</v>
      </c>
      <c r="AX17" s="773">
        <f>SUM('15.土地增值税'!AN118:AN123)</f>
        <v>0</v>
      </c>
      <c r="AY17" s="773">
        <f>SUM('15.土地增值税'!AO118:AO123)</f>
        <v>0</v>
      </c>
      <c r="AZ17" s="773">
        <f>SUM('15.土地增值税'!AP118:AP123)</f>
        <v>0</v>
      </c>
      <c r="BA17" s="773">
        <f>SUM('15.土地增值税'!AQ118:AQ123)</f>
        <v>0</v>
      </c>
      <c r="BB17" s="761">
        <f t="shared" si="75"/>
        <v>0</v>
      </c>
      <c r="BC17" s="773">
        <f>SUM('15.土地增值税'!AR118:AR123)</f>
        <v>0</v>
      </c>
      <c r="BD17" s="773">
        <f>SUM('15.土地增值税'!AS118:AS123)</f>
        <v>0</v>
      </c>
      <c r="BE17" s="773">
        <f>SUM('15.土地增值税'!AT118:AT123)</f>
        <v>0</v>
      </c>
      <c r="BF17" s="845">
        <f>SUM('15.土地增值税'!AU118:AU123)</f>
        <v>0</v>
      </c>
      <c r="BG17" s="784"/>
      <c r="BH17" s="784"/>
      <c r="BI17" s="784"/>
      <c r="BJ17" s="784"/>
      <c r="BK17" s="784"/>
      <c r="BL17" s="784"/>
      <c r="BM17" s="784"/>
      <c r="BN17" s="784"/>
      <c r="BO17" s="784"/>
      <c r="BP17" s="784"/>
      <c r="BQ17" s="784"/>
      <c r="BR17" s="784"/>
      <c r="BS17" s="784"/>
      <c r="BT17" s="784"/>
      <c r="BU17" s="784"/>
      <c r="BV17" s="784"/>
      <c r="BW17" s="784"/>
      <c r="BX17" s="784"/>
      <c r="BY17" s="784"/>
      <c r="BZ17" s="784"/>
      <c r="CA17" s="784"/>
      <c r="CB17" s="784"/>
      <c r="CC17" s="784"/>
      <c r="CD17" s="784"/>
      <c r="CE17" s="784"/>
      <c r="CF17" s="784"/>
      <c r="CG17" s="784"/>
      <c r="CH17" s="784"/>
      <c r="CI17" s="784"/>
      <c r="CJ17" s="784"/>
      <c r="CK17" s="784"/>
      <c r="CL17" s="784"/>
      <c r="CM17" s="784"/>
      <c r="CN17" s="784"/>
      <c r="CO17" s="784"/>
      <c r="CP17" s="784"/>
      <c r="CQ17" s="784"/>
      <c r="CR17" s="784"/>
      <c r="CS17" s="784"/>
      <c r="CT17" s="784"/>
      <c r="CU17" s="784"/>
      <c r="CV17" s="784"/>
      <c r="CW17" s="784"/>
      <c r="CX17" s="784"/>
      <c r="CY17" s="784"/>
      <c r="CZ17" s="784"/>
      <c r="DA17" s="784"/>
      <c r="DB17" s="784"/>
      <c r="DC17" s="784"/>
      <c r="DD17" s="784"/>
      <c r="DE17" s="784"/>
      <c r="DF17" s="784"/>
      <c r="DG17" s="784"/>
      <c r="DH17" s="784"/>
      <c r="DI17" s="784"/>
      <c r="DJ17" s="784"/>
      <c r="DK17" s="784"/>
      <c r="DL17" s="784"/>
      <c r="DM17" s="784"/>
      <c r="DN17" s="784"/>
      <c r="DO17" s="784"/>
      <c r="DP17" s="784"/>
      <c r="DQ17" s="784"/>
      <c r="DR17" s="784"/>
      <c r="DS17" s="784"/>
      <c r="DT17" s="784"/>
      <c r="DU17" s="784"/>
      <c r="DV17" s="784"/>
      <c r="DW17" s="784"/>
      <c r="DX17" s="784"/>
      <c r="DY17" s="784"/>
      <c r="DZ17" s="784"/>
      <c r="EA17" s="784"/>
      <c r="EB17" s="784"/>
      <c r="EC17" s="784"/>
      <c r="ED17" s="784"/>
      <c r="EE17" s="784"/>
      <c r="EF17" s="784"/>
      <c r="EG17" s="784"/>
      <c r="EH17" s="784"/>
      <c r="EI17" s="784"/>
      <c r="EJ17" s="784"/>
      <c r="EK17" s="784"/>
      <c r="EL17" s="784"/>
      <c r="EM17" s="784"/>
      <c r="EN17" s="784"/>
      <c r="EO17" s="784"/>
      <c r="EP17" s="784"/>
      <c r="EQ17" s="784"/>
      <c r="ER17" s="784"/>
      <c r="ES17" s="784"/>
      <c r="ET17" s="784"/>
      <c r="EU17" s="784"/>
      <c r="EV17" s="784"/>
      <c r="EW17" s="784"/>
      <c r="EX17" s="784"/>
      <c r="EY17" s="784"/>
      <c r="EZ17" s="784"/>
      <c r="FA17" s="784"/>
      <c r="FB17" s="784"/>
      <c r="FC17" s="784"/>
      <c r="FD17" s="784"/>
      <c r="FE17" s="784"/>
      <c r="FF17" s="784"/>
      <c r="FG17" s="784"/>
      <c r="FH17" s="784"/>
      <c r="FI17" s="784"/>
      <c r="FJ17" s="784"/>
      <c r="FK17" s="784"/>
      <c r="FL17" s="784"/>
      <c r="FM17" s="784"/>
      <c r="FN17" s="784"/>
      <c r="FO17" s="784"/>
      <c r="FP17" s="784"/>
      <c r="FQ17" s="784"/>
      <c r="FR17" s="784"/>
      <c r="FS17" s="784"/>
      <c r="FT17" s="784"/>
      <c r="FU17" s="784"/>
      <c r="FV17" s="784"/>
      <c r="FW17" s="784"/>
      <c r="FX17" s="784"/>
      <c r="FY17" s="784"/>
      <c r="FZ17" s="784"/>
      <c r="GA17" s="784"/>
      <c r="GB17" s="784"/>
      <c r="GC17" s="784"/>
      <c r="GD17" s="784"/>
      <c r="GE17" s="784"/>
      <c r="GF17" s="784"/>
      <c r="GG17" s="784"/>
      <c r="GH17" s="784"/>
      <c r="GI17" s="784"/>
      <c r="GJ17" s="784"/>
    </row>
    <row r="18" spans="1:192" s="739" customFormat="1" ht="17.25" customHeight="1" outlineLevel="2">
      <c r="A18" s="784"/>
      <c r="B18" s="783" t="s">
        <v>702</v>
      </c>
      <c r="C18" s="773">
        <f t="shared" ca="1" si="77"/>
        <v>7078.6204612031397</v>
      </c>
      <c r="D18" s="761">
        <f t="shared" ca="1" si="78"/>
        <v>0</v>
      </c>
      <c r="E18" s="785">
        <f ca="1">'16.所得税计算表'!E254</f>
        <v>0</v>
      </c>
      <c r="F18" s="785">
        <f ca="1">'16.所得税计算表'!F254</f>
        <v>0</v>
      </c>
      <c r="G18" s="785">
        <f ca="1">'16.所得税计算表'!G254</f>
        <v>0</v>
      </c>
      <c r="H18" s="786">
        <f ca="1">'16.所得税计算表'!H254</f>
        <v>0</v>
      </c>
      <c r="I18" s="761">
        <f t="shared" ca="1" si="79"/>
        <v>1186.9222707006738</v>
      </c>
      <c r="J18" s="832">
        <f ca="1">'16.所得税计算表'!I254</f>
        <v>0</v>
      </c>
      <c r="K18" s="785">
        <f ca="1">'16.所得税计算表'!J254</f>
        <v>229.46743545587765</v>
      </c>
      <c r="L18" s="785">
        <f ca="1">'16.所得税计算表'!K254</f>
        <v>539.8648828741126</v>
      </c>
      <c r="M18" s="785">
        <f ca="1">'16.所得税计算表'!L254</f>
        <v>417.58995237068359</v>
      </c>
      <c r="N18" s="761">
        <f t="shared" ca="1" si="59"/>
        <v>5786.1355641554128</v>
      </c>
      <c r="O18" s="832">
        <f ca="1">'16.所得税计算表'!M254</f>
        <v>0</v>
      </c>
      <c r="P18" s="785">
        <f ca="1">'16.所得税计算表'!N254</f>
        <v>0</v>
      </c>
      <c r="Q18" s="785">
        <f ca="1">'16.所得税计算表'!O254</f>
        <v>0</v>
      </c>
      <c r="R18" s="785">
        <f ca="1">'16.所得税计算表'!P254</f>
        <v>5786.1355641554128</v>
      </c>
      <c r="S18" s="761">
        <f t="shared" ca="1" si="61"/>
        <v>105.56262634705311</v>
      </c>
      <c r="T18" s="832">
        <f ca="1">'16.所得税计算表'!Q254</f>
        <v>105.56262634705311</v>
      </c>
      <c r="U18" s="785">
        <f ca="1">'16.所得税计算表'!R254</f>
        <v>0</v>
      </c>
      <c r="V18" s="785">
        <f ca="1">'16.所得税计算表'!S254</f>
        <v>0</v>
      </c>
      <c r="W18" s="785">
        <f ca="1">'16.所得税计算表'!T254</f>
        <v>0</v>
      </c>
      <c r="X18" s="761">
        <f t="shared" ca="1" si="63"/>
        <v>0</v>
      </c>
      <c r="Y18" s="832">
        <f ca="1">'16.所得税计算表'!U254</f>
        <v>0</v>
      </c>
      <c r="Z18" s="785">
        <f ca="1">'16.所得税计算表'!V254</f>
        <v>0</v>
      </c>
      <c r="AA18" s="785">
        <f ca="1">'16.所得税计算表'!W254</f>
        <v>0</v>
      </c>
      <c r="AB18" s="785">
        <f ca="1">'16.所得税计算表'!X254</f>
        <v>0</v>
      </c>
      <c r="AC18" s="761">
        <f t="shared" ca="1" si="65"/>
        <v>0</v>
      </c>
      <c r="AD18" s="832">
        <f ca="1">'16.所得税计算表'!Y254</f>
        <v>0</v>
      </c>
      <c r="AE18" s="785">
        <f ca="1">'16.所得税计算表'!Z254</f>
        <v>0</v>
      </c>
      <c r="AF18" s="785">
        <f ca="1">'16.所得税计算表'!AA254</f>
        <v>0</v>
      </c>
      <c r="AG18" s="785">
        <f ca="1">'16.所得税计算表'!AB254</f>
        <v>0</v>
      </c>
      <c r="AH18" s="761">
        <f t="shared" ca="1" si="67"/>
        <v>0</v>
      </c>
      <c r="AI18" s="832">
        <f ca="1">'16.所得税计算表'!AC254</f>
        <v>0</v>
      </c>
      <c r="AJ18" s="785">
        <f ca="1">'16.所得税计算表'!AD254</f>
        <v>0</v>
      </c>
      <c r="AK18" s="785">
        <f ca="1">'16.所得税计算表'!AE254</f>
        <v>0</v>
      </c>
      <c r="AL18" s="785">
        <f ca="1">'16.所得税计算表'!AF254</f>
        <v>0</v>
      </c>
      <c r="AM18" s="761">
        <f t="shared" ca="1" si="69"/>
        <v>0</v>
      </c>
      <c r="AN18" s="832">
        <f ca="1">'16.所得税计算表'!AG254</f>
        <v>0</v>
      </c>
      <c r="AO18" s="785">
        <f ca="1">'16.所得税计算表'!AH254</f>
        <v>0</v>
      </c>
      <c r="AP18" s="785">
        <f ca="1">'16.所得税计算表'!AI254</f>
        <v>0</v>
      </c>
      <c r="AQ18" s="785">
        <f ca="1">'16.所得税计算表'!AJ254</f>
        <v>0</v>
      </c>
      <c r="AR18" s="761">
        <f t="shared" ca="1" si="71"/>
        <v>0</v>
      </c>
      <c r="AS18" s="832">
        <f ca="1">'16.所得税计算表'!AK254</f>
        <v>0</v>
      </c>
      <c r="AT18" s="785">
        <f ca="1">'16.所得税计算表'!AL254</f>
        <v>0</v>
      </c>
      <c r="AU18" s="785">
        <f ca="1">'16.所得税计算表'!AM254</f>
        <v>0</v>
      </c>
      <c r="AV18" s="785">
        <f ca="1">'16.所得税计算表'!AN254</f>
        <v>0</v>
      </c>
      <c r="AW18" s="761">
        <f t="shared" ca="1" si="73"/>
        <v>0</v>
      </c>
      <c r="AX18" s="832">
        <f ca="1">'16.所得税计算表'!AO254</f>
        <v>0</v>
      </c>
      <c r="AY18" s="785">
        <f ca="1">'16.所得税计算表'!AP254</f>
        <v>0</v>
      </c>
      <c r="AZ18" s="785">
        <f ca="1">'16.所得税计算表'!AQ254</f>
        <v>0</v>
      </c>
      <c r="BA18" s="785">
        <f ca="1">'16.所得税计算表'!AR254</f>
        <v>0</v>
      </c>
      <c r="BB18" s="761">
        <f t="shared" ca="1" si="75"/>
        <v>0</v>
      </c>
      <c r="BC18" s="832">
        <f ca="1">'16.所得税计算表'!AS254</f>
        <v>0</v>
      </c>
      <c r="BD18" s="785">
        <f ca="1">'16.所得税计算表'!AT254</f>
        <v>0</v>
      </c>
      <c r="BE18" s="785">
        <f ca="1">'16.所得税计算表'!AU254</f>
        <v>0</v>
      </c>
      <c r="BF18" s="848">
        <f ca="1">'16.所得税计算表'!AV254</f>
        <v>0</v>
      </c>
      <c r="BG18" s="784"/>
      <c r="BH18" s="784"/>
      <c r="BI18" s="784"/>
      <c r="BJ18" s="784"/>
      <c r="BK18" s="784"/>
      <c r="BL18" s="784"/>
      <c r="BM18" s="784"/>
      <c r="BN18" s="784"/>
      <c r="BO18" s="784"/>
      <c r="BP18" s="784"/>
      <c r="BQ18" s="784"/>
      <c r="BR18" s="784"/>
      <c r="BS18" s="784"/>
      <c r="BT18" s="784"/>
      <c r="BU18" s="784"/>
      <c r="BV18" s="784"/>
      <c r="BW18" s="784"/>
      <c r="BX18" s="784"/>
      <c r="BY18" s="784"/>
      <c r="BZ18" s="784"/>
      <c r="CA18" s="784"/>
      <c r="CB18" s="784"/>
      <c r="CC18" s="784"/>
      <c r="CD18" s="784"/>
      <c r="CE18" s="784"/>
      <c r="CF18" s="784"/>
      <c r="CG18" s="784"/>
      <c r="CH18" s="784"/>
      <c r="CI18" s="784"/>
      <c r="CJ18" s="784"/>
      <c r="CK18" s="784"/>
      <c r="CL18" s="784"/>
      <c r="CM18" s="784"/>
      <c r="CN18" s="784"/>
      <c r="CO18" s="784"/>
      <c r="CP18" s="784"/>
      <c r="CQ18" s="784"/>
      <c r="CR18" s="784"/>
      <c r="CS18" s="784"/>
      <c r="CT18" s="784"/>
      <c r="CU18" s="784"/>
      <c r="CV18" s="784"/>
      <c r="CW18" s="784"/>
      <c r="CX18" s="784"/>
      <c r="CY18" s="784"/>
      <c r="CZ18" s="784"/>
      <c r="DA18" s="784"/>
      <c r="DB18" s="784"/>
      <c r="DC18" s="784"/>
      <c r="DD18" s="784"/>
      <c r="DE18" s="784"/>
      <c r="DF18" s="784"/>
      <c r="DG18" s="784"/>
      <c r="DH18" s="784"/>
      <c r="DI18" s="784"/>
      <c r="DJ18" s="784"/>
      <c r="DK18" s="784"/>
      <c r="DL18" s="784"/>
      <c r="DM18" s="784"/>
      <c r="DN18" s="784"/>
      <c r="DO18" s="784"/>
      <c r="DP18" s="784"/>
      <c r="DQ18" s="784"/>
      <c r="DR18" s="784"/>
      <c r="DS18" s="784"/>
      <c r="DT18" s="784"/>
      <c r="DU18" s="784"/>
      <c r="DV18" s="784"/>
      <c r="DW18" s="784"/>
      <c r="DX18" s="784"/>
      <c r="DY18" s="784"/>
      <c r="DZ18" s="784"/>
      <c r="EA18" s="784"/>
      <c r="EB18" s="784"/>
      <c r="EC18" s="784"/>
      <c r="ED18" s="784"/>
      <c r="EE18" s="784"/>
      <c r="EF18" s="784"/>
      <c r="EG18" s="784"/>
      <c r="EH18" s="784"/>
      <c r="EI18" s="784"/>
      <c r="EJ18" s="784"/>
      <c r="EK18" s="784"/>
      <c r="EL18" s="784"/>
      <c r="EM18" s="784"/>
      <c r="EN18" s="784"/>
      <c r="EO18" s="784"/>
      <c r="EP18" s="784"/>
      <c r="EQ18" s="784"/>
      <c r="ER18" s="784"/>
      <c r="ES18" s="784"/>
      <c r="ET18" s="784"/>
      <c r="EU18" s="784"/>
      <c r="EV18" s="784"/>
      <c r="EW18" s="784"/>
      <c r="EX18" s="784"/>
      <c r="EY18" s="784"/>
      <c r="EZ18" s="784"/>
      <c r="FA18" s="784"/>
      <c r="FB18" s="784"/>
      <c r="FC18" s="784"/>
      <c r="FD18" s="784"/>
      <c r="FE18" s="784"/>
      <c r="FF18" s="784"/>
      <c r="FG18" s="784"/>
      <c r="FH18" s="784"/>
      <c r="FI18" s="784"/>
      <c r="FJ18" s="784"/>
      <c r="FK18" s="784"/>
      <c r="FL18" s="784"/>
      <c r="FM18" s="784"/>
      <c r="FN18" s="784"/>
      <c r="FO18" s="784"/>
      <c r="FP18" s="784"/>
      <c r="FQ18" s="784"/>
      <c r="FR18" s="784"/>
      <c r="FS18" s="784"/>
      <c r="FT18" s="784"/>
      <c r="FU18" s="784"/>
      <c r="FV18" s="784"/>
      <c r="FW18" s="784"/>
      <c r="FX18" s="784"/>
      <c r="FY18" s="784"/>
      <c r="FZ18" s="784"/>
      <c r="GA18" s="784"/>
      <c r="GB18" s="784"/>
      <c r="GC18" s="784"/>
      <c r="GD18" s="784"/>
      <c r="GE18" s="784"/>
      <c r="GF18" s="784"/>
      <c r="GG18" s="784"/>
      <c r="GH18" s="784"/>
      <c r="GI18" s="784"/>
      <c r="GJ18" s="784"/>
    </row>
    <row r="19" spans="1:192" ht="17.25" customHeight="1" outlineLevel="2">
      <c r="A19" s="784"/>
      <c r="B19" s="783" t="s">
        <v>703</v>
      </c>
      <c r="C19" s="773">
        <f t="shared" si="77"/>
        <v>0</v>
      </c>
      <c r="D19" s="761">
        <f t="shared" si="78"/>
        <v>0</v>
      </c>
      <c r="E19" s="787"/>
      <c r="F19" s="787"/>
      <c r="G19" s="787"/>
      <c r="H19" s="788"/>
      <c r="I19" s="761">
        <f t="shared" si="79"/>
        <v>0</v>
      </c>
      <c r="J19" s="833"/>
      <c r="K19" s="787"/>
      <c r="L19" s="787"/>
      <c r="M19" s="787"/>
      <c r="N19" s="761">
        <f t="shared" si="59"/>
        <v>0</v>
      </c>
      <c r="O19" s="833"/>
      <c r="P19" s="787"/>
      <c r="Q19" s="787"/>
      <c r="R19" s="787"/>
      <c r="S19" s="761">
        <f t="shared" si="61"/>
        <v>0</v>
      </c>
      <c r="T19" s="833"/>
      <c r="U19" s="787"/>
      <c r="V19" s="787"/>
      <c r="W19" s="787"/>
      <c r="X19" s="761">
        <f t="shared" si="63"/>
        <v>0</v>
      </c>
      <c r="Y19" s="833"/>
      <c r="Z19" s="787"/>
      <c r="AA19" s="787"/>
      <c r="AB19" s="787"/>
      <c r="AC19" s="761">
        <f t="shared" si="65"/>
        <v>0</v>
      </c>
      <c r="AD19" s="833"/>
      <c r="AE19" s="787"/>
      <c r="AF19" s="787"/>
      <c r="AG19" s="787"/>
      <c r="AH19" s="761">
        <f t="shared" si="67"/>
        <v>0</v>
      </c>
      <c r="AI19" s="833"/>
      <c r="AJ19" s="787"/>
      <c r="AK19" s="787"/>
      <c r="AL19" s="787"/>
      <c r="AM19" s="761">
        <f t="shared" si="69"/>
        <v>0</v>
      </c>
      <c r="AN19" s="833"/>
      <c r="AO19" s="787"/>
      <c r="AP19" s="787"/>
      <c r="AQ19" s="787"/>
      <c r="AR19" s="761">
        <f t="shared" si="71"/>
        <v>0</v>
      </c>
      <c r="AS19" s="833"/>
      <c r="AT19" s="787"/>
      <c r="AU19" s="787"/>
      <c r="AV19" s="787"/>
      <c r="AW19" s="761">
        <f t="shared" si="73"/>
        <v>0</v>
      </c>
      <c r="AX19" s="833"/>
      <c r="AY19" s="787"/>
      <c r="AZ19" s="787"/>
      <c r="BA19" s="787"/>
      <c r="BB19" s="761">
        <f t="shared" si="75"/>
        <v>0</v>
      </c>
      <c r="BC19" s="833"/>
      <c r="BD19" s="787"/>
      <c r="BE19" s="787"/>
      <c r="BF19" s="849"/>
      <c r="BG19" s="747"/>
      <c r="BH19" s="747"/>
      <c r="BI19" s="747"/>
      <c r="BJ19" s="747"/>
      <c r="BK19" s="747"/>
      <c r="BL19" s="747"/>
      <c r="BM19" s="747"/>
      <c r="BN19" s="747"/>
      <c r="BO19" s="747"/>
      <c r="BP19" s="747"/>
      <c r="BQ19" s="747"/>
      <c r="BR19" s="747"/>
      <c r="BS19" s="747"/>
      <c r="BT19" s="747"/>
      <c r="BU19" s="747"/>
      <c r="BV19" s="747"/>
      <c r="BW19" s="747"/>
      <c r="BX19" s="747"/>
      <c r="BY19" s="747"/>
      <c r="BZ19" s="747"/>
      <c r="CA19" s="747"/>
      <c r="CB19" s="747"/>
      <c r="CC19" s="747"/>
      <c r="CD19" s="747"/>
      <c r="CE19" s="747"/>
      <c r="CF19" s="747"/>
      <c r="CG19" s="747"/>
      <c r="CH19" s="747"/>
      <c r="CI19" s="747"/>
      <c r="CJ19" s="747"/>
      <c r="CK19" s="747"/>
      <c r="CL19" s="747"/>
      <c r="CM19" s="747"/>
      <c r="CN19" s="747"/>
      <c r="CO19" s="747"/>
      <c r="CP19" s="747"/>
      <c r="CQ19" s="747"/>
      <c r="CR19" s="747"/>
      <c r="CS19" s="747"/>
      <c r="CT19" s="747"/>
      <c r="CU19" s="747"/>
      <c r="CV19" s="747"/>
      <c r="CW19" s="747"/>
      <c r="CX19" s="747"/>
      <c r="CY19" s="747"/>
      <c r="CZ19" s="747"/>
      <c r="DA19" s="747"/>
      <c r="DB19" s="747"/>
      <c r="DC19" s="747"/>
      <c r="DD19" s="747"/>
      <c r="DE19" s="747"/>
      <c r="DF19" s="747"/>
      <c r="DG19" s="747"/>
      <c r="DH19" s="747"/>
      <c r="DI19" s="747"/>
      <c r="DJ19" s="747"/>
      <c r="DK19" s="747"/>
      <c r="DL19" s="747"/>
      <c r="DM19" s="747"/>
      <c r="DN19" s="747"/>
      <c r="DO19" s="747"/>
      <c r="DP19" s="747"/>
      <c r="DQ19" s="747"/>
      <c r="DR19" s="747"/>
      <c r="DS19" s="747"/>
      <c r="DT19" s="747"/>
      <c r="DU19" s="747"/>
      <c r="DV19" s="747"/>
      <c r="DW19" s="747"/>
      <c r="DX19" s="747"/>
      <c r="DY19" s="747"/>
      <c r="DZ19" s="747"/>
      <c r="EA19" s="747"/>
      <c r="EB19" s="747"/>
      <c r="EC19" s="747"/>
      <c r="ED19" s="747"/>
      <c r="EE19" s="747"/>
      <c r="EF19" s="747"/>
      <c r="EG19" s="747"/>
      <c r="EH19" s="747"/>
      <c r="EI19" s="747"/>
      <c r="EJ19" s="747"/>
      <c r="EK19" s="747"/>
      <c r="EL19" s="747"/>
      <c r="EM19" s="747"/>
      <c r="EN19" s="747"/>
      <c r="EO19" s="747"/>
      <c r="EP19" s="747"/>
      <c r="EQ19" s="747"/>
      <c r="ER19" s="747"/>
      <c r="ES19" s="747"/>
      <c r="ET19" s="747"/>
      <c r="EU19" s="747"/>
      <c r="EV19" s="747"/>
      <c r="EW19" s="747"/>
      <c r="EX19" s="747"/>
      <c r="EY19" s="747"/>
      <c r="EZ19" s="747"/>
      <c r="FA19" s="747"/>
      <c r="FB19" s="747"/>
      <c r="FC19" s="747"/>
      <c r="FD19" s="747"/>
      <c r="FE19" s="747"/>
      <c r="FF19" s="747"/>
      <c r="FG19" s="747"/>
      <c r="FH19" s="747"/>
      <c r="FI19" s="747"/>
      <c r="FJ19" s="747"/>
      <c r="FK19" s="747"/>
      <c r="FL19" s="747"/>
      <c r="FM19" s="747"/>
      <c r="FN19" s="747"/>
      <c r="FO19" s="747"/>
      <c r="FP19" s="747"/>
      <c r="FQ19" s="747"/>
      <c r="FR19" s="747"/>
      <c r="FS19" s="747"/>
      <c r="FT19" s="747"/>
      <c r="FU19" s="747"/>
      <c r="FV19" s="747"/>
      <c r="FW19" s="747"/>
      <c r="FX19" s="747"/>
      <c r="FY19" s="747"/>
      <c r="FZ19" s="747"/>
      <c r="GA19" s="747"/>
      <c r="GB19" s="747"/>
      <c r="GC19" s="747"/>
      <c r="GD19" s="747"/>
      <c r="GE19" s="747"/>
      <c r="GF19" s="747"/>
      <c r="GG19" s="747"/>
      <c r="GH19" s="747"/>
      <c r="GI19" s="747"/>
      <c r="GJ19" s="747"/>
    </row>
    <row r="20" spans="1:192" ht="17.25" customHeight="1" outlineLevel="2">
      <c r="A20" s="784"/>
      <c r="B20" s="783" t="s">
        <v>704</v>
      </c>
      <c r="C20" s="773">
        <f t="shared" si="77"/>
        <v>50.296597480000003</v>
      </c>
      <c r="D20" s="761">
        <f t="shared" si="78"/>
        <v>0</v>
      </c>
      <c r="E20" s="773">
        <f>('11.销售及回款表'!E8+'11.销售及回款表'!E13)*('2.税率表'!$D$15+'2.税率表'!$D$16+'2.税率表'!$D$18)</f>
        <v>0</v>
      </c>
      <c r="F20" s="773">
        <f>('11.销售及回款表'!F8+'11.销售及回款表'!F13)*('2.税率表'!$D$15+'2.税率表'!$D$16+'2.税率表'!$D$18)</f>
        <v>0</v>
      </c>
      <c r="G20" s="773">
        <f>('11.销售及回款表'!G8+'11.销售及回款表'!G13)*('2.税率表'!$D$15+'2.税率表'!$D$16+'2.税率表'!$D$18)</f>
        <v>0</v>
      </c>
      <c r="H20" s="774">
        <f>('11.销售及回款表'!H8+'11.销售及回款表'!H13)*('2.税率表'!$D$15+'2.税率表'!$D$16+'2.税率表'!$D$18)</f>
        <v>0</v>
      </c>
      <c r="I20" s="761">
        <f t="shared" si="79"/>
        <v>36.736524000000003</v>
      </c>
      <c r="J20" s="831">
        <f>('11.销售及回款表'!I8+'11.销售及回款表'!I13)*('2.税率表'!$D$15+'2.税率表'!$D$16+'2.税率表'!$D$18)</f>
        <v>0</v>
      </c>
      <c r="K20" s="775">
        <f>('11.销售及回款表'!J8+'11.销售及回款表'!J13)*('2.税率表'!$D$15+'2.税率表'!$D$16+'2.税率表'!$D$18)</f>
        <v>14.72625</v>
      </c>
      <c r="L20" s="775">
        <f>('11.销售及回款表'!K8+'11.销售及回款表'!K13)*('2.税率表'!$D$15+'2.税率表'!$D$16+'2.税率表'!$D$18)</f>
        <v>15.315299999999999</v>
      </c>
      <c r="M20" s="775">
        <f>('11.销售及回款表'!L8+'11.销售及回款表'!L13)*('2.税率表'!$D$15+'2.税率表'!$D$16+'2.税率表'!$D$18)</f>
        <v>6.6949740000000002</v>
      </c>
      <c r="N20" s="761">
        <f t="shared" si="59"/>
        <v>12.96927348</v>
      </c>
      <c r="O20" s="831">
        <f>('11.销售及回款表'!M8+'11.销售及回款表'!M13)*('2.税率表'!$D$15+'2.税率表'!$D$16+'2.税率表'!$D$18)</f>
        <v>6.8288734799999995</v>
      </c>
      <c r="P20" s="775">
        <f>('11.销售及回款表'!N8+'11.销售及回款表'!N13)*('2.税率表'!$D$15+'2.税率表'!$D$16+'2.税率表'!$D$18)</f>
        <v>3.4944000000000002</v>
      </c>
      <c r="Q20" s="775">
        <f>('11.销售及回款表'!O8+'11.销售及回款表'!O13)*('2.税率表'!$D$15+'2.税率表'!$D$16+'2.税率表'!$D$18)</f>
        <v>1.7598000000000003</v>
      </c>
      <c r="R20" s="775">
        <f>('11.销售及回款表'!P8+'11.销售及回款表'!P13)*('2.税率表'!$D$15+'2.税率表'!$D$16+'2.税率表'!$D$18)</f>
        <v>0.8862000000000001</v>
      </c>
      <c r="S20" s="761">
        <f t="shared" si="61"/>
        <v>0.59079999999999999</v>
      </c>
      <c r="T20" s="831">
        <f>('11.销售及回款表'!Q8+'11.销售及回款表'!Q13)*('2.税率表'!$D$15+'2.税率表'!$D$16+'2.税率表'!$D$18)</f>
        <v>0.59079999999999999</v>
      </c>
      <c r="U20" s="775">
        <f>('11.销售及回款表'!R8+'11.销售及回款表'!R13)*('2.税率表'!$D$15+'2.税率表'!$D$16+'2.税率表'!$D$18)</f>
        <v>0</v>
      </c>
      <c r="V20" s="775">
        <f>('11.销售及回款表'!S8+'11.销售及回款表'!S13)*('2.税率表'!$D$15+'2.税率表'!$D$16+'2.税率表'!$D$18)</f>
        <v>0</v>
      </c>
      <c r="W20" s="775">
        <f>('11.销售及回款表'!T8+'11.销售及回款表'!T13)*('2.税率表'!$D$15+'2.税率表'!$D$16+'2.税率表'!$D$18)</f>
        <v>0</v>
      </c>
      <c r="X20" s="761">
        <f t="shared" si="63"/>
        <v>0</v>
      </c>
      <c r="Y20" s="831">
        <f>('11.销售及回款表'!U8+'11.销售及回款表'!U13)*('2.税率表'!$D$15+'2.税率表'!$D$16+'2.税率表'!$D$18)</f>
        <v>0</v>
      </c>
      <c r="Z20" s="775">
        <f>('11.销售及回款表'!V8+'11.销售及回款表'!V13)*('2.税率表'!$D$15+'2.税率表'!$D$16+'2.税率表'!$D$18)</f>
        <v>0</v>
      </c>
      <c r="AA20" s="775">
        <f>('11.销售及回款表'!W8+'11.销售及回款表'!W13)*('2.税率表'!$D$15+'2.税率表'!$D$16+'2.税率表'!$D$18)</f>
        <v>0</v>
      </c>
      <c r="AB20" s="775">
        <f>('11.销售及回款表'!X8+'11.销售及回款表'!X13)*('2.税率表'!$D$15+'2.税率表'!$D$16+'2.税率表'!$D$18)</f>
        <v>0</v>
      </c>
      <c r="AC20" s="761">
        <f t="shared" si="65"/>
        <v>0</v>
      </c>
      <c r="AD20" s="831">
        <f>('11.销售及回款表'!Y8+'11.销售及回款表'!Y13)*('2.税率表'!$D$15+'2.税率表'!$D$16+'2.税率表'!$D$18)</f>
        <v>0</v>
      </c>
      <c r="AE20" s="775">
        <f>('11.销售及回款表'!Z8+'11.销售及回款表'!Z13)*('2.税率表'!$D$15+'2.税率表'!$D$16+'2.税率表'!$D$18)</f>
        <v>0</v>
      </c>
      <c r="AF20" s="775">
        <f>('11.销售及回款表'!AA8+'11.销售及回款表'!AA13)*('2.税率表'!$D$15+'2.税率表'!$D$16+'2.税率表'!$D$18)</f>
        <v>0</v>
      </c>
      <c r="AG20" s="775">
        <f>('11.销售及回款表'!AB8+'11.销售及回款表'!AB13)*('2.税率表'!$D$15+'2.税率表'!$D$16+'2.税率表'!$D$18)</f>
        <v>0</v>
      </c>
      <c r="AH20" s="761">
        <f t="shared" si="67"/>
        <v>0</v>
      </c>
      <c r="AI20" s="831">
        <f>('11.销售及回款表'!AC8+'11.销售及回款表'!AC13)*('2.税率表'!$D$15+'2.税率表'!$D$16+'2.税率表'!$D$18)</f>
        <v>0</v>
      </c>
      <c r="AJ20" s="775">
        <f>('11.销售及回款表'!AD8+'11.销售及回款表'!AD13)*('2.税率表'!$D$15+'2.税率表'!$D$16+'2.税率表'!$D$18)</f>
        <v>0</v>
      </c>
      <c r="AK20" s="775">
        <f>('11.销售及回款表'!AE8+'11.销售及回款表'!AE13)*('2.税率表'!$D$15+'2.税率表'!$D$16+'2.税率表'!$D$18)</f>
        <v>0</v>
      </c>
      <c r="AL20" s="775">
        <f>('11.销售及回款表'!AF8+'11.销售及回款表'!AF13)*('2.税率表'!$D$15+'2.税率表'!$D$16+'2.税率表'!$D$18)</f>
        <v>0</v>
      </c>
      <c r="AM20" s="761">
        <f t="shared" si="69"/>
        <v>0</v>
      </c>
      <c r="AN20" s="831">
        <f>('11.销售及回款表'!AG8+'11.销售及回款表'!AG13)*('2.税率表'!$D$15+'2.税率表'!$D$16+'2.税率表'!$D$18)</f>
        <v>0</v>
      </c>
      <c r="AO20" s="775">
        <f>('11.销售及回款表'!AH8+'11.销售及回款表'!AH13)*('2.税率表'!$D$15+'2.税率表'!$D$16+'2.税率表'!$D$18)</f>
        <v>0</v>
      </c>
      <c r="AP20" s="775">
        <f>('11.销售及回款表'!AI8+'11.销售及回款表'!AI13)*('2.税率表'!$D$15+'2.税率表'!$D$16+'2.税率表'!$D$18)</f>
        <v>0</v>
      </c>
      <c r="AQ20" s="775">
        <f>('11.销售及回款表'!AJ8+'11.销售及回款表'!AJ13)*('2.税率表'!$D$15+'2.税率表'!$D$16+'2.税率表'!$D$18)</f>
        <v>0</v>
      </c>
      <c r="AR20" s="761">
        <f t="shared" si="71"/>
        <v>0</v>
      </c>
      <c r="AS20" s="831">
        <f>('11.销售及回款表'!AK8+'11.销售及回款表'!AK13)*('2.税率表'!$D$15+'2.税率表'!$D$16+'2.税率表'!$D$18)</f>
        <v>0</v>
      </c>
      <c r="AT20" s="775">
        <f>('11.销售及回款表'!AL8+'11.销售及回款表'!AL13)*('2.税率表'!$D$15+'2.税率表'!$D$16+'2.税率表'!$D$18)</f>
        <v>0</v>
      </c>
      <c r="AU20" s="775">
        <f>('11.销售及回款表'!AM8+'11.销售及回款表'!AM13)*('2.税率表'!$D$15+'2.税率表'!$D$16+'2.税率表'!$D$18)</f>
        <v>0</v>
      </c>
      <c r="AV20" s="775">
        <f>('11.销售及回款表'!AN8+'11.销售及回款表'!AN13)*('2.税率表'!$D$15+'2.税率表'!$D$16+'2.税率表'!$D$18)</f>
        <v>0</v>
      </c>
      <c r="AW20" s="761">
        <f t="shared" si="73"/>
        <v>0</v>
      </c>
      <c r="AX20" s="831">
        <f>('11.销售及回款表'!AO8+'11.销售及回款表'!AO13)*('2.税率表'!$D$15+'2.税率表'!$D$16+'2.税率表'!$D$18)</f>
        <v>0</v>
      </c>
      <c r="AY20" s="775">
        <f>('11.销售及回款表'!AP8+'11.销售及回款表'!AP13)*('2.税率表'!$D$15+'2.税率表'!$D$16+'2.税率表'!$D$18)</f>
        <v>0</v>
      </c>
      <c r="AZ20" s="775">
        <f>('11.销售及回款表'!AQ8+'11.销售及回款表'!AQ13)*('2.税率表'!$D$15+'2.税率表'!$D$16+'2.税率表'!$D$18)</f>
        <v>0</v>
      </c>
      <c r="BA20" s="775">
        <f>('11.销售及回款表'!AR8+'11.销售及回款表'!AR13)*('2.税率表'!$D$15+'2.税率表'!$D$16+'2.税率表'!$D$18)</f>
        <v>0</v>
      </c>
      <c r="BB20" s="761">
        <f t="shared" si="75"/>
        <v>0</v>
      </c>
      <c r="BC20" s="831">
        <f>('11.销售及回款表'!AS8+'11.销售及回款表'!AS13)*('2.税率表'!$D$15+'2.税率表'!$D$16+'2.税率表'!$D$18)</f>
        <v>0</v>
      </c>
      <c r="BD20" s="775">
        <f>('11.销售及回款表'!AT8+'11.销售及回款表'!AT13)*('2.税率表'!$D$15+'2.税率表'!$D$16+'2.税率表'!$D$18)</f>
        <v>0</v>
      </c>
      <c r="BE20" s="775">
        <f>('11.销售及回款表'!AU8+'11.销售及回款表'!AU13)*('2.税率表'!$D$15+'2.税率表'!$D$16+'2.税率表'!$D$18)</f>
        <v>0</v>
      </c>
      <c r="BF20" s="846">
        <f>('11.销售及回款表'!AV8+'11.销售及回款表'!AV13)*('2.税率表'!$D$15+'2.税率表'!$D$16+'2.税率表'!$D$18)</f>
        <v>0</v>
      </c>
      <c r="BG20" s="747"/>
      <c r="BH20" s="747"/>
      <c r="BI20" s="747"/>
      <c r="BJ20" s="747"/>
      <c r="BK20" s="747"/>
      <c r="BL20" s="747"/>
      <c r="BM20" s="747"/>
      <c r="BN20" s="747"/>
      <c r="BO20" s="747"/>
      <c r="BP20" s="747"/>
      <c r="BQ20" s="747"/>
      <c r="BR20" s="747"/>
      <c r="BS20" s="747"/>
      <c r="BT20" s="747"/>
      <c r="BU20" s="747"/>
      <c r="BV20" s="747"/>
      <c r="BW20" s="747"/>
      <c r="BX20" s="747"/>
      <c r="BY20" s="747"/>
      <c r="BZ20" s="747"/>
      <c r="CA20" s="747"/>
      <c r="CB20" s="747"/>
      <c r="CC20" s="747"/>
      <c r="CD20" s="747"/>
      <c r="CE20" s="747"/>
      <c r="CF20" s="747"/>
      <c r="CG20" s="747"/>
      <c r="CH20" s="747"/>
      <c r="CI20" s="747"/>
      <c r="CJ20" s="747"/>
      <c r="CK20" s="747"/>
      <c r="CL20" s="747"/>
      <c r="CM20" s="747"/>
      <c r="CN20" s="747"/>
      <c r="CO20" s="747"/>
      <c r="CP20" s="747"/>
      <c r="CQ20" s="747"/>
      <c r="CR20" s="747"/>
      <c r="CS20" s="747"/>
      <c r="CT20" s="747"/>
      <c r="CU20" s="747"/>
      <c r="CV20" s="747"/>
      <c r="CW20" s="747"/>
      <c r="CX20" s="747"/>
      <c r="CY20" s="747"/>
      <c r="CZ20" s="747"/>
      <c r="DA20" s="747"/>
      <c r="DB20" s="747"/>
      <c r="DC20" s="747"/>
      <c r="DD20" s="747"/>
      <c r="DE20" s="747"/>
      <c r="DF20" s="747"/>
      <c r="DG20" s="747"/>
      <c r="DH20" s="747"/>
      <c r="DI20" s="747"/>
      <c r="DJ20" s="747"/>
      <c r="DK20" s="747"/>
      <c r="DL20" s="747"/>
      <c r="DM20" s="747"/>
      <c r="DN20" s="747"/>
      <c r="DO20" s="747"/>
      <c r="DP20" s="747"/>
      <c r="DQ20" s="747"/>
      <c r="DR20" s="747"/>
      <c r="DS20" s="747"/>
      <c r="DT20" s="747"/>
      <c r="DU20" s="747"/>
      <c r="DV20" s="747"/>
      <c r="DW20" s="747"/>
      <c r="DX20" s="747"/>
      <c r="DY20" s="747"/>
      <c r="DZ20" s="747"/>
      <c r="EA20" s="747"/>
      <c r="EB20" s="747"/>
      <c r="EC20" s="747"/>
      <c r="ED20" s="747"/>
      <c r="EE20" s="747"/>
      <c r="EF20" s="747"/>
      <c r="EG20" s="747"/>
      <c r="EH20" s="747"/>
      <c r="EI20" s="747"/>
      <c r="EJ20" s="747"/>
      <c r="EK20" s="747"/>
      <c r="EL20" s="747"/>
      <c r="EM20" s="747"/>
      <c r="EN20" s="747"/>
      <c r="EO20" s="747"/>
      <c r="EP20" s="747"/>
      <c r="EQ20" s="747"/>
      <c r="ER20" s="747"/>
      <c r="ES20" s="747"/>
      <c r="ET20" s="747"/>
      <c r="EU20" s="747"/>
      <c r="EV20" s="747"/>
      <c r="EW20" s="747"/>
      <c r="EX20" s="747"/>
      <c r="EY20" s="747"/>
      <c r="EZ20" s="747"/>
      <c r="FA20" s="747"/>
      <c r="FB20" s="747"/>
      <c r="FC20" s="747"/>
      <c r="FD20" s="747"/>
      <c r="FE20" s="747"/>
      <c r="FF20" s="747"/>
      <c r="FG20" s="747"/>
      <c r="FH20" s="747"/>
      <c r="FI20" s="747"/>
      <c r="FJ20" s="747"/>
      <c r="FK20" s="747"/>
      <c r="FL20" s="747"/>
      <c r="FM20" s="747"/>
      <c r="FN20" s="747"/>
      <c r="FO20" s="747"/>
      <c r="FP20" s="747"/>
      <c r="FQ20" s="747"/>
      <c r="FR20" s="747"/>
      <c r="FS20" s="747"/>
      <c r="FT20" s="747"/>
      <c r="FU20" s="747"/>
      <c r="FV20" s="747"/>
      <c r="FW20" s="747"/>
      <c r="FX20" s="747"/>
      <c r="FY20" s="747"/>
      <c r="FZ20" s="747"/>
      <c r="GA20" s="747"/>
      <c r="GB20" s="747"/>
      <c r="GC20" s="747"/>
      <c r="GD20" s="747"/>
      <c r="GE20" s="747"/>
      <c r="GF20" s="747"/>
      <c r="GG20" s="747"/>
      <c r="GH20" s="747"/>
      <c r="GI20" s="747"/>
      <c r="GJ20" s="747"/>
    </row>
    <row r="21" spans="1:192" ht="17.25" customHeight="1" outlineLevel="1">
      <c r="A21" s="784"/>
      <c r="B21" s="778" t="s">
        <v>705</v>
      </c>
      <c r="C21" s="789">
        <f t="shared" ref="C21:AH21" ca="1" si="80">SUM(C22:C23)</f>
        <v>10745.623672377998</v>
      </c>
      <c r="D21" s="780">
        <f t="shared" si="80"/>
        <v>0</v>
      </c>
      <c r="E21" s="790">
        <f t="shared" si="80"/>
        <v>0</v>
      </c>
      <c r="F21" s="790">
        <f t="shared" si="80"/>
        <v>0</v>
      </c>
      <c r="G21" s="790">
        <f t="shared" si="80"/>
        <v>0</v>
      </c>
      <c r="H21" s="791">
        <f t="shared" si="80"/>
        <v>0</v>
      </c>
      <c r="I21" s="780">
        <f t="shared" si="80"/>
        <v>0</v>
      </c>
      <c r="J21" s="834">
        <f t="shared" si="80"/>
        <v>0</v>
      </c>
      <c r="K21" s="790">
        <f t="shared" si="80"/>
        <v>0</v>
      </c>
      <c r="L21" s="790">
        <f t="shared" si="80"/>
        <v>0</v>
      </c>
      <c r="M21" s="790">
        <f t="shared" si="80"/>
        <v>0</v>
      </c>
      <c r="N21" s="780">
        <f t="shared" ca="1" si="80"/>
        <v>10709.061623920348</v>
      </c>
      <c r="O21" s="834">
        <f t="shared" ca="1" si="80"/>
        <v>7632.9854964831366</v>
      </c>
      <c r="P21" s="790">
        <f t="shared" si="80"/>
        <v>0</v>
      </c>
      <c r="Q21" s="790">
        <f t="shared" si="80"/>
        <v>0</v>
      </c>
      <c r="R21" s="790">
        <f t="shared" si="80"/>
        <v>3076.0761274372107</v>
      </c>
      <c r="S21" s="780">
        <f t="shared" si="80"/>
        <v>36.562048457650235</v>
      </c>
      <c r="T21" s="834">
        <f t="shared" si="80"/>
        <v>36.562048457650235</v>
      </c>
      <c r="U21" s="790">
        <f t="shared" si="80"/>
        <v>0</v>
      </c>
      <c r="V21" s="790">
        <f t="shared" si="80"/>
        <v>0</v>
      </c>
      <c r="W21" s="790">
        <f t="shared" si="80"/>
        <v>0</v>
      </c>
      <c r="X21" s="780">
        <f t="shared" si="80"/>
        <v>0</v>
      </c>
      <c r="Y21" s="834">
        <f t="shared" si="80"/>
        <v>0</v>
      </c>
      <c r="Z21" s="790">
        <f t="shared" si="80"/>
        <v>0</v>
      </c>
      <c r="AA21" s="790">
        <f t="shared" si="80"/>
        <v>0</v>
      </c>
      <c r="AB21" s="790">
        <f t="shared" si="80"/>
        <v>0</v>
      </c>
      <c r="AC21" s="780">
        <f t="shared" si="80"/>
        <v>0</v>
      </c>
      <c r="AD21" s="834">
        <f t="shared" si="80"/>
        <v>0</v>
      </c>
      <c r="AE21" s="790">
        <f t="shared" si="80"/>
        <v>0</v>
      </c>
      <c r="AF21" s="790">
        <f t="shared" si="80"/>
        <v>0</v>
      </c>
      <c r="AG21" s="790">
        <f t="shared" si="80"/>
        <v>0</v>
      </c>
      <c r="AH21" s="780">
        <f t="shared" si="80"/>
        <v>0</v>
      </c>
      <c r="AI21" s="834">
        <f t="shared" ref="AI21:BF21" si="81">SUM(AI22:AI23)</f>
        <v>0</v>
      </c>
      <c r="AJ21" s="790">
        <f t="shared" si="81"/>
        <v>0</v>
      </c>
      <c r="AK21" s="790">
        <f t="shared" si="81"/>
        <v>0</v>
      </c>
      <c r="AL21" s="790">
        <f t="shared" si="81"/>
        <v>0</v>
      </c>
      <c r="AM21" s="780">
        <f t="shared" si="81"/>
        <v>0</v>
      </c>
      <c r="AN21" s="834">
        <f t="shared" si="81"/>
        <v>0</v>
      </c>
      <c r="AO21" s="790">
        <f t="shared" si="81"/>
        <v>0</v>
      </c>
      <c r="AP21" s="790">
        <f t="shared" si="81"/>
        <v>0</v>
      </c>
      <c r="AQ21" s="790">
        <f t="shared" si="81"/>
        <v>0</v>
      </c>
      <c r="AR21" s="780">
        <f t="shared" si="81"/>
        <v>0</v>
      </c>
      <c r="AS21" s="834">
        <f t="shared" si="81"/>
        <v>0</v>
      </c>
      <c r="AT21" s="790">
        <f t="shared" si="81"/>
        <v>0</v>
      </c>
      <c r="AU21" s="790">
        <f t="shared" si="81"/>
        <v>0</v>
      </c>
      <c r="AV21" s="790">
        <f t="shared" si="81"/>
        <v>0</v>
      </c>
      <c r="AW21" s="780">
        <f t="shared" si="81"/>
        <v>0</v>
      </c>
      <c r="AX21" s="834">
        <f t="shared" si="81"/>
        <v>0</v>
      </c>
      <c r="AY21" s="790">
        <f t="shared" si="81"/>
        <v>0</v>
      </c>
      <c r="AZ21" s="790">
        <f t="shared" si="81"/>
        <v>0</v>
      </c>
      <c r="BA21" s="790">
        <f t="shared" si="81"/>
        <v>0</v>
      </c>
      <c r="BB21" s="780">
        <f t="shared" si="81"/>
        <v>0</v>
      </c>
      <c r="BC21" s="834">
        <f t="shared" si="81"/>
        <v>0</v>
      </c>
      <c r="BD21" s="790">
        <f t="shared" si="81"/>
        <v>0</v>
      </c>
      <c r="BE21" s="790">
        <f t="shared" si="81"/>
        <v>0</v>
      </c>
      <c r="BF21" s="850">
        <f t="shared" si="81"/>
        <v>0</v>
      </c>
      <c r="BG21" s="747"/>
      <c r="BH21" s="747"/>
      <c r="BI21" s="747"/>
      <c r="BJ21" s="747"/>
      <c r="BK21" s="747"/>
      <c r="BL21" s="747"/>
      <c r="BM21" s="747"/>
      <c r="BN21" s="747"/>
      <c r="BO21" s="747"/>
      <c r="BP21" s="747"/>
      <c r="BQ21" s="747"/>
      <c r="BR21" s="747"/>
      <c r="BS21" s="747"/>
      <c r="BT21" s="747"/>
      <c r="BU21" s="747"/>
      <c r="BV21" s="747"/>
      <c r="BW21" s="747"/>
      <c r="BX21" s="747"/>
      <c r="BY21" s="747"/>
      <c r="BZ21" s="747"/>
      <c r="CA21" s="747"/>
      <c r="CB21" s="747"/>
      <c r="CC21" s="747"/>
      <c r="CD21" s="747"/>
      <c r="CE21" s="747"/>
      <c r="CF21" s="747"/>
      <c r="CG21" s="747"/>
      <c r="CH21" s="747"/>
      <c r="CI21" s="747"/>
      <c r="CJ21" s="747"/>
      <c r="CK21" s="747"/>
      <c r="CL21" s="747"/>
      <c r="CM21" s="747"/>
      <c r="CN21" s="747"/>
      <c r="CO21" s="747"/>
      <c r="CP21" s="747"/>
      <c r="CQ21" s="747"/>
      <c r="CR21" s="747"/>
      <c r="CS21" s="747"/>
      <c r="CT21" s="747"/>
      <c r="CU21" s="747"/>
      <c r="CV21" s="747"/>
      <c r="CW21" s="747"/>
      <c r="CX21" s="747"/>
      <c r="CY21" s="747"/>
      <c r="CZ21" s="747"/>
      <c r="DA21" s="747"/>
      <c r="DB21" s="747"/>
      <c r="DC21" s="747"/>
      <c r="DD21" s="747"/>
      <c r="DE21" s="747"/>
      <c r="DF21" s="747"/>
      <c r="DG21" s="747"/>
      <c r="DH21" s="747"/>
      <c r="DI21" s="747"/>
      <c r="DJ21" s="747"/>
      <c r="DK21" s="747"/>
      <c r="DL21" s="747"/>
      <c r="DM21" s="747"/>
      <c r="DN21" s="747"/>
      <c r="DO21" s="747"/>
      <c r="DP21" s="747"/>
      <c r="DQ21" s="747"/>
      <c r="DR21" s="747"/>
      <c r="DS21" s="747"/>
      <c r="DT21" s="747"/>
      <c r="DU21" s="747"/>
      <c r="DV21" s="747"/>
      <c r="DW21" s="747"/>
      <c r="DX21" s="747"/>
      <c r="DY21" s="747"/>
      <c r="DZ21" s="747"/>
      <c r="EA21" s="747"/>
      <c r="EB21" s="747"/>
      <c r="EC21" s="747"/>
      <c r="ED21" s="747"/>
      <c r="EE21" s="747"/>
      <c r="EF21" s="747"/>
      <c r="EG21" s="747"/>
      <c r="EH21" s="747"/>
      <c r="EI21" s="747"/>
      <c r="EJ21" s="747"/>
      <c r="EK21" s="747"/>
      <c r="EL21" s="747"/>
      <c r="EM21" s="747"/>
      <c r="EN21" s="747"/>
      <c r="EO21" s="747"/>
      <c r="EP21" s="747"/>
      <c r="EQ21" s="747"/>
      <c r="ER21" s="747"/>
      <c r="ES21" s="747"/>
      <c r="ET21" s="747"/>
      <c r="EU21" s="747"/>
      <c r="EV21" s="747"/>
      <c r="EW21" s="747"/>
      <c r="EX21" s="747"/>
      <c r="EY21" s="747"/>
      <c r="EZ21" s="747"/>
      <c r="FA21" s="747"/>
      <c r="FB21" s="747"/>
      <c r="FC21" s="747"/>
      <c r="FD21" s="747"/>
      <c r="FE21" s="747"/>
      <c r="FF21" s="747"/>
      <c r="FG21" s="747"/>
      <c r="FH21" s="747"/>
      <c r="FI21" s="747"/>
      <c r="FJ21" s="747"/>
      <c r="FK21" s="747"/>
      <c r="FL21" s="747"/>
      <c r="FM21" s="747"/>
      <c r="FN21" s="747"/>
      <c r="FO21" s="747"/>
      <c r="FP21" s="747"/>
      <c r="FQ21" s="747"/>
      <c r="FR21" s="747"/>
      <c r="FS21" s="747"/>
      <c r="FT21" s="747"/>
      <c r="FU21" s="747"/>
      <c r="FV21" s="747"/>
      <c r="FW21" s="747"/>
      <c r="FX21" s="747"/>
      <c r="FY21" s="747"/>
      <c r="FZ21" s="747"/>
      <c r="GA21" s="747"/>
      <c r="GB21" s="747"/>
      <c r="GC21" s="747"/>
      <c r="GD21" s="747"/>
      <c r="GE21" s="747"/>
      <c r="GF21" s="747"/>
      <c r="GG21" s="747"/>
      <c r="GH21" s="747"/>
      <c r="GI21" s="747"/>
      <c r="GJ21" s="747"/>
    </row>
    <row r="22" spans="1:192" ht="17.25" customHeight="1" outlineLevel="2">
      <c r="A22" s="784"/>
      <c r="B22" s="783" t="s">
        <v>706</v>
      </c>
      <c r="C22" s="773">
        <f t="shared" si="77"/>
        <v>3112.638175894861</v>
      </c>
      <c r="D22" s="761">
        <f t="shared" ref="D22:D27" si="82">SUM(E22:H22)</f>
        <v>0</v>
      </c>
      <c r="E22" s="785">
        <f>'14.增值税计算表'!E20*(1+'2.税率表'!$D$13+'2.税率表'!$D$14+'2.税率表'!$D$17)+'14.增值税计算表'!E365+'14.增值税计算表'!E376</f>
        <v>0</v>
      </c>
      <c r="F22" s="785">
        <f>'14.增值税计算表'!F20*(1+'2.税率表'!$D$13+'2.税率表'!$D$14+'2.税率表'!$D$17)+'14.增值税计算表'!F365</f>
        <v>0</v>
      </c>
      <c r="G22" s="785">
        <f>'14.增值税计算表'!G20*(1+'2.税率表'!$D$13+'2.税率表'!$D$14+'2.税率表'!$D$17)+'14.增值税计算表'!G365</f>
        <v>0</v>
      </c>
      <c r="H22" s="786">
        <f>'14.增值税计算表'!H20*(1+'2.税率表'!$D$13+'2.税率表'!$D$14+'2.税率表'!$D$17)+'14.增值税计算表'!H365</f>
        <v>0</v>
      </c>
      <c r="I22" s="761">
        <f t="shared" ref="I22:I27" si="83">SUM(J22:M22)</f>
        <v>0</v>
      </c>
      <c r="J22" s="832">
        <f>'14.增值税计算表'!I20*(1+'2.税率表'!$D$13+'2.税率表'!$D$14+'2.税率表'!$D$17)+'14.增值税计算表'!I365+'14.增值税计算表'!I376</f>
        <v>0</v>
      </c>
      <c r="K22" s="785">
        <f>'14.增值税计算表'!J20*(1+'2.税率表'!$D$13+'2.税率表'!$D$14+'2.税率表'!$D$17)+'14.增值税计算表'!J365+'14.增值税计算表'!J376</f>
        <v>0</v>
      </c>
      <c r="L22" s="785">
        <f>'14.增值税计算表'!K20*(1+'2.税率表'!$D$13+'2.税率表'!$D$14+'2.税率表'!$D$17)+'14.增值税计算表'!K365+'14.增值税计算表'!K376</f>
        <v>0</v>
      </c>
      <c r="M22" s="785">
        <f>'14.增值税计算表'!L20*(1+'2.税率表'!$D$13+'2.税率表'!$D$14+'2.税率表'!$D$17)+'14.增值税计算表'!L365+'14.增值税计算表'!L376</f>
        <v>0</v>
      </c>
      <c r="N22" s="761">
        <f t="shared" si="59"/>
        <v>3076.0761274372107</v>
      </c>
      <c r="O22" s="832">
        <f>'14.增值税计算表'!M20*(1+'2.税率表'!$D$13+'2.税率表'!$D$14+'2.税率表'!$D$17)+'14.增值税计算表'!M365+'14.增值税计算表'!M376</f>
        <v>0</v>
      </c>
      <c r="P22" s="785">
        <f>'14.增值税计算表'!N20*(1+'2.税率表'!$D$13+'2.税率表'!$D$14+'2.税率表'!$D$17)+'14.增值税计算表'!N365+'14.增值税计算表'!N376</f>
        <v>0</v>
      </c>
      <c r="Q22" s="785">
        <f>'14.增值税计算表'!O20*(1+'2.税率表'!$D$13+'2.税率表'!$D$14+'2.税率表'!$D$17)+'14.增值税计算表'!O365+'14.增值税计算表'!O376</f>
        <v>0</v>
      </c>
      <c r="R22" s="785">
        <f>'14.增值税计算表'!P20*(1+'2.税率表'!$D$13+'2.税率表'!$D$14+'2.税率表'!$D$17)+'14.增值税计算表'!P365+'14.增值税计算表'!P376</f>
        <v>3076.0761274372107</v>
      </c>
      <c r="S22" s="761">
        <f t="shared" si="61"/>
        <v>36.562048457650235</v>
      </c>
      <c r="T22" s="832">
        <f>'14.增值税计算表'!Q20*(1+'2.税率表'!$D$13+'2.税率表'!$D$14+'2.税率表'!$D$17)+'14.增值税计算表'!Q365+'14.增值税计算表'!Q376</f>
        <v>36.562048457650235</v>
      </c>
      <c r="U22" s="785">
        <f>'14.增值税计算表'!R20*(1+'2.税率表'!$D$13+'2.税率表'!$D$14+'2.税率表'!$D$17)+'14.增值税计算表'!R365+'14.增值税计算表'!R376</f>
        <v>0</v>
      </c>
      <c r="V22" s="785">
        <f>'14.增值税计算表'!S20*(1+'2.税率表'!$D$13+'2.税率表'!$D$14+'2.税率表'!$D$17)+'14.增值税计算表'!S365+'14.增值税计算表'!S376</f>
        <v>0</v>
      </c>
      <c r="W22" s="785">
        <f>'14.增值税计算表'!T20*(1+'2.税率表'!$D$13+'2.税率表'!$D$14+'2.税率表'!$D$17)+'14.增值税计算表'!T365+'14.增值税计算表'!T376</f>
        <v>0</v>
      </c>
      <c r="X22" s="761">
        <f t="shared" si="63"/>
        <v>0</v>
      </c>
      <c r="Y22" s="832">
        <f>'14.增值税计算表'!U20*(1+'2.税率表'!$D$13+'2.税率表'!$D$14+'2.税率表'!$D$17)+'14.增值税计算表'!U365+'14.增值税计算表'!U376</f>
        <v>0</v>
      </c>
      <c r="Z22" s="785">
        <f>'14.增值税计算表'!V20*(1+'2.税率表'!$D$13+'2.税率表'!$D$14+'2.税率表'!$D$17)+'14.增值税计算表'!V365+'14.增值税计算表'!V376</f>
        <v>0</v>
      </c>
      <c r="AA22" s="785">
        <f>'14.增值税计算表'!W20*(1+'2.税率表'!$D$13+'2.税率表'!$D$14+'2.税率表'!$D$17)+'14.增值税计算表'!W365+'14.增值税计算表'!W376</f>
        <v>0</v>
      </c>
      <c r="AB22" s="785">
        <f>'14.增值税计算表'!X20*(1+'2.税率表'!$D$13+'2.税率表'!$D$14+'2.税率表'!$D$17)+'14.增值税计算表'!X365+'14.增值税计算表'!X376</f>
        <v>0</v>
      </c>
      <c r="AC22" s="761">
        <f t="shared" si="65"/>
        <v>0</v>
      </c>
      <c r="AD22" s="832">
        <f>'14.增值税计算表'!Y20*(1+'2.税率表'!$D$13+'2.税率表'!$D$14+'2.税率表'!$D$17)+'14.增值税计算表'!Y365+'14.增值税计算表'!Y376</f>
        <v>0</v>
      </c>
      <c r="AE22" s="785">
        <f>'14.增值税计算表'!Z20*(1+'2.税率表'!$D$13+'2.税率表'!$D$14+'2.税率表'!$D$17)+'14.增值税计算表'!Z365+'14.增值税计算表'!Z376</f>
        <v>0</v>
      </c>
      <c r="AF22" s="785">
        <f>'14.增值税计算表'!AA20*(1+'2.税率表'!$D$13+'2.税率表'!$D$14+'2.税率表'!$D$17)+'14.增值税计算表'!AA365+'14.增值税计算表'!AA376</f>
        <v>0</v>
      </c>
      <c r="AG22" s="785">
        <f>'14.增值税计算表'!AB20*(1+'2.税率表'!$D$13+'2.税率表'!$D$14+'2.税率表'!$D$17)+'14.增值税计算表'!AB365+'14.增值税计算表'!AB376</f>
        <v>0</v>
      </c>
      <c r="AH22" s="761">
        <f t="shared" si="67"/>
        <v>0</v>
      </c>
      <c r="AI22" s="832">
        <f>'14.增值税计算表'!AC20*(1+'2.税率表'!$D$13+'2.税率表'!$D$14+'2.税率表'!$D$17)+'14.增值税计算表'!AC365+'14.增值税计算表'!AC376</f>
        <v>0</v>
      </c>
      <c r="AJ22" s="785">
        <f>'14.增值税计算表'!AD20*(1+'2.税率表'!$D$13+'2.税率表'!$D$14+'2.税率表'!$D$17)+'14.增值税计算表'!AD365+'14.增值税计算表'!AD376</f>
        <v>0</v>
      </c>
      <c r="AK22" s="785">
        <f>'14.增值税计算表'!AE20*(1+'2.税率表'!$D$13+'2.税率表'!$D$14+'2.税率表'!$D$17)+'14.增值税计算表'!AE365+'14.增值税计算表'!AE376</f>
        <v>0</v>
      </c>
      <c r="AL22" s="785">
        <f>'14.增值税计算表'!AF20*(1+'2.税率表'!$D$13+'2.税率表'!$D$14+'2.税率表'!$D$17)+'14.增值税计算表'!AF365+'14.增值税计算表'!AF376</f>
        <v>0</v>
      </c>
      <c r="AM22" s="761">
        <f t="shared" si="69"/>
        <v>0</v>
      </c>
      <c r="AN22" s="832">
        <f>'14.增值税计算表'!AG20*(1+'2.税率表'!$D$13+'2.税率表'!$D$14+'2.税率表'!$D$17)+'14.增值税计算表'!AG365+'14.增值税计算表'!AG376</f>
        <v>0</v>
      </c>
      <c r="AO22" s="785">
        <f>'14.增值税计算表'!AH20*(1+'2.税率表'!$D$13+'2.税率表'!$D$14+'2.税率表'!$D$17)+'14.增值税计算表'!AH365+'14.增值税计算表'!AH376</f>
        <v>0</v>
      </c>
      <c r="AP22" s="785">
        <f>'14.增值税计算表'!AI20*(1+'2.税率表'!$D$13+'2.税率表'!$D$14+'2.税率表'!$D$17)+'14.增值税计算表'!AI365+'14.增值税计算表'!AI376</f>
        <v>0</v>
      </c>
      <c r="AQ22" s="785">
        <f>'14.增值税计算表'!AJ20*(1+'2.税率表'!$D$13+'2.税率表'!$D$14+'2.税率表'!$D$17)+'14.增值税计算表'!AJ365+'14.增值税计算表'!AJ376</f>
        <v>0</v>
      </c>
      <c r="AR22" s="761">
        <f t="shared" si="71"/>
        <v>0</v>
      </c>
      <c r="AS22" s="832">
        <f>'14.增值税计算表'!AK20*(1+'2.税率表'!$D$13+'2.税率表'!$D$14+'2.税率表'!$D$17)+'14.增值税计算表'!AK365+'14.增值税计算表'!AK376</f>
        <v>0</v>
      </c>
      <c r="AT22" s="785">
        <f>'14.增值税计算表'!AL20*(1+'2.税率表'!$D$13+'2.税率表'!$D$14+'2.税率表'!$D$17)+'14.增值税计算表'!AL365+'14.增值税计算表'!AL376</f>
        <v>0</v>
      </c>
      <c r="AU22" s="785">
        <f>'14.增值税计算表'!AM20*(1+'2.税率表'!$D$13+'2.税率表'!$D$14+'2.税率表'!$D$17)+'14.增值税计算表'!AM365+'14.增值税计算表'!AM376</f>
        <v>0</v>
      </c>
      <c r="AV22" s="785">
        <f>'14.增值税计算表'!AN20*(1+'2.税率表'!$D$13+'2.税率表'!$D$14+'2.税率表'!$D$17)+'14.增值税计算表'!AN365+'14.增值税计算表'!AN376</f>
        <v>0</v>
      </c>
      <c r="AW22" s="761">
        <f t="shared" si="73"/>
        <v>0</v>
      </c>
      <c r="AX22" s="832">
        <f>'14.增值税计算表'!AO20*(1+'2.税率表'!$D$13+'2.税率表'!$D$14+'2.税率表'!$D$17)+'14.增值税计算表'!AO365+'14.增值税计算表'!AO376</f>
        <v>0</v>
      </c>
      <c r="AY22" s="785">
        <f>'14.增值税计算表'!AP20*(1+'2.税率表'!$D$13+'2.税率表'!$D$14+'2.税率表'!$D$17)+'14.增值税计算表'!AP365+'14.增值税计算表'!AP376</f>
        <v>0</v>
      </c>
      <c r="AZ22" s="785">
        <f>'14.增值税计算表'!AQ20*(1+'2.税率表'!$D$13+'2.税率表'!$D$14+'2.税率表'!$D$17)+'14.增值税计算表'!AQ365+'14.增值税计算表'!AQ376</f>
        <v>0</v>
      </c>
      <c r="BA22" s="785">
        <f>'14.增值税计算表'!AR20*(1+'2.税率表'!$D$13+'2.税率表'!$D$14+'2.税率表'!$D$17)+'14.增值税计算表'!AR365+'14.增值税计算表'!AR376</f>
        <v>0</v>
      </c>
      <c r="BB22" s="761">
        <f t="shared" si="75"/>
        <v>0</v>
      </c>
      <c r="BC22" s="832">
        <f>'14.增值税计算表'!AS20*(1+'2.税率表'!$D$13+'2.税率表'!$D$14+'2.税率表'!$D$17)+'14.增值税计算表'!AS365+'14.增值税计算表'!AS376</f>
        <v>0</v>
      </c>
      <c r="BD22" s="785">
        <f>'14.增值税计算表'!AT20*(1+'2.税率表'!$D$13+'2.税率表'!$D$14+'2.税率表'!$D$17)+'14.增值税计算表'!AT365+'14.增值税计算表'!AT376</f>
        <v>0</v>
      </c>
      <c r="BE22" s="785">
        <f>'14.增值税计算表'!AU20*(1+'2.税率表'!$D$13+'2.税率表'!$D$14+'2.税率表'!$D$17)+'14.增值税计算表'!AU365+'14.增值税计算表'!AU376</f>
        <v>0</v>
      </c>
      <c r="BF22" s="848">
        <f>'14.增值税计算表'!AV20*(1+'2.税率表'!$D$13+'2.税率表'!$D$14+'2.税率表'!$D$17)+'14.增值税计算表'!AV365+'14.增值税计算表'!AV376</f>
        <v>0</v>
      </c>
      <c r="BG22" s="747"/>
      <c r="BH22" s="747"/>
      <c r="BI22" s="747"/>
      <c r="BJ22" s="747"/>
      <c r="BK22" s="747"/>
      <c r="BL22" s="747"/>
      <c r="BM22" s="747"/>
      <c r="BN22" s="747"/>
      <c r="BO22" s="747"/>
      <c r="BP22" s="747"/>
      <c r="BQ22" s="747"/>
      <c r="BR22" s="747"/>
      <c r="BS22" s="747"/>
      <c r="BT22" s="747"/>
      <c r="BU22" s="747"/>
      <c r="BV22" s="747"/>
      <c r="BW22" s="747"/>
      <c r="BX22" s="747"/>
      <c r="BY22" s="747"/>
      <c r="BZ22" s="747"/>
      <c r="CA22" s="747"/>
      <c r="CB22" s="747"/>
      <c r="CC22" s="747"/>
      <c r="CD22" s="747"/>
      <c r="CE22" s="747"/>
      <c r="CF22" s="747"/>
      <c r="CG22" s="747"/>
      <c r="CH22" s="747"/>
      <c r="CI22" s="747"/>
      <c r="CJ22" s="747"/>
      <c r="CK22" s="747"/>
      <c r="CL22" s="747"/>
      <c r="CM22" s="747"/>
      <c r="CN22" s="747"/>
      <c r="CO22" s="747"/>
      <c r="CP22" s="747"/>
      <c r="CQ22" s="747"/>
      <c r="CR22" s="747"/>
      <c r="CS22" s="747"/>
      <c r="CT22" s="747"/>
      <c r="CU22" s="747"/>
      <c r="CV22" s="747"/>
      <c r="CW22" s="747"/>
      <c r="CX22" s="747"/>
      <c r="CY22" s="747"/>
      <c r="CZ22" s="747"/>
      <c r="DA22" s="747"/>
      <c r="DB22" s="747"/>
      <c r="DC22" s="747"/>
      <c r="DD22" s="747"/>
      <c r="DE22" s="747"/>
      <c r="DF22" s="747"/>
      <c r="DG22" s="747"/>
      <c r="DH22" s="747"/>
      <c r="DI22" s="747"/>
      <c r="DJ22" s="747"/>
      <c r="DK22" s="747"/>
      <c r="DL22" s="747"/>
      <c r="DM22" s="747"/>
      <c r="DN22" s="747"/>
      <c r="DO22" s="747"/>
      <c r="DP22" s="747"/>
      <c r="DQ22" s="747"/>
      <c r="DR22" s="747"/>
      <c r="DS22" s="747"/>
      <c r="DT22" s="747"/>
      <c r="DU22" s="747"/>
      <c r="DV22" s="747"/>
      <c r="DW22" s="747"/>
      <c r="DX22" s="747"/>
      <c r="DY22" s="747"/>
      <c r="DZ22" s="747"/>
      <c r="EA22" s="747"/>
      <c r="EB22" s="747"/>
      <c r="EC22" s="747"/>
      <c r="ED22" s="747"/>
      <c r="EE22" s="747"/>
      <c r="EF22" s="747"/>
      <c r="EG22" s="747"/>
      <c r="EH22" s="747"/>
      <c r="EI22" s="747"/>
      <c r="EJ22" s="747"/>
      <c r="EK22" s="747"/>
      <c r="EL22" s="747"/>
      <c r="EM22" s="747"/>
      <c r="EN22" s="747"/>
      <c r="EO22" s="747"/>
      <c r="EP22" s="747"/>
      <c r="EQ22" s="747"/>
      <c r="ER22" s="747"/>
      <c r="ES22" s="747"/>
      <c r="ET22" s="747"/>
      <c r="EU22" s="747"/>
      <c r="EV22" s="747"/>
      <c r="EW22" s="747"/>
      <c r="EX22" s="747"/>
      <c r="EY22" s="747"/>
      <c r="EZ22" s="747"/>
      <c r="FA22" s="747"/>
      <c r="FB22" s="747"/>
      <c r="FC22" s="747"/>
      <c r="FD22" s="747"/>
      <c r="FE22" s="747"/>
      <c r="FF22" s="747"/>
      <c r="FG22" s="747"/>
      <c r="FH22" s="747"/>
      <c r="FI22" s="747"/>
      <c r="FJ22" s="747"/>
      <c r="FK22" s="747"/>
      <c r="FL22" s="747"/>
      <c r="FM22" s="747"/>
      <c r="FN22" s="747"/>
      <c r="FO22" s="747"/>
      <c r="FP22" s="747"/>
      <c r="FQ22" s="747"/>
      <c r="FR22" s="747"/>
      <c r="FS22" s="747"/>
      <c r="FT22" s="747"/>
      <c r="FU22" s="747"/>
      <c r="FV22" s="747"/>
      <c r="FW22" s="747"/>
      <c r="FX22" s="747"/>
      <c r="FY22" s="747"/>
      <c r="FZ22" s="747"/>
      <c r="GA22" s="747"/>
      <c r="GB22" s="747"/>
      <c r="GC22" s="747"/>
      <c r="GD22" s="747"/>
      <c r="GE22" s="747"/>
      <c r="GF22" s="747"/>
      <c r="GG22" s="747"/>
      <c r="GH22" s="747"/>
      <c r="GI22" s="747"/>
      <c r="GJ22" s="747"/>
    </row>
    <row r="23" spans="1:192" ht="17.25" customHeight="1" outlineLevel="2">
      <c r="A23" s="784"/>
      <c r="B23" s="783" t="s">
        <v>707</v>
      </c>
      <c r="C23" s="773">
        <f t="shared" ca="1" si="77"/>
        <v>7632.9854964831366</v>
      </c>
      <c r="D23" s="761">
        <f t="shared" si="82"/>
        <v>0</v>
      </c>
      <c r="E23" s="773">
        <f>SUM('15.土地增值税'!D129:D134)</f>
        <v>0</v>
      </c>
      <c r="F23" s="773">
        <f>SUM('15.土地增值税'!E129:E134)</f>
        <v>0</v>
      </c>
      <c r="G23" s="773">
        <f>SUM('15.土地增值税'!F129:F134)</f>
        <v>0</v>
      </c>
      <c r="H23" s="773">
        <f>SUM('15.土地增值税'!G129:G134)</f>
        <v>0</v>
      </c>
      <c r="I23" s="761">
        <f t="shared" si="83"/>
        <v>0</v>
      </c>
      <c r="J23" s="773">
        <f>SUM('15.土地增值税'!H129:H134)</f>
        <v>0</v>
      </c>
      <c r="K23" s="773">
        <f>SUM('15.土地增值税'!I129:I134)</f>
        <v>0</v>
      </c>
      <c r="L23" s="773">
        <f>SUM('15.土地增值税'!J129:J134)</f>
        <v>0</v>
      </c>
      <c r="M23" s="773">
        <f>SUM('15.土地增值税'!K129:K134)</f>
        <v>0</v>
      </c>
      <c r="N23" s="761">
        <f t="shared" ca="1" si="59"/>
        <v>7632.9854964831366</v>
      </c>
      <c r="O23" s="773">
        <f ca="1">SUM('15.土地增值税'!L129:L134)</f>
        <v>7632.9854964831366</v>
      </c>
      <c r="P23" s="773">
        <f>SUM('15.土地增值税'!M129:M134)</f>
        <v>0</v>
      </c>
      <c r="Q23" s="773">
        <f>SUM('15.土地增值税'!N129:N134)</f>
        <v>0</v>
      </c>
      <c r="R23" s="773">
        <f>SUM('15.土地增值税'!O129:O134)</f>
        <v>0</v>
      </c>
      <c r="S23" s="761">
        <f t="shared" si="61"/>
        <v>0</v>
      </c>
      <c r="T23" s="773">
        <f>SUM('15.土地增值税'!P129:P134)</f>
        <v>0</v>
      </c>
      <c r="U23" s="773">
        <f>SUM('15.土地增值税'!Q129:Q134)</f>
        <v>0</v>
      </c>
      <c r="V23" s="773">
        <f>SUM('15.土地增值税'!R129:R134)</f>
        <v>0</v>
      </c>
      <c r="W23" s="773">
        <f>SUM('15.土地增值税'!S129:S134)</f>
        <v>0</v>
      </c>
      <c r="X23" s="761">
        <f t="shared" si="63"/>
        <v>0</v>
      </c>
      <c r="Y23" s="773">
        <f>SUM('15.土地增值税'!T129:T134)</f>
        <v>0</v>
      </c>
      <c r="Z23" s="773">
        <f>SUM('15.土地增值税'!U129:U134)</f>
        <v>0</v>
      </c>
      <c r="AA23" s="773">
        <f>SUM('15.土地增值税'!V129:V134)</f>
        <v>0</v>
      </c>
      <c r="AB23" s="773">
        <f>SUM('15.土地增值税'!W129:W134)</f>
        <v>0</v>
      </c>
      <c r="AC23" s="761">
        <f t="shared" si="65"/>
        <v>0</v>
      </c>
      <c r="AD23" s="773">
        <f>SUM('15.土地增值税'!X129:X134)</f>
        <v>0</v>
      </c>
      <c r="AE23" s="773">
        <f>SUM('15.土地增值税'!Y129:Y134)</f>
        <v>0</v>
      </c>
      <c r="AF23" s="773">
        <f>SUM('15.土地增值税'!Z129:Z134)</f>
        <v>0</v>
      </c>
      <c r="AG23" s="773">
        <f>SUM('15.土地增值税'!AA129:AA134)</f>
        <v>0</v>
      </c>
      <c r="AH23" s="761">
        <f t="shared" si="67"/>
        <v>0</v>
      </c>
      <c r="AI23" s="773">
        <f>SUM('15.土地增值税'!AB129:AB134)</f>
        <v>0</v>
      </c>
      <c r="AJ23" s="773">
        <f>SUM('15.土地增值税'!AC129:AC134)</f>
        <v>0</v>
      </c>
      <c r="AK23" s="773">
        <f>SUM('15.土地增值税'!AD129:AD134)</f>
        <v>0</v>
      </c>
      <c r="AL23" s="773">
        <f>SUM('15.土地增值税'!AE129:AE134)</f>
        <v>0</v>
      </c>
      <c r="AM23" s="761">
        <f t="shared" si="69"/>
        <v>0</v>
      </c>
      <c r="AN23" s="773">
        <f>SUM('15.土地增值税'!AF129:AF134)</f>
        <v>0</v>
      </c>
      <c r="AO23" s="773">
        <f>SUM('15.土地增值税'!AG129:AG134)</f>
        <v>0</v>
      </c>
      <c r="AP23" s="773">
        <f>SUM('15.土地增值税'!AH129:AH134)</f>
        <v>0</v>
      </c>
      <c r="AQ23" s="773">
        <f>SUM('15.土地增值税'!AI129:AI134)</f>
        <v>0</v>
      </c>
      <c r="AR23" s="761">
        <f t="shared" si="71"/>
        <v>0</v>
      </c>
      <c r="AS23" s="773">
        <f>SUM('15.土地增值税'!AJ129:AJ134)</f>
        <v>0</v>
      </c>
      <c r="AT23" s="773">
        <f>SUM('15.土地增值税'!AK129:AK134)</f>
        <v>0</v>
      </c>
      <c r="AU23" s="773">
        <f>SUM('15.土地增值税'!AL129:AL134)</f>
        <v>0</v>
      </c>
      <c r="AV23" s="773">
        <f>SUM('15.土地增值税'!AM129:AM134)</f>
        <v>0</v>
      </c>
      <c r="AW23" s="761">
        <f t="shared" si="73"/>
        <v>0</v>
      </c>
      <c r="AX23" s="773">
        <f>SUM('15.土地增值税'!AN129:AN134)</f>
        <v>0</v>
      </c>
      <c r="AY23" s="773">
        <f>SUM('15.土地增值税'!AO129:AO134)</f>
        <v>0</v>
      </c>
      <c r="AZ23" s="773">
        <f>SUM('15.土地增值税'!AP129:AP134)</f>
        <v>0</v>
      </c>
      <c r="BA23" s="773">
        <f>SUM('15.土地增值税'!AQ129:AQ134)</f>
        <v>0</v>
      </c>
      <c r="BB23" s="761">
        <f t="shared" si="75"/>
        <v>0</v>
      </c>
      <c r="BC23" s="773">
        <f>SUM('15.土地增值税'!AR129:AR134)</f>
        <v>0</v>
      </c>
      <c r="BD23" s="773">
        <f>SUM('15.土地增值税'!AS129:AS134)</f>
        <v>0</v>
      </c>
      <c r="BE23" s="773">
        <f>SUM('15.土地增值税'!AT129:AT134)</f>
        <v>0</v>
      </c>
      <c r="BF23" s="845">
        <f>SUM('15.土地增值税'!AU129:AU134)</f>
        <v>0</v>
      </c>
      <c r="BG23" s="747"/>
      <c r="BH23" s="747"/>
      <c r="BI23" s="747"/>
      <c r="BJ23" s="747"/>
      <c r="BK23" s="747"/>
      <c r="BL23" s="747"/>
      <c r="BM23" s="747"/>
      <c r="BN23" s="747"/>
      <c r="BO23" s="747"/>
      <c r="BP23" s="747"/>
      <c r="BQ23" s="747"/>
      <c r="BR23" s="747"/>
      <c r="BS23" s="747"/>
      <c r="BT23" s="747"/>
      <c r="BU23" s="747"/>
      <c r="BV23" s="747"/>
      <c r="BW23" s="747"/>
      <c r="BX23" s="747"/>
      <c r="BY23" s="747"/>
      <c r="BZ23" s="747"/>
      <c r="CA23" s="747"/>
      <c r="CB23" s="747"/>
      <c r="CC23" s="747"/>
      <c r="CD23" s="747"/>
      <c r="CE23" s="747"/>
      <c r="CF23" s="747"/>
      <c r="CG23" s="747"/>
      <c r="CH23" s="747"/>
      <c r="CI23" s="747"/>
      <c r="CJ23" s="747"/>
      <c r="CK23" s="747"/>
      <c r="CL23" s="747"/>
      <c r="CM23" s="747"/>
      <c r="CN23" s="747"/>
      <c r="CO23" s="747"/>
      <c r="CP23" s="747"/>
      <c r="CQ23" s="747"/>
      <c r="CR23" s="747"/>
      <c r="CS23" s="747"/>
      <c r="CT23" s="747"/>
      <c r="CU23" s="747"/>
      <c r="CV23" s="747"/>
      <c r="CW23" s="747"/>
      <c r="CX23" s="747"/>
      <c r="CY23" s="747"/>
      <c r="CZ23" s="747"/>
      <c r="DA23" s="747"/>
      <c r="DB23" s="747"/>
      <c r="DC23" s="747"/>
      <c r="DD23" s="747"/>
      <c r="DE23" s="747"/>
      <c r="DF23" s="747"/>
      <c r="DG23" s="747"/>
      <c r="DH23" s="747"/>
      <c r="DI23" s="747"/>
      <c r="DJ23" s="747"/>
      <c r="DK23" s="747"/>
      <c r="DL23" s="747"/>
      <c r="DM23" s="747"/>
      <c r="DN23" s="747"/>
      <c r="DO23" s="747"/>
      <c r="DP23" s="747"/>
      <c r="DQ23" s="747"/>
      <c r="DR23" s="747"/>
      <c r="DS23" s="747"/>
      <c r="DT23" s="747"/>
      <c r="DU23" s="747"/>
      <c r="DV23" s="747"/>
      <c r="DW23" s="747"/>
      <c r="DX23" s="747"/>
      <c r="DY23" s="747"/>
      <c r="DZ23" s="747"/>
      <c r="EA23" s="747"/>
      <c r="EB23" s="747"/>
      <c r="EC23" s="747"/>
      <c r="ED23" s="747"/>
      <c r="EE23" s="747"/>
      <c r="EF23" s="747"/>
      <c r="EG23" s="747"/>
      <c r="EH23" s="747"/>
      <c r="EI23" s="747"/>
      <c r="EJ23" s="747"/>
      <c r="EK23" s="747"/>
      <c r="EL23" s="747"/>
      <c r="EM23" s="747"/>
      <c r="EN23" s="747"/>
      <c r="EO23" s="747"/>
      <c r="EP23" s="747"/>
      <c r="EQ23" s="747"/>
      <c r="ER23" s="747"/>
      <c r="ES23" s="747"/>
      <c r="ET23" s="747"/>
      <c r="EU23" s="747"/>
      <c r="EV23" s="747"/>
      <c r="EW23" s="747"/>
      <c r="EX23" s="747"/>
      <c r="EY23" s="747"/>
      <c r="EZ23" s="747"/>
      <c r="FA23" s="747"/>
      <c r="FB23" s="747"/>
      <c r="FC23" s="747"/>
      <c r="FD23" s="747"/>
      <c r="FE23" s="747"/>
      <c r="FF23" s="747"/>
      <c r="FG23" s="747"/>
      <c r="FH23" s="747"/>
      <c r="FI23" s="747"/>
      <c r="FJ23" s="747"/>
      <c r="FK23" s="747"/>
      <c r="FL23" s="747"/>
      <c r="FM23" s="747"/>
      <c r="FN23" s="747"/>
      <c r="FO23" s="747"/>
      <c r="FP23" s="747"/>
      <c r="FQ23" s="747"/>
      <c r="FR23" s="747"/>
      <c r="FS23" s="747"/>
      <c r="FT23" s="747"/>
      <c r="FU23" s="747"/>
      <c r="FV23" s="747"/>
      <c r="FW23" s="747"/>
      <c r="FX23" s="747"/>
      <c r="FY23" s="747"/>
      <c r="FZ23" s="747"/>
      <c r="GA23" s="747"/>
      <c r="GB23" s="747"/>
      <c r="GC23" s="747"/>
      <c r="GD23" s="747"/>
      <c r="GE23" s="747"/>
      <c r="GF23" s="747"/>
      <c r="GG23" s="747"/>
      <c r="GH23" s="747"/>
      <c r="GI23" s="747"/>
      <c r="GJ23" s="747"/>
    </row>
    <row r="24" spans="1:192" s="736" customFormat="1" ht="17.25" customHeight="1">
      <c r="A24" s="792"/>
      <c r="B24" s="768" t="s">
        <v>708</v>
      </c>
      <c r="C24" s="793">
        <f t="shared" ref="C24:H24" si="84">SUM(C25:C27)</f>
        <v>0</v>
      </c>
      <c r="D24" s="761">
        <f t="shared" si="82"/>
        <v>0</v>
      </c>
      <c r="E24" s="770">
        <f t="shared" si="84"/>
        <v>0</v>
      </c>
      <c r="F24" s="770">
        <f t="shared" si="84"/>
        <v>0</v>
      </c>
      <c r="G24" s="770">
        <f t="shared" si="84"/>
        <v>0</v>
      </c>
      <c r="H24" s="771">
        <f t="shared" si="84"/>
        <v>0</v>
      </c>
      <c r="I24" s="761">
        <f t="shared" si="83"/>
        <v>0</v>
      </c>
      <c r="J24" s="828">
        <f t="shared" ref="J24:M24" si="85">SUM(J25:J27)</f>
        <v>0</v>
      </c>
      <c r="K24" s="770">
        <f t="shared" si="85"/>
        <v>0</v>
      </c>
      <c r="L24" s="770">
        <f t="shared" si="85"/>
        <v>0</v>
      </c>
      <c r="M24" s="770">
        <f t="shared" si="85"/>
        <v>0</v>
      </c>
      <c r="N24" s="761">
        <f t="shared" si="59"/>
        <v>0</v>
      </c>
      <c r="O24" s="828">
        <f t="shared" ref="O24:R24" si="86">SUM(O25:O27)</f>
        <v>0</v>
      </c>
      <c r="P24" s="770">
        <f t="shared" si="86"/>
        <v>0</v>
      </c>
      <c r="Q24" s="770">
        <f t="shared" si="86"/>
        <v>0</v>
      </c>
      <c r="R24" s="770">
        <f t="shared" si="86"/>
        <v>0</v>
      </c>
      <c r="S24" s="761">
        <f t="shared" si="61"/>
        <v>0</v>
      </c>
      <c r="T24" s="828">
        <f t="shared" ref="T24:W24" si="87">SUM(T25:T27)</f>
        <v>0</v>
      </c>
      <c r="U24" s="770">
        <f t="shared" si="87"/>
        <v>0</v>
      </c>
      <c r="V24" s="770">
        <f t="shared" si="87"/>
        <v>0</v>
      </c>
      <c r="W24" s="770">
        <f t="shared" si="87"/>
        <v>0</v>
      </c>
      <c r="X24" s="761">
        <f t="shared" si="63"/>
        <v>0</v>
      </c>
      <c r="Y24" s="828">
        <f t="shared" ref="Y24:AB24" si="88">SUM(Y25:Y27)</f>
        <v>0</v>
      </c>
      <c r="Z24" s="770">
        <f t="shared" si="88"/>
        <v>0</v>
      </c>
      <c r="AA24" s="770">
        <f t="shared" si="88"/>
        <v>0</v>
      </c>
      <c r="AB24" s="770">
        <f t="shared" si="88"/>
        <v>0</v>
      </c>
      <c r="AC24" s="761">
        <f t="shared" si="65"/>
        <v>0</v>
      </c>
      <c r="AD24" s="828">
        <f t="shared" ref="AD24:AG24" si="89">SUM(AD25:AD27)</f>
        <v>0</v>
      </c>
      <c r="AE24" s="770">
        <f t="shared" si="89"/>
        <v>0</v>
      </c>
      <c r="AF24" s="770">
        <f t="shared" si="89"/>
        <v>0</v>
      </c>
      <c r="AG24" s="770">
        <f t="shared" si="89"/>
        <v>0</v>
      </c>
      <c r="AH24" s="761">
        <f t="shared" si="67"/>
        <v>0</v>
      </c>
      <c r="AI24" s="828">
        <f t="shared" ref="AI24:AL24" si="90">SUM(AI25:AI27)</f>
        <v>0</v>
      </c>
      <c r="AJ24" s="770">
        <f t="shared" si="90"/>
        <v>0</v>
      </c>
      <c r="AK24" s="770">
        <f t="shared" si="90"/>
        <v>0</v>
      </c>
      <c r="AL24" s="770">
        <f t="shared" si="90"/>
        <v>0</v>
      </c>
      <c r="AM24" s="761">
        <f t="shared" si="69"/>
        <v>0</v>
      </c>
      <c r="AN24" s="828">
        <f t="shared" ref="AN24:AQ24" si="91">SUM(AN25:AN27)</f>
        <v>0</v>
      </c>
      <c r="AO24" s="770">
        <f t="shared" si="91"/>
        <v>0</v>
      </c>
      <c r="AP24" s="770">
        <f t="shared" si="91"/>
        <v>0</v>
      </c>
      <c r="AQ24" s="770">
        <f t="shared" si="91"/>
        <v>0</v>
      </c>
      <c r="AR24" s="761">
        <f t="shared" si="71"/>
        <v>0</v>
      </c>
      <c r="AS24" s="828">
        <f t="shared" ref="AS24:AV24" si="92">SUM(AS25:AS27)</f>
        <v>0</v>
      </c>
      <c r="AT24" s="770">
        <f t="shared" si="92"/>
        <v>0</v>
      </c>
      <c r="AU24" s="770">
        <f t="shared" si="92"/>
        <v>0</v>
      </c>
      <c r="AV24" s="770">
        <f t="shared" si="92"/>
        <v>0</v>
      </c>
      <c r="AW24" s="761">
        <f t="shared" si="73"/>
        <v>0</v>
      </c>
      <c r="AX24" s="828">
        <f t="shared" ref="AX24:BA24" si="93">SUM(AX25:AX27)</f>
        <v>0</v>
      </c>
      <c r="AY24" s="770">
        <f t="shared" si="93"/>
        <v>0</v>
      </c>
      <c r="AZ24" s="770">
        <f t="shared" si="93"/>
        <v>0</v>
      </c>
      <c r="BA24" s="770">
        <f t="shared" si="93"/>
        <v>0</v>
      </c>
      <c r="BB24" s="761">
        <f t="shared" si="75"/>
        <v>0</v>
      </c>
      <c r="BC24" s="828">
        <f t="shared" ref="BC24:BF24" si="94">SUM(BC25:BC27)</f>
        <v>0</v>
      </c>
      <c r="BD24" s="770">
        <f t="shared" si="94"/>
        <v>0</v>
      </c>
      <c r="BE24" s="770">
        <f t="shared" si="94"/>
        <v>0</v>
      </c>
      <c r="BF24" s="844">
        <f t="shared" si="94"/>
        <v>0</v>
      </c>
      <c r="BG24" s="839"/>
      <c r="BH24" s="839"/>
      <c r="BI24" s="839"/>
      <c r="BJ24" s="839"/>
      <c r="BK24" s="839"/>
      <c r="BL24" s="839"/>
      <c r="BM24" s="839"/>
      <c r="BN24" s="839"/>
      <c r="BO24" s="839"/>
      <c r="BP24" s="839"/>
      <c r="BQ24" s="839"/>
      <c r="BR24" s="839"/>
      <c r="BS24" s="839"/>
      <c r="BT24" s="839"/>
      <c r="BU24" s="839"/>
      <c r="BV24" s="839"/>
      <c r="BW24" s="839"/>
      <c r="BX24" s="839"/>
      <c r="BY24" s="839"/>
      <c r="BZ24" s="839"/>
      <c r="CA24" s="839"/>
      <c r="CB24" s="839"/>
      <c r="CC24" s="839"/>
      <c r="CD24" s="839"/>
      <c r="CE24" s="839"/>
      <c r="CF24" s="839"/>
      <c r="CG24" s="839"/>
      <c r="CH24" s="839"/>
      <c r="CI24" s="839"/>
      <c r="CJ24" s="839"/>
      <c r="CK24" s="839"/>
      <c r="CL24" s="839"/>
      <c r="CM24" s="839"/>
      <c r="CN24" s="839"/>
      <c r="CO24" s="839"/>
      <c r="CP24" s="839"/>
      <c r="CQ24" s="839"/>
      <c r="CR24" s="839"/>
      <c r="CS24" s="839"/>
      <c r="CT24" s="839"/>
      <c r="CU24" s="839"/>
      <c r="CV24" s="839"/>
      <c r="CW24" s="839"/>
      <c r="CX24" s="839"/>
      <c r="CY24" s="839"/>
      <c r="CZ24" s="839"/>
      <c r="DA24" s="839"/>
      <c r="DB24" s="839"/>
      <c r="DC24" s="839"/>
      <c r="DD24" s="839"/>
      <c r="DE24" s="839"/>
      <c r="DF24" s="839"/>
      <c r="DG24" s="839"/>
      <c r="DH24" s="839"/>
      <c r="DI24" s="839"/>
      <c r="DJ24" s="839"/>
      <c r="DK24" s="839"/>
      <c r="DL24" s="839"/>
      <c r="DM24" s="839"/>
      <c r="DN24" s="839"/>
      <c r="DO24" s="839"/>
      <c r="DP24" s="839"/>
      <c r="DQ24" s="839"/>
      <c r="DR24" s="839"/>
      <c r="DS24" s="839"/>
      <c r="DT24" s="839"/>
      <c r="DU24" s="839"/>
      <c r="DV24" s="839"/>
      <c r="DW24" s="839"/>
      <c r="DX24" s="839"/>
      <c r="DY24" s="839"/>
      <c r="DZ24" s="839"/>
      <c r="EA24" s="839"/>
      <c r="EB24" s="839"/>
      <c r="EC24" s="839"/>
      <c r="ED24" s="839"/>
      <c r="EE24" s="839"/>
      <c r="EF24" s="839"/>
      <c r="EG24" s="839"/>
      <c r="EH24" s="839"/>
      <c r="EI24" s="839"/>
      <c r="EJ24" s="839"/>
      <c r="EK24" s="839"/>
      <c r="EL24" s="839"/>
      <c r="EM24" s="839"/>
      <c r="EN24" s="839"/>
      <c r="EO24" s="839"/>
      <c r="EP24" s="839"/>
      <c r="EQ24" s="839"/>
      <c r="ER24" s="839"/>
      <c r="ES24" s="839"/>
      <c r="ET24" s="839"/>
      <c r="EU24" s="839"/>
      <c r="EV24" s="839"/>
      <c r="EW24" s="839"/>
      <c r="EX24" s="839"/>
      <c r="EY24" s="839"/>
      <c r="EZ24" s="839"/>
      <c r="FA24" s="839"/>
      <c r="FB24" s="839"/>
      <c r="FC24" s="839"/>
      <c r="FD24" s="839"/>
      <c r="FE24" s="839"/>
      <c r="FF24" s="839"/>
      <c r="FG24" s="839"/>
      <c r="FH24" s="839"/>
      <c r="FI24" s="839"/>
      <c r="FJ24" s="839"/>
      <c r="FK24" s="839"/>
      <c r="FL24" s="839"/>
      <c r="FM24" s="839"/>
      <c r="FN24" s="839"/>
      <c r="FO24" s="839"/>
      <c r="FP24" s="839"/>
      <c r="FQ24" s="839"/>
      <c r="FR24" s="839"/>
      <c r="FS24" s="839"/>
      <c r="FT24" s="839"/>
      <c r="FU24" s="839"/>
      <c r="FV24" s="839"/>
      <c r="FW24" s="839"/>
      <c r="FX24" s="839"/>
      <c r="FY24" s="839"/>
      <c r="FZ24" s="839"/>
      <c r="GA24" s="839"/>
      <c r="GB24" s="839"/>
      <c r="GC24" s="839"/>
      <c r="GD24" s="839"/>
      <c r="GE24" s="839"/>
      <c r="GF24" s="839"/>
      <c r="GG24" s="839"/>
      <c r="GH24" s="839"/>
      <c r="GI24" s="839"/>
      <c r="GJ24" s="839"/>
    </row>
    <row r="25" spans="1:192" s="740" customFormat="1" ht="17.25" customHeight="1" outlineLevel="1">
      <c r="A25" s="784"/>
      <c r="B25" s="772" t="s">
        <v>709</v>
      </c>
      <c r="C25" s="773">
        <f t="shared" si="77"/>
        <v>0</v>
      </c>
      <c r="D25" s="761">
        <f t="shared" si="82"/>
        <v>0</v>
      </c>
      <c r="E25" s="794"/>
      <c r="F25" s="794"/>
      <c r="G25" s="794"/>
      <c r="H25" s="795"/>
      <c r="I25" s="761">
        <f t="shared" si="83"/>
        <v>0</v>
      </c>
      <c r="J25" s="835"/>
      <c r="K25" s="794"/>
      <c r="L25" s="794"/>
      <c r="M25" s="794"/>
      <c r="N25" s="761">
        <f t="shared" si="59"/>
        <v>0</v>
      </c>
      <c r="O25" s="835"/>
      <c r="P25" s="794"/>
      <c r="Q25" s="794"/>
      <c r="R25" s="794"/>
      <c r="S25" s="761">
        <f t="shared" si="61"/>
        <v>0</v>
      </c>
      <c r="T25" s="835"/>
      <c r="U25" s="794"/>
      <c r="V25" s="794"/>
      <c r="W25" s="794"/>
      <c r="X25" s="761">
        <f t="shared" si="63"/>
        <v>0</v>
      </c>
      <c r="Y25" s="835"/>
      <c r="Z25" s="794"/>
      <c r="AA25" s="794"/>
      <c r="AB25" s="794"/>
      <c r="AC25" s="761">
        <f t="shared" si="65"/>
        <v>0</v>
      </c>
      <c r="AD25" s="835"/>
      <c r="AE25" s="794"/>
      <c r="AF25" s="794"/>
      <c r="AG25" s="794"/>
      <c r="AH25" s="761">
        <f t="shared" si="67"/>
        <v>0</v>
      </c>
      <c r="AI25" s="835"/>
      <c r="AJ25" s="794"/>
      <c r="AK25" s="794"/>
      <c r="AL25" s="794"/>
      <c r="AM25" s="761">
        <f t="shared" si="69"/>
        <v>0</v>
      </c>
      <c r="AN25" s="835"/>
      <c r="AO25" s="794"/>
      <c r="AP25" s="794"/>
      <c r="AQ25" s="794"/>
      <c r="AR25" s="761">
        <f t="shared" si="71"/>
        <v>0</v>
      </c>
      <c r="AS25" s="835"/>
      <c r="AT25" s="794"/>
      <c r="AU25" s="794"/>
      <c r="AV25" s="794"/>
      <c r="AW25" s="761">
        <f t="shared" si="73"/>
        <v>0</v>
      </c>
      <c r="AX25" s="835"/>
      <c r="AY25" s="794"/>
      <c r="AZ25" s="794"/>
      <c r="BA25" s="794"/>
      <c r="BB25" s="761">
        <f t="shared" si="75"/>
        <v>0</v>
      </c>
      <c r="BC25" s="835"/>
      <c r="BD25" s="794"/>
      <c r="BE25" s="794"/>
      <c r="BF25" s="851"/>
      <c r="BG25" s="852"/>
      <c r="BH25" s="852"/>
      <c r="BI25" s="852"/>
      <c r="BJ25" s="852"/>
      <c r="BK25" s="852"/>
      <c r="BL25" s="852"/>
      <c r="BM25" s="852"/>
      <c r="BN25" s="852"/>
      <c r="BO25" s="852"/>
      <c r="BP25" s="852"/>
      <c r="BQ25" s="852"/>
      <c r="BR25" s="852"/>
      <c r="BS25" s="852"/>
      <c r="BT25" s="852"/>
      <c r="BU25" s="852"/>
      <c r="BV25" s="852"/>
      <c r="BW25" s="852"/>
      <c r="BX25" s="852"/>
      <c r="BY25" s="852"/>
      <c r="BZ25" s="852"/>
      <c r="CA25" s="852"/>
      <c r="CB25" s="852"/>
      <c r="CC25" s="852"/>
      <c r="CD25" s="852"/>
      <c r="CE25" s="852"/>
      <c r="CF25" s="852"/>
      <c r="CG25" s="852"/>
      <c r="CH25" s="852"/>
      <c r="CI25" s="852"/>
      <c r="CJ25" s="852"/>
      <c r="CK25" s="852"/>
      <c r="CL25" s="852"/>
      <c r="CM25" s="852"/>
      <c r="CN25" s="852"/>
      <c r="CO25" s="852"/>
      <c r="CP25" s="852"/>
      <c r="CQ25" s="852"/>
      <c r="CR25" s="852"/>
      <c r="CS25" s="852"/>
      <c r="CT25" s="852"/>
      <c r="CU25" s="852"/>
      <c r="CV25" s="852"/>
      <c r="CW25" s="852"/>
      <c r="CX25" s="852"/>
      <c r="CY25" s="852"/>
      <c r="CZ25" s="852"/>
      <c r="DA25" s="852"/>
      <c r="DB25" s="852"/>
      <c r="DC25" s="852"/>
      <c r="DD25" s="852"/>
      <c r="DE25" s="852"/>
      <c r="DF25" s="852"/>
      <c r="DG25" s="852"/>
      <c r="DH25" s="852"/>
      <c r="DI25" s="852"/>
      <c r="DJ25" s="852"/>
      <c r="DK25" s="852"/>
      <c r="DL25" s="852"/>
      <c r="DM25" s="852"/>
      <c r="DN25" s="852"/>
      <c r="DO25" s="852"/>
      <c r="DP25" s="852"/>
      <c r="DQ25" s="852"/>
      <c r="DR25" s="852"/>
      <c r="DS25" s="852"/>
      <c r="DT25" s="852"/>
      <c r="DU25" s="852"/>
      <c r="DV25" s="852"/>
      <c r="DW25" s="852"/>
      <c r="DX25" s="852"/>
      <c r="DY25" s="852"/>
      <c r="DZ25" s="852"/>
      <c r="EA25" s="852"/>
      <c r="EB25" s="852"/>
      <c r="EC25" s="852"/>
      <c r="ED25" s="852"/>
      <c r="EE25" s="852"/>
      <c r="EF25" s="852"/>
      <c r="EG25" s="852"/>
      <c r="EH25" s="852"/>
      <c r="EI25" s="852"/>
      <c r="EJ25" s="852"/>
      <c r="EK25" s="852"/>
      <c r="EL25" s="852"/>
      <c r="EM25" s="852"/>
      <c r="EN25" s="852"/>
      <c r="EO25" s="852"/>
      <c r="EP25" s="852"/>
      <c r="EQ25" s="852"/>
      <c r="ER25" s="852"/>
      <c r="ES25" s="852"/>
      <c r="ET25" s="852"/>
      <c r="EU25" s="852"/>
      <c r="EV25" s="852"/>
      <c r="EW25" s="852"/>
      <c r="EX25" s="852"/>
      <c r="EY25" s="852"/>
      <c r="EZ25" s="852"/>
      <c r="FA25" s="852"/>
      <c r="FB25" s="852"/>
      <c r="FC25" s="852"/>
      <c r="FD25" s="852"/>
      <c r="FE25" s="852"/>
      <c r="FF25" s="852"/>
      <c r="FG25" s="852"/>
      <c r="FH25" s="852"/>
      <c r="FI25" s="852"/>
      <c r="FJ25" s="852"/>
      <c r="FK25" s="852"/>
      <c r="FL25" s="852"/>
      <c r="FM25" s="852"/>
      <c r="FN25" s="852"/>
      <c r="FO25" s="852"/>
      <c r="FP25" s="852"/>
      <c r="FQ25" s="852"/>
      <c r="FR25" s="852"/>
      <c r="FS25" s="852"/>
      <c r="FT25" s="852"/>
      <c r="FU25" s="852"/>
      <c r="FV25" s="852"/>
      <c r="FW25" s="852"/>
      <c r="FX25" s="852"/>
      <c r="FY25" s="852"/>
      <c r="FZ25" s="852"/>
      <c r="GA25" s="852"/>
      <c r="GB25" s="852"/>
      <c r="GC25" s="852"/>
      <c r="GD25" s="852"/>
      <c r="GE25" s="852"/>
      <c r="GF25" s="852"/>
      <c r="GG25" s="852"/>
      <c r="GH25" s="852"/>
      <c r="GI25" s="852"/>
      <c r="GJ25" s="852"/>
    </row>
    <row r="26" spans="1:192" s="740" customFormat="1" ht="17.25" customHeight="1" outlineLevel="1">
      <c r="A26" s="784"/>
      <c r="B26" s="772" t="s">
        <v>710</v>
      </c>
      <c r="C26" s="773">
        <f t="shared" si="77"/>
        <v>0</v>
      </c>
      <c r="D26" s="761">
        <f t="shared" si="82"/>
        <v>0</v>
      </c>
      <c r="E26" s="794"/>
      <c r="F26" s="794"/>
      <c r="G26" s="794"/>
      <c r="H26" s="795"/>
      <c r="I26" s="761">
        <f t="shared" si="83"/>
        <v>0</v>
      </c>
      <c r="J26" s="835"/>
      <c r="K26" s="794"/>
      <c r="L26" s="794"/>
      <c r="M26" s="794"/>
      <c r="N26" s="761">
        <f t="shared" si="59"/>
        <v>0</v>
      </c>
      <c r="O26" s="835"/>
      <c r="P26" s="794"/>
      <c r="Q26" s="794"/>
      <c r="R26" s="794"/>
      <c r="S26" s="761">
        <f t="shared" si="61"/>
        <v>0</v>
      </c>
      <c r="T26" s="835"/>
      <c r="U26" s="794"/>
      <c r="V26" s="794"/>
      <c r="W26" s="794"/>
      <c r="X26" s="761">
        <f t="shared" si="63"/>
        <v>0</v>
      </c>
      <c r="Y26" s="835"/>
      <c r="Z26" s="794"/>
      <c r="AA26" s="794"/>
      <c r="AB26" s="794"/>
      <c r="AC26" s="761">
        <f t="shared" si="65"/>
        <v>0</v>
      </c>
      <c r="AD26" s="835"/>
      <c r="AE26" s="794"/>
      <c r="AF26" s="794"/>
      <c r="AG26" s="794"/>
      <c r="AH26" s="761">
        <f t="shared" si="67"/>
        <v>0</v>
      </c>
      <c r="AI26" s="835"/>
      <c r="AJ26" s="794"/>
      <c r="AK26" s="794"/>
      <c r="AL26" s="794"/>
      <c r="AM26" s="761">
        <f t="shared" si="69"/>
        <v>0</v>
      </c>
      <c r="AN26" s="835"/>
      <c r="AO26" s="794"/>
      <c r="AP26" s="794"/>
      <c r="AQ26" s="794"/>
      <c r="AR26" s="761">
        <f t="shared" si="71"/>
        <v>0</v>
      </c>
      <c r="AS26" s="835"/>
      <c r="AT26" s="794"/>
      <c r="AU26" s="794"/>
      <c r="AV26" s="794"/>
      <c r="AW26" s="761">
        <f t="shared" si="73"/>
        <v>0</v>
      </c>
      <c r="AX26" s="835"/>
      <c r="AY26" s="794"/>
      <c r="AZ26" s="794"/>
      <c r="BA26" s="794"/>
      <c r="BB26" s="761">
        <f t="shared" si="75"/>
        <v>0</v>
      </c>
      <c r="BC26" s="835"/>
      <c r="BD26" s="794"/>
      <c r="BE26" s="794"/>
      <c r="BF26" s="851"/>
      <c r="BG26" s="852"/>
      <c r="BH26" s="852"/>
      <c r="BI26" s="852"/>
      <c r="BJ26" s="852"/>
      <c r="BK26" s="852"/>
      <c r="BL26" s="852"/>
      <c r="BM26" s="852"/>
      <c r="BN26" s="852"/>
      <c r="BO26" s="852"/>
      <c r="BP26" s="852"/>
      <c r="BQ26" s="852"/>
      <c r="BR26" s="852"/>
      <c r="BS26" s="852"/>
      <c r="BT26" s="852"/>
      <c r="BU26" s="852"/>
      <c r="BV26" s="852"/>
      <c r="BW26" s="852"/>
      <c r="BX26" s="852"/>
      <c r="BY26" s="852"/>
      <c r="BZ26" s="852"/>
      <c r="CA26" s="852"/>
      <c r="CB26" s="852"/>
      <c r="CC26" s="852"/>
      <c r="CD26" s="852"/>
      <c r="CE26" s="852"/>
      <c r="CF26" s="852"/>
      <c r="CG26" s="852"/>
      <c r="CH26" s="852"/>
      <c r="CI26" s="852"/>
      <c r="CJ26" s="852"/>
      <c r="CK26" s="852"/>
      <c r="CL26" s="852"/>
      <c r="CM26" s="852"/>
      <c r="CN26" s="852"/>
      <c r="CO26" s="852"/>
      <c r="CP26" s="852"/>
      <c r="CQ26" s="852"/>
      <c r="CR26" s="852"/>
      <c r="CS26" s="852"/>
      <c r="CT26" s="852"/>
      <c r="CU26" s="852"/>
      <c r="CV26" s="852"/>
      <c r="CW26" s="852"/>
      <c r="CX26" s="852"/>
      <c r="CY26" s="852"/>
      <c r="CZ26" s="852"/>
      <c r="DA26" s="852"/>
      <c r="DB26" s="852"/>
      <c r="DC26" s="852"/>
      <c r="DD26" s="852"/>
      <c r="DE26" s="852"/>
      <c r="DF26" s="852"/>
      <c r="DG26" s="852"/>
      <c r="DH26" s="852"/>
      <c r="DI26" s="852"/>
      <c r="DJ26" s="852"/>
      <c r="DK26" s="852"/>
      <c r="DL26" s="852"/>
      <c r="DM26" s="852"/>
      <c r="DN26" s="852"/>
      <c r="DO26" s="852"/>
      <c r="DP26" s="852"/>
      <c r="DQ26" s="852"/>
      <c r="DR26" s="852"/>
      <c r="DS26" s="852"/>
      <c r="DT26" s="852"/>
      <c r="DU26" s="852"/>
      <c r="DV26" s="852"/>
      <c r="DW26" s="852"/>
      <c r="DX26" s="852"/>
      <c r="DY26" s="852"/>
      <c r="DZ26" s="852"/>
      <c r="EA26" s="852"/>
      <c r="EB26" s="852"/>
      <c r="EC26" s="852"/>
      <c r="ED26" s="852"/>
      <c r="EE26" s="852"/>
      <c r="EF26" s="852"/>
      <c r="EG26" s="852"/>
      <c r="EH26" s="852"/>
      <c r="EI26" s="852"/>
      <c r="EJ26" s="852"/>
      <c r="EK26" s="852"/>
      <c r="EL26" s="852"/>
      <c r="EM26" s="852"/>
      <c r="EN26" s="852"/>
      <c r="EO26" s="852"/>
      <c r="EP26" s="852"/>
      <c r="EQ26" s="852"/>
      <c r="ER26" s="852"/>
      <c r="ES26" s="852"/>
      <c r="ET26" s="852"/>
      <c r="EU26" s="852"/>
      <c r="EV26" s="852"/>
      <c r="EW26" s="852"/>
      <c r="EX26" s="852"/>
      <c r="EY26" s="852"/>
      <c r="EZ26" s="852"/>
      <c r="FA26" s="852"/>
      <c r="FB26" s="852"/>
      <c r="FC26" s="852"/>
      <c r="FD26" s="852"/>
      <c r="FE26" s="852"/>
      <c r="FF26" s="852"/>
      <c r="FG26" s="852"/>
      <c r="FH26" s="852"/>
      <c r="FI26" s="852"/>
      <c r="FJ26" s="852"/>
      <c r="FK26" s="852"/>
      <c r="FL26" s="852"/>
      <c r="FM26" s="852"/>
      <c r="FN26" s="852"/>
      <c r="FO26" s="852"/>
      <c r="FP26" s="852"/>
      <c r="FQ26" s="852"/>
      <c r="FR26" s="852"/>
      <c r="FS26" s="852"/>
      <c r="FT26" s="852"/>
      <c r="FU26" s="852"/>
      <c r="FV26" s="852"/>
      <c r="FW26" s="852"/>
      <c r="FX26" s="852"/>
      <c r="FY26" s="852"/>
      <c r="FZ26" s="852"/>
      <c r="GA26" s="852"/>
      <c r="GB26" s="852"/>
      <c r="GC26" s="852"/>
      <c r="GD26" s="852"/>
      <c r="GE26" s="852"/>
      <c r="GF26" s="852"/>
      <c r="GG26" s="852"/>
      <c r="GH26" s="852"/>
      <c r="GI26" s="852"/>
      <c r="GJ26" s="852"/>
    </row>
    <row r="27" spans="1:192" s="740" customFormat="1" ht="17.25" customHeight="1" outlineLevel="1">
      <c r="A27" s="784"/>
      <c r="B27" s="772" t="s">
        <v>711</v>
      </c>
      <c r="C27" s="773">
        <f t="shared" si="77"/>
        <v>0</v>
      </c>
      <c r="D27" s="761">
        <f t="shared" si="82"/>
        <v>0</v>
      </c>
      <c r="E27" s="794"/>
      <c r="F27" s="794"/>
      <c r="G27" s="794"/>
      <c r="H27" s="795"/>
      <c r="I27" s="761">
        <f t="shared" si="83"/>
        <v>0</v>
      </c>
      <c r="J27" s="835"/>
      <c r="K27" s="794"/>
      <c r="L27" s="794"/>
      <c r="M27" s="794"/>
      <c r="N27" s="761">
        <f t="shared" si="59"/>
        <v>0</v>
      </c>
      <c r="O27" s="835"/>
      <c r="P27" s="794"/>
      <c r="Q27" s="794"/>
      <c r="R27" s="794"/>
      <c r="S27" s="761">
        <f t="shared" si="61"/>
        <v>0</v>
      </c>
      <c r="T27" s="835"/>
      <c r="U27" s="794"/>
      <c r="V27" s="794"/>
      <c r="W27" s="794"/>
      <c r="X27" s="761">
        <f t="shared" si="63"/>
        <v>0</v>
      </c>
      <c r="Y27" s="835"/>
      <c r="Z27" s="794"/>
      <c r="AA27" s="794"/>
      <c r="AB27" s="794"/>
      <c r="AC27" s="761">
        <f t="shared" si="65"/>
        <v>0</v>
      </c>
      <c r="AD27" s="835"/>
      <c r="AE27" s="794"/>
      <c r="AF27" s="794"/>
      <c r="AG27" s="794"/>
      <c r="AH27" s="761">
        <f t="shared" si="67"/>
        <v>0</v>
      </c>
      <c r="AI27" s="835"/>
      <c r="AJ27" s="794"/>
      <c r="AK27" s="794"/>
      <c r="AL27" s="794"/>
      <c r="AM27" s="761">
        <f t="shared" si="69"/>
        <v>0</v>
      </c>
      <c r="AN27" s="835"/>
      <c r="AO27" s="794"/>
      <c r="AP27" s="794"/>
      <c r="AQ27" s="794"/>
      <c r="AR27" s="761">
        <f t="shared" si="71"/>
        <v>0</v>
      </c>
      <c r="AS27" s="835"/>
      <c r="AT27" s="794"/>
      <c r="AU27" s="794"/>
      <c r="AV27" s="794"/>
      <c r="AW27" s="761">
        <f t="shared" si="73"/>
        <v>0</v>
      </c>
      <c r="AX27" s="835"/>
      <c r="AY27" s="794"/>
      <c r="AZ27" s="794"/>
      <c r="BA27" s="794"/>
      <c r="BB27" s="761">
        <f t="shared" si="75"/>
        <v>0</v>
      </c>
      <c r="BC27" s="835"/>
      <c r="BD27" s="794"/>
      <c r="BE27" s="794"/>
      <c r="BF27" s="851"/>
      <c r="BG27" s="852"/>
      <c r="BH27" s="852"/>
      <c r="BI27" s="852"/>
      <c r="BJ27" s="852"/>
      <c r="BK27" s="852"/>
      <c r="BL27" s="852"/>
      <c r="BM27" s="852"/>
      <c r="BN27" s="852"/>
      <c r="BO27" s="852"/>
      <c r="BP27" s="852"/>
      <c r="BQ27" s="852"/>
      <c r="BR27" s="852"/>
      <c r="BS27" s="852"/>
      <c r="BT27" s="852"/>
      <c r="BU27" s="852"/>
      <c r="BV27" s="852"/>
      <c r="BW27" s="852"/>
      <c r="BX27" s="852"/>
      <c r="BY27" s="852"/>
      <c r="BZ27" s="852"/>
      <c r="CA27" s="852"/>
      <c r="CB27" s="852"/>
      <c r="CC27" s="852"/>
      <c r="CD27" s="852"/>
      <c r="CE27" s="852"/>
      <c r="CF27" s="852"/>
      <c r="CG27" s="852"/>
      <c r="CH27" s="852"/>
      <c r="CI27" s="852"/>
      <c r="CJ27" s="852"/>
      <c r="CK27" s="852"/>
      <c r="CL27" s="852"/>
      <c r="CM27" s="852"/>
      <c r="CN27" s="852"/>
      <c r="CO27" s="852"/>
      <c r="CP27" s="852"/>
      <c r="CQ27" s="852"/>
      <c r="CR27" s="852"/>
      <c r="CS27" s="852"/>
      <c r="CT27" s="852"/>
      <c r="CU27" s="852"/>
      <c r="CV27" s="852"/>
      <c r="CW27" s="852"/>
      <c r="CX27" s="852"/>
      <c r="CY27" s="852"/>
      <c r="CZ27" s="852"/>
      <c r="DA27" s="852"/>
      <c r="DB27" s="852"/>
      <c r="DC27" s="852"/>
      <c r="DD27" s="852"/>
      <c r="DE27" s="852"/>
      <c r="DF27" s="852"/>
      <c r="DG27" s="852"/>
      <c r="DH27" s="852"/>
      <c r="DI27" s="852"/>
      <c r="DJ27" s="852"/>
      <c r="DK27" s="852"/>
      <c r="DL27" s="852"/>
      <c r="DM27" s="852"/>
      <c r="DN27" s="852"/>
      <c r="DO27" s="852"/>
      <c r="DP27" s="852"/>
      <c r="DQ27" s="852"/>
      <c r="DR27" s="852"/>
      <c r="DS27" s="852"/>
      <c r="DT27" s="852"/>
      <c r="DU27" s="852"/>
      <c r="DV27" s="852"/>
      <c r="DW27" s="852"/>
      <c r="DX27" s="852"/>
      <c r="DY27" s="852"/>
      <c r="DZ27" s="852"/>
      <c r="EA27" s="852"/>
      <c r="EB27" s="852"/>
      <c r="EC27" s="852"/>
      <c r="ED27" s="852"/>
      <c r="EE27" s="852"/>
      <c r="EF27" s="852"/>
      <c r="EG27" s="852"/>
      <c r="EH27" s="852"/>
      <c r="EI27" s="852"/>
      <c r="EJ27" s="852"/>
      <c r="EK27" s="852"/>
      <c r="EL27" s="852"/>
      <c r="EM27" s="852"/>
      <c r="EN27" s="852"/>
      <c r="EO27" s="852"/>
      <c r="EP27" s="852"/>
      <c r="EQ27" s="852"/>
      <c r="ER27" s="852"/>
      <c r="ES27" s="852"/>
      <c r="ET27" s="852"/>
      <c r="EU27" s="852"/>
      <c r="EV27" s="852"/>
      <c r="EW27" s="852"/>
      <c r="EX27" s="852"/>
      <c r="EY27" s="852"/>
      <c r="EZ27" s="852"/>
      <c r="FA27" s="852"/>
      <c r="FB27" s="852"/>
      <c r="FC27" s="852"/>
      <c r="FD27" s="852"/>
      <c r="FE27" s="852"/>
      <c r="FF27" s="852"/>
      <c r="FG27" s="852"/>
      <c r="FH27" s="852"/>
      <c r="FI27" s="852"/>
      <c r="FJ27" s="852"/>
      <c r="FK27" s="852"/>
      <c r="FL27" s="852"/>
      <c r="FM27" s="852"/>
      <c r="FN27" s="852"/>
      <c r="FO27" s="852"/>
      <c r="FP27" s="852"/>
      <c r="FQ27" s="852"/>
      <c r="FR27" s="852"/>
      <c r="FS27" s="852"/>
      <c r="FT27" s="852"/>
      <c r="FU27" s="852"/>
      <c r="FV27" s="852"/>
      <c r="FW27" s="852"/>
      <c r="FX27" s="852"/>
      <c r="FY27" s="852"/>
      <c r="FZ27" s="852"/>
      <c r="GA27" s="852"/>
      <c r="GB27" s="852"/>
      <c r="GC27" s="852"/>
      <c r="GD27" s="852"/>
      <c r="GE27" s="852"/>
      <c r="GF27" s="852"/>
      <c r="GG27" s="852"/>
      <c r="GH27" s="852"/>
      <c r="GI27" s="852"/>
      <c r="GJ27" s="852"/>
    </row>
    <row r="28" spans="1:192" s="736" customFormat="1" ht="17.25" customHeight="1">
      <c r="A28" s="796"/>
      <c r="B28" s="797" t="s">
        <v>712</v>
      </c>
      <c r="C28" s="798">
        <f t="shared" ref="C28:AH28" ca="1" si="95">C7-SUM(C8,C11,C14)+C24</f>
        <v>21633.361383609445</v>
      </c>
      <c r="D28" s="799">
        <f t="shared" ca="1" si="95"/>
        <v>-20514.472114965785</v>
      </c>
      <c r="E28" s="770">
        <f t="shared" ca="1" si="95"/>
        <v>0</v>
      </c>
      <c r="F28" s="770">
        <f t="shared" ca="1" si="95"/>
        <v>0</v>
      </c>
      <c r="G28" s="770">
        <f t="shared" ca="1" si="95"/>
        <v>-7150</v>
      </c>
      <c r="H28" s="771">
        <f t="shared" ca="1" si="95"/>
        <v>-13364.472114965785</v>
      </c>
      <c r="I28" s="799">
        <f t="shared" ca="1" si="95"/>
        <v>52092.875904102017</v>
      </c>
      <c r="J28" s="828">
        <f t="shared" ca="1" si="95"/>
        <v>-1156.8834200000001</v>
      </c>
      <c r="K28" s="770">
        <f t="shared" ca="1" si="95"/>
        <v>15784.339146367633</v>
      </c>
      <c r="L28" s="770">
        <f t="shared" ca="1" si="95"/>
        <v>24532.201288622338</v>
      </c>
      <c r="M28" s="770">
        <f t="shared" ca="1" si="95"/>
        <v>12933.21888911205</v>
      </c>
      <c r="N28" s="799">
        <f t="shared" ca="1" si="95"/>
        <v>-4306.704724915744</v>
      </c>
      <c r="O28" s="828">
        <f t="shared" ca="1" si="95"/>
        <v>-61.339084970746626</v>
      </c>
      <c r="P28" s="770">
        <f t="shared" ca="1" si="95"/>
        <v>4210.9176763253236</v>
      </c>
      <c r="Q28" s="770">
        <f t="shared" ca="1" si="95"/>
        <v>1614.0481140318147</v>
      </c>
      <c r="R28" s="770">
        <f t="shared" ca="1" si="95"/>
        <v>-10070.33143030214</v>
      </c>
      <c r="S28" s="799">
        <f t="shared" ca="1" si="95"/>
        <v>-4156.1967606110484</v>
      </c>
      <c r="T28" s="828">
        <f t="shared" ca="1" si="95"/>
        <v>-1401.2333006110475</v>
      </c>
      <c r="U28" s="770">
        <f t="shared" ca="1" si="95"/>
        <v>-1567.2858800000001</v>
      </c>
      <c r="V28" s="770">
        <f t="shared" ca="1" si="95"/>
        <v>-1187.6775800000003</v>
      </c>
      <c r="W28" s="770">
        <f t="shared" ca="1" si="95"/>
        <v>0</v>
      </c>
      <c r="X28" s="799">
        <f t="shared" ca="1" si="95"/>
        <v>-1482.1409200000001</v>
      </c>
      <c r="Y28" s="828">
        <f t="shared" ca="1" si="95"/>
        <v>0</v>
      </c>
      <c r="Z28" s="770">
        <f t="shared" ca="1" si="95"/>
        <v>0</v>
      </c>
      <c r="AA28" s="770">
        <f t="shared" ca="1" si="95"/>
        <v>-592.85636800000009</v>
      </c>
      <c r="AB28" s="770">
        <f t="shared" ca="1" si="95"/>
        <v>-889.28455199999996</v>
      </c>
      <c r="AC28" s="799">
        <f t="shared" ca="1" si="95"/>
        <v>0</v>
      </c>
      <c r="AD28" s="828">
        <f t="shared" ca="1" si="95"/>
        <v>0</v>
      </c>
      <c r="AE28" s="770">
        <f t="shared" ca="1" si="95"/>
        <v>0</v>
      </c>
      <c r="AF28" s="770">
        <f t="shared" ca="1" si="95"/>
        <v>0</v>
      </c>
      <c r="AG28" s="770">
        <f t="shared" ca="1" si="95"/>
        <v>0</v>
      </c>
      <c r="AH28" s="799">
        <f t="shared" ca="1" si="95"/>
        <v>0</v>
      </c>
      <c r="AI28" s="828">
        <f t="shared" ref="AI28:BF28" ca="1" si="96">AI7-SUM(AI8,AI11,AI14)+AI24</f>
        <v>0</v>
      </c>
      <c r="AJ28" s="770">
        <f t="shared" ca="1" si="96"/>
        <v>0</v>
      </c>
      <c r="AK28" s="770">
        <f t="shared" ca="1" si="96"/>
        <v>0</v>
      </c>
      <c r="AL28" s="770">
        <f t="shared" ca="1" si="96"/>
        <v>0</v>
      </c>
      <c r="AM28" s="799">
        <f t="shared" ca="1" si="96"/>
        <v>0</v>
      </c>
      <c r="AN28" s="828">
        <f t="shared" ca="1" si="96"/>
        <v>0</v>
      </c>
      <c r="AO28" s="770">
        <f t="shared" ca="1" si="96"/>
        <v>0</v>
      </c>
      <c r="AP28" s="770">
        <f t="shared" ca="1" si="96"/>
        <v>0</v>
      </c>
      <c r="AQ28" s="770">
        <f t="shared" ca="1" si="96"/>
        <v>0</v>
      </c>
      <c r="AR28" s="799">
        <f t="shared" ca="1" si="96"/>
        <v>0</v>
      </c>
      <c r="AS28" s="828">
        <f t="shared" ca="1" si="96"/>
        <v>0</v>
      </c>
      <c r="AT28" s="770">
        <f t="shared" ca="1" si="96"/>
        <v>0</v>
      </c>
      <c r="AU28" s="770">
        <f t="shared" ca="1" si="96"/>
        <v>0</v>
      </c>
      <c r="AV28" s="770">
        <f t="shared" ca="1" si="96"/>
        <v>0</v>
      </c>
      <c r="AW28" s="799">
        <f t="shared" ca="1" si="96"/>
        <v>0</v>
      </c>
      <c r="AX28" s="828">
        <f t="shared" ca="1" si="96"/>
        <v>0</v>
      </c>
      <c r="AY28" s="770">
        <f t="shared" ca="1" si="96"/>
        <v>0</v>
      </c>
      <c r="AZ28" s="770">
        <f t="shared" ca="1" si="96"/>
        <v>0</v>
      </c>
      <c r="BA28" s="770">
        <f t="shared" ca="1" si="96"/>
        <v>0</v>
      </c>
      <c r="BB28" s="799">
        <f t="shared" ca="1" si="96"/>
        <v>0</v>
      </c>
      <c r="BC28" s="828">
        <f t="shared" ca="1" si="96"/>
        <v>0</v>
      </c>
      <c r="BD28" s="770">
        <f t="shared" ca="1" si="96"/>
        <v>0</v>
      </c>
      <c r="BE28" s="770">
        <f t="shared" ca="1" si="96"/>
        <v>0</v>
      </c>
      <c r="BF28" s="844">
        <f t="shared" ca="1" si="96"/>
        <v>0</v>
      </c>
      <c r="BG28" s="839"/>
      <c r="BH28" s="839"/>
      <c r="BI28" s="839"/>
      <c r="BJ28" s="839"/>
      <c r="BK28" s="839"/>
      <c r="BL28" s="839"/>
      <c r="BM28" s="839"/>
      <c r="BN28" s="839"/>
      <c r="BO28" s="839"/>
      <c r="BP28" s="839"/>
      <c r="BQ28" s="839"/>
      <c r="BR28" s="839"/>
      <c r="BS28" s="839"/>
      <c r="BT28" s="839"/>
      <c r="BU28" s="839"/>
      <c r="BV28" s="839"/>
      <c r="BW28" s="839"/>
      <c r="BX28" s="839"/>
      <c r="BY28" s="839"/>
      <c r="BZ28" s="839"/>
      <c r="CA28" s="839"/>
      <c r="CB28" s="839"/>
      <c r="CC28" s="839"/>
      <c r="CD28" s="839"/>
      <c r="CE28" s="839"/>
      <c r="CF28" s="839"/>
      <c r="CG28" s="839"/>
      <c r="CH28" s="839"/>
      <c r="CI28" s="839"/>
      <c r="CJ28" s="839"/>
      <c r="CK28" s="839"/>
      <c r="CL28" s="839"/>
      <c r="CM28" s="839"/>
      <c r="CN28" s="839"/>
      <c r="CO28" s="839"/>
      <c r="CP28" s="839"/>
      <c r="CQ28" s="839"/>
      <c r="CR28" s="839"/>
      <c r="CS28" s="839"/>
      <c r="CT28" s="839"/>
      <c r="CU28" s="839"/>
      <c r="CV28" s="839"/>
      <c r="CW28" s="839"/>
      <c r="CX28" s="839"/>
      <c r="CY28" s="839"/>
      <c r="CZ28" s="839"/>
      <c r="DA28" s="839"/>
      <c r="DB28" s="839"/>
      <c r="DC28" s="839"/>
      <c r="DD28" s="839"/>
      <c r="DE28" s="839"/>
      <c r="DF28" s="839"/>
      <c r="DG28" s="839"/>
      <c r="DH28" s="839"/>
      <c r="DI28" s="839"/>
      <c r="DJ28" s="839"/>
      <c r="DK28" s="839"/>
      <c r="DL28" s="839"/>
      <c r="DM28" s="839"/>
      <c r="DN28" s="839"/>
      <c r="DO28" s="839"/>
      <c r="DP28" s="839"/>
      <c r="DQ28" s="839"/>
      <c r="DR28" s="839"/>
      <c r="DS28" s="839"/>
      <c r="DT28" s="839"/>
      <c r="DU28" s="839"/>
      <c r="DV28" s="839"/>
      <c r="DW28" s="839"/>
      <c r="DX28" s="839"/>
      <c r="DY28" s="839"/>
      <c r="DZ28" s="839"/>
      <c r="EA28" s="839"/>
      <c r="EB28" s="839"/>
      <c r="EC28" s="839"/>
      <c r="ED28" s="839"/>
      <c r="EE28" s="839"/>
      <c r="EF28" s="839"/>
      <c r="EG28" s="839"/>
      <c r="EH28" s="839"/>
      <c r="EI28" s="839"/>
      <c r="EJ28" s="839"/>
      <c r="EK28" s="839"/>
      <c r="EL28" s="839"/>
      <c r="EM28" s="839"/>
      <c r="EN28" s="839"/>
      <c r="EO28" s="839"/>
      <c r="EP28" s="839"/>
      <c r="EQ28" s="839"/>
      <c r="ER28" s="839"/>
      <c r="ES28" s="839"/>
      <c r="ET28" s="839"/>
      <c r="EU28" s="839"/>
      <c r="EV28" s="839"/>
      <c r="EW28" s="839"/>
      <c r="EX28" s="839"/>
      <c r="EY28" s="839"/>
      <c r="EZ28" s="839"/>
      <c r="FA28" s="839"/>
      <c r="FB28" s="839"/>
      <c r="FC28" s="839"/>
      <c r="FD28" s="839"/>
      <c r="FE28" s="839"/>
      <c r="FF28" s="839"/>
      <c r="FG28" s="839"/>
      <c r="FH28" s="839"/>
      <c r="FI28" s="839"/>
      <c r="FJ28" s="839"/>
      <c r="FK28" s="839"/>
      <c r="FL28" s="839"/>
      <c r="FM28" s="839"/>
      <c r="FN28" s="839"/>
      <c r="FO28" s="839"/>
      <c r="FP28" s="839"/>
      <c r="FQ28" s="839"/>
      <c r="FR28" s="839"/>
      <c r="FS28" s="839"/>
      <c r="FT28" s="839"/>
      <c r="FU28" s="839"/>
      <c r="FV28" s="839"/>
      <c r="FW28" s="839"/>
      <c r="FX28" s="839"/>
      <c r="FY28" s="839"/>
      <c r="FZ28" s="839"/>
      <c r="GA28" s="839"/>
      <c r="GB28" s="839"/>
      <c r="GC28" s="839"/>
      <c r="GD28" s="839"/>
      <c r="GE28" s="839"/>
      <c r="GF28" s="839"/>
      <c r="GG28" s="839"/>
      <c r="GH28" s="839"/>
      <c r="GI28" s="839"/>
      <c r="GJ28" s="839"/>
    </row>
    <row r="29" spans="1:192" s="736" customFormat="1" ht="17.25" customHeight="1">
      <c r="A29" s="796"/>
      <c r="B29" s="797" t="s">
        <v>713</v>
      </c>
      <c r="C29" s="764">
        <f ca="1">BF29</f>
        <v>21633.361383609434</v>
      </c>
      <c r="D29" s="761">
        <f ca="1">D28</f>
        <v>-20514.472114965785</v>
      </c>
      <c r="E29" s="770">
        <f ca="1">E28</f>
        <v>0</v>
      </c>
      <c r="F29" s="770">
        <f t="shared" ref="F29:I29" ca="1" si="97">E29+F28</f>
        <v>0</v>
      </c>
      <c r="G29" s="770">
        <f t="shared" ca="1" si="97"/>
        <v>-7150</v>
      </c>
      <c r="H29" s="771">
        <f t="shared" ca="1" si="97"/>
        <v>-20514.472114965785</v>
      </c>
      <c r="I29" s="761">
        <f t="shared" ca="1" si="97"/>
        <v>31578.403789136231</v>
      </c>
      <c r="J29" s="828">
        <f ca="1">H29+J28</f>
        <v>-21671.355534965784</v>
      </c>
      <c r="K29" s="770">
        <f t="shared" ref="K29:M29" ca="1" si="98">J29+K28</f>
        <v>-5887.016388598151</v>
      </c>
      <c r="L29" s="770">
        <f t="shared" ca="1" si="98"/>
        <v>18645.184900024185</v>
      </c>
      <c r="M29" s="770">
        <f t="shared" ca="1" si="98"/>
        <v>31578.403789136235</v>
      </c>
      <c r="N29" s="761">
        <f ca="1">I29+N28</f>
        <v>27271.699064220487</v>
      </c>
      <c r="O29" s="828">
        <f ca="1">M29+O28</f>
        <v>31517.064704165488</v>
      </c>
      <c r="P29" s="770">
        <f t="shared" ref="P29:R29" ca="1" si="99">O29+P28</f>
        <v>35727.982380490808</v>
      </c>
      <c r="Q29" s="770">
        <f t="shared" ca="1" si="99"/>
        <v>37342.030494522623</v>
      </c>
      <c r="R29" s="770">
        <f t="shared" ca="1" si="99"/>
        <v>27271.699064220484</v>
      </c>
      <c r="S29" s="761">
        <f ca="1">N29+S28</f>
        <v>23115.502303609439</v>
      </c>
      <c r="T29" s="828">
        <f ca="1">R29+T28</f>
        <v>25870.465763609434</v>
      </c>
      <c r="U29" s="770">
        <f t="shared" ref="U29:W29" ca="1" si="100">T29+U28</f>
        <v>24303.179883609435</v>
      </c>
      <c r="V29" s="770">
        <f t="shared" ca="1" si="100"/>
        <v>23115.502303609435</v>
      </c>
      <c r="W29" s="770">
        <f t="shared" ca="1" si="100"/>
        <v>23115.502303609435</v>
      </c>
      <c r="X29" s="761">
        <f ca="1">S29+X28</f>
        <v>21633.361383609437</v>
      </c>
      <c r="Y29" s="828">
        <f ca="1">W29+Y28</f>
        <v>23115.502303609435</v>
      </c>
      <c r="Z29" s="770">
        <f t="shared" ref="Z29:AB29" ca="1" si="101">Y29+Z28</f>
        <v>23115.502303609435</v>
      </c>
      <c r="AA29" s="770">
        <f t="shared" ca="1" si="101"/>
        <v>22522.645935609435</v>
      </c>
      <c r="AB29" s="770">
        <f t="shared" ca="1" si="101"/>
        <v>21633.361383609434</v>
      </c>
      <c r="AC29" s="761">
        <f ca="1">X29+AC28</f>
        <v>21633.361383609437</v>
      </c>
      <c r="AD29" s="828">
        <f ca="1">AB29+AD28</f>
        <v>21633.361383609434</v>
      </c>
      <c r="AE29" s="770">
        <f t="shared" ref="AE29:AG29" ca="1" si="102">AD29+AE28</f>
        <v>21633.361383609434</v>
      </c>
      <c r="AF29" s="770">
        <f t="shared" ca="1" si="102"/>
        <v>21633.361383609434</v>
      </c>
      <c r="AG29" s="770">
        <f t="shared" ca="1" si="102"/>
        <v>21633.361383609434</v>
      </c>
      <c r="AH29" s="761">
        <f ca="1">AC29+AH28</f>
        <v>21633.361383609437</v>
      </c>
      <c r="AI29" s="828">
        <f ca="1">AG29+AI28</f>
        <v>21633.361383609434</v>
      </c>
      <c r="AJ29" s="770">
        <f t="shared" ref="AJ29:AL29" ca="1" si="103">AI29+AJ28</f>
        <v>21633.361383609434</v>
      </c>
      <c r="AK29" s="770">
        <f t="shared" ca="1" si="103"/>
        <v>21633.361383609434</v>
      </c>
      <c r="AL29" s="770">
        <f t="shared" ca="1" si="103"/>
        <v>21633.361383609434</v>
      </c>
      <c r="AM29" s="761">
        <f ca="1">AH29+AM28</f>
        <v>21633.361383609437</v>
      </c>
      <c r="AN29" s="828">
        <f ca="1">AL29+AN28</f>
        <v>21633.361383609434</v>
      </c>
      <c r="AO29" s="770">
        <f t="shared" ref="AO29:AQ29" ca="1" si="104">AN29+AO28</f>
        <v>21633.361383609434</v>
      </c>
      <c r="AP29" s="770">
        <f t="shared" ca="1" si="104"/>
        <v>21633.361383609434</v>
      </c>
      <c r="AQ29" s="770">
        <f t="shared" ca="1" si="104"/>
        <v>21633.361383609434</v>
      </c>
      <c r="AR29" s="761">
        <f ca="1">AM29+AR28</f>
        <v>21633.361383609437</v>
      </c>
      <c r="AS29" s="828">
        <f ca="1">AQ29+AS28</f>
        <v>21633.361383609434</v>
      </c>
      <c r="AT29" s="770">
        <f t="shared" ref="AT29:AV29" ca="1" si="105">AS29+AT28</f>
        <v>21633.361383609434</v>
      </c>
      <c r="AU29" s="770">
        <f t="shared" ca="1" si="105"/>
        <v>21633.361383609434</v>
      </c>
      <c r="AV29" s="770">
        <f t="shared" ca="1" si="105"/>
        <v>21633.361383609434</v>
      </c>
      <c r="AW29" s="761">
        <f ca="1">AR29+AW28</f>
        <v>21633.361383609437</v>
      </c>
      <c r="AX29" s="828">
        <f ca="1">AV29+AX28</f>
        <v>21633.361383609434</v>
      </c>
      <c r="AY29" s="770">
        <f t="shared" ref="AY29:BA29" ca="1" si="106">AX29+AY28</f>
        <v>21633.361383609434</v>
      </c>
      <c r="AZ29" s="770">
        <f t="shared" ca="1" si="106"/>
        <v>21633.361383609434</v>
      </c>
      <c r="BA29" s="770">
        <f t="shared" ca="1" si="106"/>
        <v>21633.361383609434</v>
      </c>
      <c r="BB29" s="761">
        <f ca="1">AW29+BB28</f>
        <v>21633.361383609437</v>
      </c>
      <c r="BC29" s="828">
        <f ca="1">BA29+BC28</f>
        <v>21633.361383609434</v>
      </c>
      <c r="BD29" s="770">
        <f t="shared" ref="BD29:BF29" ca="1" si="107">BC29+BD28</f>
        <v>21633.361383609434</v>
      </c>
      <c r="BE29" s="770">
        <f t="shared" ca="1" si="107"/>
        <v>21633.361383609434</v>
      </c>
      <c r="BF29" s="844">
        <f t="shared" ca="1" si="107"/>
        <v>21633.361383609434</v>
      </c>
      <c r="BG29" s="839"/>
      <c r="BH29" s="839"/>
      <c r="BI29" s="839"/>
      <c r="BJ29" s="839"/>
      <c r="BK29" s="839"/>
      <c r="BL29" s="839"/>
      <c r="BM29" s="839"/>
      <c r="BN29" s="839"/>
      <c r="BO29" s="839"/>
      <c r="BP29" s="839"/>
      <c r="BQ29" s="839"/>
      <c r="BR29" s="839"/>
      <c r="BS29" s="839"/>
      <c r="BT29" s="839"/>
      <c r="BU29" s="839"/>
      <c r="BV29" s="839"/>
      <c r="BW29" s="839"/>
      <c r="BX29" s="839"/>
      <c r="BY29" s="839"/>
      <c r="BZ29" s="839"/>
      <c r="CA29" s="839"/>
      <c r="CB29" s="839"/>
      <c r="CC29" s="839"/>
      <c r="CD29" s="839"/>
      <c r="CE29" s="839"/>
      <c r="CF29" s="839"/>
      <c r="CG29" s="839"/>
      <c r="CH29" s="839"/>
      <c r="CI29" s="839"/>
      <c r="CJ29" s="839"/>
      <c r="CK29" s="839"/>
      <c r="CL29" s="839"/>
      <c r="CM29" s="839"/>
      <c r="CN29" s="839"/>
      <c r="CO29" s="839"/>
      <c r="CP29" s="839"/>
      <c r="CQ29" s="839"/>
      <c r="CR29" s="839"/>
      <c r="CS29" s="839"/>
      <c r="CT29" s="839"/>
      <c r="CU29" s="839"/>
      <c r="CV29" s="839"/>
      <c r="CW29" s="839"/>
      <c r="CX29" s="839"/>
      <c r="CY29" s="839"/>
      <c r="CZ29" s="839"/>
      <c r="DA29" s="839"/>
      <c r="DB29" s="839"/>
      <c r="DC29" s="839"/>
      <c r="DD29" s="839"/>
      <c r="DE29" s="839"/>
      <c r="DF29" s="839"/>
      <c r="DG29" s="839"/>
      <c r="DH29" s="839"/>
      <c r="DI29" s="839"/>
      <c r="DJ29" s="839"/>
      <c r="DK29" s="839"/>
      <c r="DL29" s="839"/>
      <c r="DM29" s="839"/>
      <c r="DN29" s="839"/>
      <c r="DO29" s="839"/>
      <c r="DP29" s="839"/>
      <c r="DQ29" s="839"/>
      <c r="DR29" s="839"/>
      <c r="DS29" s="839"/>
      <c r="DT29" s="839"/>
      <c r="DU29" s="839"/>
      <c r="DV29" s="839"/>
      <c r="DW29" s="839"/>
      <c r="DX29" s="839"/>
      <c r="DY29" s="839"/>
      <c r="DZ29" s="839"/>
      <c r="EA29" s="839"/>
      <c r="EB29" s="839"/>
      <c r="EC29" s="839"/>
      <c r="ED29" s="839"/>
      <c r="EE29" s="839"/>
      <c r="EF29" s="839"/>
      <c r="EG29" s="839"/>
      <c r="EH29" s="839"/>
      <c r="EI29" s="839"/>
      <c r="EJ29" s="839"/>
      <c r="EK29" s="839"/>
      <c r="EL29" s="839"/>
      <c r="EM29" s="839"/>
      <c r="EN29" s="839"/>
      <c r="EO29" s="839"/>
      <c r="EP29" s="839"/>
      <c r="EQ29" s="839"/>
      <c r="ER29" s="839"/>
      <c r="ES29" s="839"/>
      <c r="ET29" s="839"/>
      <c r="EU29" s="839"/>
      <c r="EV29" s="839"/>
      <c r="EW29" s="839"/>
      <c r="EX29" s="839"/>
      <c r="EY29" s="839"/>
      <c r="EZ29" s="839"/>
      <c r="FA29" s="839"/>
      <c r="FB29" s="839"/>
      <c r="FC29" s="839"/>
      <c r="FD29" s="839"/>
      <c r="FE29" s="839"/>
      <c r="FF29" s="839"/>
      <c r="FG29" s="839"/>
      <c r="FH29" s="839"/>
      <c r="FI29" s="839"/>
      <c r="FJ29" s="839"/>
      <c r="FK29" s="839"/>
      <c r="FL29" s="839"/>
      <c r="FM29" s="839"/>
      <c r="FN29" s="839"/>
      <c r="FO29" s="839"/>
      <c r="FP29" s="839"/>
      <c r="FQ29" s="839"/>
      <c r="FR29" s="839"/>
      <c r="FS29" s="839"/>
      <c r="FT29" s="839"/>
      <c r="FU29" s="839"/>
      <c r="FV29" s="839"/>
      <c r="FW29" s="839"/>
      <c r="FX29" s="839"/>
      <c r="FY29" s="839"/>
      <c r="FZ29" s="839"/>
      <c r="GA29" s="839"/>
      <c r="GB29" s="839"/>
      <c r="GC29" s="839"/>
      <c r="GD29" s="839"/>
      <c r="GE29" s="839"/>
      <c r="GF29" s="839"/>
      <c r="GG29" s="839"/>
      <c r="GH29" s="839"/>
      <c r="GI29" s="839"/>
      <c r="GJ29" s="839"/>
    </row>
    <row r="30" spans="1:192" s="739" customFormat="1" ht="17.25" customHeight="1">
      <c r="A30" s="784"/>
      <c r="B30" s="800" t="s">
        <v>714</v>
      </c>
      <c r="C30" s="773">
        <f t="shared" ref="C30:C32" si="108">SUM(D30,I30,N30,S30,X30,AC30,AH30,AM30,AR30,AW30,BB30)</f>
        <v>27000</v>
      </c>
      <c r="D30" s="761">
        <f t="shared" ref="D30:D32" si="109">SUM(E30:H30)</f>
        <v>0</v>
      </c>
      <c r="E30" s="773">
        <f>'17.财务费用测算表'!F19</f>
        <v>0</v>
      </c>
      <c r="F30" s="773">
        <f>'17.财务费用测算表'!G19</f>
        <v>0</v>
      </c>
      <c r="G30" s="773">
        <f>'17.财务费用测算表'!H19</f>
        <v>0</v>
      </c>
      <c r="H30" s="774">
        <f>'17.财务费用测算表'!I19</f>
        <v>0</v>
      </c>
      <c r="I30" s="761">
        <f t="shared" ref="I30:I32" si="110">SUM(J30:M30)</f>
        <v>27000</v>
      </c>
      <c r="J30" s="829">
        <f>'17.财务费用测算表'!J19</f>
        <v>0</v>
      </c>
      <c r="K30" s="773">
        <f>'17.财务费用测算表'!K19</f>
        <v>27000</v>
      </c>
      <c r="L30" s="773">
        <f>'17.财务费用测算表'!L19</f>
        <v>0</v>
      </c>
      <c r="M30" s="773">
        <f>'17.财务费用测算表'!M19</f>
        <v>0</v>
      </c>
      <c r="N30" s="761">
        <f t="shared" ref="N30:N32" si="111">SUM(O30:R30)</f>
        <v>0</v>
      </c>
      <c r="O30" s="829">
        <f>'17.财务费用测算表'!N19</f>
        <v>0</v>
      </c>
      <c r="P30" s="773">
        <f>'17.财务费用测算表'!O19</f>
        <v>0</v>
      </c>
      <c r="Q30" s="773">
        <f>'17.财务费用测算表'!P19</f>
        <v>0</v>
      </c>
      <c r="R30" s="773">
        <f>'17.财务费用测算表'!Q19</f>
        <v>0</v>
      </c>
      <c r="S30" s="761">
        <f t="shared" ref="S30:S32" si="112">SUM(T30:W30)</f>
        <v>0</v>
      </c>
      <c r="T30" s="829">
        <f>'17.财务费用测算表'!R19</f>
        <v>0</v>
      </c>
      <c r="U30" s="773">
        <f>'17.财务费用测算表'!S19</f>
        <v>0</v>
      </c>
      <c r="V30" s="773">
        <f>'17.财务费用测算表'!T19</f>
        <v>0</v>
      </c>
      <c r="W30" s="773">
        <f>'17.财务费用测算表'!U19</f>
        <v>0</v>
      </c>
      <c r="X30" s="761">
        <f t="shared" ref="X30:X32" si="113">SUM(Y30:AB30)</f>
        <v>0</v>
      </c>
      <c r="Y30" s="829">
        <f>'17.财务费用测算表'!V19</f>
        <v>0</v>
      </c>
      <c r="Z30" s="773">
        <f>'17.财务费用测算表'!W19</f>
        <v>0</v>
      </c>
      <c r="AA30" s="773">
        <f>'17.财务费用测算表'!X19</f>
        <v>0</v>
      </c>
      <c r="AB30" s="773">
        <f>'17.财务费用测算表'!Y19</f>
        <v>0</v>
      </c>
      <c r="AC30" s="761">
        <f t="shared" ref="AC30:AC32" si="114">SUM(AD30:AG30)</f>
        <v>0</v>
      </c>
      <c r="AD30" s="829">
        <f>'17.财务费用测算表'!Z19</f>
        <v>0</v>
      </c>
      <c r="AE30" s="773">
        <f>'17.财务费用测算表'!AA19</f>
        <v>0</v>
      </c>
      <c r="AF30" s="773">
        <f>'17.财务费用测算表'!AB19</f>
        <v>0</v>
      </c>
      <c r="AG30" s="773">
        <f>'17.财务费用测算表'!AC19</f>
        <v>0</v>
      </c>
      <c r="AH30" s="761">
        <f t="shared" ref="AH30:AH32" si="115">SUM(AI30:AL30)</f>
        <v>0</v>
      </c>
      <c r="AI30" s="829">
        <f>'17.财务费用测算表'!AD19</f>
        <v>0</v>
      </c>
      <c r="AJ30" s="773">
        <f>'17.财务费用测算表'!AE19</f>
        <v>0</v>
      </c>
      <c r="AK30" s="773">
        <f>'17.财务费用测算表'!AF19</f>
        <v>0</v>
      </c>
      <c r="AL30" s="773">
        <f>'17.财务费用测算表'!AG19</f>
        <v>0</v>
      </c>
      <c r="AM30" s="761">
        <f t="shared" ref="AM30:AM32" si="116">SUM(AN30:AQ30)</f>
        <v>0</v>
      </c>
      <c r="AN30" s="829">
        <f>'17.财务费用测算表'!AH19</f>
        <v>0</v>
      </c>
      <c r="AO30" s="773">
        <f>'17.财务费用测算表'!AI19</f>
        <v>0</v>
      </c>
      <c r="AP30" s="773">
        <f>'17.财务费用测算表'!AJ19</f>
        <v>0</v>
      </c>
      <c r="AQ30" s="773">
        <f>'17.财务费用测算表'!AK19</f>
        <v>0</v>
      </c>
      <c r="AR30" s="761">
        <f t="shared" ref="AR30:AR32" si="117">SUM(AS30:AV30)</f>
        <v>0</v>
      </c>
      <c r="AS30" s="829">
        <f>'17.财务费用测算表'!AL19</f>
        <v>0</v>
      </c>
      <c r="AT30" s="773">
        <f>'17.财务费用测算表'!AM19</f>
        <v>0</v>
      </c>
      <c r="AU30" s="773">
        <f>'17.财务费用测算表'!AN19</f>
        <v>0</v>
      </c>
      <c r="AV30" s="773">
        <f>'17.财务费用测算表'!AO19</f>
        <v>0</v>
      </c>
      <c r="AW30" s="761">
        <f t="shared" ref="AW30:AW32" si="118">SUM(AX30:BA30)</f>
        <v>0</v>
      </c>
      <c r="AX30" s="829">
        <f>'17.财务费用测算表'!AP19</f>
        <v>0</v>
      </c>
      <c r="AY30" s="773">
        <f>'17.财务费用测算表'!AQ19</f>
        <v>0</v>
      </c>
      <c r="AZ30" s="773">
        <f>'17.财务费用测算表'!AR19</f>
        <v>0</v>
      </c>
      <c r="BA30" s="773">
        <f>'17.财务费用测算表'!AS19</f>
        <v>0</v>
      </c>
      <c r="BB30" s="761">
        <f t="shared" ref="BB30:BB32" si="119">SUM(BC30:BF30)</f>
        <v>0</v>
      </c>
      <c r="BC30" s="829">
        <f>'17.财务费用测算表'!AT19</f>
        <v>0</v>
      </c>
      <c r="BD30" s="773">
        <f>'17.财务费用测算表'!AU19</f>
        <v>0</v>
      </c>
      <c r="BE30" s="773">
        <f>'17.财务费用测算表'!AV19</f>
        <v>0</v>
      </c>
      <c r="BF30" s="845">
        <f>'17.财务费用测算表'!AW19</f>
        <v>0</v>
      </c>
      <c r="BG30" s="784"/>
      <c r="BH30" s="784"/>
      <c r="BI30" s="784"/>
      <c r="BJ30" s="784"/>
      <c r="BK30" s="784"/>
      <c r="BL30" s="784"/>
      <c r="BM30" s="784"/>
      <c r="BN30" s="784"/>
      <c r="BO30" s="784"/>
      <c r="BP30" s="784"/>
      <c r="BQ30" s="784"/>
      <c r="BR30" s="784"/>
      <c r="BS30" s="784"/>
      <c r="BT30" s="784"/>
      <c r="BU30" s="784"/>
      <c r="BV30" s="784"/>
      <c r="BW30" s="784"/>
      <c r="BX30" s="784"/>
      <c r="BY30" s="784"/>
      <c r="BZ30" s="784"/>
      <c r="CA30" s="784"/>
      <c r="CB30" s="784"/>
      <c r="CC30" s="784"/>
      <c r="CD30" s="784"/>
      <c r="CE30" s="784"/>
      <c r="CF30" s="784"/>
      <c r="CG30" s="784"/>
      <c r="CH30" s="784"/>
      <c r="CI30" s="784"/>
      <c r="CJ30" s="784"/>
      <c r="CK30" s="784"/>
      <c r="CL30" s="784"/>
      <c r="CM30" s="784"/>
      <c r="CN30" s="784"/>
      <c r="CO30" s="784"/>
      <c r="CP30" s="784"/>
      <c r="CQ30" s="784"/>
      <c r="CR30" s="784"/>
      <c r="CS30" s="784"/>
      <c r="CT30" s="784"/>
      <c r="CU30" s="784"/>
      <c r="CV30" s="784"/>
      <c r="CW30" s="784"/>
      <c r="CX30" s="784"/>
      <c r="CY30" s="784"/>
      <c r="CZ30" s="784"/>
      <c r="DA30" s="784"/>
      <c r="DB30" s="784"/>
      <c r="DC30" s="784"/>
      <c r="DD30" s="784"/>
      <c r="DE30" s="784"/>
      <c r="DF30" s="784"/>
      <c r="DG30" s="784"/>
      <c r="DH30" s="784"/>
      <c r="DI30" s="784"/>
      <c r="DJ30" s="784"/>
      <c r="DK30" s="784"/>
      <c r="DL30" s="784"/>
      <c r="DM30" s="784"/>
      <c r="DN30" s="784"/>
      <c r="DO30" s="784"/>
      <c r="DP30" s="784"/>
      <c r="DQ30" s="784"/>
      <c r="DR30" s="784"/>
      <c r="DS30" s="784"/>
      <c r="DT30" s="784"/>
      <c r="DU30" s="784"/>
      <c r="DV30" s="784"/>
      <c r="DW30" s="784"/>
      <c r="DX30" s="784"/>
      <c r="DY30" s="784"/>
      <c r="DZ30" s="784"/>
      <c r="EA30" s="784"/>
      <c r="EB30" s="784"/>
      <c r="EC30" s="784"/>
      <c r="ED30" s="784"/>
      <c r="EE30" s="784"/>
      <c r="EF30" s="784"/>
      <c r="EG30" s="784"/>
      <c r="EH30" s="784"/>
      <c r="EI30" s="784"/>
      <c r="EJ30" s="784"/>
      <c r="EK30" s="784"/>
      <c r="EL30" s="784"/>
      <c r="EM30" s="784"/>
      <c r="EN30" s="784"/>
      <c r="EO30" s="784"/>
      <c r="EP30" s="784"/>
      <c r="EQ30" s="784"/>
      <c r="ER30" s="784"/>
      <c r="ES30" s="784"/>
      <c r="ET30" s="784"/>
      <c r="EU30" s="784"/>
      <c r="EV30" s="784"/>
      <c r="EW30" s="784"/>
      <c r="EX30" s="784"/>
      <c r="EY30" s="784"/>
      <c r="EZ30" s="784"/>
      <c r="FA30" s="784"/>
      <c r="FB30" s="784"/>
      <c r="FC30" s="784"/>
      <c r="FD30" s="784"/>
      <c r="FE30" s="784"/>
      <c r="FF30" s="784"/>
      <c r="FG30" s="784"/>
      <c r="FH30" s="784"/>
      <c r="FI30" s="784"/>
      <c r="FJ30" s="784"/>
      <c r="FK30" s="784"/>
      <c r="FL30" s="784"/>
      <c r="FM30" s="784"/>
      <c r="FN30" s="784"/>
      <c r="FO30" s="784"/>
      <c r="FP30" s="784"/>
      <c r="FQ30" s="784"/>
      <c r="FR30" s="784"/>
      <c r="FS30" s="784"/>
      <c r="FT30" s="784"/>
      <c r="FU30" s="784"/>
      <c r="FV30" s="784"/>
      <c r="FW30" s="784"/>
      <c r="FX30" s="784"/>
      <c r="FY30" s="784"/>
      <c r="FZ30" s="784"/>
      <c r="GA30" s="784"/>
      <c r="GB30" s="784"/>
      <c r="GC30" s="784"/>
      <c r="GD30" s="784"/>
      <c r="GE30" s="784"/>
      <c r="GF30" s="784"/>
      <c r="GG30" s="784"/>
      <c r="GH30" s="784"/>
      <c r="GI30" s="784"/>
      <c r="GJ30" s="784"/>
    </row>
    <row r="31" spans="1:192" s="739" customFormat="1" ht="17.25" customHeight="1">
      <c r="A31" s="784"/>
      <c r="B31" s="800" t="s">
        <v>715</v>
      </c>
      <c r="C31" s="773">
        <f t="shared" ca="1" si="108"/>
        <v>27000</v>
      </c>
      <c r="D31" s="761">
        <f t="shared" ca="1" si="109"/>
        <v>0</v>
      </c>
      <c r="E31" s="773">
        <f>'17.财务费用测算表'!F20</f>
        <v>0</v>
      </c>
      <c r="F31" s="773">
        <f ca="1">'17.财务费用测算表'!G20</f>
        <v>0</v>
      </c>
      <c r="G31" s="773">
        <f ca="1">'17.财务费用测算表'!H20</f>
        <v>0</v>
      </c>
      <c r="H31" s="774">
        <f ca="1">'17.财务费用测算表'!I20</f>
        <v>0</v>
      </c>
      <c r="I31" s="761">
        <f t="shared" ca="1" si="110"/>
        <v>27000</v>
      </c>
      <c r="J31" s="829">
        <f ca="1">'17.财务费用测算表'!J20</f>
        <v>0</v>
      </c>
      <c r="K31" s="773">
        <f ca="1">'17.财务费用测算表'!K20</f>
        <v>0</v>
      </c>
      <c r="L31" s="773">
        <f>'17.财务费用测算表'!L20</f>
        <v>24000</v>
      </c>
      <c r="M31" s="773">
        <f>'17.财务费用测算表'!M20</f>
        <v>3000</v>
      </c>
      <c r="N31" s="761">
        <f t="shared" ca="1" si="111"/>
        <v>0</v>
      </c>
      <c r="O31" s="829">
        <f>'17.财务费用测算表'!N20</f>
        <v>0</v>
      </c>
      <c r="P31" s="773">
        <f>'17.财务费用测算表'!O20</f>
        <v>0</v>
      </c>
      <c r="Q31" s="773">
        <f>'17.财务费用测算表'!P20</f>
        <v>0</v>
      </c>
      <c r="R31" s="773">
        <f ca="1">'17.财务费用测算表'!Q20</f>
        <v>0</v>
      </c>
      <c r="S31" s="761">
        <f t="shared" ca="1" si="112"/>
        <v>0</v>
      </c>
      <c r="T31" s="829">
        <f ca="1">'17.财务费用测算表'!R20</f>
        <v>0</v>
      </c>
      <c r="U31" s="773">
        <f ca="1">'17.财务费用测算表'!S20</f>
        <v>0</v>
      </c>
      <c r="V31" s="773">
        <f ca="1">'17.财务费用测算表'!T20</f>
        <v>0</v>
      </c>
      <c r="W31" s="773">
        <f ca="1">'17.财务费用测算表'!U20</f>
        <v>0</v>
      </c>
      <c r="X31" s="761">
        <f t="shared" ca="1" si="113"/>
        <v>0</v>
      </c>
      <c r="Y31" s="829">
        <f ca="1">'17.财务费用测算表'!V20</f>
        <v>0</v>
      </c>
      <c r="Z31" s="773">
        <f ca="1">'17.财务费用测算表'!W20</f>
        <v>0</v>
      </c>
      <c r="AA31" s="773">
        <f ca="1">'17.财务费用测算表'!X20</f>
        <v>0</v>
      </c>
      <c r="AB31" s="773">
        <f ca="1">'17.财务费用测算表'!Y20</f>
        <v>0</v>
      </c>
      <c r="AC31" s="761">
        <f t="shared" ca="1" si="114"/>
        <v>0</v>
      </c>
      <c r="AD31" s="829">
        <f ca="1">'17.财务费用测算表'!Z20</f>
        <v>0</v>
      </c>
      <c r="AE31" s="773">
        <f ca="1">'17.财务费用测算表'!AA20</f>
        <v>0</v>
      </c>
      <c r="AF31" s="773">
        <f ca="1">'17.财务费用测算表'!AB20</f>
        <v>0</v>
      </c>
      <c r="AG31" s="773">
        <f ca="1">'17.财务费用测算表'!AC20</f>
        <v>0</v>
      </c>
      <c r="AH31" s="761">
        <f t="shared" ca="1" si="115"/>
        <v>0</v>
      </c>
      <c r="AI31" s="829">
        <f ca="1">'17.财务费用测算表'!AD20</f>
        <v>0</v>
      </c>
      <c r="AJ31" s="773">
        <f ca="1">'17.财务费用测算表'!AE20</f>
        <v>0</v>
      </c>
      <c r="AK31" s="773">
        <f ca="1">'17.财务费用测算表'!AF20</f>
        <v>0</v>
      </c>
      <c r="AL31" s="773">
        <f ca="1">'17.财务费用测算表'!AG20</f>
        <v>0</v>
      </c>
      <c r="AM31" s="761">
        <f t="shared" ca="1" si="116"/>
        <v>0</v>
      </c>
      <c r="AN31" s="829">
        <f ca="1">'17.财务费用测算表'!AH20</f>
        <v>0</v>
      </c>
      <c r="AO31" s="773">
        <f ca="1">'17.财务费用测算表'!AI20</f>
        <v>0</v>
      </c>
      <c r="AP31" s="773">
        <f ca="1">'17.财务费用测算表'!AJ20</f>
        <v>0</v>
      </c>
      <c r="AQ31" s="773">
        <f ca="1">'17.财务费用测算表'!AK20</f>
        <v>0</v>
      </c>
      <c r="AR31" s="761">
        <f t="shared" ca="1" si="117"/>
        <v>0</v>
      </c>
      <c r="AS31" s="829">
        <f ca="1">'17.财务费用测算表'!AL20</f>
        <v>0</v>
      </c>
      <c r="AT31" s="773">
        <f ca="1">'17.财务费用测算表'!AM20</f>
        <v>0</v>
      </c>
      <c r="AU31" s="773">
        <f ca="1">'17.财务费用测算表'!AN20</f>
        <v>0</v>
      </c>
      <c r="AV31" s="773">
        <f ca="1">'17.财务费用测算表'!AO20</f>
        <v>0</v>
      </c>
      <c r="AW31" s="761">
        <f t="shared" ca="1" si="118"/>
        <v>0</v>
      </c>
      <c r="AX31" s="829">
        <f ca="1">'17.财务费用测算表'!AP20</f>
        <v>0</v>
      </c>
      <c r="AY31" s="773">
        <f ca="1">'17.财务费用测算表'!AQ20</f>
        <v>0</v>
      </c>
      <c r="AZ31" s="773">
        <f ca="1">'17.财务费用测算表'!AR20</f>
        <v>0</v>
      </c>
      <c r="BA31" s="773">
        <f ca="1">'17.财务费用测算表'!AS20</f>
        <v>0</v>
      </c>
      <c r="BB31" s="761">
        <f t="shared" ca="1" si="119"/>
        <v>0</v>
      </c>
      <c r="BC31" s="829">
        <f ca="1">'17.财务费用测算表'!AT20</f>
        <v>0</v>
      </c>
      <c r="BD31" s="773">
        <f ca="1">'17.财务费用测算表'!AU20</f>
        <v>0</v>
      </c>
      <c r="BE31" s="773">
        <f ca="1">'17.财务费用测算表'!AV20</f>
        <v>0</v>
      </c>
      <c r="BF31" s="845">
        <f ca="1">'17.财务费用测算表'!AW20</f>
        <v>0</v>
      </c>
      <c r="BG31" s="784"/>
      <c r="BH31" s="784"/>
      <c r="BI31" s="784"/>
      <c r="BJ31" s="784"/>
      <c r="BK31" s="784"/>
      <c r="BL31" s="784"/>
      <c r="BM31" s="784"/>
      <c r="BN31" s="784"/>
      <c r="BO31" s="784"/>
      <c r="BP31" s="784"/>
      <c r="BQ31" s="784"/>
      <c r="BR31" s="784"/>
      <c r="BS31" s="784"/>
      <c r="BT31" s="784"/>
      <c r="BU31" s="784"/>
      <c r="BV31" s="784"/>
      <c r="BW31" s="784"/>
      <c r="BX31" s="784"/>
      <c r="BY31" s="784"/>
      <c r="BZ31" s="784"/>
      <c r="CA31" s="784"/>
      <c r="CB31" s="784"/>
      <c r="CC31" s="784"/>
      <c r="CD31" s="784"/>
      <c r="CE31" s="784"/>
      <c r="CF31" s="784"/>
      <c r="CG31" s="784"/>
      <c r="CH31" s="784"/>
      <c r="CI31" s="784"/>
      <c r="CJ31" s="784"/>
      <c r="CK31" s="784"/>
      <c r="CL31" s="784"/>
      <c r="CM31" s="784"/>
      <c r="CN31" s="784"/>
      <c r="CO31" s="784"/>
      <c r="CP31" s="784"/>
      <c r="CQ31" s="784"/>
      <c r="CR31" s="784"/>
      <c r="CS31" s="784"/>
      <c r="CT31" s="784"/>
      <c r="CU31" s="784"/>
      <c r="CV31" s="784"/>
      <c r="CW31" s="784"/>
      <c r="CX31" s="784"/>
      <c r="CY31" s="784"/>
      <c r="CZ31" s="784"/>
      <c r="DA31" s="784"/>
      <c r="DB31" s="784"/>
      <c r="DC31" s="784"/>
      <c r="DD31" s="784"/>
      <c r="DE31" s="784"/>
      <c r="DF31" s="784"/>
      <c r="DG31" s="784"/>
      <c r="DH31" s="784"/>
      <c r="DI31" s="784"/>
      <c r="DJ31" s="784"/>
      <c r="DK31" s="784"/>
      <c r="DL31" s="784"/>
      <c r="DM31" s="784"/>
      <c r="DN31" s="784"/>
      <c r="DO31" s="784"/>
      <c r="DP31" s="784"/>
      <c r="DQ31" s="784"/>
      <c r="DR31" s="784"/>
      <c r="DS31" s="784"/>
      <c r="DT31" s="784"/>
      <c r="DU31" s="784"/>
      <c r="DV31" s="784"/>
      <c r="DW31" s="784"/>
      <c r="DX31" s="784"/>
      <c r="DY31" s="784"/>
      <c r="DZ31" s="784"/>
      <c r="EA31" s="784"/>
      <c r="EB31" s="784"/>
      <c r="EC31" s="784"/>
      <c r="ED31" s="784"/>
      <c r="EE31" s="784"/>
      <c r="EF31" s="784"/>
      <c r="EG31" s="784"/>
      <c r="EH31" s="784"/>
      <c r="EI31" s="784"/>
      <c r="EJ31" s="784"/>
      <c r="EK31" s="784"/>
      <c r="EL31" s="784"/>
      <c r="EM31" s="784"/>
      <c r="EN31" s="784"/>
      <c r="EO31" s="784"/>
      <c r="EP31" s="784"/>
      <c r="EQ31" s="784"/>
      <c r="ER31" s="784"/>
      <c r="ES31" s="784"/>
      <c r="ET31" s="784"/>
      <c r="EU31" s="784"/>
      <c r="EV31" s="784"/>
      <c r="EW31" s="784"/>
      <c r="EX31" s="784"/>
      <c r="EY31" s="784"/>
      <c r="EZ31" s="784"/>
      <c r="FA31" s="784"/>
      <c r="FB31" s="784"/>
      <c r="FC31" s="784"/>
      <c r="FD31" s="784"/>
      <c r="FE31" s="784"/>
      <c r="FF31" s="784"/>
      <c r="FG31" s="784"/>
      <c r="FH31" s="784"/>
      <c r="FI31" s="784"/>
      <c r="FJ31" s="784"/>
      <c r="FK31" s="784"/>
      <c r="FL31" s="784"/>
      <c r="FM31" s="784"/>
      <c r="FN31" s="784"/>
      <c r="FO31" s="784"/>
      <c r="FP31" s="784"/>
      <c r="FQ31" s="784"/>
      <c r="FR31" s="784"/>
      <c r="FS31" s="784"/>
      <c r="FT31" s="784"/>
      <c r="FU31" s="784"/>
      <c r="FV31" s="784"/>
      <c r="FW31" s="784"/>
      <c r="FX31" s="784"/>
      <c r="FY31" s="784"/>
      <c r="FZ31" s="784"/>
      <c r="GA31" s="784"/>
      <c r="GB31" s="784"/>
      <c r="GC31" s="784"/>
      <c r="GD31" s="784"/>
      <c r="GE31" s="784"/>
      <c r="GF31" s="784"/>
      <c r="GG31" s="784"/>
      <c r="GH31" s="784"/>
      <c r="GI31" s="784"/>
      <c r="GJ31" s="784"/>
    </row>
    <row r="32" spans="1:192" s="739" customFormat="1" ht="17.25" customHeight="1">
      <c r="A32" s="758"/>
      <c r="B32" s="800" t="s">
        <v>716</v>
      </c>
      <c r="C32" s="773">
        <f t="shared" ca="1" si="108"/>
        <v>901.5</v>
      </c>
      <c r="D32" s="761">
        <f t="shared" ca="1" si="109"/>
        <v>0</v>
      </c>
      <c r="E32" s="773">
        <f>'17.财务费用测算表'!F21</f>
        <v>0</v>
      </c>
      <c r="F32" s="773">
        <f ca="1">'17.财务费用测算表'!G21</f>
        <v>0</v>
      </c>
      <c r="G32" s="773">
        <f ca="1">'17.财务费用测算表'!H21</f>
        <v>0</v>
      </c>
      <c r="H32" s="774">
        <f ca="1">'17.财务费用测算表'!I21</f>
        <v>0</v>
      </c>
      <c r="I32" s="761">
        <f t="shared" ca="1" si="110"/>
        <v>901.5</v>
      </c>
      <c r="J32" s="829">
        <f ca="1">'17.财务费用测算表'!J21</f>
        <v>132</v>
      </c>
      <c r="K32" s="773">
        <f ca="1">'17.财务费用测算表'!K21</f>
        <v>418.875</v>
      </c>
      <c r="L32" s="773">
        <f ca="1">'17.财务费用测算表'!L21</f>
        <v>318.75</v>
      </c>
      <c r="M32" s="773">
        <f ca="1">'17.财务费用测算表'!M21</f>
        <v>31.875000000000004</v>
      </c>
      <c r="N32" s="761">
        <f t="shared" ca="1" si="111"/>
        <v>0</v>
      </c>
      <c r="O32" s="829">
        <f ca="1">'17.财务费用测算表'!N21</f>
        <v>0</v>
      </c>
      <c r="P32" s="773">
        <f ca="1">'17.财务费用测算表'!O21</f>
        <v>0</v>
      </c>
      <c r="Q32" s="773">
        <f ca="1">'17.财务费用测算表'!P21</f>
        <v>0</v>
      </c>
      <c r="R32" s="773">
        <f ca="1">'17.财务费用测算表'!Q21</f>
        <v>0</v>
      </c>
      <c r="S32" s="761">
        <f t="shared" ca="1" si="112"/>
        <v>0</v>
      </c>
      <c r="T32" s="829">
        <f ca="1">'17.财务费用测算表'!R21</f>
        <v>0</v>
      </c>
      <c r="U32" s="773">
        <f ca="1">'17.财务费用测算表'!S21</f>
        <v>0</v>
      </c>
      <c r="V32" s="773">
        <f ca="1">'17.财务费用测算表'!T21</f>
        <v>0</v>
      </c>
      <c r="W32" s="773">
        <f ca="1">'17.财务费用测算表'!U21</f>
        <v>0</v>
      </c>
      <c r="X32" s="761">
        <f t="shared" ca="1" si="113"/>
        <v>0</v>
      </c>
      <c r="Y32" s="829">
        <f ca="1">'17.财务费用测算表'!V21</f>
        <v>0</v>
      </c>
      <c r="Z32" s="773">
        <f ca="1">'17.财务费用测算表'!W21</f>
        <v>0</v>
      </c>
      <c r="AA32" s="773">
        <f ca="1">'17.财务费用测算表'!X21</f>
        <v>0</v>
      </c>
      <c r="AB32" s="773">
        <f ca="1">'17.财务费用测算表'!Y21</f>
        <v>0</v>
      </c>
      <c r="AC32" s="761">
        <f t="shared" ca="1" si="114"/>
        <v>0</v>
      </c>
      <c r="AD32" s="829">
        <f ca="1">'17.财务费用测算表'!Z21</f>
        <v>0</v>
      </c>
      <c r="AE32" s="773">
        <f ca="1">'17.财务费用测算表'!AA21</f>
        <v>0</v>
      </c>
      <c r="AF32" s="773">
        <f ca="1">'17.财务费用测算表'!AB21</f>
        <v>0</v>
      </c>
      <c r="AG32" s="773">
        <f ca="1">'17.财务费用测算表'!AC21</f>
        <v>0</v>
      </c>
      <c r="AH32" s="761">
        <f t="shared" ca="1" si="115"/>
        <v>0</v>
      </c>
      <c r="AI32" s="829">
        <f ca="1">'17.财务费用测算表'!AD21</f>
        <v>0</v>
      </c>
      <c r="AJ32" s="773">
        <f ca="1">'17.财务费用测算表'!AE21</f>
        <v>0</v>
      </c>
      <c r="AK32" s="773">
        <f ca="1">'17.财务费用测算表'!AF21</f>
        <v>0</v>
      </c>
      <c r="AL32" s="773">
        <f ca="1">'17.财务费用测算表'!AG21</f>
        <v>0</v>
      </c>
      <c r="AM32" s="761">
        <f t="shared" ca="1" si="116"/>
        <v>0</v>
      </c>
      <c r="AN32" s="829">
        <f ca="1">'17.财务费用测算表'!AH21</f>
        <v>0</v>
      </c>
      <c r="AO32" s="773">
        <f ca="1">'17.财务费用测算表'!AI21</f>
        <v>0</v>
      </c>
      <c r="AP32" s="773">
        <f ca="1">'17.财务费用测算表'!AJ21</f>
        <v>0</v>
      </c>
      <c r="AQ32" s="773">
        <f ca="1">'17.财务费用测算表'!AK21</f>
        <v>0</v>
      </c>
      <c r="AR32" s="761">
        <f t="shared" ca="1" si="117"/>
        <v>0</v>
      </c>
      <c r="AS32" s="829">
        <f ca="1">'17.财务费用测算表'!AL21</f>
        <v>0</v>
      </c>
      <c r="AT32" s="773">
        <f ca="1">'17.财务费用测算表'!AM21</f>
        <v>0</v>
      </c>
      <c r="AU32" s="773">
        <f ca="1">'17.财务费用测算表'!AN21</f>
        <v>0</v>
      </c>
      <c r="AV32" s="773">
        <f ca="1">'17.财务费用测算表'!AO21</f>
        <v>0</v>
      </c>
      <c r="AW32" s="761">
        <f t="shared" ca="1" si="118"/>
        <v>0</v>
      </c>
      <c r="AX32" s="829">
        <f ca="1">'17.财务费用测算表'!AP21</f>
        <v>0</v>
      </c>
      <c r="AY32" s="773">
        <f ca="1">'17.财务费用测算表'!AQ21</f>
        <v>0</v>
      </c>
      <c r="AZ32" s="773">
        <f ca="1">'17.财务费用测算表'!AR21</f>
        <v>0</v>
      </c>
      <c r="BA32" s="773">
        <f ca="1">'17.财务费用测算表'!AS21</f>
        <v>0</v>
      </c>
      <c r="BB32" s="761">
        <f t="shared" ca="1" si="119"/>
        <v>0</v>
      </c>
      <c r="BC32" s="829">
        <f ca="1">'17.财务费用测算表'!AT21</f>
        <v>0</v>
      </c>
      <c r="BD32" s="773">
        <f ca="1">'17.财务费用测算表'!AU21</f>
        <v>0</v>
      </c>
      <c r="BE32" s="773">
        <f ca="1">'17.财务费用测算表'!AV21</f>
        <v>0</v>
      </c>
      <c r="BF32" s="845">
        <f ca="1">'17.财务费用测算表'!AW21</f>
        <v>0</v>
      </c>
      <c r="BG32" s="784"/>
      <c r="BH32" s="784"/>
      <c r="BI32" s="784"/>
      <c r="BJ32" s="784"/>
      <c r="BK32" s="784"/>
      <c r="BL32" s="784"/>
      <c r="BM32" s="784"/>
      <c r="BN32" s="784"/>
      <c r="BO32" s="784"/>
      <c r="BP32" s="784"/>
      <c r="BQ32" s="784"/>
      <c r="BR32" s="784"/>
      <c r="BS32" s="784"/>
      <c r="BT32" s="784"/>
      <c r="BU32" s="784"/>
      <c r="BV32" s="784"/>
      <c r="BW32" s="784"/>
      <c r="BX32" s="784"/>
      <c r="BY32" s="784"/>
      <c r="BZ32" s="784"/>
      <c r="CA32" s="784"/>
      <c r="CB32" s="784"/>
      <c r="CC32" s="784"/>
      <c r="CD32" s="784"/>
      <c r="CE32" s="784"/>
      <c r="CF32" s="784"/>
      <c r="CG32" s="784"/>
      <c r="CH32" s="784"/>
      <c r="CI32" s="784"/>
      <c r="CJ32" s="784"/>
      <c r="CK32" s="784"/>
      <c r="CL32" s="784"/>
      <c r="CM32" s="784"/>
      <c r="CN32" s="784"/>
      <c r="CO32" s="784"/>
      <c r="CP32" s="784"/>
      <c r="CQ32" s="784"/>
      <c r="CR32" s="784"/>
      <c r="CS32" s="784"/>
      <c r="CT32" s="784"/>
      <c r="CU32" s="784"/>
      <c r="CV32" s="784"/>
      <c r="CW32" s="784"/>
      <c r="CX32" s="784"/>
      <c r="CY32" s="784"/>
      <c r="CZ32" s="784"/>
      <c r="DA32" s="784"/>
      <c r="DB32" s="784"/>
      <c r="DC32" s="784"/>
      <c r="DD32" s="784"/>
      <c r="DE32" s="784"/>
      <c r="DF32" s="784"/>
      <c r="DG32" s="784"/>
      <c r="DH32" s="784"/>
      <c r="DI32" s="784"/>
      <c r="DJ32" s="784"/>
      <c r="DK32" s="784"/>
      <c r="DL32" s="784"/>
      <c r="DM32" s="784"/>
      <c r="DN32" s="784"/>
      <c r="DO32" s="784"/>
      <c r="DP32" s="784"/>
      <c r="DQ32" s="784"/>
      <c r="DR32" s="784"/>
      <c r="DS32" s="784"/>
      <c r="DT32" s="784"/>
      <c r="DU32" s="784"/>
      <c r="DV32" s="784"/>
      <c r="DW32" s="784"/>
      <c r="DX32" s="784"/>
      <c r="DY32" s="784"/>
      <c r="DZ32" s="784"/>
      <c r="EA32" s="784"/>
      <c r="EB32" s="784"/>
      <c r="EC32" s="784"/>
      <c r="ED32" s="784"/>
      <c r="EE32" s="784"/>
      <c r="EF32" s="784"/>
      <c r="EG32" s="784"/>
      <c r="EH32" s="784"/>
      <c r="EI32" s="784"/>
      <c r="EJ32" s="784"/>
      <c r="EK32" s="784"/>
      <c r="EL32" s="784"/>
      <c r="EM32" s="784"/>
      <c r="EN32" s="784"/>
      <c r="EO32" s="784"/>
      <c r="EP32" s="784"/>
      <c r="EQ32" s="784"/>
      <c r="ER32" s="784"/>
      <c r="ES32" s="784"/>
      <c r="ET32" s="784"/>
      <c r="EU32" s="784"/>
      <c r="EV32" s="784"/>
      <c r="EW32" s="784"/>
      <c r="EX32" s="784"/>
      <c r="EY32" s="784"/>
      <c r="EZ32" s="784"/>
      <c r="FA32" s="784"/>
      <c r="FB32" s="784"/>
      <c r="FC32" s="784"/>
      <c r="FD32" s="784"/>
      <c r="FE32" s="784"/>
      <c r="FF32" s="784"/>
      <c r="FG32" s="784"/>
      <c r="FH32" s="784"/>
      <c r="FI32" s="784"/>
      <c r="FJ32" s="784"/>
      <c r="FK32" s="784"/>
      <c r="FL32" s="784"/>
      <c r="FM32" s="784"/>
      <c r="FN32" s="784"/>
      <c r="FO32" s="784"/>
      <c r="FP32" s="784"/>
      <c r="FQ32" s="784"/>
      <c r="FR32" s="784"/>
      <c r="FS32" s="784"/>
      <c r="FT32" s="784"/>
      <c r="FU32" s="784"/>
      <c r="FV32" s="784"/>
      <c r="FW32" s="784"/>
      <c r="FX32" s="784"/>
      <c r="FY32" s="784"/>
      <c r="FZ32" s="784"/>
      <c r="GA32" s="784"/>
      <c r="GB32" s="784"/>
      <c r="GC32" s="784"/>
      <c r="GD32" s="784"/>
      <c r="GE32" s="784"/>
      <c r="GF32" s="784"/>
      <c r="GG32" s="784"/>
      <c r="GH32" s="784"/>
      <c r="GI32" s="784"/>
      <c r="GJ32" s="784"/>
    </row>
    <row r="33" spans="1:192" s="736" customFormat="1" ht="17.25" customHeight="1">
      <c r="A33" s="792"/>
      <c r="B33" s="797" t="s">
        <v>717</v>
      </c>
      <c r="C33" s="798">
        <f ca="1">C30-C31-C32</f>
        <v>-901.5</v>
      </c>
      <c r="D33" s="799">
        <f t="shared" ref="D33:BF33" ca="1" si="120">D30-D31-D32</f>
        <v>0</v>
      </c>
      <c r="E33" s="770">
        <f t="shared" si="120"/>
        <v>0</v>
      </c>
      <c r="F33" s="770">
        <f t="shared" ca="1" si="120"/>
        <v>0</v>
      </c>
      <c r="G33" s="770">
        <f t="shared" ca="1" si="120"/>
        <v>0</v>
      </c>
      <c r="H33" s="771">
        <f t="shared" ca="1" si="120"/>
        <v>0</v>
      </c>
      <c r="I33" s="799">
        <f t="shared" ca="1" si="120"/>
        <v>-901.5</v>
      </c>
      <c r="J33" s="828">
        <f t="shared" ca="1" si="120"/>
        <v>-132</v>
      </c>
      <c r="K33" s="770">
        <f t="shared" ca="1" si="120"/>
        <v>26581.125</v>
      </c>
      <c r="L33" s="770">
        <f t="shared" ca="1" si="120"/>
        <v>-24318.75</v>
      </c>
      <c r="M33" s="770">
        <f t="shared" ca="1" si="120"/>
        <v>-3031.875</v>
      </c>
      <c r="N33" s="799">
        <f t="shared" ca="1" si="120"/>
        <v>0</v>
      </c>
      <c r="O33" s="828">
        <f t="shared" ca="1" si="120"/>
        <v>0</v>
      </c>
      <c r="P33" s="770">
        <f t="shared" ca="1" si="120"/>
        <v>0</v>
      </c>
      <c r="Q33" s="770">
        <f t="shared" ca="1" si="120"/>
        <v>0</v>
      </c>
      <c r="R33" s="770">
        <f t="shared" ca="1" si="120"/>
        <v>0</v>
      </c>
      <c r="S33" s="799">
        <f t="shared" ca="1" si="120"/>
        <v>0</v>
      </c>
      <c r="T33" s="828">
        <f t="shared" ca="1" si="120"/>
        <v>0</v>
      </c>
      <c r="U33" s="770">
        <f t="shared" ca="1" si="120"/>
        <v>0</v>
      </c>
      <c r="V33" s="770">
        <f t="shared" ca="1" si="120"/>
        <v>0</v>
      </c>
      <c r="W33" s="770">
        <f t="shared" ca="1" si="120"/>
        <v>0</v>
      </c>
      <c r="X33" s="799">
        <f t="shared" ca="1" si="120"/>
        <v>0</v>
      </c>
      <c r="Y33" s="828">
        <f t="shared" ca="1" si="120"/>
        <v>0</v>
      </c>
      <c r="Z33" s="770">
        <f t="shared" ca="1" si="120"/>
        <v>0</v>
      </c>
      <c r="AA33" s="770">
        <f t="shared" ca="1" si="120"/>
        <v>0</v>
      </c>
      <c r="AB33" s="770">
        <f t="shared" ca="1" si="120"/>
        <v>0</v>
      </c>
      <c r="AC33" s="799">
        <f t="shared" ca="1" si="120"/>
        <v>0</v>
      </c>
      <c r="AD33" s="828">
        <f t="shared" ca="1" si="120"/>
        <v>0</v>
      </c>
      <c r="AE33" s="770">
        <f t="shared" ca="1" si="120"/>
        <v>0</v>
      </c>
      <c r="AF33" s="770">
        <f t="shared" ca="1" si="120"/>
        <v>0</v>
      </c>
      <c r="AG33" s="770">
        <f t="shared" ca="1" si="120"/>
        <v>0</v>
      </c>
      <c r="AH33" s="799">
        <f t="shared" ca="1" si="120"/>
        <v>0</v>
      </c>
      <c r="AI33" s="828">
        <f t="shared" ca="1" si="120"/>
        <v>0</v>
      </c>
      <c r="AJ33" s="770">
        <f t="shared" ca="1" si="120"/>
        <v>0</v>
      </c>
      <c r="AK33" s="770">
        <f t="shared" ca="1" si="120"/>
        <v>0</v>
      </c>
      <c r="AL33" s="770">
        <f t="shared" ca="1" si="120"/>
        <v>0</v>
      </c>
      <c r="AM33" s="799">
        <f t="shared" ca="1" si="120"/>
        <v>0</v>
      </c>
      <c r="AN33" s="828">
        <f t="shared" ca="1" si="120"/>
        <v>0</v>
      </c>
      <c r="AO33" s="770">
        <f t="shared" ca="1" si="120"/>
        <v>0</v>
      </c>
      <c r="AP33" s="770">
        <f t="shared" ca="1" si="120"/>
        <v>0</v>
      </c>
      <c r="AQ33" s="770">
        <f t="shared" ca="1" si="120"/>
        <v>0</v>
      </c>
      <c r="AR33" s="799">
        <f t="shared" ca="1" si="120"/>
        <v>0</v>
      </c>
      <c r="AS33" s="828">
        <f t="shared" ca="1" si="120"/>
        <v>0</v>
      </c>
      <c r="AT33" s="770">
        <f t="shared" ca="1" si="120"/>
        <v>0</v>
      </c>
      <c r="AU33" s="770">
        <f t="shared" ca="1" si="120"/>
        <v>0</v>
      </c>
      <c r="AV33" s="770">
        <f t="shared" ca="1" si="120"/>
        <v>0</v>
      </c>
      <c r="AW33" s="799">
        <f t="shared" ca="1" si="120"/>
        <v>0</v>
      </c>
      <c r="AX33" s="828">
        <f t="shared" ca="1" si="120"/>
        <v>0</v>
      </c>
      <c r="AY33" s="770">
        <f t="shared" ca="1" si="120"/>
        <v>0</v>
      </c>
      <c r="AZ33" s="770">
        <f t="shared" ca="1" si="120"/>
        <v>0</v>
      </c>
      <c r="BA33" s="770">
        <f t="shared" ca="1" si="120"/>
        <v>0</v>
      </c>
      <c r="BB33" s="799">
        <f t="shared" ca="1" si="120"/>
        <v>0</v>
      </c>
      <c r="BC33" s="828">
        <f t="shared" ca="1" si="120"/>
        <v>0</v>
      </c>
      <c r="BD33" s="770">
        <f t="shared" ca="1" si="120"/>
        <v>0</v>
      </c>
      <c r="BE33" s="770">
        <f t="shared" ca="1" si="120"/>
        <v>0</v>
      </c>
      <c r="BF33" s="844">
        <f t="shared" ca="1" si="120"/>
        <v>0</v>
      </c>
      <c r="BG33" s="839"/>
      <c r="BH33" s="839"/>
      <c r="BI33" s="839"/>
      <c r="BJ33" s="839"/>
      <c r="BK33" s="839"/>
      <c r="BL33" s="839"/>
      <c r="BM33" s="839"/>
      <c r="BN33" s="839"/>
      <c r="BO33" s="839"/>
      <c r="BP33" s="839"/>
      <c r="BQ33" s="839"/>
      <c r="BR33" s="839"/>
      <c r="BS33" s="839"/>
      <c r="BT33" s="839"/>
      <c r="BU33" s="839"/>
      <c r="BV33" s="839"/>
      <c r="BW33" s="839"/>
      <c r="BX33" s="839"/>
      <c r="BY33" s="839"/>
      <c r="BZ33" s="839"/>
      <c r="CA33" s="839"/>
      <c r="CB33" s="839"/>
      <c r="CC33" s="839"/>
      <c r="CD33" s="839"/>
      <c r="CE33" s="839"/>
      <c r="CF33" s="839"/>
      <c r="CG33" s="839"/>
      <c r="CH33" s="839"/>
      <c r="CI33" s="839"/>
      <c r="CJ33" s="839"/>
      <c r="CK33" s="839"/>
      <c r="CL33" s="839"/>
      <c r="CM33" s="839"/>
      <c r="CN33" s="839"/>
      <c r="CO33" s="839"/>
      <c r="CP33" s="839"/>
      <c r="CQ33" s="839"/>
      <c r="CR33" s="839"/>
      <c r="CS33" s="839"/>
      <c r="CT33" s="839"/>
      <c r="CU33" s="839"/>
      <c r="CV33" s="839"/>
      <c r="CW33" s="839"/>
      <c r="CX33" s="839"/>
      <c r="CY33" s="839"/>
      <c r="CZ33" s="839"/>
      <c r="DA33" s="839"/>
      <c r="DB33" s="839"/>
      <c r="DC33" s="839"/>
      <c r="DD33" s="839"/>
      <c r="DE33" s="839"/>
      <c r="DF33" s="839"/>
      <c r="DG33" s="839"/>
      <c r="DH33" s="839"/>
      <c r="DI33" s="839"/>
      <c r="DJ33" s="839"/>
      <c r="DK33" s="839"/>
      <c r="DL33" s="839"/>
      <c r="DM33" s="839"/>
      <c r="DN33" s="839"/>
      <c r="DO33" s="839"/>
      <c r="DP33" s="839"/>
      <c r="DQ33" s="839"/>
      <c r="DR33" s="839"/>
      <c r="DS33" s="839"/>
      <c r="DT33" s="839"/>
      <c r="DU33" s="839"/>
      <c r="DV33" s="839"/>
      <c r="DW33" s="839"/>
      <c r="DX33" s="839"/>
      <c r="DY33" s="839"/>
      <c r="DZ33" s="839"/>
      <c r="EA33" s="839"/>
      <c r="EB33" s="839"/>
      <c r="EC33" s="839"/>
      <c r="ED33" s="839"/>
      <c r="EE33" s="839"/>
      <c r="EF33" s="839"/>
      <c r="EG33" s="839"/>
      <c r="EH33" s="839"/>
      <c r="EI33" s="839"/>
      <c r="EJ33" s="839"/>
      <c r="EK33" s="839"/>
      <c r="EL33" s="839"/>
      <c r="EM33" s="839"/>
      <c r="EN33" s="839"/>
      <c r="EO33" s="839"/>
      <c r="EP33" s="839"/>
      <c r="EQ33" s="839"/>
      <c r="ER33" s="839"/>
      <c r="ES33" s="839"/>
      <c r="ET33" s="839"/>
      <c r="EU33" s="839"/>
      <c r="EV33" s="839"/>
      <c r="EW33" s="839"/>
      <c r="EX33" s="839"/>
      <c r="EY33" s="839"/>
      <c r="EZ33" s="839"/>
      <c r="FA33" s="839"/>
      <c r="FB33" s="839"/>
      <c r="FC33" s="839"/>
      <c r="FD33" s="839"/>
      <c r="FE33" s="839"/>
      <c r="FF33" s="839"/>
      <c r="FG33" s="839"/>
      <c r="FH33" s="839"/>
      <c r="FI33" s="839"/>
      <c r="FJ33" s="839"/>
      <c r="FK33" s="839"/>
      <c r="FL33" s="839"/>
      <c r="FM33" s="839"/>
      <c r="FN33" s="839"/>
      <c r="FO33" s="839"/>
      <c r="FP33" s="839"/>
      <c r="FQ33" s="839"/>
      <c r="FR33" s="839"/>
      <c r="FS33" s="839"/>
      <c r="FT33" s="839"/>
      <c r="FU33" s="839"/>
      <c r="FV33" s="839"/>
      <c r="FW33" s="839"/>
      <c r="FX33" s="839"/>
      <c r="FY33" s="839"/>
      <c r="FZ33" s="839"/>
      <c r="GA33" s="839"/>
      <c r="GB33" s="839"/>
      <c r="GC33" s="839"/>
      <c r="GD33" s="839"/>
      <c r="GE33" s="839"/>
      <c r="GF33" s="839"/>
      <c r="GG33" s="839"/>
      <c r="GH33" s="839"/>
      <c r="GI33" s="839"/>
      <c r="GJ33" s="839"/>
    </row>
    <row r="34" spans="1:192" ht="17.25" customHeight="1">
      <c r="A34" s="784"/>
      <c r="B34" s="801" t="s">
        <v>718</v>
      </c>
      <c r="C34" s="773">
        <f t="shared" ref="C34:C36" ca="1" si="121">SUM(D34,I34,N34,S34,X34,AC34,AH34,AM34,AR34,AW34,BB34)</f>
        <v>0</v>
      </c>
      <c r="D34" s="761">
        <f t="shared" ref="D34:D36" ca="1" si="122">SUM(E34:H34)</f>
        <v>0</v>
      </c>
      <c r="E34" s="773">
        <f>'17.财务费用测算表'!F16-'17.财务费用测算表'!F17</f>
        <v>0</v>
      </c>
      <c r="F34" s="773">
        <f ca="1">'17.财务费用测算表'!G16-'17.财务费用测算表'!G17</f>
        <v>0</v>
      </c>
      <c r="G34" s="773">
        <f ca="1">'17.财务费用测算表'!H16-'17.财务费用测算表'!H17</f>
        <v>0</v>
      </c>
      <c r="H34" s="774">
        <f ca="1">'17.财务费用测算表'!I16-'17.财务费用测算表'!I17</f>
        <v>0</v>
      </c>
      <c r="I34" s="761">
        <f t="shared" ref="I34:I36" ca="1" si="123">SUM(J34:M34)</f>
        <v>0</v>
      </c>
      <c r="J34" s="829">
        <f ca="1">'17.财务费用测算表'!J16-'17.财务费用测算表'!J17</f>
        <v>8800</v>
      </c>
      <c r="K34" s="773">
        <f>'17.财务费用测算表'!K16-'17.财务费用测算表'!K17</f>
        <v>-8800</v>
      </c>
      <c r="L34" s="773">
        <f>'17.财务费用测算表'!L16-'17.财务费用测算表'!L17</f>
        <v>0</v>
      </c>
      <c r="M34" s="773">
        <f>'17.财务费用测算表'!M16-'17.财务费用测算表'!M17</f>
        <v>0</v>
      </c>
      <c r="N34" s="761">
        <f t="shared" ref="N34:N36" ca="1" si="124">SUM(O34:R34)</f>
        <v>0</v>
      </c>
      <c r="O34" s="829">
        <f>'17.财务费用测算表'!N16-'17.财务费用测算表'!N17</f>
        <v>0</v>
      </c>
      <c r="P34" s="773">
        <f>'17.财务费用测算表'!O16-'17.财务费用测算表'!O17</f>
        <v>0</v>
      </c>
      <c r="Q34" s="773">
        <f ca="1">'17.财务费用测算表'!P16-'17.财务费用测算表'!P17</f>
        <v>0</v>
      </c>
      <c r="R34" s="773">
        <f ca="1">'17.财务费用测算表'!Q16-'17.财务费用测算表'!Q17</f>
        <v>0</v>
      </c>
      <c r="S34" s="761">
        <f t="shared" ref="S34:S36" ca="1" si="125">SUM(T34:W34)</f>
        <v>0</v>
      </c>
      <c r="T34" s="829">
        <f ca="1">'17.财务费用测算表'!R16-'17.财务费用测算表'!R17</f>
        <v>0</v>
      </c>
      <c r="U34" s="773">
        <f ca="1">'17.财务费用测算表'!S16-'17.财务费用测算表'!S17</f>
        <v>0</v>
      </c>
      <c r="V34" s="773">
        <f ca="1">'17.财务费用测算表'!T16-'17.财务费用测算表'!T17</f>
        <v>0</v>
      </c>
      <c r="W34" s="773">
        <f ca="1">'17.财务费用测算表'!U16-'17.财务费用测算表'!U17</f>
        <v>0</v>
      </c>
      <c r="X34" s="761">
        <f t="shared" ref="X34:X36" ca="1" si="126">SUM(Y34:AB34)</f>
        <v>0</v>
      </c>
      <c r="Y34" s="829">
        <f ca="1">'17.财务费用测算表'!V16-'17.财务费用测算表'!V17</f>
        <v>0</v>
      </c>
      <c r="Z34" s="773">
        <f ca="1">'17.财务费用测算表'!W16-'17.财务费用测算表'!W17</f>
        <v>0</v>
      </c>
      <c r="AA34" s="773">
        <f ca="1">'17.财务费用测算表'!X16-'17.财务费用测算表'!X17</f>
        <v>0</v>
      </c>
      <c r="AB34" s="773">
        <f ca="1">'17.财务费用测算表'!Y16-'17.财务费用测算表'!Y17</f>
        <v>0</v>
      </c>
      <c r="AC34" s="761">
        <f t="shared" ref="AC34:AC36" ca="1" si="127">SUM(AD34:AG34)</f>
        <v>0</v>
      </c>
      <c r="AD34" s="829">
        <f ca="1">'17.财务费用测算表'!Z16-'17.财务费用测算表'!Z17</f>
        <v>0</v>
      </c>
      <c r="AE34" s="773">
        <f ca="1">'17.财务费用测算表'!AA16-'17.财务费用测算表'!AA17</f>
        <v>0</v>
      </c>
      <c r="AF34" s="773">
        <f ca="1">'17.财务费用测算表'!AB16-'17.财务费用测算表'!AB17</f>
        <v>0</v>
      </c>
      <c r="AG34" s="773">
        <f ca="1">'17.财务费用测算表'!AC16-'17.财务费用测算表'!AC17</f>
        <v>0</v>
      </c>
      <c r="AH34" s="761">
        <f t="shared" ref="AH34:AH36" ca="1" si="128">SUM(AI34:AL34)</f>
        <v>0</v>
      </c>
      <c r="AI34" s="829">
        <f ca="1">'17.财务费用测算表'!AD16-'17.财务费用测算表'!AD17</f>
        <v>0</v>
      </c>
      <c r="AJ34" s="773">
        <f ca="1">'17.财务费用测算表'!AE16-'17.财务费用测算表'!AE17</f>
        <v>0</v>
      </c>
      <c r="AK34" s="773">
        <f ca="1">'17.财务费用测算表'!AF16-'17.财务费用测算表'!AF17</f>
        <v>0</v>
      </c>
      <c r="AL34" s="773">
        <f ca="1">'17.财务费用测算表'!AG16-'17.财务费用测算表'!AG17</f>
        <v>0</v>
      </c>
      <c r="AM34" s="761">
        <f t="shared" ref="AM34:AM36" ca="1" si="129">SUM(AN34:AQ34)</f>
        <v>0</v>
      </c>
      <c r="AN34" s="829">
        <f ca="1">'17.财务费用测算表'!AH16-'17.财务费用测算表'!AH17</f>
        <v>0</v>
      </c>
      <c r="AO34" s="773">
        <f ca="1">'17.财务费用测算表'!AI16-'17.财务费用测算表'!AI17</f>
        <v>0</v>
      </c>
      <c r="AP34" s="773">
        <f ca="1">'17.财务费用测算表'!AJ16-'17.财务费用测算表'!AJ17</f>
        <v>0</v>
      </c>
      <c r="AQ34" s="773">
        <f ca="1">'17.财务费用测算表'!AK16-'17.财务费用测算表'!AK17</f>
        <v>0</v>
      </c>
      <c r="AR34" s="761">
        <f t="shared" ref="AR34:AR36" ca="1" si="130">SUM(AS34:AV34)</f>
        <v>0</v>
      </c>
      <c r="AS34" s="829">
        <f ca="1">'17.财务费用测算表'!AL16-'17.财务费用测算表'!AL17</f>
        <v>0</v>
      </c>
      <c r="AT34" s="773">
        <f ca="1">'17.财务费用测算表'!AM16-'17.财务费用测算表'!AM17</f>
        <v>0</v>
      </c>
      <c r="AU34" s="773">
        <f ca="1">'17.财务费用测算表'!AN16-'17.财务费用测算表'!AN17</f>
        <v>0</v>
      </c>
      <c r="AV34" s="773">
        <f ca="1">'17.财务费用测算表'!AO16-'17.财务费用测算表'!AO17</f>
        <v>0</v>
      </c>
      <c r="AW34" s="761">
        <f t="shared" ref="AW34:AW36" ca="1" si="131">SUM(AX34:BA34)</f>
        <v>0</v>
      </c>
      <c r="AX34" s="829">
        <f ca="1">'17.财务费用测算表'!AP16-'17.财务费用测算表'!AP17</f>
        <v>0</v>
      </c>
      <c r="AY34" s="773">
        <f ca="1">'17.财务费用测算表'!AQ16-'17.财务费用测算表'!AQ17</f>
        <v>0</v>
      </c>
      <c r="AZ34" s="773">
        <f ca="1">'17.财务费用测算表'!AR16-'17.财务费用测算表'!AR17</f>
        <v>0</v>
      </c>
      <c r="BA34" s="773">
        <f ca="1">'17.财务费用测算表'!AS16-'17.财务费用测算表'!AS17</f>
        <v>0</v>
      </c>
      <c r="BB34" s="761">
        <f t="shared" ref="BB34:BB36" ca="1" si="132">SUM(BC34:BF34)</f>
        <v>0</v>
      </c>
      <c r="BC34" s="829">
        <f ca="1">'17.财务费用测算表'!AT16-'17.财务费用测算表'!AT17</f>
        <v>0</v>
      </c>
      <c r="BD34" s="773">
        <f ca="1">'17.财务费用测算表'!AU16-'17.财务费用测算表'!AU17</f>
        <v>0</v>
      </c>
      <c r="BE34" s="773">
        <f ca="1">'17.财务费用测算表'!AV16-'17.财务费用测算表'!AV17</f>
        <v>0</v>
      </c>
      <c r="BF34" s="845">
        <f ca="1">'17.财务费用测算表'!AW16-'17.财务费用测算表'!AW17</f>
        <v>0</v>
      </c>
      <c r="BG34" s="747"/>
      <c r="BH34" s="747"/>
      <c r="BI34" s="747"/>
      <c r="BJ34" s="747"/>
      <c r="BK34" s="747"/>
      <c r="BL34" s="747"/>
      <c r="BM34" s="747"/>
      <c r="BN34" s="747"/>
      <c r="BO34" s="747"/>
      <c r="BP34" s="747"/>
      <c r="BQ34" s="747"/>
      <c r="BR34" s="747"/>
      <c r="BS34" s="747"/>
      <c r="BT34" s="747"/>
      <c r="BU34" s="747"/>
      <c r="BV34" s="747"/>
      <c r="BW34" s="747"/>
      <c r="BX34" s="747"/>
      <c r="BY34" s="747"/>
      <c r="BZ34" s="747"/>
      <c r="CA34" s="747"/>
      <c r="CB34" s="747"/>
      <c r="CC34" s="747"/>
      <c r="CD34" s="747"/>
      <c r="CE34" s="747"/>
      <c r="CF34" s="747"/>
      <c r="CG34" s="747"/>
      <c r="CH34" s="747"/>
      <c r="CI34" s="747"/>
      <c r="CJ34" s="747"/>
      <c r="CK34" s="747"/>
      <c r="CL34" s="747"/>
      <c r="CM34" s="747"/>
      <c r="CN34" s="747"/>
      <c r="CO34" s="747"/>
      <c r="CP34" s="747"/>
      <c r="CQ34" s="747"/>
      <c r="CR34" s="747"/>
      <c r="CS34" s="747"/>
      <c r="CT34" s="747"/>
      <c r="CU34" s="747"/>
      <c r="CV34" s="747"/>
      <c r="CW34" s="747"/>
      <c r="CX34" s="747"/>
      <c r="CY34" s="747"/>
      <c r="CZ34" s="747"/>
      <c r="DA34" s="747"/>
      <c r="DB34" s="747"/>
      <c r="DC34" s="747"/>
      <c r="DD34" s="747"/>
      <c r="DE34" s="747"/>
      <c r="DF34" s="747"/>
      <c r="DG34" s="747"/>
      <c r="DH34" s="747"/>
      <c r="DI34" s="747"/>
      <c r="DJ34" s="747"/>
      <c r="DK34" s="747"/>
      <c r="DL34" s="747"/>
      <c r="DM34" s="747"/>
      <c r="DN34" s="747"/>
      <c r="DO34" s="747"/>
      <c r="DP34" s="747"/>
      <c r="DQ34" s="747"/>
      <c r="DR34" s="747"/>
      <c r="DS34" s="747"/>
      <c r="DT34" s="747"/>
      <c r="DU34" s="747"/>
      <c r="DV34" s="747"/>
      <c r="DW34" s="747"/>
      <c r="DX34" s="747"/>
      <c r="DY34" s="747"/>
      <c r="DZ34" s="747"/>
      <c r="EA34" s="747"/>
      <c r="EB34" s="747"/>
      <c r="EC34" s="747"/>
      <c r="ED34" s="747"/>
      <c r="EE34" s="747"/>
      <c r="EF34" s="747"/>
      <c r="EG34" s="747"/>
      <c r="EH34" s="747"/>
      <c r="EI34" s="747"/>
      <c r="EJ34" s="747"/>
      <c r="EK34" s="747"/>
      <c r="EL34" s="747"/>
      <c r="EM34" s="747"/>
      <c r="EN34" s="747"/>
      <c r="EO34" s="747"/>
      <c r="EP34" s="747"/>
      <c r="EQ34" s="747"/>
      <c r="ER34" s="747"/>
      <c r="ES34" s="747"/>
      <c r="ET34" s="747"/>
      <c r="EU34" s="747"/>
      <c r="EV34" s="747"/>
      <c r="EW34" s="747"/>
      <c r="EX34" s="747"/>
      <c r="EY34" s="747"/>
      <c r="EZ34" s="747"/>
      <c r="FA34" s="747"/>
      <c r="FB34" s="747"/>
      <c r="FC34" s="747"/>
      <c r="FD34" s="747"/>
      <c r="FE34" s="747"/>
      <c r="FF34" s="747"/>
      <c r="FG34" s="747"/>
      <c r="FH34" s="747"/>
      <c r="FI34" s="747"/>
      <c r="FJ34" s="747"/>
      <c r="FK34" s="747"/>
      <c r="FL34" s="747"/>
      <c r="FM34" s="747"/>
      <c r="FN34" s="747"/>
      <c r="FO34" s="747"/>
      <c r="FP34" s="747"/>
      <c r="FQ34" s="747"/>
      <c r="FR34" s="747"/>
      <c r="FS34" s="747"/>
      <c r="FT34" s="747"/>
      <c r="FU34" s="747"/>
      <c r="FV34" s="747"/>
      <c r="FW34" s="747"/>
      <c r="FX34" s="747"/>
      <c r="FY34" s="747"/>
      <c r="FZ34" s="747"/>
      <c r="GA34" s="747"/>
      <c r="GB34" s="747"/>
      <c r="GC34" s="747"/>
      <c r="GD34" s="747"/>
      <c r="GE34" s="747"/>
      <c r="GF34" s="747"/>
      <c r="GG34" s="747"/>
      <c r="GH34" s="747"/>
      <c r="GI34" s="747"/>
      <c r="GJ34" s="747"/>
    </row>
    <row r="35" spans="1:192" ht="17.25" customHeight="1">
      <c r="A35" s="784"/>
      <c r="B35" s="801" t="s">
        <v>719</v>
      </c>
      <c r="C35" s="773">
        <f t="shared" si="121"/>
        <v>0</v>
      </c>
      <c r="D35" s="761">
        <f t="shared" si="122"/>
        <v>0</v>
      </c>
      <c r="E35" s="794"/>
      <c r="F35" s="794"/>
      <c r="G35" s="794"/>
      <c r="H35" s="795"/>
      <c r="I35" s="761">
        <f t="shared" si="123"/>
        <v>0</v>
      </c>
      <c r="J35" s="835"/>
      <c r="K35" s="794"/>
      <c r="L35" s="794"/>
      <c r="M35" s="794"/>
      <c r="N35" s="761">
        <f t="shared" si="124"/>
        <v>0</v>
      </c>
      <c r="O35" s="835"/>
      <c r="P35" s="794"/>
      <c r="Q35" s="794"/>
      <c r="R35" s="794"/>
      <c r="S35" s="761">
        <f t="shared" si="125"/>
        <v>0</v>
      </c>
      <c r="T35" s="835"/>
      <c r="U35" s="794"/>
      <c r="V35" s="794"/>
      <c r="W35" s="794"/>
      <c r="X35" s="761">
        <f t="shared" si="126"/>
        <v>0</v>
      </c>
      <c r="Y35" s="835"/>
      <c r="Z35" s="794"/>
      <c r="AA35" s="794"/>
      <c r="AB35" s="794"/>
      <c r="AC35" s="761">
        <f t="shared" si="127"/>
        <v>0</v>
      </c>
      <c r="AD35" s="835"/>
      <c r="AE35" s="794"/>
      <c r="AF35" s="794"/>
      <c r="AG35" s="794"/>
      <c r="AH35" s="761">
        <f t="shared" si="128"/>
        <v>0</v>
      </c>
      <c r="AI35" s="835"/>
      <c r="AJ35" s="794"/>
      <c r="AK35" s="794"/>
      <c r="AL35" s="794"/>
      <c r="AM35" s="761">
        <f t="shared" si="129"/>
        <v>0</v>
      </c>
      <c r="AN35" s="835"/>
      <c r="AO35" s="794"/>
      <c r="AP35" s="794"/>
      <c r="AQ35" s="794"/>
      <c r="AR35" s="761">
        <f t="shared" si="130"/>
        <v>0</v>
      </c>
      <c r="AS35" s="835"/>
      <c r="AT35" s="794"/>
      <c r="AU35" s="794"/>
      <c r="AV35" s="794"/>
      <c r="AW35" s="761">
        <f t="shared" si="131"/>
        <v>0</v>
      </c>
      <c r="AX35" s="835"/>
      <c r="AY35" s="794"/>
      <c r="AZ35" s="794"/>
      <c r="BA35" s="794"/>
      <c r="BB35" s="761">
        <f t="shared" si="132"/>
        <v>0</v>
      </c>
      <c r="BC35" s="835"/>
      <c r="BD35" s="794"/>
      <c r="BE35" s="794"/>
      <c r="BF35" s="851"/>
      <c r="BG35" s="747"/>
      <c r="BH35" s="747"/>
      <c r="BI35" s="747"/>
      <c r="BJ35" s="747"/>
      <c r="BK35" s="747"/>
      <c r="BL35" s="747"/>
      <c r="BM35" s="747"/>
      <c r="BN35" s="747"/>
      <c r="BO35" s="747"/>
      <c r="BP35" s="747"/>
      <c r="BQ35" s="747"/>
      <c r="BR35" s="747"/>
      <c r="BS35" s="747"/>
      <c r="BT35" s="747"/>
      <c r="BU35" s="747"/>
      <c r="BV35" s="747"/>
      <c r="BW35" s="747"/>
      <c r="BX35" s="747"/>
      <c r="BY35" s="747"/>
      <c r="BZ35" s="747"/>
      <c r="CA35" s="747"/>
      <c r="CB35" s="747"/>
      <c r="CC35" s="747"/>
      <c r="CD35" s="747"/>
      <c r="CE35" s="747"/>
      <c r="CF35" s="747"/>
      <c r="CG35" s="747"/>
      <c r="CH35" s="747"/>
      <c r="CI35" s="747"/>
      <c r="CJ35" s="747"/>
      <c r="CK35" s="747"/>
      <c r="CL35" s="747"/>
      <c r="CM35" s="747"/>
      <c r="CN35" s="747"/>
      <c r="CO35" s="747"/>
      <c r="CP35" s="747"/>
      <c r="CQ35" s="747"/>
      <c r="CR35" s="747"/>
      <c r="CS35" s="747"/>
      <c r="CT35" s="747"/>
      <c r="CU35" s="747"/>
      <c r="CV35" s="747"/>
      <c r="CW35" s="747"/>
      <c r="CX35" s="747"/>
      <c r="CY35" s="747"/>
      <c r="CZ35" s="747"/>
      <c r="DA35" s="747"/>
      <c r="DB35" s="747"/>
      <c r="DC35" s="747"/>
      <c r="DD35" s="747"/>
      <c r="DE35" s="747"/>
      <c r="DF35" s="747"/>
      <c r="DG35" s="747"/>
      <c r="DH35" s="747"/>
      <c r="DI35" s="747"/>
      <c r="DJ35" s="747"/>
      <c r="DK35" s="747"/>
      <c r="DL35" s="747"/>
      <c r="DM35" s="747"/>
      <c r="DN35" s="747"/>
      <c r="DO35" s="747"/>
      <c r="DP35" s="747"/>
      <c r="DQ35" s="747"/>
      <c r="DR35" s="747"/>
      <c r="DS35" s="747"/>
      <c r="DT35" s="747"/>
      <c r="DU35" s="747"/>
      <c r="DV35" s="747"/>
      <c r="DW35" s="747"/>
      <c r="DX35" s="747"/>
      <c r="DY35" s="747"/>
      <c r="DZ35" s="747"/>
      <c r="EA35" s="747"/>
      <c r="EB35" s="747"/>
      <c r="EC35" s="747"/>
      <c r="ED35" s="747"/>
      <c r="EE35" s="747"/>
      <c r="EF35" s="747"/>
      <c r="EG35" s="747"/>
      <c r="EH35" s="747"/>
      <c r="EI35" s="747"/>
      <c r="EJ35" s="747"/>
      <c r="EK35" s="747"/>
      <c r="EL35" s="747"/>
      <c r="EM35" s="747"/>
      <c r="EN35" s="747"/>
      <c r="EO35" s="747"/>
      <c r="EP35" s="747"/>
      <c r="EQ35" s="747"/>
      <c r="ER35" s="747"/>
      <c r="ES35" s="747"/>
      <c r="ET35" s="747"/>
      <c r="EU35" s="747"/>
      <c r="EV35" s="747"/>
      <c r="EW35" s="747"/>
      <c r="EX35" s="747"/>
      <c r="EY35" s="747"/>
      <c r="EZ35" s="747"/>
      <c r="FA35" s="747"/>
      <c r="FB35" s="747"/>
      <c r="FC35" s="747"/>
      <c r="FD35" s="747"/>
      <c r="FE35" s="747"/>
      <c r="FF35" s="747"/>
      <c r="FG35" s="747"/>
      <c r="FH35" s="747"/>
      <c r="FI35" s="747"/>
      <c r="FJ35" s="747"/>
      <c r="FK35" s="747"/>
      <c r="FL35" s="747"/>
      <c r="FM35" s="747"/>
      <c r="FN35" s="747"/>
      <c r="FO35" s="747"/>
      <c r="FP35" s="747"/>
      <c r="FQ35" s="747"/>
      <c r="FR35" s="747"/>
      <c r="FS35" s="747"/>
      <c r="FT35" s="747"/>
      <c r="FU35" s="747"/>
      <c r="FV35" s="747"/>
      <c r="FW35" s="747"/>
      <c r="FX35" s="747"/>
      <c r="FY35" s="747"/>
      <c r="FZ35" s="747"/>
      <c r="GA35" s="747"/>
      <c r="GB35" s="747"/>
      <c r="GC35" s="747"/>
      <c r="GD35" s="747"/>
      <c r="GE35" s="747"/>
      <c r="GF35" s="747"/>
      <c r="GG35" s="747"/>
      <c r="GH35" s="747"/>
      <c r="GI35" s="747"/>
      <c r="GJ35" s="747"/>
    </row>
    <row r="36" spans="1:192" ht="17.25" customHeight="1">
      <c r="A36" s="784"/>
      <c r="B36" s="801" t="s">
        <v>720</v>
      </c>
      <c r="C36" s="773">
        <f t="shared" si="121"/>
        <v>0</v>
      </c>
      <c r="D36" s="761">
        <f t="shared" si="122"/>
        <v>0</v>
      </c>
      <c r="E36" s="794"/>
      <c r="F36" s="794"/>
      <c r="G36" s="794"/>
      <c r="H36" s="795"/>
      <c r="I36" s="761">
        <f t="shared" si="123"/>
        <v>0</v>
      </c>
      <c r="J36" s="835"/>
      <c r="K36" s="794"/>
      <c r="L36" s="794"/>
      <c r="M36" s="794"/>
      <c r="N36" s="761">
        <f t="shared" si="124"/>
        <v>0</v>
      </c>
      <c r="O36" s="835"/>
      <c r="P36" s="794"/>
      <c r="Q36" s="794"/>
      <c r="R36" s="794"/>
      <c r="S36" s="761">
        <f t="shared" si="125"/>
        <v>0</v>
      </c>
      <c r="T36" s="835"/>
      <c r="U36" s="794"/>
      <c r="V36" s="794"/>
      <c r="W36" s="794"/>
      <c r="X36" s="761">
        <f t="shared" si="126"/>
        <v>0</v>
      </c>
      <c r="Y36" s="835"/>
      <c r="Z36" s="794"/>
      <c r="AA36" s="794"/>
      <c r="AB36" s="794"/>
      <c r="AC36" s="761">
        <f t="shared" si="127"/>
        <v>0</v>
      </c>
      <c r="AD36" s="835"/>
      <c r="AE36" s="794"/>
      <c r="AF36" s="794"/>
      <c r="AG36" s="794"/>
      <c r="AH36" s="761">
        <f t="shared" si="128"/>
        <v>0</v>
      </c>
      <c r="AI36" s="835"/>
      <c r="AJ36" s="794"/>
      <c r="AK36" s="794"/>
      <c r="AL36" s="794"/>
      <c r="AM36" s="761">
        <f t="shared" si="129"/>
        <v>0</v>
      </c>
      <c r="AN36" s="835"/>
      <c r="AO36" s="794"/>
      <c r="AP36" s="794"/>
      <c r="AQ36" s="794"/>
      <c r="AR36" s="761">
        <f t="shared" si="130"/>
        <v>0</v>
      </c>
      <c r="AS36" s="835"/>
      <c r="AT36" s="794"/>
      <c r="AU36" s="794"/>
      <c r="AV36" s="794"/>
      <c r="AW36" s="761">
        <f t="shared" si="131"/>
        <v>0</v>
      </c>
      <c r="AX36" s="835"/>
      <c r="AY36" s="794"/>
      <c r="AZ36" s="794"/>
      <c r="BA36" s="794"/>
      <c r="BB36" s="761">
        <f t="shared" si="132"/>
        <v>0</v>
      </c>
      <c r="BC36" s="835"/>
      <c r="BD36" s="794"/>
      <c r="BE36" s="794"/>
      <c r="BF36" s="851"/>
      <c r="BG36" s="747"/>
      <c r="BH36" s="747"/>
      <c r="BI36" s="747"/>
      <c r="BJ36" s="747"/>
      <c r="BK36" s="747"/>
      <c r="BL36" s="747"/>
      <c r="BM36" s="747"/>
      <c r="BN36" s="747"/>
      <c r="BO36" s="747"/>
      <c r="BP36" s="747"/>
      <c r="BQ36" s="747"/>
      <c r="BR36" s="747"/>
      <c r="BS36" s="747"/>
      <c r="BT36" s="747"/>
      <c r="BU36" s="747"/>
      <c r="BV36" s="747"/>
      <c r="BW36" s="747"/>
      <c r="BX36" s="747"/>
      <c r="BY36" s="747"/>
      <c r="BZ36" s="747"/>
      <c r="CA36" s="747"/>
      <c r="CB36" s="747"/>
      <c r="CC36" s="747"/>
      <c r="CD36" s="747"/>
      <c r="CE36" s="747"/>
      <c r="CF36" s="747"/>
      <c r="CG36" s="747"/>
      <c r="CH36" s="747"/>
      <c r="CI36" s="747"/>
      <c r="CJ36" s="747"/>
      <c r="CK36" s="747"/>
      <c r="CL36" s="747"/>
      <c r="CM36" s="747"/>
      <c r="CN36" s="747"/>
      <c r="CO36" s="747"/>
      <c r="CP36" s="747"/>
      <c r="CQ36" s="747"/>
      <c r="CR36" s="747"/>
      <c r="CS36" s="747"/>
      <c r="CT36" s="747"/>
      <c r="CU36" s="747"/>
      <c r="CV36" s="747"/>
      <c r="CW36" s="747"/>
      <c r="CX36" s="747"/>
      <c r="CY36" s="747"/>
      <c r="CZ36" s="747"/>
      <c r="DA36" s="747"/>
      <c r="DB36" s="747"/>
      <c r="DC36" s="747"/>
      <c r="DD36" s="747"/>
      <c r="DE36" s="747"/>
      <c r="DF36" s="747"/>
      <c r="DG36" s="747"/>
      <c r="DH36" s="747"/>
      <c r="DI36" s="747"/>
      <c r="DJ36" s="747"/>
      <c r="DK36" s="747"/>
      <c r="DL36" s="747"/>
      <c r="DM36" s="747"/>
      <c r="DN36" s="747"/>
      <c r="DO36" s="747"/>
      <c r="DP36" s="747"/>
      <c r="DQ36" s="747"/>
      <c r="DR36" s="747"/>
      <c r="DS36" s="747"/>
      <c r="DT36" s="747"/>
      <c r="DU36" s="747"/>
      <c r="DV36" s="747"/>
      <c r="DW36" s="747"/>
      <c r="DX36" s="747"/>
      <c r="DY36" s="747"/>
      <c r="DZ36" s="747"/>
      <c r="EA36" s="747"/>
      <c r="EB36" s="747"/>
      <c r="EC36" s="747"/>
      <c r="ED36" s="747"/>
      <c r="EE36" s="747"/>
      <c r="EF36" s="747"/>
      <c r="EG36" s="747"/>
      <c r="EH36" s="747"/>
      <c r="EI36" s="747"/>
      <c r="EJ36" s="747"/>
      <c r="EK36" s="747"/>
      <c r="EL36" s="747"/>
      <c r="EM36" s="747"/>
      <c r="EN36" s="747"/>
      <c r="EO36" s="747"/>
      <c r="EP36" s="747"/>
      <c r="EQ36" s="747"/>
      <c r="ER36" s="747"/>
      <c r="ES36" s="747"/>
      <c r="ET36" s="747"/>
      <c r="EU36" s="747"/>
      <c r="EV36" s="747"/>
      <c r="EW36" s="747"/>
      <c r="EX36" s="747"/>
      <c r="EY36" s="747"/>
      <c r="EZ36" s="747"/>
      <c r="FA36" s="747"/>
      <c r="FB36" s="747"/>
      <c r="FC36" s="747"/>
      <c r="FD36" s="747"/>
      <c r="FE36" s="747"/>
      <c r="FF36" s="747"/>
      <c r="FG36" s="747"/>
      <c r="FH36" s="747"/>
      <c r="FI36" s="747"/>
      <c r="FJ36" s="747"/>
      <c r="FK36" s="747"/>
      <c r="FL36" s="747"/>
      <c r="FM36" s="747"/>
      <c r="FN36" s="747"/>
      <c r="FO36" s="747"/>
      <c r="FP36" s="747"/>
      <c r="FQ36" s="747"/>
      <c r="FR36" s="747"/>
      <c r="FS36" s="747"/>
      <c r="FT36" s="747"/>
      <c r="FU36" s="747"/>
      <c r="FV36" s="747"/>
      <c r="FW36" s="747"/>
      <c r="FX36" s="747"/>
      <c r="FY36" s="747"/>
      <c r="FZ36" s="747"/>
      <c r="GA36" s="747"/>
      <c r="GB36" s="747"/>
      <c r="GC36" s="747"/>
      <c r="GD36" s="747"/>
      <c r="GE36" s="747"/>
      <c r="GF36" s="747"/>
      <c r="GG36" s="747"/>
      <c r="GH36" s="747"/>
      <c r="GI36" s="747"/>
      <c r="GJ36" s="747"/>
    </row>
    <row r="37" spans="1:192" s="736" customFormat="1" ht="17.25" customHeight="1">
      <c r="A37" s="792"/>
      <c r="B37" s="797" t="s">
        <v>721</v>
      </c>
      <c r="C37" s="798">
        <f ca="1">SUM(C34:C36)</f>
        <v>0</v>
      </c>
      <c r="D37" s="799">
        <f t="shared" ref="D37:R37" ca="1" si="133">SUM(D34:D36)</f>
        <v>0</v>
      </c>
      <c r="E37" s="770">
        <f t="shared" si="133"/>
        <v>0</v>
      </c>
      <c r="F37" s="770">
        <f t="shared" ca="1" si="133"/>
        <v>0</v>
      </c>
      <c r="G37" s="770">
        <f t="shared" ca="1" si="133"/>
        <v>0</v>
      </c>
      <c r="H37" s="771">
        <f t="shared" ca="1" si="133"/>
        <v>0</v>
      </c>
      <c r="I37" s="799">
        <f t="shared" ca="1" si="133"/>
        <v>0</v>
      </c>
      <c r="J37" s="828">
        <f t="shared" ca="1" si="133"/>
        <v>8800</v>
      </c>
      <c r="K37" s="770">
        <f t="shared" si="133"/>
        <v>-8800</v>
      </c>
      <c r="L37" s="770">
        <f t="shared" si="133"/>
        <v>0</v>
      </c>
      <c r="M37" s="770">
        <f t="shared" si="133"/>
        <v>0</v>
      </c>
      <c r="N37" s="799">
        <f t="shared" ca="1" si="133"/>
        <v>0</v>
      </c>
      <c r="O37" s="828">
        <f t="shared" si="133"/>
        <v>0</v>
      </c>
      <c r="P37" s="770">
        <f t="shared" si="133"/>
        <v>0</v>
      </c>
      <c r="Q37" s="770">
        <f t="shared" ca="1" si="133"/>
        <v>0</v>
      </c>
      <c r="R37" s="770">
        <f t="shared" ca="1" si="133"/>
        <v>0</v>
      </c>
      <c r="S37" s="799">
        <f t="shared" ref="S37:BF37" ca="1" si="134">SUM(S34:S36)</f>
        <v>0</v>
      </c>
      <c r="T37" s="828">
        <f t="shared" ca="1" si="134"/>
        <v>0</v>
      </c>
      <c r="U37" s="770">
        <f t="shared" ca="1" si="134"/>
        <v>0</v>
      </c>
      <c r="V37" s="770">
        <f t="shared" ca="1" si="134"/>
        <v>0</v>
      </c>
      <c r="W37" s="770">
        <f t="shared" ca="1" si="134"/>
        <v>0</v>
      </c>
      <c r="X37" s="799">
        <f t="shared" ca="1" si="134"/>
        <v>0</v>
      </c>
      <c r="Y37" s="828">
        <f t="shared" ca="1" si="134"/>
        <v>0</v>
      </c>
      <c r="Z37" s="770">
        <f t="shared" ca="1" si="134"/>
        <v>0</v>
      </c>
      <c r="AA37" s="770">
        <f t="shared" ca="1" si="134"/>
        <v>0</v>
      </c>
      <c r="AB37" s="770">
        <f t="shared" ca="1" si="134"/>
        <v>0</v>
      </c>
      <c r="AC37" s="799">
        <f t="shared" ca="1" si="134"/>
        <v>0</v>
      </c>
      <c r="AD37" s="828">
        <f t="shared" ca="1" si="134"/>
        <v>0</v>
      </c>
      <c r="AE37" s="770">
        <f t="shared" ca="1" si="134"/>
        <v>0</v>
      </c>
      <c r="AF37" s="770">
        <f t="shared" ca="1" si="134"/>
        <v>0</v>
      </c>
      <c r="AG37" s="770">
        <f t="shared" ca="1" si="134"/>
        <v>0</v>
      </c>
      <c r="AH37" s="799">
        <f t="shared" ca="1" si="134"/>
        <v>0</v>
      </c>
      <c r="AI37" s="828">
        <f t="shared" ca="1" si="134"/>
        <v>0</v>
      </c>
      <c r="AJ37" s="770">
        <f t="shared" ca="1" si="134"/>
        <v>0</v>
      </c>
      <c r="AK37" s="770">
        <f t="shared" ca="1" si="134"/>
        <v>0</v>
      </c>
      <c r="AL37" s="770">
        <f t="shared" ca="1" si="134"/>
        <v>0</v>
      </c>
      <c r="AM37" s="799">
        <f t="shared" ca="1" si="134"/>
        <v>0</v>
      </c>
      <c r="AN37" s="828">
        <f t="shared" ca="1" si="134"/>
        <v>0</v>
      </c>
      <c r="AO37" s="770">
        <f t="shared" ca="1" si="134"/>
        <v>0</v>
      </c>
      <c r="AP37" s="770">
        <f t="shared" ca="1" si="134"/>
        <v>0</v>
      </c>
      <c r="AQ37" s="770">
        <f t="shared" ca="1" si="134"/>
        <v>0</v>
      </c>
      <c r="AR37" s="799">
        <f t="shared" ca="1" si="134"/>
        <v>0</v>
      </c>
      <c r="AS37" s="828">
        <f t="shared" ca="1" si="134"/>
        <v>0</v>
      </c>
      <c r="AT37" s="770">
        <f t="shared" ca="1" si="134"/>
        <v>0</v>
      </c>
      <c r="AU37" s="770">
        <f t="shared" ca="1" si="134"/>
        <v>0</v>
      </c>
      <c r="AV37" s="770">
        <f t="shared" ca="1" si="134"/>
        <v>0</v>
      </c>
      <c r="AW37" s="799">
        <f t="shared" ca="1" si="134"/>
        <v>0</v>
      </c>
      <c r="AX37" s="828">
        <f t="shared" ca="1" si="134"/>
        <v>0</v>
      </c>
      <c r="AY37" s="770">
        <f t="shared" ca="1" si="134"/>
        <v>0</v>
      </c>
      <c r="AZ37" s="770">
        <f t="shared" ca="1" si="134"/>
        <v>0</v>
      </c>
      <c r="BA37" s="770">
        <f t="shared" ca="1" si="134"/>
        <v>0</v>
      </c>
      <c r="BB37" s="799">
        <f t="shared" ca="1" si="134"/>
        <v>0</v>
      </c>
      <c r="BC37" s="828">
        <f t="shared" ca="1" si="134"/>
        <v>0</v>
      </c>
      <c r="BD37" s="770">
        <f t="shared" ca="1" si="134"/>
        <v>0</v>
      </c>
      <c r="BE37" s="770">
        <f t="shared" ca="1" si="134"/>
        <v>0</v>
      </c>
      <c r="BF37" s="844">
        <f t="shared" ca="1" si="134"/>
        <v>0</v>
      </c>
      <c r="BG37" s="839"/>
      <c r="BH37" s="839"/>
      <c r="BI37" s="839"/>
      <c r="BJ37" s="839"/>
      <c r="BK37" s="839"/>
      <c r="BL37" s="839"/>
      <c r="BM37" s="839"/>
      <c r="BN37" s="839"/>
      <c r="BO37" s="839"/>
      <c r="BP37" s="839"/>
      <c r="BQ37" s="839"/>
      <c r="BR37" s="839"/>
      <c r="BS37" s="839"/>
      <c r="BT37" s="839"/>
      <c r="BU37" s="839"/>
      <c r="BV37" s="839"/>
      <c r="BW37" s="839"/>
      <c r="BX37" s="839"/>
      <c r="BY37" s="839"/>
      <c r="BZ37" s="839"/>
      <c r="CA37" s="839"/>
      <c r="CB37" s="839"/>
      <c r="CC37" s="839"/>
      <c r="CD37" s="839"/>
      <c r="CE37" s="839"/>
      <c r="CF37" s="839"/>
      <c r="CG37" s="839"/>
      <c r="CH37" s="839"/>
      <c r="CI37" s="839"/>
      <c r="CJ37" s="839"/>
      <c r="CK37" s="839"/>
      <c r="CL37" s="839"/>
      <c r="CM37" s="839"/>
      <c r="CN37" s="839"/>
      <c r="CO37" s="839"/>
      <c r="CP37" s="839"/>
      <c r="CQ37" s="839"/>
      <c r="CR37" s="839"/>
      <c r="CS37" s="839"/>
      <c r="CT37" s="839"/>
      <c r="CU37" s="839"/>
      <c r="CV37" s="839"/>
      <c r="CW37" s="839"/>
      <c r="CX37" s="839"/>
      <c r="CY37" s="839"/>
      <c r="CZ37" s="839"/>
      <c r="DA37" s="839"/>
      <c r="DB37" s="839"/>
      <c r="DC37" s="839"/>
      <c r="DD37" s="839"/>
      <c r="DE37" s="839"/>
      <c r="DF37" s="839"/>
      <c r="DG37" s="839"/>
      <c r="DH37" s="839"/>
      <c r="DI37" s="839"/>
      <c r="DJ37" s="839"/>
      <c r="DK37" s="839"/>
      <c r="DL37" s="839"/>
      <c r="DM37" s="839"/>
      <c r="DN37" s="839"/>
      <c r="DO37" s="839"/>
      <c r="DP37" s="839"/>
      <c r="DQ37" s="839"/>
      <c r="DR37" s="839"/>
      <c r="DS37" s="839"/>
      <c r="DT37" s="839"/>
      <c r="DU37" s="839"/>
      <c r="DV37" s="839"/>
      <c r="DW37" s="839"/>
      <c r="DX37" s="839"/>
      <c r="DY37" s="839"/>
      <c r="DZ37" s="839"/>
      <c r="EA37" s="839"/>
      <c r="EB37" s="839"/>
      <c r="EC37" s="839"/>
      <c r="ED37" s="839"/>
      <c r="EE37" s="839"/>
      <c r="EF37" s="839"/>
      <c r="EG37" s="839"/>
      <c r="EH37" s="839"/>
      <c r="EI37" s="839"/>
      <c r="EJ37" s="839"/>
      <c r="EK37" s="839"/>
      <c r="EL37" s="839"/>
      <c r="EM37" s="839"/>
      <c r="EN37" s="839"/>
      <c r="EO37" s="839"/>
      <c r="EP37" s="839"/>
      <c r="EQ37" s="839"/>
      <c r="ER37" s="839"/>
      <c r="ES37" s="839"/>
      <c r="ET37" s="839"/>
      <c r="EU37" s="839"/>
      <c r="EV37" s="839"/>
      <c r="EW37" s="839"/>
      <c r="EX37" s="839"/>
      <c r="EY37" s="839"/>
      <c r="EZ37" s="839"/>
      <c r="FA37" s="839"/>
      <c r="FB37" s="839"/>
      <c r="FC37" s="839"/>
      <c r="FD37" s="839"/>
      <c r="FE37" s="839"/>
      <c r="FF37" s="839"/>
      <c r="FG37" s="839"/>
      <c r="FH37" s="839"/>
      <c r="FI37" s="839"/>
      <c r="FJ37" s="839"/>
      <c r="FK37" s="839"/>
      <c r="FL37" s="839"/>
      <c r="FM37" s="839"/>
      <c r="FN37" s="839"/>
      <c r="FO37" s="839"/>
      <c r="FP37" s="839"/>
      <c r="FQ37" s="839"/>
      <c r="FR37" s="839"/>
      <c r="FS37" s="839"/>
      <c r="FT37" s="839"/>
      <c r="FU37" s="839"/>
      <c r="FV37" s="839"/>
      <c r="FW37" s="839"/>
      <c r="FX37" s="839"/>
      <c r="FY37" s="839"/>
      <c r="FZ37" s="839"/>
      <c r="GA37" s="839"/>
      <c r="GB37" s="839"/>
      <c r="GC37" s="839"/>
      <c r="GD37" s="839"/>
      <c r="GE37" s="839"/>
      <c r="GF37" s="839"/>
      <c r="GG37" s="839"/>
      <c r="GH37" s="839"/>
      <c r="GI37" s="839"/>
      <c r="GJ37" s="839"/>
    </row>
    <row r="38" spans="1:192" s="736" customFormat="1" ht="17.25" customHeight="1">
      <c r="A38" s="792"/>
      <c r="B38" s="797" t="s">
        <v>722</v>
      </c>
      <c r="C38" s="798">
        <f t="shared" ref="C38:AH38" ca="1" si="135">C28+C33+C37</f>
        <v>20731.861383609445</v>
      </c>
      <c r="D38" s="799">
        <f t="shared" ca="1" si="135"/>
        <v>-20514.472114965785</v>
      </c>
      <c r="E38" s="770">
        <f t="shared" ca="1" si="135"/>
        <v>0</v>
      </c>
      <c r="F38" s="770">
        <f t="shared" ca="1" si="135"/>
        <v>0</v>
      </c>
      <c r="G38" s="770">
        <f t="shared" ca="1" si="135"/>
        <v>-7150</v>
      </c>
      <c r="H38" s="771">
        <f t="shared" ca="1" si="135"/>
        <v>-13364.472114965785</v>
      </c>
      <c r="I38" s="799">
        <f t="shared" ca="1" si="135"/>
        <v>51191.375904102017</v>
      </c>
      <c r="J38" s="828">
        <f t="shared" ca="1" si="135"/>
        <v>7511.1165799999999</v>
      </c>
      <c r="K38" s="770">
        <f t="shared" ca="1" si="135"/>
        <v>33565.464146367631</v>
      </c>
      <c r="L38" s="770">
        <f t="shared" ca="1" si="135"/>
        <v>213.45128862233832</v>
      </c>
      <c r="M38" s="770">
        <f t="shared" ca="1" si="135"/>
        <v>9901.3438891120495</v>
      </c>
      <c r="N38" s="799">
        <f t="shared" ca="1" si="135"/>
        <v>-4306.704724915744</v>
      </c>
      <c r="O38" s="828">
        <f t="shared" ca="1" si="135"/>
        <v>-61.339084970746626</v>
      </c>
      <c r="P38" s="770">
        <f t="shared" ca="1" si="135"/>
        <v>4210.9176763253236</v>
      </c>
      <c r="Q38" s="770">
        <f t="shared" ca="1" si="135"/>
        <v>1614.0481140318147</v>
      </c>
      <c r="R38" s="770">
        <f t="shared" ca="1" si="135"/>
        <v>-10070.33143030214</v>
      </c>
      <c r="S38" s="799">
        <f t="shared" ca="1" si="135"/>
        <v>-4156.1967606110484</v>
      </c>
      <c r="T38" s="828">
        <f t="shared" ca="1" si="135"/>
        <v>-1401.2333006110475</v>
      </c>
      <c r="U38" s="770">
        <f t="shared" ca="1" si="135"/>
        <v>-1567.2858800000001</v>
      </c>
      <c r="V38" s="770">
        <f t="shared" ca="1" si="135"/>
        <v>-1187.6775800000003</v>
      </c>
      <c r="W38" s="770">
        <f t="shared" ca="1" si="135"/>
        <v>0</v>
      </c>
      <c r="X38" s="799">
        <f t="shared" ca="1" si="135"/>
        <v>-1482.1409200000001</v>
      </c>
      <c r="Y38" s="828">
        <f t="shared" ca="1" si="135"/>
        <v>0</v>
      </c>
      <c r="Z38" s="770">
        <f t="shared" ca="1" si="135"/>
        <v>0</v>
      </c>
      <c r="AA38" s="770">
        <f t="shared" ca="1" si="135"/>
        <v>-592.85636800000009</v>
      </c>
      <c r="AB38" s="770">
        <f t="shared" ca="1" si="135"/>
        <v>-889.28455199999996</v>
      </c>
      <c r="AC38" s="799">
        <f t="shared" ca="1" si="135"/>
        <v>0</v>
      </c>
      <c r="AD38" s="828">
        <f t="shared" ca="1" si="135"/>
        <v>0</v>
      </c>
      <c r="AE38" s="770">
        <f t="shared" ca="1" si="135"/>
        <v>0</v>
      </c>
      <c r="AF38" s="770">
        <f t="shared" ca="1" si="135"/>
        <v>0</v>
      </c>
      <c r="AG38" s="770">
        <f t="shared" ca="1" si="135"/>
        <v>0</v>
      </c>
      <c r="AH38" s="799">
        <f t="shared" ca="1" si="135"/>
        <v>0</v>
      </c>
      <c r="AI38" s="828">
        <f t="shared" ref="AI38:BF38" ca="1" si="136">AI28+AI33+AI37</f>
        <v>0</v>
      </c>
      <c r="AJ38" s="770">
        <f t="shared" ca="1" si="136"/>
        <v>0</v>
      </c>
      <c r="AK38" s="770">
        <f t="shared" ca="1" si="136"/>
        <v>0</v>
      </c>
      <c r="AL38" s="770">
        <f t="shared" ca="1" si="136"/>
        <v>0</v>
      </c>
      <c r="AM38" s="799">
        <f t="shared" ca="1" si="136"/>
        <v>0</v>
      </c>
      <c r="AN38" s="828">
        <f t="shared" ca="1" si="136"/>
        <v>0</v>
      </c>
      <c r="AO38" s="770">
        <f t="shared" ca="1" si="136"/>
        <v>0</v>
      </c>
      <c r="AP38" s="770">
        <f t="shared" ca="1" si="136"/>
        <v>0</v>
      </c>
      <c r="AQ38" s="770">
        <f t="shared" ca="1" si="136"/>
        <v>0</v>
      </c>
      <c r="AR38" s="799">
        <f t="shared" ca="1" si="136"/>
        <v>0</v>
      </c>
      <c r="AS38" s="828">
        <f t="shared" ca="1" si="136"/>
        <v>0</v>
      </c>
      <c r="AT38" s="770">
        <f t="shared" ca="1" si="136"/>
        <v>0</v>
      </c>
      <c r="AU38" s="770">
        <f t="shared" ca="1" si="136"/>
        <v>0</v>
      </c>
      <c r="AV38" s="770">
        <f t="shared" ca="1" si="136"/>
        <v>0</v>
      </c>
      <c r="AW38" s="799">
        <f t="shared" ca="1" si="136"/>
        <v>0</v>
      </c>
      <c r="AX38" s="828">
        <f t="shared" ca="1" si="136"/>
        <v>0</v>
      </c>
      <c r="AY38" s="770">
        <f t="shared" ca="1" si="136"/>
        <v>0</v>
      </c>
      <c r="AZ38" s="770">
        <f t="shared" ca="1" si="136"/>
        <v>0</v>
      </c>
      <c r="BA38" s="770">
        <f t="shared" ca="1" si="136"/>
        <v>0</v>
      </c>
      <c r="BB38" s="799">
        <f t="shared" ca="1" si="136"/>
        <v>0</v>
      </c>
      <c r="BC38" s="828">
        <f t="shared" ca="1" si="136"/>
        <v>0</v>
      </c>
      <c r="BD38" s="770">
        <f t="shared" ca="1" si="136"/>
        <v>0</v>
      </c>
      <c r="BE38" s="770">
        <f t="shared" ca="1" si="136"/>
        <v>0</v>
      </c>
      <c r="BF38" s="844">
        <f t="shared" ca="1" si="136"/>
        <v>0</v>
      </c>
      <c r="BG38" s="839"/>
      <c r="BH38" s="839"/>
      <c r="BI38" s="839"/>
      <c r="BJ38" s="839"/>
      <c r="BK38" s="839"/>
      <c r="BL38" s="839"/>
      <c r="BM38" s="839"/>
      <c r="BN38" s="839"/>
      <c r="BO38" s="839"/>
      <c r="BP38" s="839"/>
      <c r="BQ38" s="839"/>
      <c r="BR38" s="839"/>
      <c r="BS38" s="839"/>
      <c r="BT38" s="839"/>
      <c r="BU38" s="839"/>
      <c r="BV38" s="839"/>
      <c r="BW38" s="839"/>
      <c r="BX38" s="839"/>
      <c r="BY38" s="839"/>
      <c r="BZ38" s="839"/>
      <c r="CA38" s="839"/>
      <c r="CB38" s="839"/>
      <c r="CC38" s="839"/>
      <c r="CD38" s="839"/>
      <c r="CE38" s="839"/>
      <c r="CF38" s="839"/>
      <c r="CG38" s="839"/>
      <c r="CH38" s="839"/>
      <c r="CI38" s="839"/>
      <c r="CJ38" s="839"/>
      <c r="CK38" s="839"/>
      <c r="CL38" s="839"/>
      <c r="CM38" s="839"/>
      <c r="CN38" s="839"/>
      <c r="CO38" s="839"/>
      <c r="CP38" s="839"/>
      <c r="CQ38" s="839"/>
      <c r="CR38" s="839"/>
      <c r="CS38" s="839"/>
      <c r="CT38" s="839"/>
      <c r="CU38" s="839"/>
      <c r="CV38" s="839"/>
      <c r="CW38" s="839"/>
      <c r="CX38" s="839"/>
      <c r="CY38" s="839"/>
      <c r="CZ38" s="839"/>
      <c r="DA38" s="839"/>
      <c r="DB38" s="839"/>
      <c r="DC38" s="839"/>
      <c r="DD38" s="839"/>
      <c r="DE38" s="839"/>
      <c r="DF38" s="839"/>
      <c r="DG38" s="839"/>
      <c r="DH38" s="839"/>
      <c r="DI38" s="839"/>
      <c r="DJ38" s="839"/>
      <c r="DK38" s="839"/>
      <c r="DL38" s="839"/>
      <c r="DM38" s="839"/>
      <c r="DN38" s="839"/>
      <c r="DO38" s="839"/>
      <c r="DP38" s="839"/>
      <c r="DQ38" s="839"/>
      <c r="DR38" s="839"/>
      <c r="DS38" s="839"/>
      <c r="DT38" s="839"/>
      <c r="DU38" s="839"/>
      <c r="DV38" s="839"/>
      <c r="DW38" s="839"/>
      <c r="DX38" s="839"/>
      <c r="DY38" s="839"/>
      <c r="DZ38" s="839"/>
      <c r="EA38" s="839"/>
      <c r="EB38" s="839"/>
      <c r="EC38" s="839"/>
      <c r="ED38" s="839"/>
      <c r="EE38" s="839"/>
      <c r="EF38" s="839"/>
      <c r="EG38" s="839"/>
      <c r="EH38" s="839"/>
      <c r="EI38" s="839"/>
      <c r="EJ38" s="839"/>
      <c r="EK38" s="839"/>
      <c r="EL38" s="839"/>
      <c r="EM38" s="839"/>
      <c r="EN38" s="839"/>
      <c r="EO38" s="839"/>
      <c r="EP38" s="839"/>
      <c r="EQ38" s="839"/>
      <c r="ER38" s="839"/>
      <c r="ES38" s="839"/>
      <c r="ET38" s="839"/>
      <c r="EU38" s="839"/>
      <c r="EV38" s="839"/>
      <c r="EW38" s="839"/>
      <c r="EX38" s="839"/>
      <c r="EY38" s="839"/>
      <c r="EZ38" s="839"/>
      <c r="FA38" s="839"/>
      <c r="FB38" s="839"/>
      <c r="FC38" s="839"/>
      <c r="FD38" s="839"/>
      <c r="FE38" s="839"/>
      <c r="FF38" s="839"/>
      <c r="FG38" s="839"/>
      <c r="FH38" s="839"/>
      <c r="FI38" s="839"/>
      <c r="FJ38" s="839"/>
      <c r="FK38" s="839"/>
      <c r="FL38" s="839"/>
      <c r="FM38" s="839"/>
      <c r="FN38" s="839"/>
      <c r="FO38" s="839"/>
      <c r="FP38" s="839"/>
      <c r="FQ38" s="839"/>
      <c r="FR38" s="839"/>
      <c r="FS38" s="839"/>
      <c r="FT38" s="839"/>
      <c r="FU38" s="839"/>
      <c r="FV38" s="839"/>
      <c r="FW38" s="839"/>
      <c r="FX38" s="839"/>
      <c r="FY38" s="839"/>
      <c r="FZ38" s="839"/>
      <c r="GA38" s="839"/>
      <c r="GB38" s="839"/>
      <c r="GC38" s="839"/>
      <c r="GD38" s="839"/>
      <c r="GE38" s="839"/>
      <c r="GF38" s="839"/>
      <c r="GG38" s="839"/>
      <c r="GH38" s="839"/>
      <c r="GI38" s="839"/>
      <c r="GJ38" s="839"/>
    </row>
    <row r="39" spans="1:192" s="736" customFormat="1" ht="17.25" customHeight="1">
      <c r="A39" s="792"/>
      <c r="B39" s="797" t="s">
        <v>723</v>
      </c>
      <c r="C39" s="798">
        <f t="shared" ref="C39:AH39" ca="1" si="137">C4+C38</f>
        <v>20731.861383609445</v>
      </c>
      <c r="D39" s="799">
        <f t="shared" ca="1" si="137"/>
        <v>-20514.472114965785</v>
      </c>
      <c r="E39" s="770">
        <f t="shared" ca="1" si="137"/>
        <v>0</v>
      </c>
      <c r="F39" s="770">
        <f t="shared" ca="1" si="137"/>
        <v>0</v>
      </c>
      <c r="G39" s="770">
        <f t="shared" ca="1" si="137"/>
        <v>-7150</v>
      </c>
      <c r="H39" s="771">
        <f t="shared" ca="1" si="137"/>
        <v>-20514.472114965785</v>
      </c>
      <c r="I39" s="799">
        <f t="shared" ca="1" si="137"/>
        <v>30676.903789136231</v>
      </c>
      <c r="J39" s="828">
        <f t="shared" ca="1" si="137"/>
        <v>-13003.355534965785</v>
      </c>
      <c r="K39" s="770">
        <f t="shared" ca="1" si="137"/>
        <v>20562.108611401847</v>
      </c>
      <c r="L39" s="770">
        <f t="shared" ca="1" si="137"/>
        <v>20775.559900024185</v>
      </c>
      <c r="M39" s="770">
        <f t="shared" ca="1" si="137"/>
        <v>30676.903789136235</v>
      </c>
      <c r="N39" s="799">
        <f t="shared" ca="1" si="137"/>
        <v>26370.199064220487</v>
      </c>
      <c r="O39" s="828">
        <f t="shared" ca="1" si="137"/>
        <v>30615.564704165488</v>
      </c>
      <c r="P39" s="770">
        <f t="shared" ca="1" si="137"/>
        <v>34826.482380490808</v>
      </c>
      <c r="Q39" s="770">
        <f t="shared" ca="1" si="137"/>
        <v>36440.530494522623</v>
      </c>
      <c r="R39" s="770">
        <f t="shared" ca="1" si="137"/>
        <v>26370.199064220484</v>
      </c>
      <c r="S39" s="799">
        <f t="shared" ca="1" si="137"/>
        <v>22214.002303609439</v>
      </c>
      <c r="T39" s="828">
        <f t="shared" ca="1" si="137"/>
        <v>24968.965763609434</v>
      </c>
      <c r="U39" s="770">
        <f t="shared" ca="1" si="137"/>
        <v>23401.679883609435</v>
      </c>
      <c r="V39" s="770">
        <f t="shared" ca="1" si="137"/>
        <v>22214.002303609435</v>
      </c>
      <c r="W39" s="770">
        <f t="shared" ca="1" si="137"/>
        <v>22214.002303609435</v>
      </c>
      <c r="X39" s="799">
        <f t="shared" ca="1" si="137"/>
        <v>20731.861383609437</v>
      </c>
      <c r="Y39" s="828">
        <f t="shared" ca="1" si="137"/>
        <v>22214.002303609435</v>
      </c>
      <c r="Z39" s="770">
        <f t="shared" ca="1" si="137"/>
        <v>22214.002303609435</v>
      </c>
      <c r="AA39" s="770">
        <f t="shared" ca="1" si="137"/>
        <v>21621.145935609435</v>
      </c>
      <c r="AB39" s="770">
        <f t="shared" ca="1" si="137"/>
        <v>20731.861383609434</v>
      </c>
      <c r="AC39" s="799">
        <f t="shared" ca="1" si="137"/>
        <v>20731.861383609437</v>
      </c>
      <c r="AD39" s="828">
        <f t="shared" ca="1" si="137"/>
        <v>20731.861383609434</v>
      </c>
      <c r="AE39" s="770">
        <f t="shared" ca="1" si="137"/>
        <v>20731.861383609434</v>
      </c>
      <c r="AF39" s="770">
        <f t="shared" ca="1" si="137"/>
        <v>20731.861383609434</v>
      </c>
      <c r="AG39" s="770">
        <f t="shared" ca="1" si="137"/>
        <v>20731.861383609434</v>
      </c>
      <c r="AH39" s="799">
        <f t="shared" ca="1" si="137"/>
        <v>20731.861383609437</v>
      </c>
      <c r="AI39" s="828">
        <f t="shared" ref="AI39:BF39" ca="1" si="138">AI4+AI38</f>
        <v>20731.861383609434</v>
      </c>
      <c r="AJ39" s="770">
        <f t="shared" ca="1" si="138"/>
        <v>20731.861383609434</v>
      </c>
      <c r="AK39" s="770">
        <f t="shared" ca="1" si="138"/>
        <v>20731.861383609434</v>
      </c>
      <c r="AL39" s="770">
        <f t="shared" ca="1" si="138"/>
        <v>20731.861383609434</v>
      </c>
      <c r="AM39" s="799">
        <f t="shared" ca="1" si="138"/>
        <v>20731.861383609437</v>
      </c>
      <c r="AN39" s="828">
        <f t="shared" ca="1" si="138"/>
        <v>20731.861383609434</v>
      </c>
      <c r="AO39" s="770">
        <f t="shared" ca="1" si="138"/>
        <v>20731.861383609434</v>
      </c>
      <c r="AP39" s="770">
        <f t="shared" ca="1" si="138"/>
        <v>20731.861383609434</v>
      </c>
      <c r="AQ39" s="770">
        <f t="shared" ca="1" si="138"/>
        <v>20731.861383609434</v>
      </c>
      <c r="AR39" s="799">
        <f t="shared" ca="1" si="138"/>
        <v>20731.861383609437</v>
      </c>
      <c r="AS39" s="828">
        <f t="shared" ca="1" si="138"/>
        <v>20731.861383609434</v>
      </c>
      <c r="AT39" s="770">
        <f t="shared" ca="1" si="138"/>
        <v>20731.861383609434</v>
      </c>
      <c r="AU39" s="770">
        <f t="shared" ca="1" si="138"/>
        <v>20731.861383609434</v>
      </c>
      <c r="AV39" s="770">
        <f t="shared" ca="1" si="138"/>
        <v>20731.861383609434</v>
      </c>
      <c r="AW39" s="799">
        <f t="shared" ca="1" si="138"/>
        <v>20731.861383609437</v>
      </c>
      <c r="AX39" s="828">
        <f t="shared" ca="1" si="138"/>
        <v>20731.861383609434</v>
      </c>
      <c r="AY39" s="770">
        <f t="shared" ca="1" si="138"/>
        <v>20731.861383609434</v>
      </c>
      <c r="AZ39" s="770">
        <f t="shared" ca="1" si="138"/>
        <v>20731.861383609434</v>
      </c>
      <c r="BA39" s="770">
        <f t="shared" ca="1" si="138"/>
        <v>20731.861383609434</v>
      </c>
      <c r="BB39" s="799">
        <f t="shared" ca="1" si="138"/>
        <v>20731.861383609437</v>
      </c>
      <c r="BC39" s="828">
        <f t="shared" ca="1" si="138"/>
        <v>20731.861383609434</v>
      </c>
      <c r="BD39" s="770">
        <f t="shared" ca="1" si="138"/>
        <v>20731.861383609434</v>
      </c>
      <c r="BE39" s="770">
        <f t="shared" ca="1" si="138"/>
        <v>20731.861383609434</v>
      </c>
      <c r="BF39" s="844">
        <f t="shared" ca="1" si="138"/>
        <v>20731.861383609434</v>
      </c>
      <c r="BG39" s="839"/>
      <c r="BH39" s="839"/>
      <c r="BI39" s="839"/>
      <c r="BJ39" s="839"/>
      <c r="BK39" s="839"/>
      <c r="BL39" s="839"/>
      <c r="BM39" s="839"/>
      <c r="BN39" s="839"/>
      <c r="BO39" s="839"/>
      <c r="BP39" s="839"/>
      <c r="BQ39" s="839"/>
      <c r="BR39" s="839"/>
      <c r="BS39" s="839"/>
      <c r="BT39" s="839"/>
      <c r="BU39" s="839"/>
      <c r="BV39" s="839"/>
      <c r="BW39" s="839"/>
      <c r="BX39" s="839"/>
      <c r="BY39" s="839"/>
      <c r="BZ39" s="839"/>
      <c r="CA39" s="839"/>
      <c r="CB39" s="839"/>
      <c r="CC39" s="839"/>
      <c r="CD39" s="839"/>
      <c r="CE39" s="839"/>
      <c r="CF39" s="839"/>
      <c r="CG39" s="839"/>
      <c r="CH39" s="839"/>
      <c r="CI39" s="839"/>
      <c r="CJ39" s="839"/>
      <c r="CK39" s="839"/>
      <c r="CL39" s="839"/>
      <c r="CM39" s="839"/>
      <c r="CN39" s="839"/>
      <c r="CO39" s="839"/>
      <c r="CP39" s="839"/>
      <c r="CQ39" s="839"/>
      <c r="CR39" s="839"/>
      <c r="CS39" s="839"/>
      <c r="CT39" s="839"/>
      <c r="CU39" s="839"/>
      <c r="CV39" s="839"/>
      <c r="CW39" s="839"/>
      <c r="CX39" s="839"/>
      <c r="CY39" s="839"/>
      <c r="CZ39" s="839"/>
      <c r="DA39" s="839"/>
      <c r="DB39" s="839"/>
      <c r="DC39" s="839"/>
      <c r="DD39" s="839"/>
      <c r="DE39" s="839"/>
      <c r="DF39" s="839"/>
      <c r="DG39" s="839"/>
      <c r="DH39" s="839"/>
      <c r="DI39" s="839"/>
      <c r="DJ39" s="839"/>
      <c r="DK39" s="839"/>
      <c r="DL39" s="839"/>
      <c r="DM39" s="839"/>
      <c r="DN39" s="839"/>
      <c r="DO39" s="839"/>
      <c r="DP39" s="839"/>
      <c r="DQ39" s="839"/>
      <c r="DR39" s="839"/>
      <c r="DS39" s="839"/>
      <c r="DT39" s="839"/>
      <c r="DU39" s="839"/>
      <c r="DV39" s="839"/>
      <c r="DW39" s="839"/>
      <c r="DX39" s="839"/>
      <c r="DY39" s="839"/>
      <c r="DZ39" s="839"/>
      <c r="EA39" s="839"/>
      <c r="EB39" s="839"/>
      <c r="EC39" s="839"/>
      <c r="ED39" s="839"/>
      <c r="EE39" s="839"/>
      <c r="EF39" s="839"/>
      <c r="EG39" s="839"/>
      <c r="EH39" s="839"/>
      <c r="EI39" s="839"/>
      <c r="EJ39" s="839"/>
      <c r="EK39" s="839"/>
      <c r="EL39" s="839"/>
      <c r="EM39" s="839"/>
      <c r="EN39" s="839"/>
      <c r="EO39" s="839"/>
      <c r="EP39" s="839"/>
      <c r="EQ39" s="839"/>
      <c r="ER39" s="839"/>
      <c r="ES39" s="839"/>
      <c r="ET39" s="839"/>
      <c r="EU39" s="839"/>
      <c r="EV39" s="839"/>
      <c r="EW39" s="839"/>
      <c r="EX39" s="839"/>
      <c r="EY39" s="839"/>
      <c r="EZ39" s="839"/>
      <c r="FA39" s="839"/>
      <c r="FB39" s="839"/>
      <c r="FC39" s="839"/>
      <c r="FD39" s="839"/>
      <c r="FE39" s="839"/>
      <c r="FF39" s="839"/>
      <c r="FG39" s="839"/>
      <c r="FH39" s="839"/>
      <c r="FI39" s="839"/>
      <c r="FJ39" s="839"/>
      <c r="FK39" s="839"/>
      <c r="FL39" s="839"/>
      <c r="FM39" s="839"/>
      <c r="FN39" s="839"/>
      <c r="FO39" s="839"/>
      <c r="FP39" s="839"/>
      <c r="FQ39" s="839"/>
      <c r="FR39" s="839"/>
      <c r="FS39" s="839"/>
      <c r="FT39" s="839"/>
      <c r="FU39" s="839"/>
      <c r="FV39" s="839"/>
      <c r="FW39" s="839"/>
      <c r="FX39" s="839"/>
      <c r="FY39" s="839"/>
      <c r="FZ39" s="839"/>
      <c r="GA39" s="839"/>
      <c r="GB39" s="839"/>
      <c r="GC39" s="839"/>
      <c r="GD39" s="839"/>
      <c r="GE39" s="839"/>
      <c r="GF39" s="839"/>
      <c r="GG39" s="839"/>
      <c r="GH39" s="839"/>
      <c r="GI39" s="839"/>
      <c r="GJ39" s="839"/>
    </row>
    <row r="40" spans="1:192" s="736" customFormat="1" ht="17.25" customHeight="1">
      <c r="A40" s="792"/>
      <c r="B40" s="797" t="s">
        <v>724</v>
      </c>
      <c r="C40" s="798">
        <v>0</v>
      </c>
      <c r="D40" s="799">
        <f>H40</f>
        <v>0</v>
      </c>
      <c r="E40" s="802"/>
      <c r="F40" s="802"/>
      <c r="G40" s="802"/>
      <c r="H40" s="803"/>
      <c r="I40" s="799">
        <f>M40</f>
        <v>0</v>
      </c>
      <c r="J40" s="836"/>
      <c r="K40" s="802"/>
      <c r="L40" s="802"/>
      <c r="M40" s="802"/>
      <c r="N40" s="799">
        <f>R40</f>
        <v>0</v>
      </c>
      <c r="O40" s="836"/>
      <c r="P40" s="802"/>
      <c r="Q40" s="802"/>
      <c r="R40" s="802"/>
      <c r="S40" s="799">
        <f>W40</f>
        <v>0</v>
      </c>
      <c r="T40" s="836"/>
      <c r="U40" s="802"/>
      <c r="V40" s="802"/>
      <c r="W40" s="802"/>
      <c r="X40" s="799">
        <f>AB40</f>
        <v>0</v>
      </c>
      <c r="Y40" s="836"/>
      <c r="Z40" s="802"/>
      <c r="AA40" s="802"/>
      <c r="AB40" s="802"/>
      <c r="AC40" s="799">
        <f>AG40</f>
        <v>0</v>
      </c>
      <c r="AD40" s="836"/>
      <c r="AE40" s="802"/>
      <c r="AF40" s="802"/>
      <c r="AG40" s="802"/>
      <c r="AH40" s="799">
        <f>AL40</f>
        <v>0</v>
      </c>
      <c r="AI40" s="836"/>
      <c r="AJ40" s="802"/>
      <c r="AK40" s="802"/>
      <c r="AL40" s="802"/>
      <c r="AM40" s="799">
        <f>AQ40</f>
        <v>0</v>
      </c>
      <c r="AN40" s="836"/>
      <c r="AO40" s="802"/>
      <c r="AP40" s="802"/>
      <c r="AQ40" s="802"/>
      <c r="AR40" s="799">
        <f>AV40</f>
        <v>0</v>
      </c>
      <c r="AS40" s="836"/>
      <c r="AT40" s="802"/>
      <c r="AU40" s="802"/>
      <c r="AV40" s="802"/>
      <c r="AW40" s="799">
        <f>BA40</f>
        <v>0</v>
      </c>
      <c r="AX40" s="836"/>
      <c r="AY40" s="802"/>
      <c r="AZ40" s="802"/>
      <c r="BA40" s="802"/>
      <c r="BB40" s="799">
        <f>BF40</f>
        <v>0</v>
      </c>
      <c r="BC40" s="836"/>
      <c r="BD40" s="802"/>
      <c r="BE40" s="802"/>
      <c r="BF40" s="853"/>
      <c r="BG40" s="839"/>
      <c r="BH40" s="839"/>
      <c r="BI40" s="839"/>
      <c r="BJ40" s="839"/>
      <c r="BK40" s="839"/>
      <c r="BL40" s="839"/>
      <c r="BM40" s="839"/>
      <c r="BN40" s="839"/>
      <c r="BO40" s="839"/>
      <c r="BP40" s="839"/>
      <c r="BQ40" s="839"/>
      <c r="BR40" s="839"/>
      <c r="BS40" s="839"/>
      <c r="BT40" s="839"/>
      <c r="BU40" s="839"/>
      <c r="BV40" s="839"/>
      <c r="BW40" s="839"/>
      <c r="BX40" s="839"/>
      <c r="BY40" s="839"/>
      <c r="BZ40" s="839"/>
      <c r="CA40" s="839"/>
      <c r="CB40" s="839"/>
      <c r="CC40" s="839"/>
      <c r="CD40" s="839"/>
      <c r="CE40" s="839"/>
      <c r="CF40" s="839"/>
      <c r="CG40" s="839"/>
      <c r="CH40" s="839"/>
      <c r="CI40" s="839"/>
      <c r="CJ40" s="839"/>
      <c r="CK40" s="839"/>
      <c r="CL40" s="839"/>
      <c r="CM40" s="839"/>
      <c r="CN40" s="839"/>
      <c r="CO40" s="839"/>
      <c r="CP40" s="839"/>
      <c r="CQ40" s="839"/>
      <c r="CR40" s="839"/>
      <c r="CS40" s="839"/>
      <c r="CT40" s="839"/>
      <c r="CU40" s="839"/>
      <c r="CV40" s="839"/>
      <c r="CW40" s="839"/>
      <c r="CX40" s="839"/>
      <c r="CY40" s="839"/>
      <c r="CZ40" s="839"/>
      <c r="DA40" s="839"/>
      <c r="DB40" s="839"/>
      <c r="DC40" s="839"/>
      <c r="DD40" s="839"/>
      <c r="DE40" s="839"/>
      <c r="DF40" s="839"/>
      <c r="DG40" s="839"/>
      <c r="DH40" s="839"/>
      <c r="DI40" s="839"/>
      <c r="DJ40" s="839"/>
      <c r="DK40" s="839"/>
      <c r="DL40" s="839"/>
      <c r="DM40" s="839"/>
      <c r="DN40" s="839"/>
      <c r="DO40" s="839"/>
      <c r="DP40" s="839"/>
      <c r="DQ40" s="839"/>
      <c r="DR40" s="839"/>
      <c r="DS40" s="839"/>
      <c r="DT40" s="839"/>
      <c r="DU40" s="839"/>
      <c r="DV40" s="839"/>
      <c r="DW40" s="839"/>
      <c r="DX40" s="839"/>
      <c r="DY40" s="839"/>
      <c r="DZ40" s="839"/>
      <c r="EA40" s="839"/>
      <c r="EB40" s="839"/>
      <c r="EC40" s="839"/>
      <c r="ED40" s="839"/>
      <c r="EE40" s="839"/>
      <c r="EF40" s="839"/>
      <c r="EG40" s="839"/>
      <c r="EH40" s="839"/>
      <c r="EI40" s="839"/>
      <c r="EJ40" s="839"/>
      <c r="EK40" s="839"/>
      <c r="EL40" s="839"/>
      <c r="EM40" s="839"/>
      <c r="EN40" s="839"/>
      <c r="EO40" s="839"/>
      <c r="EP40" s="839"/>
      <c r="EQ40" s="839"/>
      <c r="ER40" s="839"/>
      <c r="ES40" s="839"/>
      <c r="ET40" s="839"/>
      <c r="EU40" s="839"/>
      <c r="EV40" s="839"/>
      <c r="EW40" s="839"/>
      <c r="EX40" s="839"/>
      <c r="EY40" s="839"/>
      <c r="EZ40" s="839"/>
      <c r="FA40" s="839"/>
      <c r="FB40" s="839"/>
      <c r="FC40" s="839"/>
      <c r="FD40" s="839"/>
      <c r="FE40" s="839"/>
      <c r="FF40" s="839"/>
      <c r="FG40" s="839"/>
      <c r="FH40" s="839"/>
      <c r="FI40" s="839"/>
      <c r="FJ40" s="839"/>
      <c r="FK40" s="839"/>
      <c r="FL40" s="839"/>
      <c r="FM40" s="839"/>
      <c r="FN40" s="839"/>
      <c r="FO40" s="839"/>
      <c r="FP40" s="839"/>
      <c r="FQ40" s="839"/>
      <c r="FR40" s="839"/>
      <c r="FS40" s="839"/>
      <c r="FT40" s="839"/>
      <c r="FU40" s="839"/>
      <c r="FV40" s="839"/>
      <c r="FW40" s="839"/>
      <c r="FX40" s="839"/>
      <c r="FY40" s="839"/>
      <c r="FZ40" s="839"/>
      <c r="GA40" s="839"/>
      <c r="GB40" s="839"/>
      <c r="GC40" s="839"/>
      <c r="GD40" s="839"/>
      <c r="GE40" s="839"/>
      <c r="GF40" s="839"/>
      <c r="GG40" s="839"/>
      <c r="GH40" s="839"/>
      <c r="GI40" s="839"/>
      <c r="GJ40" s="839"/>
    </row>
    <row r="41" spans="1:192" s="736" customFormat="1" ht="17.25" customHeight="1">
      <c r="A41" s="804"/>
      <c r="B41" s="797" t="s">
        <v>725</v>
      </c>
      <c r="C41" s="798">
        <v>0</v>
      </c>
      <c r="D41" s="799">
        <f>H41</f>
        <v>0</v>
      </c>
      <c r="E41" s="802"/>
      <c r="F41" s="802"/>
      <c r="G41" s="802"/>
      <c r="H41" s="803"/>
      <c r="I41" s="799">
        <f>M41</f>
        <v>0</v>
      </c>
      <c r="J41" s="836"/>
      <c r="K41" s="802"/>
      <c r="L41" s="802"/>
      <c r="M41" s="802"/>
      <c r="N41" s="799">
        <f>R41</f>
        <v>0</v>
      </c>
      <c r="O41" s="836"/>
      <c r="P41" s="802"/>
      <c r="Q41" s="802"/>
      <c r="R41" s="802"/>
      <c r="S41" s="799">
        <f>W41</f>
        <v>0</v>
      </c>
      <c r="T41" s="836"/>
      <c r="U41" s="802"/>
      <c r="V41" s="802"/>
      <c r="W41" s="802"/>
      <c r="X41" s="799">
        <f>AB41</f>
        <v>0</v>
      </c>
      <c r="Y41" s="836"/>
      <c r="Z41" s="802"/>
      <c r="AA41" s="802"/>
      <c r="AB41" s="802"/>
      <c r="AC41" s="799">
        <f>AG41</f>
        <v>0</v>
      </c>
      <c r="AD41" s="836"/>
      <c r="AE41" s="802"/>
      <c r="AF41" s="802"/>
      <c r="AG41" s="802"/>
      <c r="AH41" s="799">
        <f>AL41</f>
        <v>0</v>
      </c>
      <c r="AI41" s="836"/>
      <c r="AJ41" s="802"/>
      <c r="AK41" s="802"/>
      <c r="AL41" s="802"/>
      <c r="AM41" s="799">
        <f>AQ41</f>
        <v>0</v>
      </c>
      <c r="AN41" s="836"/>
      <c r="AO41" s="802"/>
      <c r="AP41" s="802"/>
      <c r="AQ41" s="802"/>
      <c r="AR41" s="799">
        <f>AV41</f>
        <v>0</v>
      </c>
      <c r="AS41" s="836"/>
      <c r="AT41" s="802"/>
      <c r="AU41" s="802"/>
      <c r="AV41" s="802"/>
      <c r="AW41" s="799">
        <f>BA41</f>
        <v>0</v>
      </c>
      <c r="AX41" s="836"/>
      <c r="AY41" s="802"/>
      <c r="AZ41" s="802"/>
      <c r="BA41" s="802"/>
      <c r="BB41" s="799">
        <f>BF41</f>
        <v>0</v>
      </c>
      <c r="BC41" s="836"/>
      <c r="BD41" s="802"/>
      <c r="BE41" s="802"/>
      <c r="BF41" s="853"/>
      <c r="BG41" s="839"/>
      <c r="BH41" s="839"/>
      <c r="BI41" s="839"/>
      <c r="BJ41" s="839"/>
      <c r="BK41" s="839"/>
      <c r="BL41" s="839"/>
      <c r="BM41" s="839"/>
      <c r="BN41" s="839"/>
      <c r="BO41" s="839"/>
      <c r="BP41" s="839"/>
      <c r="BQ41" s="839"/>
      <c r="BR41" s="839"/>
      <c r="BS41" s="839"/>
      <c r="BT41" s="839"/>
      <c r="BU41" s="839"/>
      <c r="BV41" s="839"/>
      <c r="BW41" s="839"/>
      <c r="BX41" s="839"/>
      <c r="BY41" s="839"/>
      <c r="BZ41" s="839"/>
      <c r="CA41" s="839"/>
      <c r="CB41" s="839"/>
      <c r="CC41" s="839"/>
      <c r="CD41" s="839"/>
      <c r="CE41" s="839"/>
      <c r="CF41" s="839"/>
      <c r="CG41" s="839"/>
      <c r="CH41" s="839"/>
      <c r="CI41" s="839"/>
      <c r="CJ41" s="839"/>
      <c r="CK41" s="839"/>
      <c r="CL41" s="839"/>
      <c r="CM41" s="839"/>
      <c r="CN41" s="839"/>
      <c r="CO41" s="839"/>
      <c r="CP41" s="839"/>
      <c r="CQ41" s="839"/>
      <c r="CR41" s="839"/>
      <c r="CS41" s="839"/>
      <c r="CT41" s="839"/>
      <c r="CU41" s="839"/>
      <c r="CV41" s="839"/>
      <c r="CW41" s="839"/>
      <c r="CX41" s="839"/>
      <c r="CY41" s="839"/>
      <c r="CZ41" s="839"/>
      <c r="DA41" s="839"/>
      <c r="DB41" s="839"/>
      <c r="DC41" s="839"/>
      <c r="DD41" s="839"/>
      <c r="DE41" s="839"/>
      <c r="DF41" s="839"/>
      <c r="DG41" s="839"/>
      <c r="DH41" s="839"/>
      <c r="DI41" s="839"/>
      <c r="DJ41" s="839"/>
      <c r="DK41" s="839"/>
      <c r="DL41" s="839"/>
      <c r="DM41" s="839"/>
      <c r="DN41" s="839"/>
      <c r="DO41" s="839"/>
      <c r="DP41" s="839"/>
      <c r="DQ41" s="839"/>
      <c r="DR41" s="839"/>
      <c r="DS41" s="839"/>
      <c r="DT41" s="839"/>
      <c r="DU41" s="839"/>
      <c r="DV41" s="839"/>
      <c r="DW41" s="839"/>
      <c r="DX41" s="839"/>
      <c r="DY41" s="839"/>
      <c r="DZ41" s="839"/>
      <c r="EA41" s="839"/>
      <c r="EB41" s="839"/>
      <c r="EC41" s="839"/>
      <c r="ED41" s="839"/>
      <c r="EE41" s="839"/>
      <c r="EF41" s="839"/>
      <c r="EG41" s="839"/>
      <c r="EH41" s="839"/>
      <c r="EI41" s="839"/>
      <c r="EJ41" s="839"/>
      <c r="EK41" s="839"/>
      <c r="EL41" s="839"/>
      <c r="EM41" s="839"/>
      <c r="EN41" s="839"/>
      <c r="EO41" s="839"/>
      <c r="EP41" s="839"/>
      <c r="EQ41" s="839"/>
      <c r="ER41" s="839"/>
      <c r="ES41" s="839"/>
      <c r="ET41" s="839"/>
      <c r="EU41" s="839"/>
      <c r="EV41" s="839"/>
      <c r="EW41" s="839"/>
      <c r="EX41" s="839"/>
      <c r="EY41" s="839"/>
      <c r="EZ41" s="839"/>
      <c r="FA41" s="839"/>
      <c r="FB41" s="839"/>
      <c r="FC41" s="839"/>
      <c r="FD41" s="839"/>
      <c r="FE41" s="839"/>
      <c r="FF41" s="839"/>
      <c r="FG41" s="839"/>
      <c r="FH41" s="839"/>
      <c r="FI41" s="839"/>
      <c r="FJ41" s="839"/>
      <c r="FK41" s="839"/>
      <c r="FL41" s="839"/>
      <c r="FM41" s="839"/>
      <c r="FN41" s="839"/>
      <c r="FO41" s="839"/>
      <c r="FP41" s="839"/>
      <c r="FQ41" s="839"/>
      <c r="FR41" s="839"/>
      <c r="FS41" s="839"/>
      <c r="FT41" s="839"/>
      <c r="FU41" s="839"/>
      <c r="FV41" s="839"/>
      <c r="FW41" s="839"/>
      <c r="FX41" s="839"/>
      <c r="FY41" s="839"/>
      <c r="FZ41" s="839"/>
      <c r="GA41" s="839"/>
      <c r="GB41" s="839"/>
      <c r="GC41" s="839"/>
      <c r="GD41" s="839"/>
      <c r="GE41" s="839"/>
      <c r="GF41" s="839"/>
      <c r="GG41" s="839"/>
      <c r="GH41" s="839"/>
      <c r="GI41" s="839"/>
      <c r="GJ41" s="839"/>
    </row>
    <row r="42" spans="1:192" s="736" customFormat="1" ht="17.25" customHeight="1">
      <c r="A42" s="767"/>
      <c r="B42" s="805" t="s">
        <v>726</v>
      </c>
      <c r="C42" s="806">
        <f t="shared" ref="C42:R42" ca="1" si="139">C39-C40-C41</f>
        <v>20731.861383609445</v>
      </c>
      <c r="D42" s="807">
        <f t="shared" ca="1" si="139"/>
        <v>-20514.472114965785</v>
      </c>
      <c r="E42" s="808">
        <f t="shared" ca="1" si="139"/>
        <v>0</v>
      </c>
      <c r="F42" s="808">
        <f t="shared" ca="1" si="139"/>
        <v>0</v>
      </c>
      <c r="G42" s="808">
        <f t="shared" ca="1" si="139"/>
        <v>-7150</v>
      </c>
      <c r="H42" s="809">
        <f t="shared" ca="1" si="139"/>
        <v>-20514.472114965785</v>
      </c>
      <c r="I42" s="807">
        <f t="shared" ca="1" si="139"/>
        <v>30676.903789136231</v>
      </c>
      <c r="J42" s="837">
        <f t="shared" ca="1" si="139"/>
        <v>-13003.355534965785</v>
      </c>
      <c r="K42" s="808">
        <f t="shared" ca="1" si="139"/>
        <v>20562.108611401847</v>
      </c>
      <c r="L42" s="808">
        <f t="shared" ca="1" si="139"/>
        <v>20775.559900024185</v>
      </c>
      <c r="M42" s="808">
        <f t="shared" ca="1" si="139"/>
        <v>30676.903789136235</v>
      </c>
      <c r="N42" s="807">
        <f t="shared" ca="1" si="139"/>
        <v>26370.199064220487</v>
      </c>
      <c r="O42" s="837">
        <f t="shared" ca="1" si="139"/>
        <v>30615.564704165488</v>
      </c>
      <c r="P42" s="808">
        <f t="shared" ca="1" si="139"/>
        <v>34826.482380490808</v>
      </c>
      <c r="Q42" s="808">
        <f t="shared" ca="1" si="139"/>
        <v>36440.530494522623</v>
      </c>
      <c r="R42" s="808">
        <f t="shared" ca="1" si="139"/>
        <v>26370.199064220484</v>
      </c>
      <c r="S42" s="807">
        <f t="shared" ref="S42:BF42" ca="1" si="140">S39-S40-S41</f>
        <v>22214.002303609439</v>
      </c>
      <c r="T42" s="837">
        <f t="shared" ca="1" si="140"/>
        <v>24968.965763609434</v>
      </c>
      <c r="U42" s="808">
        <f t="shared" ca="1" si="140"/>
        <v>23401.679883609435</v>
      </c>
      <c r="V42" s="808">
        <f t="shared" ca="1" si="140"/>
        <v>22214.002303609435</v>
      </c>
      <c r="W42" s="808">
        <f t="shared" ca="1" si="140"/>
        <v>22214.002303609435</v>
      </c>
      <c r="X42" s="807">
        <f t="shared" ca="1" si="140"/>
        <v>20731.861383609437</v>
      </c>
      <c r="Y42" s="837">
        <f t="shared" ca="1" si="140"/>
        <v>22214.002303609435</v>
      </c>
      <c r="Z42" s="808">
        <f t="shared" ca="1" si="140"/>
        <v>22214.002303609435</v>
      </c>
      <c r="AA42" s="808">
        <f t="shared" ca="1" si="140"/>
        <v>21621.145935609435</v>
      </c>
      <c r="AB42" s="808">
        <f t="shared" ca="1" si="140"/>
        <v>20731.861383609434</v>
      </c>
      <c r="AC42" s="807">
        <f t="shared" ca="1" si="140"/>
        <v>20731.861383609437</v>
      </c>
      <c r="AD42" s="837">
        <f t="shared" ca="1" si="140"/>
        <v>20731.861383609434</v>
      </c>
      <c r="AE42" s="808">
        <f t="shared" ca="1" si="140"/>
        <v>20731.861383609434</v>
      </c>
      <c r="AF42" s="808">
        <f t="shared" ca="1" si="140"/>
        <v>20731.861383609434</v>
      </c>
      <c r="AG42" s="808">
        <f t="shared" ca="1" si="140"/>
        <v>20731.861383609434</v>
      </c>
      <c r="AH42" s="807">
        <f t="shared" ca="1" si="140"/>
        <v>20731.861383609437</v>
      </c>
      <c r="AI42" s="837">
        <f t="shared" ca="1" si="140"/>
        <v>20731.861383609434</v>
      </c>
      <c r="AJ42" s="808">
        <f t="shared" ca="1" si="140"/>
        <v>20731.861383609434</v>
      </c>
      <c r="AK42" s="808">
        <f t="shared" ca="1" si="140"/>
        <v>20731.861383609434</v>
      </c>
      <c r="AL42" s="808">
        <f t="shared" ca="1" si="140"/>
        <v>20731.861383609434</v>
      </c>
      <c r="AM42" s="807">
        <f t="shared" ca="1" si="140"/>
        <v>20731.861383609437</v>
      </c>
      <c r="AN42" s="837">
        <f t="shared" ca="1" si="140"/>
        <v>20731.861383609434</v>
      </c>
      <c r="AO42" s="808">
        <f t="shared" ca="1" si="140"/>
        <v>20731.861383609434</v>
      </c>
      <c r="AP42" s="808">
        <f t="shared" ca="1" si="140"/>
        <v>20731.861383609434</v>
      </c>
      <c r="AQ42" s="808">
        <f t="shared" ca="1" si="140"/>
        <v>20731.861383609434</v>
      </c>
      <c r="AR42" s="807">
        <f t="shared" ca="1" si="140"/>
        <v>20731.861383609437</v>
      </c>
      <c r="AS42" s="837">
        <f t="shared" ca="1" si="140"/>
        <v>20731.861383609434</v>
      </c>
      <c r="AT42" s="808">
        <f t="shared" ca="1" si="140"/>
        <v>20731.861383609434</v>
      </c>
      <c r="AU42" s="808">
        <f t="shared" ca="1" si="140"/>
        <v>20731.861383609434</v>
      </c>
      <c r="AV42" s="808">
        <f t="shared" ca="1" si="140"/>
        <v>20731.861383609434</v>
      </c>
      <c r="AW42" s="807">
        <f t="shared" ca="1" si="140"/>
        <v>20731.861383609437</v>
      </c>
      <c r="AX42" s="837">
        <f t="shared" ca="1" si="140"/>
        <v>20731.861383609434</v>
      </c>
      <c r="AY42" s="808">
        <f t="shared" ca="1" si="140"/>
        <v>20731.861383609434</v>
      </c>
      <c r="AZ42" s="808">
        <f t="shared" ca="1" si="140"/>
        <v>20731.861383609434</v>
      </c>
      <c r="BA42" s="808">
        <f t="shared" ca="1" si="140"/>
        <v>20731.861383609434</v>
      </c>
      <c r="BB42" s="807">
        <f t="shared" ca="1" si="140"/>
        <v>20731.861383609437</v>
      </c>
      <c r="BC42" s="837">
        <f t="shared" ca="1" si="140"/>
        <v>20731.861383609434</v>
      </c>
      <c r="BD42" s="808">
        <f t="shared" ca="1" si="140"/>
        <v>20731.861383609434</v>
      </c>
      <c r="BE42" s="808">
        <f t="shared" ca="1" si="140"/>
        <v>20731.861383609434</v>
      </c>
      <c r="BF42" s="854">
        <f t="shared" ca="1" si="140"/>
        <v>20731.861383609434</v>
      </c>
      <c r="BG42" s="839"/>
      <c r="BH42" s="839"/>
      <c r="BI42" s="839"/>
      <c r="BJ42" s="839"/>
      <c r="BK42" s="839"/>
      <c r="BL42" s="839"/>
      <c r="BM42" s="839"/>
      <c r="BN42" s="839"/>
      <c r="BO42" s="839"/>
      <c r="BP42" s="839"/>
      <c r="BQ42" s="839"/>
      <c r="BR42" s="839"/>
      <c r="BS42" s="839"/>
      <c r="BT42" s="839"/>
      <c r="BU42" s="839"/>
      <c r="BV42" s="839"/>
      <c r="BW42" s="839"/>
      <c r="BX42" s="839"/>
      <c r="BY42" s="839"/>
      <c r="BZ42" s="839"/>
      <c r="CA42" s="839"/>
      <c r="CB42" s="839"/>
      <c r="CC42" s="839"/>
      <c r="CD42" s="839"/>
      <c r="CE42" s="839"/>
      <c r="CF42" s="839"/>
      <c r="CG42" s="839"/>
      <c r="CH42" s="839"/>
      <c r="CI42" s="839"/>
      <c r="CJ42" s="839"/>
      <c r="CK42" s="839"/>
      <c r="CL42" s="839"/>
      <c r="CM42" s="839"/>
      <c r="CN42" s="839"/>
      <c r="CO42" s="839"/>
      <c r="CP42" s="839"/>
      <c r="CQ42" s="839"/>
      <c r="CR42" s="839"/>
      <c r="CS42" s="839"/>
      <c r="CT42" s="839"/>
      <c r="CU42" s="839"/>
      <c r="CV42" s="839"/>
      <c r="CW42" s="839"/>
      <c r="CX42" s="839"/>
      <c r="CY42" s="839"/>
      <c r="CZ42" s="839"/>
      <c r="DA42" s="839"/>
      <c r="DB42" s="839"/>
      <c r="DC42" s="839"/>
      <c r="DD42" s="839"/>
      <c r="DE42" s="839"/>
      <c r="DF42" s="839"/>
      <c r="DG42" s="839"/>
      <c r="DH42" s="839"/>
      <c r="DI42" s="839"/>
      <c r="DJ42" s="839"/>
      <c r="DK42" s="839"/>
      <c r="DL42" s="839"/>
      <c r="DM42" s="839"/>
      <c r="DN42" s="839"/>
      <c r="DO42" s="839"/>
      <c r="DP42" s="839"/>
      <c r="DQ42" s="839"/>
      <c r="DR42" s="839"/>
      <c r="DS42" s="839"/>
      <c r="DT42" s="839"/>
      <c r="DU42" s="839"/>
      <c r="DV42" s="839"/>
      <c r="DW42" s="839"/>
      <c r="DX42" s="839"/>
      <c r="DY42" s="839"/>
      <c r="DZ42" s="839"/>
      <c r="EA42" s="839"/>
      <c r="EB42" s="839"/>
      <c r="EC42" s="839"/>
      <c r="ED42" s="839"/>
      <c r="EE42" s="839"/>
      <c r="EF42" s="839"/>
      <c r="EG42" s="839"/>
      <c r="EH42" s="839"/>
      <c r="EI42" s="839"/>
      <c r="EJ42" s="839"/>
      <c r="EK42" s="839"/>
      <c r="EL42" s="839"/>
      <c r="EM42" s="839"/>
      <c r="EN42" s="839"/>
      <c r="EO42" s="839"/>
      <c r="EP42" s="839"/>
      <c r="EQ42" s="839"/>
      <c r="ER42" s="839"/>
      <c r="ES42" s="839"/>
      <c r="ET42" s="839"/>
      <c r="EU42" s="839"/>
      <c r="EV42" s="839"/>
      <c r="EW42" s="839"/>
      <c r="EX42" s="839"/>
      <c r="EY42" s="839"/>
      <c r="EZ42" s="839"/>
      <c r="FA42" s="839"/>
      <c r="FB42" s="839"/>
      <c r="FC42" s="839"/>
      <c r="FD42" s="839"/>
      <c r="FE42" s="839"/>
      <c r="FF42" s="839"/>
      <c r="FG42" s="839"/>
      <c r="FH42" s="839"/>
      <c r="FI42" s="839"/>
      <c r="FJ42" s="839"/>
      <c r="FK42" s="839"/>
      <c r="FL42" s="839"/>
      <c r="FM42" s="839"/>
      <c r="FN42" s="839"/>
      <c r="FO42" s="839"/>
      <c r="FP42" s="839"/>
      <c r="FQ42" s="839"/>
      <c r="FR42" s="839"/>
      <c r="FS42" s="839"/>
      <c r="FT42" s="839"/>
      <c r="FU42" s="839"/>
      <c r="FV42" s="839"/>
      <c r="FW42" s="839"/>
      <c r="FX42" s="839"/>
      <c r="FY42" s="839"/>
      <c r="FZ42" s="839"/>
      <c r="GA42" s="839"/>
      <c r="GB42" s="839"/>
      <c r="GC42" s="839"/>
      <c r="GD42" s="839"/>
      <c r="GE42" s="839"/>
      <c r="GF42" s="839"/>
      <c r="GG42" s="839"/>
      <c r="GH42" s="839"/>
      <c r="GI42" s="839"/>
      <c r="GJ42" s="839"/>
    </row>
    <row r="43" spans="1:192" ht="18" customHeight="1">
      <c r="A43" s="758"/>
      <c r="B43" s="810" t="s">
        <v>727</v>
      </c>
      <c r="C43" s="811">
        <f ca="1">C39+'5.分产品利润表'!L7+'5.分产品利润表'!L8+'5.分产品利润表'!L18-'5.分产品利润表'!B20</f>
        <v>0</v>
      </c>
      <c r="D43" s="812"/>
      <c r="E43" s="812"/>
      <c r="F43" s="812"/>
      <c r="G43" s="812"/>
      <c r="H43" s="812"/>
      <c r="I43" s="812"/>
      <c r="J43" s="812"/>
      <c r="K43" s="812"/>
      <c r="L43" s="812"/>
      <c r="M43" s="812"/>
      <c r="N43" s="812"/>
      <c r="O43" s="812"/>
      <c r="P43" s="812"/>
      <c r="Q43" s="812"/>
      <c r="R43" s="812"/>
      <c r="S43" s="812"/>
      <c r="T43" s="812"/>
      <c r="U43" s="812"/>
      <c r="V43" s="812"/>
      <c r="W43" s="812"/>
      <c r="X43" s="812"/>
      <c r="Y43" s="812"/>
      <c r="Z43" s="812"/>
      <c r="AA43" s="812"/>
      <c r="AB43" s="812"/>
      <c r="AC43" s="812"/>
      <c r="AD43" s="812"/>
      <c r="AE43" s="812"/>
      <c r="AF43" s="812"/>
      <c r="AG43" s="812"/>
      <c r="AH43" s="812"/>
      <c r="AI43" s="812"/>
      <c r="AJ43" s="812"/>
      <c r="AK43" s="812"/>
      <c r="AL43" s="812"/>
      <c r="AM43" s="812"/>
      <c r="AN43" s="812"/>
      <c r="AO43" s="812"/>
      <c r="AP43" s="812"/>
      <c r="AQ43" s="812"/>
      <c r="AR43" s="812"/>
      <c r="AS43" s="812"/>
      <c r="AT43" s="812"/>
      <c r="AU43" s="812"/>
      <c r="AV43" s="812"/>
      <c r="AW43" s="812"/>
      <c r="AX43" s="812"/>
      <c r="AY43" s="812"/>
      <c r="AZ43" s="812"/>
      <c r="BA43" s="812"/>
      <c r="BB43" s="812"/>
      <c r="BC43" s="812"/>
      <c r="BD43" s="812"/>
      <c r="BE43" s="812"/>
      <c r="BF43" s="812"/>
      <c r="BG43" s="747"/>
      <c r="BH43" s="747"/>
      <c r="BI43" s="747"/>
      <c r="BJ43" s="747"/>
      <c r="BK43" s="747"/>
      <c r="BL43" s="747"/>
      <c r="BM43" s="747"/>
      <c r="BN43" s="747"/>
      <c r="BO43" s="747"/>
      <c r="BP43" s="747"/>
      <c r="BQ43" s="747"/>
      <c r="BR43" s="747"/>
      <c r="BS43" s="747"/>
      <c r="BT43" s="747"/>
      <c r="BU43" s="747"/>
      <c r="BV43" s="747"/>
      <c r="BW43" s="747"/>
      <c r="BX43" s="747"/>
      <c r="BY43" s="747"/>
      <c r="BZ43" s="747"/>
      <c r="CA43" s="747"/>
      <c r="CB43" s="747"/>
      <c r="CC43" s="747"/>
      <c r="CD43" s="747"/>
      <c r="CE43" s="747"/>
      <c r="CF43" s="747"/>
      <c r="CG43" s="747"/>
      <c r="CH43" s="747"/>
      <c r="CI43" s="747"/>
      <c r="CJ43" s="747"/>
      <c r="CK43" s="747"/>
      <c r="CL43" s="747"/>
      <c r="CM43" s="747"/>
      <c r="CN43" s="747"/>
      <c r="CO43" s="747"/>
      <c r="CP43" s="747"/>
      <c r="CQ43" s="747"/>
      <c r="CR43" s="747"/>
      <c r="CS43" s="747"/>
      <c r="CT43" s="747"/>
      <c r="CU43" s="747"/>
      <c r="CV43" s="747"/>
      <c r="CW43" s="747"/>
      <c r="CX43" s="747"/>
      <c r="CY43" s="747"/>
      <c r="CZ43" s="747"/>
      <c r="DA43" s="747"/>
      <c r="DB43" s="747"/>
      <c r="DC43" s="747"/>
      <c r="DD43" s="747"/>
      <c r="DE43" s="747"/>
      <c r="DF43" s="747"/>
      <c r="DG43" s="747"/>
      <c r="DH43" s="747"/>
      <c r="DI43" s="747"/>
      <c r="DJ43" s="747"/>
      <c r="DK43" s="747"/>
      <c r="DL43" s="747"/>
      <c r="DM43" s="747"/>
      <c r="DN43" s="747"/>
      <c r="DO43" s="747"/>
      <c r="DP43" s="747"/>
      <c r="DQ43" s="747"/>
      <c r="DR43" s="747"/>
      <c r="DS43" s="747"/>
      <c r="DT43" s="747"/>
      <c r="DU43" s="747"/>
      <c r="DV43" s="747"/>
      <c r="DW43" s="747"/>
      <c r="DX43" s="747"/>
      <c r="DY43" s="747"/>
      <c r="DZ43" s="747"/>
      <c r="EA43" s="747"/>
      <c r="EB43" s="747"/>
      <c r="EC43" s="747"/>
      <c r="ED43" s="747"/>
      <c r="EE43" s="747"/>
      <c r="EF43" s="747"/>
      <c r="EG43" s="747"/>
      <c r="EH43" s="747"/>
      <c r="EI43" s="747"/>
      <c r="EJ43" s="747"/>
      <c r="EK43" s="747"/>
      <c r="EL43" s="747"/>
      <c r="EM43" s="747"/>
      <c r="EN43" s="747"/>
      <c r="EO43" s="747"/>
      <c r="EP43" s="747"/>
      <c r="EQ43" s="747"/>
      <c r="ER43" s="747"/>
      <c r="ES43" s="747"/>
      <c r="ET43" s="747"/>
      <c r="EU43" s="747"/>
      <c r="EV43" s="747"/>
      <c r="EW43" s="747"/>
      <c r="EX43" s="747"/>
      <c r="EY43" s="747"/>
      <c r="EZ43" s="747"/>
      <c r="FA43" s="747"/>
      <c r="FB43" s="747"/>
      <c r="FC43" s="747"/>
      <c r="FD43" s="747"/>
      <c r="FE43" s="747"/>
      <c r="FF43" s="747"/>
      <c r="FG43" s="747"/>
      <c r="FH43" s="747"/>
      <c r="FI43" s="747"/>
      <c r="FJ43" s="747"/>
      <c r="FK43" s="747"/>
      <c r="FL43" s="747"/>
      <c r="FM43" s="747"/>
      <c r="FN43" s="747"/>
      <c r="FO43" s="747"/>
      <c r="FP43" s="747"/>
      <c r="FQ43" s="747"/>
      <c r="FR43" s="747"/>
      <c r="FS43" s="747"/>
      <c r="FT43" s="747"/>
      <c r="FU43" s="747"/>
      <c r="FV43" s="747"/>
      <c r="FW43" s="747"/>
      <c r="FX43" s="747"/>
      <c r="FY43" s="747"/>
      <c r="FZ43" s="747"/>
      <c r="GA43" s="747"/>
      <c r="GB43" s="747"/>
      <c r="GC43" s="747"/>
      <c r="GD43" s="747"/>
      <c r="GE43" s="747"/>
      <c r="GF43" s="747"/>
      <c r="GG43" s="747"/>
      <c r="GH43" s="747"/>
      <c r="GI43" s="747"/>
      <c r="GJ43" s="747"/>
    </row>
    <row r="44" spans="1:192" ht="18" customHeight="1">
      <c r="A44" s="758"/>
      <c r="B44" s="813" t="s">
        <v>728</v>
      </c>
      <c r="C44" s="770">
        <f ca="1">C38*'1.参数设置'!E6</f>
        <v>20731.861383609445</v>
      </c>
      <c r="D44" s="770">
        <f ca="1">D38*'1.参数设置'!E6</f>
        <v>-20514.472114965785</v>
      </c>
      <c r="E44" s="770">
        <f ca="1">E38*'1.参数设置'!$E$6</f>
        <v>0</v>
      </c>
      <c r="F44" s="770">
        <f ca="1">F38*'1.参数设置'!$E$6</f>
        <v>0</v>
      </c>
      <c r="G44" s="770">
        <f ca="1">G38*'1.参数设置'!$E$6</f>
        <v>-7150</v>
      </c>
      <c r="H44" s="770">
        <f ca="1">H38*'1.参数设置'!$E$6</f>
        <v>-13364.472114965785</v>
      </c>
      <c r="I44" s="770">
        <f ca="1">I38*'1.参数设置'!$E$6</f>
        <v>51191.375904102017</v>
      </c>
      <c r="J44" s="770">
        <f ca="1">J38*'1.参数设置'!$E$6</f>
        <v>7511.1165799999999</v>
      </c>
      <c r="K44" s="770">
        <f ca="1">K38*'1.参数设置'!$E$6</f>
        <v>33565.464146367631</v>
      </c>
      <c r="L44" s="770">
        <f ca="1">L38*'1.参数设置'!$E$6</f>
        <v>213.45128862233832</v>
      </c>
      <c r="M44" s="770">
        <f ca="1">M38*'1.参数设置'!$E$6</f>
        <v>9901.3438891120495</v>
      </c>
      <c r="N44" s="770">
        <f ca="1">N38*'1.参数设置'!$E$6</f>
        <v>-4306.704724915744</v>
      </c>
      <c r="O44" s="770">
        <f ca="1">O38*'1.参数设置'!$E$6</f>
        <v>-61.339084970746626</v>
      </c>
      <c r="P44" s="770">
        <f ca="1">P38*'1.参数设置'!$E$6</f>
        <v>4210.9176763253236</v>
      </c>
      <c r="Q44" s="770">
        <f ca="1">Q38*'1.参数设置'!$E$6</f>
        <v>1614.0481140318147</v>
      </c>
      <c r="R44" s="770">
        <f ca="1">R38*'1.参数设置'!$E$6</f>
        <v>-10070.33143030214</v>
      </c>
      <c r="S44" s="770">
        <f ca="1">S38*'1.参数设置'!$E$6</f>
        <v>-4156.1967606110484</v>
      </c>
      <c r="T44" s="770">
        <f ca="1">T38*'1.参数设置'!$E$6</f>
        <v>-1401.2333006110475</v>
      </c>
      <c r="U44" s="770">
        <f ca="1">U38*'1.参数设置'!$E$6</f>
        <v>-1567.2858800000001</v>
      </c>
      <c r="V44" s="770">
        <f ca="1">V38*'1.参数设置'!$E$6</f>
        <v>-1187.6775800000003</v>
      </c>
      <c r="W44" s="770">
        <f ca="1">W38*'1.参数设置'!$E$6</f>
        <v>0</v>
      </c>
      <c r="X44" s="770">
        <f ca="1">X38*'1.参数设置'!$E$6</f>
        <v>-1482.1409200000001</v>
      </c>
      <c r="Y44" s="770">
        <f ca="1">Y38*'1.参数设置'!$E$6</f>
        <v>0</v>
      </c>
      <c r="Z44" s="770">
        <f ca="1">Z38*'1.参数设置'!$E$6</f>
        <v>0</v>
      </c>
      <c r="AA44" s="770">
        <f ca="1">AA38*'1.参数设置'!$E$6</f>
        <v>-592.85636800000009</v>
      </c>
      <c r="AB44" s="770">
        <f ca="1">AB38*'1.参数设置'!$E$6</f>
        <v>-889.28455199999996</v>
      </c>
      <c r="AC44" s="770">
        <f ca="1">AC38*'1.参数设置'!$E$6</f>
        <v>0</v>
      </c>
      <c r="AD44" s="770">
        <f ca="1">AD38*'1.参数设置'!$E$6</f>
        <v>0</v>
      </c>
      <c r="AE44" s="770">
        <f ca="1">AE38*'1.参数设置'!$E$6</f>
        <v>0</v>
      </c>
      <c r="AF44" s="770">
        <f ca="1">AF38*'1.参数设置'!$E$6</f>
        <v>0</v>
      </c>
      <c r="AG44" s="770">
        <f ca="1">AG38*'1.参数设置'!$E$6</f>
        <v>0</v>
      </c>
      <c r="AH44" s="770">
        <f ca="1">AH38*'1.参数设置'!$E$6</f>
        <v>0</v>
      </c>
      <c r="AI44" s="770">
        <f ca="1">AI38*'1.参数设置'!$E$6</f>
        <v>0</v>
      </c>
      <c r="AJ44" s="770">
        <f ca="1">AJ38*'1.参数设置'!$E$6</f>
        <v>0</v>
      </c>
      <c r="AK44" s="770">
        <f ca="1">AK38*'1.参数设置'!$E$6</f>
        <v>0</v>
      </c>
      <c r="AL44" s="770">
        <f ca="1">AL38*'1.参数设置'!$E$6</f>
        <v>0</v>
      </c>
      <c r="AM44" s="770">
        <f ca="1">AM38*'1.参数设置'!$E$6</f>
        <v>0</v>
      </c>
      <c r="AN44" s="770">
        <f ca="1">AN38*'1.参数设置'!$E$6</f>
        <v>0</v>
      </c>
      <c r="AO44" s="770">
        <f ca="1">AO38*'1.参数设置'!$E$6</f>
        <v>0</v>
      </c>
      <c r="AP44" s="770">
        <f ca="1">AP38*'1.参数设置'!$E$6</f>
        <v>0</v>
      </c>
      <c r="AQ44" s="770">
        <f ca="1">AQ38*'1.参数设置'!$E$6</f>
        <v>0</v>
      </c>
      <c r="AR44" s="770">
        <f ca="1">AR38*'1.参数设置'!$E$6</f>
        <v>0</v>
      </c>
      <c r="AS44" s="770">
        <f ca="1">AS38*'1.参数设置'!$E$6</f>
        <v>0</v>
      </c>
      <c r="AT44" s="770">
        <f ca="1">AT38*'1.参数设置'!$E$6</f>
        <v>0</v>
      </c>
      <c r="AU44" s="770">
        <f ca="1">AU38*'1.参数设置'!$E$6</f>
        <v>0</v>
      </c>
      <c r="AV44" s="770">
        <f ca="1">AV38*'1.参数设置'!$E$6</f>
        <v>0</v>
      </c>
      <c r="AW44" s="770">
        <f ca="1">AW38*'1.参数设置'!$E$6</f>
        <v>0</v>
      </c>
      <c r="AX44" s="770">
        <f ca="1">AX38*'1.参数设置'!$E$6</f>
        <v>0</v>
      </c>
      <c r="AY44" s="770">
        <f ca="1">AY38*'1.参数设置'!$E$6</f>
        <v>0</v>
      </c>
      <c r="AZ44" s="770">
        <f ca="1">AZ38*'1.参数设置'!$E$6</f>
        <v>0</v>
      </c>
      <c r="BA44" s="770">
        <f ca="1">BA38*'1.参数设置'!$E$6</f>
        <v>0</v>
      </c>
      <c r="BB44" s="770">
        <f ca="1">BB38*'1.参数设置'!$E$6</f>
        <v>0</v>
      </c>
      <c r="BC44" s="770">
        <f ca="1">BC38*'1.参数设置'!$E$6</f>
        <v>0</v>
      </c>
      <c r="BD44" s="770">
        <f ca="1">BD38*'1.参数设置'!$E$6</f>
        <v>0</v>
      </c>
      <c r="BE44" s="770">
        <f ca="1">BE38*'1.参数设置'!$E$6</f>
        <v>0</v>
      </c>
      <c r="BF44" s="770">
        <f ca="1">BF38*'1.参数设置'!$E$6</f>
        <v>0</v>
      </c>
      <c r="BG44" s="747"/>
      <c r="BH44" s="747"/>
      <c r="BI44" s="747"/>
      <c r="BJ44" s="747"/>
      <c r="BK44" s="747"/>
      <c r="BL44" s="747"/>
      <c r="BM44" s="747"/>
      <c r="BN44" s="747"/>
      <c r="BO44" s="747"/>
      <c r="BP44" s="747"/>
      <c r="BQ44" s="747"/>
      <c r="BR44" s="747"/>
      <c r="BS44" s="747"/>
      <c r="BT44" s="747"/>
      <c r="BU44" s="747"/>
      <c r="BV44" s="747"/>
      <c r="BW44" s="747"/>
      <c r="BX44" s="747"/>
      <c r="BY44" s="747"/>
      <c r="BZ44" s="747"/>
      <c r="CA44" s="747"/>
      <c r="CB44" s="747"/>
      <c r="CC44" s="747"/>
      <c r="CD44" s="747"/>
      <c r="CE44" s="747"/>
      <c r="CF44" s="747"/>
      <c r="CG44" s="747"/>
      <c r="CH44" s="747"/>
      <c r="CI44" s="747"/>
      <c r="CJ44" s="747"/>
      <c r="CK44" s="747"/>
      <c r="CL44" s="747"/>
      <c r="CM44" s="747"/>
      <c r="CN44" s="747"/>
      <c r="CO44" s="747"/>
      <c r="CP44" s="747"/>
      <c r="CQ44" s="747"/>
      <c r="CR44" s="747"/>
      <c r="CS44" s="747"/>
      <c r="CT44" s="747"/>
      <c r="CU44" s="747"/>
      <c r="CV44" s="747"/>
      <c r="CW44" s="747"/>
      <c r="CX44" s="747"/>
      <c r="CY44" s="747"/>
      <c r="CZ44" s="747"/>
      <c r="DA44" s="747"/>
      <c r="DB44" s="747"/>
      <c r="DC44" s="747"/>
      <c r="DD44" s="747"/>
      <c r="DE44" s="747"/>
      <c r="DF44" s="747"/>
      <c r="DG44" s="747"/>
      <c r="DH44" s="747"/>
      <c r="DI44" s="747"/>
      <c r="DJ44" s="747"/>
      <c r="DK44" s="747"/>
      <c r="DL44" s="747"/>
      <c r="DM44" s="747"/>
      <c r="DN44" s="747"/>
      <c r="DO44" s="747"/>
      <c r="DP44" s="747"/>
      <c r="DQ44" s="747"/>
      <c r="DR44" s="747"/>
      <c r="DS44" s="747"/>
      <c r="DT44" s="747"/>
      <c r="DU44" s="747"/>
      <c r="DV44" s="747"/>
      <c r="DW44" s="747"/>
      <c r="DX44" s="747"/>
      <c r="DY44" s="747"/>
      <c r="DZ44" s="747"/>
      <c r="EA44" s="747"/>
      <c r="EB44" s="747"/>
      <c r="EC44" s="747"/>
      <c r="ED44" s="747"/>
      <c r="EE44" s="747"/>
      <c r="EF44" s="747"/>
      <c r="EG44" s="747"/>
      <c r="EH44" s="747"/>
      <c r="EI44" s="747"/>
      <c r="EJ44" s="747"/>
      <c r="EK44" s="747"/>
      <c r="EL44" s="747"/>
      <c r="EM44" s="747"/>
      <c r="EN44" s="747"/>
      <c r="EO44" s="747"/>
      <c r="EP44" s="747"/>
      <c r="EQ44" s="747"/>
      <c r="ER44" s="747"/>
      <c r="ES44" s="747"/>
      <c r="ET44" s="747"/>
      <c r="EU44" s="747"/>
      <c r="EV44" s="747"/>
      <c r="EW44" s="747"/>
      <c r="EX44" s="747"/>
      <c r="EY44" s="747"/>
      <c r="EZ44" s="747"/>
      <c r="FA44" s="747"/>
      <c r="FB44" s="747"/>
      <c r="FC44" s="747"/>
      <c r="FD44" s="747"/>
      <c r="FE44" s="747"/>
      <c r="FF44" s="747"/>
      <c r="FG44" s="747"/>
      <c r="FH44" s="747"/>
      <c r="FI44" s="747"/>
      <c r="FJ44" s="747"/>
      <c r="FK44" s="747"/>
      <c r="FL44" s="747"/>
      <c r="FM44" s="747"/>
      <c r="FN44" s="747"/>
      <c r="FO44" s="747"/>
      <c r="FP44" s="747"/>
      <c r="FQ44" s="747"/>
      <c r="FR44" s="747"/>
      <c r="FS44" s="747"/>
      <c r="FT44" s="747"/>
      <c r="FU44" s="747"/>
      <c r="FV44" s="747"/>
      <c r="FW44" s="747"/>
      <c r="FX44" s="747"/>
      <c r="FY44" s="747"/>
      <c r="FZ44" s="747"/>
      <c r="GA44" s="747"/>
      <c r="GB44" s="747"/>
      <c r="GC44" s="747"/>
      <c r="GD44" s="747"/>
      <c r="GE44" s="747"/>
      <c r="GF44" s="747"/>
      <c r="GG44" s="747"/>
      <c r="GH44" s="747"/>
      <c r="GI44" s="747"/>
      <c r="GJ44" s="747"/>
    </row>
    <row r="45" spans="1:192" ht="18" customHeight="1">
      <c r="A45" s="758"/>
      <c r="B45" s="813" t="s">
        <v>729</v>
      </c>
      <c r="C45" s="798">
        <f>SUM(D45,I45,N45,S45,X45,AC45,AH45,AM45,AR45,AW45,BB45)</f>
        <v>17491.397481298311</v>
      </c>
      <c r="D45" s="761">
        <f>SUM(E45:H45)</f>
        <v>12927.761450192751</v>
      </c>
      <c r="E45" s="814"/>
      <c r="F45" s="814"/>
      <c r="G45" s="814"/>
      <c r="H45" s="814">
        <f>(支付对价及节点!C12+支付对价及节点!D12-支付对价及节点!I3)+支付对价及节点!E13+支付对价及节点!E12+支付对价及节点!G12+支付对价及节点!G15</f>
        <v>12927.761450192751</v>
      </c>
      <c r="I45" s="761">
        <f>SUM(J45:M45)</f>
        <v>4563.6360311055587</v>
      </c>
      <c r="J45" s="814">
        <f>支付对价及节点!G20+支付对价及节点!G21</f>
        <v>5117.5125474372626</v>
      </c>
      <c r="K45" s="814"/>
      <c r="L45" s="814">
        <f>-支付对价及节点!F28</f>
        <v>-553.87651633170412</v>
      </c>
      <c r="M45" s="814"/>
      <c r="N45" s="761">
        <f>SUM(O45:R45)</f>
        <v>0</v>
      </c>
      <c r="O45" s="814"/>
      <c r="P45" s="814"/>
      <c r="Q45" s="814"/>
      <c r="R45" s="814"/>
      <c r="S45" s="761">
        <f>SUM(T45:W45)</f>
        <v>0</v>
      </c>
      <c r="T45" s="814"/>
      <c r="U45" s="814"/>
      <c r="V45" s="814"/>
      <c r="W45" s="814"/>
      <c r="X45" s="761">
        <f>SUM(Y45:AB45)</f>
        <v>0</v>
      </c>
      <c r="Y45" s="814"/>
      <c r="Z45" s="814"/>
      <c r="AA45" s="814"/>
      <c r="AB45" s="814"/>
      <c r="AC45" s="761">
        <f>SUM(AD45:AG45)</f>
        <v>0</v>
      </c>
      <c r="AD45" s="814"/>
      <c r="AE45" s="814"/>
      <c r="AF45" s="814"/>
      <c r="AG45" s="814"/>
      <c r="AH45" s="761">
        <f>SUM(AI45:AL45)</f>
        <v>0</v>
      </c>
      <c r="AI45" s="814"/>
      <c r="AJ45" s="814"/>
      <c r="AK45" s="814"/>
      <c r="AL45" s="814"/>
      <c r="AM45" s="761">
        <f>SUM(AN45:AQ45)</f>
        <v>0</v>
      </c>
      <c r="AN45" s="814"/>
      <c r="AO45" s="814"/>
      <c r="AP45" s="814"/>
      <c r="AQ45" s="814"/>
      <c r="AR45" s="761">
        <f>SUM(AS45:AV45)</f>
        <v>0</v>
      </c>
      <c r="AS45" s="814"/>
      <c r="AT45" s="814"/>
      <c r="AU45" s="814"/>
      <c r="AV45" s="814"/>
      <c r="AW45" s="761">
        <f>SUM(AX45:BA45)</f>
        <v>0</v>
      </c>
      <c r="AX45" s="814"/>
      <c r="AY45" s="814"/>
      <c r="AZ45" s="814"/>
      <c r="BA45" s="814"/>
      <c r="BB45" s="761">
        <f>SUM(BC45:BF45)</f>
        <v>0</v>
      </c>
      <c r="BC45" s="814"/>
      <c r="BD45" s="814"/>
      <c r="BE45" s="814"/>
      <c r="BF45" s="814"/>
      <c r="BG45" s="747"/>
      <c r="BH45" s="747"/>
      <c r="BI45" s="747"/>
      <c r="BJ45" s="747"/>
      <c r="BK45" s="747"/>
      <c r="BL45" s="747"/>
      <c r="BM45" s="747"/>
      <c r="BN45" s="747"/>
      <c r="BO45" s="747"/>
      <c r="BP45" s="747"/>
      <c r="BQ45" s="747"/>
      <c r="BR45" s="747"/>
      <c r="BS45" s="747"/>
      <c r="BT45" s="747"/>
      <c r="BU45" s="747"/>
      <c r="BV45" s="747"/>
      <c r="BW45" s="747"/>
      <c r="BX45" s="747"/>
      <c r="BY45" s="747"/>
      <c r="BZ45" s="747"/>
      <c r="CA45" s="747"/>
      <c r="CB45" s="747"/>
      <c r="CC45" s="747"/>
      <c r="CD45" s="747"/>
      <c r="CE45" s="747"/>
      <c r="CF45" s="747"/>
      <c r="CG45" s="747"/>
      <c r="CH45" s="747"/>
      <c r="CI45" s="747"/>
      <c r="CJ45" s="747"/>
      <c r="CK45" s="747"/>
      <c r="CL45" s="747"/>
      <c r="CM45" s="747"/>
      <c r="CN45" s="747"/>
      <c r="CO45" s="747"/>
      <c r="CP45" s="747"/>
      <c r="CQ45" s="747"/>
      <c r="CR45" s="747"/>
      <c r="CS45" s="747"/>
      <c r="CT45" s="747"/>
      <c r="CU45" s="747"/>
      <c r="CV45" s="747"/>
      <c r="CW45" s="747"/>
      <c r="CX45" s="747"/>
      <c r="CY45" s="747"/>
      <c r="CZ45" s="747"/>
      <c r="DA45" s="747"/>
      <c r="DB45" s="747"/>
      <c r="DC45" s="747"/>
      <c r="DD45" s="747"/>
      <c r="DE45" s="747"/>
      <c r="DF45" s="747"/>
      <c r="DG45" s="747"/>
      <c r="DH45" s="747"/>
      <c r="DI45" s="747"/>
      <c r="DJ45" s="747"/>
      <c r="DK45" s="747"/>
      <c r="DL45" s="747"/>
      <c r="DM45" s="747"/>
      <c r="DN45" s="747"/>
      <c r="DO45" s="747"/>
      <c r="DP45" s="747"/>
      <c r="DQ45" s="747"/>
      <c r="DR45" s="747"/>
      <c r="DS45" s="747"/>
      <c r="DT45" s="747"/>
      <c r="DU45" s="747"/>
      <c r="DV45" s="747"/>
      <c r="DW45" s="747"/>
      <c r="DX45" s="747"/>
      <c r="DY45" s="747"/>
      <c r="DZ45" s="747"/>
      <c r="EA45" s="747"/>
      <c r="EB45" s="747"/>
      <c r="EC45" s="747"/>
      <c r="ED45" s="747"/>
      <c r="EE45" s="747"/>
      <c r="EF45" s="747"/>
      <c r="EG45" s="747"/>
      <c r="EH45" s="747"/>
      <c r="EI45" s="747"/>
      <c r="EJ45" s="747"/>
      <c r="EK45" s="747"/>
      <c r="EL45" s="747"/>
      <c r="EM45" s="747"/>
      <c r="EN45" s="747"/>
      <c r="EO45" s="747"/>
      <c r="EP45" s="747"/>
      <c r="EQ45" s="747"/>
      <c r="ER45" s="747"/>
      <c r="ES45" s="747"/>
      <c r="ET45" s="747"/>
      <c r="EU45" s="747"/>
      <c r="EV45" s="747"/>
      <c r="EW45" s="747"/>
      <c r="EX45" s="747"/>
      <c r="EY45" s="747"/>
      <c r="EZ45" s="747"/>
      <c r="FA45" s="747"/>
      <c r="FB45" s="747"/>
      <c r="FC45" s="747"/>
      <c r="FD45" s="747"/>
      <c r="FE45" s="747"/>
      <c r="FF45" s="747"/>
      <c r="FG45" s="747"/>
      <c r="FH45" s="747"/>
      <c r="FI45" s="747"/>
      <c r="FJ45" s="747"/>
      <c r="FK45" s="747"/>
      <c r="FL45" s="747"/>
      <c r="FM45" s="747"/>
      <c r="FN45" s="747"/>
      <c r="FO45" s="747"/>
      <c r="FP45" s="747"/>
      <c r="FQ45" s="747"/>
      <c r="FR45" s="747"/>
      <c r="FS45" s="747"/>
      <c r="FT45" s="747"/>
      <c r="FU45" s="747"/>
      <c r="FV45" s="747"/>
      <c r="FW45" s="747"/>
      <c r="FX45" s="747"/>
      <c r="FY45" s="747"/>
      <c r="FZ45" s="747"/>
      <c r="GA45" s="747"/>
      <c r="GB45" s="747"/>
      <c r="GC45" s="747"/>
      <c r="GD45" s="747"/>
      <c r="GE45" s="747"/>
      <c r="GF45" s="747"/>
      <c r="GG45" s="747"/>
      <c r="GH45" s="747"/>
      <c r="GI45" s="747"/>
      <c r="GJ45" s="747"/>
    </row>
    <row r="46" spans="1:192" ht="18" customHeight="1">
      <c r="A46" s="758"/>
      <c r="B46" s="813" t="s">
        <v>730</v>
      </c>
      <c r="C46" s="770">
        <f ca="1">C44-C45</f>
        <v>3240.463902311134</v>
      </c>
      <c r="D46" s="770">
        <f ca="1">D44-D45</f>
        <v>-33442.233565158538</v>
      </c>
      <c r="E46" s="770">
        <f ca="1">E44-E45</f>
        <v>0</v>
      </c>
      <c r="F46" s="770">
        <f t="shared" ref="F46:BF46" ca="1" si="141">F44-F45</f>
        <v>0</v>
      </c>
      <c r="G46" s="770">
        <f t="shared" ca="1" si="141"/>
        <v>-7150</v>
      </c>
      <c r="H46" s="770">
        <f t="shared" ca="1" si="141"/>
        <v>-26292.233565158538</v>
      </c>
      <c r="I46" s="770">
        <f t="shared" ca="1" si="141"/>
        <v>46627.739872996455</v>
      </c>
      <c r="J46" s="770">
        <f t="shared" ca="1" si="141"/>
        <v>2393.6040325627373</v>
      </c>
      <c r="K46" s="770">
        <f t="shared" ca="1" si="141"/>
        <v>33565.464146367631</v>
      </c>
      <c r="L46" s="770">
        <f t="shared" ca="1" si="141"/>
        <v>767.32780495404245</v>
      </c>
      <c r="M46" s="770">
        <f t="shared" ca="1" si="141"/>
        <v>9901.3438891120495</v>
      </c>
      <c r="N46" s="770">
        <f t="shared" ca="1" si="141"/>
        <v>-4306.704724915744</v>
      </c>
      <c r="O46" s="770">
        <f t="shared" ca="1" si="141"/>
        <v>-61.339084970746626</v>
      </c>
      <c r="P46" s="770">
        <f t="shared" ca="1" si="141"/>
        <v>4210.9176763253236</v>
      </c>
      <c r="Q46" s="770">
        <f t="shared" ca="1" si="141"/>
        <v>1614.0481140318147</v>
      </c>
      <c r="R46" s="770">
        <f t="shared" ca="1" si="141"/>
        <v>-10070.33143030214</v>
      </c>
      <c r="S46" s="770">
        <f t="shared" ca="1" si="141"/>
        <v>-4156.1967606110484</v>
      </c>
      <c r="T46" s="770">
        <f t="shared" ca="1" si="141"/>
        <v>-1401.2333006110475</v>
      </c>
      <c r="U46" s="770">
        <f t="shared" ca="1" si="141"/>
        <v>-1567.2858800000001</v>
      </c>
      <c r="V46" s="770">
        <f t="shared" ca="1" si="141"/>
        <v>-1187.6775800000003</v>
      </c>
      <c r="W46" s="770">
        <f t="shared" ca="1" si="141"/>
        <v>0</v>
      </c>
      <c r="X46" s="770">
        <f t="shared" ca="1" si="141"/>
        <v>-1482.1409200000001</v>
      </c>
      <c r="Y46" s="770">
        <f t="shared" ca="1" si="141"/>
        <v>0</v>
      </c>
      <c r="Z46" s="770">
        <f t="shared" ca="1" si="141"/>
        <v>0</v>
      </c>
      <c r="AA46" s="770">
        <f t="shared" ca="1" si="141"/>
        <v>-592.85636800000009</v>
      </c>
      <c r="AB46" s="770">
        <f t="shared" ca="1" si="141"/>
        <v>-889.28455199999996</v>
      </c>
      <c r="AC46" s="770">
        <f t="shared" ca="1" si="141"/>
        <v>0</v>
      </c>
      <c r="AD46" s="770">
        <f t="shared" ca="1" si="141"/>
        <v>0</v>
      </c>
      <c r="AE46" s="770">
        <f t="shared" ca="1" si="141"/>
        <v>0</v>
      </c>
      <c r="AF46" s="770">
        <f t="shared" ca="1" si="141"/>
        <v>0</v>
      </c>
      <c r="AG46" s="770">
        <f t="shared" ca="1" si="141"/>
        <v>0</v>
      </c>
      <c r="AH46" s="770">
        <f t="shared" ca="1" si="141"/>
        <v>0</v>
      </c>
      <c r="AI46" s="770">
        <f t="shared" ca="1" si="141"/>
        <v>0</v>
      </c>
      <c r="AJ46" s="770">
        <f t="shared" ca="1" si="141"/>
        <v>0</v>
      </c>
      <c r="AK46" s="770">
        <f t="shared" ca="1" si="141"/>
        <v>0</v>
      </c>
      <c r="AL46" s="770">
        <f t="shared" ca="1" si="141"/>
        <v>0</v>
      </c>
      <c r="AM46" s="770">
        <f t="shared" ca="1" si="141"/>
        <v>0</v>
      </c>
      <c r="AN46" s="770">
        <f t="shared" ca="1" si="141"/>
        <v>0</v>
      </c>
      <c r="AO46" s="770">
        <f t="shared" ca="1" si="141"/>
        <v>0</v>
      </c>
      <c r="AP46" s="770">
        <f t="shared" ca="1" si="141"/>
        <v>0</v>
      </c>
      <c r="AQ46" s="770">
        <f t="shared" ca="1" si="141"/>
        <v>0</v>
      </c>
      <c r="AR46" s="770">
        <f t="shared" ca="1" si="141"/>
        <v>0</v>
      </c>
      <c r="AS46" s="770">
        <f t="shared" ca="1" si="141"/>
        <v>0</v>
      </c>
      <c r="AT46" s="770">
        <f t="shared" ca="1" si="141"/>
        <v>0</v>
      </c>
      <c r="AU46" s="770">
        <f t="shared" ca="1" si="141"/>
        <v>0</v>
      </c>
      <c r="AV46" s="770">
        <f t="shared" ca="1" si="141"/>
        <v>0</v>
      </c>
      <c r="AW46" s="770">
        <f t="shared" ca="1" si="141"/>
        <v>0</v>
      </c>
      <c r="AX46" s="770">
        <f t="shared" ca="1" si="141"/>
        <v>0</v>
      </c>
      <c r="AY46" s="770">
        <f t="shared" ca="1" si="141"/>
        <v>0</v>
      </c>
      <c r="AZ46" s="770">
        <f t="shared" ca="1" si="141"/>
        <v>0</v>
      </c>
      <c r="BA46" s="770">
        <f t="shared" ca="1" si="141"/>
        <v>0</v>
      </c>
      <c r="BB46" s="770">
        <f t="shared" ca="1" si="141"/>
        <v>0</v>
      </c>
      <c r="BC46" s="770">
        <f t="shared" ca="1" si="141"/>
        <v>0</v>
      </c>
      <c r="BD46" s="770">
        <f t="shared" ca="1" si="141"/>
        <v>0</v>
      </c>
      <c r="BE46" s="770">
        <f t="shared" ca="1" si="141"/>
        <v>0</v>
      </c>
      <c r="BF46" s="770">
        <f t="shared" ca="1" si="141"/>
        <v>0</v>
      </c>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row>
    <row r="47" spans="1:192" ht="18" customHeight="1">
      <c r="A47" s="758"/>
      <c r="B47" s="693" t="s">
        <v>731</v>
      </c>
      <c r="C47" s="687">
        <f>BF47</f>
        <v>0</v>
      </c>
      <c r="D47" s="698"/>
      <c r="E47" s="696">
        <f>E48-E49</f>
        <v>0</v>
      </c>
      <c r="F47" s="696">
        <f>E47+F48-F49</f>
        <v>0</v>
      </c>
      <c r="G47" s="696">
        <f>F47+G48-G49</f>
        <v>7300</v>
      </c>
      <c r="H47" s="696">
        <f>G47+H48-H49</f>
        <v>9300</v>
      </c>
      <c r="I47" s="698"/>
      <c r="J47" s="696">
        <f>H47+J48-J49</f>
        <v>7900</v>
      </c>
      <c r="K47" s="696">
        <f>J47+K48-K49</f>
        <v>0</v>
      </c>
      <c r="L47" s="696">
        <f t="shared" ref="L47:M47" si="142">K47+L48-L49</f>
        <v>0</v>
      </c>
      <c r="M47" s="696">
        <f t="shared" si="142"/>
        <v>0</v>
      </c>
      <c r="N47" s="698"/>
      <c r="O47" s="697">
        <f>M47+O48-O49</f>
        <v>0</v>
      </c>
      <c r="P47" s="697">
        <f>O47+P48-P49</f>
        <v>0</v>
      </c>
      <c r="Q47" s="697">
        <f t="shared" ref="Q47:R47" si="143">P47+Q48-Q49</f>
        <v>0</v>
      </c>
      <c r="R47" s="697">
        <f t="shared" si="143"/>
        <v>0</v>
      </c>
      <c r="S47" s="698"/>
      <c r="T47" s="697">
        <f>R47+T48-T49</f>
        <v>0</v>
      </c>
      <c r="U47" s="727">
        <f>T47+U48-U49</f>
        <v>0</v>
      </c>
      <c r="V47" s="727">
        <f t="shared" ref="V47:W47" si="144">U47+V48-V49</f>
        <v>0</v>
      </c>
      <c r="W47" s="727">
        <f t="shared" si="144"/>
        <v>0</v>
      </c>
      <c r="X47" s="698"/>
      <c r="Y47" s="727">
        <f>W47+Y48-Y49</f>
        <v>0</v>
      </c>
      <c r="Z47" s="696">
        <f>Y47+Z48-Z49</f>
        <v>0</v>
      </c>
      <c r="AA47" s="696">
        <f t="shared" ref="AA47:AB47" si="145">Z47+AA48-AA49</f>
        <v>0</v>
      </c>
      <c r="AB47" s="696">
        <f t="shared" si="145"/>
        <v>0</v>
      </c>
      <c r="AC47" s="698"/>
      <c r="AD47" s="696">
        <f>AB47+AD48-AD49</f>
        <v>0</v>
      </c>
      <c r="AE47" s="697">
        <f>AD47+AE48-AE49</f>
        <v>0</v>
      </c>
      <c r="AF47" s="697">
        <f t="shared" ref="AF47:AG47" si="146">AE47+AF48-AF49</f>
        <v>0</v>
      </c>
      <c r="AG47" s="697">
        <f t="shared" si="146"/>
        <v>0</v>
      </c>
      <c r="AH47" s="698"/>
      <c r="AI47" s="697">
        <f>AG47+AI48-AI49</f>
        <v>0</v>
      </c>
      <c r="AJ47" s="697">
        <f>AI47+AJ48-AJ49</f>
        <v>0</v>
      </c>
      <c r="AK47" s="697">
        <f t="shared" ref="AK47:AL47" si="147">AJ47+AK48-AK49</f>
        <v>0</v>
      </c>
      <c r="AL47" s="697">
        <f t="shared" si="147"/>
        <v>0</v>
      </c>
      <c r="AM47" s="698"/>
      <c r="AN47" s="697">
        <f>AL47+AN48-AN49</f>
        <v>0</v>
      </c>
      <c r="AO47" s="727">
        <f>AN47+AO48-AO49</f>
        <v>0</v>
      </c>
      <c r="AP47" s="727">
        <f t="shared" ref="AP47:AQ47" si="148">AO47+AP48-AP49</f>
        <v>0</v>
      </c>
      <c r="AQ47" s="727">
        <f t="shared" si="148"/>
        <v>0</v>
      </c>
      <c r="AR47" s="698"/>
      <c r="AS47" s="727">
        <f>AQ47+AS48-AS49</f>
        <v>0</v>
      </c>
      <c r="AT47" s="696">
        <f>AS47+AT48-AT49</f>
        <v>0</v>
      </c>
      <c r="AU47" s="696">
        <f t="shared" ref="AU47:AV47" si="149">AT47+AU48-AU49</f>
        <v>0</v>
      </c>
      <c r="AV47" s="696">
        <f t="shared" si="149"/>
        <v>0</v>
      </c>
      <c r="AW47" s="698"/>
      <c r="AX47" s="838">
        <f>AV47+AX48-AX49</f>
        <v>0</v>
      </c>
      <c r="AY47" s="838">
        <f>AX47+AY48-AY49</f>
        <v>0</v>
      </c>
      <c r="AZ47" s="838">
        <f t="shared" ref="AZ47:BA47" si="150">AY47+AZ48-AZ49</f>
        <v>0</v>
      </c>
      <c r="BA47" s="838">
        <f t="shared" si="150"/>
        <v>0</v>
      </c>
      <c r="BB47" s="698"/>
      <c r="BC47" s="838">
        <f>BA47+BC48-BC49</f>
        <v>0</v>
      </c>
      <c r="BD47" s="838">
        <f>BC47+BD48-BD49</f>
        <v>0</v>
      </c>
      <c r="BE47" s="838">
        <f t="shared" ref="BE47:BF47" si="151">BD47+BE48-BE49</f>
        <v>0</v>
      </c>
      <c r="BF47" s="838">
        <f t="shared" si="151"/>
        <v>0</v>
      </c>
      <c r="BG47" s="747"/>
      <c r="BH47" s="747"/>
      <c r="BI47" s="747"/>
      <c r="BJ47" s="747"/>
      <c r="BK47" s="747"/>
      <c r="BL47" s="747"/>
      <c r="BM47" s="747"/>
      <c r="BN47" s="747"/>
      <c r="BO47" s="747"/>
      <c r="BP47" s="747"/>
      <c r="BQ47" s="747"/>
      <c r="BR47" s="747"/>
      <c r="BS47" s="747"/>
      <c r="BT47" s="747"/>
      <c r="BU47" s="747"/>
      <c r="BV47" s="747"/>
      <c r="BW47" s="747"/>
      <c r="BX47" s="747"/>
      <c r="BY47" s="747"/>
      <c r="BZ47" s="747"/>
      <c r="CA47" s="747"/>
      <c r="CB47" s="747"/>
      <c r="CC47" s="747"/>
      <c r="CD47" s="747"/>
      <c r="CE47" s="747"/>
      <c r="CF47" s="747"/>
      <c r="CG47" s="747"/>
      <c r="CH47" s="747"/>
      <c r="CI47" s="747"/>
      <c r="CJ47" s="747"/>
      <c r="CK47" s="747"/>
      <c r="CL47" s="747"/>
      <c r="CM47" s="747"/>
      <c r="CN47" s="747"/>
      <c r="CO47" s="747"/>
      <c r="CP47" s="747"/>
      <c r="CQ47" s="747"/>
      <c r="CR47" s="747"/>
      <c r="CS47" s="747"/>
      <c r="CT47" s="747"/>
      <c r="CU47" s="747"/>
      <c r="CV47" s="747"/>
      <c r="CW47" s="747"/>
      <c r="CX47" s="747"/>
      <c r="CY47" s="747"/>
      <c r="CZ47" s="747"/>
      <c r="DA47" s="747"/>
      <c r="DB47" s="747"/>
      <c r="DC47" s="747"/>
      <c r="DD47" s="747"/>
      <c r="DE47" s="747"/>
      <c r="DF47" s="747"/>
      <c r="DG47" s="747"/>
      <c r="DH47" s="747"/>
      <c r="DI47" s="747"/>
      <c r="DJ47" s="747"/>
      <c r="DK47" s="747"/>
      <c r="DL47" s="747"/>
      <c r="DM47" s="747"/>
      <c r="DN47" s="747"/>
      <c r="DO47" s="747"/>
      <c r="DP47" s="747"/>
      <c r="DQ47" s="747"/>
      <c r="DR47" s="747"/>
      <c r="DS47" s="747"/>
      <c r="DT47" s="747"/>
      <c r="DU47" s="747"/>
      <c r="DV47" s="747"/>
      <c r="DW47" s="747"/>
      <c r="DX47" s="747"/>
      <c r="DY47" s="747"/>
      <c r="DZ47" s="747"/>
      <c r="EA47" s="747"/>
      <c r="EB47" s="747"/>
      <c r="EC47" s="747"/>
      <c r="ED47" s="747"/>
      <c r="EE47" s="747"/>
      <c r="EF47" s="747"/>
      <c r="EG47" s="747"/>
      <c r="EH47" s="747"/>
      <c r="EI47" s="747"/>
      <c r="EJ47" s="747"/>
      <c r="EK47" s="747"/>
      <c r="EL47" s="747"/>
      <c r="EM47" s="747"/>
      <c r="EN47" s="747"/>
      <c r="EO47" s="747"/>
      <c r="EP47" s="747"/>
      <c r="EQ47" s="747"/>
      <c r="ER47" s="747"/>
      <c r="ES47" s="747"/>
      <c r="ET47" s="747"/>
      <c r="EU47" s="747"/>
      <c r="EV47" s="747"/>
      <c r="EW47" s="747"/>
      <c r="EX47" s="747"/>
      <c r="EY47" s="747"/>
      <c r="EZ47" s="747"/>
      <c r="FA47" s="747"/>
      <c r="FB47" s="747"/>
      <c r="FC47" s="747"/>
      <c r="FD47" s="747"/>
      <c r="FE47" s="747"/>
      <c r="FF47" s="747"/>
      <c r="FG47" s="747"/>
      <c r="FH47" s="747"/>
      <c r="FI47" s="747"/>
      <c r="FJ47" s="747"/>
      <c r="FK47" s="747"/>
      <c r="FL47" s="747"/>
      <c r="FM47" s="747"/>
      <c r="FN47" s="747"/>
      <c r="FO47" s="747"/>
      <c r="FP47" s="747"/>
      <c r="FQ47" s="747"/>
      <c r="FR47" s="747"/>
      <c r="FS47" s="747"/>
      <c r="FT47" s="747"/>
      <c r="FU47" s="747"/>
      <c r="FV47" s="747"/>
      <c r="FW47" s="747"/>
      <c r="FX47" s="747"/>
      <c r="FY47" s="747"/>
      <c r="FZ47" s="747"/>
      <c r="GA47" s="747"/>
      <c r="GB47" s="747"/>
      <c r="GC47" s="747"/>
      <c r="GD47" s="747"/>
      <c r="GE47" s="747"/>
      <c r="GF47" s="747"/>
      <c r="GG47" s="747"/>
      <c r="GH47" s="747"/>
      <c r="GI47" s="747"/>
      <c r="GJ47" s="747"/>
    </row>
    <row r="48" spans="1:192" ht="18" customHeight="1">
      <c r="A48" s="758"/>
      <c r="B48" s="700" t="s">
        <v>732</v>
      </c>
      <c r="C48" s="687">
        <f>SUM(E48:BF48)</f>
        <v>9300</v>
      </c>
      <c r="D48" s="815">
        <v>0.12</v>
      </c>
      <c r="E48" s="703"/>
      <c r="F48" s="703"/>
      <c r="G48" s="704">
        <v>7300</v>
      </c>
      <c r="H48" s="704">
        <v>2000</v>
      </c>
      <c r="I48" s="698"/>
      <c r="J48" s="703"/>
      <c r="K48" s="704"/>
      <c r="L48" s="704"/>
      <c r="M48" s="728"/>
      <c r="N48" s="698"/>
      <c r="O48" s="704"/>
      <c r="P48" s="704"/>
      <c r="Q48" s="728"/>
      <c r="R48" s="703"/>
      <c r="S48" s="698"/>
      <c r="T48" s="704"/>
      <c r="U48" s="728"/>
      <c r="V48" s="703"/>
      <c r="W48" s="704"/>
      <c r="X48" s="698"/>
      <c r="Y48" s="728"/>
      <c r="Z48" s="703"/>
      <c r="AA48" s="704"/>
      <c r="AB48" s="704"/>
      <c r="AC48" s="698"/>
      <c r="AD48" s="703"/>
      <c r="AE48" s="704"/>
      <c r="AF48" s="704"/>
      <c r="AG48" s="728"/>
      <c r="AH48" s="698"/>
      <c r="AI48" s="704"/>
      <c r="AJ48" s="704"/>
      <c r="AK48" s="728"/>
      <c r="AL48" s="703"/>
      <c r="AM48" s="698"/>
      <c r="AN48" s="704"/>
      <c r="AO48" s="728"/>
      <c r="AP48" s="703"/>
      <c r="AQ48" s="704"/>
      <c r="AR48" s="698"/>
      <c r="AS48" s="728"/>
      <c r="AT48" s="703"/>
      <c r="AU48" s="704"/>
      <c r="AV48" s="704"/>
      <c r="AW48" s="698"/>
      <c r="AX48" s="704"/>
      <c r="AY48" s="704"/>
      <c r="AZ48" s="704"/>
      <c r="BA48" s="704"/>
      <c r="BB48" s="698"/>
      <c r="BC48" s="704"/>
      <c r="BD48" s="704"/>
      <c r="BE48" s="704"/>
      <c r="BF48" s="704"/>
      <c r="BG48" s="747"/>
      <c r="BH48" s="747"/>
      <c r="BI48" s="747"/>
      <c r="BJ48" s="747"/>
      <c r="BK48" s="747"/>
      <c r="BL48" s="747"/>
      <c r="BM48" s="747"/>
      <c r="BN48" s="747"/>
      <c r="BO48" s="747"/>
      <c r="BP48" s="747"/>
      <c r="BQ48" s="747"/>
      <c r="BR48" s="747"/>
      <c r="BS48" s="747"/>
      <c r="BT48" s="747"/>
      <c r="BU48" s="747"/>
      <c r="BV48" s="747"/>
      <c r="BW48" s="747"/>
      <c r="BX48" s="747"/>
      <c r="BY48" s="747"/>
      <c r="BZ48" s="747"/>
      <c r="CA48" s="747"/>
      <c r="CB48" s="747"/>
      <c r="CC48" s="747"/>
      <c r="CD48" s="747"/>
      <c r="CE48" s="747"/>
      <c r="CF48" s="747"/>
      <c r="CG48" s="747"/>
      <c r="CH48" s="747"/>
      <c r="CI48" s="747"/>
      <c r="CJ48" s="747"/>
      <c r="CK48" s="747"/>
      <c r="CL48" s="747"/>
      <c r="CM48" s="747"/>
      <c r="CN48" s="747"/>
      <c r="CO48" s="747"/>
      <c r="CP48" s="747"/>
      <c r="CQ48" s="747"/>
      <c r="CR48" s="747"/>
      <c r="CS48" s="747"/>
      <c r="CT48" s="747"/>
      <c r="CU48" s="747"/>
      <c r="CV48" s="747"/>
      <c r="CW48" s="747"/>
      <c r="CX48" s="747"/>
      <c r="CY48" s="747"/>
      <c r="CZ48" s="747"/>
      <c r="DA48" s="747"/>
      <c r="DB48" s="747"/>
      <c r="DC48" s="747"/>
      <c r="DD48" s="747"/>
      <c r="DE48" s="747"/>
      <c r="DF48" s="747"/>
      <c r="DG48" s="747"/>
      <c r="DH48" s="747"/>
      <c r="DI48" s="747"/>
      <c r="DJ48" s="747"/>
      <c r="DK48" s="747"/>
      <c r="DL48" s="747"/>
      <c r="DM48" s="747"/>
      <c r="DN48" s="747"/>
      <c r="DO48" s="747"/>
      <c r="DP48" s="747"/>
      <c r="DQ48" s="747"/>
      <c r="DR48" s="747"/>
      <c r="DS48" s="747"/>
      <c r="DT48" s="747"/>
      <c r="DU48" s="747"/>
      <c r="DV48" s="747"/>
      <c r="DW48" s="747"/>
      <c r="DX48" s="747"/>
      <c r="DY48" s="747"/>
      <c r="DZ48" s="747"/>
      <c r="EA48" s="747"/>
      <c r="EB48" s="747"/>
      <c r="EC48" s="747"/>
      <c r="ED48" s="747"/>
      <c r="EE48" s="747"/>
      <c r="EF48" s="747"/>
      <c r="EG48" s="747"/>
      <c r="EH48" s="747"/>
      <c r="EI48" s="747"/>
      <c r="EJ48" s="747"/>
      <c r="EK48" s="747"/>
      <c r="EL48" s="747"/>
      <c r="EM48" s="747"/>
      <c r="EN48" s="747"/>
      <c r="EO48" s="747"/>
      <c r="EP48" s="747"/>
      <c r="EQ48" s="747"/>
      <c r="ER48" s="747"/>
      <c r="ES48" s="747"/>
      <c r="ET48" s="747"/>
      <c r="EU48" s="747"/>
      <c r="EV48" s="747"/>
      <c r="EW48" s="747"/>
      <c r="EX48" s="747"/>
      <c r="EY48" s="747"/>
      <c r="EZ48" s="747"/>
      <c r="FA48" s="747"/>
      <c r="FB48" s="747"/>
      <c r="FC48" s="747"/>
      <c r="FD48" s="747"/>
      <c r="FE48" s="747"/>
      <c r="FF48" s="747"/>
      <c r="FG48" s="747"/>
      <c r="FH48" s="747"/>
      <c r="FI48" s="747"/>
      <c r="FJ48" s="747"/>
      <c r="FK48" s="747"/>
      <c r="FL48" s="747"/>
      <c r="FM48" s="747"/>
      <c r="FN48" s="747"/>
      <c r="FO48" s="747"/>
      <c r="FP48" s="747"/>
      <c r="FQ48" s="747"/>
      <c r="FR48" s="747"/>
      <c r="FS48" s="747"/>
      <c r="FT48" s="747"/>
      <c r="FU48" s="747"/>
      <c r="FV48" s="747"/>
      <c r="FW48" s="747"/>
      <c r="FX48" s="747"/>
      <c r="FY48" s="747"/>
      <c r="FZ48" s="747"/>
      <c r="GA48" s="747"/>
      <c r="GB48" s="747"/>
      <c r="GC48" s="747"/>
      <c r="GD48" s="747"/>
      <c r="GE48" s="747"/>
      <c r="GF48" s="747"/>
      <c r="GG48" s="747"/>
      <c r="GH48" s="747"/>
      <c r="GI48" s="747"/>
      <c r="GJ48" s="747"/>
    </row>
    <row r="49" spans="1:202" ht="18" customHeight="1">
      <c r="A49" s="758"/>
      <c r="B49" s="700" t="s">
        <v>733</v>
      </c>
      <c r="C49" s="687">
        <f>SUM(E49:BF49)</f>
        <v>9300</v>
      </c>
      <c r="D49" s="698"/>
      <c r="E49" s="703"/>
      <c r="F49" s="703"/>
      <c r="G49" s="704"/>
      <c r="H49" s="704"/>
      <c r="I49" s="698"/>
      <c r="J49" s="703">
        <f>1400</f>
        <v>1400</v>
      </c>
      <c r="K49" s="704">
        <v>7900</v>
      </c>
      <c r="L49" s="704"/>
      <c r="M49" s="728"/>
      <c r="N49" s="698"/>
      <c r="O49" s="704"/>
      <c r="P49" s="704"/>
      <c r="Q49" s="728"/>
      <c r="R49" s="703"/>
      <c r="S49" s="698"/>
      <c r="T49" s="704"/>
      <c r="U49" s="728"/>
      <c r="V49" s="703"/>
      <c r="W49" s="704"/>
      <c r="X49" s="698"/>
      <c r="Y49" s="728"/>
      <c r="Z49" s="703"/>
      <c r="AA49" s="704"/>
      <c r="AB49" s="704"/>
      <c r="AC49" s="698"/>
      <c r="AD49" s="703"/>
      <c r="AE49" s="704"/>
      <c r="AF49" s="704"/>
      <c r="AG49" s="728"/>
      <c r="AH49" s="698"/>
      <c r="AI49" s="704"/>
      <c r="AJ49" s="704"/>
      <c r="AK49" s="728"/>
      <c r="AL49" s="703"/>
      <c r="AM49" s="698"/>
      <c r="AN49" s="704"/>
      <c r="AO49" s="728"/>
      <c r="AP49" s="703"/>
      <c r="AQ49" s="704"/>
      <c r="AR49" s="698"/>
      <c r="AS49" s="728"/>
      <c r="AT49" s="703"/>
      <c r="AU49" s="704"/>
      <c r="AV49" s="704"/>
      <c r="AW49" s="698"/>
      <c r="AX49" s="704"/>
      <c r="AY49" s="704"/>
      <c r="AZ49" s="704"/>
      <c r="BA49" s="704"/>
      <c r="BB49" s="698"/>
      <c r="BC49" s="704"/>
      <c r="BD49" s="704"/>
      <c r="BE49" s="704"/>
      <c r="BF49" s="704"/>
      <c r="BG49" s="747"/>
      <c r="BH49" s="747"/>
      <c r="BI49" s="747"/>
      <c r="BJ49" s="747"/>
      <c r="BK49" s="747"/>
      <c r="BL49" s="747"/>
      <c r="BM49" s="747"/>
      <c r="BN49" s="747"/>
      <c r="BO49" s="747"/>
      <c r="BP49" s="747"/>
      <c r="BQ49" s="747"/>
      <c r="BR49" s="747"/>
      <c r="BS49" s="747"/>
      <c r="BT49" s="747"/>
      <c r="BU49" s="747"/>
      <c r="BV49" s="747"/>
      <c r="BW49" s="747"/>
      <c r="BX49" s="747"/>
      <c r="BY49" s="747"/>
      <c r="BZ49" s="747"/>
      <c r="CA49" s="747"/>
      <c r="CB49" s="747"/>
      <c r="CC49" s="747"/>
      <c r="CD49" s="747"/>
      <c r="CE49" s="747"/>
      <c r="CF49" s="747"/>
      <c r="CG49" s="747"/>
      <c r="CH49" s="747"/>
      <c r="CI49" s="747"/>
      <c r="CJ49" s="747"/>
      <c r="CK49" s="747"/>
      <c r="CL49" s="747"/>
      <c r="CM49" s="747"/>
      <c r="CN49" s="747"/>
      <c r="CO49" s="747"/>
      <c r="CP49" s="747"/>
      <c r="CQ49" s="747"/>
      <c r="CR49" s="747"/>
      <c r="CS49" s="747"/>
      <c r="CT49" s="747"/>
      <c r="CU49" s="747"/>
      <c r="CV49" s="747"/>
      <c r="CW49" s="747"/>
      <c r="CX49" s="747"/>
      <c r="CY49" s="747"/>
      <c r="CZ49" s="747"/>
      <c r="DA49" s="747"/>
      <c r="DB49" s="747"/>
      <c r="DC49" s="747"/>
      <c r="DD49" s="747"/>
      <c r="DE49" s="747"/>
      <c r="DF49" s="747"/>
      <c r="DG49" s="747"/>
      <c r="DH49" s="747"/>
      <c r="DI49" s="747"/>
      <c r="DJ49" s="747"/>
      <c r="DK49" s="747"/>
      <c r="DL49" s="747"/>
      <c r="DM49" s="747"/>
      <c r="DN49" s="747"/>
      <c r="DO49" s="747"/>
      <c r="DP49" s="747"/>
      <c r="DQ49" s="747"/>
      <c r="DR49" s="747"/>
      <c r="DS49" s="747"/>
      <c r="DT49" s="747"/>
      <c r="DU49" s="747"/>
      <c r="DV49" s="747"/>
      <c r="DW49" s="747"/>
      <c r="DX49" s="747"/>
      <c r="DY49" s="747"/>
      <c r="DZ49" s="747"/>
      <c r="EA49" s="747"/>
      <c r="EB49" s="747"/>
      <c r="EC49" s="747"/>
      <c r="ED49" s="747"/>
      <c r="EE49" s="747"/>
      <c r="EF49" s="747"/>
      <c r="EG49" s="747"/>
      <c r="EH49" s="747"/>
      <c r="EI49" s="747"/>
      <c r="EJ49" s="747"/>
      <c r="EK49" s="747"/>
      <c r="EL49" s="747"/>
      <c r="EM49" s="747"/>
      <c r="EN49" s="747"/>
      <c r="EO49" s="747"/>
      <c r="EP49" s="747"/>
      <c r="EQ49" s="747"/>
      <c r="ER49" s="747"/>
      <c r="ES49" s="747"/>
      <c r="ET49" s="747"/>
      <c r="EU49" s="747"/>
      <c r="EV49" s="747"/>
      <c r="EW49" s="747"/>
      <c r="EX49" s="747"/>
      <c r="EY49" s="747"/>
      <c r="EZ49" s="747"/>
      <c r="FA49" s="747"/>
      <c r="FB49" s="747"/>
      <c r="FC49" s="747"/>
      <c r="FD49" s="747"/>
      <c r="FE49" s="747"/>
      <c r="FF49" s="747"/>
      <c r="FG49" s="747"/>
      <c r="FH49" s="747"/>
      <c r="FI49" s="747"/>
      <c r="FJ49" s="747"/>
      <c r="FK49" s="747"/>
      <c r="FL49" s="747"/>
      <c r="FM49" s="747"/>
      <c r="FN49" s="747"/>
      <c r="FO49" s="747"/>
      <c r="FP49" s="747"/>
      <c r="FQ49" s="747"/>
      <c r="FR49" s="747"/>
      <c r="FS49" s="747"/>
      <c r="FT49" s="747"/>
      <c r="FU49" s="747"/>
      <c r="FV49" s="747"/>
      <c r="FW49" s="747"/>
      <c r="FX49" s="747"/>
      <c r="FY49" s="747"/>
      <c r="FZ49" s="747"/>
      <c r="GA49" s="747"/>
      <c r="GB49" s="747"/>
      <c r="GC49" s="747"/>
      <c r="GD49" s="747"/>
      <c r="GE49" s="747"/>
      <c r="GF49" s="747"/>
      <c r="GG49" s="747"/>
      <c r="GH49" s="747"/>
      <c r="GI49" s="747"/>
      <c r="GJ49" s="747"/>
    </row>
    <row r="50" spans="1:202" ht="18" customHeight="1">
      <c r="A50" s="758"/>
      <c r="B50" s="693" t="s">
        <v>734</v>
      </c>
      <c r="C50" s="687">
        <f>BF50</f>
        <v>0</v>
      </c>
      <c r="D50" s="698"/>
      <c r="E50" s="696">
        <f>E51-E52</f>
        <v>0</v>
      </c>
      <c r="F50" s="696">
        <f>E50+F51-F52</f>
        <v>0</v>
      </c>
      <c r="G50" s="696">
        <f>F50+G51-G52</f>
        <v>0</v>
      </c>
      <c r="H50" s="696">
        <f>G50+H51-H52</f>
        <v>25000</v>
      </c>
      <c r="I50" s="698"/>
      <c r="J50" s="696">
        <f>H50+J51-J52</f>
        <v>25000</v>
      </c>
      <c r="K50" s="696">
        <f>J50+K51-K52</f>
        <v>0</v>
      </c>
      <c r="L50" s="696">
        <f>K50+L51-L52</f>
        <v>0</v>
      </c>
      <c r="M50" s="696">
        <f>L50+M51-M52</f>
        <v>0</v>
      </c>
      <c r="N50" s="698"/>
      <c r="O50" s="697">
        <f>M50+O51-O52</f>
        <v>0</v>
      </c>
      <c r="P50" s="697">
        <f>O50+P51-P52</f>
        <v>0</v>
      </c>
      <c r="Q50" s="697">
        <f t="shared" ref="Q50:R50" si="152">P50+Q51-Q52</f>
        <v>0</v>
      </c>
      <c r="R50" s="697">
        <f t="shared" si="152"/>
        <v>0</v>
      </c>
      <c r="S50" s="698"/>
      <c r="T50" s="697">
        <f>R50+T51-T52</f>
        <v>0</v>
      </c>
      <c r="U50" s="727">
        <f>T50+U51-U52</f>
        <v>0</v>
      </c>
      <c r="V50" s="727">
        <f t="shared" ref="V50:W50" si="153">U50+V51-V52</f>
        <v>0</v>
      </c>
      <c r="W50" s="727">
        <f t="shared" si="153"/>
        <v>0</v>
      </c>
      <c r="X50" s="698"/>
      <c r="Y50" s="727">
        <f>W50+Y51-Y52</f>
        <v>0</v>
      </c>
      <c r="Z50" s="696">
        <f>Y50+Z51-Z52</f>
        <v>0</v>
      </c>
      <c r="AA50" s="696">
        <f t="shared" ref="AA50:AB50" si="154">Z50+AA51-AA52</f>
        <v>0</v>
      </c>
      <c r="AB50" s="696">
        <f t="shared" si="154"/>
        <v>0</v>
      </c>
      <c r="AC50" s="698"/>
      <c r="AD50" s="696">
        <f>AB50+AD51-AD52</f>
        <v>0</v>
      </c>
      <c r="AE50" s="697">
        <f>AD50+AE51-AE52</f>
        <v>0</v>
      </c>
      <c r="AF50" s="697">
        <f t="shared" ref="AF50:AG50" si="155">AE50+AF51-AF52</f>
        <v>0</v>
      </c>
      <c r="AG50" s="697">
        <f t="shared" si="155"/>
        <v>0</v>
      </c>
      <c r="AH50" s="698"/>
      <c r="AI50" s="697">
        <f>AG50+AI51-AI52</f>
        <v>0</v>
      </c>
      <c r="AJ50" s="697">
        <f>AI50+AJ51-AJ52</f>
        <v>0</v>
      </c>
      <c r="AK50" s="697">
        <f t="shared" ref="AK50:AL50" si="156">AJ50+AK51-AK52</f>
        <v>0</v>
      </c>
      <c r="AL50" s="697">
        <f t="shared" si="156"/>
        <v>0</v>
      </c>
      <c r="AM50" s="698"/>
      <c r="AN50" s="697">
        <f>AL50+AN51-AN52</f>
        <v>0</v>
      </c>
      <c r="AO50" s="727">
        <f>AN50+AO51-AO52</f>
        <v>0</v>
      </c>
      <c r="AP50" s="727">
        <f t="shared" ref="AP50:AQ50" si="157">AO50+AP51-AP52</f>
        <v>0</v>
      </c>
      <c r="AQ50" s="727">
        <f t="shared" si="157"/>
        <v>0</v>
      </c>
      <c r="AR50" s="698"/>
      <c r="AS50" s="727">
        <f>AQ50+AS51-AS52</f>
        <v>0</v>
      </c>
      <c r="AT50" s="696">
        <f>AS50+AT51-AT52</f>
        <v>0</v>
      </c>
      <c r="AU50" s="696">
        <f t="shared" ref="AU50:AV50" si="158">AT50+AU51-AU52</f>
        <v>0</v>
      </c>
      <c r="AV50" s="696">
        <f t="shared" si="158"/>
        <v>0</v>
      </c>
      <c r="AW50" s="698"/>
      <c r="AX50" s="838">
        <f>AV50+AX51-AX52</f>
        <v>0</v>
      </c>
      <c r="AY50" s="838">
        <f>AX50+AY51-AY52</f>
        <v>0</v>
      </c>
      <c r="AZ50" s="838">
        <f t="shared" ref="AZ50:BA50" si="159">AY50+AZ51-AZ52</f>
        <v>0</v>
      </c>
      <c r="BA50" s="838">
        <f t="shared" si="159"/>
        <v>0</v>
      </c>
      <c r="BB50" s="698"/>
      <c r="BC50" s="838">
        <f>BA50+BC51-BC52</f>
        <v>0</v>
      </c>
      <c r="BD50" s="838">
        <f>BC50+BD51-BD52</f>
        <v>0</v>
      </c>
      <c r="BE50" s="838">
        <f t="shared" ref="BE50:BF50" si="160">BD50+BE51-BE52</f>
        <v>0</v>
      </c>
      <c r="BF50" s="838">
        <f t="shared" si="160"/>
        <v>0</v>
      </c>
      <c r="BG50" s="747"/>
      <c r="BH50" s="747"/>
      <c r="BI50" s="747"/>
      <c r="BJ50" s="747"/>
      <c r="BK50" s="747"/>
      <c r="BL50" s="747"/>
      <c r="BM50" s="747"/>
      <c r="BN50" s="747"/>
      <c r="BO50" s="747"/>
      <c r="BP50" s="747"/>
      <c r="BQ50" s="747"/>
      <c r="BR50" s="747"/>
      <c r="BS50" s="747"/>
      <c r="BT50" s="747"/>
      <c r="BU50" s="747"/>
      <c r="BV50" s="747"/>
      <c r="BW50" s="747"/>
      <c r="BX50" s="747"/>
      <c r="BY50" s="747"/>
      <c r="BZ50" s="747"/>
      <c r="CA50" s="747"/>
      <c r="CB50" s="747"/>
      <c r="CC50" s="747"/>
      <c r="CD50" s="747"/>
      <c r="CE50" s="747"/>
      <c r="CF50" s="747"/>
      <c r="CG50" s="747"/>
      <c r="CH50" s="747"/>
      <c r="CI50" s="747"/>
      <c r="CJ50" s="747"/>
      <c r="CK50" s="747"/>
      <c r="CL50" s="747"/>
      <c r="CM50" s="747"/>
      <c r="CN50" s="747"/>
      <c r="CO50" s="747"/>
      <c r="CP50" s="747"/>
      <c r="CQ50" s="747"/>
      <c r="CR50" s="747"/>
      <c r="CS50" s="747"/>
      <c r="CT50" s="747"/>
      <c r="CU50" s="747"/>
      <c r="CV50" s="747"/>
      <c r="CW50" s="747"/>
      <c r="CX50" s="747"/>
      <c r="CY50" s="747"/>
      <c r="CZ50" s="747"/>
      <c r="DA50" s="747"/>
      <c r="DB50" s="747"/>
      <c r="DC50" s="747"/>
      <c r="DD50" s="747"/>
      <c r="DE50" s="747"/>
      <c r="DF50" s="747"/>
      <c r="DG50" s="747"/>
      <c r="DH50" s="747"/>
      <c r="DI50" s="747"/>
      <c r="DJ50" s="747"/>
      <c r="DK50" s="747"/>
      <c r="DL50" s="747"/>
      <c r="DM50" s="747"/>
      <c r="DN50" s="747"/>
      <c r="DO50" s="747"/>
      <c r="DP50" s="747"/>
      <c r="DQ50" s="747"/>
      <c r="DR50" s="747"/>
      <c r="DS50" s="747"/>
      <c r="DT50" s="747"/>
      <c r="DU50" s="747"/>
      <c r="DV50" s="747"/>
      <c r="DW50" s="747"/>
      <c r="DX50" s="747"/>
      <c r="DY50" s="747"/>
      <c r="DZ50" s="747"/>
      <c r="EA50" s="747"/>
      <c r="EB50" s="747"/>
      <c r="EC50" s="747"/>
      <c r="ED50" s="747"/>
      <c r="EE50" s="747"/>
      <c r="EF50" s="747"/>
      <c r="EG50" s="747"/>
      <c r="EH50" s="747"/>
      <c r="EI50" s="747"/>
      <c r="EJ50" s="747"/>
      <c r="EK50" s="747"/>
      <c r="EL50" s="747"/>
      <c r="EM50" s="747"/>
      <c r="EN50" s="747"/>
      <c r="EO50" s="747"/>
      <c r="EP50" s="747"/>
      <c r="EQ50" s="747"/>
      <c r="ER50" s="747"/>
      <c r="ES50" s="747"/>
      <c r="ET50" s="747"/>
      <c r="EU50" s="747"/>
      <c r="EV50" s="747"/>
      <c r="EW50" s="747"/>
      <c r="EX50" s="747"/>
      <c r="EY50" s="747"/>
      <c r="EZ50" s="747"/>
      <c r="FA50" s="747"/>
      <c r="FB50" s="747"/>
      <c r="FC50" s="747"/>
      <c r="FD50" s="747"/>
      <c r="FE50" s="747"/>
      <c r="FF50" s="747"/>
      <c r="FG50" s="747"/>
      <c r="FH50" s="747"/>
      <c r="FI50" s="747"/>
      <c r="FJ50" s="747"/>
      <c r="FK50" s="747"/>
      <c r="FL50" s="747"/>
      <c r="FM50" s="747"/>
      <c r="FN50" s="747"/>
      <c r="FO50" s="747"/>
      <c r="FP50" s="747"/>
      <c r="FQ50" s="747"/>
      <c r="FR50" s="747"/>
      <c r="FS50" s="747"/>
      <c r="FT50" s="747"/>
      <c r="FU50" s="747"/>
      <c r="FV50" s="747"/>
      <c r="FW50" s="747"/>
      <c r="FX50" s="747"/>
      <c r="FY50" s="747"/>
      <c r="FZ50" s="747"/>
      <c r="GA50" s="747"/>
      <c r="GB50" s="747"/>
      <c r="GC50" s="747"/>
      <c r="GD50" s="747"/>
      <c r="GE50" s="747"/>
      <c r="GF50" s="747"/>
      <c r="GG50" s="747"/>
      <c r="GH50" s="747"/>
      <c r="GI50" s="747"/>
      <c r="GJ50" s="747"/>
    </row>
    <row r="51" spans="1:202" ht="18" customHeight="1">
      <c r="A51" s="758"/>
      <c r="B51" s="700" t="s">
        <v>735</v>
      </c>
      <c r="C51" s="687">
        <f>SUM(E51:BF51)</f>
        <v>25000</v>
      </c>
      <c r="D51" s="816">
        <v>0.12</v>
      </c>
      <c r="E51" s="703"/>
      <c r="F51" s="703"/>
      <c r="G51" s="704"/>
      <c r="H51" s="704">
        <v>25000</v>
      </c>
      <c r="I51" s="698"/>
      <c r="J51" s="703"/>
      <c r="K51" s="704"/>
      <c r="L51" s="704"/>
      <c r="M51" s="728"/>
      <c r="N51" s="698"/>
      <c r="O51" s="704"/>
      <c r="P51" s="704"/>
      <c r="Q51" s="728"/>
      <c r="R51" s="703"/>
      <c r="S51" s="698"/>
      <c r="T51" s="704"/>
      <c r="U51" s="728"/>
      <c r="V51" s="703"/>
      <c r="W51" s="704"/>
      <c r="X51" s="698"/>
      <c r="Y51" s="728"/>
      <c r="Z51" s="703"/>
      <c r="AA51" s="704"/>
      <c r="AB51" s="704"/>
      <c r="AC51" s="698"/>
      <c r="AD51" s="703"/>
      <c r="AE51" s="704"/>
      <c r="AF51" s="704"/>
      <c r="AG51" s="728"/>
      <c r="AH51" s="698"/>
      <c r="AI51" s="704"/>
      <c r="AJ51" s="704"/>
      <c r="AK51" s="728"/>
      <c r="AL51" s="703"/>
      <c r="AM51" s="698"/>
      <c r="AN51" s="704"/>
      <c r="AO51" s="704"/>
      <c r="AP51" s="704"/>
      <c r="AQ51" s="704"/>
      <c r="AR51" s="698"/>
      <c r="AS51" s="728"/>
      <c r="AT51" s="703"/>
      <c r="AU51" s="704"/>
      <c r="AV51" s="704"/>
      <c r="AW51" s="698"/>
      <c r="AX51" s="704"/>
      <c r="AY51" s="704"/>
      <c r="AZ51" s="704"/>
      <c r="BA51" s="704"/>
      <c r="BB51" s="698"/>
      <c r="BC51" s="704"/>
      <c r="BD51" s="704"/>
      <c r="BE51" s="704"/>
      <c r="BF51" s="704"/>
      <c r="BG51" s="747"/>
      <c r="BH51" s="747"/>
      <c r="BI51" s="747"/>
      <c r="BJ51" s="747"/>
      <c r="BK51" s="747"/>
      <c r="BL51" s="747"/>
      <c r="BM51" s="747"/>
      <c r="BN51" s="747"/>
      <c r="BO51" s="747"/>
      <c r="BP51" s="747"/>
      <c r="BQ51" s="747"/>
      <c r="BR51" s="747"/>
      <c r="BS51" s="747"/>
      <c r="BT51" s="747"/>
      <c r="BU51" s="747"/>
      <c r="BV51" s="747"/>
      <c r="BW51" s="747"/>
      <c r="BX51" s="747"/>
      <c r="BY51" s="747"/>
      <c r="BZ51" s="747"/>
      <c r="CA51" s="747"/>
      <c r="CB51" s="747"/>
      <c r="CC51" s="747"/>
      <c r="CD51" s="747"/>
      <c r="CE51" s="747"/>
      <c r="CF51" s="747"/>
      <c r="CG51" s="747"/>
      <c r="CH51" s="747"/>
      <c r="CI51" s="747"/>
      <c r="CJ51" s="747"/>
      <c r="CK51" s="747"/>
      <c r="CL51" s="747"/>
      <c r="CM51" s="747"/>
      <c r="CN51" s="747"/>
      <c r="CO51" s="747"/>
      <c r="CP51" s="747"/>
      <c r="CQ51" s="747"/>
      <c r="CR51" s="747"/>
      <c r="CS51" s="747"/>
      <c r="CT51" s="747"/>
      <c r="CU51" s="747"/>
      <c r="CV51" s="747"/>
      <c r="CW51" s="747"/>
      <c r="CX51" s="747"/>
      <c r="CY51" s="747"/>
      <c r="CZ51" s="747"/>
      <c r="DA51" s="747"/>
      <c r="DB51" s="747"/>
      <c r="DC51" s="747"/>
      <c r="DD51" s="747"/>
      <c r="DE51" s="747"/>
      <c r="DF51" s="747"/>
      <c r="DG51" s="747"/>
      <c r="DH51" s="747"/>
      <c r="DI51" s="747"/>
      <c r="DJ51" s="747"/>
      <c r="DK51" s="747"/>
      <c r="DL51" s="747"/>
      <c r="DM51" s="747"/>
      <c r="DN51" s="747"/>
      <c r="DO51" s="747"/>
      <c r="DP51" s="747"/>
      <c r="DQ51" s="747"/>
      <c r="DR51" s="747"/>
      <c r="DS51" s="747"/>
      <c r="DT51" s="747"/>
      <c r="DU51" s="747"/>
      <c r="DV51" s="747"/>
      <c r="DW51" s="747"/>
      <c r="DX51" s="747"/>
      <c r="DY51" s="747"/>
      <c r="DZ51" s="747"/>
      <c r="EA51" s="747"/>
      <c r="EB51" s="747"/>
      <c r="EC51" s="747"/>
      <c r="ED51" s="747"/>
      <c r="EE51" s="747"/>
      <c r="EF51" s="747"/>
      <c r="EG51" s="747"/>
      <c r="EH51" s="747"/>
      <c r="EI51" s="747"/>
      <c r="EJ51" s="747"/>
      <c r="EK51" s="747"/>
      <c r="EL51" s="747"/>
      <c r="EM51" s="747"/>
      <c r="EN51" s="747"/>
      <c r="EO51" s="747"/>
      <c r="EP51" s="747"/>
      <c r="EQ51" s="747"/>
      <c r="ER51" s="747"/>
      <c r="ES51" s="747"/>
      <c r="ET51" s="747"/>
      <c r="EU51" s="747"/>
      <c r="EV51" s="747"/>
      <c r="EW51" s="747"/>
      <c r="EX51" s="747"/>
      <c r="EY51" s="747"/>
      <c r="EZ51" s="747"/>
      <c r="FA51" s="747"/>
      <c r="FB51" s="747"/>
      <c r="FC51" s="747"/>
      <c r="FD51" s="747"/>
      <c r="FE51" s="747"/>
      <c r="FF51" s="747"/>
      <c r="FG51" s="747"/>
      <c r="FH51" s="747"/>
      <c r="FI51" s="747"/>
      <c r="FJ51" s="747"/>
      <c r="FK51" s="747"/>
      <c r="FL51" s="747"/>
      <c r="FM51" s="747"/>
      <c r="FN51" s="747"/>
      <c r="FO51" s="747"/>
      <c r="FP51" s="747"/>
      <c r="FQ51" s="747"/>
      <c r="FR51" s="747"/>
      <c r="FS51" s="747"/>
      <c r="FT51" s="747"/>
      <c r="FU51" s="747"/>
      <c r="FV51" s="747"/>
      <c r="FW51" s="747"/>
      <c r="FX51" s="747"/>
      <c r="FY51" s="747"/>
      <c r="FZ51" s="747"/>
      <c r="GA51" s="747"/>
      <c r="GB51" s="747"/>
      <c r="GC51" s="747"/>
      <c r="GD51" s="747"/>
      <c r="GE51" s="747"/>
      <c r="GF51" s="747"/>
      <c r="GG51" s="747"/>
      <c r="GH51" s="747"/>
      <c r="GI51" s="747"/>
      <c r="GJ51" s="747"/>
    </row>
    <row r="52" spans="1:202" ht="18" customHeight="1">
      <c r="A52" s="758"/>
      <c r="B52" s="700" t="s">
        <v>736</v>
      </c>
      <c r="C52" s="687">
        <f>SUM(E52:BF52)</f>
        <v>25000</v>
      </c>
      <c r="D52" s="698"/>
      <c r="E52" s="704"/>
      <c r="F52" s="703"/>
      <c r="G52" s="704"/>
      <c r="H52" s="704"/>
      <c r="I52" s="698"/>
      <c r="J52" s="703"/>
      <c r="K52" s="704">
        <v>25000</v>
      </c>
      <c r="L52" s="704"/>
      <c r="M52" s="728"/>
      <c r="N52" s="698"/>
      <c r="O52" s="704"/>
      <c r="P52" s="704"/>
      <c r="Q52" s="728"/>
      <c r="R52" s="703"/>
      <c r="S52" s="698"/>
      <c r="T52" s="704"/>
      <c r="U52" s="728"/>
      <c r="V52" s="703"/>
      <c r="W52" s="704"/>
      <c r="X52" s="698"/>
      <c r="Y52" s="728"/>
      <c r="Z52" s="703"/>
      <c r="AA52" s="704"/>
      <c r="AB52" s="704"/>
      <c r="AC52" s="698"/>
      <c r="AD52" s="703"/>
      <c r="AE52" s="704"/>
      <c r="AF52" s="704"/>
      <c r="AG52" s="728"/>
      <c r="AH52" s="698"/>
      <c r="AI52" s="704"/>
      <c r="AJ52" s="704"/>
      <c r="AK52" s="728"/>
      <c r="AL52" s="703"/>
      <c r="AM52" s="698"/>
      <c r="AN52" s="704"/>
      <c r="AO52" s="728"/>
      <c r="AP52" s="703"/>
      <c r="AQ52" s="704"/>
      <c r="AR52" s="698"/>
      <c r="AS52" s="728"/>
      <c r="AT52" s="703"/>
      <c r="AU52" s="704"/>
      <c r="AV52" s="704"/>
      <c r="AW52" s="698"/>
      <c r="AX52" s="704"/>
      <c r="AY52" s="704"/>
      <c r="AZ52" s="704"/>
      <c r="BA52" s="704"/>
      <c r="BB52" s="698"/>
      <c r="BC52" s="704"/>
      <c r="BD52" s="704"/>
      <c r="BE52" s="704"/>
      <c r="BF52" s="704"/>
      <c r="BG52" s="747"/>
      <c r="BH52" s="747"/>
      <c r="BI52" s="747"/>
      <c r="BJ52" s="747"/>
      <c r="BK52" s="747"/>
      <c r="BL52" s="747"/>
      <c r="BM52" s="747"/>
      <c r="BN52" s="747"/>
      <c r="BO52" s="747"/>
      <c r="BP52" s="747"/>
      <c r="BQ52" s="747"/>
      <c r="BR52" s="747"/>
      <c r="BS52" s="747"/>
      <c r="BT52" s="747"/>
      <c r="BU52" s="747"/>
      <c r="BV52" s="747"/>
      <c r="BW52" s="747"/>
      <c r="BX52" s="747"/>
      <c r="BY52" s="747"/>
      <c r="BZ52" s="747"/>
      <c r="CA52" s="747"/>
      <c r="CB52" s="747"/>
      <c r="CC52" s="747"/>
      <c r="CD52" s="747"/>
      <c r="CE52" s="747"/>
      <c r="CF52" s="747"/>
      <c r="CG52" s="747"/>
      <c r="CH52" s="747"/>
      <c r="CI52" s="747"/>
      <c r="CJ52" s="747"/>
      <c r="CK52" s="747"/>
      <c r="CL52" s="747"/>
      <c r="CM52" s="747"/>
      <c r="CN52" s="747"/>
      <c r="CO52" s="747"/>
      <c r="CP52" s="747"/>
      <c r="CQ52" s="747"/>
      <c r="CR52" s="747"/>
      <c r="CS52" s="747"/>
      <c r="CT52" s="747"/>
      <c r="CU52" s="747"/>
      <c r="CV52" s="747"/>
      <c r="CW52" s="747"/>
      <c r="CX52" s="747"/>
      <c r="CY52" s="747"/>
      <c r="CZ52" s="747"/>
      <c r="DA52" s="747"/>
      <c r="DB52" s="747"/>
      <c r="DC52" s="747"/>
      <c r="DD52" s="747"/>
      <c r="DE52" s="747"/>
      <c r="DF52" s="747"/>
      <c r="DG52" s="747"/>
      <c r="DH52" s="747"/>
      <c r="DI52" s="747"/>
      <c r="DJ52" s="747"/>
      <c r="DK52" s="747"/>
      <c r="DL52" s="747"/>
      <c r="DM52" s="747"/>
      <c r="DN52" s="747"/>
      <c r="DO52" s="747"/>
      <c r="DP52" s="747"/>
      <c r="DQ52" s="747"/>
      <c r="DR52" s="747"/>
      <c r="DS52" s="747"/>
      <c r="DT52" s="747"/>
      <c r="DU52" s="747"/>
      <c r="DV52" s="747"/>
      <c r="DW52" s="747"/>
      <c r="DX52" s="747"/>
      <c r="DY52" s="747"/>
      <c r="DZ52" s="747"/>
      <c r="EA52" s="747"/>
      <c r="EB52" s="747"/>
      <c r="EC52" s="747"/>
      <c r="ED52" s="747"/>
      <c r="EE52" s="747"/>
      <c r="EF52" s="747"/>
      <c r="EG52" s="747"/>
      <c r="EH52" s="747"/>
      <c r="EI52" s="747"/>
      <c r="EJ52" s="747"/>
      <c r="EK52" s="747"/>
      <c r="EL52" s="747"/>
      <c r="EM52" s="747"/>
      <c r="EN52" s="747"/>
      <c r="EO52" s="747"/>
      <c r="EP52" s="747"/>
      <c r="EQ52" s="747"/>
      <c r="ER52" s="747"/>
      <c r="ES52" s="747"/>
      <c r="ET52" s="747"/>
      <c r="EU52" s="747"/>
      <c r="EV52" s="747"/>
      <c r="EW52" s="747"/>
      <c r="EX52" s="747"/>
      <c r="EY52" s="747"/>
      <c r="EZ52" s="747"/>
      <c r="FA52" s="747"/>
      <c r="FB52" s="747"/>
      <c r="FC52" s="747"/>
      <c r="FD52" s="747"/>
      <c r="FE52" s="747"/>
      <c r="FF52" s="747"/>
      <c r="FG52" s="747"/>
      <c r="FH52" s="747"/>
      <c r="FI52" s="747"/>
      <c r="FJ52" s="747"/>
      <c r="FK52" s="747"/>
      <c r="FL52" s="747"/>
      <c r="FM52" s="747"/>
      <c r="FN52" s="747"/>
      <c r="FO52" s="747"/>
      <c r="FP52" s="747"/>
      <c r="FQ52" s="747"/>
      <c r="FR52" s="747"/>
      <c r="FS52" s="747"/>
      <c r="FT52" s="747"/>
      <c r="FU52" s="747"/>
      <c r="FV52" s="747"/>
      <c r="FW52" s="747"/>
      <c r="FX52" s="747"/>
      <c r="FY52" s="747"/>
      <c r="FZ52" s="747"/>
      <c r="GA52" s="747"/>
      <c r="GB52" s="747"/>
      <c r="GC52" s="747"/>
      <c r="GD52" s="747"/>
      <c r="GE52" s="747"/>
      <c r="GF52" s="747"/>
      <c r="GG52" s="747"/>
      <c r="GH52" s="747"/>
      <c r="GI52" s="747"/>
      <c r="GJ52" s="747"/>
    </row>
    <row r="53" spans="1:202" ht="18" customHeight="1">
      <c r="A53" s="758"/>
      <c r="B53" s="693" t="s">
        <v>244</v>
      </c>
      <c r="C53" s="687">
        <f>SUM(E53:BF53)</f>
        <v>2235</v>
      </c>
      <c r="D53" s="698"/>
      <c r="E53" s="696">
        <f>SUM(E54:E55)</f>
        <v>0</v>
      </c>
      <c r="F53" s="696">
        <f>SUM(F54:F55)</f>
        <v>0</v>
      </c>
      <c r="G53" s="697">
        <f>SUM(G54:G55)</f>
        <v>109.5</v>
      </c>
      <c r="H53" s="697">
        <f>SUM(H54:H55)</f>
        <v>624</v>
      </c>
      <c r="I53" s="698"/>
      <c r="J53" s="696">
        <f>SUM(J54:J55)</f>
        <v>1008</v>
      </c>
      <c r="K53" s="697">
        <f>SUM(K54:K55)</f>
        <v>493.5</v>
      </c>
      <c r="L53" s="697">
        <f>SUM(L54:L55)</f>
        <v>0</v>
      </c>
      <c r="M53" s="727">
        <f>SUM(M54:M55)</f>
        <v>0</v>
      </c>
      <c r="N53" s="698"/>
      <c r="O53" s="697">
        <f t="shared" ref="O53:AV53" si="161">SUM(O54:O55)</f>
        <v>0</v>
      </c>
      <c r="P53" s="697">
        <f t="shared" si="161"/>
        <v>0</v>
      </c>
      <c r="Q53" s="727">
        <f t="shared" si="161"/>
        <v>0</v>
      </c>
      <c r="R53" s="696">
        <f t="shared" si="161"/>
        <v>0</v>
      </c>
      <c r="S53" s="698"/>
      <c r="T53" s="697">
        <f t="shared" si="161"/>
        <v>0</v>
      </c>
      <c r="U53" s="727">
        <f t="shared" si="161"/>
        <v>0</v>
      </c>
      <c r="V53" s="696">
        <f t="shared" si="161"/>
        <v>0</v>
      </c>
      <c r="W53" s="697">
        <f t="shared" si="161"/>
        <v>0</v>
      </c>
      <c r="X53" s="698"/>
      <c r="Y53" s="727">
        <f t="shared" si="161"/>
        <v>0</v>
      </c>
      <c r="Z53" s="696">
        <f t="shared" si="161"/>
        <v>0</v>
      </c>
      <c r="AA53" s="697">
        <f t="shared" si="161"/>
        <v>0</v>
      </c>
      <c r="AB53" s="697">
        <f t="shared" si="161"/>
        <v>0</v>
      </c>
      <c r="AC53" s="698"/>
      <c r="AD53" s="696">
        <f t="shared" si="161"/>
        <v>0</v>
      </c>
      <c r="AE53" s="697">
        <f t="shared" si="161"/>
        <v>0</v>
      </c>
      <c r="AF53" s="697">
        <f t="shared" si="161"/>
        <v>0</v>
      </c>
      <c r="AG53" s="727">
        <f t="shared" si="161"/>
        <v>0</v>
      </c>
      <c r="AH53" s="698"/>
      <c r="AI53" s="697">
        <f t="shared" si="161"/>
        <v>0</v>
      </c>
      <c r="AJ53" s="697">
        <f t="shared" si="161"/>
        <v>0</v>
      </c>
      <c r="AK53" s="727">
        <f t="shared" si="161"/>
        <v>0</v>
      </c>
      <c r="AL53" s="696">
        <f t="shared" si="161"/>
        <v>0</v>
      </c>
      <c r="AM53" s="698"/>
      <c r="AN53" s="697">
        <f t="shared" si="161"/>
        <v>0</v>
      </c>
      <c r="AO53" s="727">
        <f t="shared" si="161"/>
        <v>0</v>
      </c>
      <c r="AP53" s="696">
        <f t="shared" si="161"/>
        <v>0</v>
      </c>
      <c r="AQ53" s="697">
        <f t="shared" si="161"/>
        <v>0</v>
      </c>
      <c r="AR53" s="698"/>
      <c r="AS53" s="727">
        <f t="shared" si="161"/>
        <v>0</v>
      </c>
      <c r="AT53" s="696">
        <f t="shared" si="161"/>
        <v>0</v>
      </c>
      <c r="AU53" s="697">
        <f t="shared" si="161"/>
        <v>0</v>
      </c>
      <c r="AV53" s="697">
        <f t="shared" si="161"/>
        <v>0</v>
      </c>
      <c r="AW53" s="698"/>
      <c r="AX53" s="697">
        <f>SUM(AX54:AX55)</f>
        <v>0</v>
      </c>
      <c r="AY53" s="697">
        <f>SUM(AY54:AY55)</f>
        <v>0</v>
      </c>
      <c r="AZ53" s="697">
        <f>SUM(AZ54:AZ55)</f>
        <v>0</v>
      </c>
      <c r="BA53" s="697">
        <f>SUM(BA54:BA55)</f>
        <v>0</v>
      </c>
      <c r="BB53" s="698"/>
      <c r="BC53" s="697">
        <f>SUM(BC54:BC55)</f>
        <v>0</v>
      </c>
      <c r="BD53" s="697">
        <f t="shared" ref="BD53:BF53" si="162">SUM(BD54:BD55)</f>
        <v>0</v>
      </c>
      <c r="BE53" s="697">
        <f t="shared" si="162"/>
        <v>0</v>
      </c>
      <c r="BF53" s="697">
        <f t="shared" si="162"/>
        <v>0</v>
      </c>
      <c r="BG53" s="747"/>
      <c r="BH53" s="747"/>
      <c r="BI53" s="747"/>
      <c r="BJ53" s="747"/>
      <c r="BK53" s="747"/>
      <c r="BL53" s="747"/>
      <c r="BM53" s="747"/>
      <c r="BN53" s="747"/>
      <c r="BO53" s="747"/>
      <c r="BP53" s="747"/>
      <c r="BQ53" s="747"/>
      <c r="BR53" s="747"/>
      <c r="BS53" s="747"/>
      <c r="BT53" s="747"/>
      <c r="BU53" s="747"/>
      <c r="BV53" s="747"/>
      <c r="BW53" s="747"/>
      <c r="BX53" s="747"/>
      <c r="BY53" s="747"/>
      <c r="BZ53" s="747"/>
      <c r="CA53" s="747"/>
      <c r="CB53" s="747"/>
      <c r="CC53" s="747"/>
      <c r="CD53" s="747"/>
      <c r="CE53" s="747"/>
      <c r="CF53" s="747"/>
      <c r="CG53" s="747"/>
      <c r="CH53" s="747"/>
      <c r="CI53" s="747"/>
      <c r="CJ53" s="747"/>
      <c r="CK53" s="747"/>
      <c r="CL53" s="747"/>
      <c r="CM53" s="747"/>
      <c r="CN53" s="747"/>
      <c r="CO53" s="747"/>
      <c r="CP53" s="747"/>
      <c r="CQ53" s="747"/>
      <c r="CR53" s="747"/>
      <c r="CS53" s="747"/>
      <c r="CT53" s="747"/>
      <c r="CU53" s="747"/>
      <c r="CV53" s="747"/>
      <c r="CW53" s="747"/>
      <c r="CX53" s="747"/>
      <c r="CY53" s="747"/>
      <c r="CZ53" s="747"/>
      <c r="DA53" s="747"/>
      <c r="DB53" s="747"/>
      <c r="DC53" s="747"/>
      <c r="DD53" s="747"/>
      <c r="DE53" s="747"/>
      <c r="DF53" s="747"/>
      <c r="DG53" s="747"/>
      <c r="DH53" s="747"/>
      <c r="DI53" s="747"/>
      <c r="DJ53" s="747"/>
      <c r="DK53" s="747"/>
      <c r="DL53" s="747"/>
      <c r="DM53" s="747"/>
      <c r="DN53" s="747"/>
      <c r="DO53" s="747"/>
      <c r="DP53" s="747"/>
      <c r="DQ53" s="747"/>
      <c r="DR53" s="747"/>
      <c r="DS53" s="747"/>
      <c r="DT53" s="747"/>
      <c r="DU53" s="747"/>
      <c r="DV53" s="747"/>
      <c r="DW53" s="747"/>
      <c r="DX53" s="747"/>
      <c r="DY53" s="747"/>
      <c r="DZ53" s="747"/>
      <c r="EA53" s="747"/>
      <c r="EB53" s="747"/>
      <c r="EC53" s="747"/>
      <c r="ED53" s="747"/>
      <c r="EE53" s="747"/>
      <c r="EF53" s="747"/>
      <c r="EG53" s="747"/>
      <c r="EH53" s="747"/>
      <c r="EI53" s="747"/>
      <c r="EJ53" s="747"/>
      <c r="EK53" s="747"/>
      <c r="EL53" s="747"/>
      <c r="EM53" s="747"/>
      <c r="EN53" s="747"/>
      <c r="EO53" s="747"/>
      <c r="EP53" s="747"/>
      <c r="EQ53" s="747"/>
      <c r="ER53" s="747"/>
      <c r="ES53" s="747"/>
      <c r="ET53" s="747"/>
      <c r="EU53" s="747"/>
      <c r="EV53" s="747"/>
      <c r="EW53" s="747"/>
      <c r="EX53" s="747"/>
      <c r="EY53" s="747"/>
      <c r="EZ53" s="747"/>
      <c r="FA53" s="747"/>
      <c r="FB53" s="747"/>
      <c r="FC53" s="747"/>
      <c r="FD53" s="747"/>
      <c r="FE53" s="747"/>
      <c r="FF53" s="747"/>
      <c r="FG53" s="747"/>
      <c r="FH53" s="747"/>
      <c r="FI53" s="747"/>
      <c r="FJ53" s="747"/>
      <c r="FK53" s="747"/>
      <c r="FL53" s="747"/>
      <c r="FM53" s="747"/>
      <c r="FN53" s="747"/>
      <c r="FO53" s="747"/>
      <c r="FP53" s="747"/>
      <c r="FQ53" s="747"/>
      <c r="FR53" s="747"/>
      <c r="FS53" s="747"/>
      <c r="FT53" s="747"/>
      <c r="FU53" s="747"/>
      <c r="FV53" s="747"/>
      <c r="FW53" s="747"/>
      <c r="FX53" s="747"/>
      <c r="FY53" s="747"/>
      <c r="FZ53" s="747"/>
      <c r="GA53" s="747"/>
      <c r="GB53" s="747"/>
      <c r="GC53" s="747"/>
      <c r="GD53" s="747"/>
      <c r="GE53" s="747"/>
      <c r="GF53" s="747"/>
      <c r="GG53" s="747"/>
      <c r="GH53" s="747"/>
      <c r="GI53" s="747"/>
      <c r="GJ53" s="747"/>
    </row>
    <row r="54" spans="1:202" ht="18" customHeight="1">
      <c r="A54" s="758"/>
      <c r="B54" s="700" t="s">
        <v>737</v>
      </c>
      <c r="C54" s="687">
        <f>SUM(E54:BF54)</f>
        <v>735</v>
      </c>
      <c r="D54" s="698"/>
      <c r="E54" s="696">
        <f>E47/2*$D$48/4</f>
        <v>0</v>
      </c>
      <c r="F54" s="696">
        <f>(E47+F47)/2*$D$48/4</f>
        <v>0</v>
      </c>
      <c r="G54" s="696">
        <f>(F47+G47)/2*$D$48/4</f>
        <v>109.5</v>
      </c>
      <c r="H54" s="696">
        <f>(G47+H47)/2*$D$48/4</f>
        <v>249</v>
      </c>
      <c r="I54" s="698"/>
      <c r="J54" s="696">
        <f>(H47+J47)/2*$D$48/4</f>
        <v>258</v>
      </c>
      <c r="K54" s="696">
        <f>(J47+K47)/2*$D$48/4</f>
        <v>118.5</v>
      </c>
      <c r="L54" s="696">
        <f>(K47+L47)/2*$D$48/4</f>
        <v>0</v>
      </c>
      <c r="M54" s="696">
        <f>(L47+M47)/2*$D$48/4</f>
        <v>0</v>
      </c>
      <c r="N54" s="698"/>
      <c r="O54" s="696">
        <f>(M47+O47)/2*$D$48/4</f>
        <v>0</v>
      </c>
      <c r="P54" s="696">
        <f>(O47+P47)/2*$D$48/4</f>
        <v>0</v>
      </c>
      <c r="Q54" s="696">
        <f>(P47+Q47)/2*$D$48/4</f>
        <v>0</v>
      </c>
      <c r="R54" s="696">
        <f>(Q47+R47)/2*$D$48/4</f>
        <v>0</v>
      </c>
      <c r="S54" s="698"/>
      <c r="T54" s="696">
        <f>(R47+T47)/2*$D$48/4</f>
        <v>0</v>
      </c>
      <c r="U54" s="696">
        <f>(T47+U47)/2*$D$48/4</f>
        <v>0</v>
      </c>
      <c r="V54" s="696">
        <f>(U47+V47)/2*$D$48/4</f>
        <v>0</v>
      </c>
      <c r="W54" s="696">
        <f>(V47+W47)/2*$D$48/4</f>
        <v>0</v>
      </c>
      <c r="X54" s="698"/>
      <c r="Y54" s="696">
        <f>(W47+Y47)/2*$D$48/4</f>
        <v>0</v>
      </c>
      <c r="Z54" s="696">
        <f>(Y47+Z47)/2*$D$48/4</f>
        <v>0</v>
      </c>
      <c r="AA54" s="696">
        <f>(Z47+AA47)/2*$D$48/4</f>
        <v>0</v>
      </c>
      <c r="AB54" s="696">
        <f>(AA47+AB47)/2*$D$48/4</f>
        <v>0</v>
      </c>
      <c r="AC54" s="698"/>
      <c r="AD54" s="696">
        <f>(AB47+AD47)/2*$D$48/4</f>
        <v>0</v>
      </c>
      <c r="AE54" s="696">
        <f>(AD47+AE47)/2*$D$48/4</f>
        <v>0</v>
      </c>
      <c r="AF54" s="696">
        <f>(AE47+AF47)/2*$D$48/4</f>
        <v>0</v>
      </c>
      <c r="AG54" s="696">
        <f>(AF47+AG47)/2*$D$48/4</f>
        <v>0</v>
      </c>
      <c r="AH54" s="698"/>
      <c r="AI54" s="696">
        <f>(AG47+AI47)/2*$D$48/4</f>
        <v>0</v>
      </c>
      <c r="AJ54" s="696">
        <f>(AI47+AJ47)/2*$D$48/4</f>
        <v>0</v>
      </c>
      <c r="AK54" s="696">
        <f>(AJ47+AK47)/2*$D$48/4</f>
        <v>0</v>
      </c>
      <c r="AL54" s="696">
        <f>(AK47+AL47)/2*$D$48/4</f>
        <v>0</v>
      </c>
      <c r="AM54" s="698"/>
      <c r="AN54" s="696">
        <f>(AL47+AN47)/2*$D$48/4</f>
        <v>0</v>
      </c>
      <c r="AO54" s="696">
        <f>(AN47+AO47)/2*$D$48/4</f>
        <v>0</v>
      </c>
      <c r="AP54" s="696">
        <f>(AO47+AP47)/2*$D$48/4</f>
        <v>0</v>
      </c>
      <c r="AQ54" s="696">
        <f>(AP47+AQ47)/2*$D$48/4</f>
        <v>0</v>
      </c>
      <c r="AR54" s="698"/>
      <c r="AS54" s="696">
        <f>(AQ47+AS47)/2*$D$48/4</f>
        <v>0</v>
      </c>
      <c r="AT54" s="696">
        <f>(AS47+AT47)/2*$D$48/4</f>
        <v>0</v>
      </c>
      <c r="AU54" s="696">
        <f>(AT47+AU47)/2*$D$48/4</f>
        <v>0</v>
      </c>
      <c r="AV54" s="696">
        <f>(AU47+AV47)/2*$D$48/4</f>
        <v>0</v>
      </c>
      <c r="AW54" s="698"/>
      <c r="AX54" s="696">
        <f>(AV47+AX47)/2*$D$48/4</f>
        <v>0</v>
      </c>
      <c r="AY54" s="696">
        <f>(AX47+AY47)/2*$D$48/4</f>
        <v>0</v>
      </c>
      <c r="AZ54" s="696">
        <f>(AY47+AZ47)/2*$D$48/4</f>
        <v>0</v>
      </c>
      <c r="BA54" s="696">
        <f>(AZ47+BA47)/2*$D$48/4</f>
        <v>0</v>
      </c>
      <c r="BB54" s="698"/>
      <c r="BC54" s="696">
        <f>(BA47+BC47)/2*$D$48/4</f>
        <v>0</v>
      </c>
      <c r="BD54" s="696">
        <f>(BC47+BD47)/2*$D$48/4</f>
        <v>0</v>
      </c>
      <c r="BE54" s="696">
        <f>(BD47+BE47)/2*$D$48/4</f>
        <v>0</v>
      </c>
      <c r="BF54" s="696">
        <f>(BE47+BF47)/2*$D$48/4</f>
        <v>0</v>
      </c>
      <c r="BG54" s="747"/>
      <c r="BH54" s="747"/>
      <c r="BI54" s="747"/>
      <c r="BJ54" s="747"/>
      <c r="BK54" s="747"/>
      <c r="BL54" s="747"/>
      <c r="BM54" s="747"/>
      <c r="BN54" s="747"/>
      <c r="BO54" s="747"/>
      <c r="BP54" s="747"/>
      <c r="BQ54" s="747"/>
      <c r="BR54" s="747"/>
      <c r="BS54" s="747"/>
      <c r="BT54" s="747"/>
      <c r="BU54" s="747"/>
      <c r="BV54" s="747"/>
      <c r="BW54" s="747"/>
      <c r="BX54" s="747"/>
      <c r="BY54" s="747"/>
      <c r="BZ54" s="747"/>
      <c r="CA54" s="747"/>
      <c r="CB54" s="747"/>
      <c r="CC54" s="747"/>
      <c r="CD54" s="747"/>
      <c r="CE54" s="747"/>
      <c r="CF54" s="747"/>
      <c r="CG54" s="747"/>
      <c r="CH54" s="747"/>
      <c r="CI54" s="747"/>
      <c r="CJ54" s="747"/>
      <c r="CK54" s="747"/>
      <c r="CL54" s="747"/>
      <c r="CM54" s="747"/>
      <c r="CN54" s="747"/>
      <c r="CO54" s="747"/>
      <c r="CP54" s="747"/>
      <c r="CQ54" s="747"/>
      <c r="CR54" s="747"/>
      <c r="CS54" s="747"/>
      <c r="CT54" s="747"/>
      <c r="CU54" s="747"/>
      <c r="CV54" s="747"/>
      <c r="CW54" s="747"/>
      <c r="CX54" s="747"/>
      <c r="CY54" s="747"/>
      <c r="CZ54" s="747"/>
      <c r="DA54" s="747"/>
      <c r="DB54" s="747"/>
      <c r="DC54" s="747"/>
      <c r="DD54" s="747"/>
      <c r="DE54" s="747"/>
      <c r="DF54" s="747"/>
      <c r="DG54" s="747"/>
      <c r="DH54" s="747"/>
      <c r="DI54" s="747"/>
      <c r="DJ54" s="747"/>
      <c r="DK54" s="747"/>
      <c r="DL54" s="747"/>
      <c r="DM54" s="747"/>
      <c r="DN54" s="747"/>
      <c r="DO54" s="747"/>
      <c r="DP54" s="747"/>
      <c r="DQ54" s="747"/>
      <c r="DR54" s="747"/>
      <c r="DS54" s="747"/>
      <c r="DT54" s="747"/>
      <c r="DU54" s="747"/>
      <c r="DV54" s="747"/>
      <c r="DW54" s="747"/>
      <c r="DX54" s="747"/>
      <c r="DY54" s="747"/>
      <c r="DZ54" s="747"/>
      <c r="EA54" s="747"/>
      <c r="EB54" s="747"/>
      <c r="EC54" s="747"/>
      <c r="ED54" s="747"/>
      <c r="EE54" s="747"/>
      <c r="EF54" s="747"/>
      <c r="EG54" s="747"/>
      <c r="EH54" s="747"/>
      <c r="EI54" s="747"/>
      <c r="EJ54" s="747"/>
      <c r="EK54" s="747"/>
      <c r="EL54" s="747"/>
      <c r="EM54" s="747"/>
      <c r="EN54" s="747"/>
      <c r="EO54" s="747"/>
      <c r="EP54" s="747"/>
      <c r="EQ54" s="747"/>
      <c r="ER54" s="747"/>
      <c r="ES54" s="747"/>
      <c r="ET54" s="747"/>
      <c r="EU54" s="747"/>
      <c r="EV54" s="747"/>
      <c r="EW54" s="747"/>
      <c r="EX54" s="747"/>
      <c r="EY54" s="747"/>
      <c r="EZ54" s="747"/>
      <c r="FA54" s="747"/>
      <c r="FB54" s="747"/>
      <c r="FC54" s="747"/>
      <c r="FD54" s="747"/>
      <c r="FE54" s="747"/>
      <c r="FF54" s="747"/>
      <c r="FG54" s="747"/>
      <c r="FH54" s="747"/>
      <c r="FI54" s="747"/>
      <c r="FJ54" s="747"/>
      <c r="FK54" s="747"/>
      <c r="FL54" s="747"/>
      <c r="FM54" s="747"/>
      <c r="FN54" s="747"/>
      <c r="FO54" s="747"/>
      <c r="FP54" s="747"/>
      <c r="FQ54" s="747"/>
      <c r="FR54" s="747"/>
      <c r="FS54" s="747"/>
      <c r="FT54" s="747"/>
      <c r="FU54" s="747"/>
      <c r="FV54" s="747"/>
      <c r="FW54" s="747"/>
      <c r="FX54" s="747"/>
      <c r="FY54" s="747"/>
      <c r="FZ54" s="747"/>
      <c r="GA54" s="747"/>
      <c r="GB54" s="747"/>
      <c r="GC54" s="747"/>
      <c r="GD54" s="747"/>
      <c r="GE54" s="747"/>
      <c r="GF54" s="747"/>
      <c r="GG54" s="747"/>
      <c r="GH54" s="747"/>
      <c r="GI54" s="747"/>
      <c r="GJ54" s="747"/>
    </row>
    <row r="55" spans="1:202" ht="18" customHeight="1">
      <c r="A55" s="758"/>
      <c r="B55" s="700" t="s">
        <v>738</v>
      </c>
      <c r="C55" s="687">
        <f>SUM(E55:BF55)</f>
        <v>1500</v>
      </c>
      <c r="D55" s="698"/>
      <c r="E55" s="697">
        <f>E50/8*$D$51</f>
        <v>0</v>
      </c>
      <c r="F55" s="697">
        <f t="shared" ref="F55:H55" si="163">F50/8*$D$51</f>
        <v>0</v>
      </c>
      <c r="G55" s="697">
        <f t="shared" si="163"/>
        <v>0</v>
      </c>
      <c r="H55" s="697">
        <f t="shared" si="163"/>
        <v>375</v>
      </c>
      <c r="I55" s="698"/>
      <c r="J55" s="697">
        <f>(H50+J50)/8*$D$51</f>
        <v>750</v>
      </c>
      <c r="K55" s="697">
        <f>(J50+K50)/8*$D$51</f>
        <v>375</v>
      </c>
      <c r="L55" s="697">
        <f t="shared" ref="L55:M55" si="164">(K50+L50)/8*$D$51</f>
        <v>0</v>
      </c>
      <c r="M55" s="697">
        <f t="shared" si="164"/>
        <v>0</v>
      </c>
      <c r="N55" s="698"/>
      <c r="O55" s="697">
        <f>(M50+O50)/8*$D$51</f>
        <v>0</v>
      </c>
      <c r="P55" s="697">
        <f>(O50+P50)/8*$D$51</f>
        <v>0</v>
      </c>
      <c r="Q55" s="697">
        <f t="shared" ref="Q55:R55" si="165">(P50+Q50)/8*$D$51</f>
        <v>0</v>
      </c>
      <c r="R55" s="697">
        <f t="shared" si="165"/>
        <v>0</v>
      </c>
      <c r="S55" s="698"/>
      <c r="T55" s="697">
        <f>(R50+T50)/8*$D$51</f>
        <v>0</v>
      </c>
      <c r="U55" s="697">
        <f>(T50+U50)/8*$D$51</f>
        <v>0</v>
      </c>
      <c r="V55" s="697">
        <f t="shared" ref="V55:W55" si="166">(U50+V50)/8*$D$51</f>
        <v>0</v>
      </c>
      <c r="W55" s="697">
        <f t="shared" si="166"/>
        <v>0</v>
      </c>
      <c r="X55" s="698"/>
      <c r="Y55" s="697">
        <f>(W50+Y50)/8*$D$51</f>
        <v>0</v>
      </c>
      <c r="Z55" s="697">
        <f>(Y50+Z50)/8*$D$51</f>
        <v>0</v>
      </c>
      <c r="AA55" s="697">
        <f t="shared" ref="AA55:AB55" si="167">(Z50+AA50)/8*$D$51</f>
        <v>0</v>
      </c>
      <c r="AB55" s="697">
        <f t="shared" si="167"/>
        <v>0</v>
      </c>
      <c r="AC55" s="698"/>
      <c r="AD55" s="697">
        <f>(AB50+AD50)/8*$D$51</f>
        <v>0</v>
      </c>
      <c r="AE55" s="697">
        <f>(AD50+AE50)/8*$D$51</f>
        <v>0</v>
      </c>
      <c r="AF55" s="697">
        <f t="shared" ref="AF55:AG55" si="168">(AE50+AF50)/8*$D$51</f>
        <v>0</v>
      </c>
      <c r="AG55" s="697">
        <f t="shared" si="168"/>
        <v>0</v>
      </c>
      <c r="AH55" s="698"/>
      <c r="AI55" s="697">
        <f>(AG50+AI50)/8*$D$51</f>
        <v>0</v>
      </c>
      <c r="AJ55" s="697">
        <f>(AI50+AJ50)/8*$D$51</f>
        <v>0</v>
      </c>
      <c r="AK55" s="697">
        <f t="shared" ref="AK55:AL55" si="169">(AJ50+AK50)/8*$D$51</f>
        <v>0</v>
      </c>
      <c r="AL55" s="697">
        <f t="shared" si="169"/>
        <v>0</v>
      </c>
      <c r="AM55" s="698"/>
      <c r="AN55" s="697">
        <f>(AL50+AN50)/8*$D$51</f>
        <v>0</v>
      </c>
      <c r="AO55" s="697">
        <f>(AN50+AO50)/8*$D$51</f>
        <v>0</v>
      </c>
      <c r="AP55" s="697">
        <f t="shared" ref="AP55:AQ55" si="170">(AO50+AP50)/8*$D$51</f>
        <v>0</v>
      </c>
      <c r="AQ55" s="697">
        <f t="shared" si="170"/>
        <v>0</v>
      </c>
      <c r="AR55" s="698"/>
      <c r="AS55" s="697">
        <f>(AQ50+AS50)/8*$D$51</f>
        <v>0</v>
      </c>
      <c r="AT55" s="697">
        <f>(AS50+AT50)/8*$D$51</f>
        <v>0</v>
      </c>
      <c r="AU55" s="697">
        <f t="shared" ref="AU55:AV55" si="171">(AT50+AU50)/8*$D$51</f>
        <v>0</v>
      </c>
      <c r="AV55" s="697">
        <f t="shared" si="171"/>
        <v>0</v>
      </c>
      <c r="AW55" s="698"/>
      <c r="AX55" s="697">
        <f>(AV50+AX50)/8*$D$51</f>
        <v>0</v>
      </c>
      <c r="AY55" s="697">
        <f>(AX50+AY50)/8*$D$51</f>
        <v>0</v>
      </c>
      <c r="AZ55" s="697">
        <f t="shared" ref="AZ55:BA55" si="172">(AY50+AZ50)/8*$D$51</f>
        <v>0</v>
      </c>
      <c r="BA55" s="697">
        <f t="shared" si="172"/>
        <v>0</v>
      </c>
      <c r="BB55" s="698"/>
      <c r="BC55" s="697">
        <f>(BA50+BC50)/8*$D$51</f>
        <v>0</v>
      </c>
      <c r="BD55" s="697">
        <f>(BC50+BD50)/8*$D$51</f>
        <v>0</v>
      </c>
      <c r="BE55" s="697">
        <f t="shared" ref="BE55:BF55" si="173">(BD50+BE50)/8*$D$51</f>
        <v>0</v>
      </c>
      <c r="BF55" s="697">
        <f t="shared" si="173"/>
        <v>0</v>
      </c>
      <c r="BG55" s="747"/>
      <c r="BH55" s="747"/>
      <c r="BI55" s="747"/>
      <c r="BJ55" s="747"/>
      <c r="BK55" s="747"/>
      <c r="BL55" s="747"/>
      <c r="BM55" s="747"/>
      <c r="BN55" s="747"/>
      <c r="BO55" s="747"/>
      <c r="BP55" s="747"/>
      <c r="BQ55" s="747"/>
      <c r="BR55" s="747"/>
      <c r="BS55" s="747"/>
      <c r="BT55" s="747"/>
      <c r="BU55" s="747"/>
      <c r="BV55" s="747"/>
      <c r="BW55" s="747"/>
      <c r="BX55" s="747"/>
      <c r="BY55" s="747"/>
      <c r="BZ55" s="747"/>
      <c r="CA55" s="747"/>
      <c r="CB55" s="747"/>
      <c r="CC55" s="747"/>
      <c r="CD55" s="747"/>
      <c r="CE55" s="747"/>
      <c r="CF55" s="747"/>
      <c r="CG55" s="747"/>
      <c r="CH55" s="747"/>
      <c r="CI55" s="747"/>
      <c r="CJ55" s="747"/>
      <c r="CK55" s="747"/>
      <c r="CL55" s="747"/>
      <c r="CM55" s="747"/>
      <c r="CN55" s="747"/>
      <c r="CO55" s="747"/>
      <c r="CP55" s="747"/>
      <c r="CQ55" s="747"/>
      <c r="CR55" s="747"/>
      <c r="CS55" s="747"/>
      <c r="CT55" s="747"/>
      <c r="CU55" s="747"/>
      <c r="CV55" s="747"/>
      <c r="CW55" s="747"/>
      <c r="CX55" s="747"/>
      <c r="CY55" s="747"/>
      <c r="CZ55" s="747"/>
      <c r="DA55" s="747"/>
      <c r="DB55" s="747"/>
      <c r="DC55" s="747"/>
      <c r="DD55" s="747"/>
      <c r="DE55" s="747"/>
      <c r="DF55" s="747"/>
      <c r="DG55" s="747"/>
      <c r="DH55" s="747"/>
      <c r="DI55" s="747"/>
      <c r="DJ55" s="747"/>
      <c r="DK55" s="747"/>
      <c r="DL55" s="747"/>
      <c r="DM55" s="747"/>
      <c r="DN55" s="747"/>
      <c r="DO55" s="747"/>
      <c r="DP55" s="747"/>
      <c r="DQ55" s="747"/>
      <c r="DR55" s="747"/>
      <c r="DS55" s="747"/>
      <c r="DT55" s="747"/>
      <c r="DU55" s="747"/>
      <c r="DV55" s="747"/>
      <c r="DW55" s="747"/>
      <c r="DX55" s="747"/>
      <c r="DY55" s="747"/>
      <c r="DZ55" s="747"/>
      <c r="EA55" s="747"/>
      <c r="EB55" s="747"/>
      <c r="EC55" s="747"/>
      <c r="ED55" s="747"/>
      <c r="EE55" s="747"/>
      <c r="EF55" s="747"/>
      <c r="EG55" s="747"/>
      <c r="EH55" s="747"/>
      <c r="EI55" s="747"/>
      <c r="EJ55" s="747"/>
      <c r="EK55" s="747"/>
      <c r="EL55" s="747"/>
      <c r="EM55" s="747"/>
      <c r="EN55" s="747"/>
      <c r="EO55" s="747"/>
      <c r="EP55" s="747"/>
      <c r="EQ55" s="747"/>
      <c r="ER55" s="747"/>
      <c r="ES55" s="747"/>
      <c r="ET55" s="747"/>
      <c r="EU55" s="747"/>
      <c r="EV55" s="747"/>
      <c r="EW55" s="747"/>
      <c r="EX55" s="747"/>
      <c r="EY55" s="747"/>
      <c r="EZ55" s="747"/>
      <c r="FA55" s="747"/>
      <c r="FB55" s="747"/>
      <c r="FC55" s="747"/>
      <c r="FD55" s="747"/>
      <c r="FE55" s="747"/>
      <c r="FF55" s="747"/>
      <c r="FG55" s="747"/>
      <c r="FH55" s="747"/>
      <c r="FI55" s="747"/>
      <c r="FJ55" s="747"/>
      <c r="FK55" s="747"/>
      <c r="FL55" s="747"/>
      <c r="FM55" s="747"/>
      <c r="FN55" s="747"/>
      <c r="FO55" s="747"/>
      <c r="FP55" s="747"/>
      <c r="FQ55" s="747"/>
      <c r="FR55" s="747"/>
      <c r="FS55" s="747"/>
      <c r="FT55" s="747"/>
      <c r="FU55" s="747"/>
      <c r="FV55" s="747"/>
      <c r="FW55" s="747"/>
      <c r="FX55" s="747"/>
      <c r="FY55" s="747"/>
      <c r="FZ55" s="747"/>
      <c r="GA55" s="747"/>
      <c r="GB55" s="747"/>
      <c r="GC55" s="747"/>
      <c r="GD55" s="747"/>
      <c r="GE55" s="747"/>
      <c r="GF55" s="747"/>
      <c r="GG55" s="747"/>
      <c r="GH55" s="747"/>
      <c r="GI55" s="747"/>
      <c r="GJ55" s="747"/>
    </row>
    <row r="56" spans="1:202" ht="18" customHeight="1">
      <c r="A56" s="758"/>
      <c r="B56" s="709" t="s">
        <v>739</v>
      </c>
      <c r="C56" s="817">
        <f ca="1">C46-C53</f>
        <v>1005.463902311134</v>
      </c>
      <c r="D56" s="817"/>
      <c r="E56" s="817">
        <f ca="1">E46+E48+E51-E49-E52-E53</f>
        <v>0</v>
      </c>
      <c r="F56" s="817">
        <f t="shared" ref="F56:BF56" ca="1" si="174">F46+F48+F51-F49-F52-F53</f>
        <v>0</v>
      </c>
      <c r="G56" s="817">
        <f t="shared" ca="1" si="174"/>
        <v>40.5</v>
      </c>
      <c r="H56" s="817">
        <f t="shared" ca="1" si="174"/>
        <v>83.766434841461887</v>
      </c>
      <c r="I56" s="817"/>
      <c r="J56" s="817">
        <f t="shared" ca="1" si="174"/>
        <v>-14.395967437262698</v>
      </c>
      <c r="K56" s="817">
        <f t="shared" ca="1" si="174"/>
        <v>171.96414636763075</v>
      </c>
      <c r="L56" s="817">
        <f t="shared" ca="1" si="174"/>
        <v>767.32780495404245</v>
      </c>
      <c r="M56" s="817">
        <f t="shared" ca="1" si="174"/>
        <v>9901.3438891120495</v>
      </c>
      <c r="N56" s="817"/>
      <c r="O56" s="817">
        <f t="shared" ca="1" si="174"/>
        <v>-61.339084970746626</v>
      </c>
      <c r="P56" s="817">
        <f t="shared" ca="1" si="174"/>
        <v>4210.9176763253236</v>
      </c>
      <c r="Q56" s="817">
        <f t="shared" ca="1" si="174"/>
        <v>1614.0481140318147</v>
      </c>
      <c r="R56" s="817">
        <f t="shared" ca="1" si="174"/>
        <v>-10070.33143030214</v>
      </c>
      <c r="S56" s="817"/>
      <c r="T56" s="817">
        <f t="shared" ca="1" si="174"/>
        <v>-1401.2333006110475</v>
      </c>
      <c r="U56" s="817">
        <f t="shared" ca="1" si="174"/>
        <v>-1567.2858800000001</v>
      </c>
      <c r="V56" s="817">
        <f t="shared" ca="1" si="174"/>
        <v>-1187.6775800000003</v>
      </c>
      <c r="W56" s="817">
        <f t="shared" ca="1" si="174"/>
        <v>0</v>
      </c>
      <c r="X56" s="817"/>
      <c r="Y56" s="817">
        <f t="shared" ca="1" si="174"/>
        <v>0</v>
      </c>
      <c r="Z56" s="817">
        <f t="shared" ca="1" si="174"/>
        <v>0</v>
      </c>
      <c r="AA56" s="817">
        <f t="shared" ca="1" si="174"/>
        <v>-592.85636800000009</v>
      </c>
      <c r="AB56" s="817">
        <f t="shared" ca="1" si="174"/>
        <v>-889.28455199999996</v>
      </c>
      <c r="AC56" s="817"/>
      <c r="AD56" s="817">
        <f t="shared" ca="1" si="174"/>
        <v>0</v>
      </c>
      <c r="AE56" s="817">
        <f t="shared" ca="1" si="174"/>
        <v>0</v>
      </c>
      <c r="AF56" s="817">
        <f t="shared" ca="1" si="174"/>
        <v>0</v>
      </c>
      <c r="AG56" s="817">
        <f t="shared" ca="1" si="174"/>
        <v>0</v>
      </c>
      <c r="AH56" s="817"/>
      <c r="AI56" s="817">
        <f t="shared" ca="1" si="174"/>
        <v>0</v>
      </c>
      <c r="AJ56" s="817">
        <f t="shared" ca="1" si="174"/>
        <v>0</v>
      </c>
      <c r="AK56" s="817">
        <f t="shared" ca="1" si="174"/>
        <v>0</v>
      </c>
      <c r="AL56" s="817">
        <f t="shared" ca="1" si="174"/>
        <v>0</v>
      </c>
      <c r="AM56" s="817"/>
      <c r="AN56" s="817">
        <f t="shared" ca="1" si="174"/>
        <v>0</v>
      </c>
      <c r="AO56" s="817">
        <f t="shared" ca="1" si="174"/>
        <v>0</v>
      </c>
      <c r="AP56" s="817">
        <f t="shared" ca="1" si="174"/>
        <v>0</v>
      </c>
      <c r="AQ56" s="817">
        <f t="shared" ca="1" si="174"/>
        <v>0</v>
      </c>
      <c r="AR56" s="817"/>
      <c r="AS56" s="817">
        <f t="shared" ca="1" si="174"/>
        <v>0</v>
      </c>
      <c r="AT56" s="817">
        <f t="shared" ca="1" si="174"/>
        <v>0</v>
      </c>
      <c r="AU56" s="817">
        <f t="shared" ca="1" si="174"/>
        <v>0</v>
      </c>
      <c r="AV56" s="817">
        <f t="shared" ca="1" si="174"/>
        <v>0</v>
      </c>
      <c r="AW56" s="817"/>
      <c r="AX56" s="817">
        <f t="shared" ca="1" si="174"/>
        <v>0</v>
      </c>
      <c r="AY56" s="817">
        <f t="shared" ca="1" si="174"/>
        <v>0</v>
      </c>
      <c r="AZ56" s="817">
        <f t="shared" ca="1" si="174"/>
        <v>0</v>
      </c>
      <c r="BA56" s="817">
        <f t="shared" ca="1" si="174"/>
        <v>0</v>
      </c>
      <c r="BB56" s="817"/>
      <c r="BC56" s="817">
        <f t="shared" ca="1" si="174"/>
        <v>0</v>
      </c>
      <c r="BD56" s="817">
        <f t="shared" ca="1" si="174"/>
        <v>0</v>
      </c>
      <c r="BE56" s="817">
        <f t="shared" ca="1" si="174"/>
        <v>0</v>
      </c>
      <c r="BF56" s="817">
        <f t="shared" ca="1" si="174"/>
        <v>0</v>
      </c>
      <c r="BG56" s="747"/>
      <c r="BH56" s="747"/>
      <c r="BI56" s="747"/>
      <c r="BJ56" s="747"/>
      <c r="BK56" s="747"/>
      <c r="BL56" s="747"/>
      <c r="BM56" s="747"/>
      <c r="BN56" s="747"/>
      <c r="BO56" s="747"/>
      <c r="BP56" s="747"/>
      <c r="BQ56" s="747"/>
      <c r="BR56" s="747"/>
      <c r="BS56" s="747"/>
      <c r="BT56" s="747"/>
      <c r="BU56" s="747"/>
      <c r="BV56" s="747"/>
      <c r="BW56" s="747"/>
      <c r="BX56" s="747"/>
      <c r="BY56" s="747"/>
      <c r="BZ56" s="747"/>
      <c r="CA56" s="747"/>
      <c r="CB56" s="747"/>
      <c r="CC56" s="747"/>
      <c r="CD56" s="747"/>
      <c r="CE56" s="747"/>
      <c r="CF56" s="747"/>
      <c r="CG56" s="747"/>
      <c r="CH56" s="747"/>
      <c r="CI56" s="747"/>
      <c r="CJ56" s="747"/>
      <c r="CK56" s="747"/>
      <c r="CL56" s="747"/>
      <c r="CM56" s="747"/>
      <c r="CN56" s="747"/>
      <c r="CO56" s="747"/>
      <c r="CP56" s="747"/>
      <c r="CQ56" s="747"/>
      <c r="CR56" s="747"/>
      <c r="CS56" s="747"/>
      <c r="CT56" s="747"/>
      <c r="CU56" s="747"/>
      <c r="CV56" s="747"/>
      <c r="CW56" s="747"/>
      <c r="CX56" s="747"/>
      <c r="CY56" s="747"/>
      <c r="CZ56" s="747"/>
      <c r="DA56" s="747"/>
      <c r="DB56" s="747"/>
      <c r="DC56" s="747"/>
      <c r="DD56" s="747"/>
      <c r="DE56" s="747"/>
      <c r="DF56" s="747"/>
      <c r="DG56" s="747"/>
      <c r="DH56" s="747"/>
      <c r="DI56" s="747"/>
      <c r="DJ56" s="747"/>
      <c r="DK56" s="747"/>
      <c r="DL56" s="747"/>
      <c r="DM56" s="747"/>
      <c r="DN56" s="747"/>
      <c r="DO56" s="747"/>
      <c r="DP56" s="747"/>
      <c r="DQ56" s="747"/>
      <c r="DR56" s="747"/>
      <c r="DS56" s="747"/>
      <c r="DT56" s="747"/>
      <c r="DU56" s="747"/>
      <c r="DV56" s="747"/>
      <c r="DW56" s="747"/>
      <c r="DX56" s="747"/>
      <c r="DY56" s="747"/>
      <c r="DZ56" s="747"/>
      <c r="EA56" s="747"/>
      <c r="EB56" s="747"/>
      <c r="EC56" s="747"/>
      <c r="ED56" s="747"/>
      <c r="EE56" s="747"/>
      <c r="EF56" s="747"/>
      <c r="EG56" s="747"/>
      <c r="EH56" s="747"/>
      <c r="EI56" s="747"/>
      <c r="EJ56" s="747"/>
      <c r="EK56" s="747"/>
      <c r="EL56" s="747"/>
      <c r="EM56" s="747"/>
      <c r="EN56" s="747"/>
      <c r="EO56" s="747"/>
      <c r="EP56" s="747"/>
      <c r="EQ56" s="747"/>
      <c r="ER56" s="747"/>
      <c r="ES56" s="747"/>
      <c r="ET56" s="747"/>
      <c r="EU56" s="747"/>
      <c r="EV56" s="747"/>
      <c r="EW56" s="747"/>
      <c r="EX56" s="747"/>
      <c r="EY56" s="747"/>
      <c r="EZ56" s="747"/>
      <c r="FA56" s="747"/>
      <c r="FB56" s="747"/>
      <c r="FC56" s="747"/>
      <c r="FD56" s="747"/>
      <c r="FE56" s="747"/>
      <c r="FF56" s="747"/>
      <c r="FG56" s="747"/>
      <c r="FH56" s="747"/>
      <c r="FI56" s="747"/>
      <c r="FJ56" s="747"/>
      <c r="FK56" s="747"/>
      <c r="FL56" s="747"/>
      <c r="FM56" s="747"/>
      <c r="FN56" s="747"/>
      <c r="FO56" s="747"/>
      <c r="FP56" s="747"/>
      <c r="FQ56" s="747"/>
      <c r="FR56" s="747"/>
      <c r="FS56" s="747"/>
      <c r="FT56" s="747"/>
      <c r="FU56" s="747"/>
      <c r="FV56" s="747"/>
      <c r="FW56" s="747"/>
      <c r="FX56" s="747"/>
      <c r="FY56" s="747"/>
      <c r="FZ56" s="747"/>
      <c r="GA56" s="747"/>
      <c r="GB56" s="747"/>
      <c r="GC56" s="747"/>
      <c r="GD56" s="747"/>
      <c r="GE56" s="747"/>
      <c r="GF56" s="747"/>
      <c r="GG56" s="747"/>
      <c r="GH56" s="747"/>
      <c r="GI56" s="747"/>
      <c r="GJ56" s="747"/>
    </row>
    <row r="57" spans="1:202" ht="18" customHeight="1">
      <c r="A57" s="758"/>
      <c r="B57" s="709" t="s">
        <v>740</v>
      </c>
      <c r="C57" s="711">
        <f ca="1">BF57</f>
        <v>1005.4639023111246</v>
      </c>
      <c r="D57" s="711"/>
      <c r="E57" s="711">
        <f ca="1">E56</f>
        <v>0</v>
      </c>
      <c r="F57" s="711">
        <f ca="1">E57+F56</f>
        <v>0</v>
      </c>
      <c r="G57" s="711">
        <f t="shared" ref="G57:H57" ca="1" si="175">F57+G56</f>
        <v>40.5</v>
      </c>
      <c r="H57" s="711">
        <f t="shared" ca="1" si="175"/>
        <v>124.26643484146189</v>
      </c>
      <c r="I57" s="711"/>
      <c r="J57" s="711">
        <f ca="1">H57+J56</f>
        <v>109.87046740419919</v>
      </c>
      <c r="K57" s="711">
        <f ca="1">J57+K56</f>
        <v>281.83461377182994</v>
      </c>
      <c r="L57" s="711">
        <f t="shared" ref="L57:M57" ca="1" si="176">K57+L56</f>
        <v>1049.1624187258724</v>
      </c>
      <c r="M57" s="711">
        <f t="shared" ca="1" si="176"/>
        <v>10950.506307837923</v>
      </c>
      <c r="N57" s="711"/>
      <c r="O57" s="711">
        <f ca="1">M57+O56</f>
        <v>10889.167222867176</v>
      </c>
      <c r="P57" s="711">
        <f ca="1">O57+P56</f>
        <v>15100.0848991925</v>
      </c>
      <c r="Q57" s="711">
        <f t="shared" ref="Q57:R57" ca="1" si="177">P57+Q56</f>
        <v>16714.133013224313</v>
      </c>
      <c r="R57" s="711">
        <f t="shared" ca="1" si="177"/>
        <v>6643.8015829221731</v>
      </c>
      <c r="S57" s="711"/>
      <c r="T57" s="711">
        <f ca="1">R57+T56</f>
        <v>5242.5682823111256</v>
      </c>
      <c r="U57" s="711">
        <f ca="1">T57+U56</f>
        <v>3675.2824023111252</v>
      </c>
      <c r="V57" s="711">
        <f t="shared" ref="V57:W57" ca="1" si="178">U57+V56</f>
        <v>2487.6048223111247</v>
      </c>
      <c r="W57" s="711">
        <f t="shared" ca="1" si="178"/>
        <v>2487.6048223111247</v>
      </c>
      <c r="X57" s="711"/>
      <c r="Y57" s="711">
        <f ca="1">W57+Y56</f>
        <v>2487.6048223111247</v>
      </c>
      <c r="Z57" s="711">
        <f ca="1">Y57+Z56</f>
        <v>2487.6048223111247</v>
      </c>
      <c r="AA57" s="711">
        <f t="shared" ref="AA57:AB57" ca="1" si="179">Z57+AA56</f>
        <v>1894.7484543111245</v>
      </c>
      <c r="AB57" s="711">
        <f t="shared" ca="1" si="179"/>
        <v>1005.4639023111246</v>
      </c>
      <c r="AC57" s="711"/>
      <c r="AD57" s="711">
        <f ca="1">AB57+AD56</f>
        <v>1005.4639023111246</v>
      </c>
      <c r="AE57" s="711">
        <f ca="1">AD57+AE56</f>
        <v>1005.4639023111246</v>
      </c>
      <c r="AF57" s="711">
        <f t="shared" ref="AF57:AG57" ca="1" si="180">AE57+AF56</f>
        <v>1005.4639023111246</v>
      </c>
      <c r="AG57" s="711">
        <f t="shared" ca="1" si="180"/>
        <v>1005.4639023111246</v>
      </c>
      <c r="AH57" s="711"/>
      <c r="AI57" s="711">
        <f ca="1">AG57+AI56</f>
        <v>1005.4639023111246</v>
      </c>
      <c r="AJ57" s="711">
        <f ca="1">AI57+AJ56</f>
        <v>1005.4639023111246</v>
      </c>
      <c r="AK57" s="711">
        <f t="shared" ref="AK57:AL57" ca="1" si="181">AJ57+AK56</f>
        <v>1005.4639023111246</v>
      </c>
      <c r="AL57" s="711">
        <f t="shared" ca="1" si="181"/>
        <v>1005.4639023111246</v>
      </c>
      <c r="AM57" s="711"/>
      <c r="AN57" s="711">
        <f ca="1">AL57+AN56</f>
        <v>1005.4639023111246</v>
      </c>
      <c r="AO57" s="711">
        <f ca="1">AN57+AO56</f>
        <v>1005.4639023111246</v>
      </c>
      <c r="AP57" s="711">
        <f t="shared" ref="AP57:AQ57" ca="1" si="182">AO57+AP56</f>
        <v>1005.4639023111246</v>
      </c>
      <c r="AQ57" s="711">
        <f t="shared" ca="1" si="182"/>
        <v>1005.4639023111246</v>
      </c>
      <c r="AR57" s="711"/>
      <c r="AS57" s="711">
        <f ca="1">AQ57+AS56</f>
        <v>1005.4639023111246</v>
      </c>
      <c r="AT57" s="711">
        <f ca="1">AS57+AT56</f>
        <v>1005.4639023111246</v>
      </c>
      <c r="AU57" s="711">
        <f t="shared" ref="AU57:AV57" ca="1" si="183">AT57+AU56</f>
        <v>1005.4639023111246</v>
      </c>
      <c r="AV57" s="711">
        <f t="shared" ca="1" si="183"/>
        <v>1005.4639023111246</v>
      </c>
      <c r="AW57" s="711"/>
      <c r="AX57" s="711">
        <f ca="1">AV57+AX56</f>
        <v>1005.4639023111246</v>
      </c>
      <c r="AY57" s="711">
        <f ca="1">AX57+AY56</f>
        <v>1005.4639023111246</v>
      </c>
      <c r="AZ57" s="711">
        <f t="shared" ref="AZ57:BA57" ca="1" si="184">AY57+AZ56</f>
        <v>1005.4639023111246</v>
      </c>
      <c r="BA57" s="711">
        <f t="shared" ca="1" si="184"/>
        <v>1005.4639023111246</v>
      </c>
      <c r="BB57" s="711"/>
      <c r="BC57" s="711">
        <f ca="1">BA57+BC56</f>
        <v>1005.4639023111246</v>
      </c>
      <c r="BD57" s="711">
        <f ca="1">BC57+BD56</f>
        <v>1005.4639023111246</v>
      </c>
      <c r="BE57" s="711">
        <f t="shared" ref="BE57:BF57" ca="1" si="185">BD57+BE56</f>
        <v>1005.4639023111246</v>
      </c>
      <c r="BF57" s="711">
        <f t="shared" ca="1" si="185"/>
        <v>1005.4639023111246</v>
      </c>
      <c r="BG57" s="747"/>
      <c r="BH57" s="747"/>
      <c r="BI57" s="747"/>
      <c r="BJ57" s="747"/>
      <c r="BK57" s="747"/>
      <c r="BL57" s="747"/>
      <c r="BM57" s="747"/>
      <c r="BN57" s="747"/>
      <c r="BO57" s="747"/>
      <c r="BP57" s="747"/>
      <c r="BQ57" s="747"/>
      <c r="BR57" s="747"/>
      <c r="BS57" s="747"/>
      <c r="BT57" s="747"/>
      <c r="BU57" s="747"/>
      <c r="BV57" s="747"/>
      <c r="BW57" s="747"/>
      <c r="BX57" s="747"/>
      <c r="BY57" s="747"/>
      <c r="BZ57" s="747"/>
      <c r="CA57" s="747"/>
      <c r="CB57" s="747"/>
      <c r="CC57" s="747"/>
      <c r="CD57" s="747"/>
      <c r="CE57" s="747"/>
      <c r="CF57" s="747"/>
      <c r="CG57" s="747"/>
      <c r="CH57" s="747"/>
      <c r="CI57" s="747"/>
      <c r="CJ57" s="747"/>
      <c r="CK57" s="747"/>
      <c r="CL57" s="747"/>
      <c r="CM57" s="747"/>
      <c r="CN57" s="747"/>
      <c r="CO57" s="747"/>
      <c r="CP57" s="747"/>
      <c r="CQ57" s="747"/>
      <c r="CR57" s="747"/>
      <c r="CS57" s="747"/>
      <c r="CT57" s="747"/>
      <c r="CU57" s="747"/>
      <c r="CV57" s="747"/>
      <c r="CW57" s="747"/>
      <c r="CX57" s="747"/>
      <c r="CY57" s="747"/>
      <c r="CZ57" s="747"/>
      <c r="DA57" s="747"/>
      <c r="DB57" s="747"/>
      <c r="DC57" s="747"/>
      <c r="DD57" s="747"/>
      <c r="DE57" s="747"/>
      <c r="DF57" s="747"/>
      <c r="DG57" s="747"/>
      <c r="DH57" s="747"/>
      <c r="DI57" s="747"/>
      <c r="DJ57" s="747"/>
      <c r="DK57" s="747"/>
      <c r="DL57" s="747"/>
      <c r="DM57" s="747"/>
      <c r="DN57" s="747"/>
      <c r="DO57" s="747"/>
      <c r="DP57" s="747"/>
      <c r="DQ57" s="747"/>
      <c r="DR57" s="747"/>
      <c r="DS57" s="747"/>
      <c r="DT57" s="747"/>
      <c r="DU57" s="747"/>
      <c r="DV57" s="747"/>
      <c r="DW57" s="747"/>
      <c r="DX57" s="747"/>
      <c r="DY57" s="747"/>
      <c r="DZ57" s="747"/>
      <c r="EA57" s="747"/>
      <c r="EB57" s="747"/>
      <c r="EC57" s="747"/>
      <c r="ED57" s="747"/>
      <c r="EE57" s="747"/>
      <c r="EF57" s="747"/>
      <c r="EG57" s="747"/>
      <c r="EH57" s="747"/>
      <c r="EI57" s="747"/>
      <c r="EJ57" s="747"/>
      <c r="EK57" s="747"/>
      <c r="EL57" s="747"/>
      <c r="EM57" s="747"/>
      <c r="EN57" s="747"/>
      <c r="EO57" s="747"/>
      <c r="EP57" s="747"/>
      <c r="EQ57" s="747"/>
      <c r="ER57" s="747"/>
      <c r="ES57" s="747"/>
      <c r="ET57" s="747"/>
      <c r="EU57" s="747"/>
      <c r="EV57" s="747"/>
      <c r="EW57" s="747"/>
      <c r="EX57" s="747"/>
      <c r="EY57" s="747"/>
      <c r="EZ57" s="747"/>
      <c r="FA57" s="747"/>
      <c r="FB57" s="747"/>
      <c r="FC57" s="747"/>
      <c r="FD57" s="747"/>
      <c r="FE57" s="747"/>
      <c r="FF57" s="747"/>
      <c r="FG57" s="747"/>
      <c r="FH57" s="747"/>
      <c r="FI57" s="747"/>
      <c r="FJ57" s="747"/>
      <c r="FK57" s="747"/>
      <c r="FL57" s="747"/>
      <c r="FM57" s="747"/>
      <c r="FN57" s="747"/>
      <c r="FO57" s="747"/>
      <c r="FP57" s="747"/>
      <c r="FQ57" s="747"/>
      <c r="FR57" s="747"/>
      <c r="FS57" s="747"/>
      <c r="FT57" s="747"/>
      <c r="FU57" s="747"/>
      <c r="FV57" s="747"/>
      <c r="FW57" s="747"/>
      <c r="FX57" s="747"/>
      <c r="FY57" s="747"/>
      <c r="FZ57" s="747"/>
      <c r="GA57" s="747"/>
      <c r="GB57" s="747"/>
      <c r="GC57" s="747"/>
      <c r="GD57" s="747"/>
      <c r="GE57" s="747"/>
      <c r="GF57" s="747"/>
      <c r="GG57" s="747"/>
      <c r="GH57" s="747"/>
      <c r="GI57" s="747"/>
      <c r="GJ57" s="747"/>
    </row>
    <row r="58" spans="1:202" ht="18" customHeight="1">
      <c r="A58" s="758"/>
      <c r="B58" s="810" t="s">
        <v>741</v>
      </c>
      <c r="C58" s="811">
        <f ca="1">C56-收并购及自持输出表!C39+C48-C49+C51-C52</f>
        <v>0</v>
      </c>
      <c r="D58" s="812"/>
      <c r="E58" s="812"/>
      <c r="F58" s="812"/>
      <c r="G58" s="812"/>
      <c r="H58" s="812"/>
      <c r="I58" s="812"/>
      <c r="J58" s="812"/>
      <c r="K58" s="812"/>
      <c r="L58" s="812"/>
      <c r="M58" s="812"/>
      <c r="N58" s="812"/>
      <c r="O58" s="812"/>
      <c r="P58" s="812"/>
      <c r="Q58" s="812"/>
      <c r="R58" s="812"/>
      <c r="S58" s="812"/>
      <c r="T58" s="812"/>
      <c r="U58" s="812"/>
      <c r="V58" s="812"/>
      <c r="W58" s="812"/>
      <c r="X58" s="812"/>
      <c r="Y58" s="812"/>
      <c r="Z58" s="812"/>
      <c r="AA58" s="812"/>
      <c r="AB58" s="812"/>
      <c r="AC58" s="812"/>
      <c r="AD58" s="812"/>
      <c r="AE58" s="812"/>
      <c r="AF58" s="812"/>
      <c r="AG58" s="812"/>
      <c r="AH58" s="812"/>
      <c r="AI58" s="812"/>
      <c r="AJ58" s="812"/>
      <c r="AK58" s="812"/>
      <c r="AL58" s="812"/>
      <c r="AM58" s="812"/>
      <c r="AN58" s="812"/>
      <c r="AO58" s="812"/>
      <c r="AP58" s="812"/>
      <c r="AQ58" s="812"/>
      <c r="AR58" s="812"/>
      <c r="AS58" s="812"/>
      <c r="AT58" s="812"/>
      <c r="AU58" s="812"/>
      <c r="AV58" s="812"/>
      <c r="AW58" s="812"/>
      <c r="AX58" s="812"/>
      <c r="AY58" s="812"/>
      <c r="AZ58" s="812"/>
      <c r="BA58" s="812"/>
      <c r="BB58" s="812"/>
      <c r="BC58" s="812"/>
      <c r="BD58" s="812"/>
      <c r="BE58" s="812"/>
      <c r="BF58" s="812"/>
      <c r="BG58" s="747"/>
      <c r="BH58" s="747"/>
      <c r="BI58" s="747"/>
      <c r="BJ58" s="747"/>
      <c r="BK58" s="747"/>
      <c r="BL58" s="747"/>
      <c r="BM58" s="747"/>
      <c r="BN58" s="747"/>
      <c r="BO58" s="747"/>
      <c r="BP58" s="747"/>
      <c r="BQ58" s="747"/>
      <c r="BR58" s="747"/>
      <c r="BS58" s="747"/>
      <c r="BT58" s="747"/>
      <c r="BU58" s="747"/>
      <c r="BV58" s="747"/>
      <c r="BW58" s="747"/>
      <c r="BX58" s="747"/>
      <c r="BY58" s="747"/>
      <c r="BZ58" s="747"/>
      <c r="CA58" s="747"/>
      <c r="CB58" s="747"/>
      <c r="CC58" s="747"/>
      <c r="CD58" s="747"/>
      <c r="CE58" s="747"/>
      <c r="CF58" s="747"/>
      <c r="CG58" s="747"/>
      <c r="CH58" s="747"/>
      <c r="CI58" s="747"/>
      <c r="CJ58" s="747"/>
      <c r="CK58" s="747"/>
      <c r="CL58" s="747"/>
      <c r="CM58" s="747"/>
      <c r="CN58" s="747"/>
      <c r="CO58" s="747"/>
      <c r="CP58" s="747"/>
      <c r="CQ58" s="747"/>
      <c r="CR58" s="747"/>
      <c r="CS58" s="747"/>
      <c r="CT58" s="747"/>
      <c r="CU58" s="747"/>
      <c r="CV58" s="747"/>
      <c r="CW58" s="747"/>
      <c r="CX58" s="747"/>
      <c r="CY58" s="747"/>
      <c r="CZ58" s="747"/>
      <c r="DA58" s="747"/>
      <c r="DB58" s="747"/>
      <c r="DC58" s="747"/>
      <c r="DD58" s="747"/>
      <c r="DE58" s="747"/>
      <c r="DF58" s="747"/>
      <c r="DG58" s="747"/>
      <c r="DH58" s="747"/>
      <c r="DI58" s="747"/>
      <c r="DJ58" s="747"/>
      <c r="DK58" s="747"/>
      <c r="DL58" s="747"/>
      <c r="DM58" s="747"/>
      <c r="DN58" s="747"/>
      <c r="DO58" s="747"/>
      <c r="DP58" s="747"/>
      <c r="DQ58" s="747"/>
      <c r="DR58" s="747"/>
      <c r="DS58" s="747"/>
      <c r="DT58" s="747"/>
      <c r="DU58" s="747"/>
      <c r="DV58" s="747"/>
      <c r="DW58" s="747"/>
      <c r="DX58" s="747"/>
      <c r="DY58" s="747"/>
      <c r="DZ58" s="747"/>
      <c r="EA58" s="747"/>
      <c r="EB58" s="747"/>
      <c r="EC58" s="747"/>
      <c r="ED58" s="747"/>
      <c r="EE58" s="747"/>
      <c r="EF58" s="747"/>
      <c r="EG58" s="747"/>
      <c r="EH58" s="747"/>
      <c r="EI58" s="747"/>
      <c r="EJ58" s="747"/>
      <c r="EK58" s="747"/>
      <c r="EL58" s="747"/>
      <c r="EM58" s="747"/>
      <c r="EN58" s="747"/>
      <c r="EO58" s="747"/>
      <c r="EP58" s="747"/>
      <c r="EQ58" s="747"/>
      <c r="ER58" s="747"/>
      <c r="ES58" s="747"/>
      <c r="ET58" s="747"/>
      <c r="EU58" s="747"/>
      <c r="EV58" s="747"/>
      <c r="EW58" s="747"/>
      <c r="EX58" s="747"/>
      <c r="EY58" s="747"/>
      <c r="EZ58" s="747"/>
      <c r="FA58" s="747"/>
      <c r="FB58" s="747"/>
      <c r="FC58" s="747"/>
      <c r="FD58" s="747"/>
      <c r="FE58" s="747"/>
      <c r="FF58" s="747"/>
      <c r="FG58" s="747"/>
      <c r="FH58" s="747"/>
      <c r="FI58" s="747"/>
      <c r="FJ58" s="747"/>
      <c r="FK58" s="747"/>
      <c r="FL58" s="747"/>
      <c r="FM58" s="747"/>
      <c r="FN58" s="747"/>
      <c r="FO58" s="747"/>
      <c r="FP58" s="747"/>
      <c r="FQ58" s="747"/>
      <c r="FR58" s="747"/>
      <c r="FS58" s="747"/>
      <c r="FT58" s="747"/>
      <c r="FU58" s="747"/>
      <c r="FV58" s="747"/>
      <c r="FW58" s="747"/>
      <c r="FX58" s="747"/>
      <c r="FY58" s="747"/>
      <c r="FZ58" s="747"/>
      <c r="GA58" s="747"/>
      <c r="GB58" s="747"/>
      <c r="GC58" s="747"/>
      <c r="GD58" s="747"/>
      <c r="GE58" s="747"/>
      <c r="GF58" s="747"/>
      <c r="GG58" s="747"/>
      <c r="GH58" s="747"/>
      <c r="GI58" s="747"/>
      <c r="GJ58" s="747"/>
    </row>
    <row r="59" spans="1:202">
      <c r="A59" s="758"/>
      <c r="B59" s="818"/>
      <c r="C59" s="473"/>
      <c r="D59" s="747"/>
      <c r="E59" s="1705">
        <f>E34+E48-E49</f>
        <v>0</v>
      </c>
      <c r="F59" s="1705">
        <f t="shared" ref="F59:M59" ca="1" si="186">F34+F48-F49</f>
        <v>0</v>
      </c>
      <c r="G59" s="1705">
        <f t="shared" ca="1" si="186"/>
        <v>7300</v>
      </c>
      <c r="H59" s="1705">
        <f t="shared" ca="1" si="186"/>
        <v>2000</v>
      </c>
      <c r="I59" s="1705">
        <f t="shared" ca="1" si="186"/>
        <v>0</v>
      </c>
      <c r="J59" s="1705">
        <f t="shared" ca="1" si="186"/>
        <v>7400</v>
      </c>
      <c r="K59" s="1705">
        <f t="shared" si="186"/>
        <v>-16700</v>
      </c>
      <c r="L59" s="1705">
        <f t="shared" si="186"/>
        <v>0</v>
      </c>
      <c r="M59" s="1705">
        <f t="shared" si="186"/>
        <v>0</v>
      </c>
      <c r="N59" s="747"/>
      <c r="O59" s="747"/>
      <c r="P59" s="747"/>
      <c r="Q59" s="747"/>
      <c r="R59" s="747"/>
      <c r="S59" s="747"/>
      <c r="T59" s="747"/>
      <c r="U59" s="747"/>
      <c r="V59" s="747"/>
      <c r="W59" s="747"/>
      <c r="X59" s="747"/>
      <c r="Y59" s="747"/>
      <c r="Z59" s="747"/>
      <c r="AA59" s="747"/>
      <c r="AB59" s="747"/>
      <c r="AC59" s="747"/>
      <c r="AD59" s="747"/>
      <c r="AE59" s="747"/>
      <c r="AF59" s="747"/>
      <c r="AG59" s="747"/>
      <c r="AH59" s="747"/>
      <c r="AI59" s="747"/>
      <c r="AJ59" s="747"/>
      <c r="AK59" s="747"/>
      <c r="AL59" s="747"/>
      <c r="AM59" s="747"/>
      <c r="AN59" s="747"/>
      <c r="AO59" s="747"/>
      <c r="AP59" s="747"/>
      <c r="AQ59" s="747"/>
      <c r="AR59" s="747"/>
      <c r="AS59" s="747"/>
      <c r="AT59" s="747"/>
      <c r="AU59" s="747"/>
      <c r="AV59" s="747"/>
      <c r="AW59" s="747"/>
      <c r="AX59" s="747"/>
      <c r="AY59" s="747"/>
      <c r="AZ59" s="747"/>
      <c r="BA59" s="747"/>
      <c r="BB59" s="747"/>
      <c r="BC59" s="747"/>
      <c r="BD59" s="747"/>
      <c r="BE59" s="747"/>
      <c r="BF59" s="747"/>
      <c r="BG59" s="747"/>
      <c r="BH59" s="747"/>
      <c r="BI59" s="747"/>
      <c r="BJ59" s="747"/>
      <c r="BK59" s="747"/>
      <c r="BL59" s="747"/>
      <c r="BM59" s="747"/>
      <c r="BN59" s="747"/>
      <c r="BO59" s="747"/>
      <c r="BP59" s="747"/>
      <c r="BQ59" s="747"/>
      <c r="BR59" s="747"/>
      <c r="BS59" s="747"/>
      <c r="BT59" s="747"/>
      <c r="BU59" s="747"/>
      <c r="BV59" s="747"/>
      <c r="BW59" s="747"/>
      <c r="BX59" s="747"/>
      <c r="BY59" s="747"/>
      <c r="BZ59" s="747"/>
      <c r="CA59" s="747"/>
      <c r="CB59" s="747"/>
      <c r="CC59" s="747"/>
      <c r="CD59" s="747"/>
      <c r="CE59" s="747"/>
      <c r="CF59" s="747"/>
      <c r="CG59" s="747"/>
      <c r="CH59" s="747"/>
      <c r="CI59" s="747"/>
      <c r="CJ59" s="747"/>
      <c r="CK59" s="747"/>
      <c r="CL59" s="747"/>
      <c r="CM59" s="747"/>
      <c r="CN59" s="747"/>
      <c r="CO59" s="747"/>
      <c r="CP59" s="747"/>
      <c r="CQ59" s="747"/>
      <c r="CR59" s="747"/>
      <c r="CS59" s="747"/>
      <c r="CT59" s="747"/>
      <c r="CU59" s="747"/>
      <c r="CV59" s="747"/>
      <c r="CW59" s="747"/>
      <c r="CX59" s="747"/>
      <c r="CY59" s="747"/>
      <c r="CZ59" s="747"/>
      <c r="DA59" s="747"/>
      <c r="DB59" s="747"/>
      <c r="DC59" s="747"/>
      <c r="DD59" s="747"/>
      <c r="DE59" s="747"/>
      <c r="DF59" s="747"/>
      <c r="DG59" s="747"/>
      <c r="DH59" s="747"/>
      <c r="DI59" s="747"/>
      <c r="DJ59" s="747"/>
      <c r="DK59" s="747"/>
      <c r="DL59" s="747"/>
      <c r="DM59" s="747"/>
      <c r="DN59" s="747"/>
      <c r="DO59" s="747"/>
      <c r="DP59" s="747"/>
      <c r="DQ59" s="747"/>
      <c r="DR59" s="747"/>
      <c r="DS59" s="747"/>
      <c r="DT59" s="747"/>
      <c r="DU59" s="747"/>
      <c r="DV59" s="747"/>
      <c r="DW59" s="747"/>
      <c r="DX59" s="747"/>
      <c r="DY59" s="747"/>
      <c r="DZ59" s="747"/>
      <c r="EA59" s="747"/>
      <c r="EB59" s="747"/>
      <c r="EC59" s="747"/>
      <c r="ED59" s="747"/>
      <c r="EE59" s="747"/>
      <c r="EF59" s="747"/>
      <c r="EG59" s="747"/>
      <c r="EH59" s="747"/>
      <c r="EI59" s="747"/>
      <c r="EJ59" s="747"/>
      <c r="EK59" s="747"/>
      <c r="EL59" s="747"/>
      <c r="EM59" s="747"/>
      <c r="EN59" s="747"/>
      <c r="EO59" s="747"/>
      <c r="EP59" s="747"/>
      <c r="EQ59" s="747"/>
      <c r="ER59" s="747"/>
      <c r="ES59" s="747"/>
      <c r="ET59" s="747"/>
      <c r="EU59" s="747"/>
      <c r="EV59" s="747"/>
      <c r="EW59" s="747"/>
      <c r="EX59" s="747"/>
      <c r="EY59" s="747"/>
      <c r="EZ59" s="747"/>
      <c r="FA59" s="747"/>
      <c r="FB59" s="747"/>
      <c r="FC59" s="747"/>
      <c r="FD59" s="747"/>
      <c r="FE59" s="747"/>
      <c r="FF59" s="747"/>
      <c r="FG59" s="747"/>
      <c r="FH59" s="747"/>
      <c r="FI59" s="747"/>
      <c r="FJ59" s="747"/>
      <c r="FK59" s="747"/>
      <c r="FL59" s="747"/>
      <c r="FM59" s="747"/>
      <c r="FN59" s="747"/>
      <c r="FO59" s="747"/>
      <c r="FP59" s="747"/>
      <c r="FQ59" s="747"/>
      <c r="FR59" s="747"/>
      <c r="FS59" s="747"/>
      <c r="FT59" s="747"/>
      <c r="FU59" s="747"/>
      <c r="FV59" s="747"/>
      <c r="FW59" s="747"/>
      <c r="FX59" s="747"/>
      <c r="FY59" s="747"/>
      <c r="FZ59" s="747"/>
      <c r="GA59" s="747"/>
      <c r="GB59" s="747"/>
      <c r="GC59" s="747"/>
      <c r="GD59" s="747"/>
      <c r="GE59" s="747"/>
      <c r="GF59" s="747"/>
      <c r="GG59" s="747"/>
      <c r="GH59" s="747"/>
      <c r="GI59" s="747"/>
      <c r="GJ59" s="747"/>
    </row>
    <row r="60" spans="1:202">
      <c r="A60" s="758"/>
      <c r="B60" s="818"/>
      <c r="C60" s="473"/>
      <c r="D60" s="747"/>
      <c r="E60" s="819">
        <f>收并购参数设置!E2</f>
        <v>43210</v>
      </c>
      <c r="F60" s="819">
        <f>E60+90</f>
        <v>43300</v>
      </c>
      <c r="G60" s="819">
        <f>F60+90</f>
        <v>43390</v>
      </c>
      <c r="H60" s="819">
        <f>G60+90</f>
        <v>43480</v>
      </c>
      <c r="I60" s="819"/>
      <c r="J60" s="819">
        <f>H60+90</f>
        <v>43570</v>
      </c>
      <c r="K60" s="819">
        <f>J60+90</f>
        <v>43660</v>
      </c>
      <c r="L60" s="819">
        <f>K60+90</f>
        <v>43750</v>
      </c>
      <c r="M60" s="819">
        <f>L60+90</f>
        <v>43840</v>
      </c>
      <c r="N60" s="819"/>
      <c r="O60" s="819">
        <f>M60+90</f>
        <v>43930</v>
      </c>
      <c r="P60" s="819">
        <f>O60+90</f>
        <v>44020</v>
      </c>
      <c r="Q60" s="819">
        <f>P60+90</f>
        <v>44110</v>
      </c>
      <c r="R60" s="819">
        <f>Q60+90</f>
        <v>44200</v>
      </c>
      <c r="S60" s="819"/>
      <c r="T60" s="819">
        <f>R60+90</f>
        <v>44290</v>
      </c>
      <c r="U60" s="819">
        <f>T60+90</f>
        <v>44380</v>
      </c>
      <c r="V60" s="819">
        <f>U60+90</f>
        <v>44470</v>
      </c>
      <c r="W60" s="819">
        <f>V60+90</f>
        <v>44560</v>
      </c>
      <c r="X60" s="819"/>
      <c r="Y60" s="819">
        <f>W60+90</f>
        <v>44650</v>
      </c>
      <c r="Z60" s="819">
        <f>Y60+90</f>
        <v>44740</v>
      </c>
      <c r="AA60" s="819">
        <f>Z60+90</f>
        <v>44830</v>
      </c>
      <c r="AB60" s="819">
        <f>AA60+90</f>
        <v>44920</v>
      </c>
      <c r="AC60" s="819"/>
      <c r="AD60" s="819">
        <f>AB60+90</f>
        <v>45010</v>
      </c>
      <c r="AE60" s="819">
        <f>AD60+90</f>
        <v>45100</v>
      </c>
      <c r="AF60" s="819">
        <f>AE60+90</f>
        <v>45190</v>
      </c>
      <c r="AG60" s="819">
        <f>AF60+90</f>
        <v>45280</v>
      </c>
      <c r="AH60" s="819"/>
      <c r="AI60" s="819">
        <f>AG60+90</f>
        <v>45370</v>
      </c>
      <c r="AJ60" s="819">
        <f>AI60+90</f>
        <v>45460</v>
      </c>
      <c r="AK60" s="819">
        <f>AJ60+90</f>
        <v>45550</v>
      </c>
      <c r="AL60" s="819">
        <f>AK60+90</f>
        <v>45640</v>
      </c>
      <c r="AM60" s="819"/>
      <c r="AN60" s="819">
        <f>AL60+90</f>
        <v>45730</v>
      </c>
      <c r="AO60" s="819">
        <f>AN60+90</f>
        <v>45820</v>
      </c>
      <c r="AP60" s="819">
        <f>AO60+90</f>
        <v>45910</v>
      </c>
      <c r="AQ60" s="819">
        <f>AP60+90</f>
        <v>46000</v>
      </c>
      <c r="AR60" s="819"/>
      <c r="AS60" s="819">
        <f>AQ60+90</f>
        <v>46090</v>
      </c>
      <c r="AT60" s="819">
        <f>AS60+90</f>
        <v>46180</v>
      </c>
      <c r="AU60" s="819">
        <f>AT60+90</f>
        <v>46270</v>
      </c>
      <c r="AV60" s="819">
        <f>AU60+90</f>
        <v>46360</v>
      </c>
      <c r="AW60" s="819"/>
      <c r="AX60" s="819">
        <f>AV60+90</f>
        <v>46450</v>
      </c>
      <c r="AY60" s="819">
        <f>AX60+90</f>
        <v>46540</v>
      </c>
      <c r="AZ60" s="819">
        <f>AY60+90</f>
        <v>46630</v>
      </c>
      <c r="BA60" s="819">
        <f>AZ60+90</f>
        <v>46720</v>
      </c>
      <c r="BB60" s="819"/>
      <c r="BC60" s="819">
        <f>BA60+90</f>
        <v>46810</v>
      </c>
      <c r="BD60" s="819">
        <f>BC60+90</f>
        <v>46900</v>
      </c>
      <c r="BE60" s="819">
        <f>BD60+90</f>
        <v>46990</v>
      </c>
      <c r="BF60" s="819">
        <f>BE60+90</f>
        <v>47080</v>
      </c>
      <c r="BG60" s="819"/>
      <c r="BH60" s="819"/>
      <c r="BI60" s="819"/>
      <c r="BJ60" s="819"/>
      <c r="BK60" s="819"/>
      <c r="BL60" s="819"/>
      <c r="BM60" s="819"/>
      <c r="BN60" s="819"/>
      <c r="BO60" s="819"/>
      <c r="BP60" s="819">
        <v>47618</v>
      </c>
      <c r="BQ60" s="747"/>
      <c r="BR60" s="747"/>
      <c r="BS60" s="747"/>
      <c r="BT60" s="747"/>
      <c r="BU60" s="747"/>
      <c r="BV60" s="747"/>
      <c r="BW60" s="747"/>
      <c r="BX60" s="747"/>
      <c r="BY60" s="747"/>
      <c r="BZ60" s="747"/>
      <c r="CA60" s="747"/>
      <c r="CB60" s="747"/>
      <c r="CC60" s="747"/>
      <c r="CD60" s="747"/>
      <c r="CE60" s="747"/>
      <c r="CF60" s="747"/>
      <c r="CG60" s="747"/>
      <c r="CH60" s="747"/>
      <c r="CI60" s="747"/>
      <c r="CJ60" s="747"/>
      <c r="CK60" s="747"/>
      <c r="CL60" s="747"/>
      <c r="CM60" s="747"/>
      <c r="CN60" s="747"/>
      <c r="CO60" s="747"/>
      <c r="CP60" s="747"/>
      <c r="CQ60" s="747"/>
      <c r="CR60" s="747"/>
      <c r="CS60" s="747"/>
      <c r="CT60" s="747"/>
      <c r="CU60" s="747"/>
      <c r="CV60" s="747"/>
      <c r="CW60" s="747"/>
      <c r="CX60" s="747"/>
      <c r="CY60" s="747"/>
      <c r="CZ60" s="747"/>
      <c r="DA60" s="747"/>
      <c r="DB60" s="747"/>
      <c r="DC60" s="747"/>
      <c r="DD60" s="747"/>
      <c r="DE60" s="747"/>
      <c r="DF60" s="747"/>
      <c r="DG60" s="747"/>
      <c r="DH60" s="747"/>
      <c r="DI60" s="747"/>
      <c r="DJ60" s="747"/>
      <c r="DK60" s="747"/>
      <c r="DL60" s="747"/>
      <c r="DM60" s="747"/>
      <c r="DN60" s="747"/>
      <c r="DO60" s="747"/>
      <c r="DP60" s="747"/>
      <c r="DQ60" s="747"/>
      <c r="DR60" s="747"/>
      <c r="DS60" s="747"/>
      <c r="DT60" s="747"/>
      <c r="DU60" s="747"/>
      <c r="DV60" s="747"/>
      <c r="DW60" s="747"/>
      <c r="DX60" s="747"/>
      <c r="DY60" s="747"/>
      <c r="DZ60" s="747"/>
      <c r="EA60" s="747"/>
      <c r="EB60" s="747"/>
      <c r="EC60" s="747"/>
      <c r="ED60" s="747"/>
      <c r="EE60" s="747"/>
      <c r="EF60" s="747"/>
      <c r="EG60" s="747"/>
      <c r="EH60" s="747"/>
      <c r="EI60" s="747"/>
      <c r="EJ60" s="747"/>
      <c r="EK60" s="747"/>
      <c r="EL60" s="747"/>
      <c r="EM60" s="747"/>
      <c r="EN60" s="747"/>
      <c r="EO60" s="747"/>
      <c r="EP60" s="747"/>
      <c r="EQ60" s="747"/>
      <c r="ER60" s="747"/>
      <c r="ES60" s="747"/>
      <c r="ET60" s="747"/>
      <c r="EU60" s="747"/>
      <c r="EV60" s="747"/>
      <c r="EW60" s="747"/>
      <c r="EX60" s="747"/>
      <c r="EY60" s="747"/>
      <c r="EZ60" s="747"/>
      <c r="FA60" s="747"/>
      <c r="FB60" s="747"/>
      <c r="FC60" s="747"/>
      <c r="FD60" s="747"/>
      <c r="FE60" s="747"/>
      <c r="FF60" s="747"/>
      <c r="FG60" s="747"/>
      <c r="FH60" s="747"/>
      <c r="FI60" s="747"/>
      <c r="FJ60" s="747"/>
      <c r="FK60" s="747"/>
      <c r="FL60" s="747"/>
      <c r="FM60" s="747"/>
      <c r="FN60" s="747"/>
      <c r="FO60" s="747"/>
      <c r="FP60" s="747"/>
      <c r="FQ60" s="747"/>
      <c r="FR60" s="747"/>
      <c r="FS60" s="747"/>
      <c r="FT60" s="747"/>
      <c r="FU60" s="747"/>
      <c r="FV60" s="747"/>
      <c r="FW60" s="747"/>
      <c r="FX60" s="747"/>
      <c r="FY60" s="747"/>
      <c r="FZ60" s="747"/>
      <c r="GA60" s="747"/>
      <c r="GB60" s="747"/>
      <c r="GC60" s="747"/>
      <c r="GD60" s="747"/>
      <c r="GE60" s="747"/>
      <c r="GF60" s="747"/>
      <c r="GG60" s="747"/>
      <c r="GH60" s="747"/>
      <c r="GI60" s="747"/>
      <c r="GJ60" s="747"/>
      <c r="GK60" s="747"/>
      <c r="GL60" s="747"/>
      <c r="GM60" s="747"/>
      <c r="GN60" s="747"/>
      <c r="GO60" s="747"/>
      <c r="GP60" s="747"/>
      <c r="GQ60" s="747"/>
      <c r="GR60" s="747"/>
      <c r="GS60" s="747"/>
      <c r="GT60" s="747"/>
    </row>
    <row r="61" spans="1:202" s="77" customFormat="1" ht="12.75">
      <c r="A61" s="758"/>
      <c r="B61" s="818"/>
      <c r="C61" s="742" t="s">
        <v>742</v>
      </c>
      <c r="D61" s="820">
        <f ca="1">IF(ISERROR((1+IRR(E61:AV61,0.01))^4-1),0,(1+IRR(E61:AV61,0.01))^4-1)</f>
        <v>2.0251538337914821</v>
      </c>
      <c r="E61" s="93">
        <f ca="1">E28*'1.参数设置'!$E$6</f>
        <v>0</v>
      </c>
      <c r="F61" s="93">
        <f ca="1">F28*'1.参数设置'!$E$6</f>
        <v>0</v>
      </c>
      <c r="G61" s="93">
        <f ca="1">G28*'1.参数设置'!$E$6</f>
        <v>-7150</v>
      </c>
      <c r="H61" s="93">
        <f ca="1">H28*'1.参数设置'!$E$6</f>
        <v>-13364.472114965785</v>
      </c>
      <c r="I61" s="93"/>
      <c r="J61" s="93">
        <f ca="1">J28*'1.参数设置'!$E$6</f>
        <v>-1156.8834200000001</v>
      </c>
      <c r="K61" s="93">
        <f ca="1">K28*'1.参数设置'!$E$6</f>
        <v>15784.339146367633</v>
      </c>
      <c r="L61" s="93">
        <f ca="1">L28*'1.参数设置'!$E$6</f>
        <v>24532.201288622338</v>
      </c>
      <c r="M61" s="93">
        <f ca="1">M28*'1.参数设置'!$E$6</f>
        <v>12933.21888911205</v>
      </c>
      <c r="N61" s="93"/>
      <c r="O61" s="93">
        <f ca="1">O28*'1.参数设置'!$E$6</f>
        <v>-61.339084970746626</v>
      </c>
      <c r="P61" s="93">
        <f ca="1">P28*'1.参数设置'!$E$6</f>
        <v>4210.9176763253236</v>
      </c>
      <c r="Q61" s="93">
        <f ca="1">Q28*'1.参数设置'!$E$6</f>
        <v>1614.0481140318147</v>
      </c>
      <c r="R61" s="93">
        <f ca="1">R28*'1.参数设置'!$E$6</f>
        <v>-10070.33143030214</v>
      </c>
      <c r="S61" s="93"/>
      <c r="T61" s="93">
        <f ca="1">T28*'1.参数设置'!$E$6</f>
        <v>-1401.2333006110475</v>
      </c>
      <c r="U61" s="93">
        <f ca="1">U28*'1.参数设置'!$E$6</f>
        <v>-1567.2858800000001</v>
      </c>
      <c r="V61" s="93">
        <f ca="1">V28*'1.参数设置'!$E$6</f>
        <v>-1187.6775800000003</v>
      </c>
      <c r="W61" s="93">
        <f ca="1">W28*'1.参数设置'!$E$6</f>
        <v>0</v>
      </c>
      <c r="X61" s="93"/>
      <c r="Y61" s="93">
        <f ca="1">Y28*'1.参数设置'!$E$6</f>
        <v>0</v>
      </c>
      <c r="Z61" s="93">
        <f ca="1">Z28*'1.参数设置'!$E$6</f>
        <v>0</v>
      </c>
      <c r="AA61" s="93">
        <f ca="1">AA28*'1.参数设置'!$E$6</f>
        <v>-592.85636800000009</v>
      </c>
      <c r="AB61" s="93">
        <f ca="1">AB28*'1.参数设置'!$E$6</f>
        <v>-889.28455199999996</v>
      </c>
      <c r="AC61" s="93"/>
      <c r="AD61" s="93">
        <f ca="1">AD28*'1.参数设置'!$E$6</f>
        <v>0</v>
      </c>
      <c r="AE61" s="93">
        <f ca="1">AE28*'1.参数设置'!$E$6</f>
        <v>0</v>
      </c>
      <c r="AF61" s="93">
        <f ca="1">AF28*'1.参数设置'!$E$6</f>
        <v>0</v>
      </c>
      <c r="AG61" s="93">
        <f ca="1">AG28*'1.参数设置'!$E$6</f>
        <v>0</v>
      </c>
      <c r="AH61" s="93"/>
      <c r="AI61" s="93">
        <f ca="1">AI28*'1.参数设置'!$E$6</f>
        <v>0</v>
      </c>
      <c r="AJ61" s="93">
        <f ca="1">AJ28*'1.参数设置'!$E$6</f>
        <v>0</v>
      </c>
      <c r="AK61" s="93">
        <f ca="1">AK28*'1.参数设置'!$E$6</f>
        <v>0</v>
      </c>
      <c r="AL61" s="93">
        <f ca="1">AL28*'1.参数设置'!$E$6</f>
        <v>0</v>
      </c>
      <c r="AM61" s="93"/>
      <c r="AN61" s="93">
        <f ca="1">AN28*'1.参数设置'!$E$6</f>
        <v>0</v>
      </c>
      <c r="AO61" s="93">
        <f ca="1">AO28*'1.参数设置'!$E$6</f>
        <v>0</v>
      </c>
      <c r="AP61" s="93">
        <f ca="1">AP28*'1.参数设置'!$E$6</f>
        <v>0</v>
      </c>
      <c r="AQ61" s="93">
        <f ca="1">AQ28*'1.参数设置'!$E$6</f>
        <v>0</v>
      </c>
      <c r="AR61" s="93"/>
      <c r="AS61" s="93">
        <f ca="1">AS28*'1.参数设置'!$E$6</f>
        <v>0</v>
      </c>
      <c r="AT61" s="93">
        <f ca="1">AT28*'1.参数设置'!$E$6</f>
        <v>0</v>
      </c>
      <c r="AU61" s="93">
        <f ca="1">AU28*'1.参数设置'!$E$6</f>
        <v>0</v>
      </c>
      <c r="AV61" s="93">
        <f ca="1">AV28*'1.参数设置'!$E$6</f>
        <v>0</v>
      </c>
      <c r="AW61" s="93"/>
      <c r="AX61" s="93">
        <f ca="1">AX28*'1.参数设置'!$E$6</f>
        <v>0</v>
      </c>
      <c r="AY61" s="93">
        <f ca="1">AY28*'1.参数设置'!$E$6</f>
        <v>0</v>
      </c>
      <c r="AZ61" s="93">
        <f ca="1">AZ28*'1.参数设置'!$E$6</f>
        <v>0</v>
      </c>
      <c r="BA61" s="93">
        <f ca="1">BA28*'1.参数设置'!$E$6</f>
        <v>0</v>
      </c>
      <c r="BB61" s="93"/>
      <c r="BC61" s="93">
        <f ca="1">BC28*'1.参数设置'!$E$6</f>
        <v>0</v>
      </c>
      <c r="BD61" s="93">
        <f ca="1">BD28*'1.参数设置'!$E$6</f>
        <v>0</v>
      </c>
      <c r="BE61" s="93">
        <f ca="1">BE28*'1.参数设置'!$E$6</f>
        <v>0</v>
      </c>
      <c r="BF61" s="93">
        <f ca="1">BF28*'1.参数设置'!$E$6</f>
        <v>0</v>
      </c>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c r="CN61" s="78"/>
      <c r="CO61" s="78"/>
      <c r="CP61" s="78"/>
      <c r="CQ61" s="78"/>
      <c r="CR61" s="78"/>
      <c r="CS61" s="78"/>
      <c r="CT61" s="78"/>
      <c r="CU61" s="78"/>
      <c r="CV61" s="78"/>
      <c r="CW61" s="78"/>
      <c r="CX61" s="78"/>
      <c r="CY61" s="78"/>
      <c r="CZ61" s="78"/>
      <c r="DA61" s="78"/>
      <c r="DB61" s="78"/>
      <c r="DC61" s="78"/>
      <c r="DD61" s="78"/>
      <c r="DE61" s="78"/>
      <c r="DF61" s="78"/>
      <c r="DG61" s="78"/>
      <c r="DH61" s="78"/>
      <c r="DI61" s="78"/>
      <c r="DJ61" s="78"/>
      <c r="DK61" s="78"/>
      <c r="DL61" s="78"/>
      <c r="DM61" s="78"/>
      <c r="DN61" s="78"/>
      <c r="DO61" s="78"/>
      <c r="DP61" s="78"/>
      <c r="DQ61" s="78"/>
      <c r="DR61" s="78"/>
      <c r="DS61" s="78"/>
      <c r="DT61" s="78"/>
      <c r="DU61" s="78"/>
      <c r="DV61" s="78"/>
      <c r="DW61" s="78"/>
      <c r="DX61" s="78"/>
      <c r="DY61" s="78"/>
      <c r="DZ61" s="78"/>
      <c r="EA61" s="78"/>
      <c r="EB61" s="78"/>
      <c r="EC61" s="78"/>
      <c r="ED61" s="78"/>
      <c r="EE61" s="78"/>
      <c r="EF61" s="78"/>
      <c r="EG61" s="78"/>
      <c r="EH61" s="78"/>
      <c r="EI61" s="78"/>
      <c r="EJ61" s="78"/>
      <c r="EK61" s="78"/>
      <c r="EL61" s="78"/>
      <c r="EM61" s="78"/>
      <c r="EN61" s="78"/>
      <c r="EO61" s="78"/>
      <c r="EP61" s="78"/>
      <c r="EQ61" s="78"/>
      <c r="ER61" s="78"/>
      <c r="ES61" s="78"/>
      <c r="ET61" s="78"/>
      <c r="EU61" s="78"/>
      <c r="EV61" s="78"/>
      <c r="EW61" s="78"/>
      <c r="EX61" s="78"/>
      <c r="EY61" s="78"/>
      <c r="EZ61" s="78"/>
      <c r="FA61" s="78"/>
      <c r="FB61" s="78"/>
      <c r="FC61" s="78"/>
      <c r="FD61" s="78"/>
      <c r="FE61" s="78"/>
      <c r="FF61" s="78"/>
      <c r="FG61" s="78"/>
      <c r="FH61" s="78"/>
      <c r="FI61" s="78"/>
      <c r="FJ61" s="78"/>
      <c r="FK61" s="78"/>
      <c r="FL61" s="78"/>
      <c r="FM61" s="78"/>
      <c r="FN61" s="78"/>
      <c r="FO61" s="78"/>
      <c r="FP61" s="78"/>
      <c r="FQ61" s="78"/>
      <c r="FR61" s="78"/>
      <c r="FS61" s="78"/>
      <c r="FT61" s="78"/>
      <c r="FU61" s="78"/>
      <c r="FV61" s="78"/>
      <c r="FW61" s="78"/>
      <c r="FX61" s="78"/>
      <c r="FY61" s="78"/>
      <c r="FZ61" s="78"/>
      <c r="GA61" s="78"/>
      <c r="GB61" s="78"/>
      <c r="GC61" s="78"/>
      <c r="GD61" s="78"/>
      <c r="GE61" s="78"/>
      <c r="GF61" s="78"/>
      <c r="GG61" s="78"/>
      <c r="GH61" s="78"/>
      <c r="GI61" s="78"/>
      <c r="GJ61" s="78"/>
    </row>
    <row r="62" spans="1:202" s="247" customFormat="1" ht="12.75">
      <c r="A62" s="758"/>
      <c r="B62" s="821"/>
      <c r="C62" s="822" t="s">
        <v>743</v>
      </c>
      <c r="D62" s="820">
        <f ca="1">IF(ISERROR((1+IRR(E62:AV62,0.1))^4-1),0,(1+IRR(E62:AV62,0.1))^4-1)</f>
        <v>0.95106141639230457</v>
      </c>
      <c r="E62" s="102">
        <f ca="1">E61+E33*'1.参数设置'!$E$6+(E51-E52-E55)-E45</f>
        <v>0</v>
      </c>
      <c r="F62" s="102">
        <f ca="1">F61+F33*'1.参数设置'!$E$6+(F51-F52-F55)-F45</f>
        <v>0</v>
      </c>
      <c r="G62" s="102">
        <f ca="1">G61+G33*'1.参数设置'!$E$6+(G51-G52-G55)-G45</f>
        <v>-7150</v>
      </c>
      <c r="H62" s="102">
        <f ca="1">H61+H33*'1.参数设置'!$E$6+(H51-H52-H55)-H45</f>
        <v>-1667.2335651585363</v>
      </c>
      <c r="I62" s="102"/>
      <c r="J62" s="102">
        <f ca="1">J61+J33*'1.参数设置'!$E$6+(J51-J52-J55)-J45</f>
        <v>-7156.3959674372627</v>
      </c>
      <c r="K62" s="102">
        <f ca="1">K61+K33*'1.参数设置'!$E$6+(K51-K52-K55)-K45</f>
        <v>16990.464146367631</v>
      </c>
      <c r="L62" s="102">
        <f ca="1">L61+L33*'1.参数设置'!$E$6+(L51-L52-L55)-L45</f>
        <v>767.32780495404245</v>
      </c>
      <c r="M62" s="102">
        <f ca="1">M61+M33*'1.参数设置'!$E$6+(M51-M52-M55)-M45</f>
        <v>9901.3438891120495</v>
      </c>
      <c r="N62" s="102"/>
      <c r="O62" s="102">
        <f ca="1">O61+O33*'1.参数设置'!$E$6+(O51-O52-O55)-O45</f>
        <v>-61.339084970746626</v>
      </c>
      <c r="P62" s="102">
        <f ca="1">P61+P33*'1.参数设置'!$E$6+(P51-P52-P55)-P45</f>
        <v>4210.9176763253236</v>
      </c>
      <c r="Q62" s="102">
        <f ca="1">Q61+Q33*'1.参数设置'!$E$6+(Q51-Q52-Q55)-Q45</f>
        <v>1614.0481140318147</v>
      </c>
      <c r="R62" s="102">
        <f ca="1">R61+R33*'1.参数设置'!$E$6+(R51-R52-R55)-R45</f>
        <v>-10070.33143030214</v>
      </c>
      <c r="S62" s="102"/>
      <c r="T62" s="102">
        <f ca="1">T61+T33*'1.参数设置'!$E$6+(T51-T52-T55)-T45</f>
        <v>-1401.2333006110475</v>
      </c>
      <c r="U62" s="102">
        <f ca="1">U61+U33*'1.参数设置'!$E$6+(U51-U52-U55)-U45</f>
        <v>-1567.2858800000001</v>
      </c>
      <c r="V62" s="102">
        <f ca="1">V61+V33*'1.参数设置'!$E$6+(V51-V52-V55)-V45</f>
        <v>-1187.6775800000003</v>
      </c>
      <c r="W62" s="102">
        <f ca="1">W61+W33*'1.参数设置'!$E$6+(W51-W52-W55)-W45</f>
        <v>0</v>
      </c>
      <c r="X62" s="102"/>
      <c r="Y62" s="102">
        <f ca="1">Y61+Y33*'1.参数设置'!$E$6+(Y51-Y52-Y55)-Y45</f>
        <v>0</v>
      </c>
      <c r="Z62" s="102">
        <f ca="1">Z61+Z33*'1.参数设置'!$E$6+(Z51-Z52-Z55)-Z45</f>
        <v>0</v>
      </c>
      <c r="AA62" s="102">
        <f ca="1">AA61+AA33*'1.参数设置'!$E$6+(AA51-AA52-AA55)-AA45</f>
        <v>-592.85636800000009</v>
      </c>
      <c r="AB62" s="102">
        <f ca="1">AB61+AB33*'1.参数设置'!$E$6+(AB51-AB52-AB55)-AB45</f>
        <v>-889.28455199999996</v>
      </c>
      <c r="AC62" s="102"/>
      <c r="AD62" s="102">
        <f ca="1">AD61+AD33*'1.参数设置'!$E$6+(AD51-AD52-AD55)-AD45</f>
        <v>0</v>
      </c>
      <c r="AE62" s="102">
        <f ca="1">AE61+AE33*'1.参数设置'!$E$6+(AE51-AE52-AE55)-AE45</f>
        <v>0</v>
      </c>
      <c r="AF62" s="102">
        <f ca="1">AF61+AF33*'1.参数设置'!$E$6+(AF51-AF52-AF55)-AF45</f>
        <v>0</v>
      </c>
      <c r="AG62" s="102">
        <f ca="1">AG61+AG33*'1.参数设置'!$E$6+(AG51-AG52-AG55)-AG45</f>
        <v>0</v>
      </c>
      <c r="AH62" s="102"/>
      <c r="AI62" s="102">
        <f ca="1">AI61+AI33*'1.参数设置'!$E$6+(AI51-AI52-AI55)-AI45</f>
        <v>0</v>
      </c>
      <c r="AJ62" s="102">
        <f ca="1">AJ61+AJ33*'1.参数设置'!$E$6+(AJ51-AJ52-AJ55)-AJ45</f>
        <v>0</v>
      </c>
      <c r="AK62" s="102">
        <f ca="1">AK61+AK33*'1.参数设置'!$E$6+(AK51-AK52-AK55)-AK45</f>
        <v>0</v>
      </c>
      <c r="AL62" s="102">
        <f ca="1">AL61+AL33*'1.参数设置'!$E$6+(AL51-AL52-AL55)-AL45</f>
        <v>0</v>
      </c>
      <c r="AM62" s="102"/>
      <c r="AN62" s="102">
        <f ca="1">AN61+AN33*'1.参数设置'!$E$6+(AN51-AN52-AN55)-AN45</f>
        <v>0</v>
      </c>
      <c r="AO62" s="102">
        <f ca="1">AO61+AO33*'1.参数设置'!$E$6+(AO51-AO52-AO55)-AO45</f>
        <v>0</v>
      </c>
      <c r="AP62" s="102">
        <f ca="1">AP61+AP33*'1.参数设置'!$E$6+(AP51-AP52-AP55)-AP45</f>
        <v>0</v>
      </c>
      <c r="AQ62" s="102">
        <f ca="1">AQ61+AQ33*'1.参数设置'!$E$6+(AQ51-AQ52-AQ55)-AQ45</f>
        <v>0</v>
      </c>
      <c r="AR62" s="102"/>
      <c r="AS62" s="102">
        <f ca="1">AS61+AS33*'1.参数设置'!$E$6+(AS51-AS52-AS55)-AS45</f>
        <v>0</v>
      </c>
      <c r="AT62" s="102">
        <f ca="1">AT61+AT33*'1.参数设置'!$E$6+(AT51-AT52-AT55)-AT45</f>
        <v>0</v>
      </c>
      <c r="AU62" s="102">
        <f ca="1">AU61+AU33*'1.参数设置'!$E$6+(AU51-AU52-AU55)-AU45</f>
        <v>0</v>
      </c>
      <c r="AV62" s="102">
        <f ca="1">AV61+AV33*'1.参数设置'!$E$6+(AV51-AV52-AV55)-AV45</f>
        <v>0</v>
      </c>
      <c r="AW62" s="102"/>
      <c r="AX62" s="102">
        <f ca="1">AX61+AX33*'1.参数设置'!$E$6+(AX51-AX52-AX55)-AX45</f>
        <v>0</v>
      </c>
      <c r="AY62" s="102">
        <f ca="1">AY61+AY33*'1.参数设置'!$E$6+(AY51-AY52-AY55)-AY45</f>
        <v>0</v>
      </c>
      <c r="AZ62" s="102">
        <f ca="1">AZ61+AZ33*'1.参数设置'!$E$6+(AZ51-AZ52-AZ55)-AZ45</f>
        <v>0</v>
      </c>
      <c r="BA62" s="102">
        <f ca="1">BA61+BA33*'1.参数设置'!$E$6+(BA51-BA52-BA55)-BA45</f>
        <v>0</v>
      </c>
      <c r="BB62" s="102"/>
      <c r="BC62" s="102">
        <f ca="1">BC61+BC33*'1.参数设置'!$E$6+(BC51-BC52-BC55)-BC45</f>
        <v>0</v>
      </c>
      <c r="BD62" s="102">
        <f ca="1">BD61+BD33*'1.参数设置'!$E$6+(BD51-BD52-BD55)-BD45</f>
        <v>0</v>
      </c>
      <c r="BE62" s="102">
        <f ca="1">BE61+BE33*'1.参数设置'!$E$6+(BE51-BE52-BE55)-BE45</f>
        <v>0</v>
      </c>
      <c r="BF62" s="102">
        <f ca="1">BF61+BF33*'1.参数设置'!$E$6+(BF51-BF52-BF55)-BF45</f>
        <v>0</v>
      </c>
      <c r="BG62" s="758"/>
      <c r="BH62" s="758"/>
      <c r="BI62" s="758"/>
      <c r="BJ62" s="758"/>
      <c r="BK62" s="758"/>
      <c r="BL62" s="758"/>
      <c r="BM62" s="758"/>
      <c r="BN62" s="758"/>
      <c r="BO62" s="758"/>
      <c r="BP62" s="758"/>
      <c r="BQ62" s="758"/>
      <c r="BR62" s="758"/>
      <c r="BS62" s="758"/>
      <c r="BT62" s="758"/>
      <c r="BU62" s="758"/>
      <c r="BV62" s="758"/>
      <c r="BW62" s="758"/>
      <c r="BX62" s="758"/>
      <c r="BY62" s="758"/>
      <c r="BZ62" s="758"/>
      <c r="CA62" s="758"/>
      <c r="CB62" s="758"/>
      <c r="CC62" s="758"/>
      <c r="CD62" s="758"/>
      <c r="CE62" s="758"/>
      <c r="CF62" s="758"/>
      <c r="CG62" s="758"/>
      <c r="CH62" s="758"/>
      <c r="CI62" s="758"/>
      <c r="CJ62" s="758"/>
      <c r="CK62" s="758"/>
      <c r="CL62" s="758"/>
      <c r="CM62" s="758"/>
      <c r="CN62" s="758"/>
      <c r="CO62" s="758"/>
      <c r="CP62" s="758"/>
      <c r="CQ62" s="758"/>
      <c r="CR62" s="758"/>
      <c r="CS62" s="758"/>
      <c r="CT62" s="758"/>
      <c r="CU62" s="758"/>
      <c r="CV62" s="758"/>
      <c r="CW62" s="758"/>
      <c r="CX62" s="758"/>
      <c r="CY62" s="758"/>
      <c r="CZ62" s="758"/>
      <c r="DA62" s="758"/>
      <c r="DB62" s="758"/>
      <c r="DC62" s="758"/>
      <c r="DD62" s="758"/>
      <c r="DE62" s="758"/>
      <c r="DF62" s="758"/>
      <c r="DG62" s="758"/>
      <c r="DH62" s="758"/>
      <c r="DI62" s="758"/>
      <c r="DJ62" s="758"/>
      <c r="DK62" s="758"/>
      <c r="DL62" s="758"/>
      <c r="DM62" s="758"/>
      <c r="DN62" s="758"/>
      <c r="DO62" s="758"/>
      <c r="DP62" s="758"/>
      <c r="DQ62" s="758"/>
      <c r="DR62" s="758"/>
      <c r="DS62" s="758"/>
      <c r="DT62" s="758"/>
      <c r="DU62" s="758"/>
      <c r="DV62" s="758"/>
      <c r="DW62" s="758"/>
      <c r="DX62" s="758"/>
      <c r="DY62" s="758"/>
      <c r="DZ62" s="758"/>
      <c r="EA62" s="758"/>
      <c r="EB62" s="758"/>
      <c r="EC62" s="758"/>
      <c r="ED62" s="758"/>
      <c r="EE62" s="758"/>
      <c r="EF62" s="758"/>
      <c r="EG62" s="758"/>
      <c r="EH62" s="758"/>
      <c r="EI62" s="758"/>
      <c r="EJ62" s="758"/>
      <c r="EK62" s="758"/>
      <c r="EL62" s="758"/>
      <c r="EM62" s="758"/>
      <c r="EN62" s="758"/>
      <c r="EO62" s="758"/>
      <c r="EP62" s="758"/>
      <c r="EQ62" s="758"/>
      <c r="ER62" s="758"/>
      <c r="ES62" s="758"/>
      <c r="ET62" s="758"/>
      <c r="EU62" s="758"/>
      <c r="EV62" s="758"/>
      <c r="EW62" s="758"/>
      <c r="EX62" s="758"/>
      <c r="EY62" s="758"/>
      <c r="EZ62" s="758"/>
      <c r="FA62" s="758"/>
      <c r="FB62" s="758"/>
      <c r="FC62" s="758"/>
      <c r="FD62" s="758"/>
      <c r="FE62" s="758"/>
      <c r="FF62" s="758"/>
      <c r="FG62" s="758"/>
      <c r="FH62" s="758"/>
      <c r="FI62" s="758"/>
      <c r="FJ62" s="758"/>
      <c r="FK62" s="758"/>
      <c r="FL62" s="758"/>
      <c r="FM62" s="758"/>
      <c r="FN62" s="758"/>
      <c r="FO62" s="758"/>
      <c r="FP62" s="758"/>
      <c r="FQ62" s="758"/>
      <c r="FR62" s="758"/>
      <c r="FS62" s="758"/>
      <c r="FT62" s="758"/>
      <c r="FU62" s="758"/>
      <c r="FV62" s="758"/>
      <c r="FW62" s="758"/>
      <c r="FX62" s="758"/>
      <c r="FY62" s="758"/>
      <c r="FZ62" s="758"/>
      <c r="GA62" s="758"/>
      <c r="GB62" s="758"/>
      <c r="GC62" s="758"/>
      <c r="GD62" s="758"/>
      <c r="GE62" s="758"/>
      <c r="GF62" s="758"/>
      <c r="GG62" s="758"/>
      <c r="GH62" s="758"/>
      <c r="GI62" s="758"/>
      <c r="GJ62" s="758"/>
    </row>
    <row r="63" spans="1:202" s="77" customFormat="1" ht="12.75">
      <c r="A63" s="758"/>
      <c r="B63" s="818"/>
      <c r="C63" s="742" t="s">
        <v>744</v>
      </c>
      <c r="D63" s="823">
        <f ca="1">NPV('1.参数设置'!E9,'7.现金流量表'!E61:AV61)</f>
        <v>17434.295903581598</v>
      </c>
      <c r="E63" s="823">
        <f ca="1">NPV('1.参数设置'!$E$9,$E61:E61)</f>
        <v>0</v>
      </c>
      <c r="F63" s="823">
        <f ca="1">NPV('1.参数设置'!$E$9,$E61:F61)</f>
        <v>0</v>
      </c>
      <c r="G63" s="823">
        <f ca="1">NPV('1.参数设置'!$E$9,$E61:G61)</f>
        <v>-6523.7484877117058</v>
      </c>
      <c r="H63" s="823">
        <f ca="1">NPV('1.参数设置'!$E$9,$E61:H61)</f>
        <v>-18350.714961132759</v>
      </c>
      <c r="I63" s="823">
        <f ca="1">NPV('1.参数设置'!$E$9,$E61:I61)</f>
        <v>-18350.714961132759</v>
      </c>
      <c r="J63" s="823">
        <f ca="1">NPV('1.参数设置'!$E$9,$E61:J61)</f>
        <v>-19343.697342071795</v>
      </c>
      <c r="K63" s="823">
        <f ca="1">NPV('1.参数设置'!$E$9,$E61:K61)</f>
        <v>-6203.2927149636771</v>
      </c>
      <c r="L63" s="823">
        <f ca="1">NPV('1.参数设置'!$E$9,$E61:L61)</f>
        <v>13605.100261939495</v>
      </c>
      <c r="M63" s="823">
        <f ca="1">NPV('1.参数设置'!$E$9,$E61:M61)</f>
        <v>23733.707740294929</v>
      </c>
      <c r="N63" s="823">
        <f ca="1">NPV('1.参数设置'!$E$9,$E61:N61)</f>
        <v>23733.707740294929</v>
      </c>
      <c r="O63" s="823">
        <f ca="1">NPV('1.参数设置'!$E$9,$E61:O61)</f>
        <v>23687.115800163876</v>
      </c>
      <c r="P63" s="823">
        <f ca="1">NPV('1.参数设置'!$E$9,$E61:P61)</f>
        <v>26789.393295006539</v>
      </c>
      <c r="Q63" s="823">
        <f ca="1">NPV('1.参数设置'!$E$9,$E61:Q61)</f>
        <v>27942.715774877095</v>
      </c>
      <c r="R63" s="823">
        <f ca="1">NPV('1.参数设置'!$E$9,$E61:R61)</f>
        <v>20963.470942916018</v>
      </c>
      <c r="S63" s="823">
        <f ca="1">NPV('1.参数设置'!$E$9,$E61:S61)</f>
        <v>20963.470942916018</v>
      </c>
      <c r="T63" s="823">
        <f ca="1">NPV('1.参数设置'!$E$9,$E61:T61)</f>
        <v>20021.569399481217</v>
      </c>
      <c r="U63" s="823">
        <f ca="1">NPV('1.参数设置'!$E$9,$E61:U61)</f>
        <v>18999.751117206772</v>
      </c>
      <c r="V63" s="823">
        <f ca="1">NPV('1.参数设置'!$E$9,$E61:V61)</f>
        <v>18248.72611502339</v>
      </c>
      <c r="W63" s="823">
        <f ca="1">NPV('1.参数设置'!$E$9,$E61:W61)</f>
        <v>18248.72611502339</v>
      </c>
      <c r="X63" s="823">
        <f ca="1">NPV('1.参数设置'!$E$9,$E61:X61)</f>
        <v>18248.72611502339</v>
      </c>
      <c r="Y63" s="823">
        <f ca="1">NPV('1.参数设置'!$E$9,$E61:Y61)</f>
        <v>18248.72611502339</v>
      </c>
      <c r="Z63" s="823">
        <f ca="1">NPV('1.参数设置'!$E$9,$E61:Z61)</f>
        <v>18248.72611502339</v>
      </c>
      <c r="AA63" s="823">
        <f ca="1">NPV('1.参数设置'!$E$9,$E61:AA61)</f>
        <v>17916.963930110418</v>
      </c>
      <c r="AB63" s="823">
        <f ca="1">NPV('1.参数设置'!$E$9,$E61:AB61)</f>
        <v>17434.295903581598</v>
      </c>
      <c r="AC63" s="823">
        <f ca="1">NPV('1.参数设置'!$E$9,$E61:AC61)</f>
        <v>17434.295903581598</v>
      </c>
      <c r="AD63" s="823">
        <f ca="1">NPV('1.参数设置'!$E$9,$E61:AD61)</f>
        <v>17434.295903581598</v>
      </c>
      <c r="AE63" s="823">
        <f ca="1">NPV('1.参数设置'!$E$9,$E61:AE61)</f>
        <v>17434.295903581598</v>
      </c>
      <c r="AF63" s="823">
        <f ca="1">NPV('1.参数设置'!$E$9,$E61:AF61)</f>
        <v>17434.295903581598</v>
      </c>
      <c r="AG63" s="823">
        <f ca="1">NPV('1.参数设置'!$E$9,$E61:AG61)</f>
        <v>17434.295903581598</v>
      </c>
      <c r="AH63" s="823">
        <f ca="1">NPV('1.参数设置'!$E$9,$E61:AH61)</f>
        <v>17434.295903581598</v>
      </c>
      <c r="AI63" s="823">
        <f ca="1">NPV('1.参数设置'!$E$9,$E61:AI61)</f>
        <v>17434.295903581598</v>
      </c>
      <c r="AJ63" s="823">
        <f ca="1">NPV('1.参数设置'!$E$9,$E61:AJ61)</f>
        <v>17434.295903581598</v>
      </c>
      <c r="AK63" s="823">
        <f ca="1">NPV('1.参数设置'!$E$9,$E61:AK61)</f>
        <v>17434.295903581598</v>
      </c>
      <c r="AL63" s="823">
        <f ca="1">NPV('1.参数设置'!$E$9,$E61:AL61)</f>
        <v>17434.295903581598</v>
      </c>
      <c r="AM63" s="823">
        <f ca="1">NPV('1.参数设置'!$E$9,$E61:AM61)</f>
        <v>17434.295903581598</v>
      </c>
      <c r="AN63" s="823">
        <f ca="1">NPV('1.参数设置'!$E$9,$E61:AN61)</f>
        <v>17434.295903581598</v>
      </c>
      <c r="AO63" s="823">
        <f ca="1">NPV('1.参数设置'!$E$9,$E61:AO61)</f>
        <v>17434.295903581598</v>
      </c>
      <c r="AP63" s="823">
        <f ca="1">NPV('1.参数设置'!$E$9,$E61:AP61)</f>
        <v>17434.295903581598</v>
      </c>
      <c r="AQ63" s="823">
        <f ca="1">NPV('1.参数设置'!$E$9,$E61:AQ61)</f>
        <v>17434.295903581598</v>
      </c>
      <c r="AR63" s="823">
        <f ca="1">NPV('1.参数设置'!$E$9,$E61:AR61)</f>
        <v>17434.295903581598</v>
      </c>
      <c r="AS63" s="823">
        <f ca="1">NPV('1.参数设置'!$E$9,$E61:AS61)</f>
        <v>17434.295903581598</v>
      </c>
      <c r="AT63" s="823">
        <f ca="1">NPV('1.参数设置'!$E$9,$E61:AT61)</f>
        <v>17434.295903581598</v>
      </c>
      <c r="AU63" s="823">
        <f ca="1">NPV('1.参数设置'!$E$9,$E61:AU61)</f>
        <v>17434.295903581598</v>
      </c>
      <c r="AV63" s="823">
        <f ca="1">NPV('1.参数设置'!$E$9,$E61:AV61)</f>
        <v>17434.295903581598</v>
      </c>
      <c r="AW63" s="823">
        <f ca="1">NPV('1.参数设置'!$E$9,$E61:AW61)</f>
        <v>17434.295903581598</v>
      </c>
      <c r="AX63" s="823">
        <f ca="1">NPV('1.参数设置'!$E$9,$E61:AX61)</f>
        <v>17434.295903581598</v>
      </c>
      <c r="AY63" s="823">
        <f ca="1">NPV('1.参数设置'!$E$9,$E61:AY61)</f>
        <v>17434.295903581598</v>
      </c>
      <c r="AZ63" s="823">
        <f ca="1">NPV('1.参数设置'!$E$9,$E61:AZ61)</f>
        <v>17434.295903581598</v>
      </c>
      <c r="BA63" s="823">
        <f ca="1">NPV('1.参数设置'!$E$9,$E61:BA61)</f>
        <v>17434.295903581598</v>
      </c>
      <c r="BB63" s="823">
        <f ca="1">NPV('1.参数设置'!$E$9,$E61:BB61)</f>
        <v>17434.295903581598</v>
      </c>
      <c r="BC63" s="823">
        <f ca="1">NPV('1.参数设置'!$E$9,$E61:BC61)</f>
        <v>17434.295903581598</v>
      </c>
      <c r="BD63" s="823">
        <f ca="1">NPV('1.参数设置'!$E$9,$E61:BD61)</f>
        <v>17434.295903581598</v>
      </c>
      <c r="BE63" s="823">
        <f ca="1">NPV('1.参数设置'!$E$9,$E61:BE61)</f>
        <v>17434.295903581598</v>
      </c>
      <c r="BF63" s="823">
        <f ca="1">NPV('1.参数设置'!$E$9,$E61:BF61)</f>
        <v>17434.295903581598</v>
      </c>
      <c r="BG63" s="78"/>
      <c r="BH63" s="78"/>
      <c r="BI63" s="78"/>
      <c r="BJ63" s="78"/>
      <c r="BK63" s="78"/>
      <c r="BL63" s="78"/>
      <c r="BM63" s="78"/>
      <c r="BN63" s="78"/>
      <c r="BO63" s="78"/>
      <c r="BP63" s="78"/>
      <c r="BQ63" s="78"/>
      <c r="BR63" s="78"/>
      <c r="BS63" s="78"/>
      <c r="BT63" s="78"/>
      <c r="BU63" s="78"/>
      <c r="BV63" s="78"/>
      <c r="BW63" s="78"/>
      <c r="BX63" s="78"/>
      <c r="BY63" s="78"/>
      <c r="BZ63" s="78"/>
      <c r="CA63" s="78"/>
      <c r="CB63" s="78"/>
      <c r="CC63" s="78"/>
      <c r="CD63" s="78"/>
      <c r="CE63" s="78"/>
      <c r="CF63" s="78"/>
      <c r="CG63" s="78"/>
      <c r="CH63" s="78"/>
      <c r="CI63" s="78"/>
      <c r="CJ63" s="78"/>
      <c r="CK63" s="78"/>
      <c r="CL63" s="78"/>
      <c r="CM63" s="78"/>
      <c r="CN63" s="78"/>
      <c r="CO63" s="78"/>
      <c r="CP63" s="78"/>
      <c r="CQ63" s="78"/>
      <c r="CR63" s="78"/>
      <c r="CS63" s="78"/>
      <c r="CT63" s="78"/>
      <c r="CU63" s="78"/>
      <c r="CV63" s="78"/>
      <c r="CW63" s="78"/>
      <c r="CX63" s="78"/>
      <c r="CY63" s="78"/>
      <c r="CZ63" s="78"/>
      <c r="DA63" s="78"/>
      <c r="DB63" s="78"/>
      <c r="DC63" s="78"/>
      <c r="DD63" s="78"/>
      <c r="DE63" s="78"/>
      <c r="DF63" s="78"/>
      <c r="DG63" s="78"/>
      <c r="DH63" s="78"/>
      <c r="DI63" s="78"/>
      <c r="DJ63" s="78"/>
      <c r="DK63" s="78"/>
      <c r="DL63" s="78"/>
      <c r="DM63" s="78"/>
      <c r="DN63" s="78"/>
      <c r="DO63" s="78"/>
      <c r="DP63" s="78"/>
      <c r="DQ63" s="78"/>
      <c r="DR63" s="78"/>
      <c r="DS63" s="78"/>
      <c r="DT63" s="78"/>
      <c r="DU63" s="78"/>
      <c r="DV63" s="78"/>
      <c r="DW63" s="78"/>
      <c r="DX63" s="78"/>
      <c r="DY63" s="78"/>
      <c r="DZ63" s="78"/>
      <c r="EA63" s="78"/>
      <c r="EB63" s="78"/>
      <c r="EC63" s="78"/>
      <c r="ED63" s="78"/>
      <c r="EE63" s="78"/>
      <c r="EF63" s="78"/>
      <c r="EG63" s="78"/>
      <c r="EH63" s="78"/>
      <c r="EI63" s="78"/>
      <c r="EJ63" s="78"/>
      <c r="EK63" s="78"/>
      <c r="EL63" s="78"/>
      <c r="EM63" s="78"/>
      <c r="EN63" s="78"/>
      <c r="EO63" s="78"/>
      <c r="EP63" s="78"/>
      <c r="EQ63" s="78"/>
      <c r="ER63" s="78"/>
      <c r="ES63" s="78"/>
      <c r="ET63" s="78"/>
      <c r="EU63" s="78"/>
      <c r="EV63" s="78"/>
      <c r="EW63" s="78"/>
      <c r="EX63" s="78"/>
      <c r="EY63" s="78"/>
      <c r="EZ63" s="78"/>
      <c r="FA63" s="78"/>
      <c r="FB63" s="78"/>
      <c r="FC63" s="78"/>
      <c r="FD63" s="78"/>
      <c r="FE63" s="78"/>
      <c r="FF63" s="78"/>
      <c r="FG63" s="78"/>
      <c r="FH63" s="78"/>
      <c r="FI63" s="78"/>
      <c r="FJ63" s="78"/>
      <c r="FK63" s="78"/>
      <c r="FL63" s="78"/>
      <c r="FM63" s="78"/>
      <c r="FN63" s="78"/>
      <c r="FO63" s="78"/>
      <c r="FP63" s="78"/>
      <c r="FQ63" s="78"/>
      <c r="FR63" s="78"/>
      <c r="FS63" s="78"/>
      <c r="FT63" s="78"/>
      <c r="FU63" s="78"/>
      <c r="FV63" s="78"/>
      <c r="FW63" s="78"/>
      <c r="FX63" s="78"/>
      <c r="FY63" s="78"/>
      <c r="FZ63" s="78"/>
      <c r="GA63" s="78"/>
      <c r="GB63" s="78"/>
      <c r="GC63" s="78"/>
      <c r="GD63" s="78"/>
      <c r="GE63" s="78"/>
      <c r="GF63" s="78"/>
      <c r="GG63" s="78"/>
      <c r="GH63" s="78"/>
      <c r="GI63" s="78"/>
      <c r="GJ63" s="78"/>
    </row>
    <row r="64" spans="1:202" s="247" customFormat="1" ht="12.75">
      <c r="A64" s="758"/>
      <c r="B64" s="821"/>
      <c r="C64" s="824" t="s">
        <v>745</v>
      </c>
      <c r="D64" s="758"/>
      <c r="E64" s="825">
        <f>E34*'1.参数设置'!$E$6+E48-E49</f>
        <v>0</v>
      </c>
      <c r="F64" s="825">
        <f ca="1">E64+F34*'1.参数设置'!$E$6+'7.现金流量表'!F48-'7.现金流量表'!F49</f>
        <v>0</v>
      </c>
      <c r="G64" s="825">
        <f ca="1">F64+G34*'1.参数设置'!$E$6+'7.现金流量表'!G48-'7.现金流量表'!G49</f>
        <v>7300</v>
      </c>
      <c r="H64" s="825">
        <f ca="1">G64+H34*'1.参数设置'!$E$6+'7.现金流量表'!H48-'7.现金流量表'!H49</f>
        <v>9300</v>
      </c>
      <c r="I64" s="825"/>
      <c r="J64" s="825">
        <f ca="1">I64+J34*'1.参数设置'!$E$6+'7.现金流量表'!J48-'7.现金流量表'!J49</f>
        <v>7400</v>
      </c>
      <c r="K64" s="825">
        <f ca="1">J64+K34*'1.参数设置'!$E$6+'7.现金流量表'!K48-'7.现金流量表'!K49</f>
        <v>-9300</v>
      </c>
      <c r="L64" s="825">
        <f ca="1">K64+L34*'1.参数设置'!$E$6+'7.现金流量表'!L48-'7.现金流量表'!L49</f>
        <v>-9300</v>
      </c>
      <c r="M64" s="825">
        <f ca="1">L64+M34*'1.参数设置'!$E$6+'7.现金流量表'!M48-'7.现金流量表'!M49</f>
        <v>-9300</v>
      </c>
      <c r="N64" s="825"/>
      <c r="O64" s="825">
        <f>N64+O34*'1.参数设置'!$E$6+'7.现金流量表'!O48-'7.现金流量表'!O49</f>
        <v>0</v>
      </c>
      <c r="P64" s="825">
        <f>O64+P34*'1.参数设置'!$E$6+'7.现金流量表'!P48-'7.现金流量表'!P49</f>
        <v>0</v>
      </c>
      <c r="Q64" s="825">
        <f ca="1">P64+Q34*'1.参数设置'!$E$6+'7.现金流量表'!Q48-'7.现金流量表'!Q49</f>
        <v>0</v>
      </c>
      <c r="R64" s="825">
        <f ca="1">Q64+R34*'1.参数设置'!$E$6+'7.现金流量表'!R48-'7.现金流量表'!R49</f>
        <v>0</v>
      </c>
      <c r="S64" s="825"/>
      <c r="T64" s="825">
        <f ca="1">S64+T34*'1.参数设置'!$E$6+'7.现金流量表'!T48-'7.现金流量表'!T49</f>
        <v>0</v>
      </c>
      <c r="U64" s="825">
        <f ca="1">T64+U34*'1.参数设置'!$E$6+'7.现金流量表'!U48-'7.现金流量表'!U49</f>
        <v>0</v>
      </c>
      <c r="V64" s="825">
        <f ca="1">U64+V34*'1.参数设置'!$E$6+'7.现金流量表'!V48-'7.现金流量表'!V49</f>
        <v>0</v>
      </c>
      <c r="W64" s="825">
        <f ca="1">V64+W34*'1.参数设置'!$E$6+'7.现金流量表'!W48-'7.现金流量表'!W49</f>
        <v>0</v>
      </c>
      <c r="X64" s="825"/>
      <c r="Y64" s="825">
        <f ca="1">X64+Y34*'1.参数设置'!$E$6+'7.现金流量表'!Y48-'7.现金流量表'!Y49</f>
        <v>0</v>
      </c>
      <c r="Z64" s="825">
        <f ca="1">Y64+Z34*'1.参数设置'!$E$6+'7.现金流量表'!Z48-'7.现金流量表'!Z49</f>
        <v>0</v>
      </c>
      <c r="AA64" s="825">
        <f ca="1">Z64+AA34*'1.参数设置'!$E$6+'7.现金流量表'!AA48-'7.现金流量表'!AA49</f>
        <v>0</v>
      </c>
      <c r="AB64" s="825">
        <f ca="1">AA64+AB34*'1.参数设置'!$E$6+'7.现金流量表'!AB48-'7.现金流量表'!AB49</f>
        <v>0</v>
      </c>
      <c r="AC64" s="825"/>
      <c r="AD64" s="825">
        <f ca="1">AC64+AD34*'1.参数设置'!$E$6+'7.现金流量表'!AD48-'7.现金流量表'!AD49</f>
        <v>0</v>
      </c>
      <c r="AE64" s="825">
        <f ca="1">AD64+AE34*'1.参数设置'!$E$6+'7.现金流量表'!AE48-'7.现金流量表'!AE49</f>
        <v>0</v>
      </c>
      <c r="AF64" s="825">
        <f ca="1">AE64+AF34*'1.参数设置'!$E$6+'7.现金流量表'!AF48-'7.现金流量表'!AF49</f>
        <v>0</v>
      </c>
      <c r="AG64" s="825">
        <f ca="1">AF64+AG34*'1.参数设置'!$E$6+'7.现金流量表'!AG48-'7.现金流量表'!AG49</f>
        <v>0</v>
      </c>
      <c r="AH64" s="825"/>
      <c r="AI64" s="825">
        <f ca="1">AH64+AI34*'1.参数设置'!$E$6+'7.现金流量表'!AI48-'7.现金流量表'!AI49</f>
        <v>0</v>
      </c>
      <c r="AJ64" s="825">
        <f ca="1">AI64+AJ34*'1.参数设置'!$E$6+'7.现金流量表'!AJ48-'7.现金流量表'!AJ49</f>
        <v>0</v>
      </c>
      <c r="AK64" s="825">
        <f ca="1">AJ64+AK34*'1.参数设置'!$E$6+'7.现金流量表'!AK48-'7.现金流量表'!AK49</f>
        <v>0</v>
      </c>
      <c r="AL64" s="825">
        <f ca="1">AK64+AL34*'1.参数设置'!$E$6+'7.现金流量表'!AL48-'7.现金流量表'!AL49</f>
        <v>0</v>
      </c>
      <c r="AM64" s="825"/>
      <c r="AN64" s="825">
        <f ca="1">AM64+AN34*'1.参数设置'!$E$6+'7.现金流量表'!AN48-'7.现金流量表'!AN49</f>
        <v>0</v>
      </c>
      <c r="AO64" s="825">
        <f ca="1">AN64+AO34*'1.参数设置'!$E$6+'7.现金流量表'!AO48-'7.现金流量表'!AO49</f>
        <v>0</v>
      </c>
      <c r="AP64" s="825">
        <f ca="1">AO64+AP34*'1.参数设置'!$E$6+'7.现金流量表'!AP48-'7.现金流量表'!AP49</f>
        <v>0</v>
      </c>
      <c r="AQ64" s="825">
        <f ca="1">AP64+AQ34*'1.参数设置'!$E$6+'7.现金流量表'!AQ48-'7.现金流量表'!AQ49</f>
        <v>0</v>
      </c>
      <c r="AR64" s="825"/>
      <c r="AS64" s="825">
        <f ca="1">AR64+AS34*'1.参数设置'!$E$6+'7.现金流量表'!AS48-'7.现金流量表'!AS49</f>
        <v>0</v>
      </c>
      <c r="AT64" s="825">
        <f ca="1">AS64+AT34*'1.参数设置'!$E$6+'7.现金流量表'!AT48-'7.现金流量表'!AT49</f>
        <v>0</v>
      </c>
      <c r="AU64" s="825">
        <f ca="1">AT64+AU34*'1.参数设置'!$E$6+'7.现金流量表'!AU48-'7.现金流量表'!AU49</f>
        <v>0</v>
      </c>
      <c r="AV64" s="825">
        <f ca="1">AU64+AV34*'1.参数设置'!$E$6+'7.现金流量表'!AV48-'7.现金流量表'!AV49</f>
        <v>0</v>
      </c>
      <c r="AW64" s="825"/>
      <c r="AX64" s="825">
        <f ca="1">AW64+AX34*'1.参数设置'!$E$6+'7.现金流量表'!AX48-'7.现金流量表'!AX49</f>
        <v>0</v>
      </c>
      <c r="AY64" s="825">
        <f ca="1">AX64+AY34*'1.参数设置'!$E$6+'7.现金流量表'!AY48-'7.现金流量表'!AY49</f>
        <v>0</v>
      </c>
      <c r="AZ64" s="825">
        <f ca="1">AY64+AZ34*'1.参数设置'!$E$6+'7.现金流量表'!AZ48-'7.现金流量表'!AZ49</f>
        <v>0</v>
      </c>
      <c r="BA64" s="825">
        <f ca="1">AZ64+BA34*'1.参数设置'!$E$6+'7.现金流量表'!BA48-'7.现金流量表'!BA49</f>
        <v>0</v>
      </c>
      <c r="BB64" s="825"/>
      <c r="BC64" s="825">
        <f ca="1">BB64+BC34*'1.参数设置'!$E$6+'7.现金流量表'!BC48-'7.现金流量表'!BC49</f>
        <v>0</v>
      </c>
      <c r="BD64" s="825">
        <f ca="1">BC64+BD34*'1.参数设置'!$E$6+'7.现金流量表'!BD48-'7.现金流量表'!BD49</f>
        <v>0</v>
      </c>
      <c r="BE64" s="825">
        <f ca="1">BD64+BE34*'1.参数设置'!$E$6+'7.现金流量表'!BE48-'7.现金流量表'!BE49</f>
        <v>0</v>
      </c>
      <c r="BF64" s="825">
        <f ca="1">BE64+BF34*'1.参数设置'!$E$6+'7.现金流量表'!BF48-'7.现金流量表'!BF49</f>
        <v>0</v>
      </c>
      <c r="BG64" s="758"/>
      <c r="BH64" s="758"/>
      <c r="BI64" s="758"/>
      <c r="BJ64" s="758"/>
      <c r="BK64" s="758"/>
      <c r="BL64" s="758"/>
      <c r="BM64" s="758"/>
      <c r="BN64" s="758"/>
      <c r="BO64" s="758"/>
      <c r="BP64" s="758"/>
      <c r="BQ64" s="758"/>
      <c r="BR64" s="758"/>
      <c r="BS64" s="758"/>
      <c r="BT64" s="758"/>
      <c r="BU64" s="758"/>
      <c r="BV64" s="758"/>
      <c r="BW64" s="758"/>
      <c r="BX64" s="758"/>
      <c r="BY64" s="758"/>
      <c r="BZ64" s="758"/>
      <c r="CA64" s="758"/>
      <c r="CB64" s="758"/>
      <c r="CC64" s="758"/>
      <c r="CD64" s="758"/>
      <c r="CE64" s="758"/>
      <c r="CF64" s="758"/>
      <c r="CG64" s="758"/>
      <c r="CH64" s="758"/>
      <c r="CI64" s="758"/>
      <c r="CJ64" s="758"/>
      <c r="CK64" s="758"/>
      <c r="CL64" s="758"/>
      <c r="CM64" s="758"/>
      <c r="CN64" s="758"/>
      <c r="CO64" s="758"/>
      <c r="CP64" s="758"/>
      <c r="CQ64" s="758"/>
      <c r="CR64" s="758"/>
      <c r="CS64" s="758"/>
      <c r="CT64" s="758"/>
      <c r="CU64" s="758"/>
      <c r="CV64" s="758"/>
      <c r="CW64" s="758"/>
      <c r="CX64" s="758"/>
      <c r="CY64" s="758"/>
      <c r="CZ64" s="758"/>
      <c r="DA64" s="758"/>
      <c r="DB64" s="758"/>
      <c r="DC64" s="758"/>
      <c r="DD64" s="758"/>
      <c r="DE64" s="758"/>
      <c r="DF64" s="758"/>
      <c r="DG64" s="758"/>
      <c r="DH64" s="758"/>
      <c r="DI64" s="758"/>
      <c r="DJ64" s="758"/>
      <c r="DK64" s="758"/>
      <c r="DL64" s="758"/>
      <c r="DM64" s="758"/>
      <c r="DN64" s="758"/>
      <c r="DO64" s="758"/>
      <c r="DP64" s="758"/>
      <c r="DQ64" s="758"/>
      <c r="DR64" s="758"/>
      <c r="DS64" s="758"/>
      <c r="DT64" s="758"/>
      <c r="DU64" s="758"/>
      <c r="DV64" s="758"/>
      <c r="DW64" s="758"/>
      <c r="DX64" s="758"/>
      <c r="DY64" s="758"/>
      <c r="DZ64" s="758"/>
      <c r="EA64" s="758"/>
      <c r="EB64" s="758"/>
      <c r="EC64" s="758"/>
      <c r="ED64" s="758"/>
      <c r="EE64" s="758"/>
      <c r="EF64" s="758"/>
      <c r="EG64" s="758"/>
      <c r="EH64" s="758"/>
      <c r="EI64" s="758"/>
      <c r="EJ64" s="758"/>
      <c r="EK64" s="758"/>
      <c r="EL64" s="758"/>
      <c r="EM64" s="758"/>
      <c r="EN64" s="758"/>
      <c r="EO64" s="758"/>
      <c r="EP64" s="758"/>
      <c r="EQ64" s="758"/>
      <c r="ER64" s="758"/>
      <c r="ES64" s="758"/>
      <c r="ET64" s="758"/>
      <c r="EU64" s="758"/>
      <c r="EV64" s="758"/>
      <c r="EW64" s="758"/>
      <c r="EX64" s="758"/>
      <c r="EY64" s="758"/>
      <c r="EZ64" s="758"/>
      <c r="FA64" s="758"/>
      <c r="FB64" s="758"/>
      <c r="FC64" s="758"/>
      <c r="FD64" s="758"/>
      <c r="FE64" s="758"/>
      <c r="FF64" s="758"/>
      <c r="FG64" s="758"/>
      <c r="FH64" s="758"/>
      <c r="FI64" s="758"/>
      <c r="FJ64" s="758"/>
      <c r="FK64" s="758"/>
      <c r="FL64" s="758"/>
      <c r="FM64" s="758"/>
      <c r="FN64" s="758"/>
      <c r="FO64" s="758"/>
      <c r="FP64" s="758"/>
      <c r="FQ64" s="758"/>
      <c r="FR64" s="758"/>
      <c r="FS64" s="758"/>
      <c r="FT64" s="758"/>
      <c r="FU64" s="758"/>
      <c r="FV64" s="758"/>
      <c r="FW64" s="758"/>
      <c r="FX64" s="758"/>
      <c r="FY64" s="758"/>
      <c r="FZ64" s="758"/>
      <c r="GA64" s="758"/>
      <c r="GB64" s="758"/>
      <c r="GC64" s="758"/>
      <c r="GD64" s="758"/>
      <c r="GE64" s="758"/>
      <c r="GF64" s="758"/>
      <c r="GG64" s="758"/>
      <c r="GH64" s="758"/>
      <c r="GI64" s="758"/>
      <c r="GJ64" s="758"/>
    </row>
    <row r="65" spans="1:192">
      <c r="C65" s="855" t="s">
        <v>746</v>
      </c>
      <c r="D65" s="856">
        <f ca="1">MAX(D64:BF64)</f>
        <v>9300</v>
      </c>
    </row>
    <row r="66" spans="1:192" ht="29.25" customHeight="1">
      <c r="C66" s="855" t="s">
        <v>747</v>
      </c>
      <c r="D66" s="857" t="s">
        <v>748</v>
      </c>
    </row>
    <row r="67" spans="1:192">
      <c r="C67" s="855" t="s">
        <v>749</v>
      </c>
      <c r="D67" s="858">
        <f ca="1">D62</f>
        <v>0.95106141639230457</v>
      </c>
    </row>
    <row r="68" spans="1:192">
      <c r="A68" s="758"/>
      <c r="B68" s="818"/>
      <c r="C68" s="473"/>
      <c r="D68" s="681"/>
      <c r="E68" s="747"/>
      <c r="F68" s="747"/>
      <c r="G68" s="747"/>
      <c r="H68" s="747"/>
      <c r="I68" s="747"/>
      <c r="J68" s="747"/>
      <c r="K68" s="747"/>
      <c r="L68" s="747"/>
      <c r="M68" s="747"/>
      <c r="N68" s="747"/>
      <c r="O68" s="747"/>
      <c r="P68" s="747"/>
      <c r="Q68" s="747"/>
      <c r="R68" s="747"/>
      <c r="S68" s="747"/>
      <c r="T68" s="747"/>
      <c r="U68" s="747"/>
      <c r="V68" s="747"/>
      <c r="W68" s="747"/>
      <c r="X68" s="747"/>
      <c r="Y68" s="747"/>
      <c r="Z68" s="747"/>
      <c r="AA68" s="747"/>
      <c r="AB68" s="747"/>
      <c r="AC68" s="747"/>
      <c r="AD68" s="747"/>
      <c r="AE68" s="747"/>
      <c r="AF68" s="747"/>
      <c r="AG68" s="747"/>
      <c r="AH68" s="747"/>
      <c r="AI68" s="747"/>
      <c r="AJ68" s="747"/>
      <c r="AK68" s="747"/>
      <c r="AL68" s="747"/>
      <c r="AM68" s="747"/>
      <c r="AN68" s="747"/>
      <c r="AO68" s="747"/>
      <c r="AP68" s="747"/>
      <c r="AQ68" s="747"/>
      <c r="AR68" s="747"/>
      <c r="AS68" s="747"/>
      <c r="AT68" s="747"/>
      <c r="AU68" s="747"/>
      <c r="AV68" s="747"/>
      <c r="AW68" s="747"/>
      <c r="AX68" s="747"/>
      <c r="AY68" s="747"/>
      <c r="AZ68" s="747"/>
      <c r="BA68" s="747"/>
      <c r="BB68" s="747"/>
      <c r="BC68" s="747"/>
      <c r="BD68" s="747"/>
      <c r="BE68" s="747"/>
      <c r="BF68" s="747"/>
      <c r="BG68" s="747"/>
      <c r="BH68" s="747"/>
      <c r="BI68" s="747"/>
      <c r="BJ68" s="747"/>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c r="CI68" s="747"/>
      <c r="CJ68" s="747"/>
      <c r="CK68" s="747"/>
      <c r="CL68" s="747"/>
      <c r="CM68" s="747"/>
      <c r="CN68" s="747"/>
      <c r="CO68" s="747"/>
      <c r="CP68" s="747"/>
      <c r="CQ68" s="747"/>
      <c r="CR68" s="747"/>
      <c r="CS68" s="747"/>
      <c r="CT68" s="747"/>
      <c r="CU68" s="747"/>
      <c r="CV68" s="747"/>
      <c r="CW68" s="747"/>
      <c r="CX68" s="747"/>
      <c r="CY68" s="747"/>
      <c r="CZ68" s="747"/>
      <c r="DA68" s="747"/>
      <c r="DB68" s="747"/>
      <c r="DC68" s="747"/>
      <c r="DD68" s="747"/>
      <c r="DE68" s="747"/>
      <c r="DF68" s="747"/>
      <c r="DG68" s="747"/>
      <c r="DH68" s="747"/>
      <c r="DI68" s="747"/>
      <c r="DJ68" s="747"/>
      <c r="DK68" s="747"/>
      <c r="DL68" s="747"/>
      <c r="DM68" s="747"/>
      <c r="DN68" s="747"/>
      <c r="DO68" s="747"/>
      <c r="DP68" s="747"/>
      <c r="DQ68" s="747"/>
      <c r="DR68" s="747"/>
      <c r="DS68" s="747"/>
      <c r="DT68" s="747"/>
      <c r="DU68" s="747"/>
      <c r="DV68" s="747"/>
      <c r="DW68" s="747"/>
      <c r="DX68" s="747"/>
      <c r="DY68" s="747"/>
      <c r="DZ68" s="747"/>
      <c r="EA68" s="747"/>
      <c r="EB68" s="747"/>
      <c r="EC68" s="747"/>
      <c r="ED68" s="747"/>
      <c r="EE68" s="747"/>
      <c r="EF68" s="747"/>
      <c r="EG68" s="747"/>
      <c r="EH68" s="747"/>
      <c r="EI68" s="747"/>
      <c r="EJ68" s="747"/>
      <c r="EK68" s="747"/>
      <c r="EL68" s="747"/>
      <c r="EM68" s="747"/>
      <c r="EN68" s="747"/>
      <c r="EO68" s="747"/>
      <c r="EP68" s="747"/>
      <c r="EQ68" s="747"/>
      <c r="ER68" s="747"/>
      <c r="ES68" s="747"/>
      <c r="ET68" s="747"/>
      <c r="EU68" s="747"/>
      <c r="EV68" s="747"/>
      <c r="EW68" s="747"/>
      <c r="EX68" s="747"/>
      <c r="EY68" s="747"/>
      <c r="EZ68" s="747"/>
      <c r="FA68" s="747"/>
      <c r="FB68" s="747"/>
      <c r="FC68" s="747"/>
      <c r="FD68" s="747"/>
      <c r="FE68" s="747"/>
      <c r="FF68" s="747"/>
      <c r="FG68" s="747"/>
      <c r="FH68" s="747"/>
      <c r="FI68" s="747"/>
      <c r="FJ68" s="747"/>
      <c r="FK68" s="747"/>
      <c r="FL68" s="747"/>
      <c r="FM68" s="747"/>
      <c r="FN68" s="747"/>
      <c r="FO68" s="747"/>
      <c r="FP68" s="747"/>
      <c r="FQ68" s="747"/>
      <c r="FR68" s="747"/>
      <c r="FS68" s="747"/>
      <c r="FT68" s="747"/>
      <c r="FU68" s="747"/>
      <c r="FV68" s="747"/>
      <c r="FW68" s="747"/>
      <c r="FX68" s="747"/>
      <c r="FY68" s="747"/>
      <c r="FZ68" s="747"/>
      <c r="GA68" s="747"/>
      <c r="GB68" s="747"/>
      <c r="GC68" s="747"/>
      <c r="GD68" s="747"/>
      <c r="GE68" s="747"/>
      <c r="GF68" s="747"/>
      <c r="GG68" s="747"/>
      <c r="GH68" s="747"/>
      <c r="GI68" s="747"/>
      <c r="GJ68" s="747"/>
    </row>
  </sheetData>
  <sheetProtection password="D9A8" sheet="1" objects="1" scenarios="1"/>
  <protectedRanges>
    <protectedRange sqref="E51 AL51:AW51 F47:AW47 E53:E54 F52:AW54 I55 N55 S55 X55 AC55 AH55 AM55 AR55 AW55 AX53:BA54 BC53:BF54 F50:AW50 F48:F49 I48:AW48 I49 L49:AW49" name="区域1_1"/>
    <protectedRange sqref="F51:AK51" name="区域1_2_1"/>
    <protectedRange sqref="G48:H49" name="区域1_1_1"/>
    <protectedRange sqref="J49:K49" name="区域1_1_2"/>
  </protectedRanges>
  <phoneticPr fontId="102" type="noConversion"/>
  <hyperlinks>
    <hyperlink ref="D1" location="目录!A1" display="返回目录"/>
  </hyperlinks>
  <pageMargins left="0.69930555555555596" right="0.69930555555555596"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
  <sheetViews>
    <sheetView workbookViewId="0"/>
  </sheetViews>
  <sheetFormatPr defaultColWidth="9" defaultRowHeight="13.5"/>
  <sheetData/>
  <phoneticPr fontId="102" type="noConversion"/>
  <pageMargins left="0.69930555555555596" right="0.69930555555555596"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92D050"/>
    <outlinePr summaryBelow="0" summaryRight="0"/>
  </sheetPr>
  <dimension ref="A1:GT68"/>
  <sheetViews>
    <sheetView showGridLines="0" workbookViewId="0">
      <pane xSplit="2" ySplit="3" topLeftCell="D25" activePane="bottomRight" state="frozen"/>
      <selection activeCell="G2" sqref="G2"/>
      <selection pane="topRight" activeCell="G2" sqref="G2"/>
      <selection pane="bottomLeft" activeCell="G2" sqref="G2"/>
      <selection pane="bottomRight" activeCell="J29" sqref="J29"/>
    </sheetView>
  </sheetViews>
  <sheetFormatPr defaultColWidth="9" defaultRowHeight="15" outlineLevelRow="2" outlineLevelCol="1"/>
  <cols>
    <col min="1" max="1" width="4.375" style="247" customWidth="1"/>
    <col min="2" max="2" width="32.25" style="741" customWidth="1"/>
    <col min="3" max="3" width="19.125" style="742" customWidth="1"/>
    <col min="4" max="4" width="21.625" style="743" customWidth="1"/>
    <col min="5" max="8" width="10.125" style="743" customWidth="1" outlineLevel="1"/>
    <col min="9" max="9" width="9.5" style="743" customWidth="1"/>
    <col min="10" max="13" width="10.125" style="743" customWidth="1" outlineLevel="1"/>
    <col min="14" max="14" width="10.125" style="743" customWidth="1"/>
    <col min="15" max="18" width="10.125" style="743" customWidth="1" outlineLevel="1"/>
    <col min="19" max="19" width="10.125" style="743" customWidth="1"/>
    <col min="20" max="23" width="10.125" style="743" customWidth="1" outlineLevel="1"/>
    <col min="24" max="24" width="10.125" style="743" customWidth="1"/>
    <col min="25" max="28" width="10.125" style="743" customWidth="1" outlineLevel="1"/>
    <col min="29" max="29" width="10.125" style="743" customWidth="1"/>
    <col min="30" max="33" width="10.125" style="743" customWidth="1" outlineLevel="1"/>
    <col min="34" max="34" width="10.125" style="743" customWidth="1"/>
    <col min="35" max="38" width="10.125" style="743" customWidth="1" outlineLevel="1"/>
    <col min="39" max="39" width="10.125" style="743" customWidth="1"/>
    <col min="40" max="43" width="10.125" style="743" customWidth="1" outlineLevel="1"/>
    <col min="44" max="44" width="10.125" style="743" customWidth="1"/>
    <col min="45" max="48" width="10.125" style="743" customWidth="1" outlineLevel="1"/>
    <col min="49" max="49" width="10.125" style="743" customWidth="1"/>
    <col min="50" max="53" width="10.125" style="743" customWidth="1" outlineLevel="1"/>
    <col min="54" max="54" width="10.125" style="743" customWidth="1"/>
    <col min="55" max="58" width="10.125" style="743" customWidth="1" outlineLevel="1"/>
    <col min="59" max="16384" width="9" style="743"/>
  </cols>
  <sheetData>
    <row r="1" spans="1:192" ht="23.25">
      <c r="A1" s="744"/>
      <c r="B1" s="261" t="str">
        <f>"项目"&amp;'1.参数设置'!E4&amp;"现金流量测算表"</f>
        <v>项目拿地阶段现金流量测算表</v>
      </c>
      <c r="C1" s="745"/>
      <c r="D1" s="746" t="s">
        <v>117</v>
      </c>
      <c r="E1" s="747"/>
      <c r="F1" s="747"/>
      <c r="G1" s="747"/>
      <c r="H1" s="747"/>
      <c r="I1" s="747"/>
      <c r="J1" s="747"/>
      <c r="K1" s="747"/>
      <c r="L1" s="747"/>
      <c r="M1" s="747"/>
      <c r="N1" s="747"/>
      <c r="O1" s="747"/>
      <c r="P1" s="747"/>
      <c r="Q1" s="747"/>
      <c r="R1" s="747"/>
      <c r="S1" s="747"/>
      <c r="T1" s="747"/>
      <c r="U1" s="747"/>
      <c r="V1" s="747"/>
      <c r="W1" s="747"/>
      <c r="X1" s="747"/>
      <c r="Y1" s="747"/>
      <c r="Z1" s="747"/>
      <c r="AA1" s="747"/>
      <c r="AB1" s="747"/>
      <c r="AC1" s="747"/>
      <c r="AD1" s="747"/>
      <c r="AE1" s="747"/>
      <c r="AF1" s="747"/>
      <c r="AG1" s="747"/>
      <c r="AH1" s="747"/>
      <c r="AI1" s="747"/>
      <c r="AJ1" s="747"/>
      <c r="AK1" s="747"/>
      <c r="AL1" s="747"/>
      <c r="AM1" s="747"/>
      <c r="AN1" s="747"/>
      <c r="AO1" s="747"/>
      <c r="AP1" s="747"/>
      <c r="AQ1" s="747"/>
      <c r="AR1" s="747"/>
      <c r="AS1" s="747"/>
      <c r="AT1" s="747"/>
      <c r="AU1" s="747"/>
      <c r="AV1" s="747"/>
      <c r="AW1" s="747"/>
      <c r="AX1" s="747"/>
      <c r="AY1" s="747"/>
      <c r="AZ1" s="747"/>
      <c r="BA1" s="747"/>
      <c r="BB1" s="747"/>
      <c r="BC1" s="747"/>
      <c r="BD1" s="747"/>
      <c r="BE1" s="747"/>
      <c r="BF1" s="747"/>
      <c r="BG1" s="747"/>
      <c r="BH1" s="747"/>
      <c r="BI1" s="747"/>
      <c r="BJ1" s="747"/>
      <c r="BK1" s="747"/>
      <c r="BL1" s="747"/>
      <c r="BM1" s="747"/>
      <c r="BN1" s="747"/>
      <c r="BO1" s="747"/>
      <c r="BP1" s="747"/>
      <c r="BQ1" s="747"/>
      <c r="BR1" s="747"/>
      <c r="BS1" s="747"/>
      <c r="BT1" s="747"/>
      <c r="BU1" s="747"/>
      <c r="BV1" s="747"/>
      <c r="BW1" s="747"/>
      <c r="BX1" s="747"/>
      <c r="BY1" s="747"/>
      <c r="BZ1" s="747"/>
      <c r="CA1" s="747"/>
      <c r="CB1" s="747"/>
      <c r="CC1" s="747"/>
      <c r="CD1" s="747"/>
      <c r="CE1" s="747"/>
      <c r="CF1" s="747"/>
      <c r="CG1" s="747"/>
      <c r="CH1" s="747"/>
      <c r="CI1" s="747"/>
      <c r="CJ1" s="747"/>
      <c r="CK1" s="747"/>
      <c r="CL1" s="747"/>
      <c r="CM1" s="747"/>
      <c r="CN1" s="747"/>
      <c r="CO1" s="747"/>
      <c r="CP1" s="747"/>
      <c r="CQ1" s="747"/>
      <c r="CR1" s="747"/>
      <c r="CS1" s="747"/>
      <c r="CT1" s="747"/>
      <c r="CU1" s="747"/>
      <c r="CV1" s="747"/>
      <c r="CW1" s="747"/>
      <c r="CX1" s="747"/>
      <c r="CY1" s="747"/>
      <c r="CZ1" s="747"/>
      <c r="DA1" s="747"/>
      <c r="DB1" s="747"/>
      <c r="DC1" s="747"/>
      <c r="DD1" s="747"/>
      <c r="DE1" s="747"/>
      <c r="DF1" s="747"/>
      <c r="DG1" s="747"/>
      <c r="DH1" s="747"/>
      <c r="DI1" s="747"/>
      <c r="DJ1" s="747"/>
      <c r="DK1" s="747"/>
      <c r="DL1" s="747"/>
      <c r="DM1" s="747"/>
      <c r="DN1" s="747"/>
      <c r="DO1" s="747"/>
      <c r="DP1" s="747"/>
      <c r="DQ1" s="747"/>
      <c r="DR1" s="747"/>
      <c r="DS1" s="747"/>
      <c r="DT1" s="747"/>
      <c r="DU1" s="747"/>
      <c r="DV1" s="747"/>
      <c r="DW1" s="747"/>
      <c r="DX1" s="747"/>
      <c r="DY1" s="747"/>
      <c r="DZ1" s="747"/>
      <c r="EA1" s="747"/>
      <c r="EB1" s="747"/>
      <c r="EC1" s="747"/>
      <c r="ED1" s="747"/>
      <c r="EE1" s="747"/>
      <c r="EF1" s="747"/>
      <c r="EG1" s="747"/>
      <c r="EH1" s="747"/>
      <c r="EI1" s="747"/>
      <c r="EJ1" s="747"/>
      <c r="EK1" s="747"/>
      <c r="EL1" s="747"/>
      <c r="EM1" s="747"/>
      <c r="EN1" s="747"/>
      <c r="EO1" s="747"/>
      <c r="EP1" s="747"/>
      <c r="EQ1" s="747"/>
      <c r="ER1" s="747"/>
      <c r="ES1" s="747"/>
      <c r="ET1" s="747"/>
      <c r="EU1" s="747"/>
      <c r="EV1" s="747"/>
      <c r="EW1" s="747"/>
      <c r="EX1" s="747"/>
      <c r="EY1" s="747"/>
      <c r="EZ1" s="747"/>
      <c r="FA1" s="747"/>
      <c r="FB1" s="747"/>
      <c r="FC1" s="747"/>
      <c r="FD1" s="747"/>
      <c r="FE1" s="747"/>
      <c r="FF1" s="747"/>
      <c r="FG1" s="747"/>
      <c r="FH1" s="747"/>
      <c r="FI1" s="747"/>
      <c r="FJ1" s="747"/>
      <c r="FK1" s="747"/>
      <c r="FL1" s="747"/>
      <c r="FM1" s="747"/>
      <c r="FN1" s="747"/>
      <c r="FO1" s="747"/>
      <c r="FP1" s="747"/>
      <c r="FQ1" s="747"/>
      <c r="FR1" s="747"/>
      <c r="FS1" s="747"/>
      <c r="FT1" s="747"/>
      <c r="FU1" s="747"/>
      <c r="FV1" s="747"/>
      <c r="FW1" s="747"/>
      <c r="FX1" s="747"/>
      <c r="FY1" s="747"/>
      <c r="FZ1" s="747"/>
      <c r="GA1" s="747"/>
      <c r="GB1" s="747"/>
      <c r="GC1" s="747"/>
      <c r="GD1" s="747"/>
      <c r="GE1" s="747"/>
      <c r="GF1" s="747"/>
      <c r="GG1" s="747"/>
      <c r="GH1" s="747"/>
      <c r="GI1" s="747"/>
      <c r="GJ1" s="747"/>
    </row>
    <row r="2" spans="1:192" s="736" customFormat="1" ht="27" customHeight="1" thickBot="1">
      <c r="A2" s="748"/>
      <c r="B2" s="749" t="s">
        <v>684</v>
      </c>
      <c r="C2" s="750" t="s">
        <v>685</v>
      </c>
      <c r="D2" s="751"/>
      <c r="E2" s="751"/>
      <c r="F2" s="751"/>
      <c r="G2" s="751"/>
      <c r="H2" s="751"/>
      <c r="I2" s="751"/>
      <c r="J2" s="751"/>
      <c r="K2" s="751"/>
      <c r="L2" s="751"/>
      <c r="M2" s="751"/>
      <c r="N2" s="751"/>
      <c r="O2" s="751"/>
      <c r="P2" s="751"/>
      <c r="Q2" s="751"/>
      <c r="R2" s="751"/>
      <c r="S2" s="751"/>
      <c r="T2" s="751"/>
      <c r="U2" s="751"/>
      <c r="V2" s="751"/>
      <c r="W2" s="751"/>
      <c r="X2" s="751"/>
      <c r="Y2" s="751"/>
      <c r="Z2" s="751"/>
      <c r="AA2" s="751"/>
      <c r="AB2" s="751"/>
      <c r="AC2" s="751"/>
      <c r="AD2" s="751"/>
      <c r="AE2" s="751"/>
      <c r="AF2" s="751"/>
      <c r="AG2" s="751"/>
      <c r="AH2" s="751"/>
      <c r="AI2" s="751"/>
      <c r="AJ2" s="751"/>
      <c r="AK2" s="751"/>
      <c r="AL2" s="751"/>
      <c r="AM2" s="751"/>
      <c r="AN2" s="751"/>
      <c r="AO2" s="751"/>
      <c r="AP2" s="751"/>
      <c r="AQ2" s="751"/>
      <c r="AR2" s="751"/>
      <c r="AS2" s="751"/>
      <c r="AT2" s="751"/>
      <c r="AU2" s="751"/>
      <c r="AV2" s="751"/>
      <c r="AW2" s="751"/>
      <c r="AX2" s="751"/>
      <c r="AY2" s="751"/>
      <c r="AZ2" s="751"/>
      <c r="BA2" s="751"/>
      <c r="BB2" s="751"/>
      <c r="BC2" s="751"/>
      <c r="BD2" s="751"/>
      <c r="BE2" s="751"/>
      <c r="BF2" s="751"/>
      <c r="BG2" s="839"/>
      <c r="BH2" s="839"/>
      <c r="BI2" s="839"/>
      <c r="BJ2" s="839"/>
      <c r="BK2" s="839"/>
      <c r="BL2" s="839"/>
      <c r="BM2" s="839"/>
      <c r="BN2" s="839"/>
      <c r="BO2" s="839"/>
      <c r="BP2" s="839"/>
      <c r="BQ2" s="839"/>
      <c r="BR2" s="839"/>
      <c r="BS2" s="839"/>
      <c r="BT2" s="839"/>
      <c r="BU2" s="839"/>
      <c r="BV2" s="839"/>
      <c r="BW2" s="839"/>
      <c r="BX2" s="839"/>
      <c r="BY2" s="839"/>
      <c r="BZ2" s="839"/>
      <c r="CA2" s="839"/>
      <c r="CB2" s="839"/>
      <c r="CC2" s="839"/>
      <c r="CD2" s="839"/>
      <c r="CE2" s="839"/>
      <c r="CF2" s="839"/>
      <c r="CG2" s="839"/>
      <c r="CH2" s="839"/>
      <c r="CI2" s="839"/>
      <c r="CJ2" s="839"/>
      <c r="CK2" s="839"/>
      <c r="CL2" s="839"/>
      <c r="CM2" s="839"/>
      <c r="CN2" s="839"/>
      <c r="CO2" s="839"/>
      <c r="CP2" s="839"/>
      <c r="CQ2" s="839"/>
      <c r="CR2" s="839"/>
      <c r="CS2" s="839"/>
      <c r="CT2" s="839"/>
      <c r="CU2" s="839"/>
      <c r="CV2" s="839"/>
      <c r="CW2" s="839"/>
      <c r="CX2" s="839"/>
      <c r="CY2" s="839"/>
      <c r="CZ2" s="839"/>
      <c r="DA2" s="839"/>
      <c r="DB2" s="839"/>
      <c r="DC2" s="839"/>
      <c r="DD2" s="839"/>
      <c r="DE2" s="839"/>
      <c r="DF2" s="839"/>
      <c r="DG2" s="839"/>
      <c r="DH2" s="839"/>
      <c r="DI2" s="839"/>
      <c r="DJ2" s="839"/>
      <c r="DK2" s="839"/>
      <c r="DL2" s="839"/>
      <c r="DM2" s="839"/>
      <c r="DN2" s="839"/>
      <c r="DO2" s="839"/>
      <c r="DP2" s="839"/>
      <c r="DQ2" s="839"/>
      <c r="DR2" s="839"/>
      <c r="DS2" s="839"/>
      <c r="DT2" s="839"/>
      <c r="DU2" s="839"/>
      <c r="DV2" s="839"/>
      <c r="DW2" s="839"/>
      <c r="DX2" s="839"/>
      <c r="DY2" s="839"/>
      <c r="DZ2" s="839"/>
      <c r="EA2" s="839"/>
      <c r="EB2" s="839"/>
      <c r="EC2" s="839"/>
      <c r="ED2" s="839"/>
      <c r="EE2" s="839"/>
      <c r="EF2" s="839"/>
      <c r="EG2" s="839"/>
      <c r="EH2" s="839"/>
      <c r="EI2" s="839"/>
      <c r="EJ2" s="839"/>
      <c r="EK2" s="839"/>
      <c r="EL2" s="839"/>
      <c r="EM2" s="839"/>
      <c r="EN2" s="839"/>
      <c r="EO2" s="839"/>
      <c r="EP2" s="839"/>
      <c r="EQ2" s="839"/>
      <c r="ER2" s="839"/>
      <c r="ES2" s="839"/>
      <c r="ET2" s="839"/>
      <c r="EU2" s="839"/>
      <c r="EV2" s="839"/>
      <c r="EW2" s="839"/>
      <c r="EX2" s="839"/>
      <c r="EY2" s="839"/>
      <c r="EZ2" s="839"/>
      <c r="FA2" s="839"/>
      <c r="FB2" s="839"/>
      <c r="FC2" s="839"/>
      <c r="FD2" s="839"/>
      <c r="FE2" s="839"/>
      <c r="FF2" s="839"/>
      <c r="FG2" s="839"/>
      <c r="FH2" s="839"/>
      <c r="FI2" s="839"/>
      <c r="FJ2" s="839"/>
      <c r="FK2" s="839"/>
      <c r="FL2" s="839"/>
      <c r="FM2" s="839"/>
      <c r="FN2" s="839"/>
      <c r="FO2" s="839"/>
      <c r="FP2" s="839"/>
      <c r="FQ2" s="839"/>
      <c r="FR2" s="839"/>
      <c r="FS2" s="839"/>
      <c r="FT2" s="839"/>
      <c r="FU2" s="839"/>
      <c r="FV2" s="839"/>
      <c r="FW2" s="839"/>
      <c r="FX2" s="839"/>
      <c r="FY2" s="839"/>
      <c r="FZ2" s="839"/>
      <c r="GA2" s="839"/>
      <c r="GB2" s="839"/>
      <c r="GC2" s="839"/>
      <c r="GD2" s="839"/>
      <c r="GE2" s="839"/>
      <c r="GF2" s="839"/>
      <c r="GG2" s="839"/>
      <c r="GH2" s="839"/>
      <c r="GI2" s="839"/>
      <c r="GJ2" s="839"/>
    </row>
    <row r="3" spans="1:192" s="737" customFormat="1" ht="33.75" customHeight="1" thickTop="1">
      <c r="A3" s="752"/>
      <c r="B3" s="753" t="s">
        <v>686</v>
      </c>
      <c r="C3" s="754" t="s">
        <v>687</v>
      </c>
      <c r="D3" s="755">
        <f>'1.参数设置'!C4</f>
        <v>2018</v>
      </c>
      <c r="E3" s="756" t="str">
        <f>$D3&amp;"年"&amp;"1季度"</f>
        <v>2018年1季度</v>
      </c>
      <c r="F3" s="756" t="str">
        <f>$D3&amp;"年"&amp;"2季度"</f>
        <v>2018年2季度</v>
      </c>
      <c r="G3" s="756" t="str">
        <f>$D3&amp;"年"&amp;"3季度"</f>
        <v>2018年3季度</v>
      </c>
      <c r="H3" s="757" t="str">
        <f>$D3&amp;"年"&amp;"4季度"</f>
        <v>2018年4季度</v>
      </c>
      <c r="I3" s="755">
        <f>D3+1</f>
        <v>2019</v>
      </c>
      <c r="J3" s="756" t="str">
        <f>I3&amp;"年"&amp;"1季度"</f>
        <v>2019年1季度</v>
      </c>
      <c r="K3" s="756" t="str">
        <f>I3&amp;"年"&amp;"2季度"</f>
        <v>2019年2季度</v>
      </c>
      <c r="L3" s="756" t="str">
        <f>I3&amp;"年"&amp;"3季度"</f>
        <v>2019年3季度</v>
      </c>
      <c r="M3" s="757" t="str">
        <f>I3&amp;"年"&amp;"4季度"</f>
        <v>2019年4季度</v>
      </c>
      <c r="N3" s="755">
        <f>I3+1</f>
        <v>2020</v>
      </c>
      <c r="O3" s="756" t="str">
        <f>N3&amp;"年"&amp;"1季度"</f>
        <v>2020年1季度</v>
      </c>
      <c r="P3" s="756" t="str">
        <f>N3&amp;"年"&amp;"2季度"</f>
        <v>2020年2季度</v>
      </c>
      <c r="Q3" s="756" t="str">
        <f>N3&amp;"年"&amp;"3季度"</f>
        <v>2020年3季度</v>
      </c>
      <c r="R3" s="757" t="str">
        <f>N3&amp;"年"&amp;"4季度"</f>
        <v>2020年4季度</v>
      </c>
      <c r="S3" s="755">
        <f>N3+1</f>
        <v>2021</v>
      </c>
      <c r="T3" s="756" t="str">
        <f>S3&amp;"年"&amp;"1季度"</f>
        <v>2021年1季度</v>
      </c>
      <c r="U3" s="756" t="str">
        <f>S3&amp;"年"&amp;"2季度"</f>
        <v>2021年2季度</v>
      </c>
      <c r="V3" s="756" t="str">
        <f>S3&amp;"年"&amp;"3季度"</f>
        <v>2021年3季度</v>
      </c>
      <c r="W3" s="757" t="str">
        <f>S3&amp;"年"&amp;"4季度"</f>
        <v>2021年4季度</v>
      </c>
      <c r="X3" s="755">
        <f>S3+1</f>
        <v>2022</v>
      </c>
      <c r="Y3" s="756" t="str">
        <f>X3&amp;"年"&amp;"1季度"</f>
        <v>2022年1季度</v>
      </c>
      <c r="Z3" s="756" t="str">
        <f>X3&amp;"年"&amp;"2季度"</f>
        <v>2022年2季度</v>
      </c>
      <c r="AA3" s="756" t="str">
        <f>X3&amp;"年"&amp;"3季度"</f>
        <v>2022年3季度</v>
      </c>
      <c r="AB3" s="757" t="str">
        <f>X3&amp;"年"&amp;"4季度"</f>
        <v>2022年4季度</v>
      </c>
      <c r="AC3" s="755">
        <f>X3+1</f>
        <v>2023</v>
      </c>
      <c r="AD3" s="756" t="str">
        <f>AC3&amp;"年"&amp;"1季度"</f>
        <v>2023年1季度</v>
      </c>
      <c r="AE3" s="756" t="str">
        <f>AC3&amp;"年"&amp;"2季度"</f>
        <v>2023年2季度</v>
      </c>
      <c r="AF3" s="756" t="str">
        <f>AC3&amp;"年"&amp;"3季度"</f>
        <v>2023年3季度</v>
      </c>
      <c r="AG3" s="757" t="str">
        <f>AC3&amp;"年"&amp;"4季度"</f>
        <v>2023年4季度</v>
      </c>
      <c r="AH3" s="755">
        <f>AC3+1</f>
        <v>2024</v>
      </c>
      <c r="AI3" s="756" t="str">
        <f>AH3&amp;"年"&amp;"1季度"</f>
        <v>2024年1季度</v>
      </c>
      <c r="AJ3" s="756" t="str">
        <f>AH3&amp;"年"&amp;"2季度"</f>
        <v>2024年2季度</v>
      </c>
      <c r="AK3" s="756" t="str">
        <f>AH3&amp;"年"&amp;"3季度"</f>
        <v>2024年3季度</v>
      </c>
      <c r="AL3" s="757" t="str">
        <f>AH3&amp;"年"&amp;"4季度"</f>
        <v>2024年4季度</v>
      </c>
      <c r="AM3" s="755">
        <f>AH3+1</f>
        <v>2025</v>
      </c>
      <c r="AN3" s="756" t="str">
        <f>AM3&amp;"年"&amp;"1季度"</f>
        <v>2025年1季度</v>
      </c>
      <c r="AO3" s="756" t="str">
        <f>AM3&amp;"年"&amp;"2季度"</f>
        <v>2025年2季度</v>
      </c>
      <c r="AP3" s="756" t="str">
        <f>AM3&amp;"年"&amp;"3季度"</f>
        <v>2025年3季度</v>
      </c>
      <c r="AQ3" s="757" t="str">
        <f>AM3&amp;"年"&amp;"4季度"</f>
        <v>2025年4季度</v>
      </c>
      <c r="AR3" s="755">
        <f>AM3+1</f>
        <v>2026</v>
      </c>
      <c r="AS3" s="756" t="str">
        <f>AR3&amp;"年"&amp;"1季度"</f>
        <v>2026年1季度</v>
      </c>
      <c r="AT3" s="756" t="str">
        <f>AR3&amp;"年"&amp;"2季度"</f>
        <v>2026年2季度</v>
      </c>
      <c r="AU3" s="756" t="str">
        <f>AR3&amp;"年"&amp;"3季度"</f>
        <v>2026年3季度</v>
      </c>
      <c r="AV3" s="757" t="str">
        <f>AR3&amp;"年"&amp;"4季度"</f>
        <v>2026年4季度</v>
      </c>
      <c r="AW3" s="755">
        <f>AR3+1</f>
        <v>2027</v>
      </c>
      <c r="AX3" s="756" t="str">
        <f>AW3&amp;"年"&amp;"1季度"</f>
        <v>2027年1季度</v>
      </c>
      <c r="AY3" s="756" t="str">
        <f>AW3&amp;"年"&amp;"2季度"</f>
        <v>2027年2季度</v>
      </c>
      <c r="AZ3" s="756" t="str">
        <f>AW3&amp;"年"&amp;"3季度"</f>
        <v>2027年3季度</v>
      </c>
      <c r="BA3" s="757" t="str">
        <f>AW3&amp;"年"&amp;"4季度"</f>
        <v>2027年4季度</v>
      </c>
      <c r="BB3" s="755">
        <f>AW3+1</f>
        <v>2028</v>
      </c>
      <c r="BC3" s="756" t="str">
        <f>BB3&amp;"年"&amp;"1季度"</f>
        <v>2028年1季度</v>
      </c>
      <c r="BD3" s="756" t="str">
        <f>BB3&amp;"年"&amp;"2季度"</f>
        <v>2028年2季度</v>
      </c>
      <c r="BE3" s="756" t="str">
        <f>BB3&amp;"年"&amp;"3季度"</f>
        <v>2028年3季度</v>
      </c>
      <c r="BF3" s="840" t="str">
        <f>BB3&amp;"年"&amp;"4季度"</f>
        <v>2028年4季度</v>
      </c>
      <c r="BG3" s="841"/>
      <c r="BH3" s="841"/>
      <c r="BI3" s="841"/>
      <c r="BJ3" s="841"/>
      <c r="BK3" s="841"/>
      <c r="BL3" s="841"/>
      <c r="BM3" s="841"/>
      <c r="BN3" s="841"/>
      <c r="BO3" s="841"/>
      <c r="BP3" s="841"/>
      <c r="BQ3" s="841"/>
      <c r="BR3" s="841"/>
      <c r="BS3" s="841"/>
      <c r="BT3" s="841"/>
      <c r="BU3" s="841"/>
      <c r="BV3" s="841"/>
      <c r="BW3" s="841"/>
      <c r="BX3" s="841"/>
      <c r="BY3" s="841"/>
      <c r="BZ3" s="841"/>
      <c r="CA3" s="841"/>
      <c r="CB3" s="841"/>
      <c r="CC3" s="841"/>
      <c r="CD3" s="841"/>
      <c r="CE3" s="841"/>
      <c r="CF3" s="841"/>
      <c r="CG3" s="841"/>
      <c r="CH3" s="841"/>
      <c r="CI3" s="841"/>
      <c r="CJ3" s="841"/>
      <c r="CK3" s="841"/>
      <c r="CL3" s="841"/>
      <c r="CM3" s="841"/>
      <c r="CN3" s="841"/>
      <c r="CO3" s="841"/>
      <c r="CP3" s="841"/>
      <c r="CQ3" s="841"/>
      <c r="CR3" s="841"/>
      <c r="CS3" s="841"/>
      <c r="CT3" s="841"/>
      <c r="CU3" s="841"/>
      <c r="CV3" s="841"/>
      <c r="CW3" s="841"/>
      <c r="CX3" s="841"/>
      <c r="CY3" s="841"/>
      <c r="CZ3" s="841"/>
      <c r="DA3" s="841"/>
      <c r="DB3" s="841"/>
      <c r="DC3" s="841"/>
      <c r="DD3" s="841"/>
      <c r="DE3" s="841"/>
      <c r="DF3" s="841"/>
      <c r="DG3" s="841"/>
      <c r="DH3" s="841"/>
      <c r="DI3" s="841"/>
      <c r="DJ3" s="841"/>
      <c r="DK3" s="841"/>
      <c r="DL3" s="841"/>
      <c r="DM3" s="841"/>
      <c r="DN3" s="841"/>
      <c r="DO3" s="841"/>
      <c r="DP3" s="841"/>
      <c r="DQ3" s="841"/>
      <c r="DR3" s="841"/>
      <c r="DS3" s="841"/>
      <c r="DT3" s="841"/>
      <c r="DU3" s="841"/>
      <c r="DV3" s="841"/>
      <c r="DW3" s="841"/>
      <c r="DX3" s="841"/>
      <c r="DY3" s="841"/>
      <c r="DZ3" s="841"/>
      <c r="EA3" s="841"/>
      <c r="EB3" s="841"/>
      <c r="EC3" s="841"/>
      <c r="ED3" s="841"/>
      <c r="EE3" s="841"/>
      <c r="EF3" s="841"/>
      <c r="EG3" s="841"/>
      <c r="EH3" s="841"/>
      <c r="EI3" s="841"/>
      <c r="EJ3" s="841"/>
      <c r="EK3" s="841"/>
      <c r="EL3" s="841"/>
      <c r="EM3" s="841"/>
      <c r="EN3" s="841"/>
      <c r="EO3" s="841"/>
      <c r="EP3" s="841"/>
      <c r="EQ3" s="841"/>
      <c r="ER3" s="841"/>
      <c r="ES3" s="841"/>
      <c r="ET3" s="841"/>
      <c r="EU3" s="841"/>
      <c r="EV3" s="841"/>
      <c r="EW3" s="841"/>
      <c r="EX3" s="841"/>
      <c r="EY3" s="841"/>
      <c r="EZ3" s="841"/>
      <c r="FA3" s="841"/>
      <c r="FB3" s="841"/>
      <c r="FC3" s="841"/>
      <c r="FD3" s="841"/>
      <c r="FE3" s="841"/>
      <c r="FF3" s="841"/>
      <c r="FG3" s="841"/>
      <c r="FH3" s="841"/>
      <c r="FI3" s="841"/>
      <c r="FJ3" s="841"/>
      <c r="FK3" s="841"/>
      <c r="FL3" s="841"/>
      <c r="FM3" s="841"/>
      <c r="FN3" s="841"/>
      <c r="FO3" s="841"/>
      <c r="FP3" s="841"/>
      <c r="FQ3" s="841"/>
      <c r="FR3" s="841"/>
      <c r="FS3" s="841"/>
      <c r="FT3" s="841"/>
      <c r="FU3" s="841"/>
      <c r="FV3" s="841"/>
      <c r="FW3" s="841"/>
      <c r="FX3" s="841"/>
      <c r="FY3" s="841"/>
      <c r="FZ3" s="841"/>
      <c r="GA3" s="841"/>
      <c r="GB3" s="841"/>
      <c r="GC3" s="841"/>
      <c r="GD3" s="841"/>
      <c r="GE3" s="841"/>
      <c r="GF3" s="841"/>
      <c r="GG3" s="841"/>
      <c r="GH3" s="841"/>
      <c r="GI3" s="841"/>
      <c r="GJ3" s="841"/>
    </row>
    <row r="4" spans="1:192" ht="17.25" customHeight="1">
      <c r="A4" s="758"/>
      <c r="B4" s="759" t="s">
        <v>688</v>
      </c>
      <c r="C4" s="760">
        <v>0</v>
      </c>
      <c r="D4" s="761">
        <v>0</v>
      </c>
      <c r="E4" s="762">
        <v>0</v>
      </c>
      <c r="F4" s="762">
        <f t="shared" ref="F4:I4" ca="1" si="0">E39</f>
        <v>0</v>
      </c>
      <c r="G4" s="762">
        <f t="shared" ca="1" si="0"/>
        <v>0</v>
      </c>
      <c r="H4" s="763">
        <f t="shared" ca="1" si="0"/>
        <v>-7150</v>
      </c>
      <c r="I4" s="761">
        <f t="shared" ca="1" si="0"/>
        <v>-33442.233565158538</v>
      </c>
      <c r="J4" s="826">
        <f ca="1">H39</f>
        <v>-33442.233565158538</v>
      </c>
      <c r="K4" s="762">
        <f t="shared" ref="K4:M4" ca="1" si="1">J39</f>
        <v>-31048.629532595802</v>
      </c>
      <c r="L4" s="762">
        <f t="shared" ca="1" si="1"/>
        <v>2516.834613771829</v>
      </c>
      <c r="M4" s="762">
        <f t="shared" ca="1" si="1"/>
        <v>3284.1624187258712</v>
      </c>
      <c r="N4" s="761">
        <f ca="1">I39</f>
        <v>13185.506307837917</v>
      </c>
      <c r="O4" s="826">
        <f ca="1">M39</f>
        <v>13185.506307837921</v>
      </c>
      <c r="P4" s="762">
        <f t="shared" ref="P4:R4" ca="1" si="2">O39</f>
        <v>13124.167222867174</v>
      </c>
      <c r="Q4" s="762">
        <f t="shared" ca="1" si="2"/>
        <v>17335.084899192498</v>
      </c>
      <c r="R4" s="762">
        <f t="shared" ca="1" si="2"/>
        <v>18949.133013224313</v>
      </c>
      <c r="S4" s="761">
        <f ca="1">N39</f>
        <v>8878.8015829221731</v>
      </c>
      <c r="T4" s="826">
        <f ca="1">R39</f>
        <v>8878.8015829221731</v>
      </c>
      <c r="U4" s="762">
        <f t="shared" ref="U4:W4" ca="1" si="3">T39</f>
        <v>7477.5682823111256</v>
      </c>
      <c r="V4" s="762">
        <f t="shared" ca="1" si="3"/>
        <v>5910.2824023111252</v>
      </c>
      <c r="W4" s="762">
        <f t="shared" ca="1" si="3"/>
        <v>4722.6048223111247</v>
      </c>
      <c r="X4" s="761">
        <f ca="1">S39</f>
        <v>4722.6048223111247</v>
      </c>
      <c r="Y4" s="826">
        <f ca="1">W39</f>
        <v>4722.6048223111247</v>
      </c>
      <c r="Z4" s="762">
        <f t="shared" ref="Z4:AB4" ca="1" si="4">Y39</f>
        <v>4722.6048223111247</v>
      </c>
      <c r="AA4" s="762">
        <f t="shared" ca="1" si="4"/>
        <v>4722.6048223111247</v>
      </c>
      <c r="AB4" s="762">
        <f t="shared" ca="1" si="4"/>
        <v>4129.748454311125</v>
      </c>
      <c r="AC4" s="761">
        <f ca="1">X39</f>
        <v>3240.4639023111249</v>
      </c>
      <c r="AD4" s="826">
        <f ca="1">AB39</f>
        <v>3240.4639023111249</v>
      </c>
      <c r="AE4" s="762">
        <f t="shared" ref="AE4:AG4" ca="1" si="5">AD39</f>
        <v>3240.4639023111249</v>
      </c>
      <c r="AF4" s="762">
        <f t="shared" ca="1" si="5"/>
        <v>3240.4639023111249</v>
      </c>
      <c r="AG4" s="762">
        <f t="shared" ca="1" si="5"/>
        <v>3240.4639023111249</v>
      </c>
      <c r="AH4" s="761">
        <f ca="1">AC39</f>
        <v>3240.4639023111249</v>
      </c>
      <c r="AI4" s="826">
        <f ca="1">AG39</f>
        <v>3240.4639023111249</v>
      </c>
      <c r="AJ4" s="762">
        <f t="shared" ref="AJ4:AL4" ca="1" si="6">AI39</f>
        <v>3240.4639023111249</v>
      </c>
      <c r="AK4" s="762">
        <f t="shared" ca="1" si="6"/>
        <v>3240.4639023111249</v>
      </c>
      <c r="AL4" s="762">
        <f t="shared" ca="1" si="6"/>
        <v>3240.4639023111249</v>
      </c>
      <c r="AM4" s="761">
        <f ca="1">AH39</f>
        <v>3240.4639023111249</v>
      </c>
      <c r="AN4" s="826">
        <f ca="1">AL39</f>
        <v>3240.4639023111249</v>
      </c>
      <c r="AO4" s="762">
        <f t="shared" ref="AO4:AQ4" ca="1" si="7">AN39</f>
        <v>3240.4639023111249</v>
      </c>
      <c r="AP4" s="762">
        <f t="shared" ca="1" si="7"/>
        <v>3240.4639023111249</v>
      </c>
      <c r="AQ4" s="762">
        <f t="shared" ca="1" si="7"/>
        <v>3240.4639023111249</v>
      </c>
      <c r="AR4" s="761">
        <f ca="1">AM39</f>
        <v>3240.4639023111249</v>
      </c>
      <c r="AS4" s="826">
        <f ca="1">AQ39</f>
        <v>3240.4639023111249</v>
      </c>
      <c r="AT4" s="762">
        <f t="shared" ref="AT4:AV4" ca="1" si="8">AS39</f>
        <v>3240.4639023111249</v>
      </c>
      <c r="AU4" s="762">
        <f t="shared" ca="1" si="8"/>
        <v>3240.4639023111249</v>
      </c>
      <c r="AV4" s="762">
        <f t="shared" ca="1" si="8"/>
        <v>3240.4639023111249</v>
      </c>
      <c r="AW4" s="761">
        <f ca="1">AR39</f>
        <v>3240.4639023111249</v>
      </c>
      <c r="AX4" s="826">
        <f ca="1">AV39</f>
        <v>3240.4639023111249</v>
      </c>
      <c r="AY4" s="762">
        <f t="shared" ref="AY4:BA4" ca="1" si="9">AX39</f>
        <v>3240.4639023111249</v>
      </c>
      <c r="AZ4" s="762">
        <f t="shared" ca="1" si="9"/>
        <v>3240.4639023111249</v>
      </c>
      <c r="BA4" s="762">
        <f t="shared" ca="1" si="9"/>
        <v>3240.4639023111249</v>
      </c>
      <c r="BB4" s="761">
        <f ca="1">AW39</f>
        <v>3240.4639023111249</v>
      </c>
      <c r="BC4" s="826">
        <f ca="1">BA39</f>
        <v>3240.4639023111249</v>
      </c>
      <c r="BD4" s="762">
        <f t="shared" ref="BD4:BF4" ca="1" si="10">BC39</f>
        <v>3240.4639023111249</v>
      </c>
      <c r="BE4" s="762">
        <f t="shared" ca="1" si="10"/>
        <v>3240.4639023111249</v>
      </c>
      <c r="BF4" s="842">
        <f t="shared" ca="1" si="10"/>
        <v>3240.4639023111249</v>
      </c>
      <c r="BG4" s="747"/>
      <c r="BH4" s="747"/>
      <c r="BI4" s="747"/>
      <c r="BJ4" s="747"/>
      <c r="BK4" s="747"/>
      <c r="BL4" s="747"/>
      <c r="BM4" s="747"/>
      <c r="BN4" s="747"/>
      <c r="BO4" s="747"/>
      <c r="BP4" s="747"/>
      <c r="BQ4" s="747"/>
      <c r="BR4" s="747"/>
      <c r="BS4" s="747"/>
      <c r="BT4" s="747"/>
      <c r="BU4" s="747"/>
      <c r="BV4" s="747"/>
      <c r="BW4" s="747"/>
      <c r="BX4" s="747"/>
      <c r="BY4" s="747"/>
      <c r="BZ4" s="747"/>
      <c r="CA4" s="747"/>
      <c r="CB4" s="747"/>
      <c r="CC4" s="747"/>
      <c r="CD4" s="747"/>
      <c r="CE4" s="747"/>
      <c r="CF4" s="747"/>
      <c r="CG4" s="747"/>
      <c r="CH4" s="747"/>
      <c r="CI4" s="747"/>
      <c r="CJ4" s="747"/>
      <c r="CK4" s="747"/>
      <c r="CL4" s="747"/>
      <c r="CM4" s="747"/>
      <c r="CN4" s="747"/>
      <c r="CO4" s="747"/>
      <c r="CP4" s="747"/>
      <c r="CQ4" s="747"/>
      <c r="CR4" s="747"/>
      <c r="CS4" s="747"/>
      <c r="CT4" s="747"/>
      <c r="CU4" s="747"/>
      <c r="CV4" s="747"/>
      <c r="CW4" s="747"/>
      <c r="CX4" s="747"/>
      <c r="CY4" s="747"/>
      <c r="CZ4" s="747"/>
      <c r="DA4" s="747"/>
      <c r="DB4" s="747"/>
      <c r="DC4" s="747"/>
      <c r="DD4" s="747"/>
      <c r="DE4" s="747"/>
      <c r="DF4" s="747"/>
      <c r="DG4" s="747"/>
      <c r="DH4" s="747"/>
      <c r="DI4" s="747"/>
      <c r="DJ4" s="747"/>
      <c r="DK4" s="747"/>
      <c r="DL4" s="747"/>
      <c r="DM4" s="747"/>
      <c r="DN4" s="747"/>
      <c r="DO4" s="747"/>
      <c r="DP4" s="747"/>
      <c r="DQ4" s="747"/>
      <c r="DR4" s="747"/>
      <c r="DS4" s="747"/>
      <c r="DT4" s="747"/>
      <c r="DU4" s="747"/>
      <c r="DV4" s="747"/>
      <c r="DW4" s="747"/>
      <c r="DX4" s="747"/>
      <c r="DY4" s="747"/>
      <c r="DZ4" s="747"/>
      <c r="EA4" s="747"/>
      <c r="EB4" s="747"/>
      <c r="EC4" s="747"/>
      <c r="ED4" s="747"/>
      <c r="EE4" s="747"/>
      <c r="EF4" s="747"/>
      <c r="EG4" s="747"/>
      <c r="EH4" s="747"/>
      <c r="EI4" s="747"/>
      <c r="EJ4" s="747"/>
      <c r="EK4" s="747"/>
      <c r="EL4" s="747"/>
      <c r="EM4" s="747"/>
      <c r="EN4" s="747"/>
      <c r="EO4" s="747"/>
      <c r="EP4" s="747"/>
      <c r="EQ4" s="747"/>
      <c r="ER4" s="747"/>
      <c r="ES4" s="747"/>
      <c r="ET4" s="747"/>
      <c r="EU4" s="747"/>
      <c r="EV4" s="747"/>
      <c r="EW4" s="747"/>
      <c r="EX4" s="747"/>
      <c r="EY4" s="747"/>
      <c r="EZ4" s="747"/>
      <c r="FA4" s="747"/>
      <c r="FB4" s="747"/>
      <c r="FC4" s="747"/>
      <c r="FD4" s="747"/>
      <c r="FE4" s="747"/>
      <c r="FF4" s="747"/>
      <c r="FG4" s="747"/>
      <c r="FH4" s="747"/>
      <c r="FI4" s="747"/>
      <c r="FJ4" s="747"/>
      <c r="FK4" s="747"/>
      <c r="FL4" s="747"/>
      <c r="FM4" s="747"/>
      <c r="FN4" s="747"/>
      <c r="FO4" s="747"/>
      <c r="FP4" s="747"/>
      <c r="FQ4" s="747"/>
      <c r="FR4" s="747"/>
      <c r="FS4" s="747"/>
      <c r="FT4" s="747"/>
      <c r="FU4" s="747"/>
      <c r="FV4" s="747"/>
      <c r="FW4" s="747"/>
      <c r="FX4" s="747"/>
      <c r="FY4" s="747"/>
      <c r="FZ4" s="747"/>
      <c r="GA4" s="747"/>
      <c r="GB4" s="747"/>
      <c r="GC4" s="747"/>
      <c r="GD4" s="747"/>
      <c r="GE4" s="747"/>
      <c r="GF4" s="747"/>
      <c r="GG4" s="747"/>
      <c r="GH4" s="747"/>
      <c r="GI4" s="747"/>
      <c r="GJ4" s="747"/>
    </row>
    <row r="5" spans="1:192" ht="17.25" customHeight="1">
      <c r="A5" s="758"/>
      <c r="B5" s="759" t="s">
        <v>689</v>
      </c>
      <c r="C5" s="760">
        <v>0</v>
      </c>
      <c r="D5" s="761">
        <v>0</v>
      </c>
      <c r="E5" s="762">
        <v>0</v>
      </c>
      <c r="F5" s="762">
        <f t="shared" ref="F5:I5" ca="1" si="11">E42</f>
        <v>0</v>
      </c>
      <c r="G5" s="762">
        <f t="shared" ca="1" si="11"/>
        <v>0</v>
      </c>
      <c r="H5" s="763">
        <f t="shared" ca="1" si="11"/>
        <v>-7150</v>
      </c>
      <c r="I5" s="761">
        <f t="shared" ca="1" si="11"/>
        <v>-33442.233565158538</v>
      </c>
      <c r="J5" s="826">
        <f ca="1">H42</f>
        <v>-33442.233565158538</v>
      </c>
      <c r="K5" s="762">
        <f t="shared" ref="K5:M5" ca="1" si="12">J42</f>
        <v>-31048.629532595802</v>
      </c>
      <c r="L5" s="762">
        <f t="shared" ca="1" si="12"/>
        <v>2516.834613771829</v>
      </c>
      <c r="M5" s="762">
        <f t="shared" ca="1" si="12"/>
        <v>3284.1624187258712</v>
      </c>
      <c r="N5" s="761">
        <f ca="1">I42</f>
        <v>13185.506307837917</v>
      </c>
      <c r="O5" s="826">
        <f ca="1">M42</f>
        <v>13185.506307837921</v>
      </c>
      <c r="P5" s="762">
        <f t="shared" ref="P5:R5" ca="1" si="13">O42</f>
        <v>13124.167222867174</v>
      </c>
      <c r="Q5" s="762">
        <f t="shared" ca="1" si="13"/>
        <v>17335.084899192498</v>
      </c>
      <c r="R5" s="762">
        <f t="shared" ca="1" si="13"/>
        <v>18949.133013224313</v>
      </c>
      <c r="S5" s="761">
        <f ca="1">N42</f>
        <v>8878.8015829221731</v>
      </c>
      <c r="T5" s="826">
        <f ca="1">R42</f>
        <v>8878.8015829221731</v>
      </c>
      <c r="U5" s="762">
        <f t="shared" ref="U5:W5" ca="1" si="14">T42</f>
        <v>7477.5682823111256</v>
      </c>
      <c r="V5" s="762">
        <f t="shared" ca="1" si="14"/>
        <v>5910.2824023111252</v>
      </c>
      <c r="W5" s="762">
        <f t="shared" ca="1" si="14"/>
        <v>4722.6048223111247</v>
      </c>
      <c r="X5" s="761">
        <f ca="1">S42</f>
        <v>4722.6048223111247</v>
      </c>
      <c r="Y5" s="826">
        <f ca="1">W42</f>
        <v>4722.6048223111247</v>
      </c>
      <c r="Z5" s="762">
        <f t="shared" ref="Z5:AB5" ca="1" si="15">Y42</f>
        <v>4722.6048223111247</v>
      </c>
      <c r="AA5" s="762">
        <f t="shared" ca="1" si="15"/>
        <v>4722.6048223111247</v>
      </c>
      <c r="AB5" s="762">
        <f t="shared" ca="1" si="15"/>
        <v>4129.748454311125</v>
      </c>
      <c r="AC5" s="761">
        <f ca="1">X42</f>
        <v>3240.4639023111249</v>
      </c>
      <c r="AD5" s="826">
        <f ca="1">AB42</f>
        <v>3240.4639023111249</v>
      </c>
      <c r="AE5" s="762">
        <f t="shared" ref="AE5:AG5" ca="1" si="16">AD42</f>
        <v>3240.4639023111249</v>
      </c>
      <c r="AF5" s="762">
        <f t="shared" ca="1" si="16"/>
        <v>3240.4639023111249</v>
      </c>
      <c r="AG5" s="762">
        <f t="shared" ca="1" si="16"/>
        <v>3240.4639023111249</v>
      </c>
      <c r="AH5" s="761">
        <f ca="1">AC42</f>
        <v>3240.4639023111249</v>
      </c>
      <c r="AI5" s="826">
        <f ca="1">AG42</f>
        <v>3240.4639023111249</v>
      </c>
      <c r="AJ5" s="762">
        <f t="shared" ref="AJ5:AL5" ca="1" si="17">AI42</f>
        <v>3240.4639023111249</v>
      </c>
      <c r="AK5" s="762">
        <f t="shared" ca="1" si="17"/>
        <v>3240.4639023111249</v>
      </c>
      <c r="AL5" s="762">
        <f t="shared" ca="1" si="17"/>
        <v>3240.4639023111249</v>
      </c>
      <c r="AM5" s="761">
        <f ca="1">AH42</f>
        <v>3240.4639023111249</v>
      </c>
      <c r="AN5" s="826">
        <f ca="1">AL42</f>
        <v>3240.4639023111249</v>
      </c>
      <c r="AO5" s="762">
        <f t="shared" ref="AO5:AQ5" ca="1" si="18">AN42</f>
        <v>3240.4639023111249</v>
      </c>
      <c r="AP5" s="762">
        <f t="shared" ca="1" si="18"/>
        <v>3240.4639023111249</v>
      </c>
      <c r="AQ5" s="762">
        <f t="shared" ca="1" si="18"/>
        <v>3240.4639023111249</v>
      </c>
      <c r="AR5" s="761">
        <f ca="1">AM42</f>
        <v>3240.4639023111249</v>
      </c>
      <c r="AS5" s="826">
        <f ca="1">AQ42</f>
        <v>3240.4639023111249</v>
      </c>
      <c r="AT5" s="762">
        <f t="shared" ref="AT5:AV5" ca="1" si="19">AS42</f>
        <v>3240.4639023111249</v>
      </c>
      <c r="AU5" s="762">
        <f t="shared" ca="1" si="19"/>
        <v>3240.4639023111249</v>
      </c>
      <c r="AV5" s="762">
        <f t="shared" ca="1" si="19"/>
        <v>3240.4639023111249</v>
      </c>
      <c r="AW5" s="761">
        <f ca="1">AR42</f>
        <v>3240.4639023111249</v>
      </c>
      <c r="AX5" s="826">
        <f ca="1">AV42</f>
        <v>3240.4639023111249</v>
      </c>
      <c r="AY5" s="762">
        <f t="shared" ref="AY5:BA5" ca="1" si="20">AX42</f>
        <v>3240.4639023111249</v>
      </c>
      <c r="AZ5" s="762">
        <f t="shared" ca="1" si="20"/>
        <v>3240.4639023111249</v>
      </c>
      <c r="BA5" s="762">
        <f t="shared" ca="1" si="20"/>
        <v>3240.4639023111249</v>
      </c>
      <c r="BB5" s="761">
        <f ca="1">AW42</f>
        <v>3240.4639023111249</v>
      </c>
      <c r="BC5" s="826">
        <f ca="1">BA42</f>
        <v>3240.4639023111249</v>
      </c>
      <c r="BD5" s="762">
        <f t="shared" ref="BD5:BF5" ca="1" si="21">BC42</f>
        <v>3240.4639023111249</v>
      </c>
      <c r="BE5" s="762">
        <f t="shared" ca="1" si="21"/>
        <v>3240.4639023111249</v>
      </c>
      <c r="BF5" s="842">
        <f t="shared" ca="1" si="21"/>
        <v>3240.4639023111249</v>
      </c>
      <c r="BG5" s="747"/>
      <c r="BH5" s="747"/>
      <c r="BI5" s="747"/>
      <c r="BJ5" s="747"/>
      <c r="BK5" s="747"/>
      <c r="BL5" s="747"/>
      <c r="BM5" s="747"/>
      <c r="BN5" s="747"/>
      <c r="BO5" s="747"/>
      <c r="BP5" s="747"/>
      <c r="BQ5" s="747"/>
      <c r="BR5" s="747"/>
      <c r="BS5" s="747"/>
      <c r="BT5" s="747"/>
      <c r="BU5" s="747"/>
      <c r="BV5" s="747"/>
      <c r="BW5" s="747"/>
      <c r="BX5" s="747"/>
      <c r="BY5" s="747"/>
      <c r="BZ5" s="747"/>
      <c r="CA5" s="747"/>
      <c r="CB5" s="747"/>
      <c r="CC5" s="747"/>
      <c r="CD5" s="747"/>
      <c r="CE5" s="747"/>
      <c r="CF5" s="747"/>
      <c r="CG5" s="747"/>
      <c r="CH5" s="747"/>
      <c r="CI5" s="747"/>
      <c r="CJ5" s="747"/>
      <c r="CK5" s="747"/>
      <c r="CL5" s="747"/>
      <c r="CM5" s="747"/>
      <c r="CN5" s="747"/>
      <c r="CO5" s="747"/>
      <c r="CP5" s="747"/>
      <c r="CQ5" s="747"/>
      <c r="CR5" s="747"/>
      <c r="CS5" s="747"/>
      <c r="CT5" s="747"/>
      <c r="CU5" s="747"/>
      <c r="CV5" s="747"/>
      <c r="CW5" s="747"/>
      <c r="CX5" s="747"/>
      <c r="CY5" s="747"/>
      <c r="CZ5" s="747"/>
      <c r="DA5" s="747"/>
      <c r="DB5" s="747"/>
      <c r="DC5" s="747"/>
      <c r="DD5" s="747"/>
      <c r="DE5" s="747"/>
      <c r="DF5" s="747"/>
      <c r="DG5" s="747"/>
      <c r="DH5" s="747"/>
      <c r="DI5" s="747"/>
      <c r="DJ5" s="747"/>
      <c r="DK5" s="747"/>
      <c r="DL5" s="747"/>
      <c r="DM5" s="747"/>
      <c r="DN5" s="747"/>
      <c r="DO5" s="747"/>
      <c r="DP5" s="747"/>
      <c r="DQ5" s="747"/>
      <c r="DR5" s="747"/>
      <c r="DS5" s="747"/>
      <c r="DT5" s="747"/>
      <c r="DU5" s="747"/>
      <c r="DV5" s="747"/>
      <c r="DW5" s="747"/>
      <c r="DX5" s="747"/>
      <c r="DY5" s="747"/>
      <c r="DZ5" s="747"/>
      <c r="EA5" s="747"/>
      <c r="EB5" s="747"/>
      <c r="EC5" s="747"/>
      <c r="ED5" s="747"/>
      <c r="EE5" s="747"/>
      <c r="EF5" s="747"/>
      <c r="EG5" s="747"/>
      <c r="EH5" s="747"/>
      <c r="EI5" s="747"/>
      <c r="EJ5" s="747"/>
      <c r="EK5" s="747"/>
      <c r="EL5" s="747"/>
      <c r="EM5" s="747"/>
      <c r="EN5" s="747"/>
      <c r="EO5" s="747"/>
      <c r="EP5" s="747"/>
      <c r="EQ5" s="747"/>
      <c r="ER5" s="747"/>
      <c r="ES5" s="747"/>
      <c r="ET5" s="747"/>
      <c r="EU5" s="747"/>
      <c r="EV5" s="747"/>
      <c r="EW5" s="747"/>
      <c r="EX5" s="747"/>
      <c r="EY5" s="747"/>
      <c r="EZ5" s="747"/>
      <c r="FA5" s="747"/>
      <c r="FB5" s="747"/>
      <c r="FC5" s="747"/>
      <c r="FD5" s="747"/>
      <c r="FE5" s="747"/>
      <c r="FF5" s="747"/>
      <c r="FG5" s="747"/>
      <c r="FH5" s="747"/>
      <c r="FI5" s="747"/>
      <c r="FJ5" s="747"/>
      <c r="FK5" s="747"/>
      <c r="FL5" s="747"/>
      <c r="FM5" s="747"/>
      <c r="FN5" s="747"/>
      <c r="FO5" s="747"/>
      <c r="FP5" s="747"/>
      <c r="FQ5" s="747"/>
      <c r="FR5" s="747"/>
      <c r="FS5" s="747"/>
      <c r="FT5" s="747"/>
      <c r="FU5" s="747"/>
      <c r="FV5" s="747"/>
      <c r="FW5" s="747"/>
      <c r="FX5" s="747"/>
      <c r="FY5" s="747"/>
      <c r="FZ5" s="747"/>
      <c r="GA5" s="747"/>
      <c r="GB5" s="747"/>
      <c r="GC5" s="747"/>
      <c r="GD5" s="747"/>
      <c r="GE5" s="747"/>
      <c r="GF5" s="747"/>
      <c r="GG5" s="747"/>
      <c r="GH5" s="747"/>
      <c r="GI5" s="747"/>
      <c r="GJ5" s="747"/>
    </row>
    <row r="6" spans="1:192" ht="17.25" customHeight="1">
      <c r="A6" s="758"/>
      <c r="B6" s="759" t="s">
        <v>690</v>
      </c>
      <c r="C6" s="764">
        <f t="shared" ref="C6:C10" si="22">SUM(D6,I6,N6,S6,X6,AC6,AH6,AM6,AR6,AW6,BB6)</f>
        <v>100593.19495999999</v>
      </c>
      <c r="D6" s="761">
        <f t="shared" ref="D6:D13" si="23">SUM(E6:H6)</f>
        <v>0</v>
      </c>
      <c r="E6" s="765">
        <f>'11.销售及回款表'!E8+'11.销售及回款表'!E13</f>
        <v>0</v>
      </c>
      <c r="F6" s="765">
        <f>'11.销售及回款表'!F8+'11.销售及回款表'!F13</f>
        <v>0</v>
      </c>
      <c r="G6" s="765">
        <f>'11.销售及回款表'!G8+'11.销售及回款表'!G13</f>
        <v>0</v>
      </c>
      <c r="H6" s="766">
        <f>'11.销售及回款表'!H8+'11.销售及回款表'!H13</f>
        <v>0</v>
      </c>
      <c r="I6" s="761">
        <f t="shared" ref="I6:I13" si="24">SUM(J6:M6)</f>
        <v>73473.047999999995</v>
      </c>
      <c r="J6" s="827">
        <f>'11.销售及回款表'!I8+'11.销售及回款表'!I13</f>
        <v>0</v>
      </c>
      <c r="K6" s="765">
        <f>'11.销售及回款表'!J8+'11.销售及回款表'!J13</f>
        <v>29452.5</v>
      </c>
      <c r="L6" s="765">
        <f>'11.销售及回款表'!K8+'11.销售及回款表'!K13</f>
        <v>30630.6</v>
      </c>
      <c r="M6" s="765">
        <f>'11.销售及回款表'!L8+'11.销售及回款表'!L13</f>
        <v>13389.948</v>
      </c>
      <c r="N6" s="761">
        <f t="shared" ref="N6:N13" si="25">SUM(O6:R6)</f>
        <v>25938.54696</v>
      </c>
      <c r="O6" s="827">
        <f>'11.销售及回款表'!M8+'11.销售及回款表'!M13</f>
        <v>13657.746959999999</v>
      </c>
      <c r="P6" s="765">
        <f>'11.销售及回款表'!N8+'11.销售及回款表'!N13</f>
        <v>6988.8</v>
      </c>
      <c r="Q6" s="765">
        <f>'11.销售及回款表'!O8+'11.销售及回款表'!O13</f>
        <v>3519.6000000000004</v>
      </c>
      <c r="R6" s="765">
        <f>'11.销售及回款表'!P8+'11.销售及回款表'!P13</f>
        <v>1772.4</v>
      </c>
      <c r="S6" s="761">
        <f t="shared" ref="S6:S13" si="26">SUM(T6:W6)</f>
        <v>1181.5999999999999</v>
      </c>
      <c r="T6" s="827">
        <f>'11.销售及回款表'!Q8+'11.销售及回款表'!Q13</f>
        <v>1181.5999999999999</v>
      </c>
      <c r="U6" s="765">
        <f>'11.销售及回款表'!R8+'11.销售及回款表'!R13</f>
        <v>0</v>
      </c>
      <c r="V6" s="765">
        <f>'11.销售及回款表'!S8+'11.销售及回款表'!S13</f>
        <v>0</v>
      </c>
      <c r="W6" s="765">
        <f>'11.销售及回款表'!T8+'11.销售及回款表'!T13</f>
        <v>0</v>
      </c>
      <c r="X6" s="761">
        <f t="shared" ref="X6:X13" si="27">SUM(Y6:AB6)</f>
        <v>0</v>
      </c>
      <c r="Y6" s="827">
        <f>'11.销售及回款表'!U8+'11.销售及回款表'!U13</f>
        <v>0</v>
      </c>
      <c r="Z6" s="765">
        <f>'11.销售及回款表'!V8+'11.销售及回款表'!V13</f>
        <v>0</v>
      </c>
      <c r="AA6" s="765">
        <f>'11.销售及回款表'!W8+'11.销售及回款表'!W13</f>
        <v>0</v>
      </c>
      <c r="AB6" s="765">
        <f>'11.销售及回款表'!X8+'11.销售及回款表'!X13</f>
        <v>0</v>
      </c>
      <c r="AC6" s="761">
        <f t="shared" ref="AC6:AC13" si="28">SUM(AD6:AG6)</f>
        <v>0</v>
      </c>
      <c r="AD6" s="827">
        <f>'11.销售及回款表'!Y8+'11.销售及回款表'!Y13</f>
        <v>0</v>
      </c>
      <c r="AE6" s="765">
        <f>'11.销售及回款表'!Z8+'11.销售及回款表'!Z13</f>
        <v>0</v>
      </c>
      <c r="AF6" s="765">
        <f>'11.销售及回款表'!AA8+'11.销售及回款表'!AA13</f>
        <v>0</v>
      </c>
      <c r="AG6" s="765">
        <f>'11.销售及回款表'!AB8+'11.销售及回款表'!AB13</f>
        <v>0</v>
      </c>
      <c r="AH6" s="761">
        <f t="shared" ref="AH6:AH13" si="29">SUM(AI6:AL6)</f>
        <v>0</v>
      </c>
      <c r="AI6" s="827">
        <f>'11.销售及回款表'!AC8+'11.销售及回款表'!AC13</f>
        <v>0</v>
      </c>
      <c r="AJ6" s="765">
        <f>'11.销售及回款表'!AD8+'11.销售及回款表'!AD13</f>
        <v>0</v>
      </c>
      <c r="AK6" s="765">
        <f>'11.销售及回款表'!AE8+'11.销售及回款表'!AE13</f>
        <v>0</v>
      </c>
      <c r="AL6" s="765">
        <f>'11.销售及回款表'!AF8+'11.销售及回款表'!AF13</f>
        <v>0</v>
      </c>
      <c r="AM6" s="761">
        <f t="shared" ref="AM6:AM13" si="30">SUM(AN6:AQ6)</f>
        <v>0</v>
      </c>
      <c r="AN6" s="827">
        <f>'11.销售及回款表'!AG8+'11.销售及回款表'!AG13</f>
        <v>0</v>
      </c>
      <c r="AO6" s="765">
        <f>'11.销售及回款表'!AH8+'11.销售及回款表'!AH13</f>
        <v>0</v>
      </c>
      <c r="AP6" s="765">
        <f>'11.销售及回款表'!AI8+'11.销售及回款表'!AI13</f>
        <v>0</v>
      </c>
      <c r="AQ6" s="765">
        <f>'11.销售及回款表'!AJ8+'11.销售及回款表'!AJ13</f>
        <v>0</v>
      </c>
      <c r="AR6" s="761">
        <f t="shared" ref="AR6:AR13" si="31">SUM(AS6:AV6)</f>
        <v>0</v>
      </c>
      <c r="AS6" s="827">
        <f>'11.销售及回款表'!AK8+'11.销售及回款表'!AK13</f>
        <v>0</v>
      </c>
      <c r="AT6" s="765">
        <f>'11.销售及回款表'!AL8+'11.销售及回款表'!AL13</f>
        <v>0</v>
      </c>
      <c r="AU6" s="765">
        <f>'11.销售及回款表'!AM8+'11.销售及回款表'!AM13</f>
        <v>0</v>
      </c>
      <c r="AV6" s="765">
        <f>'11.销售及回款表'!AN8+'11.销售及回款表'!AN13</f>
        <v>0</v>
      </c>
      <c r="AW6" s="761">
        <f t="shared" ref="AW6:AW13" si="32">SUM(AX6:BA6)</f>
        <v>0</v>
      </c>
      <c r="AX6" s="827">
        <f>'11.销售及回款表'!AO8+'11.销售及回款表'!AO13</f>
        <v>0</v>
      </c>
      <c r="AY6" s="765">
        <f>'11.销售及回款表'!AP8+'11.销售及回款表'!AP13</f>
        <v>0</v>
      </c>
      <c r="AZ6" s="765">
        <f>'11.销售及回款表'!AQ8+'11.销售及回款表'!AQ13</f>
        <v>0</v>
      </c>
      <c r="BA6" s="765">
        <f>'11.销售及回款表'!AR8+'11.销售及回款表'!AR13</f>
        <v>0</v>
      </c>
      <c r="BB6" s="761">
        <f t="shared" ref="BB6:BB13" si="33">SUM(BC6:BF6)</f>
        <v>0</v>
      </c>
      <c r="BC6" s="827">
        <f>'11.销售及回款表'!AS8+'11.销售及回款表'!AS13</f>
        <v>0</v>
      </c>
      <c r="BD6" s="765">
        <f>'11.销售及回款表'!AT8+'11.销售及回款表'!AT13</f>
        <v>0</v>
      </c>
      <c r="BE6" s="765">
        <f>'11.销售及回款表'!AU8+'11.销售及回款表'!AU13</f>
        <v>0</v>
      </c>
      <c r="BF6" s="843">
        <f>'11.销售及回款表'!AV8+'11.销售及回款表'!AV13</f>
        <v>0</v>
      </c>
      <c r="BG6" s="747"/>
      <c r="BH6" s="747"/>
      <c r="BI6" s="747"/>
      <c r="BJ6" s="747"/>
      <c r="BK6" s="747"/>
      <c r="BL6" s="747"/>
      <c r="BM6" s="747"/>
      <c r="BN6" s="747"/>
      <c r="BO6" s="747"/>
      <c r="BP6" s="747"/>
      <c r="BQ6" s="747"/>
      <c r="BR6" s="747"/>
      <c r="BS6" s="747"/>
      <c r="BT6" s="747"/>
      <c r="BU6" s="747"/>
      <c r="BV6" s="747"/>
      <c r="BW6" s="747"/>
      <c r="BX6" s="747"/>
      <c r="BY6" s="747"/>
      <c r="BZ6" s="747"/>
      <c r="CA6" s="747"/>
      <c r="CB6" s="747"/>
      <c r="CC6" s="747"/>
      <c r="CD6" s="747"/>
      <c r="CE6" s="747"/>
      <c r="CF6" s="747"/>
      <c r="CG6" s="747"/>
      <c r="CH6" s="747"/>
      <c r="CI6" s="747"/>
      <c r="CJ6" s="747"/>
      <c r="CK6" s="747"/>
      <c r="CL6" s="747"/>
      <c r="CM6" s="747"/>
      <c r="CN6" s="747"/>
      <c r="CO6" s="747"/>
      <c r="CP6" s="747"/>
      <c r="CQ6" s="747"/>
      <c r="CR6" s="747"/>
      <c r="CS6" s="747"/>
      <c r="CT6" s="747"/>
      <c r="CU6" s="747"/>
      <c r="CV6" s="747"/>
      <c r="CW6" s="747"/>
      <c r="CX6" s="747"/>
      <c r="CY6" s="747"/>
      <c r="CZ6" s="747"/>
      <c r="DA6" s="747"/>
      <c r="DB6" s="747"/>
      <c r="DC6" s="747"/>
      <c r="DD6" s="747"/>
      <c r="DE6" s="747"/>
      <c r="DF6" s="747"/>
      <c r="DG6" s="747"/>
      <c r="DH6" s="747"/>
      <c r="DI6" s="747"/>
      <c r="DJ6" s="747"/>
      <c r="DK6" s="747"/>
      <c r="DL6" s="747"/>
      <c r="DM6" s="747"/>
      <c r="DN6" s="747"/>
      <c r="DO6" s="747"/>
      <c r="DP6" s="747"/>
      <c r="DQ6" s="747"/>
      <c r="DR6" s="747"/>
      <c r="DS6" s="747"/>
      <c r="DT6" s="747"/>
      <c r="DU6" s="747"/>
      <c r="DV6" s="747"/>
      <c r="DW6" s="747"/>
      <c r="DX6" s="747"/>
      <c r="DY6" s="747"/>
      <c r="DZ6" s="747"/>
      <c r="EA6" s="747"/>
      <c r="EB6" s="747"/>
      <c r="EC6" s="747"/>
      <c r="ED6" s="747"/>
      <c r="EE6" s="747"/>
      <c r="EF6" s="747"/>
      <c r="EG6" s="747"/>
      <c r="EH6" s="747"/>
      <c r="EI6" s="747"/>
      <c r="EJ6" s="747"/>
      <c r="EK6" s="747"/>
      <c r="EL6" s="747"/>
      <c r="EM6" s="747"/>
      <c r="EN6" s="747"/>
      <c r="EO6" s="747"/>
      <c r="EP6" s="747"/>
      <c r="EQ6" s="747"/>
      <c r="ER6" s="747"/>
      <c r="ES6" s="747"/>
      <c r="ET6" s="747"/>
      <c r="EU6" s="747"/>
      <c r="EV6" s="747"/>
      <c r="EW6" s="747"/>
      <c r="EX6" s="747"/>
      <c r="EY6" s="747"/>
      <c r="EZ6" s="747"/>
      <c r="FA6" s="747"/>
      <c r="FB6" s="747"/>
      <c r="FC6" s="747"/>
      <c r="FD6" s="747"/>
      <c r="FE6" s="747"/>
      <c r="FF6" s="747"/>
      <c r="FG6" s="747"/>
      <c r="FH6" s="747"/>
      <c r="FI6" s="747"/>
      <c r="FJ6" s="747"/>
      <c r="FK6" s="747"/>
      <c r="FL6" s="747"/>
      <c r="FM6" s="747"/>
      <c r="FN6" s="747"/>
      <c r="FO6" s="747"/>
      <c r="FP6" s="747"/>
      <c r="FQ6" s="747"/>
      <c r="FR6" s="747"/>
      <c r="FS6" s="747"/>
      <c r="FT6" s="747"/>
      <c r="FU6" s="747"/>
      <c r="FV6" s="747"/>
      <c r="FW6" s="747"/>
      <c r="FX6" s="747"/>
      <c r="FY6" s="747"/>
      <c r="FZ6" s="747"/>
      <c r="GA6" s="747"/>
      <c r="GB6" s="747"/>
      <c r="GC6" s="747"/>
      <c r="GD6" s="747"/>
      <c r="GE6" s="747"/>
      <c r="GF6" s="747"/>
      <c r="GG6" s="747"/>
      <c r="GH6" s="747"/>
      <c r="GI6" s="747"/>
      <c r="GJ6" s="747"/>
    </row>
    <row r="7" spans="1:192" s="738" customFormat="1" ht="17.25" customHeight="1">
      <c r="A7" s="767"/>
      <c r="B7" s="768" t="s">
        <v>691</v>
      </c>
      <c r="C7" s="769">
        <f t="shared" si="22"/>
        <v>100593.19496000001</v>
      </c>
      <c r="D7" s="761">
        <f t="shared" si="23"/>
        <v>0</v>
      </c>
      <c r="E7" s="770">
        <f>'11.销售及回款表'!E9+'11.销售及回款表'!E14</f>
        <v>0</v>
      </c>
      <c r="F7" s="770">
        <f>'11.销售及回款表'!F9+'11.销售及回款表'!F14</f>
        <v>0</v>
      </c>
      <c r="G7" s="770">
        <f>'11.销售及回款表'!G9+'11.销售及回款表'!G14</f>
        <v>0</v>
      </c>
      <c r="H7" s="771">
        <f>'11.销售及回款表'!H9+'11.销售及回款表'!H14</f>
        <v>0</v>
      </c>
      <c r="I7" s="761">
        <f t="shared" si="24"/>
        <v>69456.063599999994</v>
      </c>
      <c r="J7" s="828">
        <f>'11.销售及回款表'!I9+'11.销售及回款表'!I14</f>
        <v>0</v>
      </c>
      <c r="K7" s="770">
        <f>'11.销售及回款表'!J9+'11.销售及回款表'!J14</f>
        <v>20616.75</v>
      </c>
      <c r="L7" s="770">
        <f>'11.销售及回款表'!K9+'11.销售及回款表'!K14</f>
        <v>30277.17</v>
      </c>
      <c r="M7" s="770">
        <f>'11.销售及回款表'!L9+'11.销售及回款表'!L14</f>
        <v>18562.143599999999</v>
      </c>
      <c r="N7" s="761">
        <f t="shared" si="25"/>
        <v>29955.531360000004</v>
      </c>
      <c r="O7" s="828">
        <f>'11.销售及回款表'!M9+'11.销售及回款表'!M14</f>
        <v>13577.407272</v>
      </c>
      <c r="P7" s="770">
        <f>'11.销售及回款表'!N9+'11.销售及回款表'!N14</f>
        <v>8989.4840880000011</v>
      </c>
      <c r="Q7" s="770">
        <f>'11.销售及回款表'!O9+'11.销售及回款表'!O14</f>
        <v>5092.08</v>
      </c>
      <c r="R7" s="770">
        <f>'11.销售及回款表'!P9+'11.销售及回款表'!P14</f>
        <v>2296.5600000000004</v>
      </c>
      <c r="S7" s="761">
        <f t="shared" si="26"/>
        <v>1181.5999999999999</v>
      </c>
      <c r="T7" s="828">
        <f>'11.销售及回款表'!Q9+'11.销售及回款表'!Q14</f>
        <v>1181.5999999999999</v>
      </c>
      <c r="U7" s="770">
        <f>'11.销售及回款表'!R9+'11.销售及回款表'!R14</f>
        <v>0</v>
      </c>
      <c r="V7" s="770">
        <f>'11.销售及回款表'!S9+'11.销售及回款表'!S14</f>
        <v>0</v>
      </c>
      <c r="W7" s="770">
        <f>'11.销售及回款表'!T9+'11.销售及回款表'!T14</f>
        <v>0</v>
      </c>
      <c r="X7" s="761">
        <f t="shared" si="27"/>
        <v>0</v>
      </c>
      <c r="Y7" s="828">
        <f>'11.销售及回款表'!U9+'11.销售及回款表'!U14</f>
        <v>0</v>
      </c>
      <c r="Z7" s="770">
        <f>'11.销售及回款表'!V9+'11.销售及回款表'!V14</f>
        <v>0</v>
      </c>
      <c r="AA7" s="770">
        <f>'11.销售及回款表'!W9+'11.销售及回款表'!W14</f>
        <v>0</v>
      </c>
      <c r="AB7" s="770">
        <f>'11.销售及回款表'!X9+'11.销售及回款表'!X14</f>
        <v>0</v>
      </c>
      <c r="AC7" s="761">
        <f t="shared" si="28"/>
        <v>0</v>
      </c>
      <c r="AD7" s="828">
        <f>'11.销售及回款表'!Y9+'11.销售及回款表'!Y14</f>
        <v>0</v>
      </c>
      <c r="AE7" s="770">
        <f>'11.销售及回款表'!Z9+'11.销售及回款表'!Z14</f>
        <v>0</v>
      </c>
      <c r="AF7" s="770">
        <f>'11.销售及回款表'!AA9+'11.销售及回款表'!AA14</f>
        <v>0</v>
      </c>
      <c r="AG7" s="770">
        <f>'11.销售及回款表'!AB9+'11.销售及回款表'!AB14</f>
        <v>0</v>
      </c>
      <c r="AH7" s="761">
        <f t="shared" si="29"/>
        <v>0</v>
      </c>
      <c r="AI7" s="828">
        <f>'11.销售及回款表'!AC9+'11.销售及回款表'!AC14</f>
        <v>0</v>
      </c>
      <c r="AJ7" s="770">
        <f>'11.销售及回款表'!AD9+'11.销售及回款表'!AD14</f>
        <v>0</v>
      </c>
      <c r="AK7" s="770">
        <f>'11.销售及回款表'!AE9+'11.销售及回款表'!AE14</f>
        <v>0</v>
      </c>
      <c r="AL7" s="770">
        <f>'11.销售及回款表'!AF9+'11.销售及回款表'!AF14</f>
        <v>0</v>
      </c>
      <c r="AM7" s="761">
        <f t="shared" si="30"/>
        <v>0</v>
      </c>
      <c r="AN7" s="828">
        <f>'11.销售及回款表'!AG9+'11.销售及回款表'!AG14</f>
        <v>0</v>
      </c>
      <c r="AO7" s="770">
        <f>'11.销售及回款表'!AH9+'11.销售及回款表'!AH14</f>
        <v>0</v>
      </c>
      <c r="AP7" s="770">
        <f>'11.销售及回款表'!AI9+'11.销售及回款表'!AI14</f>
        <v>0</v>
      </c>
      <c r="AQ7" s="770">
        <f>'11.销售及回款表'!AJ9+'11.销售及回款表'!AJ14</f>
        <v>0</v>
      </c>
      <c r="AR7" s="761">
        <f t="shared" si="31"/>
        <v>0</v>
      </c>
      <c r="AS7" s="828">
        <f>'11.销售及回款表'!AK9+'11.销售及回款表'!AK14</f>
        <v>0</v>
      </c>
      <c r="AT7" s="770">
        <f>'11.销售及回款表'!AL9+'11.销售及回款表'!AL14</f>
        <v>0</v>
      </c>
      <c r="AU7" s="770">
        <f>'11.销售及回款表'!AM9+'11.销售及回款表'!AM14</f>
        <v>0</v>
      </c>
      <c r="AV7" s="770">
        <f>'11.销售及回款表'!AN9+'11.销售及回款表'!AN14</f>
        <v>0</v>
      </c>
      <c r="AW7" s="761">
        <f t="shared" si="32"/>
        <v>0</v>
      </c>
      <c r="AX7" s="828">
        <f>'11.销售及回款表'!AO9+'11.销售及回款表'!AO14</f>
        <v>0</v>
      </c>
      <c r="AY7" s="770">
        <f>'11.销售及回款表'!AP9+'11.销售及回款表'!AP14</f>
        <v>0</v>
      </c>
      <c r="AZ7" s="770">
        <f>'11.销售及回款表'!AQ9+'11.销售及回款表'!AQ14</f>
        <v>0</v>
      </c>
      <c r="BA7" s="770">
        <f>'11.销售及回款表'!AR9+'11.销售及回款表'!AR14</f>
        <v>0</v>
      </c>
      <c r="BB7" s="761">
        <f t="shared" si="33"/>
        <v>0</v>
      </c>
      <c r="BC7" s="828">
        <f>'11.销售及回款表'!AS9+'11.销售及回款表'!AS14</f>
        <v>0</v>
      </c>
      <c r="BD7" s="770">
        <f>'11.销售及回款表'!AT9+'11.销售及回款表'!AT14</f>
        <v>0</v>
      </c>
      <c r="BE7" s="770">
        <f>'11.销售及回款表'!AU9+'11.销售及回款表'!AU14</f>
        <v>0</v>
      </c>
      <c r="BF7" s="844">
        <f>'11.销售及回款表'!AV9+'11.销售及回款表'!AV14</f>
        <v>0</v>
      </c>
      <c r="BG7" s="792"/>
      <c r="BH7" s="792"/>
      <c r="BI7" s="792"/>
      <c r="BJ7" s="792"/>
      <c r="BK7" s="792"/>
      <c r="BL7" s="792"/>
      <c r="BM7" s="792"/>
      <c r="BN7" s="792"/>
      <c r="BO7" s="792"/>
      <c r="BP7" s="792"/>
      <c r="BQ7" s="792"/>
      <c r="BR7" s="792"/>
      <c r="BS7" s="792"/>
      <c r="BT7" s="792"/>
      <c r="BU7" s="792"/>
      <c r="BV7" s="792"/>
      <c r="BW7" s="792"/>
      <c r="BX7" s="792"/>
      <c r="BY7" s="792"/>
      <c r="BZ7" s="792"/>
      <c r="CA7" s="792"/>
      <c r="CB7" s="792"/>
      <c r="CC7" s="792"/>
      <c r="CD7" s="792"/>
      <c r="CE7" s="792"/>
      <c r="CF7" s="792"/>
      <c r="CG7" s="792"/>
      <c r="CH7" s="792"/>
      <c r="CI7" s="792"/>
      <c r="CJ7" s="792"/>
      <c r="CK7" s="792"/>
      <c r="CL7" s="792"/>
      <c r="CM7" s="792"/>
      <c r="CN7" s="792"/>
      <c r="CO7" s="792"/>
      <c r="CP7" s="792"/>
      <c r="CQ7" s="792"/>
      <c r="CR7" s="792"/>
      <c r="CS7" s="792"/>
      <c r="CT7" s="792"/>
      <c r="CU7" s="792"/>
      <c r="CV7" s="792"/>
      <c r="CW7" s="792"/>
      <c r="CX7" s="792"/>
      <c r="CY7" s="792"/>
      <c r="CZ7" s="792"/>
      <c r="DA7" s="792"/>
      <c r="DB7" s="792"/>
      <c r="DC7" s="792"/>
      <c r="DD7" s="792"/>
      <c r="DE7" s="792"/>
      <c r="DF7" s="792"/>
      <c r="DG7" s="792"/>
      <c r="DH7" s="792"/>
      <c r="DI7" s="792"/>
      <c r="DJ7" s="792"/>
      <c r="DK7" s="792"/>
      <c r="DL7" s="792"/>
      <c r="DM7" s="792"/>
      <c r="DN7" s="792"/>
      <c r="DO7" s="792"/>
      <c r="DP7" s="792"/>
      <c r="DQ7" s="792"/>
      <c r="DR7" s="792"/>
      <c r="DS7" s="792"/>
      <c r="DT7" s="792"/>
      <c r="DU7" s="792"/>
      <c r="DV7" s="792"/>
      <c r="DW7" s="792"/>
      <c r="DX7" s="792"/>
      <c r="DY7" s="792"/>
      <c r="DZ7" s="792"/>
      <c r="EA7" s="792"/>
      <c r="EB7" s="792"/>
      <c r="EC7" s="792"/>
      <c r="ED7" s="792"/>
      <c r="EE7" s="792"/>
      <c r="EF7" s="792"/>
      <c r="EG7" s="792"/>
      <c r="EH7" s="792"/>
      <c r="EI7" s="792"/>
      <c r="EJ7" s="792"/>
      <c r="EK7" s="792"/>
      <c r="EL7" s="792"/>
      <c r="EM7" s="792"/>
      <c r="EN7" s="792"/>
      <c r="EO7" s="792"/>
      <c r="EP7" s="792"/>
      <c r="EQ7" s="792"/>
      <c r="ER7" s="792"/>
      <c r="ES7" s="792"/>
      <c r="ET7" s="792"/>
      <c r="EU7" s="792"/>
      <c r="EV7" s="792"/>
      <c r="EW7" s="792"/>
      <c r="EX7" s="792"/>
      <c r="EY7" s="792"/>
      <c r="EZ7" s="792"/>
      <c r="FA7" s="792"/>
      <c r="FB7" s="792"/>
      <c r="FC7" s="792"/>
      <c r="FD7" s="792"/>
      <c r="FE7" s="792"/>
      <c r="FF7" s="792"/>
      <c r="FG7" s="792"/>
      <c r="FH7" s="792"/>
      <c r="FI7" s="792"/>
      <c r="FJ7" s="792"/>
      <c r="FK7" s="792"/>
      <c r="FL7" s="792"/>
      <c r="FM7" s="792"/>
      <c r="FN7" s="792"/>
      <c r="FO7" s="792"/>
      <c r="FP7" s="792"/>
      <c r="FQ7" s="792"/>
      <c r="FR7" s="792"/>
      <c r="FS7" s="792"/>
      <c r="FT7" s="792"/>
      <c r="FU7" s="792"/>
      <c r="FV7" s="792"/>
      <c r="FW7" s="792"/>
      <c r="FX7" s="792"/>
      <c r="FY7" s="792"/>
      <c r="FZ7" s="792"/>
      <c r="GA7" s="792"/>
      <c r="GB7" s="792"/>
      <c r="GC7" s="792"/>
      <c r="GD7" s="792"/>
      <c r="GE7" s="792"/>
      <c r="GF7" s="792"/>
      <c r="GG7" s="792"/>
      <c r="GH7" s="792"/>
      <c r="GI7" s="792"/>
      <c r="GJ7" s="792"/>
    </row>
    <row r="8" spans="1:192" s="736" customFormat="1" ht="17.25" customHeight="1">
      <c r="A8" s="767"/>
      <c r="B8" s="768" t="s">
        <v>692</v>
      </c>
      <c r="C8" s="769">
        <f t="shared" ref="C8:G8" si="34">SUM(C9,C10)</f>
        <v>51650.64331496579</v>
      </c>
      <c r="D8" s="761">
        <f t="shared" si="23"/>
        <v>33442.233565158538</v>
      </c>
      <c r="E8" s="770">
        <f t="shared" si="34"/>
        <v>0</v>
      </c>
      <c r="F8" s="770">
        <f t="shared" si="34"/>
        <v>0</v>
      </c>
      <c r="G8" s="770">
        <f t="shared" si="34"/>
        <v>7150</v>
      </c>
      <c r="H8" s="771">
        <f>SUM(H9,H10)+H45</f>
        <v>26292.233565158538</v>
      </c>
      <c r="I8" s="761">
        <f t="shared" si="24"/>
        <v>13932.62723110556</v>
      </c>
      <c r="J8" s="828">
        <f>SUM(J9,J10)+J45</f>
        <v>6274.3959674372627</v>
      </c>
      <c r="K8" s="770">
        <f t="shared" ref="K8" si="35">SUM(K9,K10)</f>
        <v>2090.9356600000001</v>
      </c>
      <c r="L8" s="770">
        <f>SUM(L9,L10)+L45</f>
        <v>1773.6667436682958</v>
      </c>
      <c r="M8" s="770">
        <f>SUM(M9,M10)+M45</f>
        <v>3793.6288600000003</v>
      </c>
      <c r="N8" s="761">
        <f t="shared" si="25"/>
        <v>15200.780220000001</v>
      </c>
      <c r="O8" s="828">
        <f t="shared" ref="O8:R8" si="36">SUM(O9,O10)</f>
        <v>4720.3802199999991</v>
      </c>
      <c r="P8" s="770">
        <f t="shared" si="36"/>
        <v>4059.5709799999995</v>
      </c>
      <c r="Q8" s="770">
        <f t="shared" si="36"/>
        <v>3098.9939199999999</v>
      </c>
      <c r="R8" s="770">
        <f t="shared" si="36"/>
        <v>3321.8350999999998</v>
      </c>
      <c r="S8" s="761">
        <f t="shared" si="26"/>
        <v>5084.2588600000008</v>
      </c>
      <c r="T8" s="828">
        <f t="shared" ref="T8:W8" si="37">SUM(T9,T10)</f>
        <v>2329.2954000000004</v>
      </c>
      <c r="U8" s="770">
        <f t="shared" si="37"/>
        <v>1567.2858800000001</v>
      </c>
      <c r="V8" s="770">
        <f t="shared" si="37"/>
        <v>1187.6775800000003</v>
      </c>
      <c r="W8" s="770">
        <f t="shared" si="37"/>
        <v>0</v>
      </c>
      <c r="X8" s="761">
        <f t="shared" si="27"/>
        <v>1482.1409200000001</v>
      </c>
      <c r="Y8" s="828">
        <f t="shared" ref="Y8:AB8" si="38">SUM(Y9,Y10)</f>
        <v>0</v>
      </c>
      <c r="Z8" s="770">
        <f t="shared" si="38"/>
        <v>0</v>
      </c>
      <c r="AA8" s="770">
        <f t="shared" si="38"/>
        <v>592.85636800000009</v>
      </c>
      <c r="AB8" s="770">
        <f t="shared" si="38"/>
        <v>889.28455199999996</v>
      </c>
      <c r="AC8" s="761">
        <f t="shared" si="28"/>
        <v>0</v>
      </c>
      <c r="AD8" s="828">
        <f t="shared" ref="AD8:AG8" si="39">SUM(AD9,AD10)</f>
        <v>0</v>
      </c>
      <c r="AE8" s="770">
        <f t="shared" si="39"/>
        <v>0</v>
      </c>
      <c r="AF8" s="770">
        <f t="shared" si="39"/>
        <v>0</v>
      </c>
      <c r="AG8" s="770">
        <f t="shared" si="39"/>
        <v>0</v>
      </c>
      <c r="AH8" s="761">
        <f t="shared" si="29"/>
        <v>0</v>
      </c>
      <c r="AI8" s="828">
        <f t="shared" ref="AI8:AL8" si="40">SUM(AI9,AI10)</f>
        <v>0</v>
      </c>
      <c r="AJ8" s="770">
        <f t="shared" si="40"/>
        <v>0</v>
      </c>
      <c r="AK8" s="770">
        <f t="shared" si="40"/>
        <v>0</v>
      </c>
      <c r="AL8" s="770">
        <f t="shared" si="40"/>
        <v>0</v>
      </c>
      <c r="AM8" s="761">
        <f t="shared" si="30"/>
        <v>0</v>
      </c>
      <c r="AN8" s="828">
        <f t="shared" ref="AN8:AQ8" si="41">SUM(AN9,AN10)</f>
        <v>0</v>
      </c>
      <c r="AO8" s="770">
        <f t="shared" si="41"/>
        <v>0</v>
      </c>
      <c r="AP8" s="770">
        <f t="shared" si="41"/>
        <v>0</v>
      </c>
      <c r="AQ8" s="770">
        <f t="shared" si="41"/>
        <v>0</v>
      </c>
      <c r="AR8" s="761">
        <f t="shared" si="31"/>
        <v>0</v>
      </c>
      <c r="AS8" s="828">
        <f t="shared" ref="AS8:AV8" si="42">SUM(AS9,AS10)</f>
        <v>0</v>
      </c>
      <c r="AT8" s="770">
        <f t="shared" si="42"/>
        <v>0</v>
      </c>
      <c r="AU8" s="770">
        <f t="shared" si="42"/>
        <v>0</v>
      </c>
      <c r="AV8" s="770">
        <f t="shared" si="42"/>
        <v>0</v>
      </c>
      <c r="AW8" s="761">
        <f t="shared" si="32"/>
        <v>0</v>
      </c>
      <c r="AX8" s="828">
        <f t="shared" ref="AX8:BA8" si="43">SUM(AX9,AX10)</f>
        <v>0</v>
      </c>
      <c r="AY8" s="770">
        <f t="shared" si="43"/>
        <v>0</v>
      </c>
      <c r="AZ8" s="770">
        <f t="shared" si="43"/>
        <v>0</v>
      </c>
      <c r="BA8" s="770">
        <f t="shared" si="43"/>
        <v>0</v>
      </c>
      <c r="BB8" s="761">
        <f t="shared" si="33"/>
        <v>0</v>
      </c>
      <c r="BC8" s="828">
        <f t="shared" ref="BC8:BF8" si="44">SUM(BC9,BC10)</f>
        <v>0</v>
      </c>
      <c r="BD8" s="770">
        <f t="shared" si="44"/>
        <v>0</v>
      </c>
      <c r="BE8" s="770">
        <f t="shared" si="44"/>
        <v>0</v>
      </c>
      <c r="BF8" s="844">
        <f t="shared" si="44"/>
        <v>0</v>
      </c>
      <c r="BG8" s="839"/>
      <c r="BH8" s="839"/>
      <c r="BI8" s="839"/>
      <c r="BJ8" s="839"/>
      <c r="BK8" s="839"/>
      <c r="BL8" s="839"/>
      <c r="BM8" s="839"/>
      <c r="BN8" s="839"/>
      <c r="BO8" s="839"/>
      <c r="BP8" s="839"/>
      <c r="BQ8" s="839"/>
      <c r="BR8" s="839"/>
      <c r="BS8" s="839"/>
      <c r="BT8" s="839"/>
      <c r="BU8" s="839"/>
      <c r="BV8" s="839"/>
      <c r="BW8" s="839"/>
      <c r="BX8" s="839"/>
      <c r="BY8" s="839"/>
      <c r="BZ8" s="839"/>
      <c r="CA8" s="839"/>
      <c r="CB8" s="839"/>
      <c r="CC8" s="839"/>
      <c r="CD8" s="839"/>
      <c r="CE8" s="839"/>
      <c r="CF8" s="839"/>
      <c r="CG8" s="839"/>
      <c r="CH8" s="839"/>
      <c r="CI8" s="839"/>
      <c r="CJ8" s="839"/>
      <c r="CK8" s="839"/>
      <c r="CL8" s="839"/>
      <c r="CM8" s="839"/>
      <c r="CN8" s="839"/>
      <c r="CO8" s="839"/>
      <c r="CP8" s="839"/>
      <c r="CQ8" s="839"/>
      <c r="CR8" s="839"/>
      <c r="CS8" s="839"/>
      <c r="CT8" s="839"/>
      <c r="CU8" s="839"/>
      <c r="CV8" s="839"/>
      <c r="CW8" s="839"/>
      <c r="CX8" s="839"/>
      <c r="CY8" s="839"/>
      <c r="CZ8" s="839"/>
      <c r="DA8" s="839"/>
      <c r="DB8" s="839"/>
      <c r="DC8" s="839"/>
      <c r="DD8" s="839"/>
      <c r="DE8" s="839"/>
      <c r="DF8" s="839"/>
      <c r="DG8" s="839"/>
      <c r="DH8" s="839"/>
      <c r="DI8" s="839"/>
      <c r="DJ8" s="839"/>
      <c r="DK8" s="839"/>
      <c r="DL8" s="839"/>
      <c r="DM8" s="839"/>
      <c r="DN8" s="839"/>
      <c r="DO8" s="839"/>
      <c r="DP8" s="839"/>
      <c r="DQ8" s="839"/>
      <c r="DR8" s="839"/>
      <c r="DS8" s="839"/>
      <c r="DT8" s="839"/>
      <c r="DU8" s="839"/>
      <c r="DV8" s="839"/>
      <c r="DW8" s="839"/>
      <c r="DX8" s="839"/>
      <c r="DY8" s="839"/>
      <c r="DZ8" s="839"/>
      <c r="EA8" s="839"/>
      <c r="EB8" s="839"/>
      <c r="EC8" s="839"/>
      <c r="ED8" s="839"/>
      <c r="EE8" s="839"/>
      <c r="EF8" s="839"/>
      <c r="EG8" s="839"/>
      <c r="EH8" s="839"/>
      <c r="EI8" s="839"/>
      <c r="EJ8" s="839"/>
      <c r="EK8" s="839"/>
      <c r="EL8" s="839"/>
      <c r="EM8" s="839"/>
      <c r="EN8" s="839"/>
      <c r="EO8" s="839"/>
      <c r="EP8" s="839"/>
      <c r="EQ8" s="839"/>
      <c r="ER8" s="839"/>
      <c r="ES8" s="839"/>
      <c r="ET8" s="839"/>
      <c r="EU8" s="839"/>
      <c r="EV8" s="839"/>
      <c r="EW8" s="839"/>
      <c r="EX8" s="839"/>
      <c r="EY8" s="839"/>
      <c r="EZ8" s="839"/>
      <c r="FA8" s="839"/>
      <c r="FB8" s="839"/>
      <c r="FC8" s="839"/>
      <c r="FD8" s="839"/>
      <c r="FE8" s="839"/>
      <c r="FF8" s="839"/>
      <c r="FG8" s="839"/>
      <c r="FH8" s="839"/>
      <c r="FI8" s="839"/>
      <c r="FJ8" s="839"/>
      <c r="FK8" s="839"/>
      <c r="FL8" s="839"/>
      <c r="FM8" s="839"/>
      <c r="FN8" s="839"/>
      <c r="FO8" s="839"/>
      <c r="FP8" s="839"/>
      <c r="FQ8" s="839"/>
      <c r="FR8" s="839"/>
      <c r="FS8" s="839"/>
      <c r="FT8" s="839"/>
      <c r="FU8" s="839"/>
      <c r="FV8" s="839"/>
      <c r="FW8" s="839"/>
      <c r="FX8" s="839"/>
      <c r="FY8" s="839"/>
      <c r="FZ8" s="839"/>
      <c r="GA8" s="839"/>
      <c r="GB8" s="839"/>
      <c r="GC8" s="839"/>
      <c r="GD8" s="839"/>
      <c r="GE8" s="839"/>
      <c r="GF8" s="839"/>
      <c r="GG8" s="839"/>
      <c r="GH8" s="839"/>
      <c r="GI8" s="839"/>
      <c r="GJ8" s="839"/>
    </row>
    <row r="9" spans="1:192" ht="17.25" customHeight="1" outlineLevel="1">
      <c r="A9" s="758"/>
      <c r="B9" s="772" t="s">
        <v>693</v>
      </c>
      <c r="C9" s="773">
        <f t="shared" si="22"/>
        <v>20460.111314965787</v>
      </c>
      <c r="D9" s="761">
        <f t="shared" si="23"/>
        <v>20460.116314965788</v>
      </c>
      <c r="E9" s="773">
        <f>'12.土地成本表'!D16</f>
        <v>0</v>
      </c>
      <c r="F9" s="773">
        <f>'12.土地成本表'!E16</f>
        <v>0</v>
      </c>
      <c r="G9" s="773">
        <f>'12.土地成本表'!F16</f>
        <v>7150</v>
      </c>
      <c r="H9" s="774">
        <f>'12.土地成本表'!G16</f>
        <v>13310.116314965786</v>
      </c>
      <c r="I9" s="761">
        <f t="shared" si="24"/>
        <v>-4.9999999999954525E-3</v>
      </c>
      <c r="J9" s="829">
        <f>'12.土地成本表'!H16</f>
        <v>-4.9999999999954525E-3</v>
      </c>
      <c r="K9" s="773">
        <f>'12.土地成本表'!I16</f>
        <v>0</v>
      </c>
      <c r="L9" s="773">
        <f>'12.土地成本表'!J16</f>
        <v>0</v>
      </c>
      <c r="M9" s="773">
        <f>'12.土地成本表'!K16</f>
        <v>0</v>
      </c>
      <c r="N9" s="761">
        <f t="shared" si="25"/>
        <v>0</v>
      </c>
      <c r="O9" s="829">
        <f>'12.土地成本表'!L16</f>
        <v>0</v>
      </c>
      <c r="P9" s="773">
        <f>'12.土地成本表'!M16</f>
        <v>0</v>
      </c>
      <c r="Q9" s="773">
        <f>'12.土地成本表'!N16</f>
        <v>0</v>
      </c>
      <c r="R9" s="773">
        <f>'12.土地成本表'!O16</f>
        <v>0</v>
      </c>
      <c r="S9" s="761">
        <f t="shared" si="26"/>
        <v>0</v>
      </c>
      <c r="T9" s="829">
        <f>'12.土地成本表'!P16</f>
        <v>0</v>
      </c>
      <c r="U9" s="773">
        <f>'12.土地成本表'!Q16</f>
        <v>0</v>
      </c>
      <c r="V9" s="773">
        <f>'12.土地成本表'!R16</f>
        <v>0</v>
      </c>
      <c r="W9" s="773">
        <f>'12.土地成本表'!S16</f>
        <v>0</v>
      </c>
      <c r="X9" s="761">
        <f t="shared" si="27"/>
        <v>0</v>
      </c>
      <c r="Y9" s="829">
        <f>'12.土地成本表'!T16</f>
        <v>0</v>
      </c>
      <c r="Z9" s="773">
        <f>'12.土地成本表'!U16</f>
        <v>0</v>
      </c>
      <c r="AA9" s="773">
        <f>'12.土地成本表'!V16</f>
        <v>0</v>
      </c>
      <c r="AB9" s="773">
        <f>'12.土地成本表'!W16</f>
        <v>0</v>
      </c>
      <c r="AC9" s="761">
        <f t="shared" si="28"/>
        <v>0</v>
      </c>
      <c r="AD9" s="829">
        <f>'12.土地成本表'!X16</f>
        <v>0</v>
      </c>
      <c r="AE9" s="773">
        <f>'12.土地成本表'!Y16</f>
        <v>0</v>
      </c>
      <c r="AF9" s="773">
        <f>'12.土地成本表'!Z16</f>
        <v>0</v>
      </c>
      <c r="AG9" s="773">
        <f>'12.土地成本表'!AA16</f>
        <v>0</v>
      </c>
      <c r="AH9" s="761">
        <f t="shared" si="29"/>
        <v>0</v>
      </c>
      <c r="AI9" s="829">
        <f>'12.土地成本表'!AB16</f>
        <v>0</v>
      </c>
      <c r="AJ9" s="773">
        <f>'12.土地成本表'!AC16</f>
        <v>0</v>
      </c>
      <c r="AK9" s="773">
        <f>'12.土地成本表'!AD16</f>
        <v>0</v>
      </c>
      <c r="AL9" s="773">
        <f>'12.土地成本表'!AE16</f>
        <v>0</v>
      </c>
      <c r="AM9" s="761">
        <f t="shared" si="30"/>
        <v>0</v>
      </c>
      <c r="AN9" s="829">
        <f>'12.土地成本表'!AF16</f>
        <v>0</v>
      </c>
      <c r="AO9" s="773">
        <f>'12.土地成本表'!AG16</f>
        <v>0</v>
      </c>
      <c r="AP9" s="773">
        <f>'12.土地成本表'!AH16</f>
        <v>0</v>
      </c>
      <c r="AQ9" s="773">
        <f>'12.土地成本表'!AI16</f>
        <v>0</v>
      </c>
      <c r="AR9" s="761">
        <f t="shared" si="31"/>
        <v>0</v>
      </c>
      <c r="AS9" s="829">
        <f>'12.土地成本表'!AJ16</f>
        <v>0</v>
      </c>
      <c r="AT9" s="773">
        <f>'12.土地成本表'!AK16</f>
        <v>0</v>
      </c>
      <c r="AU9" s="773">
        <f>'12.土地成本表'!AL16</f>
        <v>0</v>
      </c>
      <c r="AV9" s="773">
        <f>'12.土地成本表'!AM16</f>
        <v>0</v>
      </c>
      <c r="AW9" s="761">
        <f t="shared" si="32"/>
        <v>0</v>
      </c>
      <c r="AX9" s="829">
        <f>'12.土地成本表'!AN16</f>
        <v>0</v>
      </c>
      <c r="AY9" s="773">
        <f>'12.土地成本表'!AO16</f>
        <v>0</v>
      </c>
      <c r="AZ9" s="773">
        <f>'12.土地成本表'!AP16</f>
        <v>0</v>
      </c>
      <c r="BA9" s="773">
        <f>'12.土地成本表'!AQ16</f>
        <v>0</v>
      </c>
      <c r="BB9" s="761">
        <f t="shared" si="33"/>
        <v>0</v>
      </c>
      <c r="BC9" s="829">
        <f>'12.土地成本表'!AR16</f>
        <v>0</v>
      </c>
      <c r="BD9" s="773">
        <f>'12.土地成本表'!AS16</f>
        <v>0</v>
      </c>
      <c r="BE9" s="773">
        <f>'12.土地成本表'!AT16</f>
        <v>0</v>
      </c>
      <c r="BF9" s="845">
        <f>'12.土地成本表'!AU16</f>
        <v>0</v>
      </c>
      <c r="BG9" s="747"/>
      <c r="BH9" s="747"/>
      <c r="BI9" s="747"/>
      <c r="BJ9" s="747"/>
      <c r="BK9" s="747"/>
      <c r="BL9" s="747"/>
      <c r="BM9" s="747"/>
      <c r="BN9" s="747"/>
      <c r="BO9" s="747"/>
      <c r="BP9" s="747"/>
      <c r="BQ9" s="747"/>
      <c r="BR9" s="747"/>
      <c r="BS9" s="747"/>
      <c r="BT9" s="747"/>
      <c r="BU9" s="747"/>
      <c r="BV9" s="747"/>
      <c r="BW9" s="747"/>
      <c r="BX9" s="747"/>
      <c r="BY9" s="747"/>
      <c r="BZ9" s="747"/>
      <c r="CA9" s="747"/>
      <c r="CB9" s="747"/>
      <c r="CC9" s="747"/>
      <c r="CD9" s="747"/>
      <c r="CE9" s="747"/>
      <c r="CF9" s="747"/>
      <c r="CG9" s="747"/>
      <c r="CH9" s="747"/>
      <c r="CI9" s="747"/>
      <c r="CJ9" s="747"/>
      <c r="CK9" s="747"/>
      <c r="CL9" s="747"/>
      <c r="CM9" s="747"/>
      <c r="CN9" s="747"/>
      <c r="CO9" s="747"/>
      <c r="CP9" s="747"/>
      <c r="CQ9" s="747"/>
      <c r="CR9" s="747"/>
      <c r="CS9" s="747"/>
      <c r="CT9" s="747"/>
      <c r="CU9" s="747"/>
      <c r="CV9" s="747"/>
      <c r="CW9" s="747"/>
      <c r="CX9" s="747"/>
      <c r="CY9" s="747"/>
      <c r="CZ9" s="747"/>
      <c r="DA9" s="747"/>
      <c r="DB9" s="747"/>
      <c r="DC9" s="747"/>
      <c r="DD9" s="747"/>
      <c r="DE9" s="747"/>
      <c r="DF9" s="747"/>
      <c r="DG9" s="747"/>
      <c r="DH9" s="747"/>
      <c r="DI9" s="747"/>
      <c r="DJ9" s="747"/>
      <c r="DK9" s="747"/>
      <c r="DL9" s="747"/>
      <c r="DM9" s="747"/>
      <c r="DN9" s="747"/>
      <c r="DO9" s="747"/>
      <c r="DP9" s="747"/>
      <c r="DQ9" s="747"/>
      <c r="DR9" s="747"/>
      <c r="DS9" s="747"/>
      <c r="DT9" s="747"/>
      <c r="DU9" s="747"/>
      <c r="DV9" s="747"/>
      <c r="DW9" s="747"/>
      <c r="DX9" s="747"/>
      <c r="DY9" s="747"/>
      <c r="DZ9" s="747"/>
      <c r="EA9" s="747"/>
      <c r="EB9" s="747"/>
      <c r="EC9" s="747"/>
      <c r="ED9" s="747"/>
      <c r="EE9" s="747"/>
      <c r="EF9" s="747"/>
      <c r="EG9" s="747"/>
      <c r="EH9" s="747"/>
      <c r="EI9" s="747"/>
      <c r="EJ9" s="747"/>
      <c r="EK9" s="747"/>
      <c r="EL9" s="747"/>
      <c r="EM9" s="747"/>
      <c r="EN9" s="747"/>
      <c r="EO9" s="747"/>
      <c r="EP9" s="747"/>
      <c r="EQ9" s="747"/>
      <c r="ER9" s="747"/>
      <c r="ES9" s="747"/>
      <c r="ET9" s="747"/>
      <c r="EU9" s="747"/>
      <c r="EV9" s="747"/>
      <c r="EW9" s="747"/>
      <c r="EX9" s="747"/>
      <c r="EY9" s="747"/>
      <c r="EZ9" s="747"/>
      <c r="FA9" s="747"/>
      <c r="FB9" s="747"/>
      <c r="FC9" s="747"/>
      <c r="FD9" s="747"/>
      <c r="FE9" s="747"/>
      <c r="FF9" s="747"/>
      <c r="FG9" s="747"/>
      <c r="FH9" s="747"/>
      <c r="FI9" s="747"/>
      <c r="FJ9" s="747"/>
      <c r="FK9" s="747"/>
      <c r="FL9" s="747"/>
      <c r="FM9" s="747"/>
      <c r="FN9" s="747"/>
      <c r="FO9" s="747"/>
      <c r="FP9" s="747"/>
      <c r="FQ9" s="747"/>
      <c r="FR9" s="747"/>
      <c r="FS9" s="747"/>
      <c r="FT9" s="747"/>
      <c r="FU9" s="747"/>
      <c r="FV9" s="747"/>
      <c r="FW9" s="747"/>
      <c r="FX9" s="747"/>
      <c r="FY9" s="747"/>
      <c r="FZ9" s="747"/>
      <c r="GA9" s="747"/>
      <c r="GB9" s="747"/>
      <c r="GC9" s="747"/>
      <c r="GD9" s="747"/>
      <c r="GE9" s="747"/>
      <c r="GF9" s="747"/>
      <c r="GG9" s="747"/>
      <c r="GH9" s="747"/>
      <c r="GI9" s="747"/>
      <c r="GJ9" s="747"/>
    </row>
    <row r="10" spans="1:192" ht="17.25" customHeight="1" outlineLevel="1">
      <c r="A10" s="758"/>
      <c r="B10" s="772" t="s">
        <v>694</v>
      </c>
      <c r="C10" s="773">
        <f t="shared" si="22"/>
        <v>31190.532000000003</v>
      </c>
      <c r="D10" s="761">
        <f t="shared" si="23"/>
        <v>54.355800000000002</v>
      </c>
      <c r="E10" s="773">
        <f>'10.工程成本支出表'!D80</f>
        <v>0</v>
      </c>
      <c r="F10" s="773">
        <f>'10.工程成本支出表'!E80</f>
        <v>0</v>
      </c>
      <c r="G10" s="773">
        <f>'10.工程成本支出表'!F80</f>
        <v>0</v>
      </c>
      <c r="H10" s="774">
        <f>'10.工程成本支出表'!G80</f>
        <v>54.355800000000002</v>
      </c>
      <c r="I10" s="761">
        <f t="shared" si="24"/>
        <v>9368.9962000000014</v>
      </c>
      <c r="J10" s="829">
        <f>'10.工程成本支出表'!H80</f>
        <v>1156.8884200000002</v>
      </c>
      <c r="K10" s="773">
        <f>'10.工程成本支出表'!I80</f>
        <v>2090.9356600000001</v>
      </c>
      <c r="L10" s="773">
        <f>'10.工程成本支出表'!J80</f>
        <v>2327.5432599999999</v>
      </c>
      <c r="M10" s="773">
        <f>'10.工程成本支出表'!K80</f>
        <v>3793.6288600000003</v>
      </c>
      <c r="N10" s="761">
        <f t="shared" si="25"/>
        <v>15200.780220000001</v>
      </c>
      <c r="O10" s="829">
        <f>'10.工程成本支出表'!L80</f>
        <v>4720.3802199999991</v>
      </c>
      <c r="P10" s="773">
        <f>'10.工程成本支出表'!M80</f>
        <v>4059.5709799999995</v>
      </c>
      <c r="Q10" s="773">
        <f>'10.工程成本支出表'!N80</f>
        <v>3098.9939199999999</v>
      </c>
      <c r="R10" s="773">
        <f>'10.工程成本支出表'!O80</f>
        <v>3321.8350999999998</v>
      </c>
      <c r="S10" s="761">
        <f t="shared" si="26"/>
        <v>5084.2588600000008</v>
      </c>
      <c r="T10" s="829">
        <f>'10.工程成本支出表'!P80</f>
        <v>2329.2954000000004</v>
      </c>
      <c r="U10" s="773">
        <f>'10.工程成本支出表'!Q80</f>
        <v>1567.2858800000001</v>
      </c>
      <c r="V10" s="773">
        <f>'10.工程成本支出表'!R80</f>
        <v>1187.6775800000003</v>
      </c>
      <c r="W10" s="773">
        <f>'10.工程成本支出表'!S80</f>
        <v>0</v>
      </c>
      <c r="X10" s="761">
        <f t="shared" si="27"/>
        <v>1482.1409200000001</v>
      </c>
      <c r="Y10" s="829">
        <f>'10.工程成本支出表'!T80</f>
        <v>0</v>
      </c>
      <c r="Z10" s="773">
        <f>'10.工程成本支出表'!U80</f>
        <v>0</v>
      </c>
      <c r="AA10" s="773">
        <f>'10.工程成本支出表'!V80</f>
        <v>592.85636800000009</v>
      </c>
      <c r="AB10" s="773">
        <f>'10.工程成本支出表'!W80</f>
        <v>889.28455199999996</v>
      </c>
      <c r="AC10" s="761">
        <f t="shared" si="28"/>
        <v>0</v>
      </c>
      <c r="AD10" s="829">
        <f>'10.工程成本支出表'!X80</f>
        <v>0</v>
      </c>
      <c r="AE10" s="773">
        <f>'10.工程成本支出表'!Y80</f>
        <v>0</v>
      </c>
      <c r="AF10" s="773">
        <f>'10.工程成本支出表'!Z80</f>
        <v>0</v>
      </c>
      <c r="AG10" s="773">
        <f>'10.工程成本支出表'!AA80</f>
        <v>0</v>
      </c>
      <c r="AH10" s="761">
        <f t="shared" si="29"/>
        <v>0</v>
      </c>
      <c r="AI10" s="829">
        <f>'10.工程成本支出表'!AB80</f>
        <v>0</v>
      </c>
      <c r="AJ10" s="773">
        <f>'10.工程成本支出表'!AC80</f>
        <v>0</v>
      </c>
      <c r="AK10" s="773">
        <f>'10.工程成本支出表'!AD80</f>
        <v>0</v>
      </c>
      <c r="AL10" s="773">
        <f>'10.工程成本支出表'!AE80</f>
        <v>0</v>
      </c>
      <c r="AM10" s="761">
        <f t="shared" si="30"/>
        <v>0</v>
      </c>
      <c r="AN10" s="829">
        <f>'10.工程成本支出表'!AF80</f>
        <v>0</v>
      </c>
      <c r="AO10" s="773">
        <f>'10.工程成本支出表'!AG80</f>
        <v>0</v>
      </c>
      <c r="AP10" s="773">
        <f>'10.工程成本支出表'!AH80</f>
        <v>0</v>
      </c>
      <c r="AQ10" s="773">
        <f>'10.工程成本支出表'!AI80</f>
        <v>0</v>
      </c>
      <c r="AR10" s="761">
        <f t="shared" si="31"/>
        <v>0</v>
      </c>
      <c r="AS10" s="829">
        <f>'10.工程成本支出表'!AJ80</f>
        <v>0</v>
      </c>
      <c r="AT10" s="773">
        <f>'10.工程成本支出表'!AK80</f>
        <v>0</v>
      </c>
      <c r="AU10" s="773">
        <f>'10.工程成本支出表'!AL80</f>
        <v>0</v>
      </c>
      <c r="AV10" s="773">
        <f>'10.工程成本支出表'!AM80</f>
        <v>0</v>
      </c>
      <c r="AW10" s="761">
        <f t="shared" si="32"/>
        <v>0</v>
      </c>
      <c r="AX10" s="829">
        <f>'10.工程成本支出表'!AN80</f>
        <v>0</v>
      </c>
      <c r="AY10" s="773">
        <f>'10.工程成本支出表'!AO80</f>
        <v>0</v>
      </c>
      <c r="AZ10" s="773">
        <f>'10.工程成本支出表'!AP80</f>
        <v>0</v>
      </c>
      <c r="BA10" s="773">
        <f>'10.工程成本支出表'!AQ80</f>
        <v>0</v>
      </c>
      <c r="BB10" s="761">
        <f t="shared" si="33"/>
        <v>0</v>
      </c>
      <c r="BC10" s="829">
        <f>'10.工程成本支出表'!AR80</f>
        <v>0</v>
      </c>
      <c r="BD10" s="773">
        <f>'10.工程成本支出表'!AS80</f>
        <v>0</v>
      </c>
      <c r="BE10" s="773">
        <f>'10.工程成本支出表'!AT80</f>
        <v>0</v>
      </c>
      <c r="BF10" s="845">
        <f>'10.工程成本支出表'!AU80</f>
        <v>0</v>
      </c>
      <c r="BG10" s="747"/>
      <c r="BH10" s="747"/>
      <c r="BI10" s="747"/>
      <c r="BJ10" s="747"/>
      <c r="BK10" s="747"/>
      <c r="BL10" s="747"/>
      <c r="BM10" s="747"/>
      <c r="BN10" s="747"/>
      <c r="BO10" s="747"/>
      <c r="BP10" s="747"/>
      <c r="BQ10" s="747"/>
      <c r="BR10" s="747"/>
      <c r="BS10" s="747"/>
      <c r="BT10" s="747"/>
      <c r="BU10" s="747"/>
      <c r="BV10" s="747"/>
      <c r="BW10" s="747"/>
      <c r="BX10" s="747"/>
      <c r="BY10" s="747"/>
      <c r="BZ10" s="747"/>
      <c r="CA10" s="747"/>
      <c r="CB10" s="747"/>
      <c r="CC10" s="747"/>
      <c r="CD10" s="747"/>
      <c r="CE10" s="747"/>
      <c r="CF10" s="747"/>
      <c r="CG10" s="747"/>
      <c r="CH10" s="747"/>
      <c r="CI10" s="747"/>
      <c r="CJ10" s="747"/>
      <c r="CK10" s="747"/>
      <c r="CL10" s="747"/>
      <c r="CM10" s="747"/>
      <c r="CN10" s="747"/>
      <c r="CO10" s="747"/>
      <c r="CP10" s="747"/>
      <c r="CQ10" s="747"/>
      <c r="CR10" s="747"/>
      <c r="CS10" s="747"/>
      <c r="CT10" s="747"/>
      <c r="CU10" s="747"/>
      <c r="CV10" s="747"/>
      <c r="CW10" s="747"/>
      <c r="CX10" s="747"/>
      <c r="CY10" s="747"/>
      <c r="CZ10" s="747"/>
      <c r="DA10" s="747"/>
      <c r="DB10" s="747"/>
      <c r="DC10" s="747"/>
      <c r="DD10" s="747"/>
      <c r="DE10" s="747"/>
      <c r="DF10" s="747"/>
      <c r="DG10" s="747"/>
      <c r="DH10" s="747"/>
      <c r="DI10" s="747"/>
      <c r="DJ10" s="747"/>
      <c r="DK10" s="747"/>
      <c r="DL10" s="747"/>
      <c r="DM10" s="747"/>
      <c r="DN10" s="747"/>
      <c r="DO10" s="747"/>
      <c r="DP10" s="747"/>
      <c r="DQ10" s="747"/>
      <c r="DR10" s="747"/>
      <c r="DS10" s="747"/>
      <c r="DT10" s="747"/>
      <c r="DU10" s="747"/>
      <c r="DV10" s="747"/>
      <c r="DW10" s="747"/>
      <c r="DX10" s="747"/>
      <c r="DY10" s="747"/>
      <c r="DZ10" s="747"/>
      <c r="EA10" s="747"/>
      <c r="EB10" s="747"/>
      <c r="EC10" s="747"/>
      <c r="ED10" s="747"/>
      <c r="EE10" s="747"/>
      <c r="EF10" s="747"/>
      <c r="EG10" s="747"/>
      <c r="EH10" s="747"/>
      <c r="EI10" s="747"/>
      <c r="EJ10" s="747"/>
      <c r="EK10" s="747"/>
      <c r="EL10" s="747"/>
      <c r="EM10" s="747"/>
      <c r="EN10" s="747"/>
      <c r="EO10" s="747"/>
      <c r="EP10" s="747"/>
      <c r="EQ10" s="747"/>
      <c r="ER10" s="747"/>
      <c r="ES10" s="747"/>
      <c r="ET10" s="747"/>
      <c r="EU10" s="747"/>
      <c r="EV10" s="747"/>
      <c r="EW10" s="747"/>
      <c r="EX10" s="747"/>
      <c r="EY10" s="747"/>
      <c r="EZ10" s="747"/>
      <c r="FA10" s="747"/>
      <c r="FB10" s="747"/>
      <c r="FC10" s="747"/>
      <c r="FD10" s="747"/>
      <c r="FE10" s="747"/>
      <c r="FF10" s="747"/>
      <c r="FG10" s="747"/>
      <c r="FH10" s="747"/>
      <c r="FI10" s="747"/>
      <c r="FJ10" s="747"/>
      <c r="FK10" s="747"/>
      <c r="FL10" s="747"/>
      <c r="FM10" s="747"/>
      <c r="FN10" s="747"/>
      <c r="FO10" s="747"/>
      <c r="FP10" s="747"/>
      <c r="FQ10" s="747"/>
      <c r="FR10" s="747"/>
      <c r="FS10" s="747"/>
      <c r="FT10" s="747"/>
      <c r="FU10" s="747"/>
      <c r="FV10" s="747"/>
      <c r="FW10" s="747"/>
      <c r="FX10" s="747"/>
      <c r="FY10" s="747"/>
      <c r="FZ10" s="747"/>
      <c r="GA10" s="747"/>
      <c r="GB10" s="747"/>
      <c r="GC10" s="747"/>
      <c r="GD10" s="747"/>
      <c r="GE10" s="747"/>
      <c r="GF10" s="747"/>
      <c r="GG10" s="747"/>
      <c r="GH10" s="747"/>
      <c r="GI10" s="747"/>
      <c r="GJ10" s="747"/>
    </row>
    <row r="11" spans="1:192" s="736" customFormat="1" ht="17.25" customHeight="1">
      <c r="A11" s="767"/>
      <c r="B11" s="768" t="s">
        <v>695</v>
      </c>
      <c r="C11" s="769">
        <f t="shared" ref="C11:H11" si="45">SUM(C12:C13)</f>
        <v>4526.6937732000006</v>
      </c>
      <c r="D11" s="761">
        <f t="shared" si="23"/>
        <v>0</v>
      </c>
      <c r="E11" s="770">
        <f t="shared" si="45"/>
        <v>0</v>
      </c>
      <c r="F11" s="770">
        <f t="shared" si="45"/>
        <v>0</v>
      </c>
      <c r="G11" s="770">
        <f t="shared" si="45"/>
        <v>0</v>
      </c>
      <c r="H11" s="771">
        <f t="shared" si="45"/>
        <v>0</v>
      </c>
      <c r="I11" s="761">
        <f t="shared" si="24"/>
        <v>3306.2871600000003</v>
      </c>
      <c r="J11" s="828">
        <f t="shared" ref="J11:M11" si="46">SUM(J12:J13)</f>
        <v>0</v>
      </c>
      <c r="K11" s="770">
        <f t="shared" si="46"/>
        <v>1325.3625000000002</v>
      </c>
      <c r="L11" s="770">
        <f t="shared" si="46"/>
        <v>1378.377</v>
      </c>
      <c r="M11" s="770">
        <f t="shared" si="46"/>
        <v>602.54766000000006</v>
      </c>
      <c r="N11" s="761">
        <f t="shared" si="25"/>
        <v>1167.2346132000002</v>
      </c>
      <c r="O11" s="828">
        <f t="shared" ref="O11:R11" si="47">SUM(O12:O13)</f>
        <v>614.59861320000005</v>
      </c>
      <c r="P11" s="770">
        <f t="shared" si="47"/>
        <v>314.49600000000004</v>
      </c>
      <c r="Q11" s="770">
        <f t="shared" si="47"/>
        <v>158.38200000000001</v>
      </c>
      <c r="R11" s="770">
        <f t="shared" si="47"/>
        <v>79.75800000000001</v>
      </c>
      <c r="S11" s="761">
        <f t="shared" si="26"/>
        <v>53.171999999999997</v>
      </c>
      <c r="T11" s="828">
        <f t="shared" ref="T11:W11" si="48">SUM(T12:T13)</f>
        <v>53.171999999999997</v>
      </c>
      <c r="U11" s="770">
        <f t="shared" si="48"/>
        <v>0</v>
      </c>
      <c r="V11" s="770">
        <f t="shared" si="48"/>
        <v>0</v>
      </c>
      <c r="W11" s="770">
        <f t="shared" si="48"/>
        <v>0</v>
      </c>
      <c r="X11" s="761">
        <f t="shared" si="27"/>
        <v>0</v>
      </c>
      <c r="Y11" s="828">
        <f t="shared" ref="Y11:AB11" si="49">SUM(Y12:Y13)</f>
        <v>0</v>
      </c>
      <c r="Z11" s="770">
        <f t="shared" si="49"/>
        <v>0</v>
      </c>
      <c r="AA11" s="770">
        <f t="shared" si="49"/>
        <v>0</v>
      </c>
      <c r="AB11" s="770">
        <f t="shared" si="49"/>
        <v>0</v>
      </c>
      <c r="AC11" s="761">
        <f t="shared" si="28"/>
        <v>0</v>
      </c>
      <c r="AD11" s="828">
        <f t="shared" ref="AD11:AG11" si="50">SUM(AD12:AD13)</f>
        <v>0</v>
      </c>
      <c r="AE11" s="770">
        <f t="shared" si="50"/>
        <v>0</v>
      </c>
      <c r="AF11" s="770">
        <f t="shared" si="50"/>
        <v>0</v>
      </c>
      <c r="AG11" s="770">
        <f t="shared" si="50"/>
        <v>0</v>
      </c>
      <c r="AH11" s="761">
        <f t="shared" si="29"/>
        <v>0</v>
      </c>
      <c r="AI11" s="828">
        <f t="shared" ref="AI11:AL11" si="51">SUM(AI12:AI13)</f>
        <v>0</v>
      </c>
      <c r="AJ11" s="770">
        <f t="shared" si="51"/>
        <v>0</v>
      </c>
      <c r="AK11" s="770">
        <f t="shared" si="51"/>
        <v>0</v>
      </c>
      <c r="AL11" s="770">
        <f t="shared" si="51"/>
        <v>0</v>
      </c>
      <c r="AM11" s="761">
        <f t="shared" si="30"/>
        <v>0</v>
      </c>
      <c r="AN11" s="828">
        <f t="shared" ref="AN11:AQ11" si="52">SUM(AN12:AN13)</f>
        <v>0</v>
      </c>
      <c r="AO11" s="770">
        <f t="shared" si="52"/>
        <v>0</v>
      </c>
      <c r="AP11" s="770">
        <f t="shared" si="52"/>
        <v>0</v>
      </c>
      <c r="AQ11" s="770">
        <f t="shared" si="52"/>
        <v>0</v>
      </c>
      <c r="AR11" s="761">
        <f t="shared" si="31"/>
        <v>0</v>
      </c>
      <c r="AS11" s="828">
        <f t="shared" ref="AS11:AV11" si="53">SUM(AS12:AS13)</f>
        <v>0</v>
      </c>
      <c r="AT11" s="770">
        <f t="shared" si="53"/>
        <v>0</v>
      </c>
      <c r="AU11" s="770">
        <f t="shared" si="53"/>
        <v>0</v>
      </c>
      <c r="AV11" s="770">
        <f t="shared" si="53"/>
        <v>0</v>
      </c>
      <c r="AW11" s="761">
        <f t="shared" si="32"/>
        <v>0</v>
      </c>
      <c r="AX11" s="828">
        <f t="shared" ref="AX11:BA11" si="54">SUM(AX12:AX13)</f>
        <v>0</v>
      </c>
      <c r="AY11" s="770">
        <f t="shared" si="54"/>
        <v>0</v>
      </c>
      <c r="AZ11" s="770">
        <f t="shared" si="54"/>
        <v>0</v>
      </c>
      <c r="BA11" s="770">
        <f t="shared" si="54"/>
        <v>0</v>
      </c>
      <c r="BB11" s="761">
        <f t="shared" si="33"/>
        <v>0</v>
      </c>
      <c r="BC11" s="828">
        <f t="shared" ref="BC11:BF11" si="55">SUM(BC12:BC13)</f>
        <v>0</v>
      </c>
      <c r="BD11" s="770">
        <f t="shared" si="55"/>
        <v>0</v>
      </c>
      <c r="BE11" s="770">
        <f t="shared" si="55"/>
        <v>0</v>
      </c>
      <c r="BF11" s="844">
        <f t="shared" si="55"/>
        <v>0</v>
      </c>
      <c r="BG11" s="839"/>
      <c r="BH11" s="839"/>
      <c r="BI11" s="839"/>
      <c r="BJ11" s="839"/>
      <c r="BK11" s="839"/>
      <c r="BL11" s="839"/>
      <c r="BM11" s="839"/>
      <c r="BN11" s="839"/>
      <c r="BO11" s="839"/>
      <c r="BP11" s="839"/>
      <c r="BQ11" s="839"/>
      <c r="BR11" s="839"/>
      <c r="BS11" s="839"/>
      <c r="BT11" s="839"/>
      <c r="BU11" s="839"/>
      <c r="BV11" s="839"/>
      <c r="BW11" s="839"/>
      <c r="BX11" s="839"/>
      <c r="BY11" s="839"/>
      <c r="BZ11" s="839"/>
      <c r="CA11" s="839"/>
      <c r="CB11" s="839"/>
      <c r="CC11" s="839"/>
      <c r="CD11" s="839"/>
      <c r="CE11" s="839"/>
      <c r="CF11" s="839"/>
      <c r="CG11" s="839"/>
      <c r="CH11" s="839"/>
      <c r="CI11" s="839"/>
      <c r="CJ11" s="839"/>
      <c r="CK11" s="839"/>
      <c r="CL11" s="839"/>
      <c r="CM11" s="839"/>
      <c r="CN11" s="839"/>
      <c r="CO11" s="839"/>
      <c r="CP11" s="839"/>
      <c r="CQ11" s="839"/>
      <c r="CR11" s="839"/>
      <c r="CS11" s="839"/>
      <c r="CT11" s="839"/>
      <c r="CU11" s="839"/>
      <c r="CV11" s="839"/>
      <c r="CW11" s="839"/>
      <c r="CX11" s="839"/>
      <c r="CY11" s="839"/>
      <c r="CZ11" s="839"/>
      <c r="DA11" s="839"/>
      <c r="DB11" s="839"/>
      <c r="DC11" s="839"/>
      <c r="DD11" s="839"/>
      <c r="DE11" s="839"/>
      <c r="DF11" s="839"/>
      <c r="DG11" s="839"/>
      <c r="DH11" s="839"/>
      <c r="DI11" s="839"/>
      <c r="DJ11" s="839"/>
      <c r="DK11" s="839"/>
      <c r="DL11" s="839"/>
      <c r="DM11" s="839"/>
      <c r="DN11" s="839"/>
      <c r="DO11" s="839"/>
      <c r="DP11" s="839"/>
      <c r="DQ11" s="839"/>
      <c r="DR11" s="839"/>
      <c r="DS11" s="839"/>
      <c r="DT11" s="839"/>
      <c r="DU11" s="839"/>
      <c r="DV11" s="839"/>
      <c r="DW11" s="839"/>
      <c r="DX11" s="839"/>
      <c r="DY11" s="839"/>
      <c r="DZ11" s="839"/>
      <c r="EA11" s="839"/>
      <c r="EB11" s="839"/>
      <c r="EC11" s="839"/>
      <c r="ED11" s="839"/>
      <c r="EE11" s="839"/>
      <c r="EF11" s="839"/>
      <c r="EG11" s="839"/>
      <c r="EH11" s="839"/>
      <c r="EI11" s="839"/>
      <c r="EJ11" s="839"/>
      <c r="EK11" s="839"/>
      <c r="EL11" s="839"/>
      <c r="EM11" s="839"/>
      <c r="EN11" s="839"/>
      <c r="EO11" s="839"/>
      <c r="EP11" s="839"/>
      <c r="EQ11" s="839"/>
      <c r="ER11" s="839"/>
      <c r="ES11" s="839"/>
      <c r="ET11" s="839"/>
      <c r="EU11" s="839"/>
      <c r="EV11" s="839"/>
      <c r="EW11" s="839"/>
      <c r="EX11" s="839"/>
      <c r="EY11" s="839"/>
      <c r="EZ11" s="839"/>
      <c r="FA11" s="839"/>
      <c r="FB11" s="839"/>
      <c r="FC11" s="839"/>
      <c r="FD11" s="839"/>
      <c r="FE11" s="839"/>
      <c r="FF11" s="839"/>
      <c r="FG11" s="839"/>
      <c r="FH11" s="839"/>
      <c r="FI11" s="839"/>
      <c r="FJ11" s="839"/>
      <c r="FK11" s="839"/>
      <c r="FL11" s="839"/>
      <c r="FM11" s="839"/>
      <c r="FN11" s="839"/>
      <c r="FO11" s="839"/>
      <c r="FP11" s="839"/>
      <c r="FQ11" s="839"/>
      <c r="FR11" s="839"/>
      <c r="FS11" s="839"/>
      <c r="FT11" s="839"/>
      <c r="FU11" s="839"/>
      <c r="FV11" s="839"/>
      <c r="FW11" s="839"/>
      <c r="FX11" s="839"/>
      <c r="FY11" s="839"/>
      <c r="FZ11" s="839"/>
      <c r="GA11" s="839"/>
      <c r="GB11" s="839"/>
      <c r="GC11" s="839"/>
      <c r="GD11" s="839"/>
      <c r="GE11" s="839"/>
      <c r="GF11" s="839"/>
      <c r="GG11" s="839"/>
      <c r="GH11" s="839"/>
      <c r="GI11" s="839"/>
      <c r="GJ11" s="839"/>
    </row>
    <row r="12" spans="1:192" ht="17.25" customHeight="1" outlineLevel="1">
      <c r="A12" s="758"/>
      <c r="B12" s="772" t="s">
        <v>696</v>
      </c>
      <c r="C12" s="773">
        <f t="shared" ref="C12:C14" si="56">SUM(D12,I12,N12,S12,X12,AC12,AH12,AM12,AR12,AW12,BB12)</f>
        <v>2514.829874</v>
      </c>
      <c r="D12" s="761">
        <f t="shared" si="23"/>
        <v>0</v>
      </c>
      <c r="E12" s="773">
        <f>E6*'1.参数设置'!$C$5</f>
        <v>0</v>
      </c>
      <c r="F12" s="773">
        <f>F6*'1.参数设置'!$C$5</f>
        <v>0</v>
      </c>
      <c r="G12" s="773">
        <f>G6*'1.参数设置'!$C$5</f>
        <v>0</v>
      </c>
      <c r="H12" s="774">
        <f>H6*'1.参数设置'!$C$5</f>
        <v>0</v>
      </c>
      <c r="I12" s="761">
        <f t="shared" si="24"/>
        <v>1836.8262</v>
      </c>
      <c r="J12" s="773">
        <f>J6*'1.参数设置'!$C$5</f>
        <v>0</v>
      </c>
      <c r="K12" s="773">
        <f>K6*'1.参数设置'!$C$5</f>
        <v>736.3125</v>
      </c>
      <c r="L12" s="773">
        <f>L6*'1.参数设置'!$C$5</f>
        <v>765.76499999999999</v>
      </c>
      <c r="M12" s="774">
        <f>M6*'1.参数设置'!$C$5</f>
        <v>334.74870000000004</v>
      </c>
      <c r="N12" s="761">
        <f t="shared" si="25"/>
        <v>648.46367400000008</v>
      </c>
      <c r="O12" s="773">
        <f>O6*'1.参数设置'!$C$5</f>
        <v>341.44367399999999</v>
      </c>
      <c r="P12" s="773">
        <f>P6*'1.参数设置'!$C$5</f>
        <v>174.72000000000003</v>
      </c>
      <c r="Q12" s="773">
        <f>Q6*'1.参数设置'!$C$5</f>
        <v>87.990000000000009</v>
      </c>
      <c r="R12" s="774">
        <f>R6*'1.参数设置'!$C$5</f>
        <v>44.31</v>
      </c>
      <c r="S12" s="761">
        <f t="shared" si="26"/>
        <v>29.54</v>
      </c>
      <c r="T12" s="773">
        <f>T6*'1.参数设置'!$C$5</f>
        <v>29.54</v>
      </c>
      <c r="U12" s="773">
        <f>U6*'1.参数设置'!$C$5</f>
        <v>0</v>
      </c>
      <c r="V12" s="773">
        <f>V6*'1.参数设置'!$C$5</f>
        <v>0</v>
      </c>
      <c r="W12" s="774">
        <f>W6*'1.参数设置'!$C$5</f>
        <v>0</v>
      </c>
      <c r="X12" s="761">
        <f t="shared" si="27"/>
        <v>0</v>
      </c>
      <c r="Y12" s="773">
        <f>Y6*'1.参数设置'!$C$5</f>
        <v>0</v>
      </c>
      <c r="Z12" s="773">
        <f>Z6*'1.参数设置'!$C$5</f>
        <v>0</v>
      </c>
      <c r="AA12" s="773">
        <f>AA6*'1.参数设置'!$C$5</f>
        <v>0</v>
      </c>
      <c r="AB12" s="774">
        <f>AB6*'1.参数设置'!$C$5</f>
        <v>0</v>
      </c>
      <c r="AC12" s="761">
        <f t="shared" si="28"/>
        <v>0</v>
      </c>
      <c r="AD12" s="773">
        <f>AD6*'1.参数设置'!$C$5</f>
        <v>0</v>
      </c>
      <c r="AE12" s="773">
        <f>AE6*'1.参数设置'!$C$5</f>
        <v>0</v>
      </c>
      <c r="AF12" s="773">
        <f>AF6*'1.参数设置'!$C$5</f>
        <v>0</v>
      </c>
      <c r="AG12" s="774">
        <f>AG6*'1.参数设置'!$C$5</f>
        <v>0</v>
      </c>
      <c r="AH12" s="761">
        <f t="shared" si="29"/>
        <v>0</v>
      </c>
      <c r="AI12" s="773">
        <f>AI6*'1.参数设置'!$C$5</f>
        <v>0</v>
      </c>
      <c r="AJ12" s="773">
        <f>AJ6*'1.参数设置'!$C$5</f>
        <v>0</v>
      </c>
      <c r="AK12" s="773">
        <f>AK6*'1.参数设置'!$C$5</f>
        <v>0</v>
      </c>
      <c r="AL12" s="774">
        <f>AL6*'1.参数设置'!$C$5</f>
        <v>0</v>
      </c>
      <c r="AM12" s="761">
        <f t="shared" si="30"/>
        <v>0</v>
      </c>
      <c r="AN12" s="773">
        <f>AN6*'1.参数设置'!$C$5</f>
        <v>0</v>
      </c>
      <c r="AO12" s="773">
        <f>AO6*'1.参数设置'!$C$5</f>
        <v>0</v>
      </c>
      <c r="AP12" s="773">
        <f>AP6*'1.参数设置'!$C$5</f>
        <v>0</v>
      </c>
      <c r="AQ12" s="774">
        <f>AQ6*'1.参数设置'!$C$5</f>
        <v>0</v>
      </c>
      <c r="AR12" s="761">
        <f t="shared" si="31"/>
        <v>0</v>
      </c>
      <c r="AS12" s="773">
        <f>AS6*'1.参数设置'!$C$5</f>
        <v>0</v>
      </c>
      <c r="AT12" s="773">
        <f>AT6*'1.参数设置'!$C$5</f>
        <v>0</v>
      </c>
      <c r="AU12" s="773">
        <f>AU6*'1.参数设置'!$C$5</f>
        <v>0</v>
      </c>
      <c r="AV12" s="774">
        <f>AV6*'1.参数设置'!$C$5</f>
        <v>0</v>
      </c>
      <c r="AW12" s="761">
        <f t="shared" si="32"/>
        <v>0</v>
      </c>
      <c r="AX12" s="773">
        <f>AX6*'1.参数设置'!$C$5</f>
        <v>0</v>
      </c>
      <c r="AY12" s="773">
        <f>AY6*'1.参数设置'!$C$5</f>
        <v>0</v>
      </c>
      <c r="AZ12" s="773">
        <f>AZ6*'1.参数设置'!$C$5</f>
        <v>0</v>
      </c>
      <c r="BA12" s="774">
        <f>BA6*'1.参数设置'!$C$5</f>
        <v>0</v>
      </c>
      <c r="BB12" s="761">
        <f t="shared" si="33"/>
        <v>0</v>
      </c>
      <c r="BC12" s="773">
        <f>BC6*'1.参数设置'!$C$5</f>
        <v>0</v>
      </c>
      <c r="BD12" s="773">
        <f>BD6*'1.参数设置'!$C$5</f>
        <v>0</v>
      </c>
      <c r="BE12" s="773">
        <f>BE6*'1.参数设置'!$C$5</f>
        <v>0</v>
      </c>
      <c r="BF12" s="845">
        <f>BF6*'1.参数设置'!$C$5</f>
        <v>0</v>
      </c>
      <c r="BG12" s="747"/>
      <c r="BH12" s="747"/>
      <c r="BI12" s="747"/>
      <c r="BJ12" s="747"/>
      <c r="BK12" s="747"/>
      <c r="BL12" s="747"/>
      <c r="BM12" s="747"/>
      <c r="BN12" s="747"/>
      <c r="BO12" s="747"/>
      <c r="BP12" s="747"/>
      <c r="BQ12" s="747"/>
      <c r="BR12" s="747"/>
      <c r="BS12" s="747"/>
      <c r="BT12" s="747"/>
      <c r="BU12" s="747"/>
      <c r="BV12" s="747"/>
      <c r="BW12" s="747"/>
      <c r="BX12" s="747"/>
      <c r="BY12" s="747"/>
      <c r="BZ12" s="747"/>
      <c r="CA12" s="747"/>
      <c r="CB12" s="747"/>
      <c r="CC12" s="747"/>
      <c r="CD12" s="747"/>
      <c r="CE12" s="747"/>
      <c r="CF12" s="747"/>
      <c r="CG12" s="747"/>
      <c r="CH12" s="747"/>
      <c r="CI12" s="747"/>
      <c r="CJ12" s="747"/>
      <c r="CK12" s="747"/>
      <c r="CL12" s="747"/>
      <c r="CM12" s="747"/>
      <c r="CN12" s="747"/>
      <c r="CO12" s="747"/>
      <c r="CP12" s="747"/>
      <c r="CQ12" s="747"/>
      <c r="CR12" s="747"/>
      <c r="CS12" s="747"/>
      <c r="CT12" s="747"/>
      <c r="CU12" s="747"/>
      <c r="CV12" s="747"/>
      <c r="CW12" s="747"/>
      <c r="CX12" s="747"/>
      <c r="CY12" s="747"/>
      <c r="CZ12" s="747"/>
      <c r="DA12" s="747"/>
      <c r="DB12" s="747"/>
      <c r="DC12" s="747"/>
      <c r="DD12" s="747"/>
      <c r="DE12" s="747"/>
      <c r="DF12" s="747"/>
      <c r="DG12" s="747"/>
      <c r="DH12" s="747"/>
      <c r="DI12" s="747"/>
      <c r="DJ12" s="747"/>
      <c r="DK12" s="747"/>
      <c r="DL12" s="747"/>
      <c r="DM12" s="747"/>
      <c r="DN12" s="747"/>
      <c r="DO12" s="747"/>
      <c r="DP12" s="747"/>
      <c r="DQ12" s="747"/>
      <c r="DR12" s="747"/>
      <c r="DS12" s="747"/>
      <c r="DT12" s="747"/>
      <c r="DU12" s="747"/>
      <c r="DV12" s="747"/>
      <c r="DW12" s="747"/>
      <c r="DX12" s="747"/>
      <c r="DY12" s="747"/>
      <c r="DZ12" s="747"/>
      <c r="EA12" s="747"/>
      <c r="EB12" s="747"/>
      <c r="EC12" s="747"/>
      <c r="ED12" s="747"/>
      <c r="EE12" s="747"/>
      <c r="EF12" s="747"/>
      <c r="EG12" s="747"/>
      <c r="EH12" s="747"/>
      <c r="EI12" s="747"/>
      <c r="EJ12" s="747"/>
      <c r="EK12" s="747"/>
      <c r="EL12" s="747"/>
      <c r="EM12" s="747"/>
      <c r="EN12" s="747"/>
      <c r="EO12" s="747"/>
      <c r="EP12" s="747"/>
      <c r="EQ12" s="747"/>
      <c r="ER12" s="747"/>
      <c r="ES12" s="747"/>
      <c r="ET12" s="747"/>
      <c r="EU12" s="747"/>
      <c r="EV12" s="747"/>
      <c r="EW12" s="747"/>
      <c r="EX12" s="747"/>
      <c r="EY12" s="747"/>
      <c r="EZ12" s="747"/>
      <c r="FA12" s="747"/>
      <c r="FB12" s="747"/>
      <c r="FC12" s="747"/>
      <c r="FD12" s="747"/>
      <c r="FE12" s="747"/>
      <c r="FF12" s="747"/>
      <c r="FG12" s="747"/>
      <c r="FH12" s="747"/>
      <c r="FI12" s="747"/>
      <c r="FJ12" s="747"/>
      <c r="FK12" s="747"/>
      <c r="FL12" s="747"/>
      <c r="FM12" s="747"/>
      <c r="FN12" s="747"/>
      <c r="FO12" s="747"/>
      <c r="FP12" s="747"/>
      <c r="FQ12" s="747"/>
      <c r="FR12" s="747"/>
      <c r="FS12" s="747"/>
      <c r="FT12" s="747"/>
      <c r="FU12" s="747"/>
      <c r="FV12" s="747"/>
      <c r="FW12" s="747"/>
      <c r="FX12" s="747"/>
      <c r="FY12" s="747"/>
      <c r="FZ12" s="747"/>
      <c r="GA12" s="747"/>
      <c r="GB12" s="747"/>
      <c r="GC12" s="747"/>
      <c r="GD12" s="747"/>
      <c r="GE12" s="747"/>
      <c r="GF12" s="747"/>
      <c r="GG12" s="747"/>
      <c r="GH12" s="747"/>
      <c r="GI12" s="747"/>
      <c r="GJ12" s="747"/>
    </row>
    <row r="13" spans="1:192" ht="17.25" customHeight="1" outlineLevel="1">
      <c r="A13" s="758"/>
      <c r="B13" s="772" t="s">
        <v>697</v>
      </c>
      <c r="C13" s="773">
        <f t="shared" si="56"/>
        <v>2011.8638992000001</v>
      </c>
      <c r="D13" s="761">
        <f t="shared" si="23"/>
        <v>0</v>
      </c>
      <c r="E13" s="775">
        <f>E6*'1.参数设置'!$E$5</f>
        <v>0</v>
      </c>
      <c r="F13" s="775">
        <f>F6*'1.参数设置'!$E$5</f>
        <v>0</v>
      </c>
      <c r="G13" s="775">
        <f>G6*'1.参数设置'!$E$5</f>
        <v>0</v>
      </c>
      <c r="H13" s="776">
        <f>H6*'1.参数设置'!$E$5</f>
        <v>0</v>
      </c>
      <c r="I13" s="761">
        <f t="shared" si="24"/>
        <v>1469.4609600000001</v>
      </c>
      <c r="J13" s="775">
        <f>J6*'1.参数设置'!$E$5</f>
        <v>0</v>
      </c>
      <c r="K13" s="775">
        <f>K6*'1.参数设置'!$E$5</f>
        <v>589.05000000000007</v>
      </c>
      <c r="L13" s="775">
        <f>L6*'1.参数设置'!$E$5</f>
        <v>612.61199999999997</v>
      </c>
      <c r="M13" s="776">
        <f>M6*'1.参数设置'!$E$5</f>
        <v>267.79896000000002</v>
      </c>
      <c r="N13" s="761">
        <f t="shared" si="25"/>
        <v>518.77093920000004</v>
      </c>
      <c r="O13" s="775">
        <f>O6*'1.参数设置'!$E$5</f>
        <v>273.1549392</v>
      </c>
      <c r="P13" s="775">
        <f>P6*'1.参数设置'!$E$5</f>
        <v>139.77600000000001</v>
      </c>
      <c r="Q13" s="775">
        <f>Q6*'1.参数设置'!$E$5</f>
        <v>70.39200000000001</v>
      </c>
      <c r="R13" s="776">
        <f>R6*'1.参数设置'!$E$5</f>
        <v>35.448</v>
      </c>
      <c r="S13" s="761">
        <f t="shared" si="26"/>
        <v>23.631999999999998</v>
      </c>
      <c r="T13" s="775">
        <f>T6*'1.参数设置'!$E$5</f>
        <v>23.631999999999998</v>
      </c>
      <c r="U13" s="775">
        <f>U6*'1.参数设置'!$E$5</f>
        <v>0</v>
      </c>
      <c r="V13" s="775">
        <f>V6*'1.参数设置'!$E$5</f>
        <v>0</v>
      </c>
      <c r="W13" s="776">
        <f>W6*'1.参数设置'!$E$5</f>
        <v>0</v>
      </c>
      <c r="X13" s="761">
        <f t="shared" si="27"/>
        <v>0</v>
      </c>
      <c r="Y13" s="775">
        <f>Y6*'1.参数设置'!$E$5</f>
        <v>0</v>
      </c>
      <c r="Z13" s="775">
        <f>Z6*'1.参数设置'!$E$5</f>
        <v>0</v>
      </c>
      <c r="AA13" s="775">
        <f>AA6*'1.参数设置'!$E$5</f>
        <v>0</v>
      </c>
      <c r="AB13" s="776">
        <f>AB6*'1.参数设置'!$E$5</f>
        <v>0</v>
      </c>
      <c r="AC13" s="761">
        <f t="shared" si="28"/>
        <v>0</v>
      </c>
      <c r="AD13" s="775">
        <f>AD6*'1.参数设置'!$E$5</f>
        <v>0</v>
      </c>
      <c r="AE13" s="775">
        <f>AE6*'1.参数设置'!$E$5</f>
        <v>0</v>
      </c>
      <c r="AF13" s="775">
        <f>AF6*'1.参数设置'!$E$5</f>
        <v>0</v>
      </c>
      <c r="AG13" s="776">
        <f>AG6*'1.参数设置'!$E$5</f>
        <v>0</v>
      </c>
      <c r="AH13" s="761">
        <f t="shared" si="29"/>
        <v>0</v>
      </c>
      <c r="AI13" s="775">
        <f>AI6*'1.参数设置'!$E$5</f>
        <v>0</v>
      </c>
      <c r="AJ13" s="775">
        <f>AJ6*'1.参数设置'!$E$5</f>
        <v>0</v>
      </c>
      <c r="AK13" s="775">
        <f>AK6*'1.参数设置'!$E$5</f>
        <v>0</v>
      </c>
      <c r="AL13" s="776">
        <f>AL6*'1.参数设置'!$E$5</f>
        <v>0</v>
      </c>
      <c r="AM13" s="761">
        <f t="shared" si="30"/>
        <v>0</v>
      </c>
      <c r="AN13" s="775">
        <f>AN6*'1.参数设置'!$E$5</f>
        <v>0</v>
      </c>
      <c r="AO13" s="775">
        <f>AO6*'1.参数设置'!$E$5</f>
        <v>0</v>
      </c>
      <c r="AP13" s="775">
        <f>AP6*'1.参数设置'!$E$5</f>
        <v>0</v>
      </c>
      <c r="AQ13" s="776">
        <f>AQ6*'1.参数设置'!$E$5</f>
        <v>0</v>
      </c>
      <c r="AR13" s="761">
        <f t="shared" si="31"/>
        <v>0</v>
      </c>
      <c r="AS13" s="775">
        <f>AS6*'1.参数设置'!$E$5</f>
        <v>0</v>
      </c>
      <c r="AT13" s="775">
        <f>AT6*'1.参数设置'!$E$5</f>
        <v>0</v>
      </c>
      <c r="AU13" s="775">
        <f>AU6*'1.参数设置'!$E$5</f>
        <v>0</v>
      </c>
      <c r="AV13" s="776">
        <f>AV6*'1.参数设置'!$E$5</f>
        <v>0</v>
      </c>
      <c r="AW13" s="761">
        <f t="shared" si="32"/>
        <v>0</v>
      </c>
      <c r="AX13" s="775">
        <f>AX6*'1.参数设置'!$E$5</f>
        <v>0</v>
      </c>
      <c r="AY13" s="775">
        <f>AY6*'1.参数设置'!$E$5</f>
        <v>0</v>
      </c>
      <c r="AZ13" s="775">
        <f>AZ6*'1.参数设置'!$E$5</f>
        <v>0</v>
      </c>
      <c r="BA13" s="776">
        <f>BA6*'1.参数设置'!$E$5</f>
        <v>0</v>
      </c>
      <c r="BB13" s="761">
        <f t="shared" si="33"/>
        <v>0</v>
      </c>
      <c r="BC13" s="775">
        <f>BC6*'1.参数设置'!$E$5</f>
        <v>0</v>
      </c>
      <c r="BD13" s="775">
        <f>BD6*'1.参数设置'!$E$5</f>
        <v>0</v>
      </c>
      <c r="BE13" s="775">
        <f>BE6*'1.参数设置'!$E$5</f>
        <v>0</v>
      </c>
      <c r="BF13" s="846">
        <f>BF6*'1.参数设置'!$E$5</f>
        <v>0</v>
      </c>
      <c r="BG13" s="747"/>
      <c r="BH13" s="747"/>
      <c r="BI13" s="747"/>
      <c r="BJ13" s="747"/>
      <c r="BK13" s="747"/>
      <c r="BL13" s="747"/>
      <c r="BM13" s="747"/>
      <c r="BN13" s="747"/>
      <c r="BO13" s="747"/>
      <c r="BP13" s="747"/>
      <c r="BQ13" s="747"/>
      <c r="BR13" s="747"/>
      <c r="BS13" s="747"/>
      <c r="BT13" s="747"/>
      <c r="BU13" s="747"/>
      <c r="BV13" s="747"/>
      <c r="BW13" s="747"/>
      <c r="BX13" s="747"/>
      <c r="BY13" s="747"/>
      <c r="BZ13" s="747"/>
      <c r="CA13" s="747"/>
      <c r="CB13" s="747"/>
      <c r="CC13" s="747"/>
      <c r="CD13" s="747"/>
      <c r="CE13" s="747"/>
      <c r="CF13" s="747"/>
      <c r="CG13" s="747"/>
      <c r="CH13" s="747"/>
      <c r="CI13" s="747"/>
      <c r="CJ13" s="747"/>
      <c r="CK13" s="747"/>
      <c r="CL13" s="747"/>
      <c r="CM13" s="747"/>
      <c r="CN13" s="747"/>
      <c r="CO13" s="747"/>
      <c r="CP13" s="747"/>
      <c r="CQ13" s="747"/>
      <c r="CR13" s="747"/>
      <c r="CS13" s="747"/>
      <c r="CT13" s="747"/>
      <c r="CU13" s="747"/>
      <c r="CV13" s="747"/>
      <c r="CW13" s="747"/>
      <c r="CX13" s="747"/>
      <c r="CY13" s="747"/>
      <c r="CZ13" s="747"/>
      <c r="DA13" s="747"/>
      <c r="DB13" s="747"/>
      <c r="DC13" s="747"/>
      <c r="DD13" s="747"/>
      <c r="DE13" s="747"/>
      <c r="DF13" s="747"/>
      <c r="DG13" s="747"/>
      <c r="DH13" s="747"/>
      <c r="DI13" s="747"/>
      <c r="DJ13" s="747"/>
      <c r="DK13" s="747"/>
      <c r="DL13" s="747"/>
      <c r="DM13" s="747"/>
      <c r="DN13" s="747"/>
      <c r="DO13" s="747"/>
      <c r="DP13" s="747"/>
      <c r="DQ13" s="747"/>
      <c r="DR13" s="747"/>
      <c r="DS13" s="747"/>
      <c r="DT13" s="747"/>
      <c r="DU13" s="747"/>
      <c r="DV13" s="747"/>
      <c r="DW13" s="747"/>
      <c r="DX13" s="747"/>
      <c r="DY13" s="747"/>
      <c r="DZ13" s="747"/>
      <c r="EA13" s="747"/>
      <c r="EB13" s="747"/>
      <c r="EC13" s="747"/>
      <c r="ED13" s="747"/>
      <c r="EE13" s="747"/>
      <c r="EF13" s="747"/>
      <c r="EG13" s="747"/>
      <c r="EH13" s="747"/>
      <c r="EI13" s="747"/>
      <c r="EJ13" s="747"/>
      <c r="EK13" s="747"/>
      <c r="EL13" s="747"/>
      <c r="EM13" s="747"/>
      <c r="EN13" s="747"/>
      <c r="EO13" s="747"/>
      <c r="EP13" s="747"/>
      <c r="EQ13" s="747"/>
      <c r="ER13" s="747"/>
      <c r="ES13" s="747"/>
      <c r="ET13" s="747"/>
      <c r="EU13" s="747"/>
      <c r="EV13" s="747"/>
      <c r="EW13" s="747"/>
      <c r="EX13" s="747"/>
      <c r="EY13" s="747"/>
      <c r="EZ13" s="747"/>
      <c r="FA13" s="747"/>
      <c r="FB13" s="747"/>
      <c r="FC13" s="747"/>
      <c r="FD13" s="747"/>
      <c r="FE13" s="747"/>
      <c r="FF13" s="747"/>
      <c r="FG13" s="747"/>
      <c r="FH13" s="747"/>
      <c r="FI13" s="747"/>
      <c r="FJ13" s="747"/>
      <c r="FK13" s="747"/>
      <c r="FL13" s="747"/>
      <c r="FM13" s="747"/>
      <c r="FN13" s="747"/>
      <c r="FO13" s="747"/>
      <c r="FP13" s="747"/>
      <c r="FQ13" s="747"/>
      <c r="FR13" s="747"/>
      <c r="FS13" s="747"/>
      <c r="FT13" s="747"/>
      <c r="FU13" s="747"/>
      <c r="FV13" s="747"/>
      <c r="FW13" s="747"/>
      <c r="FX13" s="747"/>
      <c r="FY13" s="747"/>
      <c r="FZ13" s="747"/>
      <c r="GA13" s="747"/>
      <c r="GB13" s="747"/>
      <c r="GC13" s="747"/>
      <c r="GD13" s="747"/>
      <c r="GE13" s="747"/>
      <c r="GF13" s="747"/>
      <c r="GG13" s="747"/>
      <c r="GH13" s="747"/>
      <c r="GI13" s="747"/>
      <c r="GJ13" s="747"/>
    </row>
    <row r="14" spans="1:192" s="736" customFormat="1" ht="17.25" customHeight="1">
      <c r="A14" s="767"/>
      <c r="B14" s="768" t="s">
        <v>698</v>
      </c>
      <c r="C14" s="777">
        <f t="shared" ca="1" si="56"/>
        <v>22782.496488224773</v>
      </c>
      <c r="D14" s="761">
        <f ca="1">SUM(D15,D21)</f>
        <v>0</v>
      </c>
      <c r="E14" s="770">
        <f ca="1">SUM(E15,E21)</f>
        <v>0</v>
      </c>
      <c r="F14" s="770">
        <f t="shared" ref="F14:BF14" ca="1" si="57">SUM(F15,F21)</f>
        <v>0</v>
      </c>
      <c r="G14" s="770">
        <f t="shared" ca="1" si="57"/>
        <v>0</v>
      </c>
      <c r="H14" s="771">
        <f t="shared" ca="1" si="57"/>
        <v>0</v>
      </c>
      <c r="I14" s="761">
        <f t="shared" ca="1" si="57"/>
        <v>4687.9093358979771</v>
      </c>
      <c r="J14" s="828">
        <f t="shared" ca="1" si="57"/>
        <v>0</v>
      </c>
      <c r="K14" s="770">
        <f t="shared" ca="1" si="57"/>
        <v>1416.1126936323667</v>
      </c>
      <c r="L14" s="770">
        <f t="shared" ca="1" si="57"/>
        <v>2039.0484513776612</v>
      </c>
      <c r="M14" s="770">
        <f t="shared" ca="1" si="57"/>
        <v>1232.748190887949</v>
      </c>
      <c r="N14" s="761">
        <f t="shared" ca="1" si="57"/>
        <v>17894.22125171575</v>
      </c>
      <c r="O14" s="828">
        <f t="shared" ca="1" si="57"/>
        <v>8303.7675237707481</v>
      </c>
      <c r="P14" s="770">
        <f t="shared" ca="1" si="57"/>
        <v>404.49943167467774</v>
      </c>
      <c r="Q14" s="770">
        <f t="shared" ca="1" si="57"/>
        <v>220.65596596818509</v>
      </c>
      <c r="R14" s="770">
        <f t="shared" ca="1" si="57"/>
        <v>8965.2983303021392</v>
      </c>
      <c r="S14" s="761">
        <f t="shared" ca="1" si="57"/>
        <v>200.3659006110471</v>
      </c>
      <c r="T14" s="828">
        <f t="shared" ca="1" si="57"/>
        <v>200.3659006110471</v>
      </c>
      <c r="U14" s="770">
        <f t="shared" ca="1" si="57"/>
        <v>0</v>
      </c>
      <c r="V14" s="770">
        <f t="shared" ca="1" si="57"/>
        <v>0</v>
      </c>
      <c r="W14" s="770">
        <f t="shared" ca="1" si="57"/>
        <v>0</v>
      </c>
      <c r="X14" s="761">
        <f t="shared" ca="1" si="57"/>
        <v>0</v>
      </c>
      <c r="Y14" s="828">
        <f t="shared" ca="1" si="57"/>
        <v>0</v>
      </c>
      <c r="Z14" s="770">
        <f t="shared" ca="1" si="57"/>
        <v>0</v>
      </c>
      <c r="AA14" s="770">
        <f t="shared" ca="1" si="57"/>
        <v>0</v>
      </c>
      <c r="AB14" s="770">
        <f t="shared" ca="1" si="57"/>
        <v>0</v>
      </c>
      <c r="AC14" s="761">
        <f t="shared" ca="1" si="57"/>
        <v>0</v>
      </c>
      <c r="AD14" s="828">
        <f t="shared" ca="1" si="57"/>
        <v>0</v>
      </c>
      <c r="AE14" s="770">
        <f t="shared" ca="1" si="57"/>
        <v>0</v>
      </c>
      <c r="AF14" s="770">
        <f t="shared" ca="1" si="57"/>
        <v>0</v>
      </c>
      <c r="AG14" s="770">
        <f t="shared" ca="1" si="57"/>
        <v>0</v>
      </c>
      <c r="AH14" s="761">
        <f t="shared" ca="1" si="57"/>
        <v>0</v>
      </c>
      <c r="AI14" s="828">
        <f t="shared" ca="1" si="57"/>
        <v>0</v>
      </c>
      <c r="AJ14" s="770">
        <f t="shared" ca="1" si="57"/>
        <v>0</v>
      </c>
      <c r="AK14" s="770">
        <f t="shared" ca="1" si="57"/>
        <v>0</v>
      </c>
      <c r="AL14" s="770">
        <f t="shared" ca="1" si="57"/>
        <v>0</v>
      </c>
      <c r="AM14" s="761">
        <f t="shared" ca="1" si="57"/>
        <v>0</v>
      </c>
      <c r="AN14" s="828">
        <f t="shared" ca="1" si="57"/>
        <v>0</v>
      </c>
      <c r="AO14" s="770">
        <f t="shared" ca="1" si="57"/>
        <v>0</v>
      </c>
      <c r="AP14" s="770">
        <f t="shared" ca="1" si="57"/>
        <v>0</v>
      </c>
      <c r="AQ14" s="770">
        <f t="shared" ca="1" si="57"/>
        <v>0</v>
      </c>
      <c r="AR14" s="761">
        <f t="shared" ca="1" si="57"/>
        <v>0</v>
      </c>
      <c r="AS14" s="828">
        <f t="shared" ca="1" si="57"/>
        <v>0</v>
      </c>
      <c r="AT14" s="770">
        <f t="shared" ca="1" si="57"/>
        <v>0</v>
      </c>
      <c r="AU14" s="770">
        <f t="shared" ca="1" si="57"/>
        <v>0</v>
      </c>
      <c r="AV14" s="770">
        <f t="shared" ca="1" si="57"/>
        <v>0</v>
      </c>
      <c r="AW14" s="761">
        <f t="shared" ca="1" si="57"/>
        <v>0</v>
      </c>
      <c r="AX14" s="828">
        <f t="shared" ca="1" si="57"/>
        <v>0</v>
      </c>
      <c r="AY14" s="770">
        <f t="shared" ca="1" si="57"/>
        <v>0</v>
      </c>
      <c r="AZ14" s="770">
        <f t="shared" ca="1" si="57"/>
        <v>0</v>
      </c>
      <c r="BA14" s="770">
        <f t="shared" ca="1" si="57"/>
        <v>0</v>
      </c>
      <c r="BB14" s="761">
        <f t="shared" ca="1" si="57"/>
        <v>0</v>
      </c>
      <c r="BC14" s="828">
        <f t="shared" ca="1" si="57"/>
        <v>0</v>
      </c>
      <c r="BD14" s="770">
        <f t="shared" ca="1" si="57"/>
        <v>0</v>
      </c>
      <c r="BE14" s="770">
        <f t="shared" ca="1" si="57"/>
        <v>0</v>
      </c>
      <c r="BF14" s="844">
        <f t="shared" ca="1" si="57"/>
        <v>0</v>
      </c>
      <c r="BG14" s="839"/>
      <c r="BH14" s="839"/>
      <c r="BI14" s="839"/>
      <c r="BJ14" s="839"/>
      <c r="BK14" s="839"/>
      <c r="BL14" s="839"/>
      <c r="BM14" s="839"/>
      <c r="BN14" s="839"/>
      <c r="BO14" s="839"/>
      <c r="BP14" s="839"/>
      <c r="BQ14" s="839"/>
      <c r="BR14" s="839"/>
      <c r="BS14" s="839"/>
      <c r="BT14" s="839"/>
      <c r="BU14" s="839"/>
      <c r="BV14" s="839"/>
      <c r="BW14" s="839"/>
      <c r="BX14" s="839"/>
      <c r="BY14" s="839"/>
      <c r="BZ14" s="839"/>
      <c r="CA14" s="839"/>
      <c r="CB14" s="839"/>
      <c r="CC14" s="839"/>
      <c r="CD14" s="839"/>
      <c r="CE14" s="839"/>
      <c r="CF14" s="839"/>
      <c r="CG14" s="839"/>
      <c r="CH14" s="839"/>
      <c r="CI14" s="839"/>
      <c r="CJ14" s="839"/>
      <c r="CK14" s="839"/>
      <c r="CL14" s="839"/>
      <c r="CM14" s="839"/>
      <c r="CN14" s="839"/>
      <c r="CO14" s="839"/>
      <c r="CP14" s="839"/>
      <c r="CQ14" s="839"/>
      <c r="CR14" s="839"/>
      <c r="CS14" s="839"/>
      <c r="CT14" s="839"/>
      <c r="CU14" s="839"/>
      <c r="CV14" s="839"/>
      <c r="CW14" s="839"/>
      <c r="CX14" s="839"/>
      <c r="CY14" s="839"/>
      <c r="CZ14" s="839"/>
      <c r="DA14" s="839"/>
      <c r="DB14" s="839"/>
      <c r="DC14" s="839"/>
      <c r="DD14" s="839"/>
      <c r="DE14" s="839"/>
      <c r="DF14" s="839"/>
      <c r="DG14" s="839"/>
      <c r="DH14" s="839"/>
      <c r="DI14" s="839"/>
      <c r="DJ14" s="839"/>
      <c r="DK14" s="839"/>
      <c r="DL14" s="839"/>
      <c r="DM14" s="839"/>
      <c r="DN14" s="839"/>
      <c r="DO14" s="839"/>
      <c r="DP14" s="839"/>
      <c r="DQ14" s="839"/>
      <c r="DR14" s="839"/>
      <c r="DS14" s="839"/>
      <c r="DT14" s="839"/>
      <c r="DU14" s="839"/>
      <c r="DV14" s="839"/>
      <c r="DW14" s="839"/>
      <c r="DX14" s="839"/>
      <c r="DY14" s="839"/>
      <c r="DZ14" s="839"/>
      <c r="EA14" s="839"/>
      <c r="EB14" s="839"/>
      <c r="EC14" s="839"/>
      <c r="ED14" s="839"/>
      <c r="EE14" s="839"/>
      <c r="EF14" s="839"/>
      <c r="EG14" s="839"/>
      <c r="EH14" s="839"/>
      <c r="EI14" s="839"/>
      <c r="EJ14" s="839"/>
      <c r="EK14" s="839"/>
      <c r="EL14" s="839"/>
      <c r="EM14" s="839"/>
      <c r="EN14" s="839"/>
      <c r="EO14" s="839"/>
      <c r="EP14" s="839"/>
      <c r="EQ14" s="839"/>
      <c r="ER14" s="839"/>
      <c r="ES14" s="839"/>
      <c r="ET14" s="839"/>
      <c r="EU14" s="839"/>
      <c r="EV14" s="839"/>
      <c r="EW14" s="839"/>
      <c r="EX14" s="839"/>
      <c r="EY14" s="839"/>
      <c r="EZ14" s="839"/>
      <c r="FA14" s="839"/>
      <c r="FB14" s="839"/>
      <c r="FC14" s="839"/>
      <c r="FD14" s="839"/>
      <c r="FE14" s="839"/>
      <c r="FF14" s="839"/>
      <c r="FG14" s="839"/>
      <c r="FH14" s="839"/>
      <c r="FI14" s="839"/>
      <c r="FJ14" s="839"/>
      <c r="FK14" s="839"/>
      <c r="FL14" s="839"/>
      <c r="FM14" s="839"/>
      <c r="FN14" s="839"/>
      <c r="FO14" s="839"/>
      <c r="FP14" s="839"/>
      <c r="FQ14" s="839"/>
      <c r="FR14" s="839"/>
      <c r="FS14" s="839"/>
      <c r="FT14" s="839"/>
      <c r="FU14" s="839"/>
      <c r="FV14" s="839"/>
      <c r="FW14" s="839"/>
      <c r="FX14" s="839"/>
      <c r="FY14" s="839"/>
      <c r="FZ14" s="839"/>
      <c r="GA14" s="839"/>
      <c r="GB14" s="839"/>
      <c r="GC14" s="839"/>
      <c r="GD14" s="839"/>
      <c r="GE14" s="839"/>
      <c r="GF14" s="839"/>
      <c r="GG14" s="839"/>
      <c r="GH14" s="839"/>
      <c r="GI14" s="839"/>
      <c r="GJ14" s="839"/>
    </row>
    <row r="15" spans="1:192" s="736" customFormat="1" ht="17.25" customHeight="1" outlineLevel="1">
      <c r="A15" s="767"/>
      <c r="B15" s="778" t="s">
        <v>699</v>
      </c>
      <c r="C15" s="779">
        <f t="shared" ref="C15:M15" ca="1" si="58">SUM(C16:C20)</f>
        <v>12036.872815846777</v>
      </c>
      <c r="D15" s="780">
        <f t="shared" ca="1" si="58"/>
        <v>0</v>
      </c>
      <c r="E15" s="781">
        <f t="shared" ca="1" si="58"/>
        <v>0</v>
      </c>
      <c r="F15" s="781">
        <f t="shared" ca="1" si="58"/>
        <v>0</v>
      </c>
      <c r="G15" s="781">
        <f t="shared" ca="1" si="58"/>
        <v>0</v>
      </c>
      <c r="H15" s="782">
        <f t="shared" ca="1" si="58"/>
        <v>0</v>
      </c>
      <c r="I15" s="780">
        <f t="shared" ca="1" si="58"/>
        <v>4687.9093358979771</v>
      </c>
      <c r="J15" s="830">
        <f t="shared" ca="1" si="58"/>
        <v>0</v>
      </c>
      <c r="K15" s="781">
        <f t="shared" ca="1" si="58"/>
        <v>1416.1126936323667</v>
      </c>
      <c r="L15" s="781">
        <f t="shared" ca="1" si="58"/>
        <v>2039.0484513776612</v>
      </c>
      <c r="M15" s="781">
        <f t="shared" ca="1" si="58"/>
        <v>1232.748190887949</v>
      </c>
      <c r="N15" s="780">
        <f t="shared" ref="N15:N27" ca="1" si="59">SUM(O15:R15)</f>
        <v>7185.1596277954022</v>
      </c>
      <c r="O15" s="830">
        <f t="shared" ref="O15:R15" ca="1" si="60">SUM(O16:O20)</f>
        <v>670.78202728761084</v>
      </c>
      <c r="P15" s="781">
        <f t="shared" ca="1" si="60"/>
        <v>404.49943167467774</v>
      </c>
      <c r="Q15" s="781">
        <f t="shared" ca="1" si="60"/>
        <v>220.65596596818509</v>
      </c>
      <c r="R15" s="781">
        <f t="shared" ca="1" si="60"/>
        <v>5889.2222028649285</v>
      </c>
      <c r="S15" s="780">
        <f t="shared" ref="S15:S27" ca="1" si="61">SUM(T15:W15)</f>
        <v>163.80385215339686</v>
      </c>
      <c r="T15" s="830">
        <f t="shared" ref="T15:W15" ca="1" si="62">SUM(T16:T20)</f>
        <v>163.80385215339686</v>
      </c>
      <c r="U15" s="781">
        <f t="shared" ca="1" si="62"/>
        <v>0</v>
      </c>
      <c r="V15" s="781">
        <f t="shared" ca="1" si="62"/>
        <v>0</v>
      </c>
      <c r="W15" s="781">
        <f t="shared" ca="1" si="62"/>
        <v>0</v>
      </c>
      <c r="X15" s="780">
        <f t="shared" ref="X15:X27" ca="1" si="63">SUM(Y15:AB15)</f>
        <v>0</v>
      </c>
      <c r="Y15" s="830">
        <f t="shared" ref="Y15:AB15" ca="1" si="64">SUM(Y16:Y20)</f>
        <v>0</v>
      </c>
      <c r="Z15" s="781">
        <f t="shared" ca="1" si="64"/>
        <v>0</v>
      </c>
      <c r="AA15" s="781">
        <f t="shared" ca="1" si="64"/>
        <v>0</v>
      </c>
      <c r="AB15" s="781">
        <f t="shared" ca="1" si="64"/>
        <v>0</v>
      </c>
      <c r="AC15" s="780">
        <f t="shared" ref="AC15:AC27" ca="1" si="65">SUM(AD15:AG15)</f>
        <v>0</v>
      </c>
      <c r="AD15" s="830">
        <f t="shared" ref="AD15:AG15" ca="1" si="66">SUM(AD16:AD20)</f>
        <v>0</v>
      </c>
      <c r="AE15" s="781">
        <f t="shared" ca="1" si="66"/>
        <v>0</v>
      </c>
      <c r="AF15" s="781">
        <f t="shared" ca="1" si="66"/>
        <v>0</v>
      </c>
      <c r="AG15" s="781">
        <f t="shared" ca="1" si="66"/>
        <v>0</v>
      </c>
      <c r="AH15" s="780">
        <f t="shared" ref="AH15:AH27" ca="1" si="67">SUM(AI15:AL15)</f>
        <v>0</v>
      </c>
      <c r="AI15" s="830">
        <f t="shared" ref="AI15:AL15" ca="1" si="68">SUM(AI16:AI20)</f>
        <v>0</v>
      </c>
      <c r="AJ15" s="781">
        <f t="shared" ca="1" si="68"/>
        <v>0</v>
      </c>
      <c r="AK15" s="781">
        <f t="shared" ca="1" si="68"/>
        <v>0</v>
      </c>
      <c r="AL15" s="781">
        <f t="shared" ca="1" si="68"/>
        <v>0</v>
      </c>
      <c r="AM15" s="780">
        <f t="shared" ref="AM15:AM27" ca="1" si="69">SUM(AN15:AQ15)</f>
        <v>0</v>
      </c>
      <c r="AN15" s="830">
        <f t="shared" ref="AN15:AQ15" ca="1" si="70">SUM(AN16:AN20)</f>
        <v>0</v>
      </c>
      <c r="AO15" s="781">
        <f t="shared" ca="1" si="70"/>
        <v>0</v>
      </c>
      <c r="AP15" s="781">
        <f t="shared" ca="1" si="70"/>
        <v>0</v>
      </c>
      <c r="AQ15" s="781">
        <f t="shared" ca="1" si="70"/>
        <v>0</v>
      </c>
      <c r="AR15" s="780">
        <f t="shared" ref="AR15:AR27" ca="1" si="71">SUM(AS15:AV15)</f>
        <v>0</v>
      </c>
      <c r="AS15" s="830">
        <f t="shared" ref="AS15:AV15" ca="1" si="72">SUM(AS16:AS20)</f>
        <v>0</v>
      </c>
      <c r="AT15" s="781">
        <f t="shared" ca="1" si="72"/>
        <v>0</v>
      </c>
      <c r="AU15" s="781">
        <f t="shared" ca="1" si="72"/>
        <v>0</v>
      </c>
      <c r="AV15" s="781">
        <f t="shared" ca="1" si="72"/>
        <v>0</v>
      </c>
      <c r="AW15" s="780">
        <f t="shared" ref="AW15:AW27" ca="1" si="73">SUM(AX15:BA15)</f>
        <v>0</v>
      </c>
      <c r="AX15" s="830">
        <f t="shared" ref="AX15:BA15" ca="1" si="74">SUM(AX16:AX20)</f>
        <v>0</v>
      </c>
      <c r="AY15" s="781">
        <f t="shared" ca="1" si="74"/>
        <v>0</v>
      </c>
      <c r="AZ15" s="781">
        <f t="shared" ca="1" si="74"/>
        <v>0</v>
      </c>
      <c r="BA15" s="781">
        <f t="shared" ca="1" si="74"/>
        <v>0</v>
      </c>
      <c r="BB15" s="780">
        <f t="shared" ref="BB15:BB27" ca="1" si="75">SUM(BC15:BF15)</f>
        <v>0</v>
      </c>
      <c r="BC15" s="830">
        <f t="shared" ref="BC15:BF15" ca="1" si="76">SUM(BC16:BC20)</f>
        <v>0</v>
      </c>
      <c r="BD15" s="781">
        <f t="shared" ca="1" si="76"/>
        <v>0</v>
      </c>
      <c r="BE15" s="781">
        <f t="shared" ca="1" si="76"/>
        <v>0</v>
      </c>
      <c r="BF15" s="847">
        <f t="shared" ca="1" si="76"/>
        <v>0</v>
      </c>
      <c r="BG15" s="839"/>
      <c r="BH15" s="839"/>
      <c r="BI15" s="839"/>
      <c r="BJ15" s="839"/>
      <c r="BK15" s="839"/>
      <c r="BL15" s="839"/>
      <c r="BM15" s="839"/>
      <c r="BN15" s="839"/>
      <c r="BO15" s="839"/>
      <c r="BP15" s="839"/>
      <c r="BQ15" s="839"/>
      <c r="BR15" s="839"/>
      <c r="BS15" s="839"/>
      <c r="BT15" s="839"/>
      <c r="BU15" s="839"/>
      <c r="BV15" s="839"/>
      <c r="BW15" s="839"/>
      <c r="BX15" s="839"/>
      <c r="BY15" s="839"/>
      <c r="BZ15" s="839"/>
      <c r="CA15" s="839"/>
      <c r="CB15" s="839"/>
      <c r="CC15" s="839"/>
      <c r="CD15" s="839"/>
      <c r="CE15" s="839"/>
      <c r="CF15" s="839"/>
      <c r="CG15" s="839"/>
      <c r="CH15" s="839"/>
      <c r="CI15" s="839"/>
      <c r="CJ15" s="839"/>
      <c r="CK15" s="839"/>
      <c r="CL15" s="839"/>
      <c r="CM15" s="839"/>
      <c r="CN15" s="839"/>
      <c r="CO15" s="839"/>
      <c r="CP15" s="839"/>
      <c r="CQ15" s="839"/>
      <c r="CR15" s="839"/>
      <c r="CS15" s="839"/>
      <c r="CT15" s="839"/>
      <c r="CU15" s="839"/>
      <c r="CV15" s="839"/>
      <c r="CW15" s="839"/>
      <c r="CX15" s="839"/>
      <c r="CY15" s="839"/>
      <c r="CZ15" s="839"/>
      <c r="DA15" s="839"/>
      <c r="DB15" s="839"/>
      <c r="DC15" s="839"/>
      <c r="DD15" s="839"/>
      <c r="DE15" s="839"/>
      <c r="DF15" s="839"/>
      <c r="DG15" s="839"/>
      <c r="DH15" s="839"/>
      <c r="DI15" s="839"/>
      <c r="DJ15" s="839"/>
      <c r="DK15" s="839"/>
      <c r="DL15" s="839"/>
      <c r="DM15" s="839"/>
      <c r="DN15" s="839"/>
      <c r="DO15" s="839"/>
      <c r="DP15" s="839"/>
      <c r="DQ15" s="839"/>
      <c r="DR15" s="839"/>
      <c r="DS15" s="839"/>
      <c r="DT15" s="839"/>
      <c r="DU15" s="839"/>
      <c r="DV15" s="839"/>
      <c r="DW15" s="839"/>
      <c r="DX15" s="839"/>
      <c r="DY15" s="839"/>
      <c r="DZ15" s="839"/>
      <c r="EA15" s="839"/>
      <c r="EB15" s="839"/>
      <c r="EC15" s="839"/>
      <c r="ED15" s="839"/>
      <c r="EE15" s="839"/>
      <c r="EF15" s="839"/>
      <c r="EG15" s="839"/>
      <c r="EH15" s="839"/>
      <c r="EI15" s="839"/>
      <c r="EJ15" s="839"/>
      <c r="EK15" s="839"/>
      <c r="EL15" s="839"/>
      <c r="EM15" s="839"/>
      <c r="EN15" s="839"/>
      <c r="EO15" s="839"/>
      <c r="EP15" s="839"/>
      <c r="EQ15" s="839"/>
      <c r="ER15" s="839"/>
      <c r="ES15" s="839"/>
      <c r="ET15" s="839"/>
      <c r="EU15" s="839"/>
      <c r="EV15" s="839"/>
      <c r="EW15" s="839"/>
      <c r="EX15" s="839"/>
      <c r="EY15" s="839"/>
      <c r="EZ15" s="839"/>
      <c r="FA15" s="839"/>
      <c r="FB15" s="839"/>
      <c r="FC15" s="839"/>
      <c r="FD15" s="839"/>
      <c r="FE15" s="839"/>
      <c r="FF15" s="839"/>
      <c r="FG15" s="839"/>
      <c r="FH15" s="839"/>
      <c r="FI15" s="839"/>
      <c r="FJ15" s="839"/>
      <c r="FK15" s="839"/>
      <c r="FL15" s="839"/>
      <c r="FM15" s="839"/>
      <c r="FN15" s="839"/>
      <c r="FO15" s="839"/>
      <c r="FP15" s="839"/>
      <c r="FQ15" s="839"/>
      <c r="FR15" s="839"/>
      <c r="FS15" s="839"/>
      <c r="FT15" s="839"/>
      <c r="FU15" s="839"/>
      <c r="FV15" s="839"/>
      <c r="FW15" s="839"/>
      <c r="FX15" s="839"/>
      <c r="FY15" s="839"/>
      <c r="FZ15" s="839"/>
      <c r="GA15" s="839"/>
      <c r="GB15" s="839"/>
      <c r="GC15" s="839"/>
      <c r="GD15" s="839"/>
      <c r="GE15" s="839"/>
      <c r="GF15" s="839"/>
      <c r="GG15" s="839"/>
      <c r="GH15" s="839"/>
      <c r="GI15" s="839"/>
      <c r="GJ15" s="839"/>
    </row>
    <row r="16" spans="1:192" s="739" customFormat="1" ht="17.25" customHeight="1" outlineLevel="2">
      <c r="A16" s="758"/>
      <c r="B16" s="783" t="s">
        <v>700</v>
      </c>
      <c r="C16" s="773">
        <f t="shared" ref="C16:C27" si="77">SUM(D16,I16,N16,S16,X16,AC16,AH16,AM16,AR16,AW16,BB16)</f>
        <v>3017.7958487999999</v>
      </c>
      <c r="D16" s="761">
        <f t="shared" ref="D16:D20" si="78">SUM(E16:H16)</f>
        <v>0</v>
      </c>
      <c r="E16" s="773">
        <f>'14.增值税计算表'!E13*(1+'2.税率表'!$D$13+'2.税率表'!$D$14+'2.税率表'!$D$17)</f>
        <v>0</v>
      </c>
      <c r="F16" s="773">
        <f>'14.增值税计算表'!F13*(1+'2.税率表'!$D$13+'2.税率表'!$D$14+'2.税率表'!$D$17)</f>
        <v>0</v>
      </c>
      <c r="G16" s="773">
        <f>'14.增值税计算表'!G13*(1+'2.税率表'!$D$13+'2.税率表'!$D$14+'2.税率表'!$D$17)</f>
        <v>0</v>
      </c>
      <c r="H16" s="774">
        <f>'14.增值税计算表'!H13*(1+'2.税率表'!$D$13+'2.税率表'!$D$14+'2.税率表'!$D$17)</f>
        <v>0</v>
      </c>
      <c r="I16" s="761">
        <f t="shared" ref="I16:I20" si="79">SUM(J16:M16)</f>
        <v>2083.681908</v>
      </c>
      <c r="J16" s="831">
        <f>'14.增值税计算表'!I13*(1+'2.税率表'!$D$13+'2.税率表'!$D$14+'2.税率表'!$D$17)</f>
        <v>0</v>
      </c>
      <c r="K16" s="775">
        <f>'14.增值税计算表'!J13*(1+'2.税率表'!$D$13+'2.税率表'!$D$14+'2.税率表'!$D$17)</f>
        <v>618.50250000000005</v>
      </c>
      <c r="L16" s="775">
        <f>'14.增值税计算表'!K13*(1+'2.税率表'!$D$13+'2.税率表'!$D$14+'2.税率表'!$D$17)</f>
        <v>908.31509999999992</v>
      </c>
      <c r="M16" s="775">
        <f>'14.增值税计算表'!L13*(1+'2.税率表'!$D$13+'2.税率表'!$D$14+'2.税率表'!$D$17)</f>
        <v>556.86430800000005</v>
      </c>
      <c r="N16" s="761">
        <f t="shared" si="59"/>
        <v>898.66594080000004</v>
      </c>
      <c r="O16" s="831">
        <f>'14.增值税计算表'!M13*(1+'2.税率表'!$D$13+'2.税率表'!$D$14+'2.税率表'!$D$17)</f>
        <v>407.32221816000003</v>
      </c>
      <c r="P16" s="775">
        <f>'14.增值税计算表'!N13*(1+'2.税率表'!$D$13+'2.税率表'!$D$14+'2.税率表'!$D$17)</f>
        <v>269.68452264000001</v>
      </c>
      <c r="Q16" s="775">
        <f>'14.增值税计算表'!O13*(1+'2.税率表'!$D$13+'2.税率表'!$D$14+'2.税率表'!$D$17)</f>
        <v>152.76240000000001</v>
      </c>
      <c r="R16" s="775">
        <f>'14.增值税计算表'!P13*(1+'2.税率表'!$D$13+'2.税率表'!$D$14+'2.税率表'!$D$17)</f>
        <v>68.896800000000013</v>
      </c>
      <c r="S16" s="761">
        <f t="shared" si="61"/>
        <v>35.447999999999993</v>
      </c>
      <c r="T16" s="831">
        <f>'14.增值税计算表'!Q13*(1+'2.税率表'!$D$13+'2.税率表'!$D$14+'2.税率表'!$D$17)</f>
        <v>35.447999999999993</v>
      </c>
      <c r="U16" s="775">
        <f>'14.增值税计算表'!R13*(1+'2.税率表'!$D$13+'2.税率表'!$D$14+'2.税率表'!$D$17)</f>
        <v>0</v>
      </c>
      <c r="V16" s="775">
        <f>'14.增值税计算表'!S13*(1+'2.税率表'!$D$13+'2.税率表'!$D$14+'2.税率表'!$D$17)</f>
        <v>0</v>
      </c>
      <c r="W16" s="775">
        <f>'14.增值税计算表'!T13*(1+'2.税率表'!$D$13+'2.税率表'!$D$14+'2.税率表'!$D$17)</f>
        <v>0</v>
      </c>
      <c r="X16" s="761">
        <f t="shared" si="63"/>
        <v>0</v>
      </c>
      <c r="Y16" s="831">
        <f>'14.增值税计算表'!U13*(1+'2.税率表'!$D$13+'2.税率表'!$D$14+'2.税率表'!$D$17)</f>
        <v>0</v>
      </c>
      <c r="Z16" s="775">
        <f>'14.增值税计算表'!V13*(1+'2.税率表'!$D$13+'2.税率表'!$D$14+'2.税率表'!$D$17)</f>
        <v>0</v>
      </c>
      <c r="AA16" s="775">
        <f>'14.增值税计算表'!W13*(1+'2.税率表'!$D$13+'2.税率表'!$D$14+'2.税率表'!$D$17)</f>
        <v>0</v>
      </c>
      <c r="AB16" s="775">
        <f>'14.增值税计算表'!X13*(1+'2.税率表'!$D$13+'2.税率表'!$D$14+'2.税率表'!$D$17)</f>
        <v>0</v>
      </c>
      <c r="AC16" s="761">
        <f t="shared" si="65"/>
        <v>0</v>
      </c>
      <c r="AD16" s="831">
        <f>'14.增值税计算表'!Y13*(1+'2.税率表'!$D$13+'2.税率表'!$D$14+'2.税率表'!$D$17)</f>
        <v>0</v>
      </c>
      <c r="AE16" s="775">
        <f>'14.增值税计算表'!Z13*(1+'2.税率表'!$D$13+'2.税率表'!$D$14+'2.税率表'!$D$17)</f>
        <v>0</v>
      </c>
      <c r="AF16" s="775">
        <f>'14.增值税计算表'!AA13*(1+'2.税率表'!$D$13+'2.税率表'!$D$14+'2.税率表'!$D$17)</f>
        <v>0</v>
      </c>
      <c r="AG16" s="775">
        <f>'14.增值税计算表'!AB13*(1+'2.税率表'!$D$13+'2.税率表'!$D$14+'2.税率表'!$D$17)</f>
        <v>0</v>
      </c>
      <c r="AH16" s="761">
        <f t="shared" si="67"/>
        <v>0</v>
      </c>
      <c r="AI16" s="831">
        <f>'14.增值税计算表'!AC13*(1+'2.税率表'!$D$13+'2.税率表'!$D$14+'2.税率表'!$D$17)</f>
        <v>0</v>
      </c>
      <c r="AJ16" s="775">
        <f>'14.增值税计算表'!AD13*(1+'2.税率表'!$D$13+'2.税率表'!$D$14+'2.税率表'!$D$17)</f>
        <v>0</v>
      </c>
      <c r="AK16" s="775">
        <f>'14.增值税计算表'!AE13*(1+'2.税率表'!$D$13+'2.税率表'!$D$14+'2.税率表'!$D$17)</f>
        <v>0</v>
      </c>
      <c r="AL16" s="775">
        <f>'14.增值税计算表'!AF13*(1+'2.税率表'!$D$13+'2.税率表'!$D$14+'2.税率表'!$D$17)</f>
        <v>0</v>
      </c>
      <c r="AM16" s="761">
        <f t="shared" si="69"/>
        <v>0</v>
      </c>
      <c r="AN16" s="831">
        <f>'14.增值税计算表'!AG13*(1+'2.税率表'!$D$13+'2.税率表'!$D$14+'2.税率表'!$D$17)</f>
        <v>0</v>
      </c>
      <c r="AO16" s="775">
        <f>'14.增值税计算表'!AH13*(1+'2.税率表'!$D$13+'2.税率表'!$D$14+'2.税率表'!$D$17)</f>
        <v>0</v>
      </c>
      <c r="AP16" s="775">
        <f>'14.增值税计算表'!AI13*(1+'2.税率表'!$D$13+'2.税率表'!$D$14+'2.税率表'!$D$17)</f>
        <v>0</v>
      </c>
      <c r="AQ16" s="775">
        <f>'14.增值税计算表'!AJ13*(1+'2.税率表'!$D$13+'2.税率表'!$D$14+'2.税率表'!$D$17)</f>
        <v>0</v>
      </c>
      <c r="AR16" s="761">
        <f t="shared" si="71"/>
        <v>0</v>
      </c>
      <c r="AS16" s="831">
        <f>'14.增值税计算表'!AK13*(1+'2.税率表'!$D$13+'2.税率表'!$D$14+'2.税率表'!$D$17)</f>
        <v>0</v>
      </c>
      <c r="AT16" s="775">
        <f>'14.增值税计算表'!AL13*(1+'2.税率表'!$D$13+'2.税率表'!$D$14+'2.税率表'!$D$17)</f>
        <v>0</v>
      </c>
      <c r="AU16" s="775">
        <f>'14.增值税计算表'!AM13*(1+'2.税率表'!$D$13+'2.税率表'!$D$14+'2.税率表'!$D$17)</f>
        <v>0</v>
      </c>
      <c r="AV16" s="775">
        <f>'14.增值税计算表'!AN13*(1+'2.税率表'!$D$13+'2.税率表'!$D$14+'2.税率表'!$D$17)</f>
        <v>0</v>
      </c>
      <c r="AW16" s="761">
        <f t="shared" si="73"/>
        <v>0</v>
      </c>
      <c r="AX16" s="831">
        <f>'14.增值税计算表'!AO13*(1+'2.税率表'!$D$13+'2.税率表'!$D$14+'2.税率表'!$D$17)</f>
        <v>0</v>
      </c>
      <c r="AY16" s="775">
        <f>'14.增值税计算表'!AP13*(1+'2.税率表'!$D$13+'2.税率表'!$D$14+'2.税率表'!$D$17)</f>
        <v>0</v>
      </c>
      <c r="AZ16" s="775">
        <f>'14.增值税计算表'!AQ13*(1+'2.税率表'!$D$13+'2.税率表'!$D$14+'2.税率表'!$D$17)</f>
        <v>0</v>
      </c>
      <c r="BA16" s="775">
        <f>'14.增值税计算表'!AR13*(1+'2.税率表'!$D$13+'2.税率表'!$D$14+'2.税率表'!$D$17)</f>
        <v>0</v>
      </c>
      <c r="BB16" s="761">
        <f t="shared" si="75"/>
        <v>0</v>
      </c>
      <c r="BC16" s="831">
        <f>'14.增值税计算表'!AS13*(1+'2.税率表'!$D$13+'2.税率表'!$D$14+'2.税率表'!$D$17)</f>
        <v>0</v>
      </c>
      <c r="BD16" s="775">
        <f>'14.增值税计算表'!AT13*(1+'2.税率表'!$D$13+'2.税率表'!$D$14+'2.税率表'!$D$17)</f>
        <v>0</v>
      </c>
      <c r="BE16" s="775">
        <f>'14.增值税计算表'!AU13*(1+'2.税率表'!$D$13+'2.税率表'!$D$14+'2.税率表'!$D$17)</f>
        <v>0</v>
      </c>
      <c r="BF16" s="846">
        <f>'14.增值税计算表'!AV13*(1+'2.税率表'!$D$13+'2.税率表'!$D$14+'2.税率表'!$D$17)</f>
        <v>0</v>
      </c>
      <c r="BG16" s="784"/>
      <c r="BH16" s="784"/>
      <c r="BI16" s="784"/>
      <c r="BJ16" s="784"/>
      <c r="BK16" s="784"/>
      <c r="BL16" s="784"/>
      <c r="BM16" s="784"/>
      <c r="BN16" s="784"/>
      <c r="BO16" s="784"/>
      <c r="BP16" s="784"/>
      <c r="BQ16" s="784"/>
      <c r="BR16" s="784"/>
      <c r="BS16" s="784"/>
      <c r="BT16" s="784"/>
      <c r="BU16" s="784"/>
      <c r="BV16" s="784"/>
      <c r="BW16" s="784"/>
      <c r="BX16" s="784"/>
      <c r="BY16" s="784"/>
      <c r="BZ16" s="784"/>
      <c r="CA16" s="784"/>
      <c r="CB16" s="784"/>
      <c r="CC16" s="784"/>
      <c r="CD16" s="784"/>
      <c r="CE16" s="784"/>
      <c r="CF16" s="784"/>
      <c r="CG16" s="784"/>
      <c r="CH16" s="784"/>
      <c r="CI16" s="784"/>
      <c r="CJ16" s="784"/>
      <c r="CK16" s="784"/>
      <c r="CL16" s="784"/>
      <c r="CM16" s="784"/>
      <c r="CN16" s="784"/>
      <c r="CO16" s="784"/>
      <c r="CP16" s="784"/>
      <c r="CQ16" s="784"/>
      <c r="CR16" s="784"/>
      <c r="CS16" s="784"/>
      <c r="CT16" s="784"/>
      <c r="CU16" s="784"/>
      <c r="CV16" s="784"/>
      <c r="CW16" s="784"/>
      <c r="CX16" s="784"/>
      <c r="CY16" s="784"/>
      <c r="CZ16" s="784"/>
      <c r="DA16" s="784"/>
      <c r="DB16" s="784"/>
      <c r="DC16" s="784"/>
      <c r="DD16" s="784"/>
      <c r="DE16" s="784"/>
      <c r="DF16" s="784"/>
      <c r="DG16" s="784"/>
      <c r="DH16" s="784"/>
      <c r="DI16" s="784"/>
      <c r="DJ16" s="784"/>
      <c r="DK16" s="784"/>
      <c r="DL16" s="784"/>
      <c r="DM16" s="784"/>
      <c r="DN16" s="784"/>
      <c r="DO16" s="784"/>
      <c r="DP16" s="784"/>
      <c r="DQ16" s="784"/>
      <c r="DR16" s="784"/>
      <c r="DS16" s="784"/>
      <c r="DT16" s="784"/>
      <c r="DU16" s="784"/>
      <c r="DV16" s="784"/>
      <c r="DW16" s="784"/>
      <c r="DX16" s="784"/>
      <c r="DY16" s="784"/>
      <c r="DZ16" s="784"/>
      <c r="EA16" s="784"/>
      <c r="EB16" s="784"/>
      <c r="EC16" s="784"/>
      <c r="ED16" s="784"/>
      <c r="EE16" s="784"/>
      <c r="EF16" s="784"/>
      <c r="EG16" s="784"/>
      <c r="EH16" s="784"/>
      <c r="EI16" s="784"/>
      <c r="EJ16" s="784"/>
      <c r="EK16" s="784"/>
      <c r="EL16" s="784"/>
      <c r="EM16" s="784"/>
      <c r="EN16" s="784"/>
      <c r="EO16" s="784"/>
      <c r="EP16" s="784"/>
      <c r="EQ16" s="784"/>
      <c r="ER16" s="784"/>
      <c r="ES16" s="784"/>
      <c r="ET16" s="784"/>
      <c r="EU16" s="784"/>
      <c r="EV16" s="784"/>
      <c r="EW16" s="784"/>
      <c r="EX16" s="784"/>
      <c r="EY16" s="784"/>
      <c r="EZ16" s="784"/>
      <c r="FA16" s="784"/>
      <c r="FB16" s="784"/>
      <c r="FC16" s="784"/>
      <c r="FD16" s="784"/>
      <c r="FE16" s="784"/>
      <c r="FF16" s="784"/>
      <c r="FG16" s="784"/>
      <c r="FH16" s="784"/>
      <c r="FI16" s="784"/>
      <c r="FJ16" s="784"/>
      <c r="FK16" s="784"/>
      <c r="FL16" s="784"/>
      <c r="FM16" s="784"/>
      <c r="FN16" s="784"/>
      <c r="FO16" s="784"/>
      <c r="FP16" s="784"/>
      <c r="FQ16" s="784"/>
      <c r="FR16" s="784"/>
      <c r="FS16" s="784"/>
      <c r="FT16" s="784"/>
      <c r="FU16" s="784"/>
      <c r="FV16" s="784"/>
      <c r="FW16" s="784"/>
      <c r="FX16" s="784"/>
      <c r="FY16" s="784"/>
      <c r="FZ16" s="784"/>
      <c r="GA16" s="784"/>
      <c r="GB16" s="784"/>
      <c r="GC16" s="784"/>
      <c r="GD16" s="784"/>
      <c r="GE16" s="784"/>
      <c r="GF16" s="784"/>
      <c r="GG16" s="784"/>
      <c r="GH16" s="784"/>
      <c r="GI16" s="784"/>
      <c r="GJ16" s="784"/>
    </row>
    <row r="17" spans="1:192" s="739" customFormat="1" ht="17.25" customHeight="1" outlineLevel="2">
      <c r="A17" s="758"/>
      <c r="B17" s="783" t="s">
        <v>701</v>
      </c>
      <c r="C17" s="773">
        <f t="shared" si="77"/>
        <v>1890.1599083636363</v>
      </c>
      <c r="D17" s="761">
        <f t="shared" si="78"/>
        <v>0</v>
      </c>
      <c r="E17" s="773">
        <f>SUM('15.土地增值税'!D118:D123)</f>
        <v>0</v>
      </c>
      <c r="F17" s="773">
        <f>SUM('15.土地增值税'!E118:E123)</f>
        <v>0</v>
      </c>
      <c r="G17" s="773">
        <f>SUM('15.土地增值税'!F118:F123)</f>
        <v>0</v>
      </c>
      <c r="H17" s="773">
        <f>SUM('15.土地增值税'!G118:G123)</f>
        <v>0</v>
      </c>
      <c r="I17" s="761">
        <f t="shared" si="79"/>
        <v>1380.5686331973031</v>
      </c>
      <c r="J17" s="773">
        <f>SUM('15.土地增值税'!H118:H123)</f>
        <v>0</v>
      </c>
      <c r="K17" s="773">
        <f>SUM('15.土地增值税'!I118:I123)</f>
        <v>553.41650817648906</v>
      </c>
      <c r="L17" s="773">
        <f>SUM('15.土地增值税'!J118:J123)</f>
        <v>575.55316850354859</v>
      </c>
      <c r="M17" s="773">
        <f>SUM('15.土地增值税'!K118:K123)</f>
        <v>251.59895651726555</v>
      </c>
      <c r="N17" s="761">
        <f t="shared" si="59"/>
        <v>487.38884935998931</v>
      </c>
      <c r="O17" s="773">
        <f>SUM('15.土地增值税'!L118:L123)</f>
        <v>256.63093564761084</v>
      </c>
      <c r="P17" s="773">
        <f>SUM('15.土地增值税'!M118:M123)</f>
        <v>131.32050903467777</v>
      </c>
      <c r="Q17" s="773">
        <f>SUM('15.土地增值税'!N118:N123)</f>
        <v>66.133765968185074</v>
      </c>
      <c r="R17" s="773">
        <f>SUM('15.土地增值税'!O118:O123)</f>
        <v>33.303638709515639</v>
      </c>
      <c r="S17" s="761">
        <f t="shared" si="61"/>
        <v>22.202425806343754</v>
      </c>
      <c r="T17" s="773">
        <f>SUM('15.土地增值税'!P118:P123)</f>
        <v>22.202425806343754</v>
      </c>
      <c r="U17" s="773">
        <f>SUM('15.土地增值税'!Q118:Q123)</f>
        <v>0</v>
      </c>
      <c r="V17" s="773">
        <f>SUM('15.土地增值税'!R118:R123)</f>
        <v>0</v>
      </c>
      <c r="W17" s="773">
        <f>SUM('15.土地增值税'!S118:S123)</f>
        <v>0</v>
      </c>
      <c r="X17" s="761">
        <f t="shared" si="63"/>
        <v>0</v>
      </c>
      <c r="Y17" s="773">
        <f>SUM('15.土地增值税'!T118:T123)</f>
        <v>0</v>
      </c>
      <c r="Z17" s="773">
        <f>SUM('15.土地增值税'!U118:U123)</f>
        <v>0</v>
      </c>
      <c r="AA17" s="773">
        <f>SUM('15.土地增值税'!V118:V123)</f>
        <v>0</v>
      </c>
      <c r="AB17" s="773">
        <f>SUM('15.土地增值税'!W118:W123)</f>
        <v>0</v>
      </c>
      <c r="AC17" s="761">
        <f t="shared" si="65"/>
        <v>0</v>
      </c>
      <c r="AD17" s="773">
        <f>SUM('15.土地增值税'!X118:X123)</f>
        <v>0</v>
      </c>
      <c r="AE17" s="773">
        <f>SUM('15.土地增值税'!Y118:Y123)</f>
        <v>0</v>
      </c>
      <c r="AF17" s="773">
        <f>SUM('15.土地增值税'!Z118:Z123)</f>
        <v>0</v>
      </c>
      <c r="AG17" s="773">
        <f>SUM('15.土地增值税'!AA118:AA123)</f>
        <v>0</v>
      </c>
      <c r="AH17" s="761">
        <f t="shared" si="67"/>
        <v>0</v>
      </c>
      <c r="AI17" s="773">
        <f>SUM('15.土地增值税'!AB118:AB123)</f>
        <v>0</v>
      </c>
      <c r="AJ17" s="773">
        <f>SUM('15.土地增值税'!AC118:AC123)</f>
        <v>0</v>
      </c>
      <c r="AK17" s="773">
        <f>SUM('15.土地增值税'!AD118:AD123)</f>
        <v>0</v>
      </c>
      <c r="AL17" s="773">
        <f>SUM('15.土地增值税'!AE118:AE123)</f>
        <v>0</v>
      </c>
      <c r="AM17" s="761">
        <f t="shared" si="69"/>
        <v>0</v>
      </c>
      <c r="AN17" s="773">
        <f>SUM('15.土地增值税'!AF118:AF123)</f>
        <v>0</v>
      </c>
      <c r="AO17" s="773">
        <f>SUM('15.土地增值税'!AG118:AG123)</f>
        <v>0</v>
      </c>
      <c r="AP17" s="773">
        <f>SUM('15.土地增值税'!AH118:AH123)</f>
        <v>0</v>
      </c>
      <c r="AQ17" s="773">
        <f>SUM('15.土地增值税'!AI118:AI123)</f>
        <v>0</v>
      </c>
      <c r="AR17" s="761">
        <f t="shared" si="71"/>
        <v>0</v>
      </c>
      <c r="AS17" s="773">
        <f>SUM('15.土地增值税'!AJ118:AJ123)</f>
        <v>0</v>
      </c>
      <c r="AT17" s="773">
        <f>SUM('15.土地增值税'!AK118:AK123)</f>
        <v>0</v>
      </c>
      <c r="AU17" s="773">
        <f>SUM('15.土地增值税'!AL118:AL123)</f>
        <v>0</v>
      </c>
      <c r="AV17" s="773">
        <f>SUM('15.土地增值税'!AM118:AM123)</f>
        <v>0</v>
      </c>
      <c r="AW17" s="761">
        <f t="shared" si="73"/>
        <v>0</v>
      </c>
      <c r="AX17" s="773">
        <f>SUM('15.土地增值税'!AN118:AN123)</f>
        <v>0</v>
      </c>
      <c r="AY17" s="773">
        <f>SUM('15.土地增值税'!AO118:AO123)</f>
        <v>0</v>
      </c>
      <c r="AZ17" s="773">
        <f>SUM('15.土地增值税'!AP118:AP123)</f>
        <v>0</v>
      </c>
      <c r="BA17" s="773">
        <f>SUM('15.土地增值税'!AQ118:AQ123)</f>
        <v>0</v>
      </c>
      <c r="BB17" s="761">
        <f t="shared" si="75"/>
        <v>0</v>
      </c>
      <c r="BC17" s="773">
        <f>SUM('15.土地增值税'!AR118:AR123)</f>
        <v>0</v>
      </c>
      <c r="BD17" s="773">
        <f>SUM('15.土地增值税'!AS118:AS123)</f>
        <v>0</v>
      </c>
      <c r="BE17" s="773">
        <f>SUM('15.土地增值税'!AT118:AT123)</f>
        <v>0</v>
      </c>
      <c r="BF17" s="845">
        <f>SUM('15.土地增值税'!AU118:AU123)</f>
        <v>0</v>
      </c>
      <c r="BG17" s="784"/>
      <c r="BH17" s="784"/>
      <c r="BI17" s="784"/>
      <c r="BJ17" s="784"/>
      <c r="BK17" s="784"/>
      <c r="BL17" s="784"/>
      <c r="BM17" s="784"/>
      <c r="BN17" s="784"/>
      <c r="BO17" s="784"/>
      <c r="BP17" s="784"/>
      <c r="BQ17" s="784"/>
      <c r="BR17" s="784"/>
      <c r="BS17" s="784"/>
      <c r="BT17" s="784"/>
      <c r="BU17" s="784"/>
      <c r="BV17" s="784"/>
      <c r="BW17" s="784"/>
      <c r="BX17" s="784"/>
      <c r="BY17" s="784"/>
      <c r="BZ17" s="784"/>
      <c r="CA17" s="784"/>
      <c r="CB17" s="784"/>
      <c r="CC17" s="784"/>
      <c r="CD17" s="784"/>
      <c r="CE17" s="784"/>
      <c r="CF17" s="784"/>
      <c r="CG17" s="784"/>
      <c r="CH17" s="784"/>
      <c r="CI17" s="784"/>
      <c r="CJ17" s="784"/>
      <c r="CK17" s="784"/>
      <c r="CL17" s="784"/>
      <c r="CM17" s="784"/>
      <c r="CN17" s="784"/>
      <c r="CO17" s="784"/>
      <c r="CP17" s="784"/>
      <c r="CQ17" s="784"/>
      <c r="CR17" s="784"/>
      <c r="CS17" s="784"/>
      <c r="CT17" s="784"/>
      <c r="CU17" s="784"/>
      <c r="CV17" s="784"/>
      <c r="CW17" s="784"/>
      <c r="CX17" s="784"/>
      <c r="CY17" s="784"/>
      <c r="CZ17" s="784"/>
      <c r="DA17" s="784"/>
      <c r="DB17" s="784"/>
      <c r="DC17" s="784"/>
      <c r="DD17" s="784"/>
      <c r="DE17" s="784"/>
      <c r="DF17" s="784"/>
      <c r="DG17" s="784"/>
      <c r="DH17" s="784"/>
      <c r="DI17" s="784"/>
      <c r="DJ17" s="784"/>
      <c r="DK17" s="784"/>
      <c r="DL17" s="784"/>
      <c r="DM17" s="784"/>
      <c r="DN17" s="784"/>
      <c r="DO17" s="784"/>
      <c r="DP17" s="784"/>
      <c r="DQ17" s="784"/>
      <c r="DR17" s="784"/>
      <c r="DS17" s="784"/>
      <c r="DT17" s="784"/>
      <c r="DU17" s="784"/>
      <c r="DV17" s="784"/>
      <c r="DW17" s="784"/>
      <c r="DX17" s="784"/>
      <c r="DY17" s="784"/>
      <c r="DZ17" s="784"/>
      <c r="EA17" s="784"/>
      <c r="EB17" s="784"/>
      <c r="EC17" s="784"/>
      <c r="ED17" s="784"/>
      <c r="EE17" s="784"/>
      <c r="EF17" s="784"/>
      <c r="EG17" s="784"/>
      <c r="EH17" s="784"/>
      <c r="EI17" s="784"/>
      <c r="EJ17" s="784"/>
      <c r="EK17" s="784"/>
      <c r="EL17" s="784"/>
      <c r="EM17" s="784"/>
      <c r="EN17" s="784"/>
      <c r="EO17" s="784"/>
      <c r="EP17" s="784"/>
      <c r="EQ17" s="784"/>
      <c r="ER17" s="784"/>
      <c r="ES17" s="784"/>
      <c r="ET17" s="784"/>
      <c r="EU17" s="784"/>
      <c r="EV17" s="784"/>
      <c r="EW17" s="784"/>
      <c r="EX17" s="784"/>
      <c r="EY17" s="784"/>
      <c r="EZ17" s="784"/>
      <c r="FA17" s="784"/>
      <c r="FB17" s="784"/>
      <c r="FC17" s="784"/>
      <c r="FD17" s="784"/>
      <c r="FE17" s="784"/>
      <c r="FF17" s="784"/>
      <c r="FG17" s="784"/>
      <c r="FH17" s="784"/>
      <c r="FI17" s="784"/>
      <c r="FJ17" s="784"/>
      <c r="FK17" s="784"/>
      <c r="FL17" s="784"/>
      <c r="FM17" s="784"/>
      <c r="FN17" s="784"/>
      <c r="FO17" s="784"/>
      <c r="FP17" s="784"/>
      <c r="FQ17" s="784"/>
      <c r="FR17" s="784"/>
      <c r="FS17" s="784"/>
      <c r="FT17" s="784"/>
      <c r="FU17" s="784"/>
      <c r="FV17" s="784"/>
      <c r="FW17" s="784"/>
      <c r="FX17" s="784"/>
      <c r="FY17" s="784"/>
      <c r="FZ17" s="784"/>
      <c r="GA17" s="784"/>
      <c r="GB17" s="784"/>
      <c r="GC17" s="784"/>
      <c r="GD17" s="784"/>
      <c r="GE17" s="784"/>
      <c r="GF17" s="784"/>
      <c r="GG17" s="784"/>
      <c r="GH17" s="784"/>
      <c r="GI17" s="784"/>
      <c r="GJ17" s="784"/>
    </row>
    <row r="18" spans="1:192" s="739" customFormat="1" ht="17.25" customHeight="1" outlineLevel="2">
      <c r="A18" s="784"/>
      <c r="B18" s="783" t="s">
        <v>702</v>
      </c>
      <c r="C18" s="773">
        <f t="shared" ca="1" si="77"/>
        <v>7078.6204612031397</v>
      </c>
      <c r="D18" s="761">
        <f t="shared" ca="1" si="78"/>
        <v>0</v>
      </c>
      <c r="E18" s="785">
        <f ca="1">'16.所得税计算表'!E254</f>
        <v>0</v>
      </c>
      <c r="F18" s="785">
        <f ca="1">'16.所得税计算表'!F254</f>
        <v>0</v>
      </c>
      <c r="G18" s="785">
        <f ca="1">'16.所得税计算表'!G254</f>
        <v>0</v>
      </c>
      <c r="H18" s="786">
        <f ca="1">'16.所得税计算表'!H254</f>
        <v>0</v>
      </c>
      <c r="I18" s="761">
        <f t="shared" ca="1" si="79"/>
        <v>1186.9222707006738</v>
      </c>
      <c r="J18" s="832">
        <f ca="1">'16.所得税计算表'!I254</f>
        <v>0</v>
      </c>
      <c r="K18" s="785">
        <f ca="1">'16.所得税计算表'!J254</f>
        <v>229.46743545587765</v>
      </c>
      <c r="L18" s="785">
        <f ca="1">'16.所得税计算表'!K254</f>
        <v>539.8648828741126</v>
      </c>
      <c r="M18" s="785">
        <f ca="1">'16.所得税计算表'!L254</f>
        <v>417.58995237068359</v>
      </c>
      <c r="N18" s="761">
        <f t="shared" ca="1" si="59"/>
        <v>5786.1355641554128</v>
      </c>
      <c r="O18" s="832">
        <f ca="1">'16.所得税计算表'!M254</f>
        <v>0</v>
      </c>
      <c r="P18" s="785">
        <f ca="1">'16.所得税计算表'!N254</f>
        <v>0</v>
      </c>
      <c r="Q18" s="785">
        <f ca="1">'16.所得税计算表'!O254</f>
        <v>0</v>
      </c>
      <c r="R18" s="785">
        <f ca="1">'16.所得税计算表'!P254</f>
        <v>5786.1355641554128</v>
      </c>
      <c r="S18" s="761">
        <f t="shared" ca="1" si="61"/>
        <v>105.56262634705311</v>
      </c>
      <c r="T18" s="832">
        <f ca="1">'16.所得税计算表'!Q254</f>
        <v>105.56262634705311</v>
      </c>
      <c r="U18" s="785">
        <f ca="1">'16.所得税计算表'!R254</f>
        <v>0</v>
      </c>
      <c r="V18" s="785">
        <f ca="1">'16.所得税计算表'!S254</f>
        <v>0</v>
      </c>
      <c r="W18" s="785">
        <f ca="1">'16.所得税计算表'!T254</f>
        <v>0</v>
      </c>
      <c r="X18" s="761">
        <f t="shared" ca="1" si="63"/>
        <v>0</v>
      </c>
      <c r="Y18" s="832">
        <f ca="1">'16.所得税计算表'!U254</f>
        <v>0</v>
      </c>
      <c r="Z18" s="785">
        <f ca="1">'16.所得税计算表'!V254</f>
        <v>0</v>
      </c>
      <c r="AA18" s="785">
        <f ca="1">'16.所得税计算表'!W254</f>
        <v>0</v>
      </c>
      <c r="AB18" s="785">
        <f ca="1">'16.所得税计算表'!X254</f>
        <v>0</v>
      </c>
      <c r="AC18" s="761">
        <f t="shared" ca="1" si="65"/>
        <v>0</v>
      </c>
      <c r="AD18" s="832">
        <f ca="1">'16.所得税计算表'!Y254</f>
        <v>0</v>
      </c>
      <c r="AE18" s="785">
        <f ca="1">'16.所得税计算表'!Z254</f>
        <v>0</v>
      </c>
      <c r="AF18" s="785">
        <f ca="1">'16.所得税计算表'!AA254</f>
        <v>0</v>
      </c>
      <c r="AG18" s="785">
        <f ca="1">'16.所得税计算表'!AB254</f>
        <v>0</v>
      </c>
      <c r="AH18" s="761">
        <f t="shared" ca="1" si="67"/>
        <v>0</v>
      </c>
      <c r="AI18" s="832">
        <f ca="1">'16.所得税计算表'!AC254</f>
        <v>0</v>
      </c>
      <c r="AJ18" s="785">
        <f ca="1">'16.所得税计算表'!AD254</f>
        <v>0</v>
      </c>
      <c r="AK18" s="785">
        <f ca="1">'16.所得税计算表'!AE254</f>
        <v>0</v>
      </c>
      <c r="AL18" s="785">
        <f ca="1">'16.所得税计算表'!AF254</f>
        <v>0</v>
      </c>
      <c r="AM18" s="761">
        <f t="shared" ca="1" si="69"/>
        <v>0</v>
      </c>
      <c r="AN18" s="832">
        <f ca="1">'16.所得税计算表'!AG254</f>
        <v>0</v>
      </c>
      <c r="AO18" s="785">
        <f ca="1">'16.所得税计算表'!AH254</f>
        <v>0</v>
      </c>
      <c r="AP18" s="785">
        <f ca="1">'16.所得税计算表'!AI254</f>
        <v>0</v>
      </c>
      <c r="AQ18" s="785">
        <f ca="1">'16.所得税计算表'!AJ254</f>
        <v>0</v>
      </c>
      <c r="AR18" s="761">
        <f t="shared" ca="1" si="71"/>
        <v>0</v>
      </c>
      <c r="AS18" s="832">
        <f ca="1">'16.所得税计算表'!AK254</f>
        <v>0</v>
      </c>
      <c r="AT18" s="785">
        <f ca="1">'16.所得税计算表'!AL254</f>
        <v>0</v>
      </c>
      <c r="AU18" s="785">
        <f ca="1">'16.所得税计算表'!AM254</f>
        <v>0</v>
      </c>
      <c r="AV18" s="785">
        <f ca="1">'16.所得税计算表'!AN254</f>
        <v>0</v>
      </c>
      <c r="AW18" s="761">
        <f t="shared" ca="1" si="73"/>
        <v>0</v>
      </c>
      <c r="AX18" s="832">
        <f ca="1">'16.所得税计算表'!AO254</f>
        <v>0</v>
      </c>
      <c r="AY18" s="785">
        <f ca="1">'16.所得税计算表'!AP254</f>
        <v>0</v>
      </c>
      <c r="AZ18" s="785">
        <f ca="1">'16.所得税计算表'!AQ254</f>
        <v>0</v>
      </c>
      <c r="BA18" s="785">
        <f ca="1">'16.所得税计算表'!AR254</f>
        <v>0</v>
      </c>
      <c r="BB18" s="761">
        <f t="shared" ca="1" si="75"/>
        <v>0</v>
      </c>
      <c r="BC18" s="832">
        <f ca="1">'16.所得税计算表'!AS254</f>
        <v>0</v>
      </c>
      <c r="BD18" s="785">
        <f ca="1">'16.所得税计算表'!AT254</f>
        <v>0</v>
      </c>
      <c r="BE18" s="785">
        <f ca="1">'16.所得税计算表'!AU254</f>
        <v>0</v>
      </c>
      <c r="BF18" s="848">
        <f ca="1">'16.所得税计算表'!AV254</f>
        <v>0</v>
      </c>
      <c r="BG18" s="784"/>
      <c r="BH18" s="784"/>
      <c r="BI18" s="784"/>
      <c r="BJ18" s="784"/>
      <c r="BK18" s="784"/>
      <c r="BL18" s="784"/>
      <c r="BM18" s="784"/>
      <c r="BN18" s="784"/>
      <c r="BO18" s="784"/>
      <c r="BP18" s="784"/>
      <c r="BQ18" s="784"/>
      <c r="BR18" s="784"/>
      <c r="BS18" s="784"/>
      <c r="BT18" s="784"/>
      <c r="BU18" s="784"/>
      <c r="BV18" s="784"/>
      <c r="BW18" s="784"/>
      <c r="BX18" s="784"/>
      <c r="BY18" s="784"/>
      <c r="BZ18" s="784"/>
      <c r="CA18" s="784"/>
      <c r="CB18" s="784"/>
      <c r="CC18" s="784"/>
      <c r="CD18" s="784"/>
      <c r="CE18" s="784"/>
      <c r="CF18" s="784"/>
      <c r="CG18" s="784"/>
      <c r="CH18" s="784"/>
      <c r="CI18" s="784"/>
      <c r="CJ18" s="784"/>
      <c r="CK18" s="784"/>
      <c r="CL18" s="784"/>
      <c r="CM18" s="784"/>
      <c r="CN18" s="784"/>
      <c r="CO18" s="784"/>
      <c r="CP18" s="784"/>
      <c r="CQ18" s="784"/>
      <c r="CR18" s="784"/>
      <c r="CS18" s="784"/>
      <c r="CT18" s="784"/>
      <c r="CU18" s="784"/>
      <c r="CV18" s="784"/>
      <c r="CW18" s="784"/>
      <c r="CX18" s="784"/>
      <c r="CY18" s="784"/>
      <c r="CZ18" s="784"/>
      <c r="DA18" s="784"/>
      <c r="DB18" s="784"/>
      <c r="DC18" s="784"/>
      <c r="DD18" s="784"/>
      <c r="DE18" s="784"/>
      <c r="DF18" s="784"/>
      <c r="DG18" s="784"/>
      <c r="DH18" s="784"/>
      <c r="DI18" s="784"/>
      <c r="DJ18" s="784"/>
      <c r="DK18" s="784"/>
      <c r="DL18" s="784"/>
      <c r="DM18" s="784"/>
      <c r="DN18" s="784"/>
      <c r="DO18" s="784"/>
      <c r="DP18" s="784"/>
      <c r="DQ18" s="784"/>
      <c r="DR18" s="784"/>
      <c r="DS18" s="784"/>
      <c r="DT18" s="784"/>
      <c r="DU18" s="784"/>
      <c r="DV18" s="784"/>
      <c r="DW18" s="784"/>
      <c r="DX18" s="784"/>
      <c r="DY18" s="784"/>
      <c r="DZ18" s="784"/>
      <c r="EA18" s="784"/>
      <c r="EB18" s="784"/>
      <c r="EC18" s="784"/>
      <c r="ED18" s="784"/>
      <c r="EE18" s="784"/>
      <c r="EF18" s="784"/>
      <c r="EG18" s="784"/>
      <c r="EH18" s="784"/>
      <c r="EI18" s="784"/>
      <c r="EJ18" s="784"/>
      <c r="EK18" s="784"/>
      <c r="EL18" s="784"/>
      <c r="EM18" s="784"/>
      <c r="EN18" s="784"/>
      <c r="EO18" s="784"/>
      <c r="EP18" s="784"/>
      <c r="EQ18" s="784"/>
      <c r="ER18" s="784"/>
      <c r="ES18" s="784"/>
      <c r="ET18" s="784"/>
      <c r="EU18" s="784"/>
      <c r="EV18" s="784"/>
      <c r="EW18" s="784"/>
      <c r="EX18" s="784"/>
      <c r="EY18" s="784"/>
      <c r="EZ18" s="784"/>
      <c r="FA18" s="784"/>
      <c r="FB18" s="784"/>
      <c r="FC18" s="784"/>
      <c r="FD18" s="784"/>
      <c r="FE18" s="784"/>
      <c r="FF18" s="784"/>
      <c r="FG18" s="784"/>
      <c r="FH18" s="784"/>
      <c r="FI18" s="784"/>
      <c r="FJ18" s="784"/>
      <c r="FK18" s="784"/>
      <c r="FL18" s="784"/>
      <c r="FM18" s="784"/>
      <c r="FN18" s="784"/>
      <c r="FO18" s="784"/>
      <c r="FP18" s="784"/>
      <c r="FQ18" s="784"/>
      <c r="FR18" s="784"/>
      <c r="FS18" s="784"/>
      <c r="FT18" s="784"/>
      <c r="FU18" s="784"/>
      <c r="FV18" s="784"/>
      <c r="FW18" s="784"/>
      <c r="FX18" s="784"/>
      <c r="FY18" s="784"/>
      <c r="FZ18" s="784"/>
      <c r="GA18" s="784"/>
      <c r="GB18" s="784"/>
      <c r="GC18" s="784"/>
      <c r="GD18" s="784"/>
      <c r="GE18" s="784"/>
      <c r="GF18" s="784"/>
      <c r="GG18" s="784"/>
      <c r="GH18" s="784"/>
      <c r="GI18" s="784"/>
      <c r="GJ18" s="784"/>
    </row>
    <row r="19" spans="1:192" ht="17.25" customHeight="1" outlineLevel="2">
      <c r="A19" s="784"/>
      <c r="B19" s="783" t="s">
        <v>703</v>
      </c>
      <c r="C19" s="773">
        <f t="shared" si="77"/>
        <v>0</v>
      </c>
      <c r="D19" s="761">
        <f t="shared" si="78"/>
        <v>0</v>
      </c>
      <c r="E19" s="787"/>
      <c r="F19" s="787"/>
      <c r="G19" s="787"/>
      <c r="H19" s="788"/>
      <c r="I19" s="761">
        <f t="shared" si="79"/>
        <v>0</v>
      </c>
      <c r="J19" s="833"/>
      <c r="K19" s="787"/>
      <c r="L19" s="787"/>
      <c r="M19" s="787"/>
      <c r="N19" s="761">
        <f t="shared" si="59"/>
        <v>0</v>
      </c>
      <c r="O19" s="833"/>
      <c r="P19" s="787"/>
      <c r="Q19" s="787"/>
      <c r="R19" s="787"/>
      <c r="S19" s="761">
        <f t="shared" si="61"/>
        <v>0</v>
      </c>
      <c r="T19" s="833"/>
      <c r="U19" s="787"/>
      <c r="V19" s="787"/>
      <c r="W19" s="787"/>
      <c r="X19" s="761">
        <f t="shared" si="63"/>
        <v>0</v>
      </c>
      <c r="Y19" s="833"/>
      <c r="Z19" s="787"/>
      <c r="AA19" s="787"/>
      <c r="AB19" s="787"/>
      <c r="AC19" s="761">
        <f t="shared" si="65"/>
        <v>0</v>
      </c>
      <c r="AD19" s="833"/>
      <c r="AE19" s="787"/>
      <c r="AF19" s="787"/>
      <c r="AG19" s="787"/>
      <c r="AH19" s="761">
        <f t="shared" si="67"/>
        <v>0</v>
      </c>
      <c r="AI19" s="833"/>
      <c r="AJ19" s="787"/>
      <c r="AK19" s="787"/>
      <c r="AL19" s="787"/>
      <c r="AM19" s="761">
        <f t="shared" si="69"/>
        <v>0</v>
      </c>
      <c r="AN19" s="833"/>
      <c r="AO19" s="787"/>
      <c r="AP19" s="787"/>
      <c r="AQ19" s="787"/>
      <c r="AR19" s="761">
        <f t="shared" si="71"/>
        <v>0</v>
      </c>
      <c r="AS19" s="833"/>
      <c r="AT19" s="787"/>
      <c r="AU19" s="787"/>
      <c r="AV19" s="787"/>
      <c r="AW19" s="761">
        <f t="shared" si="73"/>
        <v>0</v>
      </c>
      <c r="AX19" s="833"/>
      <c r="AY19" s="787"/>
      <c r="AZ19" s="787"/>
      <c r="BA19" s="787"/>
      <c r="BB19" s="761">
        <f t="shared" si="75"/>
        <v>0</v>
      </c>
      <c r="BC19" s="833"/>
      <c r="BD19" s="787"/>
      <c r="BE19" s="787"/>
      <c r="BF19" s="849"/>
      <c r="BG19" s="747"/>
      <c r="BH19" s="747"/>
      <c r="BI19" s="747"/>
      <c r="BJ19" s="747"/>
      <c r="BK19" s="747"/>
      <c r="BL19" s="747"/>
      <c r="BM19" s="747"/>
      <c r="BN19" s="747"/>
      <c r="BO19" s="747"/>
      <c r="BP19" s="747"/>
      <c r="BQ19" s="747"/>
      <c r="BR19" s="747"/>
      <c r="BS19" s="747"/>
      <c r="BT19" s="747"/>
      <c r="BU19" s="747"/>
      <c r="BV19" s="747"/>
      <c r="BW19" s="747"/>
      <c r="BX19" s="747"/>
      <c r="BY19" s="747"/>
      <c r="BZ19" s="747"/>
      <c r="CA19" s="747"/>
      <c r="CB19" s="747"/>
      <c r="CC19" s="747"/>
      <c r="CD19" s="747"/>
      <c r="CE19" s="747"/>
      <c r="CF19" s="747"/>
      <c r="CG19" s="747"/>
      <c r="CH19" s="747"/>
      <c r="CI19" s="747"/>
      <c r="CJ19" s="747"/>
      <c r="CK19" s="747"/>
      <c r="CL19" s="747"/>
      <c r="CM19" s="747"/>
      <c r="CN19" s="747"/>
      <c r="CO19" s="747"/>
      <c r="CP19" s="747"/>
      <c r="CQ19" s="747"/>
      <c r="CR19" s="747"/>
      <c r="CS19" s="747"/>
      <c r="CT19" s="747"/>
      <c r="CU19" s="747"/>
      <c r="CV19" s="747"/>
      <c r="CW19" s="747"/>
      <c r="CX19" s="747"/>
      <c r="CY19" s="747"/>
      <c r="CZ19" s="747"/>
      <c r="DA19" s="747"/>
      <c r="DB19" s="747"/>
      <c r="DC19" s="747"/>
      <c r="DD19" s="747"/>
      <c r="DE19" s="747"/>
      <c r="DF19" s="747"/>
      <c r="DG19" s="747"/>
      <c r="DH19" s="747"/>
      <c r="DI19" s="747"/>
      <c r="DJ19" s="747"/>
      <c r="DK19" s="747"/>
      <c r="DL19" s="747"/>
      <c r="DM19" s="747"/>
      <c r="DN19" s="747"/>
      <c r="DO19" s="747"/>
      <c r="DP19" s="747"/>
      <c r="DQ19" s="747"/>
      <c r="DR19" s="747"/>
      <c r="DS19" s="747"/>
      <c r="DT19" s="747"/>
      <c r="DU19" s="747"/>
      <c r="DV19" s="747"/>
      <c r="DW19" s="747"/>
      <c r="DX19" s="747"/>
      <c r="DY19" s="747"/>
      <c r="DZ19" s="747"/>
      <c r="EA19" s="747"/>
      <c r="EB19" s="747"/>
      <c r="EC19" s="747"/>
      <c r="ED19" s="747"/>
      <c r="EE19" s="747"/>
      <c r="EF19" s="747"/>
      <c r="EG19" s="747"/>
      <c r="EH19" s="747"/>
      <c r="EI19" s="747"/>
      <c r="EJ19" s="747"/>
      <c r="EK19" s="747"/>
      <c r="EL19" s="747"/>
      <c r="EM19" s="747"/>
      <c r="EN19" s="747"/>
      <c r="EO19" s="747"/>
      <c r="EP19" s="747"/>
      <c r="EQ19" s="747"/>
      <c r="ER19" s="747"/>
      <c r="ES19" s="747"/>
      <c r="ET19" s="747"/>
      <c r="EU19" s="747"/>
      <c r="EV19" s="747"/>
      <c r="EW19" s="747"/>
      <c r="EX19" s="747"/>
      <c r="EY19" s="747"/>
      <c r="EZ19" s="747"/>
      <c r="FA19" s="747"/>
      <c r="FB19" s="747"/>
      <c r="FC19" s="747"/>
      <c r="FD19" s="747"/>
      <c r="FE19" s="747"/>
      <c r="FF19" s="747"/>
      <c r="FG19" s="747"/>
      <c r="FH19" s="747"/>
      <c r="FI19" s="747"/>
      <c r="FJ19" s="747"/>
      <c r="FK19" s="747"/>
      <c r="FL19" s="747"/>
      <c r="FM19" s="747"/>
      <c r="FN19" s="747"/>
      <c r="FO19" s="747"/>
      <c r="FP19" s="747"/>
      <c r="FQ19" s="747"/>
      <c r="FR19" s="747"/>
      <c r="FS19" s="747"/>
      <c r="FT19" s="747"/>
      <c r="FU19" s="747"/>
      <c r="FV19" s="747"/>
      <c r="FW19" s="747"/>
      <c r="FX19" s="747"/>
      <c r="FY19" s="747"/>
      <c r="FZ19" s="747"/>
      <c r="GA19" s="747"/>
      <c r="GB19" s="747"/>
      <c r="GC19" s="747"/>
      <c r="GD19" s="747"/>
      <c r="GE19" s="747"/>
      <c r="GF19" s="747"/>
      <c r="GG19" s="747"/>
      <c r="GH19" s="747"/>
      <c r="GI19" s="747"/>
      <c r="GJ19" s="747"/>
    </row>
    <row r="20" spans="1:192" ht="17.25" customHeight="1" outlineLevel="2">
      <c r="A20" s="784"/>
      <c r="B20" s="783" t="s">
        <v>704</v>
      </c>
      <c r="C20" s="773">
        <f t="shared" si="77"/>
        <v>50.296597480000003</v>
      </c>
      <c r="D20" s="761">
        <f t="shared" si="78"/>
        <v>0</v>
      </c>
      <c r="E20" s="773">
        <f>('11.销售及回款表'!E8+'11.销售及回款表'!E13)*('2.税率表'!$D$15+'2.税率表'!$D$16+'2.税率表'!$D$18)</f>
        <v>0</v>
      </c>
      <c r="F20" s="773">
        <f>('11.销售及回款表'!F8+'11.销售及回款表'!F13)*('2.税率表'!$D$15+'2.税率表'!$D$16+'2.税率表'!$D$18)</f>
        <v>0</v>
      </c>
      <c r="G20" s="773">
        <f>('11.销售及回款表'!G8+'11.销售及回款表'!G13)*('2.税率表'!$D$15+'2.税率表'!$D$16+'2.税率表'!$D$18)</f>
        <v>0</v>
      </c>
      <c r="H20" s="774">
        <f>('11.销售及回款表'!H8+'11.销售及回款表'!H13)*('2.税率表'!$D$15+'2.税率表'!$D$16+'2.税率表'!$D$18)</f>
        <v>0</v>
      </c>
      <c r="I20" s="761">
        <f t="shared" si="79"/>
        <v>36.736524000000003</v>
      </c>
      <c r="J20" s="831">
        <f>('11.销售及回款表'!I8+'11.销售及回款表'!I13)*('2.税率表'!$D$15+'2.税率表'!$D$16+'2.税率表'!$D$18)</f>
        <v>0</v>
      </c>
      <c r="K20" s="775">
        <f>('11.销售及回款表'!J8+'11.销售及回款表'!J13)*('2.税率表'!$D$15+'2.税率表'!$D$16+'2.税率表'!$D$18)</f>
        <v>14.72625</v>
      </c>
      <c r="L20" s="775">
        <f>('11.销售及回款表'!K8+'11.销售及回款表'!K13)*('2.税率表'!$D$15+'2.税率表'!$D$16+'2.税率表'!$D$18)</f>
        <v>15.315299999999999</v>
      </c>
      <c r="M20" s="775">
        <f>('11.销售及回款表'!L8+'11.销售及回款表'!L13)*('2.税率表'!$D$15+'2.税率表'!$D$16+'2.税率表'!$D$18)</f>
        <v>6.6949740000000002</v>
      </c>
      <c r="N20" s="761">
        <f t="shared" si="59"/>
        <v>12.96927348</v>
      </c>
      <c r="O20" s="831">
        <f>('11.销售及回款表'!M8+'11.销售及回款表'!M13)*('2.税率表'!$D$15+'2.税率表'!$D$16+'2.税率表'!$D$18)</f>
        <v>6.8288734799999995</v>
      </c>
      <c r="P20" s="775">
        <f>('11.销售及回款表'!N8+'11.销售及回款表'!N13)*('2.税率表'!$D$15+'2.税率表'!$D$16+'2.税率表'!$D$18)</f>
        <v>3.4944000000000002</v>
      </c>
      <c r="Q20" s="775">
        <f>('11.销售及回款表'!O8+'11.销售及回款表'!O13)*('2.税率表'!$D$15+'2.税率表'!$D$16+'2.税率表'!$D$18)</f>
        <v>1.7598000000000003</v>
      </c>
      <c r="R20" s="775">
        <f>('11.销售及回款表'!P8+'11.销售及回款表'!P13)*('2.税率表'!$D$15+'2.税率表'!$D$16+'2.税率表'!$D$18)</f>
        <v>0.8862000000000001</v>
      </c>
      <c r="S20" s="761">
        <f t="shared" si="61"/>
        <v>0.59079999999999999</v>
      </c>
      <c r="T20" s="831">
        <f>('11.销售及回款表'!Q8+'11.销售及回款表'!Q13)*('2.税率表'!$D$15+'2.税率表'!$D$16+'2.税率表'!$D$18)</f>
        <v>0.59079999999999999</v>
      </c>
      <c r="U20" s="775">
        <f>('11.销售及回款表'!R8+'11.销售及回款表'!R13)*('2.税率表'!$D$15+'2.税率表'!$D$16+'2.税率表'!$D$18)</f>
        <v>0</v>
      </c>
      <c r="V20" s="775">
        <f>('11.销售及回款表'!S8+'11.销售及回款表'!S13)*('2.税率表'!$D$15+'2.税率表'!$D$16+'2.税率表'!$D$18)</f>
        <v>0</v>
      </c>
      <c r="W20" s="775">
        <f>('11.销售及回款表'!T8+'11.销售及回款表'!T13)*('2.税率表'!$D$15+'2.税率表'!$D$16+'2.税率表'!$D$18)</f>
        <v>0</v>
      </c>
      <c r="X20" s="761">
        <f t="shared" si="63"/>
        <v>0</v>
      </c>
      <c r="Y20" s="831">
        <f>('11.销售及回款表'!U8+'11.销售及回款表'!U13)*('2.税率表'!$D$15+'2.税率表'!$D$16+'2.税率表'!$D$18)</f>
        <v>0</v>
      </c>
      <c r="Z20" s="775">
        <f>('11.销售及回款表'!V8+'11.销售及回款表'!V13)*('2.税率表'!$D$15+'2.税率表'!$D$16+'2.税率表'!$D$18)</f>
        <v>0</v>
      </c>
      <c r="AA20" s="775">
        <f>('11.销售及回款表'!W8+'11.销售及回款表'!W13)*('2.税率表'!$D$15+'2.税率表'!$D$16+'2.税率表'!$D$18)</f>
        <v>0</v>
      </c>
      <c r="AB20" s="775">
        <f>('11.销售及回款表'!X8+'11.销售及回款表'!X13)*('2.税率表'!$D$15+'2.税率表'!$D$16+'2.税率表'!$D$18)</f>
        <v>0</v>
      </c>
      <c r="AC20" s="761">
        <f t="shared" si="65"/>
        <v>0</v>
      </c>
      <c r="AD20" s="831">
        <f>('11.销售及回款表'!Y8+'11.销售及回款表'!Y13)*('2.税率表'!$D$15+'2.税率表'!$D$16+'2.税率表'!$D$18)</f>
        <v>0</v>
      </c>
      <c r="AE20" s="775">
        <f>('11.销售及回款表'!Z8+'11.销售及回款表'!Z13)*('2.税率表'!$D$15+'2.税率表'!$D$16+'2.税率表'!$D$18)</f>
        <v>0</v>
      </c>
      <c r="AF20" s="775">
        <f>('11.销售及回款表'!AA8+'11.销售及回款表'!AA13)*('2.税率表'!$D$15+'2.税率表'!$D$16+'2.税率表'!$D$18)</f>
        <v>0</v>
      </c>
      <c r="AG20" s="775">
        <f>('11.销售及回款表'!AB8+'11.销售及回款表'!AB13)*('2.税率表'!$D$15+'2.税率表'!$D$16+'2.税率表'!$D$18)</f>
        <v>0</v>
      </c>
      <c r="AH20" s="761">
        <f t="shared" si="67"/>
        <v>0</v>
      </c>
      <c r="AI20" s="831">
        <f>('11.销售及回款表'!AC8+'11.销售及回款表'!AC13)*('2.税率表'!$D$15+'2.税率表'!$D$16+'2.税率表'!$D$18)</f>
        <v>0</v>
      </c>
      <c r="AJ20" s="775">
        <f>('11.销售及回款表'!AD8+'11.销售及回款表'!AD13)*('2.税率表'!$D$15+'2.税率表'!$D$16+'2.税率表'!$D$18)</f>
        <v>0</v>
      </c>
      <c r="AK20" s="775">
        <f>('11.销售及回款表'!AE8+'11.销售及回款表'!AE13)*('2.税率表'!$D$15+'2.税率表'!$D$16+'2.税率表'!$D$18)</f>
        <v>0</v>
      </c>
      <c r="AL20" s="775">
        <f>('11.销售及回款表'!AF8+'11.销售及回款表'!AF13)*('2.税率表'!$D$15+'2.税率表'!$D$16+'2.税率表'!$D$18)</f>
        <v>0</v>
      </c>
      <c r="AM20" s="761">
        <f t="shared" si="69"/>
        <v>0</v>
      </c>
      <c r="AN20" s="831">
        <f>('11.销售及回款表'!AG8+'11.销售及回款表'!AG13)*('2.税率表'!$D$15+'2.税率表'!$D$16+'2.税率表'!$D$18)</f>
        <v>0</v>
      </c>
      <c r="AO20" s="775">
        <f>('11.销售及回款表'!AH8+'11.销售及回款表'!AH13)*('2.税率表'!$D$15+'2.税率表'!$D$16+'2.税率表'!$D$18)</f>
        <v>0</v>
      </c>
      <c r="AP20" s="775">
        <f>('11.销售及回款表'!AI8+'11.销售及回款表'!AI13)*('2.税率表'!$D$15+'2.税率表'!$D$16+'2.税率表'!$D$18)</f>
        <v>0</v>
      </c>
      <c r="AQ20" s="775">
        <f>('11.销售及回款表'!AJ8+'11.销售及回款表'!AJ13)*('2.税率表'!$D$15+'2.税率表'!$D$16+'2.税率表'!$D$18)</f>
        <v>0</v>
      </c>
      <c r="AR20" s="761">
        <f t="shared" si="71"/>
        <v>0</v>
      </c>
      <c r="AS20" s="831">
        <f>('11.销售及回款表'!AK8+'11.销售及回款表'!AK13)*('2.税率表'!$D$15+'2.税率表'!$D$16+'2.税率表'!$D$18)</f>
        <v>0</v>
      </c>
      <c r="AT20" s="775">
        <f>('11.销售及回款表'!AL8+'11.销售及回款表'!AL13)*('2.税率表'!$D$15+'2.税率表'!$D$16+'2.税率表'!$D$18)</f>
        <v>0</v>
      </c>
      <c r="AU20" s="775">
        <f>('11.销售及回款表'!AM8+'11.销售及回款表'!AM13)*('2.税率表'!$D$15+'2.税率表'!$D$16+'2.税率表'!$D$18)</f>
        <v>0</v>
      </c>
      <c r="AV20" s="775">
        <f>('11.销售及回款表'!AN8+'11.销售及回款表'!AN13)*('2.税率表'!$D$15+'2.税率表'!$D$16+'2.税率表'!$D$18)</f>
        <v>0</v>
      </c>
      <c r="AW20" s="761">
        <f t="shared" si="73"/>
        <v>0</v>
      </c>
      <c r="AX20" s="831">
        <f>('11.销售及回款表'!AO8+'11.销售及回款表'!AO13)*('2.税率表'!$D$15+'2.税率表'!$D$16+'2.税率表'!$D$18)</f>
        <v>0</v>
      </c>
      <c r="AY20" s="775">
        <f>('11.销售及回款表'!AP8+'11.销售及回款表'!AP13)*('2.税率表'!$D$15+'2.税率表'!$D$16+'2.税率表'!$D$18)</f>
        <v>0</v>
      </c>
      <c r="AZ20" s="775">
        <f>('11.销售及回款表'!AQ8+'11.销售及回款表'!AQ13)*('2.税率表'!$D$15+'2.税率表'!$D$16+'2.税率表'!$D$18)</f>
        <v>0</v>
      </c>
      <c r="BA20" s="775">
        <f>('11.销售及回款表'!AR8+'11.销售及回款表'!AR13)*('2.税率表'!$D$15+'2.税率表'!$D$16+'2.税率表'!$D$18)</f>
        <v>0</v>
      </c>
      <c r="BB20" s="761">
        <f t="shared" si="75"/>
        <v>0</v>
      </c>
      <c r="BC20" s="831">
        <f>('11.销售及回款表'!AS8+'11.销售及回款表'!AS13)*('2.税率表'!$D$15+'2.税率表'!$D$16+'2.税率表'!$D$18)</f>
        <v>0</v>
      </c>
      <c r="BD20" s="775">
        <f>('11.销售及回款表'!AT8+'11.销售及回款表'!AT13)*('2.税率表'!$D$15+'2.税率表'!$D$16+'2.税率表'!$D$18)</f>
        <v>0</v>
      </c>
      <c r="BE20" s="775">
        <f>('11.销售及回款表'!AU8+'11.销售及回款表'!AU13)*('2.税率表'!$D$15+'2.税率表'!$D$16+'2.税率表'!$D$18)</f>
        <v>0</v>
      </c>
      <c r="BF20" s="846">
        <f>('11.销售及回款表'!AV8+'11.销售及回款表'!AV13)*('2.税率表'!$D$15+'2.税率表'!$D$16+'2.税率表'!$D$18)</f>
        <v>0</v>
      </c>
      <c r="BG20" s="747"/>
      <c r="BH20" s="747"/>
      <c r="BI20" s="747"/>
      <c r="BJ20" s="747"/>
      <c r="BK20" s="747"/>
      <c r="BL20" s="747"/>
      <c r="BM20" s="747"/>
      <c r="BN20" s="747"/>
      <c r="BO20" s="747"/>
      <c r="BP20" s="747"/>
      <c r="BQ20" s="747"/>
      <c r="BR20" s="747"/>
      <c r="BS20" s="747"/>
      <c r="BT20" s="747"/>
      <c r="BU20" s="747"/>
      <c r="BV20" s="747"/>
      <c r="BW20" s="747"/>
      <c r="BX20" s="747"/>
      <c r="BY20" s="747"/>
      <c r="BZ20" s="747"/>
      <c r="CA20" s="747"/>
      <c r="CB20" s="747"/>
      <c r="CC20" s="747"/>
      <c r="CD20" s="747"/>
      <c r="CE20" s="747"/>
      <c r="CF20" s="747"/>
      <c r="CG20" s="747"/>
      <c r="CH20" s="747"/>
      <c r="CI20" s="747"/>
      <c r="CJ20" s="747"/>
      <c r="CK20" s="747"/>
      <c r="CL20" s="747"/>
      <c r="CM20" s="747"/>
      <c r="CN20" s="747"/>
      <c r="CO20" s="747"/>
      <c r="CP20" s="747"/>
      <c r="CQ20" s="747"/>
      <c r="CR20" s="747"/>
      <c r="CS20" s="747"/>
      <c r="CT20" s="747"/>
      <c r="CU20" s="747"/>
      <c r="CV20" s="747"/>
      <c r="CW20" s="747"/>
      <c r="CX20" s="747"/>
      <c r="CY20" s="747"/>
      <c r="CZ20" s="747"/>
      <c r="DA20" s="747"/>
      <c r="DB20" s="747"/>
      <c r="DC20" s="747"/>
      <c r="DD20" s="747"/>
      <c r="DE20" s="747"/>
      <c r="DF20" s="747"/>
      <c r="DG20" s="747"/>
      <c r="DH20" s="747"/>
      <c r="DI20" s="747"/>
      <c r="DJ20" s="747"/>
      <c r="DK20" s="747"/>
      <c r="DL20" s="747"/>
      <c r="DM20" s="747"/>
      <c r="DN20" s="747"/>
      <c r="DO20" s="747"/>
      <c r="DP20" s="747"/>
      <c r="DQ20" s="747"/>
      <c r="DR20" s="747"/>
      <c r="DS20" s="747"/>
      <c r="DT20" s="747"/>
      <c r="DU20" s="747"/>
      <c r="DV20" s="747"/>
      <c r="DW20" s="747"/>
      <c r="DX20" s="747"/>
      <c r="DY20" s="747"/>
      <c r="DZ20" s="747"/>
      <c r="EA20" s="747"/>
      <c r="EB20" s="747"/>
      <c r="EC20" s="747"/>
      <c r="ED20" s="747"/>
      <c r="EE20" s="747"/>
      <c r="EF20" s="747"/>
      <c r="EG20" s="747"/>
      <c r="EH20" s="747"/>
      <c r="EI20" s="747"/>
      <c r="EJ20" s="747"/>
      <c r="EK20" s="747"/>
      <c r="EL20" s="747"/>
      <c r="EM20" s="747"/>
      <c r="EN20" s="747"/>
      <c r="EO20" s="747"/>
      <c r="EP20" s="747"/>
      <c r="EQ20" s="747"/>
      <c r="ER20" s="747"/>
      <c r="ES20" s="747"/>
      <c r="ET20" s="747"/>
      <c r="EU20" s="747"/>
      <c r="EV20" s="747"/>
      <c r="EW20" s="747"/>
      <c r="EX20" s="747"/>
      <c r="EY20" s="747"/>
      <c r="EZ20" s="747"/>
      <c r="FA20" s="747"/>
      <c r="FB20" s="747"/>
      <c r="FC20" s="747"/>
      <c r="FD20" s="747"/>
      <c r="FE20" s="747"/>
      <c r="FF20" s="747"/>
      <c r="FG20" s="747"/>
      <c r="FH20" s="747"/>
      <c r="FI20" s="747"/>
      <c r="FJ20" s="747"/>
      <c r="FK20" s="747"/>
      <c r="FL20" s="747"/>
      <c r="FM20" s="747"/>
      <c r="FN20" s="747"/>
      <c r="FO20" s="747"/>
      <c r="FP20" s="747"/>
      <c r="FQ20" s="747"/>
      <c r="FR20" s="747"/>
      <c r="FS20" s="747"/>
      <c r="FT20" s="747"/>
      <c r="FU20" s="747"/>
      <c r="FV20" s="747"/>
      <c r="FW20" s="747"/>
      <c r="FX20" s="747"/>
      <c r="FY20" s="747"/>
      <c r="FZ20" s="747"/>
      <c r="GA20" s="747"/>
      <c r="GB20" s="747"/>
      <c r="GC20" s="747"/>
      <c r="GD20" s="747"/>
      <c r="GE20" s="747"/>
      <c r="GF20" s="747"/>
      <c r="GG20" s="747"/>
      <c r="GH20" s="747"/>
      <c r="GI20" s="747"/>
      <c r="GJ20" s="747"/>
    </row>
    <row r="21" spans="1:192" ht="17.25" customHeight="1" outlineLevel="1">
      <c r="A21" s="784"/>
      <c r="B21" s="778" t="s">
        <v>705</v>
      </c>
      <c r="C21" s="789">
        <f t="shared" ref="C21:AH21" ca="1" si="80">SUM(C22:C23)</f>
        <v>10745.623672377998</v>
      </c>
      <c r="D21" s="780">
        <f t="shared" si="80"/>
        <v>0</v>
      </c>
      <c r="E21" s="790">
        <f t="shared" si="80"/>
        <v>0</v>
      </c>
      <c r="F21" s="790">
        <f t="shared" si="80"/>
        <v>0</v>
      </c>
      <c r="G21" s="790">
        <f t="shared" si="80"/>
        <v>0</v>
      </c>
      <c r="H21" s="791">
        <f t="shared" si="80"/>
        <v>0</v>
      </c>
      <c r="I21" s="780">
        <f t="shared" si="80"/>
        <v>0</v>
      </c>
      <c r="J21" s="834">
        <f t="shared" si="80"/>
        <v>0</v>
      </c>
      <c r="K21" s="790">
        <f t="shared" si="80"/>
        <v>0</v>
      </c>
      <c r="L21" s="790">
        <f t="shared" si="80"/>
        <v>0</v>
      </c>
      <c r="M21" s="790">
        <f t="shared" si="80"/>
        <v>0</v>
      </c>
      <c r="N21" s="780">
        <f t="shared" ca="1" si="80"/>
        <v>10709.061623920348</v>
      </c>
      <c r="O21" s="834">
        <f t="shared" ca="1" si="80"/>
        <v>7632.9854964831366</v>
      </c>
      <c r="P21" s="790">
        <f t="shared" si="80"/>
        <v>0</v>
      </c>
      <c r="Q21" s="790">
        <f t="shared" si="80"/>
        <v>0</v>
      </c>
      <c r="R21" s="790">
        <f t="shared" si="80"/>
        <v>3076.0761274372107</v>
      </c>
      <c r="S21" s="780">
        <f t="shared" si="80"/>
        <v>36.562048457650235</v>
      </c>
      <c r="T21" s="834">
        <f t="shared" si="80"/>
        <v>36.562048457650235</v>
      </c>
      <c r="U21" s="790">
        <f t="shared" si="80"/>
        <v>0</v>
      </c>
      <c r="V21" s="790">
        <f t="shared" si="80"/>
        <v>0</v>
      </c>
      <c r="W21" s="790">
        <f t="shared" si="80"/>
        <v>0</v>
      </c>
      <c r="X21" s="780">
        <f t="shared" si="80"/>
        <v>0</v>
      </c>
      <c r="Y21" s="834">
        <f t="shared" si="80"/>
        <v>0</v>
      </c>
      <c r="Z21" s="790">
        <f t="shared" si="80"/>
        <v>0</v>
      </c>
      <c r="AA21" s="790">
        <f t="shared" si="80"/>
        <v>0</v>
      </c>
      <c r="AB21" s="790">
        <f t="shared" si="80"/>
        <v>0</v>
      </c>
      <c r="AC21" s="780">
        <f t="shared" si="80"/>
        <v>0</v>
      </c>
      <c r="AD21" s="834">
        <f t="shared" si="80"/>
        <v>0</v>
      </c>
      <c r="AE21" s="790">
        <f t="shared" si="80"/>
        <v>0</v>
      </c>
      <c r="AF21" s="790">
        <f t="shared" si="80"/>
        <v>0</v>
      </c>
      <c r="AG21" s="790">
        <f t="shared" si="80"/>
        <v>0</v>
      </c>
      <c r="AH21" s="780">
        <f t="shared" si="80"/>
        <v>0</v>
      </c>
      <c r="AI21" s="834">
        <f t="shared" ref="AI21:BF21" si="81">SUM(AI22:AI23)</f>
        <v>0</v>
      </c>
      <c r="AJ21" s="790">
        <f t="shared" si="81"/>
        <v>0</v>
      </c>
      <c r="AK21" s="790">
        <f t="shared" si="81"/>
        <v>0</v>
      </c>
      <c r="AL21" s="790">
        <f t="shared" si="81"/>
        <v>0</v>
      </c>
      <c r="AM21" s="780">
        <f t="shared" si="81"/>
        <v>0</v>
      </c>
      <c r="AN21" s="834">
        <f t="shared" si="81"/>
        <v>0</v>
      </c>
      <c r="AO21" s="790">
        <f t="shared" si="81"/>
        <v>0</v>
      </c>
      <c r="AP21" s="790">
        <f t="shared" si="81"/>
        <v>0</v>
      </c>
      <c r="AQ21" s="790">
        <f t="shared" si="81"/>
        <v>0</v>
      </c>
      <c r="AR21" s="780">
        <f t="shared" si="81"/>
        <v>0</v>
      </c>
      <c r="AS21" s="834">
        <f t="shared" si="81"/>
        <v>0</v>
      </c>
      <c r="AT21" s="790">
        <f t="shared" si="81"/>
        <v>0</v>
      </c>
      <c r="AU21" s="790">
        <f t="shared" si="81"/>
        <v>0</v>
      </c>
      <c r="AV21" s="790">
        <f t="shared" si="81"/>
        <v>0</v>
      </c>
      <c r="AW21" s="780">
        <f t="shared" si="81"/>
        <v>0</v>
      </c>
      <c r="AX21" s="834">
        <f t="shared" si="81"/>
        <v>0</v>
      </c>
      <c r="AY21" s="790">
        <f t="shared" si="81"/>
        <v>0</v>
      </c>
      <c r="AZ21" s="790">
        <f t="shared" si="81"/>
        <v>0</v>
      </c>
      <c r="BA21" s="790">
        <f t="shared" si="81"/>
        <v>0</v>
      </c>
      <c r="BB21" s="780">
        <f t="shared" si="81"/>
        <v>0</v>
      </c>
      <c r="BC21" s="834">
        <f t="shared" si="81"/>
        <v>0</v>
      </c>
      <c r="BD21" s="790">
        <f t="shared" si="81"/>
        <v>0</v>
      </c>
      <c r="BE21" s="790">
        <f t="shared" si="81"/>
        <v>0</v>
      </c>
      <c r="BF21" s="850">
        <f t="shared" si="81"/>
        <v>0</v>
      </c>
      <c r="BG21" s="747"/>
      <c r="BH21" s="747"/>
      <c r="BI21" s="747"/>
      <c r="BJ21" s="747"/>
      <c r="BK21" s="747"/>
      <c r="BL21" s="747"/>
      <c r="BM21" s="747"/>
      <c r="BN21" s="747"/>
      <c r="BO21" s="747"/>
      <c r="BP21" s="747"/>
      <c r="BQ21" s="747"/>
      <c r="BR21" s="747"/>
      <c r="BS21" s="747"/>
      <c r="BT21" s="747"/>
      <c r="BU21" s="747"/>
      <c r="BV21" s="747"/>
      <c r="BW21" s="747"/>
      <c r="BX21" s="747"/>
      <c r="BY21" s="747"/>
      <c r="BZ21" s="747"/>
      <c r="CA21" s="747"/>
      <c r="CB21" s="747"/>
      <c r="CC21" s="747"/>
      <c r="CD21" s="747"/>
      <c r="CE21" s="747"/>
      <c r="CF21" s="747"/>
      <c r="CG21" s="747"/>
      <c r="CH21" s="747"/>
      <c r="CI21" s="747"/>
      <c r="CJ21" s="747"/>
      <c r="CK21" s="747"/>
      <c r="CL21" s="747"/>
      <c r="CM21" s="747"/>
      <c r="CN21" s="747"/>
      <c r="CO21" s="747"/>
      <c r="CP21" s="747"/>
      <c r="CQ21" s="747"/>
      <c r="CR21" s="747"/>
      <c r="CS21" s="747"/>
      <c r="CT21" s="747"/>
      <c r="CU21" s="747"/>
      <c r="CV21" s="747"/>
      <c r="CW21" s="747"/>
      <c r="CX21" s="747"/>
      <c r="CY21" s="747"/>
      <c r="CZ21" s="747"/>
      <c r="DA21" s="747"/>
      <c r="DB21" s="747"/>
      <c r="DC21" s="747"/>
      <c r="DD21" s="747"/>
      <c r="DE21" s="747"/>
      <c r="DF21" s="747"/>
      <c r="DG21" s="747"/>
      <c r="DH21" s="747"/>
      <c r="DI21" s="747"/>
      <c r="DJ21" s="747"/>
      <c r="DK21" s="747"/>
      <c r="DL21" s="747"/>
      <c r="DM21" s="747"/>
      <c r="DN21" s="747"/>
      <c r="DO21" s="747"/>
      <c r="DP21" s="747"/>
      <c r="DQ21" s="747"/>
      <c r="DR21" s="747"/>
      <c r="DS21" s="747"/>
      <c r="DT21" s="747"/>
      <c r="DU21" s="747"/>
      <c r="DV21" s="747"/>
      <c r="DW21" s="747"/>
      <c r="DX21" s="747"/>
      <c r="DY21" s="747"/>
      <c r="DZ21" s="747"/>
      <c r="EA21" s="747"/>
      <c r="EB21" s="747"/>
      <c r="EC21" s="747"/>
      <c r="ED21" s="747"/>
      <c r="EE21" s="747"/>
      <c r="EF21" s="747"/>
      <c r="EG21" s="747"/>
      <c r="EH21" s="747"/>
      <c r="EI21" s="747"/>
      <c r="EJ21" s="747"/>
      <c r="EK21" s="747"/>
      <c r="EL21" s="747"/>
      <c r="EM21" s="747"/>
      <c r="EN21" s="747"/>
      <c r="EO21" s="747"/>
      <c r="EP21" s="747"/>
      <c r="EQ21" s="747"/>
      <c r="ER21" s="747"/>
      <c r="ES21" s="747"/>
      <c r="ET21" s="747"/>
      <c r="EU21" s="747"/>
      <c r="EV21" s="747"/>
      <c r="EW21" s="747"/>
      <c r="EX21" s="747"/>
      <c r="EY21" s="747"/>
      <c r="EZ21" s="747"/>
      <c r="FA21" s="747"/>
      <c r="FB21" s="747"/>
      <c r="FC21" s="747"/>
      <c r="FD21" s="747"/>
      <c r="FE21" s="747"/>
      <c r="FF21" s="747"/>
      <c r="FG21" s="747"/>
      <c r="FH21" s="747"/>
      <c r="FI21" s="747"/>
      <c r="FJ21" s="747"/>
      <c r="FK21" s="747"/>
      <c r="FL21" s="747"/>
      <c r="FM21" s="747"/>
      <c r="FN21" s="747"/>
      <c r="FO21" s="747"/>
      <c r="FP21" s="747"/>
      <c r="FQ21" s="747"/>
      <c r="FR21" s="747"/>
      <c r="FS21" s="747"/>
      <c r="FT21" s="747"/>
      <c r="FU21" s="747"/>
      <c r="FV21" s="747"/>
      <c r="FW21" s="747"/>
      <c r="FX21" s="747"/>
      <c r="FY21" s="747"/>
      <c r="FZ21" s="747"/>
      <c r="GA21" s="747"/>
      <c r="GB21" s="747"/>
      <c r="GC21" s="747"/>
      <c r="GD21" s="747"/>
      <c r="GE21" s="747"/>
      <c r="GF21" s="747"/>
      <c r="GG21" s="747"/>
      <c r="GH21" s="747"/>
      <c r="GI21" s="747"/>
      <c r="GJ21" s="747"/>
    </row>
    <row r="22" spans="1:192" ht="17.25" customHeight="1" outlineLevel="2">
      <c r="A22" s="784"/>
      <c r="B22" s="783" t="s">
        <v>706</v>
      </c>
      <c r="C22" s="773">
        <f t="shared" si="77"/>
        <v>3112.638175894861</v>
      </c>
      <c r="D22" s="761">
        <f t="shared" ref="D22:D27" si="82">SUM(E22:H22)</f>
        <v>0</v>
      </c>
      <c r="E22" s="785">
        <f>'14.增值税计算表'!E20*(1+'2.税率表'!$D$13+'2.税率表'!$D$14+'2.税率表'!$D$17)+'14.增值税计算表'!E365+'14.增值税计算表'!E376</f>
        <v>0</v>
      </c>
      <c r="F22" s="785">
        <f>'14.增值税计算表'!F20*(1+'2.税率表'!$D$13+'2.税率表'!$D$14+'2.税率表'!$D$17)+'14.增值税计算表'!F365</f>
        <v>0</v>
      </c>
      <c r="G22" s="785">
        <f>'14.增值税计算表'!G20*(1+'2.税率表'!$D$13+'2.税率表'!$D$14+'2.税率表'!$D$17)+'14.增值税计算表'!G365</f>
        <v>0</v>
      </c>
      <c r="H22" s="786">
        <f>'14.增值税计算表'!H20*(1+'2.税率表'!$D$13+'2.税率表'!$D$14+'2.税率表'!$D$17)+'14.增值税计算表'!H365</f>
        <v>0</v>
      </c>
      <c r="I22" s="761">
        <f t="shared" ref="I22:I27" si="83">SUM(J22:M22)</f>
        <v>0</v>
      </c>
      <c r="J22" s="832">
        <f>'14.增值税计算表'!I20*(1+'2.税率表'!$D$13+'2.税率表'!$D$14+'2.税率表'!$D$17)+'14.增值税计算表'!I365+'14.增值税计算表'!I376</f>
        <v>0</v>
      </c>
      <c r="K22" s="785">
        <f>'14.增值税计算表'!J20*(1+'2.税率表'!$D$13+'2.税率表'!$D$14+'2.税率表'!$D$17)+'14.增值税计算表'!J365+'14.增值税计算表'!J376</f>
        <v>0</v>
      </c>
      <c r="L22" s="785">
        <f>'14.增值税计算表'!K20*(1+'2.税率表'!$D$13+'2.税率表'!$D$14+'2.税率表'!$D$17)+'14.增值税计算表'!K365+'14.增值税计算表'!K376</f>
        <v>0</v>
      </c>
      <c r="M22" s="785">
        <f>'14.增值税计算表'!L20*(1+'2.税率表'!$D$13+'2.税率表'!$D$14+'2.税率表'!$D$17)+'14.增值税计算表'!L365+'14.增值税计算表'!L376</f>
        <v>0</v>
      </c>
      <c r="N22" s="761">
        <f t="shared" si="59"/>
        <v>3076.0761274372107</v>
      </c>
      <c r="O22" s="832">
        <f>'14.增值税计算表'!M20*(1+'2.税率表'!$D$13+'2.税率表'!$D$14+'2.税率表'!$D$17)+'14.增值税计算表'!M365+'14.增值税计算表'!M376</f>
        <v>0</v>
      </c>
      <c r="P22" s="785">
        <f>'14.增值税计算表'!N20*(1+'2.税率表'!$D$13+'2.税率表'!$D$14+'2.税率表'!$D$17)+'14.增值税计算表'!N365+'14.增值税计算表'!N376</f>
        <v>0</v>
      </c>
      <c r="Q22" s="785">
        <f>'14.增值税计算表'!O20*(1+'2.税率表'!$D$13+'2.税率表'!$D$14+'2.税率表'!$D$17)+'14.增值税计算表'!O365+'14.增值税计算表'!O376</f>
        <v>0</v>
      </c>
      <c r="R22" s="785">
        <f>'14.增值税计算表'!P20*(1+'2.税率表'!$D$13+'2.税率表'!$D$14+'2.税率表'!$D$17)+'14.增值税计算表'!P365+'14.增值税计算表'!P376</f>
        <v>3076.0761274372107</v>
      </c>
      <c r="S22" s="761">
        <f t="shared" si="61"/>
        <v>36.562048457650235</v>
      </c>
      <c r="T22" s="832">
        <f>'14.增值税计算表'!Q20*(1+'2.税率表'!$D$13+'2.税率表'!$D$14+'2.税率表'!$D$17)+'14.增值税计算表'!Q365+'14.增值税计算表'!Q376</f>
        <v>36.562048457650235</v>
      </c>
      <c r="U22" s="785">
        <f>'14.增值税计算表'!R20*(1+'2.税率表'!$D$13+'2.税率表'!$D$14+'2.税率表'!$D$17)+'14.增值税计算表'!R365+'14.增值税计算表'!R376</f>
        <v>0</v>
      </c>
      <c r="V22" s="785">
        <f>'14.增值税计算表'!S20*(1+'2.税率表'!$D$13+'2.税率表'!$D$14+'2.税率表'!$D$17)+'14.增值税计算表'!S365+'14.增值税计算表'!S376</f>
        <v>0</v>
      </c>
      <c r="W22" s="785">
        <f>'14.增值税计算表'!T20*(1+'2.税率表'!$D$13+'2.税率表'!$D$14+'2.税率表'!$D$17)+'14.增值税计算表'!T365+'14.增值税计算表'!T376</f>
        <v>0</v>
      </c>
      <c r="X22" s="761">
        <f t="shared" si="63"/>
        <v>0</v>
      </c>
      <c r="Y22" s="832">
        <f>'14.增值税计算表'!U20*(1+'2.税率表'!$D$13+'2.税率表'!$D$14+'2.税率表'!$D$17)+'14.增值税计算表'!U365+'14.增值税计算表'!U376</f>
        <v>0</v>
      </c>
      <c r="Z22" s="785">
        <f>'14.增值税计算表'!V20*(1+'2.税率表'!$D$13+'2.税率表'!$D$14+'2.税率表'!$D$17)+'14.增值税计算表'!V365+'14.增值税计算表'!V376</f>
        <v>0</v>
      </c>
      <c r="AA22" s="785">
        <f>'14.增值税计算表'!W20*(1+'2.税率表'!$D$13+'2.税率表'!$D$14+'2.税率表'!$D$17)+'14.增值税计算表'!W365+'14.增值税计算表'!W376</f>
        <v>0</v>
      </c>
      <c r="AB22" s="785">
        <f>'14.增值税计算表'!X20*(1+'2.税率表'!$D$13+'2.税率表'!$D$14+'2.税率表'!$D$17)+'14.增值税计算表'!X365+'14.增值税计算表'!X376</f>
        <v>0</v>
      </c>
      <c r="AC22" s="761">
        <f t="shared" si="65"/>
        <v>0</v>
      </c>
      <c r="AD22" s="832">
        <f>'14.增值税计算表'!Y20*(1+'2.税率表'!$D$13+'2.税率表'!$D$14+'2.税率表'!$D$17)+'14.增值税计算表'!Y365+'14.增值税计算表'!Y376</f>
        <v>0</v>
      </c>
      <c r="AE22" s="785">
        <f>'14.增值税计算表'!Z20*(1+'2.税率表'!$D$13+'2.税率表'!$D$14+'2.税率表'!$D$17)+'14.增值税计算表'!Z365+'14.增值税计算表'!Z376</f>
        <v>0</v>
      </c>
      <c r="AF22" s="785">
        <f>'14.增值税计算表'!AA20*(1+'2.税率表'!$D$13+'2.税率表'!$D$14+'2.税率表'!$D$17)+'14.增值税计算表'!AA365+'14.增值税计算表'!AA376</f>
        <v>0</v>
      </c>
      <c r="AG22" s="785">
        <f>'14.增值税计算表'!AB20*(1+'2.税率表'!$D$13+'2.税率表'!$D$14+'2.税率表'!$D$17)+'14.增值税计算表'!AB365+'14.增值税计算表'!AB376</f>
        <v>0</v>
      </c>
      <c r="AH22" s="761">
        <f t="shared" si="67"/>
        <v>0</v>
      </c>
      <c r="AI22" s="832">
        <f>'14.增值税计算表'!AC20*(1+'2.税率表'!$D$13+'2.税率表'!$D$14+'2.税率表'!$D$17)+'14.增值税计算表'!AC365+'14.增值税计算表'!AC376</f>
        <v>0</v>
      </c>
      <c r="AJ22" s="785">
        <f>'14.增值税计算表'!AD20*(1+'2.税率表'!$D$13+'2.税率表'!$D$14+'2.税率表'!$D$17)+'14.增值税计算表'!AD365+'14.增值税计算表'!AD376</f>
        <v>0</v>
      </c>
      <c r="AK22" s="785">
        <f>'14.增值税计算表'!AE20*(1+'2.税率表'!$D$13+'2.税率表'!$D$14+'2.税率表'!$D$17)+'14.增值税计算表'!AE365+'14.增值税计算表'!AE376</f>
        <v>0</v>
      </c>
      <c r="AL22" s="785">
        <f>'14.增值税计算表'!AF20*(1+'2.税率表'!$D$13+'2.税率表'!$D$14+'2.税率表'!$D$17)+'14.增值税计算表'!AF365+'14.增值税计算表'!AF376</f>
        <v>0</v>
      </c>
      <c r="AM22" s="761">
        <f t="shared" si="69"/>
        <v>0</v>
      </c>
      <c r="AN22" s="832">
        <f>'14.增值税计算表'!AG20*(1+'2.税率表'!$D$13+'2.税率表'!$D$14+'2.税率表'!$D$17)+'14.增值税计算表'!AG365+'14.增值税计算表'!AG376</f>
        <v>0</v>
      </c>
      <c r="AO22" s="785">
        <f>'14.增值税计算表'!AH20*(1+'2.税率表'!$D$13+'2.税率表'!$D$14+'2.税率表'!$D$17)+'14.增值税计算表'!AH365+'14.增值税计算表'!AH376</f>
        <v>0</v>
      </c>
      <c r="AP22" s="785">
        <f>'14.增值税计算表'!AI20*(1+'2.税率表'!$D$13+'2.税率表'!$D$14+'2.税率表'!$D$17)+'14.增值税计算表'!AI365+'14.增值税计算表'!AI376</f>
        <v>0</v>
      </c>
      <c r="AQ22" s="785">
        <f>'14.增值税计算表'!AJ20*(1+'2.税率表'!$D$13+'2.税率表'!$D$14+'2.税率表'!$D$17)+'14.增值税计算表'!AJ365+'14.增值税计算表'!AJ376</f>
        <v>0</v>
      </c>
      <c r="AR22" s="761">
        <f t="shared" si="71"/>
        <v>0</v>
      </c>
      <c r="AS22" s="832">
        <f>'14.增值税计算表'!AK20*(1+'2.税率表'!$D$13+'2.税率表'!$D$14+'2.税率表'!$D$17)+'14.增值税计算表'!AK365+'14.增值税计算表'!AK376</f>
        <v>0</v>
      </c>
      <c r="AT22" s="785">
        <f>'14.增值税计算表'!AL20*(1+'2.税率表'!$D$13+'2.税率表'!$D$14+'2.税率表'!$D$17)+'14.增值税计算表'!AL365+'14.增值税计算表'!AL376</f>
        <v>0</v>
      </c>
      <c r="AU22" s="785">
        <f>'14.增值税计算表'!AM20*(1+'2.税率表'!$D$13+'2.税率表'!$D$14+'2.税率表'!$D$17)+'14.增值税计算表'!AM365+'14.增值税计算表'!AM376</f>
        <v>0</v>
      </c>
      <c r="AV22" s="785">
        <f>'14.增值税计算表'!AN20*(1+'2.税率表'!$D$13+'2.税率表'!$D$14+'2.税率表'!$D$17)+'14.增值税计算表'!AN365+'14.增值税计算表'!AN376</f>
        <v>0</v>
      </c>
      <c r="AW22" s="761">
        <f t="shared" si="73"/>
        <v>0</v>
      </c>
      <c r="AX22" s="832">
        <f>'14.增值税计算表'!AO20*(1+'2.税率表'!$D$13+'2.税率表'!$D$14+'2.税率表'!$D$17)+'14.增值税计算表'!AO365+'14.增值税计算表'!AO376</f>
        <v>0</v>
      </c>
      <c r="AY22" s="785">
        <f>'14.增值税计算表'!AP20*(1+'2.税率表'!$D$13+'2.税率表'!$D$14+'2.税率表'!$D$17)+'14.增值税计算表'!AP365+'14.增值税计算表'!AP376</f>
        <v>0</v>
      </c>
      <c r="AZ22" s="785">
        <f>'14.增值税计算表'!AQ20*(1+'2.税率表'!$D$13+'2.税率表'!$D$14+'2.税率表'!$D$17)+'14.增值税计算表'!AQ365+'14.增值税计算表'!AQ376</f>
        <v>0</v>
      </c>
      <c r="BA22" s="785">
        <f>'14.增值税计算表'!AR20*(1+'2.税率表'!$D$13+'2.税率表'!$D$14+'2.税率表'!$D$17)+'14.增值税计算表'!AR365+'14.增值税计算表'!AR376</f>
        <v>0</v>
      </c>
      <c r="BB22" s="761">
        <f t="shared" si="75"/>
        <v>0</v>
      </c>
      <c r="BC22" s="832">
        <f>'14.增值税计算表'!AS20*(1+'2.税率表'!$D$13+'2.税率表'!$D$14+'2.税率表'!$D$17)+'14.增值税计算表'!AS365+'14.增值税计算表'!AS376</f>
        <v>0</v>
      </c>
      <c r="BD22" s="785">
        <f>'14.增值税计算表'!AT20*(1+'2.税率表'!$D$13+'2.税率表'!$D$14+'2.税率表'!$D$17)+'14.增值税计算表'!AT365+'14.增值税计算表'!AT376</f>
        <v>0</v>
      </c>
      <c r="BE22" s="785">
        <f>'14.增值税计算表'!AU20*(1+'2.税率表'!$D$13+'2.税率表'!$D$14+'2.税率表'!$D$17)+'14.增值税计算表'!AU365+'14.增值税计算表'!AU376</f>
        <v>0</v>
      </c>
      <c r="BF22" s="848">
        <f>'14.增值税计算表'!AV20*(1+'2.税率表'!$D$13+'2.税率表'!$D$14+'2.税率表'!$D$17)+'14.增值税计算表'!AV365+'14.增值税计算表'!AV376</f>
        <v>0</v>
      </c>
      <c r="BG22" s="747"/>
      <c r="BH22" s="747"/>
      <c r="BI22" s="747"/>
      <c r="BJ22" s="747"/>
      <c r="BK22" s="747"/>
      <c r="BL22" s="747"/>
      <c r="BM22" s="747"/>
      <c r="BN22" s="747"/>
      <c r="BO22" s="747"/>
      <c r="BP22" s="747"/>
      <c r="BQ22" s="747"/>
      <c r="BR22" s="747"/>
      <c r="BS22" s="747"/>
      <c r="BT22" s="747"/>
      <c r="BU22" s="747"/>
      <c r="BV22" s="747"/>
      <c r="BW22" s="747"/>
      <c r="BX22" s="747"/>
      <c r="BY22" s="747"/>
      <c r="BZ22" s="747"/>
      <c r="CA22" s="747"/>
      <c r="CB22" s="747"/>
      <c r="CC22" s="747"/>
      <c r="CD22" s="747"/>
      <c r="CE22" s="747"/>
      <c r="CF22" s="747"/>
      <c r="CG22" s="747"/>
      <c r="CH22" s="747"/>
      <c r="CI22" s="747"/>
      <c r="CJ22" s="747"/>
      <c r="CK22" s="747"/>
      <c r="CL22" s="747"/>
      <c r="CM22" s="747"/>
      <c r="CN22" s="747"/>
      <c r="CO22" s="747"/>
      <c r="CP22" s="747"/>
      <c r="CQ22" s="747"/>
      <c r="CR22" s="747"/>
      <c r="CS22" s="747"/>
      <c r="CT22" s="747"/>
      <c r="CU22" s="747"/>
      <c r="CV22" s="747"/>
      <c r="CW22" s="747"/>
      <c r="CX22" s="747"/>
      <c r="CY22" s="747"/>
      <c r="CZ22" s="747"/>
      <c r="DA22" s="747"/>
      <c r="DB22" s="747"/>
      <c r="DC22" s="747"/>
      <c r="DD22" s="747"/>
      <c r="DE22" s="747"/>
      <c r="DF22" s="747"/>
      <c r="DG22" s="747"/>
      <c r="DH22" s="747"/>
      <c r="DI22" s="747"/>
      <c r="DJ22" s="747"/>
      <c r="DK22" s="747"/>
      <c r="DL22" s="747"/>
      <c r="DM22" s="747"/>
      <c r="DN22" s="747"/>
      <c r="DO22" s="747"/>
      <c r="DP22" s="747"/>
      <c r="DQ22" s="747"/>
      <c r="DR22" s="747"/>
      <c r="DS22" s="747"/>
      <c r="DT22" s="747"/>
      <c r="DU22" s="747"/>
      <c r="DV22" s="747"/>
      <c r="DW22" s="747"/>
      <c r="DX22" s="747"/>
      <c r="DY22" s="747"/>
      <c r="DZ22" s="747"/>
      <c r="EA22" s="747"/>
      <c r="EB22" s="747"/>
      <c r="EC22" s="747"/>
      <c r="ED22" s="747"/>
      <c r="EE22" s="747"/>
      <c r="EF22" s="747"/>
      <c r="EG22" s="747"/>
      <c r="EH22" s="747"/>
      <c r="EI22" s="747"/>
      <c r="EJ22" s="747"/>
      <c r="EK22" s="747"/>
      <c r="EL22" s="747"/>
      <c r="EM22" s="747"/>
      <c r="EN22" s="747"/>
      <c r="EO22" s="747"/>
      <c r="EP22" s="747"/>
      <c r="EQ22" s="747"/>
      <c r="ER22" s="747"/>
      <c r="ES22" s="747"/>
      <c r="ET22" s="747"/>
      <c r="EU22" s="747"/>
      <c r="EV22" s="747"/>
      <c r="EW22" s="747"/>
      <c r="EX22" s="747"/>
      <c r="EY22" s="747"/>
      <c r="EZ22" s="747"/>
      <c r="FA22" s="747"/>
      <c r="FB22" s="747"/>
      <c r="FC22" s="747"/>
      <c r="FD22" s="747"/>
      <c r="FE22" s="747"/>
      <c r="FF22" s="747"/>
      <c r="FG22" s="747"/>
      <c r="FH22" s="747"/>
      <c r="FI22" s="747"/>
      <c r="FJ22" s="747"/>
      <c r="FK22" s="747"/>
      <c r="FL22" s="747"/>
      <c r="FM22" s="747"/>
      <c r="FN22" s="747"/>
      <c r="FO22" s="747"/>
      <c r="FP22" s="747"/>
      <c r="FQ22" s="747"/>
      <c r="FR22" s="747"/>
      <c r="FS22" s="747"/>
      <c r="FT22" s="747"/>
      <c r="FU22" s="747"/>
      <c r="FV22" s="747"/>
      <c r="FW22" s="747"/>
      <c r="FX22" s="747"/>
      <c r="FY22" s="747"/>
      <c r="FZ22" s="747"/>
      <c r="GA22" s="747"/>
      <c r="GB22" s="747"/>
      <c r="GC22" s="747"/>
      <c r="GD22" s="747"/>
      <c r="GE22" s="747"/>
      <c r="GF22" s="747"/>
      <c r="GG22" s="747"/>
      <c r="GH22" s="747"/>
      <c r="GI22" s="747"/>
      <c r="GJ22" s="747"/>
    </row>
    <row r="23" spans="1:192" ht="17.25" customHeight="1" outlineLevel="2">
      <c r="A23" s="784"/>
      <c r="B23" s="783" t="s">
        <v>707</v>
      </c>
      <c r="C23" s="773">
        <f t="shared" ca="1" si="77"/>
        <v>7632.9854964831366</v>
      </c>
      <c r="D23" s="761">
        <f t="shared" si="82"/>
        <v>0</v>
      </c>
      <c r="E23" s="773">
        <f>SUM('15.土地增值税'!D129:D134)</f>
        <v>0</v>
      </c>
      <c r="F23" s="773">
        <f>SUM('15.土地增值税'!E129:E134)</f>
        <v>0</v>
      </c>
      <c r="G23" s="773">
        <f>SUM('15.土地增值税'!F129:F134)</f>
        <v>0</v>
      </c>
      <c r="H23" s="773">
        <f>SUM('15.土地增值税'!G129:G134)</f>
        <v>0</v>
      </c>
      <c r="I23" s="761">
        <f t="shared" si="83"/>
        <v>0</v>
      </c>
      <c r="J23" s="773">
        <f>SUM('15.土地增值税'!H129:H134)</f>
        <v>0</v>
      </c>
      <c r="K23" s="773">
        <f>SUM('15.土地增值税'!I129:I134)</f>
        <v>0</v>
      </c>
      <c r="L23" s="773">
        <f>SUM('15.土地增值税'!J129:J134)</f>
        <v>0</v>
      </c>
      <c r="M23" s="773">
        <f>SUM('15.土地增值税'!K129:K134)</f>
        <v>0</v>
      </c>
      <c r="N23" s="761">
        <f t="shared" ca="1" si="59"/>
        <v>7632.9854964831366</v>
      </c>
      <c r="O23" s="773">
        <f ca="1">SUM('15.土地增值税'!L129:L134)</f>
        <v>7632.9854964831366</v>
      </c>
      <c r="P23" s="773">
        <f>SUM('15.土地增值税'!M129:M134)</f>
        <v>0</v>
      </c>
      <c r="Q23" s="773">
        <f>SUM('15.土地增值税'!N129:N134)</f>
        <v>0</v>
      </c>
      <c r="R23" s="773">
        <f>SUM('15.土地增值税'!O129:O134)</f>
        <v>0</v>
      </c>
      <c r="S23" s="761">
        <f t="shared" si="61"/>
        <v>0</v>
      </c>
      <c r="T23" s="773">
        <f>SUM('15.土地增值税'!P129:P134)</f>
        <v>0</v>
      </c>
      <c r="U23" s="773">
        <f>SUM('15.土地增值税'!Q129:Q134)</f>
        <v>0</v>
      </c>
      <c r="V23" s="773">
        <f>SUM('15.土地增值税'!R129:R134)</f>
        <v>0</v>
      </c>
      <c r="W23" s="773">
        <f>SUM('15.土地增值税'!S129:S134)</f>
        <v>0</v>
      </c>
      <c r="X23" s="761">
        <f t="shared" si="63"/>
        <v>0</v>
      </c>
      <c r="Y23" s="773">
        <f>SUM('15.土地增值税'!T129:T134)</f>
        <v>0</v>
      </c>
      <c r="Z23" s="773">
        <f>SUM('15.土地增值税'!U129:U134)</f>
        <v>0</v>
      </c>
      <c r="AA23" s="773">
        <f>SUM('15.土地增值税'!V129:V134)</f>
        <v>0</v>
      </c>
      <c r="AB23" s="773">
        <f>SUM('15.土地增值税'!W129:W134)</f>
        <v>0</v>
      </c>
      <c r="AC23" s="761">
        <f t="shared" si="65"/>
        <v>0</v>
      </c>
      <c r="AD23" s="773">
        <f>SUM('15.土地增值税'!X129:X134)</f>
        <v>0</v>
      </c>
      <c r="AE23" s="773">
        <f>SUM('15.土地增值税'!Y129:Y134)</f>
        <v>0</v>
      </c>
      <c r="AF23" s="773">
        <f>SUM('15.土地增值税'!Z129:Z134)</f>
        <v>0</v>
      </c>
      <c r="AG23" s="773">
        <f>SUM('15.土地增值税'!AA129:AA134)</f>
        <v>0</v>
      </c>
      <c r="AH23" s="761">
        <f t="shared" si="67"/>
        <v>0</v>
      </c>
      <c r="AI23" s="773">
        <f>SUM('15.土地增值税'!AB129:AB134)</f>
        <v>0</v>
      </c>
      <c r="AJ23" s="773">
        <f>SUM('15.土地增值税'!AC129:AC134)</f>
        <v>0</v>
      </c>
      <c r="AK23" s="773">
        <f>SUM('15.土地增值税'!AD129:AD134)</f>
        <v>0</v>
      </c>
      <c r="AL23" s="773">
        <f>SUM('15.土地增值税'!AE129:AE134)</f>
        <v>0</v>
      </c>
      <c r="AM23" s="761">
        <f t="shared" si="69"/>
        <v>0</v>
      </c>
      <c r="AN23" s="773">
        <f>SUM('15.土地增值税'!AF129:AF134)</f>
        <v>0</v>
      </c>
      <c r="AO23" s="773">
        <f>SUM('15.土地增值税'!AG129:AG134)</f>
        <v>0</v>
      </c>
      <c r="AP23" s="773">
        <f>SUM('15.土地增值税'!AH129:AH134)</f>
        <v>0</v>
      </c>
      <c r="AQ23" s="773">
        <f>SUM('15.土地增值税'!AI129:AI134)</f>
        <v>0</v>
      </c>
      <c r="AR23" s="761">
        <f t="shared" si="71"/>
        <v>0</v>
      </c>
      <c r="AS23" s="773">
        <f>SUM('15.土地增值税'!AJ129:AJ134)</f>
        <v>0</v>
      </c>
      <c r="AT23" s="773">
        <f>SUM('15.土地增值税'!AK129:AK134)</f>
        <v>0</v>
      </c>
      <c r="AU23" s="773">
        <f>SUM('15.土地增值税'!AL129:AL134)</f>
        <v>0</v>
      </c>
      <c r="AV23" s="773">
        <f>SUM('15.土地增值税'!AM129:AM134)</f>
        <v>0</v>
      </c>
      <c r="AW23" s="761">
        <f t="shared" si="73"/>
        <v>0</v>
      </c>
      <c r="AX23" s="773">
        <f>SUM('15.土地增值税'!AN129:AN134)</f>
        <v>0</v>
      </c>
      <c r="AY23" s="773">
        <f>SUM('15.土地增值税'!AO129:AO134)</f>
        <v>0</v>
      </c>
      <c r="AZ23" s="773">
        <f>SUM('15.土地增值税'!AP129:AP134)</f>
        <v>0</v>
      </c>
      <c r="BA23" s="773">
        <f>SUM('15.土地增值税'!AQ129:AQ134)</f>
        <v>0</v>
      </c>
      <c r="BB23" s="761">
        <f t="shared" si="75"/>
        <v>0</v>
      </c>
      <c r="BC23" s="773">
        <f>SUM('15.土地增值税'!AR129:AR134)</f>
        <v>0</v>
      </c>
      <c r="BD23" s="773">
        <f>SUM('15.土地增值税'!AS129:AS134)</f>
        <v>0</v>
      </c>
      <c r="BE23" s="773">
        <f>SUM('15.土地增值税'!AT129:AT134)</f>
        <v>0</v>
      </c>
      <c r="BF23" s="845">
        <f>SUM('15.土地增值税'!AU129:AU134)</f>
        <v>0</v>
      </c>
      <c r="BG23" s="747"/>
      <c r="BH23" s="747"/>
      <c r="BI23" s="747"/>
      <c r="BJ23" s="747"/>
      <c r="BK23" s="747"/>
      <c r="BL23" s="747"/>
      <c r="BM23" s="747"/>
      <c r="BN23" s="747"/>
      <c r="BO23" s="747"/>
      <c r="BP23" s="747"/>
      <c r="BQ23" s="747"/>
      <c r="BR23" s="747"/>
      <c r="BS23" s="747"/>
      <c r="BT23" s="747"/>
      <c r="BU23" s="747"/>
      <c r="BV23" s="747"/>
      <c r="BW23" s="747"/>
      <c r="BX23" s="747"/>
      <c r="BY23" s="747"/>
      <c r="BZ23" s="747"/>
      <c r="CA23" s="747"/>
      <c r="CB23" s="747"/>
      <c r="CC23" s="747"/>
      <c r="CD23" s="747"/>
      <c r="CE23" s="747"/>
      <c r="CF23" s="747"/>
      <c r="CG23" s="747"/>
      <c r="CH23" s="747"/>
      <c r="CI23" s="747"/>
      <c r="CJ23" s="747"/>
      <c r="CK23" s="747"/>
      <c r="CL23" s="747"/>
      <c r="CM23" s="747"/>
      <c r="CN23" s="747"/>
      <c r="CO23" s="747"/>
      <c r="CP23" s="747"/>
      <c r="CQ23" s="747"/>
      <c r="CR23" s="747"/>
      <c r="CS23" s="747"/>
      <c r="CT23" s="747"/>
      <c r="CU23" s="747"/>
      <c r="CV23" s="747"/>
      <c r="CW23" s="747"/>
      <c r="CX23" s="747"/>
      <c r="CY23" s="747"/>
      <c r="CZ23" s="747"/>
      <c r="DA23" s="747"/>
      <c r="DB23" s="747"/>
      <c r="DC23" s="747"/>
      <c r="DD23" s="747"/>
      <c r="DE23" s="747"/>
      <c r="DF23" s="747"/>
      <c r="DG23" s="747"/>
      <c r="DH23" s="747"/>
      <c r="DI23" s="747"/>
      <c r="DJ23" s="747"/>
      <c r="DK23" s="747"/>
      <c r="DL23" s="747"/>
      <c r="DM23" s="747"/>
      <c r="DN23" s="747"/>
      <c r="DO23" s="747"/>
      <c r="DP23" s="747"/>
      <c r="DQ23" s="747"/>
      <c r="DR23" s="747"/>
      <c r="DS23" s="747"/>
      <c r="DT23" s="747"/>
      <c r="DU23" s="747"/>
      <c r="DV23" s="747"/>
      <c r="DW23" s="747"/>
      <c r="DX23" s="747"/>
      <c r="DY23" s="747"/>
      <c r="DZ23" s="747"/>
      <c r="EA23" s="747"/>
      <c r="EB23" s="747"/>
      <c r="EC23" s="747"/>
      <c r="ED23" s="747"/>
      <c r="EE23" s="747"/>
      <c r="EF23" s="747"/>
      <c r="EG23" s="747"/>
      <c r="EH23" s="747"/>
      <c r="EI23" s="747"/>
      <c r="EJ23" s="747"/>
      <c r="EK23" s="747"/>
      <c r="EL23" s="747"/>
      <c r="EM23" s="747"/>
      <c r="EN23" s="747"/>
      <c r="EO23" s="747"/>
      <c r="EP23" s="747"/>
      <c r="EQ23" s="747"/>
      <c r="ER23" s="747"/>
      <c r="ES23" s="747"/>
      <c r="ET23" s="747"/>
      <c r="EU23" s="747"/>
      <c r="EV23" s="747"/>
      <c r="EW23" s="747"/>
      <c r="EX23" s="747"/>
      <c r="EY23" s="747"/>
      <c r="EZ23" s="747"/>
      <c r="FA23" s="747"/>
      <c r="FB23" s="747"/>
      <c r="FC23" s="747"/>
      <c r="FD23" s="747"/>
      <c r="FE23" s="747"/>
      <c r="FF23" s="747"/>
      <c r="FG23" s="747"/>
      <c r="FH23" s="747"/>
      <c r="FI23" s="747"/>
      <c r="FJ23" s="747"/>
      <c r="FK23" s="747"/>
      <c r="FL23" s="747"/>
      <c r="FM23" s="747"/>
      <c r="FN23" s="747"/>
      <c r="FO23" s="747"/>
      <c r="FP23" s="747"/>
      <c r="FQ23" s="747"/>
      <c r="FR23" s="747"/>
      <c r="FS23" s="747"/>
      <c r="FT23" s="747"/>
      <c r="FU23" s="747"/>
      <c r="FV23" s="747"/>
      <c r="FW23" s="747"/>
      <c r="FX23" s="747"/>
      <c r="FY23" s="747"/>
      <c r="FZ23" s="747"/>
      <c r="GA23" s="747"/>
      <c r="GB23" s="747"/>
      <c r="GC23" s="747"/>
      <c r="GD23" s="747"/>
      <c r="GE23" s="747"/>
      <c r="GF23" s="747"/>
      <c r="GG23" s="747"/>
      <c r="GH23" s="747"/>
      <c r="GI23" s="747"/>
      <c r="GJ23" s="747"/>
    </row>
    <row r="24" spans="1:192" s="736" customFormat="1" ht="17.25" customHeight="1">
      <c r="A24" s="792"/>
      <c r="B24" s="768" t="s">
        <v>708</v>
      </c>
      <c r="C24" s="793">
        <f t="shared" ref="C24:H24" si="84">SUM(C25:C27)</f>
        <v>0</v>
      </c>
      <c r="D24" s="761">
        <f t="shared" si="82"/>
        <v>0</v>
      </c>
      <c r="E24" s="770">
        <f t="shared" si="84"/>
        <v>0</v>
      </c>
      <c r="F24" s="770">
        <f t="shared" si="84"/>
        <v>0</v>
      </c>
      <c r="G24" s="770">
        <f t="shared" si="84"/>
        <v>0</v>
      </c>
      <c r="H24" s="771">
        <f t="shared" si="84"/>
        <v>0</v>
      </c>
      <c r="I24" s="761">
        <f t="shared" si="83"/>
        <v>0</v>
      </c>
      <c r="J24" s="828">
        <f t="shared" ref="J24:M24" si="85">SUM(J25:J27)</f>
        <v>0</v>
      </c>
      <c r="K24" s="770">
        <f t="shared" si="85"/>
        <v>0</v>
      </c>
      <c r="L24" s="770">
        <f t="shared" si="85"/>
        <v>0</v>
      </c>
      <c r="M24" s="770">
        <f t="shared" si="85"/>
        <v>0</v>
      </c>
      <c r="N24" s="761">
        <f t="shared" si="59"/>
        <v>0</v>
      </c>
      <c r="O24" s="828">
        <f t="shared" ref="O24:R24" si="86">SUM(O25:O27)</f>
        <v>0</v>
      </c>
      <c r="P24" s="770">
        <f t="shared" si="86"/>
        <v>0</v>
      </c>
      <c r="Q24" s="770">
        <f t="shared" si="86"/>
        <v>0</v>
      </c>
      <c r="R24" s="770">
        <f t="shared" si="86"/>
        <v>0</v>
      </c>
      <c r="S24" s="761">
        <f t="shared" si="61"/>
        <v>0</v>
      </c>
      <c r="T24" s="828">
        <f t="shared" ref="T24:W24" si="87">SUM(T25:T27)</f>
        <v>0</v>
      </c>
      <c r="U24" s="770">
        <f t="shared" si="87"/>
        <v>0</v>
      </c>
      <c r="V24" s="770">
        <f t="shared" si="87"/>
        <v>0</v>
      </c>
      <c r="W24" s="770">
        <f t="shared" si="87"/>
        <v>0</v>
      </c>
      <c r="X24" s="761">
        <f t="shared" si="63"/>
        <v>0</v>
      </c>
      <c r="Y24" s="828">
        <f t="shared" ref="Y24:AB24" si="88">SUM(Y25:Y27)</f>
        <v>0</v>
      </c>
      <c r="Z24" s="770">
        <f t="shared" si="88"/>
        <v>0</v>
      </c>
      <c r="AA24" s="770">
        <f t="shared" si="88"/>
        <v>0</v>
      </c>
      <c r="AB24" s="770">
        <f t="shared" si="88"/>
        <v>0</v>
      </c>
      <c r="AC24" s="761">
        <f t="shared" si="65"/>
        <v>0</v>
      </c>
      <c r="AD24" s="828">
        <f t="shared" ref="AD24:AG24" si="89">SUM(AD25:AD27)</f>
        <v>0</v>
      </c>
      <c r="AE24" s="770">
        <f t="shared" si="89"/>
        <v>0</v>
      </c>
      <c r="AF24" s="770">
        <f t="shared" si="89"/>
        <v>0</v>
      </c>
      <c r="AG24" s="770">
        <f t="shared" si="89"/>
        <v>0</v>
      </c>
      <c r="AH24" s="761">
        <f t="shared" si="67"/>
        <v>0</v>
      </c>
      <c r="AI24" s="828">
        <f t="shared" ref="AI24:AL24" si="90">SUM(AI25:AI27)</f>
        <v>0</v>
      </c>
      <c r="AJ24" s="770">
        <f t="shared" si="90"/>
        <v>0</v>
      </c>
      <c r="AK24" s="770">
        <f t="shared" si="90"/>
        <v>0</v>
      </c>
      <c r="AL24" s="770">
        <f t="shared" si="90"/>
        <v>0</v>
      </c>
      <c r="AM24" s="761">
        <f t="shared" si="69"/>
        <v>0</v>
      </c>
      <c r="AN24" s="828">
        <f t="shared" ref="AN24:AQ24" si="91">SUM(AN25:AN27)</f>
        <v>0</v>
      </c>
      <c r="AO24" s="770">
        <f t="shared" si="91"/>
        <v>0</v>
      </c>
      <c r="AP24" s="770">
        <f t="shared" si="91"/>
        <v>0</v>
      </c>
      <c r="AQ24" s="770">
        <f t="shared" si="91"/>
        <v>0</v>
      </c>
      <c r="AR24" s="761">
        <f t="shared" si="71"/>
        <v>0</v>
      </c>
      <c r="AS24" s="828">
        <f t="shared" ref="AS24:AV24" si="92">SUM(AS25:AS27)</f>
        <v>0</v>
      </c>
      <c r="AT24" s="770">
        <f t="shared" si="92"/>
        <v>0</v>
      </c>
      <c r="AU24" s="770">
        <f t="shared" si="92"/>
        <v>0</v>
      </c>
      <c r="AV24" s="770">
        <f t="shared" si="92"/>
        <v>0</v>
      </c>
      <c r="AW24" s="761">
        <f t="shared" si="73"/>
        <v>0</v>
      </c>
      <c r="AX24" s="828">
        <f t="shared" ref="AX24:BA24" si="93">SUM(AX25:AX27)</f>
        <v>0</v>
      </c>
      <c r="AY24" s="770">
        <f t="shared" si="93"/>
        <v>0</v>
      </c>
      <c r="AZ24" s="770">
        <f t="shared" si="93"/>
        <v>0</v>
      </c>
      <c r="BA24" s="770">
        <f t="shared" si="93"/>
        <v>0</v>
      </c>
      <c r="BB24" s="761">
        <f t="shared" si="75"/>
        <v>0</v>
      </c>
      <c r="BC24" s="828">
        <f t="shared" ref="BC24:BF24" si="94">SUM(BC25:BC27)</f>
        <v>0</v>
      </c>
      <c r="BD24" s="770">
        <f t="shared" si="94"/>
        <v>0</v>
      </c>
      <c r="BE24" s="770">
        <f t="shared" si="94"/>
        <v>0</v>
      </c>
      <c r="BF24" s="844">
        <f t="shared" si="94"/>
        <v>0</v>
      </c>
      <c r="BG24" s="839"/>
      <c r="BH24" s="839"/>
      <c r="BI24" s="839"/>
      <c r="BJ24" s="839"/>
      <c r="BK24" s="839"/>
      <c r="BL24" s="839"/>
      <c r="BM24" s="839"/>
      <c r="BN24" s="839"/>
      <c r="BO24" s="839"/>
      <c r="BP24" s="839"/>
      <c r="BQ24" s="839"/>
      <c r="BR24" s="839"/>
      <c r="BS24" s="839"/>
      <c r="BT24" s="839"/>
      <c r="BU24" s="839"/>
      <c r="BV24" s="839"/>
      <c r="BW24" s="839"/>
      <c r="BX24" s="839"/>
      <c r="BY24" s="839"/>
      <c r="BZ24" s="839"/>
      <c r="CA24" s="839"/>
      <c r="CB24" s="839"/>
      <c r="CC24" s="839"/>
      <c r="CD24" s="839"/>
      <c r="CE24" s="839"/>
      <c r="CF24" s="839"/>
      <c r="CG24" s="839"/>
      <c r="CH24" s="839"/>
      <c r="CI24" s="839"/>
      <c r="CJ24" s="839"/>
      <c r="CK24" s="839"/>
      <c r="CL24" s="839"/>
      <c r="CM24" s="839"/>
      <c r="CN24" s="839"/>
      <c r="CO24" s="839"/>
      <c r="CP24" s="839"/>
      <c r="CQ24" s="839"/>
      <c r="CR24" s="839"/>
      <c r="CS24" s="839"/>
      <c r="CT24" s="839"/>
      <c r="CU24" s="839"/>
      <c r="CV24" s="839"/>
      <c r="CW24" s="839"/>
      <c r="CX24" s="839"/>
      <c r="CY24" s="839"/>
      <c r="CZ24" s="839"/>
      <c r="DA24" s="839"/>
      <c r="DB24" s="839"/>
      <c r="DC24" s="839"/>
      <c r="DD24" s="839"/>
      <c r="DE24" s="839"/>
      <c r="DF24" s="839"/>
      <c r="DG24" s="839"/>
      <c r="DH24" s="839"/>
      <c r="DI24" s="839"/>
      <c r="DJ24" s="839"/>
      <c r="DK24" s="839"/>
      <c r="DL24" s="839"/>
      <c r="DM24" s="839"/>
      <c r="DN24" s="839"/>
      <c r="DO24" s="839"/>
      <c r="DP24" s="839"/>
      <c r="DQ24" s="839"/>
      <c r="DR24" s="839"/>
      <c r="DS24" s="839"/>
      <c r="DT24" s="839"/>
      <c r="DU24" s="839"/>
      <c r="DV24" s="839"/>
      <c r="DW24" s="839"/>
      <c r="DX24" s="839"/>
      <c r="DY24" s="839"/>
      <c r="DZ24" s="839"/>
      <c r="EA24" s="839"/>
      <c r="EB24" s="839"/>
      <c r="EC24" s="839"/>
      <c r="ED24" s="839"/>
      <c r="EE24" s="839"/>
      <c r="EF24" s="839"/>
      <c r="EG24" s="839"/>
      <c r="EH24" s="839"/>
      <c r="EI24" s="839"/>
      <c r="EJ24" s="839"/>
      <c r="EK24" s="839"/>
      <c r="EL24" s="839"/>
      <c r="EM24" s="839"/>
      <c r="EN24" s="839"/>
      <c r="EO24" s="839"/>
      <c r="EP24" s="839"/>
      <c r="EQ24" s="839"/>
      <c r="ER24" s="839"/>
      <c r="ES24" s="839"/>
      <c r="ET24" s="839"/>
      <c r="EU24" s="839"/>
      <c r="EV24" s="839"/>
      <c r="EW24" s="839"/>
      <c r="EX24" s="839"/>
      <c r="EY24" s="839"/>
      <c r="EZ24" s="839"/>
      <c r="FA24" s="839"/>
      <c r="FB24" s="839"/>
      <c r="FC24" s="839"/>
      <c r="FD24" s="839"/>
      <c r="FE24" s="839"/>
      <c r="FF24" s="839"/>
      <c r="FG24" s="839"/>
      <c r="FH24" s="839"/>
      <c r="FI24" s="839"/>
      <c r="FJ24" s="839"/>
      <c r="FK24" s="839"/>
      <c r="FL24" s="839"/>
      <c r="FM24" s="839"/>
      <c r="FN24" s="839"/>
      <c r="FO24" s="839"/>
      <c r="FP24" s="839"/>
      <c r="FQ24" s="839"/>
      <c r="FR24" s="839"/>
      <c r="FS24" s="839"/>
      <c r="FT24" s="839"/>
      <c r="FU24" s="839"/>
      <c r="FV24" s="839"/>
      <c r="FW24" s="839"/>
      <c r="FX24" s="839"/>
      <c r="FY24" s="839"/>
      <c r="FZ24" s="839"/>
      <c r="GA24" s="839"/>
      <c r="GB24" s="839"/>
      <c r="GC24" s="839"/>
      <c r="GD24" s="839"/>
      <c r="GE24" s="839"/>
      <c r="GF24" s="839"/>
      <c r="GG24" s="839"/>
      <c r="GH24" s="839"/>
      <c r="GI24" s="839"/>
      <c r="GJ24" s="839"/>
    </row>
    <row r="25" spans="1:192" s="740" customFormat="1" ht="17.25" customHeight="1" outlineLevel="1">
      <c r="A25" s="784"/>
      <c r="B25" s="772" t="s">
        <v>709</v>
      </c>
      <c r="C25" s="773">
        <f t="shared" si="77"/>
        <v>0</v>
      </c>
      <c r="D25" s="761">
        <f t="shared" si="82"/>
        <v>0</v>
      </c>
      <c r="E25" s="794"/>
      <c r="F25" s="794"/>
      <c r="G25" s="794"/>
      <c r="H25" s="795"/>
      <c r="I25" s="761">
        <f t="shared" si="83"/>
        <v>0</v>
      </c>
      <c r="J25" s="835"/>
      <c r="K25" s="794"/>
      <c r="L25" s="794"/>
      <c r="M25" s="794"/>
      <c r="N25" s="761">
        <f t="shared" si="59"/>
        <v>0</v>
      </c>
      <c r="O25" s="835"/>
      <c r="P25" s="794"/>
      <c r="Q25" s="794"/>
      <c r="R25" s="794"/>
      <c r="S25" s="761">
        <f t="shared" si="61"/>
        <v>0</v>
      </c>
      <c r="T25" s="835"/>
      <c r="U25" s="794"/>
      <c r="V25" s="794"/>
      <c r="W25" s="794"/>
      <c r="X25" s="761">
        <f t="shared" si="63"/>
        <v>0</v>
      </c>
      <c r="Y25" s="835"/>
      <c r="Z25" s="794"/>
      <c r="AA25" s="794"/>
      <c r="AB25" s="794"/>
      <c r="AC25" s="761">
        <f t="shared" si="65"/>
        <v>0</v>
      </c>
      <c r="AD25" s="835"/>
      <c r="AE25" s="794"/>
      <c r="AF25" s="794"/>
      <c r="AG25" s="794"/>
      <c r="AH25" s="761">
        <f t="shared" si="67"/>
        <v>0</v>
      </c>
      <c r="AI25" s="835"/>
      <c r="AJ25" s="794"/>
      <c r="AK25" s="794"/>
      <c r="AL25" s="794"/>
      <c r="AM25" s="761">
        <f t="shared" si="69"/>
        <v>0</v>
      </c>
      <c r="AN25" s="835"/>
      <c r="AO25" s="794"/>
      <c r="AP25" s="794"/>
      <c r="AQ25" s="794"/>
      <c r="AR25" s="761">
        <f t="shared" si="71"/>
        <v>0</v>
      </c>
      <c r="AS25" s="835"/>
      <c r="AT25" s="794"/>
      <c r="AU25" s="794"/>
      <c r="AV25" s="794"/>
      <c r="AW25" s="761">
        <f t="shared" si="73"/>
        <v>0</v>
      </c>
      <c r="AX25" s="835"/>
      <c r="AY25" s="794"/>
      <c r="AZ25" s="794"/>
      <c r="BA25" s="794"/>
      <c r="BB25" s="761">
        <f t="shared" si="75"/>
        <v>0</v>
      </c>
      <c r="BC25" s="835"/>
      <c r="BD25" s="794"/>
      <c r="BE25" s="794"/>
      <c r="BF25" s="851"/>
      <c r="BG25" s="852"/>
      <c r="BH25" s="852"/>
      <c r="BI25" s="852"/>
      <c r="BJ25" s="852"/>
      <c r="BK25" s="852"/>
      <c r="BL25" s="852"/>
      <c r="BM25" s="852"/>
      <c r="BN25" s="852"/>
      <c r="BO25" s="852"/>
      <c r="BP25" s="852"/>
      <c r="BQ25" s="852"/>
      <c r="BR25" s="852"/>
      <c r="BS25" s="852"/>
      <c r="BT25" s="852"/>
      <c r="BU25" s="852"/>
      <c r="BV25" s="852"/>
      <c r="BW25" s="852"/>
      <c r="BX25" s="852"/>
      <c r="BY25" s="852"/>
      <c r="BZ25" s="852"/>
      <c r="CA25" s="852"/>
      <c r="CB25" s="852"/>
      <c r="CC25" s="852"/>
      <c r="CD25" s="852"/>
      <c r="CE25" s="852"/>
      <c r="CF25" s="852"/>
      <c r="CG25" s="852"/>
      <c r="CH25" s="852"/>
      <c r="CI25" s="852"/>
      <c r="CJ25" s="852"/>
      <c r="CK25" s="852"/>
      <c r="CL25" s="852"/>
      <c r="CM25" s="852"/>
      <c r="CN25" s="852"/>
      <c r="CO25" s="852"/>
      <c r="CP25" s="852"/>
      <c r="CQ25" s="852"/>
      <c r="CR25" s="852"/>
      <c r="CS25" s="852"/>
      <c r="CT25" s="852"/>
      <c r="CU25" s="852"/>
      <c r="CV25" s="852"/>
      <c r="CW25" s="852"/>
      <c r="CX25" s="852"/>
      <c r="CY25" s="852"/>
      <c r="CZ25" s="852"/>
      <c r="DA25" s="852"/>
      <c r="DB25" s="852"/>
      <c r="DC25" s="852"/>
      <c r="DD25" s="852"/>
      <c r="DE25" s="852"/>
      <c r="DF25" s="852"/>
      <c r="DG25" s="852"/>
      <c r="DH25" s="852"/>
      <c r="DI25" s="852"/>
      <c r="DJ25" s="852"/>
      <c r="DK25" s="852"/>
      <c r="DL25" s="852"/>
      <c r="DM25" s="852"/>
      <c r="DN25" s="852"/>
      <c r="DO25" s="852"/>
      <c r="DP25" s="852"/>
      <c r="DQ25" s="852"/>
      <c r="DR25" s="852"/>
      <c r="DS25" s="852"/>
      <c r="DT25" s="852"/>
      <c r="DU25" s="852"/>
      <c r="DV25" s="852"/>
      <c r="DW25" s="852"/>
      <c r="DX25" s="852"/>
      <c r="DY25" s="852"/>
      <c r="DZ25" s="852"/>
      <c r="EA25" s="852"/>
      <c r="EB25" s="852"/>
      <c r="EC25" s="852"/>
      <c r="ED25" s="852"/>
      <c r="EE25" s="852"/>
      <c r="EF25" s="852"/>
      <c r="EG25" s="852"/>
      <c r="EH25" s="852"/>
      <c r="EI25" s="852"/>
      <c r="EJ25" s="852"/>
      <c r="EK25" s="852"/>
      <c r="EL25" s="852"/>
      <c r="EM25" s="852"/>
      <c r="EN25" s="852"/>
      <c r="EO25" s="852"/>
      <c r="EP25" s="852"/>
      <c r="EQ25" s="852"/>
      <c r="ER25" s="852"/>
      <c r="ES25" s="852"/>
      <c r="ET25" s="852"/>
      <c r="EU25" s="852"/>
      <c r="EV25" s="852"/>
      <c r="EW25" s="852"/>
      <c r="EX25" s="852"/>
      <c r="EY25" s="852"/>
      <c r="EZ25" s="852"/>
      <c r="FA25" s="852"/>
      <c r="FB25" s="852"/>
      <c r="FC25" s="852"/>
      <c r="FD25" s="852"/>
      <c r="FE25" s="852"/>
      <c r="FF25" s="852"/>
      <c r="FG25" s="852"/>
      <c r="FH25" s="852"/>
      <c r="FI25" s="852"/>
      <c r="FJ25" s="852"/>
      <c r="FK25" s="852"/>
      <c r="FL25" s="852"/>
      <c r="FM25" s="852"/>
      <c r="FN25" s="852"/>
      <c r="FO25" s="852"/>
      <c r="FP25" s="852"/>
      <c r="FQ25" s="852"/>
      <c r="FR25" s="852"/>
      <c r="FS25" s="852"/>
      <c r="FT25" s="852"/>
      <c r="FU25" s="852"/>
      <c r="FV25" s="852"/>
      <c r="FW25" s="852"/>
      <c r="FX25" s="852"/>
      <c r="FY25" s="852"/>
      <c r="FZ25" s="852"/>
      <c r="GA25" s="852"/>
      <c r="GB25" s="852"/>
      <c r="GC25" s="852"/>
      <c r="GD25" s="852"/>
      <c r="GE25" s="852"/>
      <c r="GF25" s="852"/>
      <c r="GG25" s="852"/>
      <c r="GH25" s="852"/>
      <c r="GI25" s="852"/>
      <c r="GJ25" s="852"/>
    </row>
    <row r="26" spans="1:192" s="740" customFormat="1" ht="17.25" customHeight="1" outlineLevel="1">
      <c r="A26" s="784"/>
      <c r="B26" s="772" t="s">
        <v>710</v>
      </c>
      <c r="C26" s="773">
        <f t="shared" si="77"/>
        <v>0</v>
      </c>
      <c r="D26" s="761">
        <f t="shared" si="82"/>
        <v>0</v>
      </c>
      <c r="E26" s="794"/>
      <c r="F26" s="794"/>
      <c r="G26" s="794"/>
      <c r="H26" s="795"/>
      <c r="I26" s="761">
        <f t="shared" si="83"/>
        <v>0</v>
      </c>
      <c r="J26" s="835"/>
      <c r="K26" s="794"/>
      <c r="L26" s="794"/>
      <c r="M26" s="794"/>
      <c r="N26" s="761">
        <f t="shared" si="59"/>
        <v>0</v>
      </c>
      <c r="O26" s="835"/>
      <c r="P26" s="794"/>
      <c r="Q26" s="794"/>
      <c r="R26" s="794"/>
      <c r="S26" s="761">
        <f t="shared" si="61"/>
        <v>0</v>
      </c>
      <c r="T26" s="835"/>
      <c r="U26" s="794"/>
      <c r="V26" s="794"/>
      <c r="W26" s="794"/>
      <c r="X26" s="761">
        <f t="shared" si="63"/>
        <v>0</v>
      </c>
      <c r="Y26" s="835"/>
      <c r="Z26" s="794"/>
      <c r="AA26" s="794"/>
      <c r="AB26" s="794"/>
      <c r="AC26" s="761">
        <f t="shared" si="65"/>
        <v>0</v>
      </c>
      <c r="AD26" s="835"/>
      <c r="AE26" s="794"/>
      <c r="AF26" s="794"/>
      <c r="AG26" s="794"/>
      <c r="AH26" s="761">
        <f t="shared" si="67"/>
        <v>0</v>
      </c>
      <c r="AI26" s="835"/>
      <c r="AJ26" s="794"/>
      <c r="AK26" s="794"/>
      <c r="AL26" s="794"/>
      <c r="AM26" s="761">
        <f t="shared" si="69"/>
        <v>0</v>
      </c>
      <c r="AN26" s="835"/>
      <c r="AO26" s="794"/>
      <c r="AP26" s="794"/>
      <c r="AQ26" s="794"/>
      <c r="AR26" s="761">
        <f t="shared" si="71"/>
        <v>0</v>
      </c>
      <c r="AS26" s="835"/>
      <c r="AT26" s="794"/>
      <c r="AU26" s="794"/>
      <c r="AV26" s="794"/>
      <c r="AW26" s="761">
        <f t="shared" si="73"/>
        <v>0</v>
      </c>
      <c r="AX26" s="835"/>
      <c r="AY26" s="794"/>
      <c r="AZ26" s="794"/>
      <c r="BA26" s="794"/>
      <c r="BB26" s="761">
        <f t="shared" si="75"/>
        <v>0</v>
      </c>
      <c r="BC26" s="835"/>
      <c r="BD26" s="794"/>
      <c r="BE26" s="794"/>
      <c r="BF26" s="851"/>
      <c r="BG26" s="852"/>
      <c r="BH26" s="852"/>
      <c r="BI26" s="852"/>
      <c r="BJ26" s="852"/>
      <c r="BK26" s="852"/>
      <c r="BL26" s="852"/>
      <c r="BM26" s="852"/>
      <c r="BN26" s="852"/>
      <c r="BO26" s="852"/>
      <c r="BP26" s="852"/>
      <c r="BQ26" s="852"/>
      <c r="BR26" s="852"/>
      <c r="BS26" s="852"/>
      <c r="BT26" s="852"/>
      <c r="BU26" s="852"/>
      <c r="BV26" s="852"/>
      <c r="BW26" s="852"/>
      <c r="BX26" s="852"/>
      <c r="BY26" s="852"/>
      <c r="BZ26" s="852"/>
      <c r="CA26" s="852"/>
      <c r="CB26" s="852"/>
      <c r="CC26" s="852"/>
      <c r="CD26" s="852"/>
      <c r="CE26" s="852"/>
      <c r="CF26" s="852"/>
      <c r="CG26" s="852"/>
      <c r="CH26" s="852"/>
      <c r="CI26" s="852"/>
      <c r="CJ26" s="852"/>
      <c r="CK26" s="852"/>
      <c r="CL26" s="852"/>
      <c r="CM26" s="852"/>
      <c r="CN26" s="852"/>
      <c r="CO26" s="852"/>
      <c r="CP26" s="852"/>
      <c r="CQ26" s="852"/>
      <c r="CR26" s="852"/>
      <c r="CS26" s="852"/>
      <c r="CT26" s="852"/>
      <c r="CU26" s="852"/>
      <c r="CV26" s="852"/>
      <c r="CW26" s="852"/>
      <c r="CX26" s="852"/>
      <c r="CY26" s="852"/>
      <c r="CZ26" s="852"/>
      <c r="DA26" s="852"/>
      <c r="DB26" s="852"/>
      <c r="DC26" s="852"/>
      <c r="DD26" s="852"/>
      <c r="DE26" s="852"/>
      <c r="DF26" s="852"/>
      <c r="DG26" s="852"/>
      <c r="DH26" s="852"/>
      <c r="DI26" s="852"/>
      <c r="DJ26" s="852"/>
      <c r="DK26" s="852"/>
      <c r="DL26" s="852"/>
      <c r="DM26" s="852"/>
      <c r="DN26" s="852"/>
      <c r="DO26" s="852"/>
      <c r="DP26" s="852"/>
      <c r="DQ26" s="852"/>
      <c r="DR26" s="852"/>
      <c r="DS26" s="852"/>
      <c r="DT26" s="852"/>
      <c r="DU26" s="852"/>
      <c r="DV26" s="852"/>
      <c r="DW26" s="852"/>
      <c r="DX26" s="852"/>
      <c r="DY26" s="852"/>
      <c r="DZ26" s="852"/>
      <c r="EA26" s="852"/>
      <c r="EB26" s="852"/>
      <c r="EC26" s="852"/>
      <c r="ED26" s="852"/>
      <c r="EE26" s="852"/>
      <c r="EF26" s="852"/>
      <c r="EG26" s="852"/>
      <c r="EH26" s="852"/>
      <c r="EI26" s="852"/>
      <c r="EJ26" s="852"/>
      <c r="EK26" s="852"/>
      <c r="EL26" s="852"/>
      <c r="EM26" s="852"/>
      <c r="EN26" s="852"/>
      <c r="EO26" s="852"/>
      <c r="EP26" s="852"/>
      <c r="EQ26" s="852"/>
      <c r="ER26" s="852"/>
      <c r="ES26" s="852"/>
      <c r="ET26" s="852"/>
      <c r="EU26" s="852"/>
      <c r="EV26" s="852"/>
      <c r="EW26" s="852"/>
      <c r="EX26" s="852"/>
      <c r="EY26" s="852"/>
      <c r="EZ26" s="852"/>
      <c r="FA26" s="852"/>
      <c r="FB26" s="852"/>
      <c r="FC26" s="852"/>
      <c r="FD26" s="852"/>
      <c r="FE26" s="852"/>
      <c r="FF26" s="852"/>
      <c r="FG26" s="852"/>
      <c r="FH26" s="852"/>
      <c r="FI26" s="852"/>
      <c r="FJ26" s="852"/>
      <c r="FK26" s="852"/>
      <c r="FL26" s="852"/>
      <c r="FM26" s="852"/>
      <c r="FN26" s="852"/>
      <c r="FO26" s="852"/>
      <c r="FP26" s="852"/>
      <c r="FQ26" s="852"/>
      <c r="FR26" s="852"/>
      <c r="FS26" s="852"/>
      <c r="FT26" s="852"/>
      <c r="FU26" s="852"/>
      <c r="FV26" s="852"/>
      <c r="FW26" s="852"/>
      <c r="FX26" s="852"/>
      <c r="FY26" s="852"/>
      <c r="FZ26" s="852"/>
      <c r="GA26" s="852"/>
      <c r="GB26" s="852"/>
      <c r="GC26" s="852"/>
      <c r="GD26" s="852"/>
      <c r="GE26" s="852"/>
      <c r="GF26" s="852"/>
      <c r="GG26" s="852"/>
      <c r="GH26" s="852"/>
      <c r="GI26" s="852"/>
      <c r="GJ26" s="852"/>
    </row>
    <row r="27" spans="1:192" s="740" customFormat="1" ht="17.25" customHeight="1" outlineLevel="1">
      <c r="A27" s="784"/>
      <c r="B27" s="772" t="s">
        <v>711</v>
      </c>
      <c r="C27" s="773">
        <f t="shared" si="77"/>
        <v>0</v>
      </c>
      <c r="D27" s="761">
        <f t="shared" si="82"/>
        <v>0</v>
      </c>
      <c r="E27" s="794"/>
      <c r="F27" s="794"/>
      <c r="G27" s="794"/>
      <c r="H27" s="795"/>
      <c r="I27" s="761">
        <f t="shared" si="83"/>
        <v>0</v>
      </c>
      <c r="J27" s="835"/>
      <c r="K27" s="794"/>
      <c r="L27" s="794"/>
      <c r="M27" s="794"/>
      <c r="N27" s="761">
        <f t="shared" si="59"/>
        <v>0</v>
      </c>
      <c r="O27" s="835"/>
      <c r="P27" s="794"/>
      <c r="Q27" s="794"/>
      <c r="R27" s="794"/>
      <c r="S27" s="761">
        <f t="shared" si="61"/>
        <v>0</v>
      </c>
      <c r="T27" s="835"/>
      <c r="U27" s="794"/>
      <c r="V27" s="794"/>
      <c r="W27" s="794"/>
      <c r="X27" s="761">
        <f t="shared" si="63"/>
        <v>0</v>
      </c>
      <c r="Y27" s="835"/>
      <c r="Z27" s="794"/>
      <c r="AA27" s="794"/>
      <c r="AB27" s="794"/>
      <c r="AC27" s="761">
        <f t="shared" si="65"/>
        <v>0</v>
      </c>
      <c r="AD27" s="835"/>
      <c r="AE27" s="794"/>
      <c r="AF27" s="794"/>
      <c r="AG27" s="794"/>
      <c r="AH27" s="761">
        <f t="shared" si="67"/>
        <v>0</v>
      </c>
      <c r="AI27" s="835"/>
      <c r="AJ27" s="794"/>
      <c r="AK27" s="794"/>
      <c r="AL27" s="794"/>
      <c r="AM27" s="761">
        <f t="shared" si="69"/>
        <v>0</v>
      </c>
      <c r="AN27" s="835"/>
      <c r="AO27" s="794"/>
      <c r="AP27" s="794"/>
      <c r="AQ27" s="794"/>
      <c r="AR27" s="761">
        <f t="shared" si="71"/>
        <v>0</v>
      </c>
      <c r="AS27" s="835"/>
      <c r="AT27" s="794"/>
      <c r="AU27" s="794"/>
      <c r="AV27" s="794"/>
      <c r="AW27" s="761">
        <f t="shared" si="73"/>
        <v>0</v>
      </c>
      <c r="AX27" s="835"/>
      <c r="AY27" s="794"/>
      <c r="AZ27" s="794"/>
      <c r="BA27" s="794"/>
      <c r="BB27" s="761">
        <f t="shared" si="75"/>
        <v>0</v>
      </c>
      <c r="BC27" s="835"/>
      <c r="BD27" s="794"/>
      <c r="BE27" s="794"/>
      <c r="BF27" s="851"/>
      <c r="BG27" s="852"/>
      <c r="BH27" s="852"/>
      <c r="BI27" s="852"/>
      <c r="BJ27" s="852"/>
      <c r="BK27" s="852"/>
      <c r="BL27" s="852"/>
      <c r="BM27" s="852"/>
      <c r="BN27" s="852"/>
      <c r="BO27" s="852"/>
      <c r="BP27" s="852"/>
      <c r="BQ27" s="852"/>
      <c r="BR27" s="852"/>
      <c r="BS27" s="852"/>
      <c r="BT27" s="852"/>
      <c r="BU27" s="852"/>
      <c r="BV27" s="852"/>
      <c r="BW27" s="852"/>
      <c r="BX27" s="852"/>
      <c r="BY27" s="852"/>
      <c r="BZ27" s="852"/>
      <c r="CA27" s="852"/>
      <c r="CB27" s="852"/>
      <c r="CC27" s="852"/>
      <c r="CD27" s="852"/>
      <c r="CE27" s="852"/>
      <c r="CF27" s="852"/>
      <c r="CG27" s="852"/>
      <c r="CH27" s="852"/>
      <c r="CI27" s="852"/>
      <c r="CJ27" s="852"/>
      <c r="CK27" s="852"/>
      <c r="CL27" s="852"/>
      <c r="CM27" s="852"/>
      <c r="CN27" s="852"/>
      <c r="CO27" s="852"/>
      <c r="CP27" s="852"/>
      <c r="CQ27" s="852"/>
      <c r="CR27" s="852"/>
      <c r="CS27" s="852"/>
      <c r="CT27" s="852"/>
      <c r="CU27" s="852"/>
      <c r="CV27" s="852"/>
      <c r="CW27" s="852"/>
      <c r="CX27" s="852"/>
      <c r="CY27" s="852"/>
      <c r="CZ27" s="852"/>
      <c r="DA27" s="852"/>
      <c r="DB27" s="852"/>
      <c r="DC27" s="852"/>
      <c r="DD27" s="852"/>
      <c r="DE27" s="852"/>
      <c r="DF27" s="852"/>
      <c r="DG27" s="852"/>
      <c r="DH27" s="852"/>
      <c r="DI27" s="852"/>
      <c r="DJ27" s="852"/>
      <c r="DK27" s="852"/>
      <c r="DL27" s="852"/>
      <c r="DM27" s="852"/>
      <c r="DN27" s="852"/>
      <c r="DO27" s="852"/>
      <c r="DP27" s="852"/>
      <c r="DQ27" s="852"/>
      <c r="DR27" s="852"/>
      <c r="DS27" s="852"/>
      <c r="DT27" s="852"/>
      <c r="DU27" s="852"/>
      <c r="DV27" s="852"/>
      <c r="DW27" s="852"/>
      <c r="DX27" s="852"/>
      <c r="DY27" s="852"/>
      <c r="DZ27" s="852"/>
      <c r="EA27" s="852"/>
      <c r="EB27" s="852"/>
      <c r="EC27" s="852"/>
      <c r="ED27" s="852"/>
      <c r="EE27" s="852"/>
      <c r="EF27" s="852"/>
      <c r="EG27" s="852"/>
      <c r="EH27" s="852"/>
      <c r="EI27" s="852"/>
      <c r="EJ27" s="852"/>
      <c r="EK27" s="852"/>
      <c r="EL27" s="852"/>
      <c r="EM27" s="852"/>
      <c r="EN27" s="852"/>
      <c r="EO27" s="852"/>
      <c r="EP27" s="852"/>
      <c r="EQ27" s="852"/>
      <c r="ER27" s="852"/>
      <c r="ES27" s="852"/>
      <c r="ET27" s="852"/>
      <c r="EU27" s="852"/>
      <c r="EV27" s="852"/>
      <c r="EW27" s="852"/>
      <c r="EX27" s="852"/>
      <c r="EY27" s="852"/>
      <c r="EZ27" s="852"/>
      <c r="FA27" s="852"/>
      <c r="FB27" s="852"/>
      <c r="FC27" s="852"/>
      <c r="FD27" s="852"/>
      <c r="FE27" s="852"/>
      <c r="FF27" s="852"/>
      <c r="FG27" s="852"/>
      <c r="FH27" s="852"/>
      <c r="FI27" s="852"/>
      <c r="FJ27" s="852"/>
      <c r="FK27" s="852"/>
      <c r="FL27" s="852"/>
      <c r="FM27" s="852"/>
      <c r="FN27" s="852"/>
      <c r="FO27" s="852"/>
      <c r="FP27" s="852"/>
      <c r="FQ27" s="852"/>
      <c r="FR27" s="852"/>
      <c r="FS27" s="852"/>
      <c r="FT27" s="852"/>
      <c r="FU27" s="852"/>
      <c r="FV27" s="852"/>
      <c r="FW27" s="852"/>
      <c r="FX27" s="852"/>
      <c r="FY27" s="852"/>
      <c r="FZ27" s="852"/>
      <c r="GA27" s="852"/>
      <c r="GB27" s="852"/>
      <c r="GC27" s="852"/>
      <c r="GD27" s="852"/>
      <c r="GE27" s="852"/>
      <c r="GF27" s="852"/>
      <c r="GG27" s="852"/>
      <c r="GH27" s="852"/>
      <c r="GI27" s="852"/>
      <c r="GJ27" s="852"/>
    </row>
    <row r="28" spans="1:192" s="736" customFormat="1" ht="17.25" customHeight="1">
      <c r="A28" s="796"/>
      <c r="B28" s="797" t="s">
        <v>712</v>
      </c>
      <c r="C28" s="798">
        <f t="shared" ref="C28:BF28" ca="1" si="95">C7-SUM(C8,C11,C14)+C24</f>
        <v>21633.361383609445</v>
      </c>
      <c r="D28" s="799">
        <f t="shared" ca="1" si="95"/>
        <v>-33442.233565158538</v>
      </c>
      <c r="E28" s="770">
        <f t="shared" ca="1" si="95"/>
        <v>0</v>
      </c>
      <c r="F28" s="770">
        <f t="shared" ca="1" si="95"/>
        <v>0</v>
      </c>
      <c r="G28" s="770">
        <f t="shared" ca="1" si="95"/>
        <v>-7150</v>
      </c>
      <c r="H28" s="771">
        <f t="shared" ca="1" si="95"/>
        <v>-26292.233565158538</v>
      </c>
      <c r="I28" s="799">
        <f t="shared" ca="1" si="95"/>
        <v>47529.239872996455</v>
      </c>
      <c r="J28" s="828">
        <f t="shared" ca="1" si="95"/>
        <v>-6274.3959674372627</v>
      </c>
      <c r="K28" s="770">
        <f t="shared" ca="1" si="95"/>
        <v>15784.339146367633</v>
      </c>
      <c r="L28" s="770">
        <f t="shared" ca="1" si="95"/>
        <v>25086.077804954042</v>
      </c>
      <c r="M28" s="770">
        <f t="shared" ca="1" si="95"/>
        <v>12933.21888911205</v>
      </c>
      <c r="N28" s="799">
        <f t="shared" ca="1" si="95"/>
        <v>-4306.704724915744</v>
      </c>
      <c r="O28" s="828">
        <f t="shared" ca="1" si="95"/>
        <v>-61.339084970746626</v>
      </c>
      <c r="P28" s="770">
        <f t="shared" ca="1" si="95"/>
        <v>4210.9176763253236</v>
      </c>
      <c r="Q28" s="770">
        <f t="shared" ca="1" si="95"/>
        <v>1614.0481140318147</v>
      </c>
      <c r="R28" s="770">
        <f t="shared" ca="1" si="95"/>
        <v>-10070.33143030214</v>
      </c>
      <c r="S28" s="799">
        <f t="shared" ca="1" si="95"/>
        <v>-4156.1967606110484</v>
      </c>
      <c r="T28" s="828">
        <f t="shared" ca="1" si="95"/>
        <v>-1401.2333006110475</v>
      </c>
      <c r="U28" s="770">
        <f t="shared" ca="1" si="95"/>
        <v>-1567.2858800000001</v>
      </c>
      <c r="V28" s="770">
        <f t="shared" ca="1" si="95"/>
        <v>-1187.6775800000003</v>
      </c>
      <c r="W28" s="770">
        <f t="shared" ca="1" si="95"/>
        <v>0</v>
      </c>
      <c r="X28" s="799">
        <f t="shared" ca="1" si="95"/>
        <v>-1482.1409200000001</v>
      </c>
      <c r="Y28" s="828">
        <f t="shared" ca="1" si="95"/>
        <v>0</v>
      </c>
      <c r="Z28" s="770">
        <f t="shared" ca="1" si="95"/>
        <v>0</v>
      </c>
      <c r="AA28" s="770">
        <f t="shared" ca="1" si="95"/>
        <v>-592.85636800000009</v>
      </c>
      <c r="AB28" s="770">
        <f t="shared" ca="1" si="95"/>
        <v>-889.28455199999996</v>
      </c>
      <c r="AC28" s="799">
        <f t="shared" ca="1" si="95"/>
        <v>0</v>
      </c>
      <c r="AD28" s="828">
        <f t="shared" ca="1" si="95"/>
        <v>0</v>
      </c>
      <c r="AE28" s="770">
        <f t="shared" ca="1" si="95"/>
        <v>0</v>
      </c>
      <c r="AF28" s="770">
        <f t="shared" ca="1" si="95"/>
        <v>0</v>
      </c>
      <c r="AG28" s="770">
        <f t="shared" ca="1" si="95"/>
        <v>0</v>
      </c>
      <c r="AH28" s="799">
        <f t="shared" ca="1" si="95"/>
        <v>0</v>
      </c>
      <c r="AI28" s="828">
        <f t="shared" ca="1" si="95"/>
        <v>0</v>
      </c>
      <c r="AJ28" s="770">
        <f t="shared" ca="1" si="95"/>
        <v>0</v>
      </c>
      <c r="AK28" s="770">
        <f t="shared" ca="1" si="95"/>
        <v>0</v>
      </c>
      <c r="AL28" s="770">
        <f t="shared" ca="1" si="95"/>
        <v>0</v>
      </c>
      <c r="AM28" s="799">
        <f t="shared" ca="1" si="95"/>
        <v>0</v>
      </c>
      <c r="AN28" s="828">
        <f t="shared" ca="1" si="95"/>
        <v>0</v>
      </c>
      <c r="AO28" s="770">
        <f t="shared" ca="1" si="95"/>
        <v>0</v>
      </c>
      <c r="AP28" s="770">
        <f t="shared" ca="1" si="95"/>
        <v>0</v>
      </c>
      <c r="AQ28" s="770">
        <f t="shared" ca="1" si="95"/>
        <v>0</v>
      </c>
      <c r="AR28" s="799">
        <f t="shared" ca="1" si="95"/>
        <v>0</v>
      </c>
      <c r="AS28" s="828">
        <f t="shared" ca="1" si="95"/>
        <v>0</v>
      </c>
      <c r="AT28" s="770">
        <f t="shared" ca="1" si="95"/>
        <v>0</v>
      </c>
      <c r="AU28" s="770">
        <f t="shared" ca="1" si="95"/>
        <v>0</v>
      </c>
      <c r="AV28" s="770">
        <f t="shared" ca="1" si="95"/>
        <v>0</v>
      </c>
      <c r="AW28" s="799">
        <f t="shared" ca="1" si="95"/>
        <v>0</v>
      </c>
      <c r="AX28" s="828">
        <f t="shared" ca="1" si="95"/>
        <v>0</v>
      </c>
      <c r="AY28" s="770">
        <f t="shared" ca="1" si="95"/>
        <v>0</v>
      </c>
      <c r="AZ28" s="770">
        <f t="shared" ca="1" si="95"/>
        <v>0</v>
      </c>
      <c r="BA28" s="770">
        <f t="shared" ca="1" si="95"/>
        <v>0</v>
      </c>
      <c r="BB28" s="799">
        <f t="shared" ca="1" si="95"/>
        <v>0</v>
      </c>
      <c r="BC28" s="828">
        <f t="shared" ca="1" si="95"/>
        <v>0</v>
      </c>
      <c r="BD28" s="770">
        <f t="shared" ca="1" si="95"/>
        <v>0</v>
      </c>
      <c r="BE28" s="770">
        <f t="shared" ca="1" si="95"/>
        <v>0</v>
      </c>
      <c r="BF28" s="844">
        <f t="shared" ca="1" si="95"/>
        <v>0</v>
      </c>
      <c r="BG28" s="839"/>
      <c r="BH28" s="839"/>
      <c r="BI28" s="839"/>
      <c r="BJ28" s="839"/>
      <c r="BK28" s="839"/>
      <c r="BL28" s="839"/>
      <c r="BM28" s="839"/>
      <c r="BN28" s="839"/>
      <c r="BO28" s="839"/>
      <c r="BP28" s="839"/>
      <c r="BQ28" s="839"/>
      <c r="BR28" s="839"/>
      <c r="BS28" s="839"/>
      <c r="BT28" s="839"/>
      <c r="BU28" s="839"/>
      <c r="BV28" s="839"/>
      <c r="BW28" s="839"/>
      <c r="BX28" s="839"/>
      <c r="BY28" s="839"/>
      <c r="BZ28" s="839"/>
      <c r="CA28" s="839"/>
      <c r="CB28" s="839"/>
      <c r="CC28" s="839"/>
      <c r="CD28" s="839"/>
      <c r="CE28" s="839"/>
      <c r="CF28" s="839"/>
      <c r="CG28" s="839"/>
      <c r="CH28" s="839"/>
      <c r="CI28" s="839"/>
      <c r="CJ28" s="839"/>
      <c r="CK28" s="839"/>
      <c r="CL28" s="839"/>
      <c r="CM28" s="839"/>
      <c r="CN28" s="839"/>
      <c r="CO28" s="839"/>
      <c r="CP28" s="839"/>
      <c r="CQ28" s="839"/>
      <c r="CR28" s="839"/>
      <c r="CS28" s="839"/>
      <c r="CT28" s="839"/>
      <c r="CU28" s="839"/>
      <c r="CV28" s="839"/>
      <c r="CW28" s="839"/>
      <c r="CX28" s="839"/>
      <c r="CY28" s="839"/>
      <c r="CZ28" s="839"/>
      <c r="DA28" s="839"/>
      <c r="DB28" s="839"/>
      <c r="DC28" s="839"/>
      <c r="DD28" s="839"/>
      <c r="DE28" s="839"/>
      <c r="DF28" s="839"/>
      <c r="DG28" s="839"/>
      <c r="DH28" s="839"/>
      <c r="DI28" s="839"/>
      <c r="DJ28" s="839"/>
      <c r="DK28" s="839"/>
      <c r="DL28" s="839"/>
      <c r="DM28" s="839"/>
      <c r="DN28" s="839"/>
      <c r="DO28" s="839"/>
      <c r="DP28" s="839"/>
      <c r="DQ28" s="839"/>
      <c r="DR28" s="839"/>
      <c r="DS28" s="839"/>
      <c r="DT28" s="839"/>
      <c r="DU28" s="839"/>
      <c r="DV28" s="839"/>
      <c r="DW28" s="839"/>
      <c r="DX28" s="839"/>
      <c r="DY28" s="839"/>
      <c r="DZ28" s="839"/>
      <c r="EA28" s="839"/>
      <c r="EB28" s="839"/>
      <c r="EC28" s="839"/>
      <c r="ED28" s="839"/>
      <c r="EE28" s="839"/>
      <c r="EF28" s="839"/>
      <c r="EG28" s="839"/>
      <c r="EH28" s="839"/>
      <c r="EI28" s="839"/>
      <c r="EJ28" s="839"/>
      <c r="EK28" s="839"/>
      <c r="EL28" s="839"/>
      <c r="EM28" s="839"/>
      <c r="EN28" s="839"/>
      <c r="EO28" s="839"/>
      <c r="EP28" s="839"/>
      <c r="EQ28" s="839"/>
      <c r="ER28" s="839"/>
      <c r="ES28" s="839"/>
      <c r="ET28" s="839"/>
      <c r="EU28" s="839"/>
      <c r="EV28" s="839"/>
      <c r="EW28" s="839"/>
      <c r="EX28" s="839"/>
      <c r="EY28" s="839"/>
      <c r="EZ28" s="839"/>
      <c r="FA28" s="839"/>
      <c r="FB28" s="839"/>
      <c r="FC28" s="839"/>
      <c r="FD28" s="839"/>
      <c r="FE28" s="839"/>
      <c r="FF28" s="839"/>
      <c r="FG28" s="839"/>
      <c r="FH28" s="839"/>
      <c r="FI28" s="839"/>
      <c r="FJ28" s="839"/>
      <c r="FK28" s="839"/>
      <c r="FL28" s="839"/>
      <c r="FM28" s="839"/>
      <c r="FN28" s="839"/>
      <c r="FO28" s="839"/>
      <c r="FP28" s="839"/>
      <c r="FQ28" s="839"/>
      <c r="FR28" s="839"/>
      <c r="FS28" s="839"/>
      <c r="FT28" s="839"/>
      <c r="FU28" s="839"/>
      <c r="FV28" s="839"/>
      <c r="FW28" s="839"/>
      <c r="FX28" s="839"/>
      <c r="FY28" s="839"/>
      <c r="FZ28" s="839"/>
      <c r="GA28" s="839"/>
      <c r="GB28" s="839"/>
      <c r="GC28" s="839"/>
      <c r="GD28" s="839"/>
      <c r="GE28" s="839"/>
      <c r="GF28" s="839"/>
      <c r="GG28" s="839"/>
      <c r="GH28" s="839"/>
      <c r="GI28" s="839"/>
      <c r="GJ28" s="839"/>
    </row>
    <row r="29" spans="1:192" s="736" customFormat="1" ht="17.25" customHeight="1">
      <c r="A29" s="796"/>
      <c r="B29" s="797" t="s">
        <v>713</v>
      </c>
      <c r="C29" s="764">
        <f ca="1">BF29</f>
        <v>4141.9639023111285</v>
      </c>
      <c r="D29" s="761">
        <f ca="1">D28</f>
        <v>-33442.233565158538</v>
      </c>
      <c r="E29" s="770">
        <f ca="1">E28</f>
        <v>0</v>
      </c>
      <c r="F29" s="770">
        <f t="shared" ref="F29:I29" ca="1" si="96">E29+F28</f>
        <v>0</v>
      </c>
      <c r="G29" s="770">
        <f t="shared" ca="1" si="96"/>
        <v>-7150</v>
      </c>
      <c r="H29" s="771">
        <f t="shared" ca="1" si="96"/>
        <v>-33442.233565158538</v>
      </c>
      <c r="I29" s="761">
        <f t="shared" ca="1" si="96"/>
        <v>14087.006307837917</v>
      </c>
      <c r="J29" s="828">
        <f ca="1">H29+J28</f>
        <v>-39716.629532595798</v>
      </c>
      <c r="K29" s="770">
        <f t="shared" ref="K29:M29" ca="1" si="97">J29+K28</f>
        <v>-23932.290386228167</v>
      </c>
      <c r="L29" s="770">
        <f t="shared" ca="1" si="97"/>
        <v>1153.7874187258749</v>
      </c>
      <c r="M29" s="770">
        <f t="shared" ca="1" si="97"/>
        <v>14087.006307837924</v>
      </c>
      <c r="N29" s="761">
        <f ca="1">I29+N28</f>
        <v>9780.3015829221731</v>
      </c>
      <c r="O29" s="828">
        <f ca="1">M29+O28</f>
        <v>14025.667222867178</v>
      </c>
      <c r="P29" s="770">
        <f t="shared" ref="P29:R29" ca="1" si="98">O29+P28</f>
        <v>18236.584899192501</v>
      </c>
      <c r="Q29" s="770">
        <f t="shared" ca="1" si="98"/>
        <v>19850.633013224317</v>
      </c>
      <c r="R29" s="770">
        <f t="shared" ca="1" si="98"/>
        <v>9780.3015829221767</v>
      </c>
      <c r="S29" s="761">
        <f ca="1">N29+S28</f>
        <v>5624.1048223111247</v>
      </c>
      <c r="T29" s="828">
        <f ca="1">R29+T28</f>
        <v>8379.0682823111292</v>
      </c>
      <c r="U29" s="770">
        <f t="shared" ref="U29:W29" ca="1" si="99">T29+U28</f>
        <v>6811.7824023111289</v>
      </c>
      <c r="V29" s="770">
        <f t="shared" ca="1" si="99"/>
        <v>5624.1048223111284</v>
      </c>
      <c r="W29" s="770">
        <f t="shared" ca="1" si="99"/>
        <v>5624.1048223111284</v>
      </c>
      <c r="X29" s="761">
        <f ca="1">S29+X28</f>
        <v>4141.9639023111249</v>
      </c>
      <c r="Y29" s="828">
        <f ca="1">W29+Y28</f>
        <v>5624.1048223111284</v>
      </c>
      <c r="Z29" s="770">
        <f t="shared" ref="Z29:AB29" ca="1" si="100">Y29+Z28</f>
        <v>5624.1048223111284</v>
      </c>
      <c r="AA29" s="770">
        <f t="shared" ca="1" si="100"/>
        <v>5031.2484543111286</v>
      </c>
      <c r="AB29" s="770">
        <f t="shared" ca="1" si="100"/>
        <v>4141.9639023111285</v>
      </c>
      <c r="AC29" s="761">
        <f ca="1">X29+AC28</f>
        <v>4141.9639023111249</v>
      </c>
      <c r="AD29" s="828">
        <f ca="1">AB29+AD28</f>
        <v>4141.9639023111285</v>
      </c>
      <c r="AE29" s="770">
        <f t="shared" ref="AE29:AG29" ca="1" si="101">AD29+AE28</f>
        <v>4141.9639023111285</v>
      </c>
      <c r="AF29" s="770">
        <f t="shared" ca="1" si="101"/>
        <v>4141.9639023111285</v>
      </c>
      <c r="AG29" s="770">
        <f t="shared" ca="1" si="101"/>
        <v>4141.9639023111285</v>
      </c>
      <c r="AH29" s="761">
        <f ca="1">AC29+AH28</f>
        <v>4141.9639023111249</v>
      </c>
      <c r="AI29" s="828">
        <f ca="1">AG29+AI28</f>
        <v>4141.9639023111285</v>
      </c>
      <c r="AJ29" s="770">
        <f t="shared" ref="AJ29:AL29" ca="1" si="102">AI29+AJ28</f>
        <v>4141.9639023111285</v>
      </c>
      <c r="AK29" s="770">
        <f t="shared" ca="1" si="102"/>
        <v>4141.9639023111285</v>
      </c>
      <c r="AL29" s="770">
        <f t="shared" ca="1" si="102"/>
        <v>4141.9639023111285</v>
      </c>
      <c r="AM29" s="761">
        <f ca="1">AH29+AM28</f>
        <v>4141.9639023111249</v>
      </c>
      <c r="AN29" s="828">
        <f ca="1">AL29+AN28</f>
        <v>4141.9639023111285</v>
      </c>
      <c r="AO29" s="770">
        <f t="shared" ref="AO29:AQ29" ca="1" si="103">AN29+AO28</f>
        <v>4141.9639023111285</v>
      </c>
      <c r="AP29" s="770">
        <f t="shared" ca="1" si="103"/>
        <v>4141.9639023111285</v>
      </c>
      <c r="AQ29" s="770">
        <f t="shared" ca="1" si="103"/>
        <v>4141.9639023111285</v>
      </c>
      <c r="AR29" s="761">
        <f ca="1">AM29+AR28</f>
        <v>4141.9639023111249</v>
      </c>
      <c r="AS29" s="828">
        <f ca="1">AQ29+AS28</f>
        <v>4141.9639023111285</v>
      </c>
      <c r="AT29" s="770">
        <f t="shared" ref="AT29:AV29" ca="1" si="104">AS29+AT28</f>
        <v>4141.9639023111285</v>
      </c>
      <c r="AU29" s="770">
        <f t="shared" ca="1" si="104"/>
        <v>4141.9639023111285</v>
      </c>
      <c r="AV29" s="770">
        <f t="shared" ca="1" si="104"/>
        <v>4141.9639023111285</v>
      </c>
      <c r="AW29" s="761">
        <f ca="1">AR29+AW28</f>
        <v>4141.9639023111249</v>
      </c>
      <c r="AX29" s="828">
        <f ca="1">AV29+AX28</f>
        <v>4141.9639023111285</v>
      </c>
      <c r="AY29" s="770">
        <f t="shared" ref="AY29:BA29" ca="1" si="105">AX29+AY28</f>
        <v>4141.9639023111285</v>
      </c>
      <c r="AZ29" s="770">
        <f t="shared" ca="1" si="105"/>
        <v>4141.9639023111285</v>
      </c>
      <c r="BA29" s="770">
        <f t="shared" ca="1" si="105"/>
        <v>4141.9639023111285</v>
      </c>
      <c r="BB29" s="761">
        <f ca="1">AW29+BB28</f>
        <v>4141.9639023111249</v>
      </c>
      <c r="BC29" s="828">
        <f ca="1">BA29+BC28</f>
        <v>4141.9639023111285</v>
      </c>
      <c r="BD29" s="770">
        <f t="shared" ref="BD29:BF29" ca="1" si="106">BC29+BD28</f>
        <v>4141.9639023111285</v>
      </c>
      <c r="BE29" s="770">
        <f t="shared" ca="1" si="106"/>
        <v>4141.9639023111285</v>
      </c>
      <c r="BF29" s="844">
        <f t="shared" ca="1" si="106"/>
        <v>4141.9639023111285</v>
      </c>
      <c r="BG29" s="839"/>
      <c r="BH29" s="839"/>
      <c r="BI29" s="839"/>
      <c r="BJ29" s="839"/>
      <c r="BK29" s="839"/>
      <c r="BL29" s="839"/>
      <c r="BM29" s="839"/>
      <c r="BN29" s="839"/>
      <c r="BO29" s="839"/>
      <c r="BP29" s="839"/>
      <c r="BQ29" s="839"/>
      <c r="BR29" s="839"/>
      <c r="BS29" s="839"/>
      <c r="BT29" s="839"/>
      <c r="BU29" s="839"/>
      <c r="BV29" s="839"/>
      <c r="BW29" s="839"/>
      <c r="BX29" s="839"/>
      <c r="BY29" s="839"/>
      <c r="BZ29" s="839"/>
      <c r="CA29" s="839"/>
      <c r="CB29" s="839"/>
      <c r="CC29" s="839"/>
      <c r="CD29" s="839"/>
      <c r="CE29" s="839"/>
      <c r="CF29" s="839"/>
      <c r="CG29" s="839"/>
      <c r="CH29" s="839"/>
      <c r="CI29" s="839"/>
      <c r="CJ29" s="839"/>
      <c r="CK29" s="839"/>
      <c r="CL29" s="839"/>
      <c r="CM29" s="839"/>
      <c r="CN29" s="839"/>
      <c r="CO29" s="839"/>
      <c r="CP29" s="839"/>
      <c r="CQ29" s="839"/>
      <c r="CR29" s="839"/>
      <c r="CS29" s="839"/>
      <c r="CT29" s="839"/>
      <c r="CU29" s="839"/>
      <c r="CV29" s="839"/>
      <c r="CW29" s="839"/>
      <c r="CX29" s="839"/>
      <c r="CY29" s="839"/>
      <c r="CZ29" s="839"/>
      <c r="DA29" s="839"/>
      <c r="DB29" s="839"/>
      <c r="DC29" s="839"/>
      <c r="DD29" s="839"/>
      <c r="DE29" s="839"/>
      <c r="DF29" s="839"/>
      <c r="DG29" s="839"/>
      <c r="DH29" s="839"/>
      <c r="DI29" s="839"/>
      <c r="DJ29" s="839"/>
      <c r="DK29" s="839"/>
      <c r="DL29" s="839"/>
      <c r="DM29" s="839"/>
      <c r="DN29" s="839"/>
      <c r="DO29" s="839"/>
      <c r="DP29" s="839"/>
      <c r="DQ29" s="839"/>
      <c r="DR29" s="839"/>
      <c r="DS29" s="839"/>
      <c r="DT29" s="839"/>
      <c r="DU29" s="839"/>
      <c r="DV29" s="839"/>
      <c r="DW29" s="839"/>
      <c r="DX29" s="839"/>
      <c r="DY29" s="839"/>
      <c r="DZ29" s="839"/>
      <c r="EA29" s="839"/>
      <c r="EB29" s="839"/>
      <c r="EC29" s="839"/>
      <c r="ED29" s="839"/>
      <c r="EE29" s="839"/>
      <c r="EF29" s="839"/>
      <c r="EG29" s="839"/>
      <c r="EH29" s="839"/>
      <c r="EI29" s="839"/>
      <c r="EJ29" s="839"/>
      <c r="EK29" s="839"/>
      <c r="EL29" s="839"/>
      <c r="EM29" s="839"/>
      <c r="EN29" s="839"/>
      <c r="EO29" s="839"/>
      <c r="EP29" s="839"/>
      <c r="EQ29" s="839"/>
      <c r="ER29" s="839"/>
      <c r="ES29" s="839"/>
      <c r="ET29" s="839"/>
      <c r="EU29" s="839"/>
      <c r="EV29" s="839"/>
      <c r="EW29" s="839"/>
      <c r="EX29" s="839"/>
      <c r="EY29" s="839"/>
      <c r="EZ29" s="839"/>
      <c r="FA29" s="839"/>
      <c r="FB29" s="839"/>
      <c r="FC29" s="839"/>
      <c r="FD29" s="839"/>
      <c r="FE29" s="839"/>
      <c r="FF29" s="839"/>
      <c r="FG29" s="839"/>
      <c r="FH29" s="839"/>
      <c r="FI29" s="839"/>
      <c r="FJ29" s="839"/>
      <c r="FK29" s="839"/>
      <c r="FL29" s="839"/>
      <c r="FM29" s="839"/>
      <c r="FN29" s="839"/>
      <c r="FO29" s="839"/>
      <c r="FP29" s="839"/>
      <c r="FQ29" s="839"/>
      <c r="FR29" s="839"/>
      <c r="FS29" s="839"/>
      <c r="FT29" s="839"/>
      <c r="FU29" s="839"/>
      <c r="FV29" s="839"/>
      <c r="FW29" s="839"/>
      <c r="FX29" s="839"/>
      <c r="FY29" s="839"/>
      <c r="FZ29" s="839"/>
      <c r="GA29" s="839"/>
      <c r="GB29" s="839"/>
      <c r="GC29" s="839"/>
      <c r="GD29" s="839"/>
      <c r="GE29" s="839"/>
      <c r="GF29" s="839"/>
      <c r="GG29" s="839"/>
      <c r="GH29" s="839"/>
      <c r="GI29" s="839"/>
      <c r="GJ29" s="839"/>
    </row>
    <row r="30" spans="1:192" s="739" customFormat="1" ht="17.25" customHeight="1">
      <c r="A30" s="784"/>
      <c r="B30" s="800" t="s">
        <v>714</v>
      </c>
      <c r="C30" s="773">
        <f t="shared" ref="C30:C32" si="107">SUM(D30,I30,N30,S30,X30,AC30,AH30,AM30,AR30,AW30,BB30)</f>
        <v>27000</v>
      </c>
      <c r="D30" s="761">
        <f t="shared" ref="D30:D32" si="108">SUM(E30:H30)</f>
        <v>0</v>
      </c>
      <c r="E30" s="773">
        <f>'17.财务费用测算表'!F19</f>
        <v>0</v>
      </c>
      <c r="F30" s="773">
        <f>'17.财务费用测算表'!G19</f>
        <v>0</v>
      </c>
      <c r="G30" s="773">
        <f>'17.财务费用测算表'!H19</f>
        <v>0</v>
      </c>
      <c r="H30" s="774">
        <f>'17.财务费用测算表'!I19</f>
        <v>0</v>
      </c>
      <c r="I30" s="761">
        <f t="shared" ref="I30:I32" si="109">SUM(J30:M30)</f>
        <v>27000</v>
      </c>
      <c r="J30" s="829">
        <f>'17.财务费用测算表'!J19</f>
        <v>0</v>
      </c>
      <c r="K30" s="773">
        <f>'17.财务费用测算表'!K19</f>
        <v>27000</v>
      </c>
      <c r="L30" s="773">
        <f>'17.财务费用测算表'!L19</f>
        <v>0</v>
      </c>
      <c r="M30" s="773">
        <f>'17.财务费用测算表'!M19</f>
        <v>0</v>
      </c>
      <c r="N30" s="761">
        <f t="shared" ref="N30:N32" si="110">SUM(O30:R30)</f>
        <v>0</v>
      </c>
      <c r="O30" s="829">
        <f>'17.财务费用测算表'!N19</f>
        <v>0</v>
      </c>
      <c r="P30" s="773">
        <f>'17.财务费用测算表'!O19</f>
        <v>0</v>
      </c>
      <c r="Q30" s="773">
        <f>'17.财务费用测算表'!P19</f>
        <v>0</v>
      </c>
      <c r="R30" s="773">
        <f>'17.财务费用测算表'!Q19</f>
        <v>0</v>
      </c>
      <c r="S30" s="761">
        <f t="shared" ref="S30:S32" si="111">SUM(T30:W30)</f>
        <v>0</v>
      </c>
      <c r="T30" s="829">
        <f>'17.财务费用测算表'!R19</f>
        <v>0</v>
      </c>
      <c r="U30" s="773">
        <f>'17.财务费用测算表'!S19</f>
        <v>0</v>
      </c>
      <c r="V30" s="773">
        <f>'17.财务费用测算表'!T19</f>
        <v>0</v>
      </c>
      <c r="W30" s="773">
        <f>'17.财务费用测算表'!U19</f>
        <v>0</v>
      </c>
      <c r="X30" s="761">
        <f t="shared" ref="X30:X32" si="112">SUM(Y30:AB30)</f>
        <v>0</v>
      </c>
      <c r="Y30" s="829">
        <f>'17.财务费用测算表'!V19</f>
        <v>0</v>
      </c>
      <c r="Z30" s="773">
        <f>'17.财务费用测算表'!W19</f>
        <v>0</v>
      </c>
      <c r="AA30" s="773">
        <f>'17.财务费用测算表'!X19</f>
        <v>0</v>
      </c>
      <c r="AB30" s="773">
        <f>'17.财务费用测算表'!Y19</f>
        <v>0</v>
      </c>
      <c r="AC30" s="761">
        <f t="shared" ref="AC30:AC32" si="113">SUM(AD30:AG30)</f>
        <v>0</v>
      </c>
      <c r="AD30" s="829">
        <f>'17.财务费用测算表'!Z19</f>
        <v>0</v>
      </c>
      <c r="AE30" s="773">
        <f>'17.财务费用测算表'!AA19</f>
        <v>0</v>
      </c>
      <c r="AF30" s="773">
        <f>'17.财务费用测算表'!AB19</f>
        <v>0</v>
      </c>
      <c r="AG30" s="773">
        <f>'17.财务费用测算表'!AC19</f>
        <v>0</v>
      </c>
      <c r="AH30" s="761">
        <f t="shared" ref="AH30:AH32" si="114">SUM(AI30:AL30)</f>
        <v>0</v>
      </c>
      <c r="AI30" s="829">
        <f>'17.财务费用测算表'!AD19</f>
        <v>0</v>
      </c>
      <c r="AJ30" s="773">
        <f>'17.财务费用测算表'!AE19</f>
        <v>0</v>
      </c>
      <c r="AK30" s="773">
        <f>'17.财务费用测算表'!AF19</f>
        <v>0</v>
      </c>
      <c r="AL30" s="773">
        <f>'17.财务费用测算表'!AG19</f>
        <v>0</v>
      </c>
      <c r="AM30" s="761">
        <f t="shared" ref="AM30:AM32" si="115">SUM(AN30:AQ30)</f>
        <v>0</v>
      </c>
      <c r="AN30" s="829">
        <f>'17.财务费用测算表'!AH19</f>
        <v>0</v>
      </c>
      <c r="AO30" s="773">
        <f>'17.财务费用测算表'!AI19</f>
        <v>0</v>
      </c>
      <c r="AP30" s="773">
        <f>'17.财务费用测算表'!AJ19</f>
        <v>0</v>
      </c>
      <c r="AQ30" s="773">
        <f>'17.财务费用测算表'!AK19</f>
        <v>0</v>
      </c>
      <c r="AR30" s="761">
        <f t="shared" ref="AR30:AR32" si="116">SUM(AS30:AV30)</f>
        <v>0</v>
      </c>
      <c r="AS30" s="829">
        <f>'17.财务费用测算表'!AL19</f>
        <v>0</v>
      </c>
      <c r="AT30" s="773">
        <f>'17.财务费用测算表'!AM19</f>
        <v>0</v>
      </c>
      <c r="AU30" s="773">
        <f>'17.财务费用测算表'!AN19</f>
        <v>0</v>
      </c>
      <c r="AV30" s="773">
        <f>'17.财务费用测算表'!AO19</f>
        <v>0</v>
      </c>
      <c r="AW30" s="761">
        <f t="shared" ref="AW30:AW32" si="117">SUM(AX30:BA30)</f>
        <v>0</v>
      </c>
      <c r="AX30" s="829">
        <f>'17.财务费用测算表'!AP19</f>
        <v>0</v>
      </c>
      <c r="AY30" s="773">
        <f>'17.财务费用测算表'!AQ19</f>
        <v>0</v>
      </c>
      <c r="AZ30" s="773">
        <f>'17.财务费用测算表'!AR19</f>
        <v>0</v>
      </c>
      <c r="BA30" s="773">
        <f>'17.财务费用测算表'!AS19</f>
        <v>0</v>
      </c>
      <c r="BB30" s="761">
        <f t="shared" ref="BB30:BB32" si="118">SUM(BC30:BF30)</f>
        <v>0</v>
      </c>
      <c r="BC30" s="829">
        <f>'17.财务费用测算表'!AT19</f>
        <v>0</v>
      </c>
      <c r="BD30" s="773">
        <f>'17.财务费用测算表'!AU19</f>
        <v>0</v>
      </c>
      <c r="BE30" s="773">
        <f>'17.财务费用测算表'!AV19</f>
        <v>0</v>
      </c>
      <c r="BF30" s="845">
        <f>'17.财务费用测算表'!AW19</f>
        <v>0</v>
      </c>
      <c r="BG30" s="784"/>
      <c r="BH30" s="784"/>
      <c r="BI30" s="784"/>
      <c r="BJ30" s="784"/>
      <c r="BK30" s="784"/>
      <c r="BL30" s="784"/>
      <c r="BM30" s="784"/>
      <c r="BN30" s="784"/>
      <c r="BO30" s="784"/>
      <c r="BP30" s="784"/>
      <c r="BQ30" s="784"/>
      <c r="BR30" s="784"/>
      <c r="BS30" s="784"/>
      <c r="BT30" s="784"/>
      <c r="BU30" s="784"/>
      <c r="BV30" s="784"/>
      <c r="BW30" s="784"/>
      <c r="BX30" s="784"/>
      <c r="BY30" s="784"/>
      <c r="BZ30" s="784"/>
      <c r="CA30" s="784"/>
      <c r="CB30" s="784"/>
      <c r="CC30" s="784"/>
      <c r="CD30" s="784"/>
      <c r="CE30" s="784"/>
      <c r="CF30" s="784"/>
      <c r="CG30" s="784"/>
      <c r="CH30" s="784"/>
      <c r="CI30" s="784"/>
      <c r="CJ30" s="784"/>
      <c r="CK30" s="784"/>
      <c r="CL30" s="784"/>
      <c r="CM30" s="784"/>
      <c r="CN30" s="784"/>
      <c r="CO30" s="784"/>
      <c r="CP30" s="784"/>
      <c r="CQ30" s="784"/>
      <c r="CR30" s="784"/>
      <c r="CS30" s="784"/>
      <c r="CT30" s="784"/>
      <c r="CU30" s="784"/>
      <c r="CV30" s="784"/>
      <c r="CW30" s="784"/>
      <c r="CX30" s="784"/>
      <c r="CY30" s="784"/>
      <c r="CZ30" s="784"/>
      <c r="DA30" s="784"/>
      <c r="DB30" s="784"/>
      <c r="DC30" s="784"/>
      <c r="DD30" s="784"/>
      <c r="DE30" s="784"/>
      <c r="DF30" s="784"/>
      <c r="DG30" s="784"/>
      <c r="DH30" s="784"/>
      <c r="DI30" s="784"/>
      <c r="DJ30" s="784"/>
      <c r="DK30" s="784"/>
      <c r="DL30" s="784"/>
      <c r="DM30" s="784"/>
      <c r="DN30" s="784"/>
      <c r="DO30" s="784"/>
      <c r="DP30" s="784"/>
      <c r="DQ30" s="784"/>
      <c r="DR30" s="784"/>
      <c r="DS30" s="784"/>
      <c r="DT30" s="784"/>
      <c r="DU30" s="784"/>
      <c r="DV30" s="784"/>
      <c r="DW30" s="784"/>
      <c r="DX30" s="784"/>
      <c r="DY30" s="784"/>
      <c r="DZ30" s="784"/>
      <c r="EA30" s="784"/>
      <c r="EB30" s="784"/>
      <c r="EC30" s="784"/>
      <c r="ED30" s="784"/>
      <c r="EE30" s="784"/>
      <c r="EF30" s="784"/>
      <c r="EG30" s="784"/>
      <c r="EH30" s="784"/>
      <c r="EI30" s="784"/>
      <c r="EJ30" s="784"/>
      <c r="EK30" s="784"/>
      <c r="EL30" s="784"/>
      <c r="EM30" s="784"/>
      <c r="EN30" s="784"/>
      <c r="EO30" s="784"/>
      <c r="EP30" s="784"/>
      <c r="EQ30" s="784"/>
      <c r="ER30" s="784"/>
      <c r="ES30" s="784"/>
      <c r="ET30" s="784"/>
      <c r="EU30" s="784"/>
      <c r="EV30" s="784"/>
      <c r="EW30" s="784"/>
      <c r="EX30" s="784"/>
      <c r="EY30" s="784"/>
      <c r="EZ30" s="784"/>
      <c r="FA30" s="784"/>
      <c r="FB30" s="784"/>
      <c r="FC30" s="784"/>
      <c r="FD30" s="784"/>
      <c r="FE30" s="784"/>
      <c r="FF30" s="784"/>
      <c r="FG30" s="784"/>
      <c r="FH30" s="784"/>
      <c r="FI30" s="784"/>
      <c r="FJ30" s="784"/>
      <c r="FK30" s="784"/>
      <c r="FL30" s="784"/>
      <c r="FM30" s="784"/>
      <c r="FN30" s="784"/>
      <c r="FO30" s="784"/>
      <c r="FP30" s="784"/>
      <c r="FQ30" s="784"/>
      <c r="FR30" s="784"/>
      <c r="FS30" s="784"/>
      <c r="FT30" s="784"/>
      <c r="FU30" s="784"/>
      <c r="FV30" s="784"/>
      <c r="FW30" s="784"/>
      <c r="FX30" s="784"/>
      <c r="FY30" s="784"/>
      <c r="FZ30" s="784"/>
      <c r="GA30" s="784"/>
      <c r="GB30" s="784"/>
      <c r="GC30" s="784"/>
      <c r="GD30" s="784"/>
      <c r="GE30" s="784"/>
      <c r="GF30" s="784"/>
      <c r="GG30" s="784"/>
      <c r="GH30" s="784"/>
      <c r="GI30" s="784"/>
      <c r="GJ30" s="784"/>
    </row>
    <row r="31" spans="1:192" s="739" customFormat="1" ht="17.25" customHeight="1">
      <c r="A31" s="784"/>
      <c r="B31" s="800" t="s">
        <v>715</v>
      </c>
      <c r="C31" s="773">
        <f t="shared" ca="1" si="107"/>
        <v>27000</v>
      </c>
      <c r="D31" s="761">
        <f t="shared" ca="1" si="108"/>
        <v>0</v>
      </c>
      <c r="E31" s="773">
        <f>'17.财务费用测算表'!F20</f>
        <v>0</v>
      </c>
      <c r="F31" s="773">
        <f ca="1">'17.财务费用测算表'!G20</f>
        <v>0</v>
      </c>
      <c r="G31" s="773">
        <f ca="1">'17.财务费用测算表'!H20</f>
        <v>0</v>
      </c>
      <c r="H31" s="774">
        <f ca="1">'17.财务费用测算表'!I20</f>
        <v>0</v>
      </c>
      <c r="I31" s="761">
        <f t="shared" ca="1" si="109"/>
        <v>27000</v>
      </c>
      <c r="J31" s="829">
        <f ca="1">'17.财务费用测算表'!J20</f>
        <v>0</v>
      </c>
      <c r="K31" s="773">
        <f ca="1">'17.财务费用测算表'!K20</f>
        <v>0</v>
      </c>
      <c r="L31" s="773">
        <f>'17.财务费用测算表'!L20</f>
        <v>24000</v>
      </c>
      <c r="M31" s="773">
        <f>'17.财务费用测算表'!M20</f>
        <v>3000</v>
      </c>
      <c r="N31" s="761">
        <f t="shared" ca="1" si="110"/>
        <v>0</v>
      </c>
      <c r="O31" s="829">
        <f>'17.财务费用测算表'!N20</f>
        <v>0</v>
      </c>
      <c r="P31" s="773">
        <f>'17.财务费用测算表'!O20</f>
        <v>0</v>
      </c>
      <c r="Q31" s="773">
        <f>'17.财务费用测算表'!P20</f>
        <v>0</v>
      </c>
      <c r="R31" s="773">
        <f ca="1">'17.财务费用测算表'!Q20</f>
        <v>0</v>
      </c>
      <c r="S31" s="761">
        <f t="shared" ca="1" si="111"/>
        <v>0</v>
      </c>
      <c r="T31" s="829">
        <f ca="1">'17.财务费用测算表'!R20</f>
        <v>0</v>
      </c>
      <c r="U31" s="773">
        <f ca="1">'17.财务费用测算表'!S20</f>
        <v>0</v>
      </c>
      <c r="V31" s="773">
        <f ca="1">'17.财务费用测算表'!T20</f>
        <v>0</v>
      </c>
      <c r="W31" s="773">
        <f ca="1">'17.财务费用测算表'!U20</f>
        <v>0</v>
      </c>
      <c r="X31" s="761">
        <f t="shared" ca="1" si="112"/>
        <v>0</v>
      </c>
      <c r="Y31" s="829">
        <f ca="1">'17.财务费用测算表'!V20</f>
        <v>0</v>
      </c>
      <c r="Z31" s="773">
        <f ca="1">'17.财务费用测算表'!W20</f>
        <v>0</v>
      </c>
      <c r="AA31" s="773">
        <f ca="1">'17.财务费用测算表'!X20</f>
        <v>0</v>
      </c>
      <c r="AB31" s="773">
        <f ca="1">'17.财务费用测算表'!Y20</f>
        <v>0</v>
      </c>
      <c r="AC31" s="761">
        <f t="shared" ca="1" si="113"/>
        <v>0</v>
      </c>
      <c r="AD31" s="829">
        <f ca="1">'17.财务费用测算表'!Z20</f>
        <v>0</v>
      </c>
      <c r="AE31" s="773">
        <f ca="1">'17.财务费用测算表'!AA20</f>
        <v>0</v>
      </c>
      <c r="AF31" s="773">
        <f ca="1">'17.财务费用测算表'!AB20</f>
        <v>0</v>
      </c>
      <c r="AG31" s="773">
        <f ca="1">'17.财务费用测算表'!AC20</f>
        <v>0</v>
      </c>
      <c r="AH31" s="761">
        <f t="shared" ca="1" si="114"/>
        <v>0</v>
      </c>
      <c r="AI31" s="829">
        <f ca="1">'17.财务费用测算表'!AD20</f>
        <v>0</v>
      </c>
      <c r="AJ31" s="773">
        <f ca="1">'17.财务费用测算表'!AE20</f>
        <v>0</v>
      </c>
      <c r="AK31" s="773">
        <f ca="1">'17.财务费用测算表'!AF20</f>
        <v>0</v>
      </c>
      <c r="AL31" s="773">
        <f ca="1">'17.财务费用测算表'!AG20</f>
        <v>0</v>
      </c>
      <c r="AM31" s="761">
        <f t="shared" ca="1" si="115"/>
        <v>0</v>
      </c>
      <c r="AN31" s="829">
        <f ca="1">'17.财务费用测算表'!AH20</f>
        <v>0</v>
      </c>
      <c r="AO31" s="773">
        <f ca="1">'17.财务费用测算表'!AI20</f>
        <v>0</v>
      </c>
      <c r="AP31" s="773">
        <f ca="1">'17.财务费用测算表'!AJ20</f>
        <v>0</v>
      </c>
      <c r="AQ31" s="773">
        <f ca="1">'17.财务费用测算表'!AK20</f>
        <v>0</v>
      </c>
      <c r="AR31" s="761">
        <f t="shared" ca="1" si="116"/>
        <v>0</v>
      </c>
      <c r="AS31" s="829">
        <f ca="1">'17.财务费用测算表'!AL20</f>
        <v>0</v>
      </c>
      <c r="AT31" s="773">
        <f ca="1">'17.财务费用测算表'!AM20</f>
        <v>0</v>
      </c>
      <c r="AU31" s="773">
        <f ca="1">'17.财务费用测算表'!AN20</f>
        <v>0</v>
      </c>
      <c r="AV31" s="773">
        <f ca="1">'17.财务费用测算表'!AO20</f>
        <v>0</v>
      </c>
      <c r="AW31" s="761">
        <f t="shared" ca="1" si="117"/>
        <v>0</v>
      </c>
      <c r="AX31" s="829">
        <f ca="1">'17.财务费用测算表'!AP20</f>
        <v>0</v>
      </c>
      <c r="AY31" s="773">
        <f ca="1">'17.财务费用测算表'!AQ20</f>
        <v>0</v>
      </c>
      <c r="AZ31" s="773">
        <f ca="1">'17.财务费用测算表'!AR20</f>
        <v>0</v>
      </c>
      <c r="BA31" s="773">
        <f ca="1">'17.财务费用测算表'!AS20</f>
        <v>0</v>
      </c>
      <c r="BB31" s="761">
        <f t="shared" ca="1" si="118"/>
        <v>0</v>
      </c>
      <c r="BC31" s="829">
        <f ca="1">'17.财务费用测算表'!AT20</f>
        <v>0</v>
      </c>
      <c r="BD31" s="773">
        <f ca="1">'17.财务费用测算表'!AU20</f>
        <v>0</v>
      </c>
      <c r="BE31" s="773">
        <f ca="1">'17.财务费用测算表'!AV20</f>
        <v>0</v>
      </c>
      <c r="BF31" s="845">
        <f ca="1">'17.财务费用测算表'!AW20</f>
        <v>0</v>
      </c>
      <c r="BG31" s="784"/>
      <c r="BH31" s="784"/>
      <c r="BI31" s="784"/>
      <c r="BJ31" s="784"/>
      <c r="BK31" s="784"/>
      <c r="BL31" s="784"/>
      <c r="BM31" s="784"/>
      <c r="BN31" s="784"/>
      <c r="BO31" s="784"/>
      <c r="BP31" s="784"/>
      <c r="BQ31" s="784"/>
      <c r="BR31" s="784"/>
      <c r="BS31" s="784"/>
      <c r="BT31" s="784"/>
      <c r="BU31" s="784"/>
      <c r="BV31" s="784"/>
      <c r="BW31" s="784"/>
      <c r="BX31" s="784"/>
      <c r="BY31" s="784"/>
      <c r="BZ31" s="784"/>
      <c r="CA31" s="784"/>
      <c r="CB31" s="784"/>
      <c r="CC31" s="784"/>
      <c r="CD31" s="784"/>
      <c r="CE31" s="784"/>
      <c r="CF31" s="784"/>
      <c r="CG31" s="784"/>
      <c r="CH31" s="784"/>
      <c r="CI31" s="784"/>
      <c r="CJ31" s="784"/>
      <c r="CK31" s="784"/>
      <c r="CL31" s="784"/>
      <c r="CM31" s="784"/>
      <c r="CN31" s="784"/>
      <c r="CO31" s="784"/>
      <c r="CP31" s="784"/>
      <c r="CQ31" s="784"/>
      <c r="CR31" s="784"/>
      <c r="CS31" s="784"/>
      <c r="CT31" s="784"/>
      <c r="CU31" s="784"/>
      <c r="CV31" s="784"/>
      <c r="CW31" s="784"/>
      <c r="CX31" s="784"/>
      <c r="CY31" s="784"/>
      <c r="CZ31" s="784"/>
      <c r="DA31" s="784"/>
      <c r="DB31" s="784"/>
      <c r="DC31" s="784"/>
      <c r="DD31" s="784"/>
      <c r="DE31" s="784"/>
      <c r="DF31" s="784"/>
      <c r="DG31" s="784"/>
      <c r="DH31" s="784"/>
      <c r="DI31" s="784"/>
      <c r="DJ31" s="784"/>
      <c r="DK31" s="784"/>
      <c r="DL31" s="784"/>
      <c r="DM31" s="784"/>
      <c r="DN31" s="784"/>
      <c r="DO31" s="784"/>
      <c r="DP31" s="784"/>
      <c r="DQ31" s="784"/>
      <c r="DR31" s="784"/>
      <c r="DS31" s="784"/>
      <c r="DT31" s="784"/>
      <c r="DU31" s="784"/>
      <c r="DV31" s="784"/>
      <c r="DW31" s="784"/>
      <c r="DX31" s="784"/>
      <c r="DY31" s="784"/>
      <c r="DZ31" s="784"/>
      <c r="EA31" s="784"/>
      <c r="EB31" s="784"/>
      <c r="EC31" s="784"/>
      <c r="ED31" s="784"/>
      <c r="EE31" s="784"/>
      <c r="EF31" s="784"/>
      <c r="EG31" s="784"/>
      <c r="EH31" s="784"/>
      <c r="EI31" s="784"/>
      <c r="EJ31" s="784"/>
      <c r="EK31" s="784"/>
      <c r="EL31" s="784"/>
      <c r="EM31" s="784"/>
      <c r="EN31" s="784"/>
      <c r="EO31" s="784"/>
      <c r="EP31" s="784"/>
      <c r="EQ31" s="784"/>
      <c r="ER31" s="784"/>
      <c r="ES31" s="784"/>
      <c r="ET31" s="784"/>
      <c r="EU31" s="784"/>
      <c r="EV31" s="784"/>
      <c r="EW31" s="784"/>
      <c r="EX31" s="784"/>
      <c r="EY31" s="784"/>
      <c r="EZ31" s="784"/>
      <c r="FA31" s="784"/>
      <c r="FB31" s="784"/>
      <c r="FC31" s="784"/>
      <c r="FD31" s="784"/>
      <c r="FE31" s="784"/>
      <c r="FF31" s="784"/>
      <c r="FG31" s="784"/>
      <c r="FH31" s="784"/>
      <c r="FI31" s="784"/>
      <c r="FJ31" s="784"/>
      <c r="FK31" s="784"/>
      <c r="FL31" s="784"/>
      <c r="FM31" s="784"/>
      <c r="FN31" s="784"/>
      <c r="FO31" s="784"/>
      <c r="FP31" s="784"/>
      <c r="FQ31" s="784"/>
      <c r="FR31" s="784"/>
      <c r="FS31" s="784"/>
      <c r="FT31" s="784"/>
      <c r="FU31" s="784"/>
      <c r="FV31" s="784"/>
      <c r="FW31" s="784"/>
      <c r="FX31" s="784"/>
      <c r="FY31" s="784"/>
      <c r="FZ31" s="784"/>
      <c r="GA31" s="784"/>
      <c r="GB31" s="784"/>
      <c r="GC31" s="784"/>
      <c r="GD31" s="784"/>
      <c r="GE31" s="784"/>
      <c r="GF31" s="784"/>
      <c r="GG31" s="784"/>
      <c r="GH31" s="784"/>
      <c r="GI31" s="784"/>
      <c r="GJ31" s="784"/>
    </row>
    <row r="32" spans="1:192" s="739" customFormat="1" ht="17.25" customHeight="1">
      <c r="A32" s="758"/>
      <c r="B32" s="800" t="s">
        <v>716</v>
      </c>
      <c r="C32" s="773">
        <f t="shared" ca="1" si="107"/>
        <v>901.5</v>
      </c>
      <c r="D32" s="761">
        <f t="shared" ca="1" si="108"/>
        <v>0</v>
      </c>
      <c r="E32" s="773">
        <f>'17.财务费用测算表'!F21</f>
        <v>0</v>
      </c>
      <c r="F32" s="773">
        <f ca="1">'17.财务费用测算表'!G21</f>
        <v>0</v>
      </c>
      <c r="G32" s="773">
        <f ca="1">'17.财务费用测算表'!H21</f>
        <v>0</v>
      </c>
      <c r="H32" s="774">
        <f ca="1">'17.财务费用测算表'!I21</f>
        <v>0</v>
      </c>
      <c r="I32" s="761">
        <f t="shared" ca="1" si="109"/>
        <v>901.5</v>
      </c>
      <c r="J32" s="829">
        <f ca="1">'17.财务费用测算表'!J21</f>
        <v>132</v>
      </c>
      <c r="K32" s="773">
        <f ca="1">'17.财务费用测算表'!K21</f>
        <v>418.875</v>
      </c>
      <c r="L32" s="773">
        <f ca="1">'17.财务费用测算表'!L21</f>
        <v>318.75</v>
      </c>
      <c r="M32" s="773">
        <f ca="1">'17.财务费用测算表'!M21</f>
        <v>31.875000000000004</v>
      </c>
      <c r="N32" s="761">
        <f t="shared" ca="1" si="110"/>
        <v>0</v>
      </c>
      <c r="O32" s="829">
        <f ca="1">'17.财务费用测算表'!N21</f>
        <v>0</v>
      </c>
      <c r="P32" s="773">
        <f ca="1">'17.财务费用测算表'!O21</f>
        <v>0</v>
      </c>
      <c r="Q32" s="773">
        <f ca="1">'17.财务费用测算表'!P21</f>
        <v>0</v>
      </c>
      <c r="R32" s="773">
        <f ca="1">'17.财务费用测算表'!Q21</f>
        <v>0</v>
      </c>
      <c r="S32" s="761">
        <f t="shared" ca="1" si="111"/>
        <v>0</v>
      </c>
      <c r="T32" s="829">
        <f ca="1">'17.财务费用测算表'!R21</f>
        <v>0</v>
      </c>
      <c r="U32" s="773">
        <f ca="1">'17.财务费用测算表'!S21</f>
        <v>0</v>
      </c>
      <c r="V32" s="773">
        <f ca="1">'17.财务费用测算表'!T21</f>
        <v>0</v>
      </c>
      <c r="W32" s="773">
        <f ca="1">'17.财务费用测算表'!U21</f>
        <v>0</v>
      </c>
      <c r="X32" s="761">
        <f t="shared" ca="1" si="112"/>
        <v>0</v>
      </c>
      <c r="Y32" s="829">
        <f ca="1">'17.财务费用测算表'!V21</f>
        <v>0</v>
      </c>
      <c r="Z32" s="773">
        <f ca="1">'17.财务费用测算表'!W21</f>
        <v>0</v>
      </c>
      <c r="AA32" s="773">
        <f ca="1">'17.财务费用测算表'!X21</f>
        <v>0</v>
      </c>
      <c r="AB32" s="773">
        <f ca="1">'17.财务费用测算表'!Y21</f>
        <v>0</v>
      </c>
      <c r="AC32" s="761">
        <f t="shared" ca="1" si="113"/>
        <v>0</v>
      </c>
      <c r="AD32" s="829">
        <f ca="1">'17.财务费用测算表'!Z21</f>
        <v>0</v>
      </c>
      <c r="AE32" s="773">
        <f ca="1">'17.财务费用测算表'!AA21</f>
        <v>0</v>
      </c>
      <c r="AF32" s="773">
        <f ca="1">'17.财务费用测算表'!AB21</f>
        <v>0</v>
      </c>
      <c r="AG32" s="773">
        <f ca="1">'17.财务费用测算表'!AC21</f>
        <v>0</v>
      </c>
      <c r="AH32" s="761">
        <f t="shared" ca="1" si="114"/>
        <v>0</v>
      </c>
      <c r="AI32" s="829">
        <f ca="1">'17.财务费用测算表'!AD21</f>
        <v>0</v>
      </c>
      <c r="AJ32" s="773">
        <f ca="1">'17.财务费用测算表'!AE21</f>
        <v>0</v>
      </c>
      <c r="AK32" s="773">
        <f ca="1">'17.财务费用测算表'!AF21</f>
        <v>0</v>
      </c>
      <c r="AL32" s="773">
        <f ca="1">'17.财务费用测算表'!AG21</f>
        <v>0</v>
      </c>
      <c r="AM32" s="761">
        <f t="shared" ca="1" si="115"/>
        <v>0</v>
      </c>
      <c r="AN32" s="829">
        <f ca="1">'17.财务费用测算表'!AH21</f>
        <v>0</v>
      </c>
      <c r="AO32" s="773">
        <f ca="1">'17.财务费用测算表'!AI21</f>
        <v>0</v>
      </c>
      <c r="AP32" s="773">
        <f ca="1">'17.财务费用测算表'!AJ21</f>
        <v>0</v>
      </c>
      <c r="AQ32" s="773">
        <f ca="1">'17.财务费用测算表'!AK21</f>
        <v>0</v>
      </c>
      <c r="AR32" s="761">
        <f t="shared" ca="1" si="116"/>
        <v>0</v>
      </c>
      <c r="AS32" s="829">
        <f ca="1">'17.财务费用测算表'!AL21</f>
        <v>0</v>
      </c>
      <c r="AT32" s="773">
        <f ca="1">'17.财务费用测算表'!AM21</f>
        <v>0</v>
      </c>
      <c r="AU32" s="773">
        <f ca="1">'17.财务费用测算表'!AN21</f>
        <v>0</v>
      </c>
      <c r="AV32" s="773">
        <f ca="1">'17.财务费用测算表'!AO21</f>
        <v>0</v>
      </c>
      <c r="AW32" s="761">
        <f t="shared" ca="1" si="117"/>
        <v>0</v>
      </c>
      <c r="AX32" s="829">
        <f ca="1">'17.财务费用测算表'!AP21</f>
        <v>0</v>
      </c>
      <c r="AY32" s="773">
        <f ca="1">'17.财务费用测算表'!AQ21</f>
        <v>0</v>
      </c>
      <c r="AZ32" s="773">
        <f ca="1">'17.财务费用测算表'!AR21</f>
        <v>0</v>
      </c>
      <c r="BA32" s="773">
        <f ca="1">'17.财务费用测算表'!AS21</f>
        <v>0</v>
      </c>
      <c r="BB32" s="761">
        <f t="shared" ca="1" si="118"/>
        <v>0</v>
      </c>
      <c r="BC32" s="829">
        <f ca="1">'17.财务费用测算表'!AT21</f>
        <v>0</v>
      </c>
      <c r="BD32" s="773">
        <f ca="1">'17.财务费用测算表'!AU21</f>
        <v>0</v>
      </c>
      <c r="BE32" s="773">
        <f ca="1">'17.财务费用测算表'!AV21</f>
        <v>0</v>
      </c>
      <c r="BF32" s="845">
        <f ca="1">'17.财务费用测算表'!AW21</f>
        <v>0</v>
      </c>
      <c r="BG32" s="784"/>
      <c r="BH32" s="784"/>
      <c r="BI32" s="784"/>
      <c r="BJ32" s="784"/>
      <c r="BK32" s="784"/>
      <c r="BL32" s="784"/>
      <c r="BM32" s="784"/>
      <c r="BN32" s="784"/>
      <c r="BO32" s="784"/>
      <c r="BP32" s="784"/>
      <c r="BQ32" s="784"/>
      <c r="BR32" s="784"/>
      <c r="BS32" s="784"/>
      <c r="BT32" s="784"/>
      <c r="BU32" s="784"/>
      <c r="BV32" s="784"/>
      <c r="BW32" s="784"/>
      <c r="BX32" s="784"/>
      <c r="BY32" s="784"/>
      <c r="BZ32" s="784"/>
      <c r="CA32" s="784"/>
      <c r="CB32" s="784"/>
      <c r="CC32" s="784"/>
      <c r="CD32" s="784"/>
      <c r="CE32" s="784"/>
      <c r="CF32" s="784"/>
      <c r="CG32" s="784"/>
      <c r="CH32" s="784"/>
      <c r="CI32" s="784"/>
      <c r="CJ32" s="784"/>
      <c r="CK32" s="784"/>
      <c r="CL32" s="784"/>
      <c r="CM32" s="784"/>
      <c r="CN32" s="784"/>
      <c r="CO32" s="784"/>
      <c r="CP32" s="784"/>
      <c r="CQ32" s="784"/>
      <c r="CR32" s="784"/>
      <c r="CS32" s="784"/>
      <c r="CT32" s="784"/>
      <c r="CU32" s="784"/>
      <c r="CV32" s="784"/>
      <c r="CW32" s="784"/>
      <c r="CX32" s="784"/>
      <c r="CY32" s="784"/>
      <c r="CZ32" s="784"/>
      <c r="DA32" s="784"/>
      <c r="DB32" s="784"/>
      <c r="DC32" s="784"/>
      <c r="DD32" s="784"/>
      <c r="DE32" s="784"/>
      <c r="DF32" s="784"/>
      <c r="DG32" s="784"/>
      <c r="DH32" s="784"/>
      <c r="DI32" s="784"/>
      <c r="DJ32" s="784"/>
      <c r="DK32" s="784"/>
      <c r="DL32" s="784"/>
      <c r="DM32" s="784"/>
      <c r="DN32" s="784"/>
      <c r="DO32" s="784"/>
      <c r="DP32" s="784"/>
      <c r="DQ32" s="784"/>
      <c r="DR32" s="784"/>
      <c r="DS32" s="784"/>
      <c r="DT32" s="784"/>
      <c r="DU32" s="784"/>
      <c r="DV32" s="784"/>
      <c r="DW32" s="784"/>
      <c r="DX32" s="784"/>
      <c r="DY32" s="784"/>
      <c r="DZ32" s="784"/>
      <c r="EA32" s="784"/>
      <c r="EB32" s="784"/>
      <c r="EC32" s="784"/>
      <c r="ED32" s="784"/>
      <c r="EE32" s="784"/>
      <c r="EF32" s="784"/>
      <c r="EG32" s="784"/>
      <c r="EH32" s="784"/>
      <c r="EI32" s="784"/>
      <c r="EJ32" s="784"/>
      <c r="EK32" s="784"/>
      <c r="EL32" s="784"/>
      <c r="EM32" s="784"/>
      <c r="EN32" s="784"/>
      <c r="EO32" s="784"/>
      <c r="EP32" s="784"/>
      <c r="EQ32" s="784"/>
      <c r="ER32" s="784"/>
      <c r="ES32" s="784"/>
      <c r="ET32" s="784"/>
      <c r="EU32" s="784"/>
      <c r="EV32" s="784"/>
      <c r="EW32" s="784"/>
      <c r="EX32" s="784"/>
      <c r="EY32" s="784"/>
      <c r="EZ32" s="784"/>
      <c r="FA32" s="784"/>
      <c r="FB32" s="784"/>
      <c r="FC32" s="784"/>
      <c r="FD32" s="784"/>
      <c r="FE32" s="784"/>
      <c r="FF32" s="784"/>
      <c r="FG32" s="784"/>
      <c r="FH32" s="784"/>
      <c r="FI32" s="784"/>
      <c r="FJ32" s="784"/>
      <c r="FK32" s="784"/>
      <c r="FL32" s="784"/>
      <c r="FM32" s="784"/>
      <c r="FN32" s="784"/>
      <c r="FO32" s="784"/>
      <c r="FP32" s="784"/>
      <c r="FQ32" s="784"/>
      <c r="FR32" s="784"/>
      <c r="FS32" s="784"/>
      <c r="FT32" s="784"/>
      <c r="FU32" s="784"/>
      <c r="FV32" s="784"/>
      <c r="FW32" s="784"/>
      <c r="FX32" s="784"/>
      <c r="FY32" s="784"/>
      <c r="FZ32" s="784"/>
      <c r="GA32" s="784"/>
      <c r="GB32" s="784"/>
      <c r="GC32" s="784"/>
      <c r="GD32" s="784"/>
      <c r="GE32" s="784"/>
      <c r="GF32" s="784"/>
      <c r="GG32" s="784"/>
      <c r="GH32" s="784"/>
      <c r="GI32" s="784"/>
      <c r="GJ32" s="784"/>
    </row>
    <row r="33" spans="1:192" s="736" customFormat="1" ht="17.25" customHeight="1">
      <c r="A33" s="792"/>
      <c r="B33" s="797" t="s">
        <v>717</v>
      </c>
      <c r="C33" s="798">
        <f ca="1">C30-C31-C32</f>
        <v>-901.5</v>
      </c>
      <c r="D33" s="799">
        <f t="shared" ref="D33:BF33" ca="1" si="119">D30-D31-D32</f>
        <v>0</v>
      </c>
      <c r="E33" s="770">
        <f t="shared" si="119"/>
        <v>0</v>
      </c>
      <c r="F33" s="770">
        <f t="shared" ca="1" si="119"/>
        <v>0</v>
      </c>
      <c r="G33" s="770">
        <f t="shared" ca="1" si="119"/>
        <v>0</v>
      </c>
      <c r="H33" s="771">
        <f t="shared" ca="1" si="119"/>
        <v>0</v>
      </c>
      <c r="I33" s="799">
        <f t="shared" ca="1" si="119"/>
        <v>-901.5</v>
      </c>
      <c r="J33" s="828">
        <f t="shared" ca="1" si="119"/>
        <v>-132</v>
      </c>
      <c r="K33" s="770">
        <f t="shared" ca="1" si="119"/>
        <v>26581.125</v>
      </c>
      <c r="L33" s="770">
        <f t="shared" ca="1" si="119"/>
        <v>-24318.75</v>
      </c>
      <c r="M33" s="770">
        <f t="shared" ca="1" si="119"/>
        <v>-3031.875</v>
      </c>
      <c r="N33" s="799">
        <f t="shared" ca="1" si="119"/>
        <v>0</v>
      </c>
      <c r="O33" s="828">
        <f t="shared" ca="1" si="119"/>
        <v>0</v>
      </c>
      <c r="P33" s="770">
        <f t="shared" ca="1" si="119"/>
        <v>0</v>
      </c>
      <c r="Q33" s="770">
        <f t="shared" ca="1" si="119"/>
        <v>0</v>
      </c>
      <c r="R33" s="770">
        <f t="shared" ca="1" si="119"/>
        <v>0</v>
      </c>
      <c r="S33" s="799">
        <f t="shared" ca="1" si="119"/>
        <v>0</v>
      </c>
      <c r="T33" s="828">
        <f t="shared" ca="1" si="119"/>
        <v>0</v>
      </c>
      <c r="U33" s="770">
        <f t="shared" ca="1" si="119"/>
        <v>0</v>
      </c>
      <c r="V33" s="770">
        <f t="shared" ca="1" si="119"/>
        <v>0</v>
      </c>
      <c r="W33" s="770">
        <f t="shared" ca="1" si="119"/>
        <v>0</v>
      </c>
      <c r="X33" s="799">
        <f t="shared" ca="1" si="119"/>
        <v>0</v>
      </c>
      <c r="Y33" s="828">
        <f t="shared" ca="1" si="119"/>
        <v>0</v>
      </c>
      <c r="Z33" s="770">
        <f t="shared" ca="1" si="119"/>
        <v>0</v>
      </c>
      <c r="AA33" s="770">
        <f t="shared" ca="1" si="119"/>
        <v>0</v>
      </c>
      <c r="AB33" s="770">
        <f t="shared" ca="1" si="119"/>
        <v>0</v>
      </c>
      <c r="AC33" s="799">
        <f t="shared" ca="1" si="119"/>
        <v>0</v>
      </c>
      <c r="AD33" s="828">
        <f t="shared" ca="1" si="119"/>
        <v>0</v>
      </c>
      <c r="AE33" s="770">
        <f t="shared" ca="1" si="119"/>
        <v>0</v>
      </c>
      <c r="AF33" s="770">
        <f t="shared" ca="1" si="119"/>
        <v>0</v>
      </c>
      <c r="AG33" s="770">
        <f t="shared" ca="1" si="119"/>
        <v>0</v>
      </c>
      <c r="AH33" s="799">
        <f t="shared" ca="1" si="119"/>
        <v>0</v>
      </c>
      <c r="AI33" s="828">
        <f t="shared" ca="1" si="119"/>
        <v>0</v>
      </c>
      <c r="AJ33" s="770">
        <f t="shared" ca="1" si="119"/>
        <v>0</v>
      </c>
      <c r="AK33" s="770">
        <f t="shared" ca="1" si="119"/>
        <v>0</v>
      </c>
      <c r="AL33" s="770">
        <f t="shared" ca="1" si="119"/>
        <v>0</v>
      </c>
      <c r="AM33" s="799">
        <f t="shared" ca="1" si="119"/>
        <v>0</v>
      </c>
      <c r="AN33" s="828">
        <f t="shared" ca="1" si="119"/>
        <v>0</v>
      </c>
      <c r="AO33" s="770">
        <f t="shared" ca="1" si="119"/>
        <v>0</v>
      </c>
      <c r="AP33" s="770">
        <f t="shared" ca="1" si="119"/>
        <v>0</v>
      </c>
      <c r="AQ33" s="770">
        <f t="shared" ca="1" si="119"/>
        <v>0</v>
      </c>
      <c r="AR33" s="799">
        <f t="shared" ca="1" si="119"/>
        <v>0</v>
      </c>
      <c r="AS33" s="828">
        <f t="shared" ca="1" si="119"/>
        <v>0</v>
      </c>
      <c r="AT33" s="770">
        <f t="shared" ca="1" si="119"/>
        <v>0</v>
      </c>
      <c r="AU33" s="770">
        <f t="shared" ca="1" si="119"/>
        <v>0</v>
      </c>
      <c r="AV33" s="770">
        <f t="shared" ca="1" si="119"/>
        <v>0</v>
      </c>
      <c r="AW33" s="799">
        <f t="shared" ca="1" si="119"/>
        <v>0</v>
      </c>
      <c r="AX33" s="828">
        <f t="shared" ca="1" si="119"/>
        <v>0</v>
      </c>
      <c r="AY33" s="770">
        <f t="shared" ca="1" si="119"/>
        <v>0</v>
      </c>
      <c r="AZ33" s="770">
        <f t="shared" ca="1" si="119"/>
        <v>0</v>
      </c>
      <c r="BA33" s="770">
        <f t="shared" ca="1" si="119"/>
        <v>0</v>
      </c>
      <c r="BB33" s="799">
        <f t="shared" ca="1" si="119"/>
        <v>0</v>
      </c>
      <c r="BC33" s="828">
        <f t="shared" ca="1" si="119"/>
        <v>0</v>
      </c>
      <c r="BD33" s="770">
        <f t="shared" ca="1" si="119"/>
        <v>0</v>
      </c>
      <c r="BE33" s="770">
        <f t="shared" ca="1" si="119"/>
        <v>0</v>
      </c>
      <c r="BF33" s="844">
        <f t="shared" ca="1" si="119"/>
        <v>0</v>
      </c>
      <c r="BG33" s="839"/>
      <c r="BH33" s="839"/>
      <c r="BI33" s="839"/>
      <c r="BJ33" s="839"/>
      <c r="BK33" s="839"/>
      <c r="BL33" s="839"/>
      <c r="BM33" s="839"/>
      <c r="BN33" s="839"/>
      <c r="BO33" s="839"/>
      <c r="BP33" s="839"/>
      <c r="BQ33" s="839"/>
      <c r="BR33" s="839"/>
      <c r="BS33" s="839"/>
      <c r="BT33" s="839"/>
      <c r="BU33" s="839"/>
      <c r="BV33" s="839"/>
      <c r="BW33" s="839"/>
      <c r="BX33" s="839"/>
      <c r="BY33" s="839"/>
      <c r="BZ33" s="839"/>
      <c r="CA33" s="839"/>
      <c r="CB33" s="839"/>
      <c r="CC33" s="839"/>
      <c r="CD33" s="839"/>
      <c r="CE33" s="839"/>
      <c r="CF33" s="839"/>
      <c r="CG33" s="839"/>
      <c r="CH33" s="839"/>
      <c r="CI33" s="839"/>
      <c r="CJ33" s="839"/>
      <c r="CK33" s="839"/>
      <c r="CL33" s="839"/>
      <c r="CM33" s="839"/>
      <c r="CN33" s="839"/>
      <c r="CO33" s="839"/>
      <c r="CP33" s="839"/>
      <c r="CQ33" s="839"/>
      <c r="CR33" s="839"/>
      <c r="CS33" s="839"/>
      <c r="CT33" s="839"/>
      <c r="CU33" s="839"/>
      <c r="CV33" s="839"/>
      <c r="CW33" s="839"/>
      <c r="CX33" s="839"/>
      <c r="CY33" s="839"/>
      <c r="CZ33" s="839"/>
      <c r="DA33" s="839"/>
      <c r="DB33" s="839"/>
      <c r="DC33" s="839"/>
      <c r="DD33" s="839"/>
      <c r="DE33" s="839"/>
      <c r="DF33" s="839"/>
      <c r="DG33" s="839"/>
      <c r="DH33" s="839"/>
      <c r="DI33" s="839"/>
      <c r="DJ33" s="839"/>
      <c r="DK33" s="839"/>
      <c r="DL33" s="839"/>
      <c r="DM33" s="839"/>
      <c r="DN33" s="839"/>
      <c r="DO33" s="839"/>
      <c r="DP33" s="839"/>
      <c r="DQ33" s="839"/>
      <c r="DR33" s="839"/>
      <c r="DS33" s="839"/>
      <c r="DT33" s="839"/>
      <c r="DU33" s="839"/>
      <c r="DV33" s="839"/>
      <c r="DW33" s="839"/>
      <c r="DX33" s="839"/>
      <c r="DY33" s="839"/>
      <c r="DZ33" s="839"/>
      <c r="EA33" s="839"/>
      <c r="EB33" s="839"/>
      <c r="EC33" s="839"/>
      <c r="ED33" s="839"/>
      <c r="EE33" s="839"/>
      <c r="EF33" s="839"/>
      <c r="EG33" s="839"/>
      <c r="EH33" s="839"/>
      <c r="EI33" s="839"/>
      <c r="EJ33" s="839"/>
      <c r="EK33" s="839"/>
      <c r="EL33" s="839"/>
      <c r="EM33" s="839"/>
      <c r="EN33" s="839"/>
      <c r="EO33" s="839"/>
      <c r="EP33" s="839"/>
      <c r="EQ33" s="839"/>
      <c r="ER33" s="839"/>
      <c r="ES33" s="839"/>
      <c r="ET33" s="839"/>
      <c r="EU33" s="839"/>
      <c r="EV33" s="839"/>
      <c r="EW33" s="839"/>
      <c r="EX33" s="839"/>
      <c r="EY33" s="839"/>
      <c r="EZ33" s="839"/>
      <c r="FA33" s="839"/>
      <c r="FB33" s="839"/>
      <c r="FC33" s="839"/>
      <c r="FD33" s="839"/>
      <c r="FE33" s="839"/>
      <c r="FF33" s="839"/>
      <c r="FG33" s="839"/>
      <c r="FH33" s="839"/>
      <c r="FI33" s="839"/>
      <c r="FJ33" s="839"/>
      <c r="FK33" s="839"/>
      <c r="FL33" s="839"/>
      <c r="FM33" s="839"/>
      <c r="FN33" s="839"/>
      <c r="FO33" s="839"/>
      <c r="FP33" s="839"/>
      <c r="FQ33" s="839"/>
      <c r="FR33" s="839"/>
      <c r="FS33" s="839"/>
      <c r="FT33" s="839"/>
      <c r="FU33" s="839"/>
      <c r="FV33" s="839"/>
      <c r="FW33" s="839"/>
      <c r="FX33" s="839"/>
      <c r="FY33" s="839"/>
      <c r="FZ33" s="839"/>
      <c r="GA33" s="839"/>
      <c r="GB33" s="839"/>
      <c r="GC33" s="839"/>
      <c r="GD33" s="839"/>
      <c r="GE33" s="839"/>
      <c r="GF33" s="839"/>
      <c r="GG33" s="839"/>
      <c r="GH33" s="839"/>
      <c r="GI33" s="839"/>
      <c r="GJ33" s="839"/>
    </row>
    <row r="34" spans="1:192" ht="17.25" customHeight="1">
      <c r="A34" s="784"/>
      <c r="B34" s="801" t="s">
        <v>718</v>
      </c>
      <c r="C34" s="773">
        <f t="shared" ref="C34:C36" ca="1" si="120">SUM(D34,I34,N34,S34,X34,AC34,AH34,AM34,AR34,AW34,BB34)</f>
        <v>0</v>
      </c>
      <c r="D34" s="761">
        <f t="shared" ref="D34:D36" ca="1" si="121">SUM(E34:H34)</f>
        <v>0</v>
      </c>
      <c r="E34" s="773">
        <f>'17.财务费用测算表'!F16-'17.财务费用测算表'!F17</f>
        <v>0</v>
      </c>
      <c r="F34" s="773">
        <f ca="1">'17.财务费用测算表'!G16-'17.财务费用测算表'!G17</f>
        <v>0</v>
      </c>
      <c r="G34" s="773">
        <f ca="1">'17.财务费用测算表'!H16-'17.财务费用测算表'!H17</f>
        <v>0</v>
      </c>
      <c r="H34" s="774">
        <f ca="1">'17.财务费用测算表'!I16-'17.财务费用测算表'!I17</f>
        <v>0</v>
      </c>
      <c r="I34" s="761">
        <f t="shared" ref="I34:I36" ca="1" si="122">SUM(J34:M34)</f>
        <v>0</v>
      </c>
      <c r="J34" s="829">
        <f ca="1">'17.财务费用测算表'!J16-'17.财务费用测算表'!J17</f>
        <v>8800</v>
      </c>
      <c r="K34" s="773">
        <f>'17.财务费用测算表'!K16-'17.财务费用测算表'!K17</f>
        <v>-8800</v>
      </c>
      <c r="L34" s="773">
        <f>'17.财务费用测算表'!L16-'17.财务费用测算表'!L17</f>
        <v>0</v>
      </c>
      <c r="M34" s="773">
        <f>'17.财务费用测算表'!M16-'17.财务费用测算表'!M17</f>
        <v>0</v>
      </c>
      <c r="N34" s="761">
        <f t="shared" ref="N34:N36" ca="1" si="123">SUM(O34:R34)</f>
        <v>0</v>
      </c>
      <c r="O34" s="829">
        <f>'17.财务费用测算表'!N16-'17.财务费用测算表'!N17</f>
        <v>0</v>
      </c>
      <c r="P34" s="773">
        <f>'17.财务费用测算表'!O16-'17.财务费用测算表'!O17</f>
        <v>0</v>
      </c>
      <c r="Q34" s="773">
        <f ca="1">'17.财务费用测算表'!P16-'17.财务费用测算表'!P17</f>
        <v>0</v>
      </c>
      <c r="R34" s="773">
        <f ca="1">'17.财务费用测算表'!Q16-'17.财务费用测算表'!Q17</f>
        <v>0</v>
      </c>
      <c r="S34" s="761">
        <f t="shared" ref="S34:S36" ca="1" si="124">SUM(T34:W34)</f>
        <v>0</v>
      </c>
      <c r="T34" s="829">
        <f ca="1">'17.财务费用测算表'!R16-'17.财务费用测算表'!R17</f>
        <v>0</v>
      </c>
      <c r="U34" s="773">
        <f ca="1">'17.财务费用测算表'!S16-'17.财务费用测算表'!S17</f>
        <v>0</v>
      </c>
      <c r="V34" s="773">
        <f ca="1">'17.财务费用测算表'!T16-'17.财务费用测算表'!T17</f>
        <v>0</v>
      </c>
      <c r="W34" s="773">
        <f ca="1">'17.财务费用测算表'!U16-'17.财务费用测算表'!U17</f>
        <v>0</v>
      </c>
      <c r="X34" s="761">
        <f t="shared" ref="X34:X36" ca="1" si="125">SUM(Y34:AB34)</f>
        <v>0</v>
      </c>
      <c r="Y34" s="829">
        <f ca="1">'17.财务费用测算表'!V16-'17.财务费用测算表'!V17</f>
        <v>0</v>
      </c>
      <c r="Z34" s="773">
        <f ca="1">'17.财务费用测算表'!W16-'17.财务费用测算表'!W17</f>
        <v>0</v>
      </c>
      <c r="AA34" s="773">
        <f ca="1">'17.财务费用测算表'!X16-'17.财务费用测算表'!X17</f>
        <v>0</v>
      </c>
      <c r="AB34" s="773">
        <f ca="1">'17.财务费用测算表'!Y16-'17.财务费用测算表'!Y17</f>
        <v>0</v>
      </c>
      <c r="AC34" s="761">
        <f t="shared" ref="AC34:AC36" ca="1" si="126">SUM(AD34:AG34)</f>
        <v>0</v>
      </c>
      <c r="AD34" s="829">
        <f ca="1">'17.财务费用测算表'!Z16-'17.财务费用测算表'!Z17</f>
        <v>0</v>
      </c>
      <c r="AE34" s="773">
        <f ca="1">'17.财务费用测算表'!AA16-'17.财务费用测算表'!AA17</f>
        <v>0</v>
      </c>
      <c r="AF34" s="773">
        <f ca="1">'17.财务费用测算表'!AB16-'17.财务费用测算表'!AB17</f>
        <v>0</v>
      </c>
      <c r="AG34" s="773">
        <f ca="1">'17.财务费用测算表'!AC16-'17.财务费用测算表'!AC17</f>
        <v>0</v>
      </c>
      <c r="AH34" s="761">
        <f t="shared" ref="AH34:AH36" ca="1" si="127">SUM(AI34:AL34)</f>
        <v>0</v>
      </c>
      <c r="AI34" s="829">
        <f ca="1">'17.财务费用测算表'!AD16-'17.财务费用测算表'!AD17</f>
        <v>0</v>
      </c>
      <c r="AJ34" s="773">
        <f ca="1">'17.财务费用测算表'!AE16-'17.财务费用测算表'!AE17</f>
        <v>0</v>
      </c>
      <c r="AK34" s="773">
        <f ca="1">'17.财务费用测算表'!AF16-'17.财务费用测算表'!AF17</f>
        <v>0</v>
      </c>
      <c r="AL34" s="773">
        <f ca="1">'17.财务费用测算表'!AG16-'17.财务费用测算表'!AG17</f>
        <v>0</v>
      </c>
      <c r="AM34" s="761">
        <f t="shared" ref="AM34:AM36" ca="1" si="128">SUM(AN34:AQ34)</f>
        <v>0</v>
      </c>
      <c r="AN34" s="829">
        <f ca="1">'17.财务费用测算表'!AH16-'17.财务费用测算表'!AH17</f>
        <v>0</v>
      </c>
      <c r="AO34" s="773">
        <f ca="1">'17.财务费用测算表'!AI16-'17.财务费用测算表'!AI17</f>
        <v>0</v>
      </c>
      <c r="AP34" s="773">
        <f ca="1">'17.财务费用测算表'!AJ16-'17.财务费用测算表'!AJ17</f>
        <v>0</v>
      </c>
      <c r="AQ34" s="773">
        <f ca="1">'17.财务费用测算表'!AK16-'17.财务费用测算表'!AK17</f>
        <v>0</v>
      </c>
      <c r="AR34" s="761">
        <f t="shared" ref="AR34:AR36" ca="1" si="129">SUM(AS34:AV34)</f>
        <v>0</v>
      </c>
      <c r="AS34" s="829">
        <f ca="1">'17.财务费用测算表'!AL16-'17.财务费用测算表'!AL17</f>
        <v>0</v>
      </c>
      <c r="AT34" s="773">
        <f ca="1">'17.财务费用测算表'!AM16-'17.财务费用测算表'!AM17</f>
        <v>0</v>
      </c>
      <c r="AU34" s="773">
        <f ca="1">'17.财务费用测算表'!AN16-'17.财务费用测算表'!AN17</f>
        <v>0</v>
      </c>
      <c r="AV34" s="773">
        <f ca="1">'17.财务费用测算表'!AO16-'17.财务费用测算表'!AO17</f>
        <v>0</v>
      </c>
      <c r="AW34" s="761">
        <f t="shared" ref="AW34:AW36" ca="1" si="130">SUM(AX34:BA34)</f>
        <v>0</v>
      </c>
      <c r="AX34" s="829">
        <f ca="1">'17.财务费用测算表'!AP16-'17.财务费用测算表'!AP17</f>
        <v>0</v>
      </c>
      <c r="AY34" s="773">
        <f ca="1">'17.财务费用测算表'!AQ16-'17.财务费用测算表'!AQ17</f>
        <v>0</v>
      </c>
      <c r="AZ34" s="773">
        <f ca="1">'17.财务费用测算表'!AR16-'17.财务费用测算表'!AR17</f>
        <v>0</v>
      </c>
      <c r="BA34" s="773">
        <f ca="1">'17.财务费用测算表'!AS16-'17.财务费用测算表'!AS17</f>
        <v>0</v>
      </c>
      <c r="BB34" s="761">
        <f t="shared" ref="BB34:BB36" ca="1" si="131">SUM(BC34:BF34)</f>
        <v>0</v>
      </c>
      <c r="BC34" s="829">
        <f ca="1">'17.财务费用测算表'!AT16-'17.财务费用测算表'!AT17</f>
        <v>0</v>
      </c>
      <c r="BD34" s="773">
        <f ca="1">'17.财务费用测算表'!AU16-'17.财务费用测算表'!AU17</f>
        <v>0</v>
      </c>
      <c r="BE34" s="773">
        <f ca="1">'17.财务费用测算表'!AV16-'17.财务费用测算表'!AV17</f>
        <v>0</v>
      </c>
      <c r="BF34" s="845">
        <f ca="1">'17.财务费用测算表'!AW16-'17.财务费用测算表'!AW17</f>
        <v>0</v>
      </c>
      <c r="BG34" s="747"/>
      <c r="BH34" s="747"/>
      <c r="BI34" s="747"/>
      <c r="BJ34" s="747"/>
      <c r="BK34" s="747"/>
      <c r="BL34" s="747"/>
      <c r="BM34" s="747"/>
      <c r="BN34" s="747"/>
      <c r="BO34" s="747"/>
      <c r="BP34" s="747"/>
      <c r="BQ34" s="747"/>
      <c r="BR34" s="747"/>
      <c r="BS34" s="747"/>
      <c r="BT34" s="747"/>
      <c r="BU34" s="747"/>
      <c r="BV34" s="747"/>
      <c r="BW34" s="747"/>
      <c r="BX34" s="747"/>
      <c r="BY34" s="747"/>
      <c r="BZ34" s="747"/>
      <c r="CA34" s="747"/>
      <c r="CB34" s="747"/>
      <c r="CC34" s="747"/>
      <c r="CD34" s="747"/>
      <c r="CE34" s="747"/>
      <c r="CF34" s="747"/>
      <c r="CG34" s="747"/>
      <c r="CH34" s="747"/>
      <c r="CI34" s="747"/>
      <c r="CJ34" s="747"/>
      <c r="CK34" s="747"/>
      <c r="CL34" s="747"/>
      <c r="CM34" s="747"/>
      <c r="CN34" s="747"/>
      <c r="CO34" s="747"/>
      <c r="CP34" s="747"/>
      <c r="CQ34" s="747"/>
      <c r="CR34" s="747"/>
      <c r="CS34" s="747"/>
      <c r="CT34" s="747"/>
      <c r="CU34" s="747"/>
      <c r="CV34" s="747"/>
      <c r="CW34" s="747"/>
      <c r="CX34" s="747"/>
      <c r="CY34" s="747"/>
      <c r="CZ34" s="747"/>
      <c r="DA34" s="747"/>
      <c r="DB34" s="747"/>
      <c r="DC34" s="747"/>
      <c r="DD34" s="747"/>
      <c r="DE34" s="747"/>
      <c r="DF34" s="747"/>
      <c r="DG34" s="747"/>
      <c r="DH34" s="747"/>
      <c r="DI34" s="747"/>
      <c r="DJ34" s="747"/>
      <c r="DK34" s="747"/>
      <c r="DL34" s="747"/>
      <c r="DM34" s="747"/>
      <c r="DN34" s="747"/>
      <c r="DO34" s="747"/>
      <c r="DP34" s="747"/>
      <c r="DQ34" s="747"/>
      <c r="DR34" s="747"/>
      <c r="DS34" s="747"/>
      <c r="DT34" s="747"/>
      <c r="DU34" s="747"/>
      <c r="DV34" s="747"/>
      <c r="DW34" s="747"/>
      <c r="DX34" s="747"/>
      <c r="DY34" s="747"/>
      <c r="DZ34" s="747"/>
      <c r="EA34" s="747"/>
      <c r="EB34" s="747"/>
      <c r="EC34" s="747"/>
      <c r="ED34" s="747"/>
      <c r="EE34" s="747"/>
      <c r="EF34" s="747"/>
      <c r="EG34" s="747"/>
      <c r="EH34" s="747"/>
      <c r="EI34" s="747"/>
      <c r="EJ34" s="747"/>
      <c r="EK34" s="747"/>
      <c r="EL34" s="747"/>
      <c r="EM34" s="747"/>
      <c r="EN34" s="747"/>
      <c r="EO34" s="747"/>
      <c r="EP34" s="747"/>
      <c r="EQ34" s="747"/>
      <c r="ER34" s="747"/>
      <c r="ES34" s="747"/>
      <c r="ET34" s="747"/>
      <c r="EU34" s="747"/>
      <c r="EV34" s="747"/>
      <c r="EW34" s="747"/>
      <c r="EX34" s="747"/>
      <c r="EY34" s="747"/>
      <c r="EZ34" s="747"/>
      <c r="FA34" s="747"/>
      <c r="FB34" s="747"/>
      <c r="FC34" s="747"/>
      <c r="FD34" s="747"/>
      <c r="FE34" s="747"/>
      <c r="FF34" s="747"/>
      <c r="FG34" s="747"/>
      <c r="FH34" s="747"/>
      <c r="FI34" s="747"/>
      <c r="FJ34" s="747"/>
      <c r="FK34" s="747"/>
      <c r="FL34" s="747"/>
      <c r="FM34" s="747"/>
      <c r="FN34" s="747"/>
      <c r="FO34" s="747"/>
      <c r="FP34" s="747"/>
      <c r="FQ34" s="747"/>
      <c r="FR34" s="747"/>
      <c r="FS34" s="747"/>
      <c r="FT34" s="747"/>
      <c r="FU34" s="747"/>
      <c r="FV34" s="747"/>
      <c r="FW34" s="747"/>
      <c r="FX34" s="747"/>
      <c r="FY34" s="747"/>
      <c r="FZ34" s="747"/>
      <c r="GA34" s="747"/>
      <c r="GB34" s="747"/>
      <c r="GC34" s="747"/>
      <c r="GD34" s="747"/>
      <c r="GE34" s="747"/>
      <c r="GF34" s="747"/>
      <c r="GG34" s="747"/>
      <c r="GH34" s="747"/>
      <c r="GI34" s="747"/>
      <c r="GJ34" s="747"/>
    </row>
    <row r="35" spans="1:192" ht="17.25" customHeight="1">
      <c r="A35" s="784"/>
      <c r="B35" s="801" t="s">
        <v>719</v>
      </c>
      <c r="C35" s="773">
        <f t="shared" si="120"/>
        <v>0</v>
      </c>
      <c r="D35" s="761">
        <f t="shared" si="121"/>
        <v>0</v>
      </c>
      <c r="E35" s="794"/>
      <c r="F35" s="794"/>
      <c r="G35" s="794"/>
      <c r="H35" s="795"/>
      <c r="I35" s="761">
        <f t="shared" si="122"/>
        <v>0</v>
      </c>
      <c r="J35" s="835"/>
      <c r="K35" s="794"/>
      <c r="L35" s="794"/>
      <c r="M35" s="794"/>
      <c r="N35" s="761">
        <f t="shared" si="123"/>
        <v>0</v>
      </c>
      <c r="O35" s="835"/>
      <c r="P35" s="794"/>
      <c r="Q35" s="794"/>
      <c r="R35" s="794"/>
      <c r="S35" s="761">
        <f t="shared" si="124"/>
        <v>0</v>
      </c>
      <c r="T35" s="835"/>
      <c r="U35" s="794"/>
      <c r="V35" s="794"/>
      <c r="W35" s="794"/>
      <c r="X35" s="761">
        <f t="shared" si="125"/>
        <v>0</v>
      </c>
      <c r="Y35" s="835"/>
      <c r="Z35" s="794"/>
      <c r="AA35" s="794"/>
      <c r="AB35" s="794"/>
      <c r="AC35" s="761">
        <f t="shared" si="126"/>
        <v>0</v>
      </c>
      <c r="AD35" s="835"/>
      <c r="AE35" s="794"/>
      <c r="AF35" s="794"/>
      <c r="AG35" s="794"/>
      <c r="AH35" s="761">
        <f t="shared" si="127"/>
        <v>0</v>
      </c>
      <c r="AI35" s="835"/>
      <c r="AJ35" s="794"/>
      <c r="AK35" s="794"/>
      <c r="AL35" s="794"/>
      <c r="AM35" s="761">
        <f t="shared" si="128"/>
        <v>0</v>
      </c>
      <c r="AN35" s="835"/>
      <c r="AO35" s="794"/>
      <c r="AP35" s="794"/>
      <c r="AQ35" s="794"/>
      <c r="AR35" s="761">
        <f t="shared" si="129"/>
        <v>0</v>
      </c>
      <c r="AS35" s="835"/>
      <c r="AT35" s="794"/>
      <c r="AU35" s="794"/>
      <c r="AV35" s="794"/>
      <c r="AW35" s="761">
        <f t="shared" si="130"/>
        <v>0</v>
      </c>
      <c r="AX35" s="835"/>
      <c r="AY35" s="794"/>
      <c r="AZ35" s="794"/>
      <c r="BA35" s="794"/>
      <c r="BB35" s="761">
        <f t="shared" si="131"/>
        <v>0</v>
      </c>
      <c r="BC35" s="835"/>
      <c r="BD35" s="794"/>
      <c r="BE35" s="794"/>
      <c r="BF35" s="851"/>
      <c r="BG35" s="747"/>
      <c r="BH35" s="747"/>
      <c r="BI35" s="747"/>
      <c r="BJ35" s="747"/>
      <c r="BK35" s="747"/>
      <c r="BL35" s="747"/>
      <c r="BM35" s="747"/>
      <c r="BN35" s="747"/>
      <c r="BO35" s="747"/>
      <c r="BP35" s="747"/>
      <c r="BQ35" s="747"/>
      <c r="BR35" s="747"/>
      <c r="BS35" s="747"/>
      <c r="BT35" s="747"/>
      <c r="BU35" s="747"/>
      <c r="BV35" s="747"/>
      <c r="BW35" s="747"/>
      <c r="BX35" s="747"/>
      <c r="BY35" s="747"/>
      <c r="BZ35" s="747"/>
      <c r="CA35" s="747"/>
      <c r="CB35" s="747"/>
      <c r="CC35" s="747"/>
      <c r="CD35" s="747"/>
      <c r="CE35" s="747"/>
      <c r="CF35" s="747"/>
      <c r="CG35" s="747"/>
      <c r="CH35" s="747"/>
      <c r="CI35" s="747"/>
      <c r="CJ35" s="747"/>
      <c r="CK35" s="747"/>
      <c r="CL35" s="747"/>
      <c r="CM35" s="747"/>
      <c r="CN35" s="747"/>
      <c r="CO35" s="747"/>
      <c r="CP35" s="747"/>
      <c r="CQ35" s="747"/>
      <c r="CR35" s="747"/>
      <c r="CS35" s="747"/>
      <c r="CT35" s="747"/>
      <c r="CU35" s="747"/>
      <c r="CV35" s="747"/>
      <c r="CW35" s="747"/>
      <c r="CX35" s="747"/>
      <c r="CY35" s="747"/>
      <c r="CZ35" s="747"/>
      <c r="DA35" s="747"/>
      <c r="DB35" s="747"/>
      <c r="DC35" s="747"/>
      <c r="DD35" s="747"/>
      <c r="DE35" s="747"/>
      <c r="DF35" s="747"/>
      <c r="DG35" s="747"/>
      <c r="DH35" s="747"/>
      <c r="DI35" s="747"/>
      <c r="DJ35" s="747"/>
      <c r="DK35" s="747"/>
      <c r="DL35" s="747"/>
      <c r="DM35" s="747"/>
      <c r="DN35" s="747"/>
      <c r="DO35" s="747"/>
      <c r="DP35" s="747"/>
      <c r="DQ35" s="747"/>
      <c r="DR35" s="747"/>
      <c r="DS35" s="747"/>
      <c r="DT35" s="747"/>
      <c r="DU35" s="747"/>
      <c r="DV35" s="747"/>
      <c r="DW35" s="747"/>
      <c r="DX35" s="747"/>
      <c r="DY35" s="747"/>
      <c r="DZ35" s="747"/>
      <c r="EA35" s="747"/>
      <c r="EB35" s="747"/>
      <c r="EC35" s="747"/>
      <c r="ED35" s="747"/>
      <c r="EE35" s="747"/>
      <c r="EF35" s="747"/>
      <c r="EG35" s="747"/>
      <c r="EH35" s="747"/>
      <c r="EI35" s="747"/>
      <c r="EJ35" s="747"/>
      <c r="EK35" s="747"/>
      <c r="EL35" s="747"/>
      <c r="EM35" s="747"/>
      <c r="EN35" s="747"/>
      <c r="EO35" s="747"/>
      <c r="EP35" s="747"/>
      <c r="EQ35" s="747"/>
      <c r="ER35" s="747"/>
      <c r="ES35" s="747"/>
      <c r="ET35" s="747"/>
      <c r="EU35" s="747"/>
      <c r="EV35" s="747"/>
      <c r="EW35" s="747"/>
      <c r="EX35" s="747"/>
      <c r="EY35" s="747"/>
      <c r="EZ35" s="747"/>
      <c r="FA35" s="747"/>
      <c r="FB35" s="747"/>
      <c r="FC35" s="747"/>
      <c r="FD35" s="747"/>
      <c r="FE35" s="747"/>
      <c r="FF35" s="747"/>
      <c r="FG35" s="747"/>
      <c r="FH35" s="747"/>
      <c r="FI35" s="747"/>
      <c r="FJ35" s="747"/>
      <c r="FK35" s="747"/>
      <c r="FL35" s="747"/>
      <c r="FM35" s="747"/>
      <c r="FN35" s="747"/>
      <c r="FO35" s="747"/>
      <c r="FP35" s="747"/>
      <c r="FQ35" s="747"/>
      <c r="FR35" s="747"/>
      <c r="FS35" s="747"/>
      <c r="FT35" s="747"/>
      <c r="FU35" s="747"/>
      <c r="FV35" s="747"/>
      <c r="FW35" s="747"/>
      <c r="FX35" s="747"/>
      <c r="FY35" s="747"/>
      <c r="FZ35" s="747"/>
      <c r="GA35" s="747"/>
      <c r="GB35" s="747"/>
      <c r="GC35" s="747"/>
      <c r="GD35" s="747"/>
      <c r="GE35" s="747"/>
      <c r="GF35" s="747"/>
      <c r="GG35" s="747"/>
      <c r="GH35" s="747"/>
      <c r="GI35" s="747"/>
      <c r="GJ35" s="747"/>
    </row>
    <row r="36" spans="1:192" ht="17.25" customHeight="1">
      <c r="A36" s="784"/>
      <c r="B36" s="801" t="s">
        <v>720</v>
      </c>
      <c r="C36" s="773">
        <f t="shared" si="120"/>
        <v>0</v>
      </c>
      <c r="D36" s="761">
        <f t="shared" si="121"/>
        <v>0</v>
      </c>
      <c r="E36" s="794"/>
      <c r="F36" s="794"/>
      <c r="G36" s="794"/>
      <c r="H36" s="795"/>
      <c r="I36" s="761">
        <f t="shared" si="122"/>
        <v>0</v>
      </c>
      <c r="J36" s="835"/>
      <c r="K36" s="794"/>
      <c r="L36" s="794"/>
      <c r="M36" s="794"/>
      <c r="N36" s="761">
        <f t="shared" si="123"/>
        <v>0</v>
      </c>
      <c r="O36" s="835"/>
      <c r="P36" s="794"/>
      <c r="Q36" s="794"/>
      <c r="R36" s="794"/>
      <c r="S36" s="761">
        <f t="shared" si="124"/>
        <v>0</v>
      </c>
      <c r="T36" s="835"/>
      <c r="U36" s="794"/>
      <c r="V36" s="794"/>
      <c r="W36" s="794"/>
      <c r="X36" s="761">
        <f t="shared" si="125"/>
        <v>0</v>
      </c>
      <c r="Y36" s="835"/>
      <c r="Z36" s="794"/>
      <c r="AA36" s="794"/>
      <c r="AB36" s="794"/>
      <c r="AC36" s="761">
        <f t="shared" si="126"/>
        <v>0</v>
      </c>
      <c r="AD36" s="835"/>
      <c r="AE36" s="794"/>
      <c r="AF36" s="794"/>
      <c r="AG36" s="794"/>
      <c r="AH36" s="761">
        <f t="shared" si="127"/>
        <v>0</v>
      </c>
      <c r="AI36" s="835"/>
      <c r="AJ36" s="794"/>
      <c r="AK36" s="794"/>
      <c r="AL36" s="794"/>
      <c r="AM36" s="761">
        <f t="shared" si="128"/>
        <v>0</v>
      </c>
      <c r="AN36" s="835"/>
      <c r="AO36" s="794"/>
      <c r="AP36" s="794"/>
      <c r="AQ36" s="794"/>
      <c r="AR36" s="761">
        <f t="shared" si="129"/>
        <v>0</v>
      </c>
      <c r="AS36" s="835"/>
      <c r="AT36" s="794"/>
      <c r="AU36" s="794"/>
      <c r="AV36" s="794"/>
      <c r="AW36" s="761">
        <f t="shared" si="130"/>
        <v>0</v>
      </c>
      <c r="AX36" s="835"/>
      <c r="AY36" s="794"/>
      <c r="AZ36" s="794"/>
      <c r="BA36" s="794"/>
      <c r="BB36" s="761">
        <f t="shared" si="131"/>
        <v>0</v>
      </c>
      <c r="BC36" s="835"/>
      <c r="BD36" s="794"/>
      <c r="BE36" s="794"/>
      <c r="BF36" s="851"/>
      <c r="BG36" s="747"/>
      <c r="BH36" s="747"/>
      <c r="BI36" s="747"/>
      <c r="BJ36" s="747"/>
      <c r="BK36" s="747"/>
      <c r="BL36" s="747"/>
      <c r="BM36" s="747"/>
      <c r="BN36" s="747"/>
      <c r="BO36" s="747"/>
      <c r="BP36" s="747"/>
      <c r="BQ36" s="747"/>
      <c r="BR36" s="747"/>
      <c r="BS36" s="747"/>
      <c r="BT36" s="747"/>
      <c r="BU36" s="747"/>
      <c r="BV36" s="747"/>
      <c r="BW36" s="747"/>
      <c r="BX36" s="747"/>
      <c r="BY36" s="747"/>
      <c r="BZ36" s="747"/>
      <c r="CA36" s="747"/>
      <c r="CB36" s="747"/>
      <c r="CC36" s="747"/>
      <c r="CD36" s="747"/>
      <c r="CE36" s="747"/>
      <c r="CF36" s="747"/>
      <c r="CG36" s="747"/>
      <c r="CH36" s="747"/>
      <c r="CI36" s="747"/>
      <c r="CJ36" s="747"/>
      <c r="CK36" s="747"/>
      <c r="CL36" s="747"/>
      <c r="CM36" s="747"/>
      <c r="CN36" s="747"/>
      <c r="CO36" s="747"/>
      <c r="CP36" s="747"/>
      <c r="CQ36" s="747"/>
      <c r="CR36" s="747"/>
      <c r="CS36" s="747"/>
      <c r="CT36" s="747"/>
      <c r="CU36" s="747"/>
      <c r="CV36" s="747"/>
      <c r="CW36" s="747"/>
      <c r="CX36" s="747"/>
      <c r="CY36" s="747"/>
      <c r="CZ36" s="747"/>
      <c r="DA36" s="747"/>
      <c r="DB36" s="747"/>
      <c r="DC36" s="747"/>
      <c r="DD36" s="747"/>
      <c r="DE36" s="747"/>
      <c r="DF36" s="747"/>
      <c r="DG36" s="747"/>
      <c r="DH36" s="747"/>
      <c r="DI36" s="747"/>
      <c r="DJ36" s="747"/>
      <c r="DK36" s="747"/>
      <c r="DL36" s="747"/>
      <c r="DM36" s="747"/>
      <c r="DN36" s="747"/>
      <c r="DO36" s="747"/>
      <c r="DP36" s="747"/>
      <c r="DQ36" s="747"/>
      <c r="DR36" s="747"/>
      <c r="DS36" s="747"/>
      <c r="DT36" s="747"/>
      <c r="DU36" s="747"/>
      <c r="DV36" s="747"/>
      <c r="DW36" s="747"/>
      <c r="DX36" s="747"/>
      <c r="DY36" s="747"/>
      <c r="DZ36" s="747"/>
      <c r="EA36" s="747"/>
      <c r="EB36" s="747"/>
      <c r="EC36" s="747"/>
      <c r="ED36" s="747"/>
      <c r="EE36" s="747"/>
      <c r="EF36" s="747"/>
      <c r="EG36" s="747"/>
      <c r="EH36" s="747"/>
      <c r="EI36" s="747"/>
      <c r="EJ36" s="747"/>
      <c r="EK36" s="747"/>
      <c r="EL36" s="747"/>
      <c r="EM36" s="747"/>
      <c r="EN36" s="747"/>
      <c r="EO36" s="747"/>
      <c r="EP36" s="747"/>
      <c r="EQ36" s="747"/>
      <c r="ER36" s="747"/>
      <c r="ES36" s="747"/>
      <c r="ET36" s="747"/>
      <c r="EU36" s="747"/>
      <c r="EV36" s="747"/>
      <c r="EW36" s="747"/>
      <c r="EX36" s="747"/>
      <c r="EY36" s="747"/>
      <c r="EZ36" s="747"/>
      <c r="FA36" s="747"/>
      <c r="FB36" s="747"/>
      <c r="FC36" s="747"/>
      <c r="FD36" s="747"/>
      <c r="FE36" s="747"/>
      <c r="FF36" s="747"/>
      <c r="FG36" s="747"/>
      <c r="FH36" s="747"/>
      <c r="FI36" s="747"/>
      <c r="FJ36" s="747"/>
      <c r="FK36" s="747"/>
      <c r="FL36" s="747"/>
      <c r="FM36" s="747"/>
      <c r="FN36" s="747"/>
      <c r="FO36" s="747"/>
      <c r="FP36" s="747"/>
      <c r="FQ36" s="747"/>
      <c r="FR36" s="747"/>
      <c r="FS36" s="747"/>
      <c r="FT36" s="747"/>
      <c r="FU36" s="747"/>
      <c r="FV36" s="747"/>
      <c r="FW36" s="747"/>
      <c r="FX36" s="747"/>
      <c r="FY36" s="747"/>
      <c r="FZ36" s="747"/>
      <c r="GA36" s="747"/>
      <c r="GB36" s="747"/>
      <c r="GC36" s="747"/>
      <c r="GD36" s="747"/>
      <c r="GE36" s="747"/>
      <c r="GF36" s="747"/>
      <c r="GG36" s="747"/>
      <c r="GH36" s="747"/>
      <c r="GI36" s="747"/>
      <c r="GJ36" s="747"/>
    </row>
    <row r="37" spans="1:192" s="736" customFormat="1" ht="17.25" customHeight="1">
      <c r="A37" s="792"/>
      <c r="B37" s="797" t="s">
        <v>721</v>
      </c>
      <c r="C37" s="798">
        <f ca="1">SUM(C34:C36)</f>
        <v>0</v>
      </c>
      <c r="D37" s="799">
        <f t="shared" ref="D37:BF37" ca="1" si="132">SUM(D34:D36)</f>
        <v>0</v>
      </c>
      <c r="E37" s="770">
        <f t="shared" si="132"/>
        <v>0</v>
      </c>
      <c r="F37" s="770">
        <f t="shared" ca="1" si="132"/>
        <v>0</v>
      </c>
      <c r="G37" s="770">
        <f t="shared" ca="1" si="132"/>
        <v>0</v>
      </c>
      <c r="H37" s="771">
        <f t="shared" ca="1" si="132"/>
        <v>0</v>
      </c>
      <c r="I37" s="799">
        <f t="shared" ca="1" si="132"/>
        <v>0</v>
      </c>
      <c r="J37" s="828">
        <f t="shared" ca="1" si="132"/>
        <v>8800</v>
      </c>
      <c r="K37" s="770">
        <f t="shared" si="132"/>
        <v>-8800</v>
      </c>
      <c r="L37" s="770">
        <f t="shared" si="132"/>
        <v>0</v>
      </c>
      <c r="M37" s="770">
        <f t="shared" si="132"/>
        <v>0</v>
      </c>
      <c r="N37" s="799">
        <f t="shared" ca="1" si="132"/>
        <v>0</v>
      </c>
      <c r="O37" s="828">
        <f t="shared" si="132"/>
        <v>0</v>
      </c>
      <c r="P37" s="770">
        <f t="shared" si="132"/>
        <v>0</v>
      </c>
      <c r="Q37" s="770">
        <f t="shared" ca="1" si="132"/>
        <v>0</v>
      </c>
      <c r="R37" s="770">
        <f t="shared" ca="1" si="132"/>
        <v>0</v>
      </c>
      <c r="S37" s="799">
        <f t="shared" ca="1" si="132"/>
        <v>0</v>
      </c>
      <c r="T37" s="828">
        <f t="shared" ca="1" si="132"/>
        <v>0</v>
      </c>
      <c r="U37" s="770">
        <f t="shared" ca="1" si="132"/>
        <v>0</v>
      </c>
      <c r="V37" s="770">
        <f t="shared" ca="1" si="132"/>
        <v>0</v>
      </c>
      <c r="W37" s="770">
        <f t="shared" ca="1" si="132"/>
        <v>0</v>
      </c>
      <c r="X37" s="799">
        <f t="shared" ca="1" si="132"/>
        <v>0</v>
      </c>
      <c r="Y37" s="828">
        <f t="shared" ca="1" si="132"/>
        <v>0</v>
      </c>
      <c r="Z37" s="770">
        <f t="shared" ca="1" si="132"/>
        <v>0</v>
      </c>
      <c r="AA37" s="770">
        <f t="shared" ca="1" si="132"/>
        <v>0</v>
      </c>
      <c r="AB37" s="770">
        <f t="shared" ca="1" si="132"/>
        <v>0</v>
      </c>
      <c r="AC37" s="799">
        <f t="shared" ca="1" si="132"/>
        <v>0</v>
      </c>
      <c r="AD37" s="828">
        <f t="shared" ca="1" si="132"/>
        <v>0</v>
      </c>
      <c r="AE37" s="770">
        <f t="shared" ca="1" si="132"/>
        <v>0</v>
      </c>
      <c r="AF37" s="770">
        <f t="shared" ca="1" si="132"/>
        <v>0</v>
      </c>
      <c r="AG37" s="770">
        <f t="shared" ca="1" si="132"/>
        <v>0</v>
      </c>
      <c r="AH37" s="799">
        <f t="shared" ca="1" si="132"/>
        <v>0</v>
      </c>
      <c r="AI37" s="828">
        <f t="shared" ca="1" si="132"/>
        <v>0</v>
      </c>
      <c r="AJ37" s="770">
        <f t="shared" ca="1" si="132"/>
        <v>0</v>
      </c>
      <c r="AK37" s="770">
        <f t="shared" ca="1" si="132"/>
        <v>0</v>
      </c>
      <c r="AL37" s="770">
        <f t="shared" ca="1" si="132"/>
        <v>0</v>
      </c>
      <c r="AM37" s="799">
        <f t="shared" ca="1" si="132"/>
        <v>0</v>
      </c>
      <c r="AN37" s="828">
        <f t="shared" ca="1" si="132"/>
        <v>0</v>
      </c>
      <c r="AO37" s="770">
        <f t="shared" ca="1" si="132"/>
        <v>0</v>
      </c>
      <c r="AP37" s="770">
        <f t="shared" ca="1" si="132"/>
        <v>0</v>
      </c>
      <c r="AQ37" s="770">
        <f t="shared" ca="1" si="132"/>
        <v>0</v>
      </c>
      <c r="AR37" s="799">
        <f t="shared" ca="1" si="132"/>
        <v>0</v>
      </c>
      <c r="AS37" s="828">
        <f t="shared" ca="1" si="132"/>
        <v>0</v>
      </c>
      <c r="AT37" s="770">
        <f t="shared" ca="1" si="132"/>
        <v>0</v>
      </c>
      <c r="AU37" s="770">
        <f t="shared" ca="1" si="132"/>
        <v>0</v>
      </c>
      <c r="AV37" s="770">
        <f t="shared" ca="1" si="132"/>
        <v>0</v>
      </c>
      <c r="AW37" s="799">
        <f t="shared" ca="1" si="132"/>
        <v>0</v>
      </c>
      <c r="AX37" s="828">
        <f t="shared" ca="1" si="132"/>
        <v>0</v>
      </c>
      <c r="AY37" s="770">
        <f t="shared" ca="1" si="132"/>
        <v>0</v>
      </c>
      <c r="AZ37" s="770">
        <f t="shared" ca="1" si="132"/>
        <v>0</v>
      </c>
      <c r="BA37" s="770">
        <f t="shared" ca="1" si="132"/>
        <v>0</v>
      </c>
      <c r="BB37" s="799">
        <f t="shared" ca="1" si="132"/>
        <v>0</v>
      </c>
      <c r="BC37" s="828">
        <f t="shared" ca="1" si="132"/>
        <v>0</v>
      </c>
      <c r="BD37" s="770">
        <f t="shared" ca="1" si="132"/>
        <v>0</v>
      </c>
      <c r="BE37" s="770">
        <f t="shared" ca="1" si="132"/>
        <v>0</v>
      </c>
      <c r="BF37" s="844">
        <f t="shared" ca="1" si="132"/>
        <v>0</v>
      </c>
      <c r="BG37" s="839"/>
      <c r="BH37" s="839"/>
      <c r="BI37" s="839"/>
      <c r="BJ37" s="839"/>
      <c r="BK37" s="839"/>
      <c r="BL37" s="839"/>
      <c r="BM37" s="839"/>
      <c r="BN37" s="839"/>
      <c r="BO37" s="839"/>
      <c r="BP37" s="839"/>
      <c r="BQ37" s="839"/>
      <c r="BR37" s="839"/>
      <c r="BS37" s="839"/>
      <c r="BT37" s="839"/>
      <c r="BU37" s="839"/>
      <c r="BV37" s="839"/>
      <c r="BW37" s="839"/>
      <c r="BX37" s="839"/>
      <c r="BY37" s="839"/>
      <c r="BZ37" s="839"/>
      <c r="CA37" s="839"/>
      <c r="CB37" s="839"/>
      <c r="CC37" s="839"/>
      <c r="CD37" s="839"/>
      <c r="CE37" s="839"/>
      <c r="CF37" s="839"/>
      <c r="CG37" s="839"/>
      <c r="CH37" s="839"/>
      <c r="CI37" s="839"/>
      <c r="CJ37" s="839"/>
      <c r="CK37" s="839"/>
      <c r="CL37" s="839"/>
      <c r="CM37" s="839"/>
      <c r="CN37" s="839"/>
      <c r="CO37" s="839"/>
      <c r="CP37" s="839"/>
      <c r="CQ37" s="839"/>
      <c r="CR37" s="839"/>
      <c r="CS37" s="839"/>
      <c r="CT37" s="839"/>
      <c r="CU37" s="839"/>
      <c r="CV37" s="839"/>
      <c r="CW37" s="839"/>
      <c r="CX37" s="839"/>
      <c r="CY37" s="839"/>
      <c r="CZ37" s="839"/>
      <c r="DA37" s="839"/>
      <c r="DB37" s="839"/>
      <c r="DC37" s="839"/>
      <c r="DD37" s="839"/>
      <c r="DE37" s="839"/>
      <c r="DF37" s="839"/>
      <c r="DG37" s="839"/>
      <c r="DH37" s="839"/>
      <c r="DI37" s="839"/>
      <c r="DJ37" s="839"/>
      <c r="DK37" s="839"/>
      <c r="DL37" s="839"/>
      <c r="DM37" s="839"/>
      <c r="DN37" s="839"/>
      <c r="DO37" s="839"/>
      <c r="DP37" s="839"/>
      <c r="DQ37" s="839"/>
      <c r="DR37" s="839"/>
      <c r="DS37" s="839"/>
      <c r="DT37" s="839"/>
      <c r="DU37" s="839"/>
      <c r="DV37" s="839"/>
      <c r="DW37" s="839"/>
      <c r="DX37" s="839"/>
      <c r="DY37" s="839"/>
      <c r="DZ37" s="839"/>
      <c r="EA37" s="839"/>
      <c r="EB37" s="839"/>
      <c r="EC37" s="839"/>
      <c r="ED37" s="839"/>
      <c r="EE37" s="839"/>
      <c r="EF37" s="839"/>
      <c r="EG37" s="839"/>
      <c r="EH37" s="839"/>
      <c r="EI37" s="839"/>
      <c r="EJ37" s="839"/>
      <c r="EK37" s="839"/>
      <c r="EL37" s="839"/>
      <c r="EM37" s="839"/>
      <c r="EN37" s="839"/>
      <c r="EO37" s="839"/>
      <c r="EP37" s="839"/>
      <c r="EQ37" s="839"/>
      <c r="ER37" s="839"/>
      <c r="ES37" s="839"/>
      <c r="ET37" s="839"/>
      <c r="EU37" s="839"/>
      <c r="EV37" s="839"/>
      <c r="EW37" s="839"/>
      <c r="EX37" s="839"/>
      <c r="EY37" s="839"/>
      <c r="EZ37" s="839"/>
      <c r="FA37" s="839"/>
      <c r="FB37" s="839"/>
      <c r="FC37" s="839"/>
      <c r="FD37" s="839"/>
      <c r="FE37" s="839"/>
      <c r="FF37" s="839"/>
      <c r="FG37" s="839"/>
      <c r="FH37" s="839"/>
      <c r="FI37" s="839"/>
      <c r="FJ37" s="839"/>
      <c r="FK37" s="839"/>
      <c r="FL37" s="839"/>
      <c r="FM37" s="839"/>
      <c r="FN37" s="839"/>
      <c r="FO37" s="839"/>
      <c r="FP37" s="839"/>
      <c r="FQ37" s="839"/>
      <c r="FR37" s="839"/>
      <c r="FS37" s="839"/>
      <c r="FT37" s="839"/>
      <c r="FU37" s="839"/>
      <c r="FV37" s="839"/>
      <c r="FW37" s="839"/>
      <c r="FX37" s="839"/>
      <c r="FY37" s="839"/>
      <c r="FZ37" s="839"/>
      <c r="GA37" s="839"/>
      <c r="GB37" s="839"/>
      <c r="GC37" s="839"/>
      <c r="GD37" s="839"/>
      <c r="GE37" s="839"/>
      <c r="GF37" s="839"/>
      <c r="GG37" s="839"/>
      <c r="GH37" s="839"/>
      <c r="GI37" s="839"/>
      <c r="GJ37" s="839"/>
    </row>
    <row r="38" spans="1:192" s="736" customFormat="1" ht="17.25" customHeight="1">
      <c r="A38" s="792"/>
      <c r="B38" s="797" t="s">
        <v>722</v>
      </c>
      <c r="C38" s="798">
        <f t="shared" ref="C38:BF38" ca="1" si="133">C28+C33+C37</f>
        <v>20731.861383609445</v>
      </c>
      <c r="D38" s="799">
        <f t="shared" ca="1" si="133"/>
        <v>-33442.233565158538</v>
      </c>
      <c r="E38" s="770">
        <f t="shared" ca="1" si="133"/>
        <v>0</v>
      </c>
      <c r="F38" s="770">
        <f t="shared" ca="1" si="133"/>
        <v>0</v>
      </c>
      <c r="G38" s="770">
        <f t="shared" ca="1" si="133"/>
        <v>-7150</v>
      </c>
      <c r="H38" s="771">
        <f t="shared" ca="1" si="133"/>
        <v>-26292.233565158538</v>
      </c>
      <c r="I38" s="799">
        <f t="shared" ca="1" si="133"/>
        <v>46627.739872996455</v>
      </c>
      <c r="J38" s="828">
        <f t="shared" ca="1" si="133"/>
        <v>2393.6040325627373</v>
      </c>
      <c r="K38" s="770">
        <f t="shared" ca="1" si="133"/>
        <v>33565.464146367631</v>
      </c>
      <c r="L38" s="770">
        <f t="shared" ca="1" si="133"/>
        <v>767.32780495404222</v>
      </c>
      <c r="M38" s="770">
        <f t="shared" ca="1" si="133"/>
        <v>9901.3438891120495</v>
      </c>
      <c r="N38" s="799">
        <f t="shared" ca="1" si="133"/>
        <v>-4306.704724915744</v>
      </c>
      <c r="O38" s="828">
        <f t="shared" ca="1" si="133"/>
        <v>-61.339084970746626</v>
      </c>
      <c r="P38" s="770">
        <f t="shared" ca="1" si="133"/>
        <v>4210.9176763253236</v>
      </c>
      <c r="Q38" s="770">
        <f t="shared" ca="1" si="133"/>
        <v>1614.0481140318147</v>
      </c>
      <c r="R38" s="770">
        <f t="shared" ca="1" si="133"/>
        <v>-10070.33143030214</v>
      </c>
      <c r="S38" s="799">
        <f t="shared" ca="1" si="133"/>
        <v>-4156.1967606110484</v>
      </c>
      <c r="T38" s="828">
        <f t="shared" ca="1" si="133"/>
        <v>-1401.2333006110475</v>
      </c>
      <c r="U38" s="770">
        <f t="shared" ca="1" si="133"/>
        <v>-1567.2858800000001</v>
      </c>
      <c r="V38" s="770">
        <f t="shared" ca="1" si="133"/>
        <v>-1187.6775800000003</v>
      </c>
      <c r="W38" s="770">
        <f t="shared" ca="1" si="133"/>
        <v>0</v>
      </c>
      <c r="X38" s="799">
        <f t="shared" ca="1" si="133"/>
        <v>-1482.1409200000001</v>
      </c>
      <c r="Y38" s="828">
        <f t="shared" ca="1" si="133"/>
        <v>0</v>
      </c>
      <c r="Z38" s="770">
        <f t="shared" ca="1" si="133"/>
        <v>0</v>
      </c>
      <c r="AA38" s="770">
        <f t="shared" ca="1" si="133"/>
        <v>-592.85636800000009</v>
      </c>
      <c r="AB38" s="770">
        <f t="shared" ca="1" si="133"/>
        <v>-889.28455199999996</v>
      </c>
      <c r="AC38" s="799">
        <f t="shared" ca="1" si="133"/>
        <v>0</v>
      </c>
      <c r="AD38" s="828">
        <f t="shared" ca="1" si="133"/>
        <v>0</v>
      </c>
      <c r="AE38" s="770">
        <f t="shared" ca="1" si="133"/>
        <v>0</v>
      </c>
      <c r="AF38" s="770">
        <f t="shared" ca="1" si="133"/>
        <v>0</v>
      </c>
      <c r="AG38" s="770">
        <f t="shared" ca="1" si="133"/>
        <v>0</v>
      </c>
      <c r="AH38" s="799">
        <f t="shared" ca="1" si="133"/>
        <v>0</v>
      </c>
      <c r="AI38" s="828">
        <f t="shared" ca="1" si="133"/>
        <v>0</v>
      </c>
      <c r="AJ38" s="770">
        <f t="shared" ca="1" si="133"/>
        <v>0</v>
      </c>
      <c r="AK38" s="770">
        <f t="shared" ca="1" si="133"/>
        <v>0</v>
      </c>
      <c r="AL38" s="770">
        <f t="shared" ca="1" si="133"/>
        <v>0</v>
      </c>
      <c r="AM38" s="799">
        <f t="shared" ca="1" si="133"/>
        <v>0</v>
      </c>
      <c r="AN38" s="828">
        <f t="shared" ca="1" si="133"/>
        <v>0</v>
      </c>
      <c r="AO38" s="770">
        <f t="shared" ca="1" si="133"/>
        <v>0</v>
      </c>
      <c r="AP38" s="770">
        <f t="shared" ca="1" si="133"/>
        <v>0</v>
      </c>
      <c r="AQ38" s="770">
        <f t="shared" ca="1" si="133"/>
        <v>0</v>
      </c>
      <c r="AR38" s="799">
        <f t="shared" ca="1" si="133"/>
        <v>0</v>
      </c>
      <c r="AS38" s="828">
        <f t="shared" ca="1" si="133"/>
        <v>0</v>
      </c>
      <c r="AT38" s="770">
        <f t="shared" ca="1" si="133"/>
        <v>0</v>
      </c>
      <c r="AU38" s="770">
        <f t="shared" ca="1" si="133"/>
        <v>0</v>
      </c>
      <c r="AV38" s="770">
        <f t="shared" ca="1" si="133"/>
        <v>0</v>
      </c>
      <c r="AW38" s="799">
        <f t="shared" ca="1" si="133"/>
        <v>0</v>
      </c>
      <c r="AX38" s="828">
        <f t="shared" ca="1" si="133"/>
        <v>0</v>
      </c>
      <c r="AY38" s="770">
        <f t="shared" ca="1" si="133"/>
        <v>0</v>
      </c>
      <c r="AZ38" s="770">
        <f t="shared" ca="1" si="133"/>
        <v>0</v>
      </c>
      <c r="BA38" s="770">
        <f t="shared" ca="1" si="133"/>
        <v>0</v>
      </c>
      <c r="BB38" s="799">
        <f t="shared" ca="1" si="133"/>
        <v>0</v>
      </c>
      <c r="BC38" s="828">
        <f t="shared" ca="1" si="133"/>
        <v>0</v>
      </c>
      <c r="BD38" s="770">
        <f t="shared" ca="1" si="133"/>
        <v>0</v>
      </c>
      <c r="BE38" s="770">
        <f t="shared" ca="1" si="133"/>
        <v>0</v>
      </c>
      <c r="BF38" s="844">
        <f t="shared" ca="1" si="133"/>
        <v>0</v>
      </c>
      <c r="BG38" s="839"/>
      <c r="BH38" s="839"/>
      <c r="BI38" s="839"/>
      <c r="BJ38" s="839"/>
      <c r="BK38" s="839"/>
      <c r="BL38" s="839"/>
      <c r="BM38" s="839"/>
      <c r="BN38" s="839"/>
      <c r="BO38" s="839"/>
      <c r="BP38" s="839"/>
      <c r="BQ38" s="839"/>
      <c r="BR38" s="839"/>
      <c r="BS38" s="839"/>
      <c r="BT38" s="839"/>
      <c r="BU38" s="839"/>
      <c r="BV38" s="839"/>
      <c r="BW38" s="839"/>
      <c r="BX38" s="839"/>
      <c r="BY38" s="839"/>
      <c r="BZ38" s="839"/>
      <c r="CA38" s="839"/>
      <c r="CB38" s="839"/>
      <c r="CC38" s="839"/>
      <c r="CD38" s="839"/>
      <c r="CE38" s="839"/>
      <c r="CF38" s="839"/>
      <c r="CG38" s="839"/>
      <c r="CH38" s="839"/>
      <c r="CI38" s="839"/>
      <c r="CJ38" s="839"/>
      <c r="CK38" s="839"/>
      <c r="CL38" s="839"/>
      <c r="CM38" s="839"/>
      <c r="CN38" s="839"/>
      <c r="CO38" s="839"/>
      <c r="CP38" s="839"/>
      <c r="CQ38" s="839"/>
      <c r="CR38" s="839"/>
      <c r="CS38" s="839"/>
      <c r="CT38" s="839"/>
      <c r="CU38" s="839"/>
      <c r="CV38" s="839"/>
      <c r="CW38" s="839"/>
      <c r="CX38" s="839"/>
      <c r="CY38" s="839"/>
      <c r="CZ38" s="839"/>
      <c r="DA38" s="839"/>
      <c r="DB38" s="839"/>
      <c r="DC38" s="839"/>
      <c r="DD38" s="839"/>
      <c r="DE38" s="839"/>
      <c r="DF38" s="839"/>
      <c r="DG38" s="839"/>
      <c r="DH38" s="839"/>
      <c r="DI38" s="839"/>
      <c r="DJ38" s="839"/>
      <c r="DK38" s="839"/>
      <c r="DL38" s="839"/>
      <c r="DM38" s="839"/>
      <c r="DN38" s="839"/>
      <c r="DO38" s="839"/>
      <c r="DP38" s="839"/>
      <c r="DQ38" s="839"/>
      <c r="DR38" s="839"/>
      <c r="DS38" s="839"/>
      <c r="DT38" s="839"/>
      <c r="DU38" s="839"/>
      <c r="DV38" s="839"/>
      <c r="DW38" s="839"/>
      <c r="DX38" s="839"/>
      <c r="DY38" s="839"/>
      <c r="DZ38" s="839"/>
      <c r="EA38" s="839"/>
      <c r="EB38" s="839"/>
      <c r="EC38" s="839"/>
      <c r="ED38" s="839"/>
      <c r="EE38" s="839"/>
      <c r="EF38" s="839"/>
      <c r="EG38" s="839"/>
      <c r="EH38" s="839"/>
      <c r="EI38" s="839"/>
      <c r="EJ38" s="839"/>
      <c r="EK38" s="839"/>
      <c r="EL38" s="839"/>
      <c r="EM38" s="839"/>
      <c r="EN38" s="839"/>
      <c r="EO38" s="839"/>
      <c r="EP38" s="839"/>
      <c r="EQ38" s="839"/>
      <c r="ER38" s="839"/>
      <c r="ES38" s="839"/>
      <c r="ET38" s="839"/>
      <c r="EU38" s="839"/>
      <c r="EV38" s="839"/>
      <c r="EW38" s="839"/>
      <c r="EX38" s="839"/>
      <c r="EY38" s="839"/>
      <c r="EZ38" s="839"/>
      <c r="FA38" s="839"/>
      <c r="FB38" s="839"/>
      <c r="FC38" s="839"/>
      <c r="FD38" s="839"/>
      <c r="FE38" s="839"/>
      <c r="FF38" s="839"/>
      <c r="FG38" s="839"/>
      <c r="FH38" s="839"/>
      <c r="FI38" s="839"/>
      <c r="FJ38" s="839"/>
      <c r="FK38" s="839"/>
      <c r="FL38" s="839"/>
      <c r="FM38" s="839"/>
      <c r="FN38" s="839"/>
      <c r="FO38" s="839"/>
      <c r="FP38" s="839"/>
      <c r="FQ38" s="839"/>
      <c r="FR38" s="839"/>
      <c r="FS38" s="839"/>
      <c r="FT38" s="839"/>
      <c r="FU38" s="839"/>
      <c r="FV38" s="839"/>
      <c r="FW38" s="839"/>
      <c r="FX38" s="839"/>
      <c r="FY38" s="839"/>
      <c r="FZ38" s="839"/>
      <c r="GA38" s="839"/>
      <c r="GB38" s="839"/>
      <c r="GC38" s="839"/>
      <c r="GD38" s="839"/>
      <c r="GE38" s="839"/>
      <c r="GF38" s="839"/>
      <c r="GG38" s="839"/>
      <c r="GH38" s="839"/>
      <c r="GI38" s="839"/>
      <c r="GJ38" s="839"/>
    </row>
    <row r="39" spans="1:192" s="736" customFormat="1" ht="17.25" customHeight="1">
      <c r="A39" s="792"/>
      <c r="B39" s="797" t="s">
        <v>723</v>
      </c>
      <c r="C39" s="798">
        <f t="shared" ref="C39:BF39" ca="1" si="134">C4+C38</f>
        <v>20731.861383609445</v>
      </c>
      <c r="D39" s="799">
        <f t="shared" ca="1" si="134"/>
        <v>-33442.233565158538</v>
      </c>
      <c r="E39" s="770">
        <f t="shared" ca="1" si="134"/>
        <v>0</v>
      </c>
      <c r="F39" s="770">
        <f t="shared" ca="1" si="134"/>
        <v>0</v>
      </c>
      <c r="G39" s="770">
        <f t="shared" ca="1" si="134"/>
        <v>-7150</v>
      </c>
      <c r="H39" s="771">
        <f t="shared" ca="1" si="134"/>
        <v>-33442.233565158538</v>
      </c>
      <c r="I39" s="799">
        <f t="shared" ca="1" si="134"/>
        <v>13185.506307837917</v>
      </c>
      <c r="J39" s="828">
        <f t="shared" ca="1" si="134"/>
        <v>-31048.629532595802</v>
      </c>
      <c r="K39" s="770">
        <f t="shared" ca="1" si="134"/>
        <v>2516.834613771829</v>
      </c>
      <c r="L39" s="770">
        <f t="shared" ca="1" si="134"/>
        <v>3284.1624187258712</v>
      </c>
      <c r="M39" s="770">
        <f t="shared" ca="1" si="134"/>
        <v>13185.506307837921</v>
      </c>
      <c r="N39" s="799">
        <f t="shared" ca="1" si="134"/>
        <v>8878.8015829221731</v>
      </c>
      <c r="O39" s="828">
        <f t="shared" ca="1" si="134"/>
        <v>13124.167222867174</v>
      </c>
      <c r="P39" s="770">
        <f t="shared" ca="1" si="134"/>
        <v>17335.084899192498</v>
      </c>
      <c r="Q39" s="770">
        <f t="shared" ca="1" si="134"/>
        <v>18949.133013224313</v>
      </c>
      <c r="R39" s="770">
        <f t="shared" ca="1" si="134"/>
        <v>8878.8015829221731</v>
      </c>
      <c r="S39" s="799">
        <f t="shared" ca="1" si="134"/>
        <v>4722.6048223111247</v>
      </c>
      <c r="T39" s="828">
        <f t="shared" ca="1" si="134"/>
        <v>7477.5682823111256</v>
      </c>
      <c r="U39" s="770">
        <f t="shared" ca="1" si="134"/>
        <v>5910.2824023111252</v>
      </c>
      <c r="V39" s="770">
        <f t="shared" ca="1" si="134"/>
        <v>4722.6048223111247</v>
      </c>
      <c r="W39" s="770">
        <f t="shared" ca="1" si="134"/>
        <v>4722.6048223111247</v>
      </c>
      <c r="X39" s="799">
        <f t="shared" ca="1" si="134"/>
        <v>3240.4639023111249</v>
      </c>
      <c r="Y39" s="828">
        <f t="shared" ca="1" si="134"/>
        <v>4722.6048223111247</v>
      </c>
      <c r="Z39" s="770">
        <f t="shared" ca="1" si="134"/>
        <v>4722.6048223111247</v>
      </c>
      <c r="AA39" s="770">
        <f t="shared" ca="1" si="134"/>
        <v>4129.748454311125</v>
      </c>
      <c r="AB39" s="770">
        <f t="shared" ca="1" si="134"/>
        <v>3240.4639023111249</v>
      </c>
      <c r="AC39" s="799">
        <f t="shared" ca="1" si="134"/>
        <v>3240.4639023111249</v>
      </c>
      <c r="AD39" s="828">
        <f t="shared" ca="1" si="134"/>
        <v>3240.4639023111249</v>
      </c>
      <c r="AE39" s="770">
        <f t="shared" ca="1" si="134"/>
        <v>3240.4639023111249</v>
      </c>
      <c r="AF39" s="770">
        <f t="shared" ca="1" si="134"/>
        <v>3240.4639023111249</v>
      </c>
      <c r="AG39" s="770">
        <f t="shared" ca="1" si="134"/>
        <v>3240.4639023111249</v>
      </c>
      <c r="AH39" s="799">
        <f t="shared" ca="1" si="134"/>
        <v>3240.4639023111249</v>
      </c>
      <c r="AI39" s="828">
        <f t="shared" ca="1" si="134"/>
        <v>3240.4639023111249</v>
      </c>
      <c r="AJ39" s="770">
        <f t="shared" ca="1" si="134"/>
        <v>3240.4639023111249</v>
      </c>
      <c r="AK39" s="770">
        <f t="shared" ca="1" si="134"/>
        <v>3240.4639023111249</v>
      </c>
      <c r="AL39" s="770">
        <f t="shared" ca="1" si="134"/>
        <v>3240.4639023111249</v>
      </c>
      <c r="AM39" s="799">
        <f t="shared" ca="1" si="134"/>
        <v>3240.4639023111249</v>
      </c>
      <c r="AN39" s="828">
        <f t="shared" ca="1" si="134"/>
        <v>3240.4639023111249</v>
      </c>
      <c r="AO39" s="770">
        <f t="shared" ca="1" si="134"/>
        <v>3240.4639023111249</v>
      </c>
      <c r="AP39" s="770">
        <f t="shared" ca="1" si="134"/>
        <v>3240.4639023111249</v>
      </c>
      <c r="AQ39" s="770">
        <f t="shared" ca="1" si="134"/>
        <v>3240.4639023111249</v>
      </c>
      <c r="AR39" s="799">
        <f t="shared" ca="1" si="134"/>
        <v>3240.4639023111249</v>
      </c>
      <c r="AS39" s="828">
        <f t="shared" ca="1" si="134"/>
        <v>3240.4639023111249</v>
      </c>
      <c r="AT39" s="770">
        <f t="shared" ca="1" si="134"/>
        <v>3240.4639023111249</v>
      </c>
      <c r="AU39" s="770">
        <f t="shared" ca="1" si="134"/>
        <v>3240.4639023111249</v>
      </c>
      <c r="AV39" s="770">
        <f t="shared" ca="1" si="134"/>
        <v>3240.4639023111249</v>
      </c>
      <c r="AW39" s="799">
        <f t="shared" ca="1" si="134"/>
        <v>3240.4639023111249</v>
      </c>
      <c r="AX39" s="828">
        <f t="shared" ca="1" si="134"/>
        <v>3240.4639023111249</v>
      </c>
      <c r="AY39" s="770">
        <f t="shared" ca="1" si="134"/>
        <v>3240.4639023111249</v>
      </c>
      <c r="AZ39" s="770">
        <f t="shared" ca="1" si="134"/>
        <v>3240.4639023111249</v>
      </c>
      <c r="BA39" s="770">
        <f t="shared" ca="1" si="134"/>
        <v>3240.4639023111249</v>
      </c>
      <c r="BB39" s="799">
        <f t="shared" ca="1" si="134"/>
        <v>3240.4639023111249</v>
      </c>
      <c r="BC39" s="828">
        <f t="shared" ca="1" si="134"/>
        <v>3240.4639023111249</v>
      </c>
      <c r="BD39" s="770">
        <f t="shared" ca="1" si="134"/>
        <v>3240.4639023111249</v>
      </c>
      <c r="BE39" s="770">
        <f t="shared" ca="1" si="134"/>
        <v>3240.4639023111249</v>
      </c>
      <c r="BF39" s="844">
        <f t="shared" ca="1" si="134"/>
        <v>3240.4639023111249</v>
      </c>
      <c r="BG39" s="839"/>
      <c r="BH39" s="839"/>
      <c r="BI39" s="839"/>
      <c r="BJ39" s="839"/>
      <c r="BK39" s="839"/>
      <c r="BL39" s="839"/>
      <c r="BM39" s="839"/>
      <c r="BN39" s="839"/>
      <c r="BO39" s="839"/>
      <c r="BP39" s="839"/>
      <c r="BQ39" s="839"/>
      <c r="BR39" s="839"/>
      <c r="BS39" s="839"/>
      <c r="BT39" s="839"/>
      <c r="BU39" s="839"/>
      <c r="BV39" s="839"/>
      <c r="BW39" s="839"/>
      <c r="BX39" s="839"/>
      <c r="BY39" s="839"/>
      <c r="BZ39" s="839"/>
      <c r="CA39" s="839"/>
      <c r="CB39" s="839"/>
      <c r="CC39" s="839"/>
      <c r="CD39" s="839"/>
      <c r="CE39" s="839"/>
      <c r="CF39" s="839"/>
      <c r="CG39" s="839"/>
      <c r="CH39" s="839"/>
      <c r="CI39" s="839"/>
      <c r="CJ39" s="839"/>
      <c r="CK39" s="839"/>
      <c r="CL39" s="839"/>
      <c r="CM39" s="839"/>
      <c r="CN39" s="839"/>
      <c r="CO39" s="839"/>
      <c r="CP39" s="839"/>
      <c r="CQ39" s="839"/>
      <c r="CR39" s="839"/>
      <c r="CS39" s="839"/>
      <c r="CT39" s="839"/>
      <c r="CU39" s="839"/>
      <c r="CV39" s="839"/>
      <c r="CW39" s="839"/>
      <c r="CX39" s="839"/>
      <c r="CY39" s="839"/>
      <c r="CZ39" s="839"/>
      <c r="DA39" s="839"/>
      <c r="DB39" s="839"/>
      <c r="DC39" s="839"/>
      <c r="DD39" s="839"/>
      <c r="DE39" s="839"/>
      <c r="DF39" s="839"/>
      <c r="DG39" s="839"/>
      <c r="DH39" s="839"/>
      <c r="DI39" s="839"/>
      <c r="DJ39" s="839"/>
      <c r="DK39" s="839"/>
      <c r="DL39" s="839"/>
      <c r="DM39" s="839"/>
      <c r="DN39" s="839"/>
      <c r="DO39" s="839"/>
      <c r="DP39" s="839"/>
      <c r="DQ39" s="839"/>
      <c r="DR39" s="839"/>
      <c r="DS39" s="839"/>
      <c r="DT39" s="839"/>
      <c r="DU39" s="839"/>
      <c r="DV39" s="839"/>
      <c r="DW39" s="839"/>
      <c r="DX39" s="839"/>
      <c r="DY39" s="839"/>
      <c r="DZ39" s="839"/>
      <c r="EA39" s="839"/>
      <c r="EB39" s="839"/>
      <c r="EC39" s="839"/>
      <c r="ED39" s="839"/>
      <c r="EE39" s="839"/>
      <c r="EF39" s="839"/>
      <c r="EG39" s="839"/>
      <c r="EH39" s="839"/>
      <c r="EI39" s="839"/>
      <c r="EJ39" s="839"/>
      <c r="EK39" s="839"/>
      <c r="EL39" s="839"/>
      <c r="EM39" s="839"/>
      <c r="EN39" s="839"/>
      <c r="EO39" s="839"/>
      <c r="EP39" s="839"/>
      <c r="EQ39" s="839"/>
      <c r="ER39" s="839"/>
      <c r="ES39" s="839"/>
      <c r="ET39" s="839"/>
      <c r="EU39" s="839"/>
      <c r="EV39" s="839"/>
      <c r="EW39" s="839"/>
      <c r="EX39" s="839"/>
      <c r="EY39" s="839"/>
      <c r="EZ39" s="839"/>
      <c r="FA39" s="839"/>
      <c r="FB39" s="839"/>
      <c r="FC39" s="839"/>
      <c r="FD39" s="839"/>
      <c r="FE39" s="839"/>
      <c r="FF39" s="839"/>
      <c r="FG39" s="839"/>
      <c r="FH39" s="839"/>
      <c r="FI39" s="839"/>
      <c r="FJ39" s="839"/>
      <c r="FK39" s="839"/>
      <c r="FL39" s="839"/>
      <c r="FM39" s="839"/>
      <c r="FN39" s="839"/>
      <c r="FO39" s="839"/>
      <c r="FP39" s="839"/>
      <c r="FQ39" s="839"/>
      <c r="FR39" s="839"/>
      <c r="FS39" s="839"/>
      <c r="FT39" s="839"/>
      <c r="FU39" s="839"/>
      <c r="FV39" s="839"/>
      <c r="FW39" s="839"/>
      <c r="FX39" s="839"/>
      <c r="FY39" s="839"/>
      <c r="FZ39" s="839"/>
      <c r="GA39" s="839"/>
      <c r="GB39" s="839"/>
      <c r="GC39" s="839"/>
      <c r="GD39" s="839"/>
      <c r="GE39" s="839"/>
      <c r="GF39" s="839"/>
      <c r="GG39" s="839"/>
      <c r="GH39" s="839"/>
      <c r="GI39" s="839"/>
      <c r="GJ39" s="839"/>
    </row>
    <row r="40" spans="1:192" s="736" customFormat="1" ht="17.25" customHeight="1">
      <c r="A40" s="792"/>
      <c r="B40" s="797" t="s">
        <v>724</v>
      </c>
      <c r="C40" s="798">
        <v>0</v>
      </c>
      <c r="D40" s="799">
        <f>H40</f>
        <v>0</v>
      </c>
      <c r="E40" s="802"/>
      <c r="F40" s="802"/>
      <c r="G40" s="802"/>
      <c r="H40" s="803"/>
      <c r="I40" s="799">
        <f>M40</f>
        <v>0</v>
      </c>
      <c r="J40" s="836"/>
      <c r="K40" s="802"/>
      <c r="L40" s="802"/>
      <c r="M40" s="802"/>
      <c r="N40" s="799">
        <f>R40</f>
        <v>0</v>
      </c>
      <c r="O40" s="836"/>
      <c r="P40" s="802"/>
      <c r="Q40" s="802"/>
      <c r="R40" s="802"/>
      <c r="S40" s="799">
        <f>W40</f>
        <v>0</v>
      </c>
      <c r="T40" s="836"/>
      <c r="U40" s="802"/>
      <c r="V40" s="802"/>
      <c r="W40" s="802"/>
      <c r="X40" s="799">
        <f>AB40</f>
        <v>0</v>
      </c>
      <c r="Y40" s="836"/>
      <c r="Z40" s="802"/>
      <c r="AA40" s="802"/>
      <c r="AB40" s="802"/>
      <c r="AC40" s="799">
        <f>AG40</f>
        <v>0</v>
      </c>
      <c r="AD40" s="836"/>
      <c r="AE40" s="802"/>
      <c r="AF40" s="802"/>
      <c r="AG40" s="802"/>
      <c r="AH40" s="799">
        <f>AL40</f>
        <v>0</v>
      </c>
      <c r="AI40" s="836"/>
      <c r="AJ40" s="802"/>
      <c r="AK40" s="802"/>
      <c r="AL40" s="802"/>
      <c r="AM40" s="799">
        <f>AQ40</f>
        <v>0</v>
      </c>
      <c r="AN40" s="836"/>
      <c r="AO40" s="802"/>
      <c r="AP40" s="802"/>
      <c r="AQ40" s="802"/>
      <c r="AR40" s="799">
        <f>AV40</f>
        <v>0</v>
      </c>
      <c r="AS40" s="836"/>
      <c r="AT40" s="802"/>
      <c r="AU40" s="802"/>
      <c r="AV40" s="802"/>
      <c r="AW40" s="799">
        <f>BA40</f>
        <v>0</v>
      </c>
      <c r="AX40" s="836"/>
      <c r="AY40" s="802"/>
      <c r="AZ40" s="802"/>
      <c r="BA40" s="802"/>
      <c r="BB40" s="799">
        <f>BF40</f>
        <v>0</v>
      </c>
      <c r="BC40" s="836"/>
      <c r="BD40" s="802"/>
      <c r="BE40" s="802"/>
      <c r="BF40" s="853"/>
      <c r="BG40" s="839"/>
      <c r="BH40" s="839"/>
      <c r="BI40" s="839"/>
      <c r="BJ40" s="839"/>
      <c r="BK40" s="839"/>
      <c r="BL40" s="839"/>
      <c r="BM40" s="839"/>
      <c r="BN40" s="839"/>
      <c r="BO40" s="839"/>
      <c r="BP40" s="839"/>
      <c r="BQ40" s="839"/>
      <c r="BR40" s="839"/>
      <c r="BS40" s="839"/>
      <c r="BT40" s="839"/>
      <c r="BU40" s="839"/>
      <c r="BV40" s="839"/>
      <c r="BW40" s="839"/>
      <c r="BX40" s="839"/>
      <c r="BY40" s="839"/>
      <c r="BZ40" s="839"/>
      <c r="CA40" s="839"/>
      <c r="CB40" s="839"/>
      <c r="CC40" s="839"/>
      <c r="CD40" s="839"/>
      <c r="CE40" s="839"/>
      <c r="CF40" s="839"/>
      <c r="CG40" s="839"/>
      <c r="CH40" s="839"/>
      <c r="CI40" s="839"/>
      <c r="CJ40" s="839"/>
      <c r="CK40" s="839"/>
      <c r="CL40" s="839"/>
      <c r="CM40" s="839"/>
      <c r="CN40" s="839"/>
      <c r="CO40" s="839"/>
      <c r="CP40" s="839"/>
      <c r="CQ40" s="839"/>
      <c r="CR40" s="839"/>
      <c r="CS40" s="839"/>
      <c r="CT40" s="839"/>
      <c r="CU40" s="839"/>
      <c r="CV40" s="839"/>
      <c r="CW40" s="839"/>
      <c r="CX40" s="839"/>
      <c r="CY40" s="839"/>
      <c r="CZ40" s="839"/>
      <c r="DA40" s="839"/>
      <c r="DB40" s="839"/>
      <c r="DC40" s="839"/>
      <c r="DD40" s="839"/>
      <c r="DE40" s="839"/>
      <c r="DF40" s="839"/>
      <c r="DG40" s="839"/>
      <c r="DH40" s="839"/>
      <c r="DI40" s="839"/>
      <c r="DJ40" s="839"/>
      <c r="DK40" s="839"/>
      <c r="DL40" s="839"/>
      <c r="DM40" s="839"/>
      <c r="DN40" s="839"/>
      <c r="DO40" s="839"/>
      <c r="DP40" s="839"/>
      <c r="DQ40" s="839"/>
      <c r="DR40" s="839"/>
      <c r="DS40" s="839"/>
      <c r="DT40" s="839"/>
      <c r="DU40" s="839"/>
      <c r="DV40" s="839"/>
      <c r="DW40" s="839"/>
      <c r="DX40" s="839"/>
      <c r="DY40" s="839"/>
      <c r="DZ40" s="839"/>
      <c r="EA40" s="839"/>
      <c r="EB40" s="839"/>
      <c r="EC40" s="839"/>
      <c r="ED40" s="839"/>
      <c r="EE40" s="839"/>
      <c r="EF40" s="839"/>
      <c r="EG40" s="839"/>
      <c r="EH40" s="839"/>
      <c r="EI40" s="839"/>
      <c r="EJ40" s="839"/>
      <c r="EK40" s="839"/>
      <c r="EL40" s="839"/>
      <c r="EM40" s="839"/>
      <c r="EN40" s="839"/>
      <c r="EO40" s="839"/>
      <c r="EP40" s="839"/>
      <c r="EQ40" s="839"/>
      <c r="ER40" s="839"/>
      <c r="ES40" s="839"/>
      <c r="ET40" s="839"/>
      <c r="EU40" s="839"/>
      <c r="EV40" s="839"/>
      <c r="EW40" s="839"/>
      <c r="EX40" s="839"/>
      <c r="EY40" s="839"/>
      <c r="EZ40" s="839"/>
      <c r="FA40" s="839"/>
      <c r="FB40" s="839"/>
      <c r="FC40" s="839"/>
      <c r="FD40" s="839"/>
      <c r="FE40" s="839"/>
      <c r="FF40" s="839"/>
      <c r="FG40" s="839"/>
      <c r="FH40" s="839"/>
      <c r="FI40" s="839"/>
      <c r="FJ40" s="839"/>
      <c r="FK40" s="839"/>
      <c r="FL40" s="839"/>
      <c r="FM40" s="839"/>
      <c r="FN40" s="839"/>
      <c r="FO40" s="839"/>
      <c r="FP40" s="839"/>
      <c r="FQ40" s="839"/>
      <c r="FR40" s="839"/>
      <c r="FS40" s="839"/>
      <c r="FT40" s="839"/>
      <c r="FU40" s="839"/>
      <c r="FV40" s="839"/>
      <c r="FW40" s="839"/>
      <c r="FX40" s="839"/>
      <c r="FY40" s="839"/>
      <c r="FZ40" s="839"/>
      <c r="GA40" s="839"/>
      <c r="GB40" s="839"/>
      <c r="GC40" s="839"/>
      <c r="GD40" s="839"/>
      <c r="GE40" s="839"/>
      <c r="GF40" s="839"/>
      <c r="GG40" s="839"/>
      <c r="GH40" s="839"/>
      <c r="GI40" s="839"/>
      <c r="GJ40" s="839"/>
    </row>
    <row r="41" spans="1:192" s="736" customFormat="1" ht="17.25" customHeight="1">
      <c r="A41" s="804"/>
      <c r="B41" s="797" t="s">
        <v>725</v>
      </c>
      <c r="C41" s="798">
        <v>0</v>
      </c>
      <c r="D41" s="799">
        <f>H41</f>
        <v>0</v>
      </c>
      <c r="E41" s="802"/>
      <c r="F41" s="802"/>
      <c r="G41" s="802"/>
      <c r="H41" s="803"/>
      <c r="I41" s="799">
        <f>M41</f>
        <v>0</v>
      </c>
      <c r="J41" s="836"/>
      <c r="K41" s="802"/>
      <c r="L41" s="802"/>
      <c r="M41" s="802"/>
      <c r="N41" s="799">
        <f>R41</f>
        <v>0</v>
      </c>
      <c r="O41" s="836"/>
      <c r="P41" s="802"/>
      <c r="Q41" s="802"/>
      <c r="R41" s="802"/>
      <c r="S41" s="799">
        <f>W41</f>
        <v>0</v>
      </c>
      <c r="T41" s="836"/>
      <c r="U41" s="802"/>
      <c r="V41" s="802"/>
      <c r="W41" s="802"/>
      <c r="X41" s="799">
        <f>AB41</f>
        <v>0</v>
      </c>
      <c r="Y41" s="836"/>
      <c r="Z41" s="802"/>
      <c r="AA41" s="802"/>
      <c r="AB41" s="802"/>
      <c r="AC41" s="799">
        <f>AG41</f>
        <v>0</v>
      </c>
      <c r="AD41" s="836"/>
      <c r="AE41" s="802"/>
      <c r="AF41" s="802"/>
      <c r="AG41" s="802"/>
      <c r="AH41" s="799">
        <f>AL41</f>
        <v>0</v>
      </c>
      <c r="AI41" s="836"/>
      <c r="AJ41" s="802"/>
      <c r="AK41" s="802"/>
      <c r="AL41" s="802"/>
      <c r="AM41" s="799">
        <f>AQ41</f>
        <v>0</v>
      </c>
      <c r="AN41" s="836"/>
      <c r="AO41" s="802"/>
      <c r="AP41" s="802"/>
      <c r="AQ41" s="802"/>
      <c r="AR41" s="799">
        <f>AV41</f>
        <v>0</v>
      </c>
      <c r="AS41" s="836"/>
      <c r="AT41" s="802"/>
      <c r="AU41" s="802"/>
      <c r="AV41" s="802"/>
      <c r="AW41" s="799">
        <f>BA41</f>
        <v>0</v>
      </c>
      <c r="AX41" s="836"/>
      <c r="AY41" s="802"/>
      <c r="AZ41" s="802"/>
      <c r="BA41" s="802"/>
      <c r="BB41" s="799">
        <f>BF41</f>
        <v>0</v>
      </c>
      <c r="BC41" s="836"/>
      <c r="BD41" s="802"/>
      <c r="BE41" s="802"/>
      <c r="BF41" s="853"/>
      <c r="BG41" s="839"/>
      <c r="BH41" s="839"/>
      <c r="BI41" s="839"/>
      <c r="BJ41" s="839"/>
      <c r="BK41" s="839"/>
      <c r="BL41" s="839"/>
      <c r="BM41" s="839"/>
      <c r="BN41" s="839"/>
      <c r="BO41" s="839"/>
      <c r="BP41" s="839"/>
      <c r="BQ41" s="839"/>
      <c r="BR41" s="839"/>
      <c r="BS41" s="839"/>
      <c r="BT41" s="839"/>
      <c r="BU41" s="839"/>
      <c r="BV41" s="839"/>
      <c r="BW41" s="839"/>
      <c r="BX41" s="839"/>
      <c r="BY41" s="839"/>
      <c r="BZ41" s="839"/>
      <c r="CA41" s="839"/>
      <c r="CB41" s="839"/>
      <c r="CC41" s="839"/>
      <c r="CD41" s="839"/>
      <c r="CE41" s="839"/>
      <c r="CF41" s="839"/>
      <c r="CG41" s="839"/>
      <c r="CH41" s="839"/>
      <c r="CI41" s="839"/>
      <c r="CJ41" s="839"/>
      <c r="CK41" s="839"/>
      <c r="CL41" s="839"/>
      <c r="CM41" s="839"/>
      <c r="CN41" s="839"/>
      <c r="CO41" s="839"/>
      <c r="CP41" s="839"/>
      <c r="CQ41" s="839"/>
      <c r="CR41" s="839"/>
      <c r="CS41" s="839"/>
      <c r="CT41" s="839"/>
      <c r="CU41" s="839"/>
      <c r="CV41" s="839"/>
      <c r="CW41" s="839"/>
      <c r="CX41" s="839"/>
      <c r="CY41" s="839"/>
      <c r="CZ41" s="839"/>
      <c r="DA41" s="839"/>
      <c r="DB41" s="839"/>
      <c r="DC41" s="839"/>
      <c r="DD41" s="839"/>
      <c r="DE41" s="839"/>
      <c r="DF41" s="839"/>
      <c r="DG41" s="839"/>
      <c r="DH41" s="839"/>
      <c r="DI41" s="839"/>
      <c r="DJ41" s="839"/>
      <c r="DK41" s="839"/>
      <c r="DL41" s="839"/>
      <c r="DM41" s="839"/>
      <c r="DN41" s="839"/>
      <c r="DO41" s="839"/>
      <c r="DP41" s="839"/>
      <c r="DQ41" s="839"/>
      <c r="DR41" s="839"/>
      <c r="DS41" s="839"/>
      <c r="DT41" s="839"/>
      <c r="DU41" s="839"/>
      <c r="DV41" s="839"/>
      <c r="DW41" s="839"/>
      <c r="DX41" s="839"/>
      <c r="DY41" s="839"/>
      <c r="DZ41" s="839"/>
      <c r="EA41" s="839"/>
      <c r="EB41" s="839"/>
      <c r="EC41" s="839"/>
      <c r="ED41" s="839"/>
      <c r="EE41" s="839"/>
      <c r="EF41" s="839"/>
      <c r="EG41" s="839"/>
      <c r="EH41" s="839"/>
      <c r="EI41" s="839"/>
      <c r="EJ41" s="839"/>
      <c r="EK41" s="839"/>
      <c r="EL41" s="839"/>
      <c r="EM41" s="839"/>
      <c r="EN41" s="839"/>
      <c r="EO41" s="839"/>
      <c r="EP41" s="839"/>
      <c r="EQ41" s="839"/>
      <c r="ER41" s="839"/>
      <c r="ES41" s="839"/>
      <c r="ET41" s="839"/>
      <c r="EU41" s="839"/>
      <c r="EV41" s="839"/>
      <c r="EW41" s="839"/>
      <c r="EX41" s="839"/>
      <c r="EY41" s="839"/>
      <c r="EZ41" s="839"/>
      <c r="FA41" s="839"/>
      <c r="FB41" s="839"/>
      <c r="FC41" s="839"/>
      <c r="FD41" s="839"/>
      <c r="FE41" s="839"/>
      <c r="FF41" s="839"/>
      <c r="FG41" s="839"/>
      <c r="FH41" s="839"/>
      <c r="FI41" s="839"/>
      <c r="FJ41" s="839"/>
      <c r="FK41" s="839"/>
      <c r="FL41" s="839"/>
      <c r="FM41" s="839"/>
      <c r="FN41" s="839"/>
      <c r="FO41" s="839"/>
      <c r="FP41" s="839"/>
      <c r="FQ41" s="839"/>
      <c r="FR41" s="839"/>
      <c r="FS41" s="839"/>
      <c r="FT41" s="839"/>
      <c r="FU41" s="839"/>
      <c r="FV41" s="839"/>
      <c r="FW41" s="839"/>
      <c r="FX41" s="839"/>
      <c r="FY41" s="839"/>
      <c r="FZ41" s="839"/>
      <c r="GA41" s="839"/>
      <c r="GB41" s="839"/>
      <c r="GC41" s="839"/>
      <c r="GD41" s="839"/>
      <c r="GE41" s="839"/>
      <c r="GF41" s="839"/>
      <c r="GG41" s="839"/>
      <c r="GH41" s="839"/>
      <c r="GI41" s="839"/>
      <c r="GJ41" s="839"/>
    </row>
    <row r="42" spans="1:192" s="736" customFormat="1" ht="17.25" customHeight="1" thickBot="1">
      <c r="A42" s="767"/>
      <c r="B42" s="805" t="s">
        <v>726</v>
      </c>
      <c r="C42" s="806">
        <f t="shared" ref="C42:BF42" ca="1" si="135">C39-C40-C41</f>
        <v>20731.861383609445</v>
      </c>
      <c r="D42" s="807">
        <f t="shared" ca="1" si="135"/>
        <v>-33442.233565158538</v>
      </c>
      <c r="E42" s="808">
        <f t="shared" ca="1" si="135"/>
        <v>0</v>
      </c>
      <c r="F42" s="808">
        <f t="shared" ca="1" si="135"/>
        <v>0</v>
      </c>
      <c r="G42" s="808">
        <f t="shared" ca="1" si="135"/>
        <v>-7150</v>
      </c>
      <c r="H42" s="809">
        <f t="shared" ca="1" si="135"/>
        <v>-33442.233565158538</v>
      </c>
      <c r="I42" s="807">
        <f t="shared" ca="1" si="135"/>
        <v>13185.506307837917</v>
      </c>
      <c r="J42" s="837">
        <f t="shared" ca="1" si="135"/>
        <v>-31048.629532595802</v>
      </c>
      <c r="K42" s="808">
        <f t="shared" ca="1" si="135"/>
        <v>2516.834613771829</v>
      </c>
      <c r="L42" s="808">
        <f t="shared" ca="1" si="135"/>
        <v>3284.1624187258712</v>
      </c>
      <c r="M42" s="808">
        <f t="shared" ca="1" si="135"/>
        <v>13185.506307837921</v>
      </c>
      <c r="N42" s="807">
        <f t="shared" ca="1" si="135"/>
        <v>8878.8015829221731</v>
      </c>
      <c r="O42" s="837">
        <f t="shared" ca="1" si="135"/>
        <v>13124.167222867174</v>
      </c>
      <c r="P42" s="808">
        <f t="shared" ca="1" si="135"/>
        <v>17335.084899192498</v>
      </c>
      <c r="Q42" s="808">
        <f t="shared" ca="1" si="135"/>
        <v>18949.133013224313</v>
      </c>
      <c r="R42" s="808">
        <f t="shared" ca="1" si="135"/>
        <v>8878.8015829221731</v>
      </c>
      <c r="S42" s="807">
        <f t="shared" ca="1" si="135"/>
        <v>4722.6048223111247</v>
      </c>
      <c r="T42" s="837">
        <f t="shared" ca="1" si="135"/>
        <v>7477.5682823111256</v>
      </c>
      <c r="U42" s="808">
        <f t="shared" ca="1" si="135"/>
        <v>5910.2824023111252</v>
      </c>
      <c r="V42" s="808">
        <f t="shared" ca="1" si="135"/>
        <v>4722.6048223111247</v>
      </c>
      <c r="W42" s="808">
        <f t="shared" ca="1" si="135"/>
        <v>4722.6048223111247</v>
      </c>
      <c r="X42" s="807">
        <f t="shared" ca="1" si="135"/>
        <v>3240.4639023111249</v>
      </c>
      <c r="Y42" s="837">
        <f t="shared" ca="1" si="135"/>
        <v>4722.6048223111247</v>
      </c>
      <c r="Z42" s="808">
        <f t="shared" ca="1" si="135"/>
        <v>4722.6048223111247</v>
      </c>
      <c r="AA42" s="808">
        <f t="shared" ca="1" si="135"/>
        <v>4129.748454311125</v>
      </c>
      <c r="AB42" s="808">
        <f t="shared" ca="1" si="135"/>
        <v>3240.4639023111249</v>
      </c>
      <c r="AC42" s="807">
        <f t="shared" ca="1" si="135"/>
        <v>3240.4639023111249</v>
      </c>
      <c r="AD42" s="837">
        <f t="shared" ca="1" si="135"/>
        <v>3240.4639023111249</v>
      </c>
      <c r="AE42" s="808">
        <f t="shared" ca="1" si="135"/>
        <v>3240.4639023111249</v>
      </c>
      <c r="AF42" s="808">
        <f t="shared" ca="1" si="135"/>
        <v>3240.4639023111249</v>
      </c>
      <c r="AG42" s="808">
        <f t="shared" ca="1" si="135"/>
        <v>3240.4639023111249</v>
      </c>
      <c r="AH42" s="807">
        <f t="shared" ca="1" si="135"/>
        <v>3240.4639023111249</v>
      </c>
      <c r="AI42" s="837">
        <f t="shared" ca="1" si="135"/>
        <v>3240.4639023111249</v>
      </c>
      <c r="AJ42" s="808">
        <f t="shared" ca="1" si="135"/>
        <v>3240.4639023111249</v>
      </c>
      <c r="AK42" s="808">
        <f t="shared" ca="1" si="135"/>
        <v>3240.4639023111249</v>
      </c>
      <c r="AL42" s="808">
        <f t="shared" ca="1" si="135"/>
        <v>3240.4639023111249</v>
      </c>
      <c r="AM42" s="807">
        <f t="shared" ca="1" si="135"/>
        <v>3240.4639023111249</v>
      </c>
      <c r="AN42" s="837">
        <f t="shared" ca="1" si="135"/>
        <v>3240.4639023111249</v>
      </c>
      <c r="AO42" s="808">
        <f t="shared" ca="1" si="135"/>
        <v>3240.4639023111249</v>
      </c>
      <c r="AP42" s="808">
        <f t="shared" ca="1" si="135"/>
        <v>3240.4639023111249</v>
      </c>
      <c r="AQ42" s="808">
        <f t="shared" ca="1" si="135"/>
        <v>3240.4639023111249</v>
      </c>
      <c r="AR42" s="807">
        <f t="shared" ca="1" si="135"/>
        <v>3240.4639023111249</v>
      </c>
      <c r="AS42" s="837">
        <f t="shared" ca="1" si="135"/>
        <v>3240.4639023111249</v>
      </c>
      <c r="AT42" s="808">
        <f t="shared" ca="1" si="135"/>
        <v>3240.4639023111249</v>
      </c>
      <c r="AU42" s="808">
        <f t="shared" ca="1" si="135"/>
        <v>3240.4639023111249</v>
      </c>
      <c r="AV42" s="808">
        <f t="shared" ca="1" si="135"/>
        <v>3240.4639023111249</v>
      </c>
      <c r="AW42" s="807">
        <f t="shared" ca="1" si="135"/>
        <v>3240.4639023111249</v>
      </c>
      <c r="AX42" s="837">
        <f t="shared" ca="1" si="135"/>
        <v>3240.4639023111249</v>
      </c>
      <c r="AY42" s="808">
        <f t="shared" ca="1" si="135"/>
        <v>3240.4639023111249</v>
      </c>
      <c r="AZ42" s="808">
        <f t="shared" ca="1" si="135"/>
        <v>3240.4639023111249</v>
      </c>
      <c r="BA42" s="808">
        <f t="shared" ca="1" si="135"/>
        <v>3240.4639023111249</v>
      </c>
      <c r="BB42" s="807">
        <f t="shared" ca="1" si="135"/>
        <v>3240.4639023111249</v>
      </c>
      <c r="BC42" s="837">
        <f t="shared" ca="1" si="135"/>
        <v>3240.4639023111249</v>
      </c>
      <c r="BD42" s="808">
        <f t="shared" ca="1" si="135"/>
        <v>3240.4639023111249</v>
      </c>
      <c r="BE42" s="808">
        <f t="shared" ca="1" si="135"/>
        <v>3240.4639023111249</v>
      </c>
      <c r="BF42" s="854">
        <f t="shared" ca="1" si="135"/>
        <v>3240.4639023111249</v>
      </c>
      <c r="BG42" s="839"/>
      <c r="BH42" s="839"/>
      <c r="BI42" s="839"/>
      <c r="BJ42" s="839"/>
      <c r="BK42" s="839"/>
      <c r="BL42" s="839"/>
      <c r="BM42" s="839"/>
      <c r="BN42" s="839"/>
      <c r="BO42" s="839"/>
      <c r="BP42" s="839"/>
      <c r="BQ42" s="839"/>
      <c r="BR42" s="839"/>
      <c r="BS42" s="839"/>
      <c r="BT42" s="839"/>
      <c r="BU42" s="839"/>
      <c r="BV42" s="839"/>
      <c r="BW42" s="839"/>
      <c r="BX42" s="839"/>
      <c r="BY42" s="839"/>
      <c r="BZ42" s="839"/>
      <c r="CA42" s="839"/>
      <c r="CB42" s="839"/>
      <c r="CC42" s="839"/>
      <c r="CD42" s="839"/>
      <c r="CE42" s="839"/>
      <c r="CF42" s="839"/>
      <c r="CG42" s="839"/>
      <c r="CH42" s="839"/>
      <c r="CI42" s="839"/>
      <c r="CJ42" s="839"/>
      <c r="CK42" s="839"/>
      <c r="CL42" s="839"/>
      <c r="CM42" s="839"/>
      <c r="CN42" s="839"/>
      <c r="CO42" s="839"/>
      <c r="CP42" s="839"/>
      <c r="CQ42" s="839"/>
      <c r="CR42" s="839"/>
      <c r="CS42" s="839"/>
      <c r="CT42" s="839"/>
      <c r="CU42" s="839"/>
      <c r="CV42" s="839"/>
      <c r="CW42" s="839"/>
      <c r="CX42" s="839"/>
      <c r="CY42" s="839"/>
      <c r="CZ42" s="839"/>
      <c r="DA42" s="839"/>
      <c r="DB42" s="839"/>
      <c r="DC42" s="839"/>
      <c r="DD42" s="839"/>
      <c r="DE42" s="839"/>
      <c r="DF42" s="839"/>
      <c r="DG42" s="839"/>
      <c r="DH42" s="839"/>
      <c r="DI42" s="839"/>
      <c r="DJ42" s="839"/>
      <c r="DK42" s="839"/>
      <c r="DL42" s="839"/>
      <c r="DM42" s="839"/>
      <c r="DN42" s="839"/>
      <c r="DO42" s="839"/>
      <c r="DP42" s="839"/>
      <c r="DQ42" s="839"/>
      <c r="DR42" s="839"/>
      <c r="DS42" s="839"/>
      <c r="DT42" s="839"/>
      <c r="DU42" s="839"/>
      <c r="DV42" s="839"/>
      <c r="DW42" s="839"/>
      <c r="DX42" s="839"/>
      <c r="DY42" s="839"/>
      <c r="DZ42" s="839"/>
      <c r="EA42" s="839"/>
      <c r="EB42" s="839"/>
      <c r="EC42" s="839"/>
      <c r="ED42" s="839"/>
      <c r="EE42" s="839"/>
      <c r="EF42" s="839"/>
      <c r="EG42" s="839"/>
      <c r="EH42" s="839"/>
      <c r="EI42" s="839"/>
      <c r="EJ42" s="839"/>
      <c r="EK42" s="839"/>
      <c r="EL42" s="839"/>
      <c r="EM42" s="839"/>
      <c r="EN42" s="839"/>
      <c r="EO42" s="839"/>
      <c r="EP42" s="839"/>
      <c r="EQ42" s="839"/>
      <c r="ER42" s="839"/>
      <c r="ES42" s="839"/>
      <c r="ET42" s="839"/>
      <c r="EU42" s="839"/>
      <c r="EV42" s="839"/>
      <c r="EW42" s="839"/>
      <c r="EX42" s="839"/>
      <c r="EY42" s="839"/>
      <c r="EZ42" s="839"/>
      <c r="FA42" s="839"/>
      <c r="FB42" s="839"/>
      <c r="FC42" s="839"/>
      <c r="FD42" s="839"/>
      <c r="FE42" s="839"/>
      <c r="FF42" s="839"/>
      <c r="FG42" s="839"/>
      <c r="FH42" s="839"/>
      <c r="FI42" s="839"/>
      <c r="FJ42" s="839"/>
      <c r="FK42" s="839"/>
      <c r="FL42" s="839"/>
      <c r="FM42" s="839"/>
      <c r="FN42" s="839"/>
      <c r="FO42" s="839"/>
      <c r="FP42" s="839"/>
      <c r="FQ42" s="839"/>
      <c r="FR42" s="839"/>
      <c r="FS42" s="839"/>
      <c r="FT42" s="839"/>
      <c r="FU42" s="839"/>
      <c r="FV42" s="839"/>
      <c r="FW42" s="839"/>
      <c r="FX42" s="839"/>
      <c r="FY42" s="839"/>
      <c r="FZ42" s="839"/>
      <c r="GA42" s="839"/>
      <c r="GB42" s="839"/>
      <c r="GC42" s="839"/>
      <c r="GD42" s="839"/>
      <c r="GE42" s="839"/>
      <c r="GF42" s="839"/>
      <c r="GG42" s="839"/>
      <c r="GH42" s="839"/>
      <c r="GI42" s="839"/>
      <c r="GJ42" s="839"/>
    </row>
    <row r="43" spans="1:192" ht="18" customHeight="1" thickTop="1">
      <c r="A43" s="758"/>
      <c r="B43" s="810" t="s">
        <v>727</v>
      </c>
      <c r="C43" s="811">
        <f ca="1">C39+'5.分产品利润表'!L7+'5.分产品利润表'!L8+'5.分产品利润表'!L18-'5.分产品利润表'!B20</f>
        <v>0</v>
      </c>
      <c r="D43" s="812"/>
      <c r="E43" s="812"/>
      <c r="F43" s="812"/>
      <c r="G43" s="812"/>
      <c r="H43" s="812"/>
      <c r="I43" s="812"/>
      <c r="J43" s="812"/>
      <c r="K43" s="812"/>
      <c r="L43" s="812"/>
      <c r="M43" s="812"/>
      <c r="N43" s="812"/>
      <c r="O43" s="812"/>
      <c r="P43" s="812"/>
      <c r="Q43" s="812"/>
      <c r="R43" s="812"/>
      <c r="S43" s="812"/>
      <c r="T43" s="812"/>
      <c r="U43" s="812"/>
      <c r="V43" s="812"/>
      <c r="W43" s="812"/>
      <c r="X43" s="812"/>
      <c r="Y43" s="812"/>
      <c r="Z43" s="812"/>
      <c r="AA43" s="812"/>
      <c r="AB43" s="812"/>
      <c r="AC43" s="812"/>
      <c r="AD43" s="812"/>
      <c r="AE43" s="812"/>
      <c r="AF43" s="812"/>
      <c r="AG43" s="812"/>
      <c r="AH43" s="812"/>
      <c r="AI43" s="812"/>
      <c r="AJ43" s="812"/>
      <c r="AK43" s="812"/>
      <c r="AL43" s="812"/>
      <c r="AM43" s="812"/>
      <c r="AN43" s="812"/>
      <c r="AO43" s="812"/>
      <c r="AP43" s="812"/>
      <c r="AQ43" s="812"/>
      <c r="AR43" s="812"/>
      <c r="AS43" s="812"/>
      <c r="AT43" s="812"/>
      <c r="AU43" s="812"/>
      <c r="AV43" s="812"/>
      <c r="AW43" s="812"/>
      <c r="AX43" s="812"/>
      <c r="AY43" s="812"/>
      <c r="AZ43" s="812"/>
      <c r="BA43" s="812"/>
      <c r="BB43" s="812"/>
      <c r="BC43" s="812"/>
      <c r="BD43" s="812"/>
      <c r="BE43" s="812"/>
      <c r="BF43" s="812"/>
      <c r="BG43" s="747"/>
      <c r="BH43" s="747"/>
      <c r="BI43" s="747"/>
      <c r="BJ43" s="747"/>
      <c r="BK43" s="747"/>
      <c r="BL43" s="747"/>
      <c r="BM43" s="747"/>
      <c r="BN43" s="747"/>
      <c r="BO43" s="747"/>
      <c r="BP43" s="747"/>
      <c r="BQ43" s="747"/>
      <c r="BR43" s="747"/>
      <c r="BS43" s="747"/>
      <c r="BT43" s="747"/>
      <c r="BU43" s="747"/>
      <c r="BV43" s="747"/>
      <c r="BW43" s="747"/>
      <c r="BX43" s="747"/>
      <c r="BY43" s="747"/>
      <c r="BZ43" s="747"/>
      <c r="CA43" s="747"/>
      <c r="CB43" s="747"/>
      <c r="CC43" s="747"/>
      <c r="CD43" s="747"/>
      <c r="CE43" s="747"/>
      <c r="CF43" s="747"/>
      <c r="CG43" s="747"/>
      <c r="CH43" s="747"/>
      <c r="CI43" s="747"/>
      <c r="CJ43" s="747"/>
      <c r="CK43" s="747"/>
      <c r="CL43" s="747"/>
      <c r="CM43" s="747"/>
      <c r="CN43" s="747"/>
      <c r="CO43" s="747"/>
      <c r="CP43" s="747"/>
      <c r="CQ43" s="747"/>
      <c r="CR43" s="747"/>
      <c r="CS43" s="747"/>
      <c r="CT43" s="747"/>
      <c r="CU43" s="747"/>
      <c r="CV43" s="747"/>
      <c r="CW43" s="747"/>
      <c r="CX43" s="747"/>
      <c r="CY43" s="747"/>
      <c r="CZ43" s="747"/>
      <c r="DA43" s="747"/>
      <c r="DB43" s="747"/>
      <c r="DC43" s="747"/>
      <c r="DD43" s="747"/>
      <c r="DE43" s="747"/>
      <c r="DF43" s="747"/>
      <c r="DG43" s="747"/>
      <c r="DH43" s="747"/>
      <c r="DI43" s="747"/>
      <c r="DJ43" s="747"/>
      <c r="DK43" s="747"/>
      <c r="DL43" s="747"/>
      <c r="DM43" s="747"/>
      <c r="DN43" s="747"/>
      <c r="DO43" s="747"/>
      <c r="DP43" s="747"/>
      <c r="DQ43" s="747"/>
      <c r="DR43" s="747"/>
      <c r="DS43" s="747"/>
      <c r="DT43" s="747"/>
      <c r="DU43" s="747"/>
      <c r="DV43" s="747"/>
      <c r="DW43" s="747"/>
      <c r="DX43" s="747"/>
      <c r="DY43" s="747"/>
      <c r="DZ43" s="747"/>
      <c r="EA43" s="747"/>
      <c r="EB43" s="747"/>
      <c r="EC43" s="747"/>
      <c r="ED43" s="747"/>
      <c r="EE43" s="747"/>
      <c r="EF43" s="747"/>
      <c r="EG43" s="747"/>
      <c r="EH43" s="747"/>
      <c r="EI43" s="747"/>
      <c r="EJ43" s="747"/>
      <c r="EK43" s="747"/>
      <c r="EL43" s="747"/>
      <c r="EM43" s="747"/>
      <c r="EN43" s="747"/>
      <c r="EO43" s="747"/>
      <c r="EP43" s="747"/>
      <c r="EQ43" s="747"/>
      <c r="ER43" s="747"/>
      <c r="ES43" s="747"/>
      <c r="ET43" s="747"/>
      <c r="EU43" s="747"/>
      <c r="EV43" s="747"/>
      <c r="EW43" s="747"/>
      <c r="EX43" s="747"/>
      <c r="EY43" s="747"/>
      <c r="EZ43" s="747"/>
      <c r="FA43" s="747"/>
      <c r="FB43" s="747"/>
      <c r="FC43" s="747"/>
      <c r="FD43" s="747"/>
      <c r="FE43" s="747"/>
      <c r="FF43" s="747"/>
      <c r="FG43" s="747"/>
      <c r="FH43" s="747"/>
      <c r="FI43" s="747"/>
      <c r="FJ43" s="747"/>
      <c r="FK43" s="747"/>
      <c r="FL43" s="747"/>
      <c r="FM43" s="747"/>
      <c r="FN43" s="747"/>
      <c r="FO43" s="747"/>
      <c r="FP43" s="747"/>
      <c r="FQ43" s="747"/>
      <c r="FR43" s="747"/>
      <c r="FS43" s="747"/>
      <c r="FT43" s="747"/>
      <c r="FU43" s="747"/>
      <c r="FV43" s="747"/>
      <c r="FW43" s="747"/>
      <c r="FX43" s="747"/>
      <c r="FY43" s="747"/>
      <c r="FZ43" s="747"/>
      <c r="GA43" s="747"/>
      <c r="GB43" s="747"/>
      <c r="GC43" s="747"/>
      <c r="GD43" s="747"/>
      <c r="GE43" s="747"/>
      <c r="GF43" s="747"/>
      <c r="GG43" s="747"/>
      <c r="GH43" s="747"/>
      <c r="GI43" s="747"/>
      <c r="GJ43" s="747"/>
    </row>
    <row r="44" spans="1:192" ht="18" customHeight="1">
      <c r="A44" s="758"/>
      <c r="B44" s="813" t="s">
        <v>728</v>
      </c>
      <c r="C44" s="770">
        <f ca="1">C38*'1.参数设置'!E6</f>
        <v>20731.861383609445</v>
      </c>
      <c r="D44" s="770">
        <f ca="1">D38*'1.参数设置'!E6</f>
        <v>-33442.233565158538</v>
      </c>
      <c r="E44" s="770">
        <f ca="1">E38*'1.参数设置'!$E$6</f>
        <v>0</v>
      </c>
      <c r="F44" s="770">
        <f ca="1">F38*'1.参数设置'!$E$6</f>
        <v>0</v>
      </c>
      <c r="G44" s="770">
        <f ca="1">G38*'1.参数设置'!$E$6</f>
        <v>-7150</v>
      </c>
      <c r="H44" s="770">
        <f ca="1">H38*'1.参数设置'!$E$6</f>
        <v>-26292.233565158538</v>
      </c>
      <c r="I44" s="770">
        <f ca="1">I38*'1.参数设置'!$E$6</f>
        <v>46627.739872996455</v>
      </c>
      <c r="J44" s="770">
        <f ca="1">J38*'1.参数设置'!$E$6</f>
        <v>2393.6040325627373</v>
      </c>
      <c r="K44" s="770">
        <f ca="1">K38*'1.参数设置'!$E$6</f>
        <v>33565.464146367631</v>
      </c>
      <c r="L44" s="770">
        <f ca="1">L38*'1.参数设置'!$E$6</f>
        <v>767.32780495404222</v>
      </c>
      <c r="M44" s="770">
        <f ca="1">M38*'1.参数设置'!$E$6</f>
        <v>9901.3438891120495</v>
      </c>
      <c r="N44" s="770">
        <f ca="1">N38*'1.参数设置'!$E$6</f>
        <v>-4306.704724915744</v>
      </c>
      <c r="O44" s="770">
        <f ca="1">O38*'1.参数设置'!$E$6</f>
        <v>-61.339084970746626</v>
      </c>
      <c r="P44" s="770">
        <f ca="1">P38*'1.参数设置'!$E$6</f>
        <v>4210.9176763253236</v>
      </c>
      <c r="Q44" s="770">
        <f ca="1">Q38*'1.参数设置'!$E$6</f>
        <v>1614.0481140318147</v>
      </c>
      <c r="R44" s="770">
        <f ca="1">R38*'1.参数设置'!$E$6</f>
        <v>-10070.33143030214</v>
      </c>
      <c r="S44" s="770">
        <f ca="1">S38*'1.参数设置'!$E$6</f>
        <v>-4156.1967606110484</v>
      </c>
      <c r="T44" s="770">
        <f ca="1">T38*'1.参数设置'!$E$6</f>
        <v>-1401.2333006110475</v>
      </c>
      <c r="U44" s="770">
        <f ca="1">U38*'1.参数设置'!$E$6</f>
        <v>-1567.2858800000001</v>
      </c>
      <c r="V44" s="770">
        <f ca="1">V38*'1.参数设置'!$E$6</f>
        <v>-1187.6775800000003</v>
      </c>
      <c r="W44" s="770">
        <f ca="1">W38*'1.参数设置'!$E$6</f>
        <v>0</v>
      </c>
      <c r="X44" s="770">
        <f ca="1">X38*'1.参数设置'!$E$6</f>
        <v>-1482.1409200000001</v>
      </c>
      <c r="Y44" s="770">
        <f ca="1">Y38*'1.参数设置'!$E$6</f>
        <v>0</v>
      </c>
      <c r="Z44" s="770">
        <f ca="1">Z38*'1.参数设置'!$E$6</f>
        <v>0</v>
      </c>
      <c r="AA44" s="770">
        <f ca="1">AA38*'1.参数设置'!$E$6</f>
        <v>-592.85636800000009</v>
      </c>
      <c r="AB44" s="770">
        <f ca="1">AB38*'1.参数设置'!$E$6</f>
        <v>-889.28455199999996</v>
      </c>
      <c r="AC44" s="770">
        <f ca="1">AC38*'1.参数设置'!$E$6</f>
        <v>0</v>
      </c>
      <c r="AD44" s="770">
        <f ca="1">AD38*'1.参数设置'!$E$6</f>
        <v>0</v>
      </c>
      <c r="AE44" s="770">
        <f ca="1">AE38*'1.参数设置'!$E$6</f>
        <v>0</v>
      </c>
      <c r="AF44" s="770">
        <f ca="1">AF38*'1.参数设置'!$E$6</f>
        <v>0</v>
      </c>
      <c r="AG44" s="770">
        <f ca="1">AG38*'1.参数设置'!$E$6</f>
        <v>0</v>
      </c>
      <c r="AH44" s="770">
        <f ca="1">AH38*'1.参数设置'!$E$6</f>
        <v>0</v>
      </c>
      <c r="AI44" s="770">
        <f ca="1">AI38*'1.参数设置'!$E$6</f>
        <v>0</v>
      </c>
      <c r="AJ44" s="770">
        <f ca="1">AJ38*'1.参数设置'!$E$6</f>
        <v>0</v>
      </c>
      <c r="AK44" s="770">
        <f ca="1">AK38*'1.参数设置'!$E$6</f>
        <v>0</v>
      </c>
      <c r="AL44" s="770">
        <f ca="1">AL38*'1.参数设置'!$E$6</f>
        <v>0</v>
      </c>
      <c r="AM44" s="770">
        <f ca="1">AM38*'1.参数设置'!$E$6</f>
        <v>0</v>
      </c>
      <c r="AN44" s="770">
        <f ca="1">AN38*'1.参数设置'!$E$6</f>
        <v>0</v>
      </c>
      <c r="AO44" s="770">
        <f ca="1">AO38*'1.参数设置'!$E$6</f>
        <v>0</v>
      </c>
      <c r="AP44" s="770">
        <f ca="1">AP38*'1.参数设置'!$E$6</f>
        <v>0</v>
      </c>
      <c r="AQ44" s="770">
        <f ca="1">AQ38*'1.参数设置'!$E$6</f>
        <v>0</v>
      </c>
      <c r="AR44" s="770">
        <f ca="1">AR38*'1.参数设置'!$E$6</f>
        <v>0</v>
      </c>
      <c r="AS44" s="770">
        <f ca="1">AS38*'1.参数设置'!$E$6</f>
        <v>0</v>
      </c>
      <c r="AT44" s="770">
        <f ca="1">AT38*'1.参数设置'!$E$6</f>
        <v>0</v>
      </c>
      <c r="AU44" s="770">
        <f ca="1">AU38*'1.参数设置'!$E$6</f>
        <v>0</v>
      </c>
      <c r="AV44" s="770">
        <f ca="1">AV38*'1.参数设置'!$E$6</f>
        <v>0</v>
      </c>
      <c r="AW44" s="770">
        <f ca="1">AW38*'1.参数设置'!$E$6</f>
        <v>0</v>
      </c>
      <c r="AX44" s="770">
        <f ca="1">AX38*'1.参数设置'!$E$6</f>
        <v>0</v>
      </c>
      <c r="AY44" s="770">
        <f ca="1">AY38*'1.参数设置'!$E$6</f>
        <v>0</v>
      </c>
      <c r="AZ44" s="770">
        <f ca="1">AZ38*'1.参数设置'!$E$6</f>
        <v>0</v>
      </c>
      <c r="BA44" s="770">
        <f ca="1">BA38*'1.参数设置'!$E$6</f>
        <v>0</v>
      </c>
      <c r="BB44" s="770">
        <f ca="1">BB38*'1.参数设置'!$E$6</f>
        <v>0</v>
      </c>
      <c r="BC44" s="770">
        <f ca="1">BC38*'1.参数设置'!$E$6</f>
        <v>0</v>
      </c>
      <c r="BD44" s="770">
        <f ca="1">BD38*'1.参数设置'!$E$6</f>
        <v>0</v>
      </c>
      <c r="BE44" s="770">
        <f ca="1">BE38*'1.参数设置'!$E$6</f>
        <v>0</v>
      </c>
      <c r="BF44" s="770">
        <f ca="1">BF38*'1.参数设置'!$E$6</f>
        <v>0</v>
      </c>
      <c r="BG44" s="747"/>
      <c r="BH44" s="747"/>
      <c r="BI44" s="747"/>
      <c r="BJ44" s="747"/>
      <c r="BK44" s="747"/>
      <c r="BL44" s="747"/>
      <c r="BM44" s="747"/>
      <c r="BN44" s="747"/>
      <c r="BO44" s="747"/>
      <c r="BP44" s="747"/>
      <c r="BQ44" s="747"/>
      <c r="BR44" s="747"/>
      <c r="BS44" s="747"/>
      <c r="BT44" s="747"/>
      <c r="BU44" s="747"/>
      <c r="BV44" s="747"/>
      <c r="BW44" s="747"/>
      <c r="BX44" s="747"/>
      <c r="BY44" s="747"/>
      <c r="BZ44" s="747"/>
      <c r="CA44" s="747"/>
      <c r="CB44" s="747"/>
      <c r="CC44" s="747"/>
      <c r="CD44" s="747"/>
      <c r="CE44" s="747"/>
      <c r="CF44" s="747"/>
      <c r="CG44" s="747"/>
      <c r="CH44" s="747"/>
      <c r="CI44" s="747"/>
      <c r="CJ44" s="747"/>
      <c r="CK44" s="747"/>
      <c r="CL44" s="747"/>
      <c r="CM44" s="747"/>
      <c r="CN44" s="747"/>
      <c r="CO44" s="747"/>
      <c r="CP44" s="747"/>
      <c r="CQ44" s="747"/>
      <c r="CR44" s="747"/>
      <c r="CS44" s="747"/>
      <c r="CT44" s="747"/>
      <c r="CU44" s="747"/>
      <c r="CV44" s="747"/>
      <c r="CW44" s="747"/>
      <c r="CX44" s="747"/>
      <c r="CY44" s="747"/>
      <c r="CZ44" s="747"/>
      <c r="DA44" s="747"/>
      <c r="DB44" s="747"/>
      <c r="DC44" s="747"/>
      <c r="DD44" s="747"/>
      <c r="DE44" s="747"/>
      <c r="DF44" s="747"/>
      <c r="DG44" s="747"/>
      <c r="DH44" s="747"/>
      <c r="DI44" s="747"/>
      <c r="DJ44" s="747"/>
      <c r="DK44" s="747"/>
      <c r="DL44" s="747"/>
      <c r="DM44" s="747"/>
      <c r="DN44" s="747"/>
      <c r="DO44" s="747"/>
      <c r="DP44" s="747"/>
      <c r="DQ44" s="747"/>
      <c r="DR44" s="747"/>
      <c r="DS44" s="747"/>
      <c r="DT44" s="747"/>
      <c r="DU44" s="747"/>
      <c r="DV44" s="747"/>
      <c r="DW44" s="747"/>
      <c r="DX44" s="747"/>
      <c r="DY44" s="747"/>
      <c r="DZ44" s="747"/>
      <c r="EA44" s="747"/>
      <c r="EB44" s="747"/>
      <c r="EC44" s="747"/>
      <c r="ED44" s="747"/>
      <c r="EE44" s="747"/>
      <c r="EF44" s="747"/>
      <c r="EG44" s="747"/>
      <c r="EH44" s="747"/>
      <c r="EI44" s="747"/>
      <c r="EJ44" s="747"/>
      <c r="EK44" s="747"/>
      <c r="EL44" s="747"/>
      <c r="EM44" s="747"/>
      <c r="EN44" s="747"/>
      <c r="EO44" s="747"/>
      <c r="EP44" s="747"/>
      <c r="EQ44" s="747"/>
      <c r="ER44" s="747"/>
      <c r="ES44" s="747"/>
      <c r="ET44" s="747"/>
      <c r="EU44" s="747"/>
      <c r="EV44" s="747"/>
      <c r="EW44" s="747"/>
      <c r="EX44" s="747"/>
      <c r="EY44" s="747"/>
      <c r="EZ44" s="747"/>
      <c r="FA44" s="747"/>
      <c r="FB44" s="747"/>
      <c r="FC44" s="747"/>
      <c r="FD44" s="747"/>
      <c r="FE44" s="747"/>
      <c r="FF44" s="747"/>
      <c r="FG44" s="747"/>
      <c r="FH44" s="747"/>
      <c r="FI44" s="747"/>
      <c r="FJ44" s="747"/>
      <c r="FK44" s="747"/>
      <c r="FL44" s="747"/>
      <c r="FM44" s="747"/>
      <c r="FN44" s="747"/>
      <c r="FO44" s="747"/>
      <c r="FP44" s="747"/>
      <c r="FQ44" s="747"/>
      <c r="FR44" s="747"/>
      <c r="FS44" s="747"/>
      <c r="FT44" s="747"/>
      <c r="FU44" s="747"/>
      <c r="FV44" s="747"/>
      <c r="FW44" s="747"/>
      <c r="FX44" s="747"/>
      <c r="FY44" s="747"/>
      <c r="FZ44" s="747"/>
      <c r="GA44" s="747"/>
      <c r="GB44" s="747"/>
      <c r="GC44" s="747"/>
      <c r="GD44" s="747"/>
      <c r="GE44" s="747"/>
      <c r="GF44" s="747"/>
      <c r="GG44" s="747"/>
      <c r="GH44" s="747"/>
      <c r="GI44" s="747"/>
      <c r="GJ44" s="747"/>
    </row>
    <row r="45" spans="1:192" ht="18" customHeight="1">
      <c r="A45" s="758"/>
      <c r="B45" s="813" t="s">
        <v>729</v>
      </c>
      <c r="C45" s="798">
        <f>SUM(D45,I45,N45,S45,X45,AC45,AH45,AM45,AR45,AW45,BB45)</f>
        <v>17491.397481298311</v>
      </c>
      <c r="D45" s="761">
        <f>SUM(E45:H45)</f>
        <v>12927.761450192751</v>
      </c>
      <c r="E45" s="814"/>
      <c r="F45" s="814"/>
      <c r="G45" s="814"/>
      <c r="H45" s="814">
        <f>(支付对价及节点!C12+支付对价及节点!D12-支付对价及节点!I3)+支付对价及节点!E13+支付对价及节点!E12+支付对价及节点!G12+支付对价及节点!G15</f>
        <v>12927.761450192751</v>
      </c>
      <c r="I45" s="761">
        <f>SUM(J45:M45)</f>
        <v>4563.6360311055587</v>
      </c>
      <c r="J45" s="814">
        <f>支付对价及节点!G20+支付对价及节点!G21</f>
        <v>5117.5125474372626</v>
      </c>
      <c r="K45" s="814"/>
      <c r="L45" s="814">
        <f>-支付对价及节点!F28</f>
        <v>-553.87651633170412</v>
      </c>
      <c r="M45" s="814"/>
      <c r="N45" s="761">
        <f>SUM(O45:R45)</f>
        <v>0</v>
      </c>
      <c r="O45" s="814"/>
      <c r="P45" s="814"/>
      <c r="Q45" s="814"/>
      <c r="R45" s="814"/>
      <c r="S45" s="761">
        <f>SUM(T45:W45)</f>
        <v>0</v>
      </c>
      <c r="T45" s="814"/>
      <c r="U45" s="814"/>
      <c r="V45" s="814"/>
      <c r="W45" s="814"/>
      <c r="X45" s="761">
        <f>SUM(Y45:AB45)</f>
        <v>0</v>
      </c>
      <c r="Y45" s="814"/>
      <c r="Z45" s="814"/>
      <c r="AA45" s="814"/>
      <c r="AB45" s="814"/>
      <c r="AC45" s="761">
        <f>SUM(AD45:AG45)</f>
        <v>0</v>
      </c>
      <c r="AD45" s="814"/>
      <c r="AE45" s="814"/>
      <c r="AF45" s="814"/>
      <c r="AG45" s="814"/>
      <c r="AH45" s="761">
        <f>SUM(AI45:AL45)</f>
        <v>0</v>
      </c>
      <c r="AI45" s="814"/>
      <c r="AJ45" s="814"/>
      <c r="AK45" s="814"/>
      <c r="AL45" s="814"/>
      <c r="AM45" s="761">
        <f>SUM(AN45:AQ45)</f>
        <v>0</v>
      </c>
      <c r="AN45" s="814"/>
      <c r="AO45" s="814"/>
      <c r="AP45" s="814"/>
      <c r="AQ45" s="814"/>
      <c r="AR45" s="761">
        <f>SUM(AS45:AV45)</f>
        <v>0</v>
      </c>
      <c r="AS45" s="814"/>
      <c r="AT45" s="814"/>
      <c r="AU45" s="814"/>
      <c r="AV45" s="814"/>
      <c r="AW45" s="761">
        <f>SUM(AX45:BA45)</f>
        <v>0</v>
      </c>
      <c r="AX45" s="814"/>
      <c r="AY45" s="814"/>
      <c r="AZ45" s="814"/>
      <c r="BA45" s="814"/>
      <c r="BB45" s="761">
        <f>SUM(BC45:BF45)</f>
        <v>0</v>
      </c>
      <c r="BC45" s="814"/>
      <c r="BD45" s="814"/>
      <c r="BE45" s="814"/>
      <c r="BF45" s="814"/>
      <c r="BG45" s="747"/>
      <c r="BH45" s="747"/>
      <c r="BI45" s="747"/>
      <c r="BJ45" s="747"/>
      <c r="BK45" s="747"/>
      <c r="BL45" s="747"/>
      <c r="BM45" s="747"/>
      <c r="BN45" s="747"/>
      <c r="BO45" s="747"/>
      <c r="BP45" s="747"/>
      <c r="BQ45" s="747"/>
      <c r="BR45" s="747"/>
      <c r="BS45" s="747"/>
      <c r="BT45" s="747"/>
      <c r="BU45" s="747"/>
      <c r="BV45" s="747"/>
      <c r="BW45" s="747"/>
      <c r="BX45" s="747"/>
      <c r="BY45" s="747"/>
      <c r="BZ45" s="747"/>
      <c r="CA45" s="747"/>
      <c r="CB45" s="747"/>
      <c r="CC45" s="747"/>
      <c r="CD45" s="747"/>
      <c r="CE45" s="747"/>
      <c r="CF45" s="747"/>
      <c r="CG45" s="747"/>
      <c r="CH45" s="747"/>
      <c r="CI45" s="747"/>
      <c r="CJ45" s="747"/>
      <c r="CK45" s="747"/>
      <c r="CL45" s="747"/>
      <c r="CM45" s="747"/>
      <c r="CN45" s="747"/>
      <c r="CO45" s="747"/>
      <c r="CP45" s="747"/>
      <c r="CQ45" s="747"/>
      <c r="CR45" s="747"/>
      <c r="CS45" s="747"/>
      <c r="CT45" s="747"/>
      <c r="CU45" s="747"/>
      <c r="CV45" s="747"/>
      <c r="CW45" s="747"/>
      <c r="CX45" s="747"/>
      <c r="CY45" s="747"/>
      <c r="CZ45" s="747"/>
      <c r="DA45" s="747"/>
      <c r="DB45" s="747"/>
      <c r="DC45" s="747"/>
      <c r="DD45" s="747"/>
      <c r="DE45" s="747"/>
      <c r="DF45" s="747"/>
      <c r="DG45" s="747"/>
      <c r="DH45" s="747"/>
      <c r="DI45" s="747"/>
      <c r="DJ45" s="747"/>
      <c r="DK45" s="747"/>
      <c r="DL45" s="747"/>
      <c r="DM45" s="747"/>
      <c r="DN45" s="747"/>
      <c r="DO45" s="747"/>
      <c r="DP45" s="747"/>
      <c r="DQ45" s="747"/>
      <c r="DR45" s="747"/>
      <c r="DS45" s="747"/>
      <c r="DT45" s="747"/>
      <c r="DU45" s="747"/>
      <c r="DV45" s="747"/>
      <c r="DW45" s="747"/>
      <c r="DX45" s="747"/>
      <c r="DY45" s="747"/>
      <c r="DZ45" s="747"/>
      <c r="EA45" s="747"/>
      <c r="EB45" s="747"/>
      <c r="EC45" s="747"/>
      <c r="ED45" s="747"/>
      <c r="EE45" s="747"/>
      <c r="EF45" s="747"/>
      <c r="EG45" s="747"/>
      <c r="EH45" s="747"/>
      <c r="EI45" s="747"/>
      <c r="EJ45" s="747"/>
      <c r="EK45" s="747"/>
      <c r="EL45" s="747"/>
      <c r="EM45" s="747"/>
      <c r="EN45" s="747"/>
      <c r="EO45" s="747"/>
      <c r="EP45" s="747"/>
      <c r="EQ45" s="747"/>
      <c r="ER45" s="747"/>
      <c r="ES45" s="747"/>
      <c r="ET45" s="747"/>
      <c r="EU45" s="747"/>
      <c r="EV45" s="747"/>
      <c r="EW45" s="747"/>
      <c r="EX45" s="747"/>
      <c r="EY45" s="747"/>
      <c r="EZ45" s="747"/>
      <c r="FA45" s="747"/>
      <c r="FB45" s="747"/>
      <c r="FC45" s="747"/>
      <c r="FD45" s="747"/>
      <c r="FE45" s="747"/>
      <c r="FF45" s="747"/>
      <c r="FG45" s="747"/>
      <c r="FH45" s="747"/>
      <c r="FI45" s="747"/>
      <c r="FJ45" s="747"/>
      <c r="FK45" s="747"/>
      <c r="FL45" s="747"/>
      <c r="FM45" s="747"/>
      <c r="FN45" s="747"/>
      <c r="FO45" s="747"/>
      <c r="FP45" s="747"/>
      <c r="FQ45" s="747"/>
      <c r="FR45" s="747"/>
      <c r="FS45" s="747"/>
      <c r="FT45" s="747"/>
      <c r="FU45" s="747"/>
      <c r="FV45" s="747"/>
      <c r="FW45" s="747"/>
      <c r="FX45" s="747"/>
      <c r="FY45" s="747"/>
      <c r="FZ45" s="747"/>
      <c r="GA45" s="747"/>
      <c r="GB45" s="747"/>
      <c r="GC45" s="747"/>
      <c r="GD45" s="747"/>
      <c r="GE45" s="747"/>
      <c r="GF45" s="747"/>
      <c r="GG45" s="747"/>
      <c r="GH45" s="747"/>
      <c r="GI45" s="747"/>
      <c r="GJ45" s="747"/>
    </row>
    <row r="46" spans="1:192" ht="18" customHeight="1">
      <c r="A46" s="758"/>
      <c r="B46" s="813" t="s">
        <v>730</v>
      </c>
      <c r="C46" s="770">
        <f ca="1">C44-C45</f>
        <v>3240.463902311134</v>
      </c>
      <c r="D46" s="770">
        <f ca="1">D44-D45</f>
        <v>-46369.995015351291</v>
      </c>
      <c r="E46" s="770">
        <f ca="1">E44-E45</f>
        <v>0</v>
      </c>
      <c r="F46" s="770">
        <f t="shared" ref="F46:BF46" ca="1" si="136">F44-F45</f>
        <v>0</v>
      </c>
      <c r="G46" s="770">
        <f t="shared" ca="1" si="136"/>
        <v>-7150</v>
      </c>
      <c r="H46" s="770">
        <f t="shared" ca="1" si="136"/>
        <v>-39219.995015351291</v>
      </c>
      <c r="I46" s="770">
        <f t="shared" ca="1" si="136"/>
        <v>42064.103841890894</v>
      </c>
      <c r="J46" s="770">
        <f t="shared" ca="1" si="136"/>
        <v>-2723.9085148745253</v>
      </c>
      <c r="K46" s="770">
        <f t="shared" ca="1" si="136"/>
        <v>33565.464146367631</v>
      </c>
      <c r="L46" s="770">
        <f t="shared" ca="1" si="136"/>
        <v>1321.2043212857463</v>
      </c>
      <c r="M46" s="770">
        <f t="shared" ca="1" si="136"/>
        <v>9901.3438891120495</v>
      </c>
      <c r="N46" s="770">
        <f t="shared" ca="1" si="136"/>
        <v>-4306.704724915744</v>
      </c>
      <c r="O46" s="770">
        <f t="shared" ca="1" si="136"/>
        <v>-61.339084970746626</v>
      </c>
      <c r="P46" s="770">
        <f t="shared" ca="1" si="136"/>
        <v>4210.9176763253236</v>
      </c>
      <c r="Q46" s="770">
        <f t="shared" ca="1" si="136"/>
        <v>1614.0481140318147</v>
      </c>
      <c r="R46" s="770">
        <f t="shared" ca="1" si="136"/>
        <v>-10070.33143030214</v>
      </c>
      <c r="S46" s="770">
        <f t="shared" ca="1" si="136"/>
        <v>-4156.1967606110484</v>
      </c>
      <c r="T46" s="770">
        <f t="shared" ca="1" si="136"/>
        <v>-1401.2333006110475</v>
      </c>
      <c r="U46" s="770">
        <f t="shared" ca="1" si="136"/>
        <v>-1567.2858800000001</v>
      </c>
      <c r="V46" s="770">
        <f t="shared" ca="1" si="136"/>
        <v>-1187.6775800000003</v>
      </c>
      <c r="W46" s="770">
        <f t="shared" ca="1" si="136"/>
        <v>0</v>
      </c>
      <c r="X46" s="770">
        <f t="shared" ca="1" si="136"/>
        <v>-1482.1409200000001</v>
      </c>
      <c r="Y46" s="770">
        <f t="shared" ca="1" si="136"/>
        <v>0</v>
      </c>
      <c r="Z46" s="770">
        <f t="shared" ca="1" si="136"/>
        <v>0</v>
      </c>
      <c r="AA46" s="770">
        <f t="shared" ca="1" si="136"/>
        <v>-592.85636800000009</v>
      </c>
      <c r="AB46" s="770">
        <f t="shared" ca="1" si="136"/>
        <v>-889.28455199999996</v>
      </c>
      <c r="AC46" s="770">
        <f t="shared" ca="1" si="136"/>
        <v>0</v>
      </c>
      <c r="AD46" s="770">
        <f t="shared" ca="1" si="136"/>
        <v>0</v>
      </c>
      <c r="AE46" s="770">
        <f t="shared" ca="1" si="136"/>
        <v>0</v>
      </c>
      <c r="AF46" s="770">
        <f t="shared" ca="1" si="136"/>
        <v>0</v>
      </c>
      <c r="AG46" s="770">
        <f t="shared" ca="1" si="136"/>
        <v>0</v>
      </c>
      <c r="AH46" s="770">
        <f t="shared" ca="1" si="136"/>
        <v>0</v>
      </c>
      <c r="AI46" s="770">
        <f t="shared" ca="1" si="136"/>
        <v>0</v>
      </c>
      <c r="AJ46" s="770">
        <f t="shared" ca="1" si="136"/>
        <v>0</v>
      </c>
      <c r="AK46" s="770">
        <f t="shared" ca="1" si="136"/>
        <v>0</v>
      </c>
      <c r="AL46" s="770">
        <f t="shared" ca="1" si="136"/>
        <v>0</v>
      </c>
      <c r="AM46" s="770">
        <f t="shared" ca="1" si="136"/>
        <v>0</v>
      </c>
      <c r="AN46" s="770">
        <f t="shared" ca="1" si="136"/>
        <v>0</v>
      </c>
      <c r="AO46" s="770">
        <f t="shared" ca="1" si="136"/>
        <v>0</v>
      </c>
      <c r="AP46" s="770">
        <f t="shared" ca="1" si="136"/>
        <v>0</v>
      </c>
      <c r="AQ46" s="770">
        <f t="shared" ca="1" si="136"/>
        <v>0</v>
      </c>
      <c r="AR46" s="770">
        <f t="shared" ca="1" si="136"/>
        <v>0</v>
      </c>
      <c r="AS46" s="770">
        <f t="shared" ca="1" si="136"/>
        <v>0</v>
      </c>
      <c r="AT46" s="770">
        <f t="shared" ca="1" si="136"/>
        <v>0</v>
      </c>
      <c r="AU46" s="770">
        <f t="shared" ca="1" si="136"/>
        <v>0</v>
      </c>
      <c r="AV46" s="770">
        <f t="shared" ca="1" si="136"/>
        <v>0</v>
      </c>
      <c r="AW46" s="770">
        <f t="shared" ca="1" si="136"/>
        <v>0</v>
      </c>
      <c r="AX46" s="770">
        <f t="shared" ca="1" si="136"/>
        <v>0</v>
      </c>
      <c r="AY46" s="770">
        <f t="shared" ca="1" si="136"/>
        <v>0</v>
      </c>
      <c r="AZ46" s="770">
        <f t="shared" ca="1" si="136"/>
        <v>0</v>
      </c>
      <c r="BA46" s="770">
        <f t="shared" ca="1" si="136"/>
        <v>0</v>
      </c>
      <c r="BB46" s="770">
        <f t="shared" ca="1" si="136"/>
        <v>0</v>
      </c>
      <c r="BC46" s="770">
        <f t="shared" ca="1" si="136"/>
        <v>0</v>
      </c>
      <c r="BD46" s="770">
        <f t="shared" ca="1" si="136"/>
        <v>0</v>
      </c>
      <c r="BE46" s="770">
        <f t="shared" ca="1" si="136"/>
        <v>0</v>
      </c>
      <c r="BF46" s="770">
        <f t="shared" ca="1" si="136"/>
        <v>0</v>
      </c>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row>
    <row r="47" spans="1:192" ht="18" customHeight="1">
      <c r="A47" s="758"/>
      <c r="B47" s="693" t="s">
        <v>731</v>
      </c>
      <c r="C47" s="687">
        <f>BF47</f>
        <v>0</v>
      </c>
      <c r="D47" s="698"/>
      <c r="E47" s="696">
        <f>E48-E49</f>
        <v>0</v>
      </c>
      <c r="F47" s="696">
        <f>E47+F48-F49</f>
        <v>0</v>
      </c>
      <c r="G47" s="696">
        <f>F47+G48-G49</f>
        <v>7300</v>
      </c>
      <c r="H47" s="696">
        <f>G47+H48-H49</f>
        <v>17400</v>
      </c>
      <c r="I47" s="698"/>
      <c r="J47" s="696">
        <f>H47+J48-J49</f>
        <v>16900</v>
      </c>
      <c r="K47" s="696">
        <f>J47+K48-K49</f>
        <v>0</v>
      </c>
      <c r="L47" s="696">
        <f t="shared" ref="L47:M47" si="137">K47+L48-L49</f>
        <v>0</v>
      </c>
      <c r="M47" s="696">
        <f t="shared" si="137"/>
        <v>0</v>
      </c>
      <c r="N47" s="698"/>
      <c r="O47" s="697">
        <f>M47+O48-O49</f>
        <v>0</v>
      </c>
      <c r="P47" s="697">
        <f>O47+P48-P49</f>
        <v>0</v>
      </c>
      <c r="Q47" s="697">
        <f t="shared" ref="Q47:R47" si="138">P47+Q48-Q49</f>
        <v>0</v>
      </c>
      <c r="R47" s="697">
        <f t="shared" si="138"/>
        <v>0</v>
      </c>
      <c r="S47" s="698"/>
      <c r="T47" s="697">
        <f>R47+T48-T49</f>
        <v>0</v>
      </c>
      <c r="U47" s="727">
        <f>T47+U48-U49</f>
        <v>0</v>
      </c>
      <c r="V47" s="727">
        <f t="shared" ref="V47:W47" si="139">U47+V48-V49</f>
        <v>0</v>
      </c>
      <c r="W47" s="727">
        <f t="shared" si="139"/>
        <v>0</v>
      </c>
      <c r="X47" s="698"/>
      <c r="Y47" s="727">
        <f>W47+Y48-Y49</f>
        <v>0</v>
      </c>
      <c r="Z47" s="696">
        <f>Y47+Z48-Z49</f>
        <v>0</v>
      </c>
      <c r="AA47" s="696">
        <f t="shared" ref="AA47:AB47" si="140">Z47+AA48-AA49</f>
        <v>0</v>
      </c>
      <c r="AB47" s="696">
        <f t="shared" si="140"/>
        <v>0</v>
      </c>
      <c r="AC47" s="698"/>
      <c r="AD47" s="696">
        <f>AB47+AD48-AD49</f>
        <v>0</v>
      </c>
      <c r="AE47" s="697">
        <f>AD47+AE48-AE49</f>
        <v>0</v>
      </c>
      <c r="AF47" s="697">
        <f t="shared" ref="AF47:AG47" si="141">AE47+AF48-AF49</f>
        <v>0</v>
      </c>
      <c r="AG47" s="697">
        <f t="shared" si="141"/>
        <v>0</v>
      </c>
      <c r="AH47" s="698"/>
      <c r="AI47" s="697">
        <f>AG47+AI48-AI49</f>
        <v>0</v>
      </c>
      <c r="AJ47" s="697">
        <f>AI47+AJ48-AJ49</f>
        <v>0</v>
      </c>
      <c r="AK47" s="697">
        <f t="shared" ref="AK47:AL47" si="142">AJ47+AK48-AK49</f>
        <v>0</v>
      </c>
      <c r="AL47" s="697">
        <f t="shared" si="142"/>
        <v>0</v>
      </c>
      <c r="AM47" s="698"/>
      <c r="AN47" s="697">
        <f>AL47+AN48-AN49</f>
        <v>0</v>
      </c>
      <c r="AO47" s="727">
        <f>AN47+AO48-AO49</f>
        <v>0</v>
      </c>
      <c r="AP47" s="727">
        <f t="shared" ref="AP47:AQ47" si="143">AO47+AP48-AP49</f>
        <v>0</v>
      </c>
      <c r="AQ47" s="727">
        <f t="shared" si="143"/>
        <v>0</v>
      </c>
      <c r="AR47" s="698"/>
      <c r="AS47" s="727">
        <f>AQ47+AS48-AS49</f>
        <v>0</v>
      </c>
      <c r="AT47" s="696">
        <f>AS47+AT48-AT49</f>
        <v>0</v>
      </c>
      <c r="AU47" s="696">
        <f t="shared" ref="AU47:AV47" si="144">AT47+AU48-AU49</f>
        <v>0</v>
      </c>
      <c r="AV47" s="696">
        <f t="shared" si="144"/>
        <v>0</v>
      </c>
      <c r="AW47" s="698"/>
      <c r="AX47" s="838">
        <f>AV47+AX48-AX49</f>
        <v>0</v>
      </c>
      <c r="AY47" s="838">
        <f>AX47+AY48-AY49</f>
        <v>0</v>
      </c>
      <c r="AZ47" s="838">
        <f t="shared" ref="AZ47:BA47" si="145">AY47+AZ48-AZ49</f>
        <v>0</v>
      </c>
      <c r="BA47" s="838">
        <f t="shared" si="145"/>
        <v>0</v>
      </c>
      <c r="BB47" s="698"/>
      <c r="BC47" s="838">
        <f>BA47+BC48-BC49</f>
        <v>0</v>
      </c>
      <c r="BD47" s="838">
        <f>BC47+BD48-BD49</f>
        <v>0</v>
      </c>
      <c r="BE47" s="838">
        <f t="shared" ref="BE47:BF47" si="146">BD47+BE48-BE49</f>
        <v>0</v>
      </c>
      <c r="BF47" s="838">
        <f t="shared" si="146"/>
        <v>0</v>
      </c>
      <c r="BG47" s="747"/>
      <c r="BH47" s="747"/>
      <c r="BI47" s="747"/>
      <c r="BJ47" s="747"/>
      <c r="BK47" s="747"/>
      <c r="BL47" s="747"/>
      <c r="BM47" s="747"/>
      <c r="BN47" s="747"/>
      <c r="BO47" s="747"/>
      <c r="BP47" s="747"/>
      <c r="BQ47" s="747"/>
      <c r="BR47" s="747"/>
      <c r="BS47" s="747"/>
      <c r="BT47" s="747"/>
      <c r="BU47" s="747"/>
      <c r="BV47" s="747"/>
      <c r="BW47" s="747"/>
      <c r="BX47" s="747"/>
      <c r="BY47" s="747"/>
      <c r="BZ47" s="747"/>
      <c r="CA47" s="747"/>
      <c r="CB47" s="747"/>
      <c r="CC47" s="747"/>
      <c r="CD47" s="747"/>
      <c r="CE47" s="747"/>
      <c r="CF47" s="747"/>
      <c r="CG47" s="747"/>
      <c r="CH47" s="747"/>
      <c r="CI47" s="747"/>
      <c r="CJ47" s="747"/>
      <c r="CK47" s="747"/>
      <c r="CL47" s="747"/>
      <c r="CM47" s="747"/>
      <c r="CN47" s="747"/>
      <c r="CO47" s="747"/>
      <c r="CP47" s="747"/>
      <c r="CQ47" s="747"/>
      <c r="CR47" s="747"/>
      <c r="CS47" s="747"/>
      <c r="CT47" s="747"/>
      <c r="CU47" s="747"/>
      <c r="CV47" s="747"/>
      <c r="CW47" s="747"/>
      <c r="CX47" s="747"/>
      <c r="CY47" s="747"/>
      <c r="CZ47" s="747"/>
      <c r="DA47" s="747"/>
      <c r="DB47" s="747"/>
      <c r="DC47" s="747"/>
      <c r="DD47" s="747"/>
      <c r="DE47" s="747"/>
      <c r="DF47" s="747"/>
      <c r="DG47" s="747"/>
      <c r="DH47" s="747"/>
      <c r="DI47" s="747"/>
      <c r="DJ47" s="747"/>
      <c r="DK47" s="747"/>
      <c r="DL47" s="747"/>
      <c r="DM47" s="747"/>
      <c r="DN47" s="747"/>
      <c r="DO47" s="747"/>
      <c r="DP47" s="747"/>
      <c r="DQ47" s="747"/>
      <c r="DR47" s="747"/>
      <c r="DS47" s="747"/>
      <c r="DT47" s="747"/>
      <c r="DU47" s="747"/>
      <c r="DV47" s="747"/>
      <c r="DW47" s="747"/>
      <c r="DX47" s="747"/>
      <c r="DY47" s="747"/>
      <c r="DZ47" s="747"/>
      <c r="EA47" s="747"/>
      <c r="EB47" s="747"/>
      <c r="EC47" s="747"/>
      <c r="ED47" s="747"/>
      <c r="EE47" s="747"/>
      <c r="EF47" s="747"/>
      <c r="EG47" s="747"/>
      <c r="EH47" s="747"/>
      <c r="EI47" s="747"/>
      <c r="EJ47" s="747"/>
      <c r="EK47" s="747"/>
      <c r="EL47" s="747"/>
      <c r="EM47" s="747"/>
      <c r="EN47" s="747"/>
      <c r="EO47" s="747"/>
      <c r="EP47" s="747"/>
      <c r="EQ47" s="747"/>
      <c r="ER47" s="747"/>
      <c r="ES47" s="747"/>
      <c r="ET47" s="747"/>
      <c r="EU47" s="747"/>
      <c r="EV47" s="747"/>
      <c r="EW47" s="747"/>
      <c r="EX47" s="747"/>
      <c r="EY47" s="747"/>
      <c r="EZ47" s="747"/>
      <c r="FA47" s="747"/>
      <c r="FB47" s="747"/>
      <c r="FC47" s="747"/>
      <c r="FD47" s="747"/>
      <c r="FE47" s="747"/>
      <c r="FF47" s="747"/>
      <c r="FG47" s="747"/>
      <c r="FH47" s="747"/>
      <c r="FI47" s="747"/>
      <c r="FJ47" s="747"/>
      <c r="FK47" s="747"/>
      <c r="FL47" s="747"/>
      <c r="FM47" s="747"/>
      <c r="FN47" s="747"/>
      <c r="FO47" s="747"/>
      <c r="FP47" s="747"/>
      <c r="FQ47" s="747"/>
      <c r="FR47" s="747"/>
      <c r="FS47" s="747"/>
      <c r="FT47" s="747"/>
      <c r="FU47" s="747"/>
      <c r="FV47" s="747"/>
      <c r="FW47" s="747"/>
      <c r="FX47" s="747"/>
      <c r="FY47" s="747"/>
      <c r="FZ47" s="747"/>
      <c r="GA47" s="747"/>
      <c r="GB47" s="747"/>
      <c r="GC47" s="747"/>
      <c r="GD47" s="747"/>
      <c r="GE47" s="747"/>
      <c r="GF47" s="747"/>
      <c r="GG47" s="747"/>
      <c r="GH47" s="747"/>
      <c r="GI47" s="747"/>
      <c r="GJ47" s="747"/>
    </row>
    <row r="48" spans="1:192" ht="18" customHeight="1">
      <c r="A48" s="758"/>
      <c r="B48" s="700" t="s">
        <v>732</v>
      </c>
      <c r="C48" s="687">
        <f>SUM(E48:BF48)</f>
        <v>20600</v>
      </c>
      <c r="D48" s="815">
        <v>0.12</v>
      </c>
      <c r="E48" s="703"/>
      <c r="F48" s="703"/>
      <c r="G48" s="704">
        <v>7300</v>
      </c>
      <c r="H48" s="704">
        <v>13300</v>
      </c>
      <c r="I48" s="698"/>
      <c r="J48" s="703"/>
      <c r="K48" s="704"/>
      <c r="L48" s="704"/>
      <c r="M48" s="728"/>
      <c r="N48" s="698"/>
      <c r="O48" s="704"/>
      <c r="P48" s="704"/>
      <c r="Q48" s="728"/>
      <c r="R48" s="703"/>
      <c r="S48" s="698"/>
      <c r="T48" s="704"/>
      <c r="U48" s="728"/>
      <c r="V48" s="703"/>
      <c r="W48" s="704"/>
      <c r="X48" s="698"/>
      <c r="Y48" s="728"/>
      <c r="Z48" s="703"/>
      <c r="AA48" s="704"/>
      <c r="AB48" s="704"/>
      <c r="AC48" s="698"/>
      <c r="AD48" s="703"/>
      <c r="AE48" s="704"/>
      <c r="AF48" s="704"/>
      <c r="AG48" s="728"/>
      <c r="AH48" s="698"/>
      <c r="AI48" s="704"/>
      <c r="AJ48" s="704"/>
      <c r="AK48" s="728"/>
      <c r="AL48" s="703"/>
      <c r="AM48" s="698"/>
      <c r="AN48" s="704"/>
      <c r="AO48" s="728"/>
      <c r="AP48" s="703"/>
      <c r="AQ48" s="704"/>
      <c r="AR48" s="698"/>
      <c r="AS48" s="728"/>
      <c r="AT48" s="703"/>
      <c r="AU48" s="704"/>
      <c r="AV48" s="704"/>
      <c r="AW48" s="698"/>
      <c r="AX48" s="704"/>
      <c r="AY48" s="704"/>
      <c r="AZ48" s="704"/>
      <c r="BA48" s="704"/>
      <c r="BB48" s="698"/>
      <c r="BC48" s="704"/>
      <c r="BD48" s="704"/>
      <c r="BE48" s="704"/>
      <c r="BF48" s="704"/>
      <c r="BG48" s="747"/>
      <c r="BH48" s="747"/>
      <c r="BI48" s="747"/>
      <c r="BJ48" s="747"/>
      <c r="BK48" s="747"/>
      <c r="BL48" s="747"/>
      <c r="BM48" s="747"/>
      <c r="BN48" s="747"/>
      <c r="BO48" s="747"/>
      <c r="BP48" s="747"/>
      <c r="BQ48" s="747"/>
      <c r="BR48" s="747"/>
      <c r="BS48" s="747"/>
      <c r="BT48" s="747"/>
      <c r="BU48" s="747"/>
      <c r="BV48" s="747"/>
      <c r="BW48" s="747"/>
      <c r="BX48" s="747"/>
      <c r="BY48" s="747"/>
      <c r="BZ48" s="747"/>
      <c r="CA48" s="747"/>
      <c r="CB48" s="747"/>
      <c r="CC48" s="747"/>
      <c r="CD48" s="747"/>
      <c r="CE48" s="747"/>
      <c r="CF48" s="747"/>
      <c r="CG48" s="747"/>
      <c r="CH48" s="747"/>
      <c r="CI48" s="747"/>
      <c r="CJ48" s="747"/>
      <c r="CK48" s="747"/>
      <c r="CL48" s="747"/>
      <c r="CM48" s="747"/>
      <c r="CN48" s="747"/>
      <c r="CO48" s="747"/>
      <c r="CP48" s="747"/>
      <c r="CQ48" s="747"/>
      <c r="CR48" s="747"/>
      <c r="CS48" s="747"/>
      <c r="CT48" s="747"/>
      <c r="CU48" s="747"/>
      <c r="CV48" s="747"/>
      <c r="CW48" s="747"/>
      <c r="CX48" s="747"/>
      <c r="CY48" s="747"/>
      <c r="CZ48" s="747"/>
      <c r="DA48" s="747"/>
      <c r="DB48" s="747"/>
      <c r="DC48" s="747"/>
      <c r="DD48" s="747"/>
      <c r="DE48" s="747"/>
      <c r="DF48" s="747"/>
      <c r="DG48" s="747"/>
      <c r="DH48" s="747"/>
      <c r="DI48" s="747"/>
      <c r="DJ48" s="747"/>
      <c r="DK48" s="747"/>
      <c r="DL48" s="747"/>
      <c r="DM48" s="747"/>
      <c r="DN48" s="747"/>
      <c r="DO48" s="747"/>
      <c r="DP48" s="747"/>
      <c r="DQ48" s="747"/>
      <c r="DR48" s="747"/>
      <c r="DS48" s="747"/>
      <c r="DT48" s="747"/>
      <c r="DU48" s="747"/>
      <c r="DV48" s="747"/>
      <c r="DW48" s="747"/>
      <c r="DX48" s="747"/>
      <c r="DY48" s="747"/>
      <c r="DZ48" s="747"/>
      <c r="EA48" s="747"/>
      <c r="EB48" s="747"/>
      <c r="EC48" s="747"/>
      <c r="ED48" s="747"/>
      <c r="EE48" s="747"/>
      <c r="EF48" s="747"/>
      <c r="EG48" s="747"/>
      <c r="EH48" s="747"/>
      <c r="EI48" s="747"/>
      <c r="EJ48" s="747"/>
      <c r="EK48" s="747"/>
      <c r="EL48" s="747"/>
      <c r="EM48" s="747"/>
      <c r="EN48" s="747"/>
      <c r="EO48" s="747"/>
      <c r="EP48" s="747"/>
      <c r="EQ48" s="747"/>
      <c r="ER48" s="747"/>
      <c r="ES48" s="747"/>
      <c r="ET48" s="747"/>
      <c r="EU48" s="747"/>
      <c r="EV48" s="747"/>
      <c r="EW48" s="747"/>
      <c r="EX48" s="747"/>
      <c r="EY48" s="747"/>
      <c r="EZ48" s="747"/>
      <c r="FA48" s="747"/>
      <c r="FB48" s="747"/>
      <c r="FC48" s="747"/>
      <c r="FD48" s="747"/>
      <c r="FE48" s="747"/>
      <c r="FF48" s="747"/>
      <c r="FG48" s="747"/>
      <c r="FH48" s="747"/>
      <c r="FI48" s="747"/>
      <c r="FJ48" s="747"/>
      <c r="FK48" s="747"/>
      <c r="FL48" s="747"/>
      <c r="FM48" s="747"/>
      <c r="FN48" s="747"/>
      <c r="FO48" s="747"/>
      <c r="FP48" s="747"/>
      <c r="FQ48" s="747"/>
      <c r="FR48" s="747"/>
      <c r="FS48" s="747"/>
      <c r="FT48" s="747"/>
      <c r="FU48" s="747"/>
      <c r="FV48" s="747"/>
      <c r="FW48" s="747"/>
      <c r="FX48" s="747"/>
      <c r="FY48" s="747"/>
      <c r="FZ48" s="747"/>
      <c r="GA48" s="747"/>
      <c r="GB48" s="747"/>
      <c r="GC48" s="747"/>
      <c r="GD48" s="747"/>
      <c r="GE48" s="747"/>
      <c r="GF48" s="747"/>
      <c r="GG48" s="747"/>
      <c r="GH48" s="747"/>
      <c r="GI48" s="747"/>
      <c r="GJ48" s="747"/>
    </row>
    <row r="49" spans="1:202" ht="18" customHeight="1">
      <c r="A49" s="758"/>
      <c r="B49" s="700" t="s">
        <v>733</v>
      </c>
      <c r="C49" s="687">
        <f>SUM(E49:BF49)</f>
        <v>20600</v>
      </c>
      <c r="D49" s="698"/>
      <c r="E49" s="703"/>
      <c r="F49" s="703"/>
      <c r="G49" s="704"/>
      <c r="H49" s="704">
        <v>3200</v>
      </c>
      <c r="I49" s="698"/>
      <c r="J49" s="703">
        <v>500</v>
      </c>
      <c r="K49" s="704">
        <v>16900</v>
      </c>
      <c r="L49" s="704"/>
      <c r="M49" s="728"/>
      <c r="N49" s="698"/>
      <c r="O49" s="704"/>
      <c r="P49" s="704"/>
      <c r="Q49" s="728"/>
      <c r="R49" s="703"/>
      <c r="S49" s="698"/>
      <c r="T49" s="704"/>
      <c r="U49" s="728"/>
      <c r="V49" s="703"/>
      <c r="W49" s="704"/>
      <c r="X49" s="698"/>
      <c r="Y49" s="728"/>
      <c r="Z49" s="703"/>
      <c r="AA49" s="704"/>
      <c r="AB49" s="704"/>
      <c r="AC49" s="698"/>
      <c r="AD49" s="703"/>
      <c r="AE49" s="704"/>
      <c r="AF49" s="704"/>
      <c r="AG49" s="728"/>
      <c r="AH49" s="698"/>
      <c r="AI49" s="704"/>
      <c r="AJ49" s="704"/>
      <c r="AK49" s="728"/>
      <c r="AL49" s="703"/>
      <c r="AM49" s="698"/>
      <c r="AN49" s="704"/>
      <c r="AO49" s="728"/>
      <c r="AP49" s="703"/>
      <c r="AQ49" s="704"/>
      <c r="AR49" s="698"/>
      <c r="AS49" s="728"/>
      <c r="AT49" s="703"/>
      <c r="AU49" s="704"/>
      <c r="AV49" s="704"/>
      <c r="AW49" s="698"/>
      <c r="AX49" s="704"/>
      <c r="AY49" s="704"/>
      <c r="AZ49" s="704"/>
      <c r="BA49" s="704"/>
      <c r="BB49" s="698"/>
      <c r="BC49" s="704"/>
      <c r="BD49" s="704"/>
      <c r="BE49" s="704"/>
      <c r="BF49" s="704"/>
      <c r="BG49" s="747"/>
      <c r="BH49" s="747"/>
      <c r="BI49" s="747"/>
      <c r="BJ49" s="747"/>
      <c r="BK49" s="747"/>
      <c r="BL49" s="747"/>
      <c r="BM49" s="747"/>
      <c r="BN49" s="747"/>
      <c r="BO49" s="747"/>
      <c r="BP49" s="747"/>
      <c r="BQ49" s="747"/>
      <c r="BR49" s="747"/>
      <c r="BS49" s="747"/>
      <c r="BT49" s="747"/>
      <c r="BU49" s="747"/>
      <c r="BV49" s="747"/>
      <c r="BW49" s="747"/>
      <c r="BX49" s="747"/>
      <c r="BY49" s="747"/>
      <c r="BZ49" s="747"/>
      <c r="CA49" s="747"/>
      <c r="CB49" s="747"/>
      <c r="CC49" s="747"/>
      <c r="CD49" s="747"/>
      <c r="CE49" s="747"/>
      <c r="CF49" s="747"/>
      <c r="CG49" s="747"/>
      <c r="CH49" s="747"/>
      <c r="CI49" s="747"/>
      <c r="CJ49" s="747"/>
      <c r="CK49" s="747"/>
      <c r="CL49" s="747"/>
      <c r="CM49" s="747"/>
      <c r="CN49" s="747"/>
      <c r="CO49" s="747"/>
      <c r="CP49" s="747"/>
      <c r="CQ49" s="747"/>
      <c r="CR49" s="747"/>
      <c r="CS49" s="747"/>
      <c r="CT49" s="747"/>
      <c r="CU49" s="747"/>
      <c r="CV49" s="747"/>
      <c r="CW49" s="747"/>
      <c r="CX49" s="747"/>
      <c r="CY49" s="747"/>
      <c r="CZ49" s="747"/>
      <c r="DA49" s="747"/>
      <c r="DB49" s="747"/>
      <c r="DC49" s="747"/>
      <c r="DD49" s="747"/>
      <c r="DE49" s="747"/>
      <c r="DF49" s="747"/>
      <c r="DG49" s="747"/>
      <c r="DH49" s="747"/>
      <c r="DI49" s="747"/>
      <c r="DJ49" s="747"/>
      <c r="DK49" s="747"/>
      <c r="DL49" s="747"/>
      <c r="DM49" s="747"/>
      <c r="DN49" s="747"/>
      <c r="DO49" s="747"/>
      <c r="DP49" s="747"/>
      <c r="DQ49" s="747"/>
      <c r="DR49" s="747"/>
      <c r="DS49" s="747"/>
      <c r="DT49" s="747"/>
      <c r="DU49" s="747"/>
      <c r="DV49" s="747"/>
      <c r="DW49" s="747"/>
      <c r="DX49" s="747"/>
      <c r="DY49" s="747"/>
      <c r="DZ49" s="747"/>
      <c r="EA49" s="747"/>
      <c r="EB49" s="747"/>
      <c r="EC49" s="747"/>
      <c r="ED49" s="747"/>
      <c r="EE49" s="747"/>
      <c r="EF49" s="747"/>
      <c r="EG49" s="747"/>
      <c r="EH49" s="747"/>
      <c r="EI49" s="747"/>
      <c r="EJ49" s="747"/>
      <c r="EK49" s="747"/>
      <c r="EL49" s="747"/>
      <c r="EM49" s="747"/>
      <c r="EN49" s="747"/>
      <c r="EO49" s="747"/>
      <c r="EP49" s="747"/>
      <c r="EQ49" s="747"/>
      <c r="ER49" s="747"/>
      <c r="ES49" s="747"/>
      <c r="ET49" s="747"/>
      <c r="EU49" s="747"/>
      <c r="EV49" s="747"/>
      <c r="EW49" s="747"/>
      <c r="EX49" s="747"/>
      <c r="EY49" s="747"/>
      <c r="EZ49" s="747"/>
      <c r="FA49" s="747"/>
      <c r="FB49" s="747"/>
      <c r="FC49" s="747"/>
      <c r="FD49" s="747"/>
      <c r="FE49" s="747"/>
      <c r="FF49" s="747"/>
      <c r="FG49" s="747"/>
      <c r="FH49" s="747"/>
      <c r="FI49" s="747"/>
      <c r="FJ49" s="747"/>
      <c r="FK49" s="747"/>
      <c r="FL49" s="747"/>
      <c r="FM49" s="747"/>
      <c r="FN49" s="747"/>
      <c r="FO49" s="747"/>
      <c r="FP49" s="747"/>
      <c r="FQ49" s="747"/>
      <c r="FR49" s="747"/>
      <c r="FS49" s="747"/>
      <c r="FT49" s="747"/>
      <c r="FU49" s="747"/>
      <c r="FV49" s="747"/>
      <c r="FW49" s="747"/>
      <c r="FX49" s="747"/>
      <c r="FY49" s="747"/>
      <c r="FZ49" s="747"/>
      <c r="GA49" s="747"/>
      <c r="GB49" s="747"/>
      <c r="GC49" s="747"/>
      <c r="GD49" s="747"/>
      <c r="GE49" s="747"/>
      <c r="GF49" s="747"/>
      <c r="GG49" s="747"/>
      <c r="GH49" s="747"/>
      <c r="GI49" s="747"/>
      <c r="GJ49" s="747"/>
    </row>
    <row r="50" spans="1:202" ht="18" customHeight="1">
      <c r="A50" s="758"/>
      <c r="B50" s="693" t="s">
        <v>734</v>
      </c>
      <c r="C50" s="687">
        <f>BF50</f>
        <v>0</v>
      </c>
      <c r="D50" s="698"/>
      <c r="E50" s="696">
        <f>E51-E52</f>
        <v>0</v>
      </c>
      <c r="F50" s="696">
        <f>E50+F51-F52</f>
        <v>0</v>
      </c>
      <c r="G50" s="696">
        <f>F50+G51-G52</f>
        <v>0</v>
      </c>
      <c r="H50" s="696">
        <f>G50+H51-H52</f>
        <v>17000</v>
      </c>
      <c r="I50" s="698"/>
      <c r="J50" s="696">
        <f>H50+J51-J52</f>
        <v>17000</v>
      </c>
      <c r="K50" s="696">
        <f>J50+K51-K52</f>
        <v>500</v>
      </c>
      <c r="L50" s="696">
        <f>K50+L51-L52</f>
        <v>0</v>
      </c>
      <c r="M50" s="696">
        <f>L50+M51-M52</f>
        <v>0</v>
      </c>
      <c r="N50" s="698"/>
      <c r="O50" s="697">
        <f>M50+O51-O52</f>
        <v>0</v>
      </c>
      <c r="P50" s="697">
        <f>O50+P51-P52</f>
        <v>0</v>
      </c>
      <c r="Q50" s="697">
        <f t="shared" ref="Q50:R50" si="147">P50+Q51-Q52</f>
        <v>0</v>
      </c>
      <c r="R50" s="697">
        <f t="shared" si="147"/>
        <v>0</v>
      </c>
      <c r="S50" s="698"/>
      <c r="T50" s="697">
        <f>R50+T51-T52</f>
        <v>0</v>
      </c>
      <c r="U50" s="727">
        <f>T50+U51-U52</f>
        <v>0</v>
      </c>
      <c r="V50" s="727">
        <f t="shared" ref="V50:W50" si="148">U50+V51-V52</f>
        <v>0</v>
      </c>
      <c r="W50" s="727">
        <f t="shared" si="148"/>
        <v>0</v>
      </c>
      <c r="X50" s="698"/>
      <c r="Y50" s="727">
        <f>W50+Y51-Y52</f>
        <v>0</v>
      </c>
      <c r="Z50" s="696">
        <f>Y50+Z51-Z52</f>
        <v>0</v>
      </c>
      <c r="AA50" s="696">
        <f t="shared" ref="AA50:AB50" si="149">Z50+AA51-AA52</f>
        <v>0</v>
      </c>
      <c r="AB50" s="696">
        <f t="shared" si="149"/>
        <v>0</v>
      </c>
      <c r="AC50" s="698"/>
      <c r="AD50" s="696">
        <f>AB50+AD51-AD52</f>
        <v>0</v>
      </c>
      <c r="AE50" s="697">
        <f>AD50+AE51-AE52</f>
        <v>0</v>
      </c>
      <c r="AF50" s="697">
        <f t="shared" ref="AF50:AG50" si="150">AE50+AF51-AF52</f>
        <v>0</v>
      </c>
      <c r="AG50" s="697">
        <f t="shared" si="150"/>
        <v>0</v>
      </c>
      <c r="AH50" s="698"/>
      <c r="AI50" s="697">
        <f>AG50+AI51-AI52</f>
        <v>0</v>
      </c>
      <c r="AJ50" s="697">
        <f>AI50+AJ51-AJ52</f>
        <v>0</v>
      </c>
      <c r="AK50" s="697">
        <f t="shared" ref="AK50:AL50" si="151">AJ50+AK51-AK52</f>
        <v>0</v>
      </c>
      <c r="AL50" s="697">
        <f t="shared" si="151"/>
        <v>0</v>
      </c>
      <c r="AM50" s="698"/>
      <c r="AN50" s="697">
        <f>AL50+AN51-AN52</f>
        <v>0</v>
      </c>
      <c r="AO50" s="727">
        <f>AN50+AO51-AO52</f>
        <v>0</v>
      </c>
      <c r="AP50" s="727">
        <f t="shared" ref="AP50:AQ50" si="152">AO50+AP51-AP52</f>
        <v>0</v>
      </c>
      <c r="AQ50" s="727">
        <f t="shared" si="152"/>
        <v>0</v>
      </c>
      <c r="AR50" s="698"/>
      <c r="AS50" s="727">
        <f>AQ50+AS51-AS52</f>
        <v>0</v>
      </c>
      <c r="AT50" s="696">
        <f>AS50+AT51-AT52</f>
        <v>0</v>
      </c>
      <c r="AU50" s="696">
        <f t="shared" ref="AU50:AV50" si="153">AT50+AU51-AU52</f>
        <v>0</v>
      </c>
      <c r="AV50" s="696">
        <f t="shared" si="153"/>
        <v>0</v>
      </c>
      <c r="AW50" s="698"/>
      <c r="AX50" s="838">
        <f>AV50+AX51-AX52</f>
        <v>0</v>
      </c>
      <c r="AY50" s="838">
        <f>AX50+AY51-AY52</f>
        <v>0</v>
      </c>
      <c r="AZ50" s="838">
        <f t="shared" ref="AZ50:BA50" si="154">AY50+AZ51-AZ52</f>
        <v>0</v>
      </c>
      <c r="BA50" s="838">
        <f t="shared" si="154"/>
        <v>0</v>
      </c>
      <c r="BB50" s="698"/>
      <c r="BC50" s="838">
        <f>BA50+BC51-BC52</f>
        <v>0</v>
      </c>
      <c r="BD50" s="838">
        <f>BC50+BD51-BD52</f>
        <v>0</v>
      </c>
      <c r="BE50" s="838">
        <f t="shared" ref="BE50:BF50" si="155">BD50+BE51-BE52</f>
        <v>0</v>
      </c>
      <c r="BF50" s="838">
        <f t="shared" si="155"/>
        <v>0</v>
      </c>
      <c r="BG50" s="747"/>
      <c r="BH50" s="747"/>
      <c r="BI50" s="747"/>
      <c r="BJ50" s="747"/>
      <c r="BK50" s="747"/>
      <c r="BL50" s="747"/>
      <c r="BM50" s="747"/>
      <c r="BN50" s="747"/>
      <c r="BO50" s="747"/>
      <c r="BP50" s="747"/>
      <c r="BQ50" s="747"/>
      <c r="BR50" s="747"/>
      <c r="BS50" s="747"/>
      <c r="BT50" s="747"/>
      <c r="BU50" s="747"/>
      <c r="BV50" s="747"/>
      <c r="BW50" s="747"/>
      <c r="BX50" s="747"/>
      <c r="BY50" s="747"/>
      <c r="BZ50" s="747"/>
      <c r="CA50" s="747"/>
      <c r="CB50" s="747"/>
      <c r="CC50" s="747"/>
      <c r="CD50" s="747"/>
      <c r="CE50" s="747"/>
      <c r="CF50" s="747"/>
      <c r="CG50" s="747"/>
      <c r="CH50" s="747"/>
      <c r="CI50" s="747"/>
      <c r="CJ50" s="747"/>
      <c r="CK50" s="747"/>
      <c r="CL50" s="747"/>
      <c r="CM50" s="747"/>
      <c r="CN50" s="747"/>
      <c r="CO50" s="747"/>
      <c r="CP50" s="747"/>
      <c r="CQ50" s="747"/>
      <c r="CR50" s="747"/>
      <c r="CS50" s="747"/>
      <c r="CT50" s="747"/>
      <c r="CU50" s="747"/>
      <c r="CV50" s="747"/>
      <c r="CW50" s="747"/>
      <c r="CX50" s="747"/>
      <c r="CY50" s="747"/>
      <c r="CZ50" s="747"/>
      <c r="DA50" s="747"/>
      <c r="DB50" s="747"/>
      <c r="DC50" s="747"/>
      <c r="DD50" s="747"/>
      <c r="DE50" s="747"/>
      <c r="DF50" s="747"/>
      <c r="DG50" s="747"/>
      <c r="DH50" s="747"/>
      <c r="DI50" s="747"/>
      <c r="DJ50" s="747"/>
      <c r="DK50" s="747"/>
      <c r="DL50" s="747"/>
      <c r="DM50" s="747"/>
      <c r="DN50" s="747"/>
      <c r="DO50" s="747"/>
      <c r="DP50" s="747"/>
      <c r="DQ50" s="747"/>
      <c r="DR50" s="747"/>
      <c r="DS50" s="747"/>
      <c r="DT50" s="747"/>
      <c r="DU50" s="747"/>
      <c r="DV50" s="747"/>
      <c r="DW50" s="747"/>
      <c r="DX50" s="747"/>
      <c r="DY50" s="747"/>
      <c r="DZ50" s="747"/>
      <c r="EA50" s="747"/>
      <c r="EB50" s="747"/>
      <c r="EC50" s="747"/>
      <c r="ED50" s="747"/>
      <c r="EE50" s="747"/>
      <c r="EF50" s="747"/>
      <c r="EG50" s="747"/>
      <c r="EH50" s="747"/>
      <c r="EI50" s="747"/>
      <c r="EJ50" s="747"/>
      <c r="EK50" s="747"/>
      <c r="EL50" s="747"/>
      <c r="EM50" s="747"/>
      <c r="EN50" s="747"/>
      <c r="EO50" s="747"/>
      <c r="EP50" s="747"/>
      <c r="EQ50" s="747"/>
      <c r="ER50" s="747"/>
      <c r="ES50" s="747"/>
      <c r="ET50" s="747"/>
      <c r="EU50" s="747"/>
      <c r="EV50" s="747"/>
      <c r="EW50" s="747"/>
      <c r="EX50" s="747"/>
      <c r="EY50" s="747"/>
      <c r="EZ50" s="747"/>
      <c r="FA50" s="747"/>
      <c r="FB50" s="747"/>
      <c r="FC50" s="747"/>
      <c r="FD50" s="747"/>
      <c r="FE50" s="747"/>
      <c r="FF50" s="747"/>
      <c r="FG50" s="747"/>
      <c r="FH50" s="747"/>
      <c r="FI50" s="747"/>
      <c r="FJ50" s="747"/>
      <c r="FK50" s="747"/>
      <c r="FL50" s="747"/>
      <c r="FM50" s="747"/>
      <c r="FN50" s="747"/>
      <c r="FO50" s="747"/>
      <c r="FP50" s="747"/>
      <c r="FQ50" s="747"/>
      <c r="FR50" s="747"/>
      <c r="FS50" s="747"/>
      <c r="FT50" s="747"/>
      <c r="FU50" s="747"/>
      <c r="FV50" s="747"/>
      <c r="FW50" s="747"/>
      <c r="FX50" s="747"/>
      <c r="FY50" s="747"/>
      <c r="FZ50" s="747"/>
      <c r="GA50" s="747"/>
      <c r="GB50" s="747"/>
      <c r="GC50" s="747"/>
      <c r="GD50" s="747"/>
      <c r="GE50" s="747"/>
      <c r="GF50" s="747"/>
      <c r="GG50" s="747"/>
      <c r="GH50" s="747"/>
      <c r="GI50" s="747"/>
      <c r="GJ50" s="747"/>
    </row>
    <row r="51" spans="1:202" ht="18" customHeight="1">
      <c r="A51" s="758"/>
      <c r="B51" s="700" t="s">
        <v>735</v>
      </c>
      <c r="C51" s="687">
        <f>SUM(E51:BF51)</f>
        <v>17000</v>
      </c>
      <c r="D51" s="816">
        <v>0.12</v>
      </c>
      <c r="E51" s="703"/>
      <c r="F51" s="703"/>
      <c r="G51" s="704"/>
      <c r="H51" s="704">
        <v>17000</v>
      </c>
      <c r="I51" s="698"/>
      <c r="J51" s="703"/>
      <c r="K51" s="704"/>
      <c r="L51" s="704"/>
      <c r="M51" s="728"/>
      <c r="N51" s="698"/>
      <c r="O51" s="704"/>
      <c r="P51" s="704"/>
      <c r="Q51" s="728"/>
      <c r="R51" s="703"/>
      <c r="S51" s="698"/>
      <c r="T51" s="704"/>
      <c r="U51" s="728"/>
      <c r="V51" s="703"/>
      <c r="W51" s="704"/>
      <c r="X51" s="698"/>
      <c r="Y51" s="728"/>
      <c r="Z51" s="703"/>
      <c r="AA51" s="704"/>
      <c r="AB51" s="704"/>
      <c r="AC51" s="698"/>
      <c r="AD51" s="703"/>
      <c r="AE51" s="704"/>
      <c r="AF51" s="704"/>
      <c r="AG51" s="728"/>
      <c r="AH51" s="698"/>
      <c r="AI51" s="704"/>
      <c r="AJ51" s="704"/>
      <c r="AK51" s="728"/>
      <c r="AL51" s="703"/>
      <c r="AM51" s="698"/>
      <c r="AN51" s="704"/>
      <c r="AO51" s="704"/>
      <c r="AP51" s="704"/>
      <c r="AQ51" s="704"/>
      <c r="AR51" s="698"/>
      <c r="AS51" s="728"/>
      <c r="AT51" s="703"/>
      <c r="AU51" s="704"/>
      <c r="AV51" s="704"/>
      <c r="AW51" s="698"/>
      <c r="AX51" s="704"/>
      <c r="AY51" s="704"/>
      <c r="AZ51" s="704"/>
      <c r="BA51" s="704"/>
      <c r="BB51" s="698"/>
      <c r="BC51" s="704"/>
      <c r="BD51" s="704"/>
      <c r="BE51" s="704"/>
      <c r="BF51" s="704"/>
      <c r="BG51" s="747"/>
      <c r="BH51" s="747"/>
      <c r="BI51" s="747"/>
      <c r="BJ51" s="747"/>
      <c r="BK51" s="747"/>
      <c r="BL51" s="747"/>
      <c r="BM51" s="747"/>
      <c r="BN51" s="747"/>
      <c r="BO51" s="747"/>
      <c r="BP51" s="747"/>
      <c r="BQ51" s="747"/>
      <c r="BR51" s="747"/>
      <c r="BS51" s="747"/>
      <c r="BT51" s="747"/>
      <c r="BU51" s="747"/>
      <c r="BV51" s="747"/>
      <c r="BW51" s="747"/>
      <c r="BX51" s="747"/>
      <c r="BY51" s="747"/>
      <c r="BZ51" s="747"/>
      <c r="CA51" s="747"/>
      <c r="CB51" s="747"/>
      <c r="CC51" s="747"/>
      <c r="CD51" s="747"/>
      <c r="CE51" s="747"/>
      <c r="CF51" s="747"/>
      <c r="CG51" s="747"/>
      <c r="CH51" s="747"/>
      <c r="CI51" s="747"/>
      <c r="CJ51" s="747"/>
      <c r="CK51" s="747"/>
      <c r="CL51" s="747"/>
      <c r="CM51" s="747"/>
      <c r="CN51" s="747"/>
      <c r="CO51" s="747"/>
      <c r="CP51" s="747"/>
      <c r="CQ51" s="747"/>
      <c r="CR51" s="747"/>
      <c r="CS51" s="747"/>
      <c r="CT51" s="747"/>
      <c r="CU51" s="747"/>
      <c r="CV51" s="747"/>
      <c r="CW51" s="747"/>
      <c r="CX51" s="747"/>
      <c r="CY51" s="747"/>
      <c r="CZ51" s="747"/>
      <c r="DA51" s="747"/>
      <c r="DB51" s="747"/>
      <c r="DC51" s="747"/>
      <c r="DD51" s="747"/>
      <c r="DE51" s="747"/>
      <c r="DF51" s="747"/>
      <c r="DG51" s="747"/>
      <c r="DH51" s="747"/>
      <c r="DI51" s="747"/>
      <c r="DJ51" s="747"/>
      <c r="DK51" s="747"/>
      <c r="DL51" s="747"/>
      <c r="DM51" s="747"/>
      <c r="DN51" s="747"/>
      <c r="DO51" s="747"/>
      <c r="DP51" s="747"/>
      <c r="DQ51" s="747"/>
      <c r="DR51" s="747"/>
      <c r="DS51" s="747"/>
      <c r="DT51" s="747"/>
      <c r="DU51" s="747"/>
      <c r="DV51" s="747"/>
      <c r="DW51" s="747"/>
      <c r="DX51" s="747"/>
      <c r="DY51" s="747"/>
      <c r="DZ51" s="747"/>
      <c r="EA51" s="747"/>
      <c r="EB51" s="747"/>
      <c r="EC51" s="747"/>
      <c r="ED51" s="747"/>
      <c r="EE51" s="747"/>
      <c r="EF51" s="747"/>
      <c r="EG51" s="747"/>
      <c r="EH51" s="747"/>
      <c r="EI51" s="747"/>
      <c r="EJ51" s="747"/>
      <c r="EK51" s="747"/>
      <c r="EL51" s="747"/>
      <c r="EM51" s="747"/>
      <c r="EN51" s="747"/>
      <c r="EO51" s="747"/>
      <c r="EP51" s="747"/>
      <c r="EQ51" s="747"/>
      <c r="ER51" s="747"/>
      <c r="ES51" s="747"/>
      <c r="ET51" s="747"/>
      <c r="EU51" s="747"/>
      <c r="EV51" s="747"/>
      <c r="EW51" s="747"/>
      <c r="EX51" s="747"/>
      <c r="EY51" s="747"/>
      <c r="EZ51" s="747"/>
      <c r="FA51" s="747"/>
      <c r="FB51" s="747"/>
      <c r="FC51" s="747"/>
      <c r="FD51" s="747"/>
      <c r="FE51" s="747"/>
      <c r="FF51" s="747"/>
      <c r="FG51" s="747"/>
      <c r="FH51" s="747"/>
      <c r="FI51" s="747"/>
      <c r="FJ51" s="747"/>
      <c r="FK51" s="747"/>
      <c r="FL51" s="747"/>
      <c r="FM51" s="747"/>
      <c r="FN51" s="747"/>
      <c r="FO51" s="747"/>
      <c r="FP51" s="747"/>
      <c r="FQ51" s="747"/>
      <c r="FR51" s="747"/>
      <c r="FS51" s="747"/>
      <c r="FT51" s="747"/>
      <c r="FU51" s="747"/>
      <c r="FV51" s="747"/>
      <c r="FW51" s="747"/>
      <c r="FX51" s="747"/>
      <c r="FY51" s="747"/>
      <c r="FZ51" s="747"/>
      <c r="GA51" s="747"/>
      <c r="GB51" s="747"/>
      <c r="GC51" s="747"/>
      <c r="GD51" s="747"/>
      <c r="GE51" s="747"/>
      <c r="GF51" s="747"/>
      <c r="GG51" s="747"/>
      <c r="GH51" s="747"/>
      <c r="GI51" s="747"/>
      <c r="GJ51" s="747"/>
    </row>
    <row r="52" spans="1:202" ht="18" customHeight="1">
      <c r="A52" s="758"/>
      <c r="B52" s="700" t="s">
        <v>736</v>
      </c>
      <c r="C52" s="687">
        <f>SUM(E52:BF52)</f>
        <v>17000</v>
      </c>
      <c r="D52" s="698"/>
      <c r="E52" s="704"/>
      <c r="F52" s="703"/>
      <c r="G52" s="704"/>
      <c r="H52" s="704"/>
      <c r="I52" s="698"/>
      <c r="J52" s="703"/>
      <c r="K52" s="704">
        <v>16500</v>
      </c>
      <c r="L52" s="704">
        <v>500</v>
      </c>
      <c r="M52" s="728"/>
      <c r="N52" s="698"/>
      <c r="O52" s="704"/>
      <c r="P52" s="704"/>
      <c r="Q52" s="728"/>
      <c r="R52" s="703"/>
      <c r="S52" s="698"/>
      <c r="T52" s="704"/>
      <c r="U52" s="728"/>
      <c r="V52" s="703"/>
      <c r="W52" s="704"/>
      <c r="X52" s="698"/>
      <c r="Y52" s="728"/>
      <c r="Z52" s="703"/>
      <c r="AA52" s="704"/>
      <c r="AB52" s="704"/>
      <c r="AC52" s="698"/>
      <c r="AD52" s="703"/>
      <c r="AE52" s="704"/>
      <c r="AF52" s="704"/>
      <c r="AG52" s="728"/>
      <c r="AH52" s="698"/>
      <c r="AI52" s="704"/>
      <c r="AJ52" s="704"/>
      <c r="AK52" s="728"/>
      <c r="AL52" s="703"/>
      <c r="AM52" s="698"/>
      <c r="AN52" s="704"/>
      <c r="AO52" s="728"/>
      <c r="AP52" s="703"/>
      <c r="AQ52" s="704"/>
      <c r="AR52" s="698"/>
      <c r="AS52" s="728"/>
      <c r="AT52" s="703"/>
      <c r="AU52" s="704"/>
      <c r="AV52" s="704"/>
      <c r="AW52" s="698"/>
      <c r="AX52" s="704"/>
      <c r="AY52" s="704"/>
      <c r="AZ52" s="704"/>
      <c r="BA52" s="704"/>
      <c r="BB52" s="698"/>
      <c r="BC52" s="704"/>
      <c r="BD52" s="704"/>
      <c r="BE52" s="704"/>
      <c r="BF52" s="704"/>
      <c r="BG52" s="747"/>
      <c r="BH52" s="747"/>
      <c r="BI52" s="747"/>
      <c r="BJ52" s="747"/>
      <c r="BK52" s="747"/>
      <c r="BL52" s="747"/>
      <c r="BM52" s="747"/>
      <c r="BN52" s="747"/>
      <c r="BO52" s="747"/>
      <c r="BP52" s="747"/>
      <c r="BQ52" s="747"/>
      <c r="BR52" s="747"/>
      <c r="BS52" s="747"/>
      <c r="BT52" s="747"/>
      <c r="BU52" s="747"/>
      <c r="BV52" s="747"/>
      <c r="BW52" s="747"/>
      <c r="BX52" s="747"/>
      <c r="BY52" s="747"/>
      <c r="BZ52" s="747"/>
      <c r="CA52" s="747"/>
      <c r="CB52" s="747"/>
      <c r="CC52" s="747"/>
      <c r="CD52" s="747"/>
      <c r="CE52" s="747"/>
      <c r="CF52" s="747"/>
      <c r="CG52" s="747"/>
      <c r="CH52" s="747"/>
      <c r="CI52" s="747"/>
      <c r="CJ52" s="747"/>
      <c r="CK52" s="747"/>
      <c r="CL52" s="747"/>
      <c r="CM52" s="747"/>
      <c r="CN52" s="747"/>
      <c r="CO52" s="747"/>
      <c r="CP52" s="747"/>
      <c r="CQ52" s="747"/>
      <c r="CR52" s="747"/>
      <c r="CS52" s="747"/>
      <c r="CT52" s="747"/>
      <c r="CU52" s="747"/>
      <c r="CV52" s="747"/>
      <c r="CW52" s="747"/>
      <c r="CX52" s="747"/>
      <c r="CY52" s="747"/>
      <c r="CZ52" s="747"/>
      <c r="DA52" s="747"/>
      <c r="DB52" s="747"/>
      <c r="DC52" s="747"/>
      <c r="DD52" s="747"/>
      <c r="DE52" s="747"/>
      <c r="DF52" s="747"/>
      <c r="DG52" s="747"/>
      <c r="DH52" s="747"/>
      <c r="DI52" s="747"/>
      <c r="DJ52" s="747"/>
      <c r="DK52" s="747"/>
      <c r="DL52" s="747"/>
      <c r="DM52" s="747"/>
      <c r="DN52" s="747"/>
      <c r="DO52" s="747"/>
      <c r="DP52" s="747"/>
      <c r="DQ52" s="747"/>
      <c r="DR52" s="747"/>
      <c r="DS52" s="747"/>
      <c r="DT52" s="747"/>
      <c r="DU52" s="747"/>
      <c r="DV52" s="747"/>
      <c r="DW52" s="747"/>
      <c r="DX52" s="747"/>
      <c r="DY52" s="747"/>
      <c r="DZ52" s="747"/>
      <c r="EA52" s="747"/>
      <c r="EB52" s="747"/>
      <c r="EC52" s="747"/>
      <c r="ED52" s="747"/>
      <c r="EE52" s="747"/>
      <c r="EF52" s="747"/>
      <c r="EG52" s="747"/>
      <c r="EH52" s="747"/>
      <c r="EI52" s="747"/>
      <c r="EJ52" s="747"/>
      <c r="EK52" s="747"/>
      <c r="EL52" s="747"/>
      <c r="EM52" s="747"/>
      <c r="EN52" s="747"/>
      <c r="EO52" s="747"/>
      <c r="EP52" s="747"/>
      <c r="EQ52" s="747"/>
      <c r="ER52" s="747"/>
      <c r="ES52" s="747"/>
      <c r="ET52" s="747"/>
      <c r="EU52" s="747"/>
      <c r="EV52" s="747"/>
      <c r="EW52" s="747"/>
      <c r="EX52" s="747"/>
      <c r="EY52" s="747"/>
      <c r="EZ52" s="747"/>
      <c r="FA52" s="747"/>
      <c r="FB52" s="747"/>
      <c r="FC52" s="747"/>
      <c r="FD52" s="747"/>
      <c r="FE52" s="747"/>
      <c r="FF52" s="747"/>
      <c r="FG52" s="747"/>
      <c r="FH52" s="747"/>
      <c r="FI52" s="747"/>
      <c r="FJ52" s="747"/>
      <c r="FK52" s="747"/>
      <c r="FL52" s="747"/>
      <c r="FM52" s="747"/>
      <c r="FN52" s="747"/>
      <c r="FO52" s="747"/>
      <c r="FP52" s="747"/>
      <c r="FQ52" s="747"/>
      <c r="FR52" s="747"/>
      <c r="FS52" s="747"/>
      <c r="FT52" s="747"/>
      <c r="FU52" s="747"/>
      <c r="FV52" s="747"/>
      <c r="FW52" s="747"/>
      <c r="FX52" s="747"/>
      <c r="FY52" s="747"/>
      <c r="FZ52" s="747"/>
      <c r="GA52" s="747"/>
      <c r="GB52" s="747"/>
      <c r="GC52" s="747"/>
      <c r="GD52" s="747"/>
      <c r="GE52" s="747"/>
      <c r="GF52" s="747"/>
      <c r="GG52" s="747"/>
      <c r="GH52" s="747"/>
      <c r="GI52" s="747"/>
      <c r="GJ52" s="747"/>
    </row>
    <row r="53" spans="1:202" ht="18" customHeight="1">
      <c r="A53" s="758"/>
      <c r="B53" s="693" t="s">
        <v>244</v>
      </c>
      <c r="C53" s="687">
        <f>SUM(E53:BF53)</f>
        <v>2283</v>
      </c>
      <c r="D53" s="698"/>
      <c r="E53" s="696">
        <f>SUM(E54:E55)</f>
        <v>0</v>
      </c>
      <c r="F53" s="696">
        <f>SUM(F54:F55)</f>
        <v>0</v>
      </c>
      <c r="G53" s="697">
        <f>SUM(G54:G55)</f>
        <v>109.5</v>
      </c>
      <c r="H53" s="697">
        <f>SUM(H54:H55)</f>
        <v>625.5</v>
      </c>
      <c r="I53" s="698"/>
      <c r="J53" s="696">
        <f>SUM(J54:J55)</f>
        <v>1024.5</v>
      </c>
      <c r="K53" s="697">
        <f>SUM(K54:K55)</f>
        <v>516</v>
      </c>
      <c r="L53" s="697">
        <f>SUM(L54:L55)</f>
        <v>7.5</v>
      </c>
      <c r="M53" s="727">
        <f>SUM(M54:M55)</f>
        <v>0</v>
      </c>
      <c r="N53" s="698"/>
      <c r="O53" s="697">
        <f t="shared" ref="O53:AV53" si="156">SUM(O54:O55)</f>
        <v>0</v>
      </c>
      <c r="P53" s="697">
        <f t="shared" si="156"/>
        <v>0</v>
      </c>
      <c r="Q53" s="727">
        <f t="shared" si="156"/>
        <v>0</v>
      </c>
      <c r="R53" s="696">
        <f t="shared" si="156"/>
        <v>0</v>
      </c>
      <c r="S53" s="698"/>
      <c r="T53" s="697">
        <f t="shared" si="156"/>
        <v>0</v>
      </c>
      <c r="U53" s="727">
        <f t="shared" si="156"/>
        <v>0</v>
      </c>
      <c r="V53" s="696">
        <f t="shared" si="156"/>
        <v>0</v>
      </c>
      <c r="W53" s="697">
        <f t="shared" si="156"/>
        <v>0</v>
      </c>
      <c r="X53" s="698"/>
      <c r="Y53" s="727">
        <f t="shared" si="156"/>
        <v>0</v>
      </c>
      <c r="Z53" s="696">
        <f t="shared" si="156"/>
        <v>0</v>
      </c>
      <c r="AA53" s="697">
        <f t="shared" si="156"/>
        <v>0</v>
      </c>
      <c r="AB53" s="697">
        <f t="shared" si="156"/>
        <v>0</v>
      </c>
      <c r="AC53" s="698"/>
      <c r="AD53" s="696">
        <f t="shared" si="156"/>
        <v>0</v>
      </c>
      <c r="AE53" s="697">
        <f t="shared" si="156"/>
        <v>0</v>
      </c>
      <c r="AF53" s="697">
        <f t="shared" si="156"/>
        <v>0</v>
      </c>
      <c r="AG53" s="727">
        <f t="shared" si="156"/>
        <v>0</v>
      </c>
      <c r="AH53" s="698"/>
      <c r="AI53" s="697">
        <f t="shared" si="156"/>
        <v>0</v>
      </c>
      <c r="AJ53" s="697">
        <f t="shared" si="156"/>
        <v>0</v>
      </c>
      <c r="AK53" s="727">
        <f t="shared" si="156"/>
        <v>0</v>
      </c>
      <c r="AL53" s="696">
        <f t="shared" si="156"/>
        <v>0</v>
      </c>
      <c r="AM53" s="698"/>
      <c r="AN53" s="697">
        <f t="shared" si="156"/>
        <v>0</v>
      </c>
      <c r="AO53" s="727">
        <f t="shared" si="156"/>
        <v>0</v>
      </c>
      <c r="AP53" s="696">
        <f t="shared" si="156"/>
        <v>0</v>
      </c>
      <c r="AQ53" s="697">
        <f t="shared" si="156"/>
        <v>0</v>
      </c>
      <c r="AR53" s="698"/>
      <c r="AS53" s="727">
        <f t="shared" si="156"/>
        <v>0</v>
      </c>
      <c r="AT53" s="696">
        <f t="shared" si="156"/>
        <v>0</v>
      </c>
      <c r="AU53" s="697">
        <f t="shared" si="156"/>
        <v>0</v>
      </c>
      <c r="AV53" s="697">
        <f t="shared" si="156"/>
        <v>0</v>
      </c>
      <c r="AW53" s="698"/>
      <c r="AX53" s="697">
        <f>SUM(AX54:AX55)</f>
        <v>0</v>
      </c>
      <c r="AY53" s="697">
        <f>SUM(AY54:AY55)</f>
        <v>0</v>
      </c>
      <c r="AZ53" s="697">
        <f>SUM(AZ54:AZ55)</f>
        <v>0</v>
      </c>
      <c r="BA53" s="697">
        <f>SUM(BA54:BA55)</f>
        <v>0</v>
      </c>
      <c r="BB53" s="698"/>
      <c r="BC53" s="697">
        <f>SUM(BC54:BC55)</f>
        <v>0</v>
      </c>
      <c r="BD53" s="697">
        <f t="shared" ref="BD53:BF53" si="157">SUM(BD54:BD55)</f>
        <v>0</v>
      </c>
      <c r="BE53" s="697">
        <f t="shared" si="157"/>
        <v>0</v>
      </c>
      <c r="BF53" s="697">
        <f t="shared" si="157"/>
        <v>0</v>
      </c>
      <c r="BG53" s="747"/>
      <c r="BH53" s="747"/>
      <c r="BI53" s="747"/>
      <c r="BJ53" s="747"/>
      <c r="BK53" s="747"/>
      <c r="BL53" s="747"/>
      <c r="BM53" s="747"/>
      <c r="BN53" s="747"/>
      <c r="BO53" s="747"/>
      <c r="BP53" s="747"/>
      <c r="BQ53" s="747"/>
      <c r="BR53" s="747"/>
      <c r="BS53" s="747"/>
      <c r="BT53" s="747"/>
      <c r="BU53" s="747"/>
      <c r="BV53" s="747"/>
      <c r="BW53" s="747"/>
      <c r="BX53" s="747"/>
      <c r="BY53" s="747"/>
      <c r="BZ53" s="747"/>
      <c r="CA53" s="747"/>
      <c r="CB53" s="747"/>
      <c r="CC53" s="747"/>
      <c r="CD53" s="747"/>
      <c r="CE53" s="747"/>
      <c r="CF53" s="747"/>
      <c r="CG53" s="747"/>
      <c r="CH53" s="747"/>
      <c r="CI53" s="747"/>
      <c r="CJ53" s="747"/>
      <c r="CK53" s="747"/>
      <c r="CL53" s="747"/>
      <c r="CM53" s="747"/>
      <c r="CN53" s="747"/>
      <c r="CO53" s="747"/>
      <c r="CP53" s="747"/>
      <c r="CQ53" s="747"/>
      <c r="CR53" s="747"/>
      <c r="CS53" s="747"/>
      <c r="CT53" s="747"/>
      <c r="CU53" s="747"/>
      <c r="CV53" s="747"/>
      <c r="CW53" s="747"/>
      <c r="CX53" s="747"/>
      <c r="CY53" s="747"/>
      <c r="CZ53" s="747"/>
      <c r="DA53" s="747"/>
      <c r="DB53" s="747"/>
      <c r="DC53" s="747"/>
      <c r="DD53" s="747"/>
      <c r="DE53" s="747"/>
      <c r="DF53" s="747"/>
      <c r="DG53" s="747"/>
      <c r="DH53" s="747"/>
      <c r="DI53" s="747"/>
      <c r="DJ53" s="747"/>
      <c r="DK53" s="747"/>
      <c r="DL53" s="747"/>
      <c r="DM53" s="747"/>
      <c r="DN53" s="747"/>
      <c r="DO53" s="747"/>
      <c r="DP53" s="747"/>
      <c r="DQ53" s="747"/>
      <c r="DR53" s="747"/>
      <c r="DS53" s="747"/>
      <c r="DT53" s="747"/>
      <c r="DU53" s="747"/>
      <c r="DV53" s="747"/>
      <c r="DW53" s="747"/>
      <c r="DX53" s="747"/>
      <c r="DY53" s="747"/>
      <c r="DZ53" s="747"/>
      <c r="EA53" s="747"/>
      <c r="EB53" s="747"/>
      <c r="EC53" s="747"/>
      <c r="ED53" s="747"/>
      <c r="EE53" s="747"/>
      <c r="EF53" s="747"/>
      <c r="EG53" s="747"/>
      <c r="EH53" s="747"/>
      <c r="EI53" s="747"/>
      <c r="EJ53" s="747"/>
      <c r="EK53" s="747"/>
      <c r="EL53" s="747"/>
      <c r="EM53" s="747"/>
      <c r="EN53" s="747"/>
      <c r="EO53" s="747"/>
      <c r="EP53" s="747"/>
      <c r="EQ53" s="747"/>
      <c r="ER53" s="747"/>
      <c r="ES53" s="747"/>
      <c r="ET53" s="747"/>
      <c r="EU53" s="747"/>
      <c r="EV53" s="747"/>
      <c r="EW53" s="747"/>
      <c r="EX53" s="747"/>
      <c r="EY53" s="747"/>
      <c r="EZ53" s="747"/>
      <c r="FA53" s="747"/>
      <c r="FB53" s="747"/>
      <c r="FC53" s="747"/>
      <c r="FD53" s="747"/>
      <c r="FE53" s="747"/>
      <c r="FF53" s="747"/>
      <c r="FG53" s="747"/>
      <c r="FH53" s="747"/>
      <c r="FI53" s="747"/>
      <c r="FJ53" s="747"/>
      <c r="FK53" s="747"/>
      <c r="FL53" s="747"/>
      <c r="FM53" s="747"/>
      <c r="FN53" s="747"/>
      <c r="FO53" s="747"/>
      <c r="FP53" s="747"/>
      <c r="FQ53" s="747"/>
      <c r="FR53" s="747"/>
      <c r="FS53" s="747"/>
      <c r="FT53" s="747"/>
      <c r="FU53" s="747"/>
      <c r="FV53" s="747"/>
      <c r="FW53" s="747"/>
      <c r="FX53" s="747"/>
      <c r="FY53" s="747"/>
      <c r="FZ53" s="747"/>
      <c r="GA53" s="747"/>
      <c r="GB53" s="747"/>
      <c r="GC53" s="747"/>
      <c r="GD53" s="747"/>
      <c r="GE53" s="747"/>
      <c r="GF53" s="747"/>
      <c r="GG53" s="747"/>
      <c r="GH53" s="747"/>
      <c r="GI53" s="747"/>
      <c r="GJ53" s="747"/>
    </row>
    <row r="54" spans="1:202" ht="18" customHeight="1">
      <c r="A54" s="758"/>
      <c r="B54" s="700" t="s">
        <v>737</v>
      </c>
      <c r="C54" s="687">
        <f>SUM(E54:BF54)</f>
        <v>1248</v>
      </c>
      <c r="D54" s="698"/>
      <c r="E54" s="696">
        <f>E47/2*$D$48/4</f>
        <v>0</v>
      </c>
      <c r="F54" s="696">
        <f>(E47+F47)/2*$D$48/4</f>
        <v>0</v>
      </c>
      <c r="G54" s="696">
        <f>(F47+G47)/2*$D$48/4</f>
        <v>109.5</v>
      </c>
      <c r="H54" s="696">
        <f>(G47+H47)/2*$D$48/4</f>
        <v>370.5</v>
      </c>
      <c r="I54" s="698"/>
      <c r="J54" s="696">
        <f>(H47+J47)/2*$D$48/4</f>
        <v>514.5</v>
      </c>
      <c r="K54" s="696">
        <f>(J47+K47)/2*$D$48/4</f>
        <v>253.5</v>
      </c>
      <c r="L54" s="696">
        <f>(K47+L47)/2*$D$48/4</f>
        <v>0</v>
      </c>
      <c r="M54" s="696">
        <f>(L47+M47)/2*$D$48/4</f>
        <v>0</v>
      </c>
      <c r="N54" s="698"/>
      <c r="O54" s="696">
        <f>(M47+O47)/2*$D$48/4</f>
        <v>0</v>
      </c>
      <c r="P54" s="696">
        <f>(O47+P47)/2*$D$48/4</f>
        <v>0</v>
      </c>
      <c r="Q54" s="696">
        <f>(P47+Q47)/2*$D$48/4</f>
        <v>0</v>
      </c>
      <c r="R54" s="696">
        <f>(Q47+R47)/2*$D$48/4</f>
        <v>0</v>
      </c>
      <c r="S54" s="698"/>
      <c r="T54" s="696">
        <f>(R47+T47)/2*$D$48/4</f>
        <v>0</v>
      </c>
      <c r="U54" s="696">
        <f>(T47+U47)/2*$D$48/4</f>
        <v>0</v>
      </c>
      <c r="V54" s="696">
        <f>(U47+V47)/2*$D$48/4</f>
        <v>0</v>
      </c>
      <c r="W54" s="696">
        <f>(V47+W47)/2*$D$48/4</f>
        <v>0</v>
      </c>
      <c r="X54" s="698"/>
      <c r="Y54" s="696">
        <f>(W47+Y47)/2*$D$48/4</f>
        <v>0</v>
      </c>
      <c r="Z54" s="696">
        <f>(Y47+Z47)/2*$D$48/4</f>
        <v>0</v>
      </c>
      <c r="AA54" s="696">
        <f>(Z47+AA47)/2*$D$48/4</f>
        <v>0</v>
      </c>
      <c r="AB54" s="696">
        <f>(AA47+AB47)/2*$D$48/4</f>
        <v>0</v>
      </c>
      <c r="AC54" s="698"/>
      <c r="AD54" s="696">
        <f>(AB47+AD47)/2*$D$48/4</f>
        <v>0</v>
      </c>
      <c r="AE54" s="696">
        <f>(AD47+AE47)/2*$D$48/4</f>
        <v>0</v>
      </c>
      <c r="AF54" s="696">
        <f>(AE47+AF47)/2*$D$48/4</f>
        <v>0</v>
      </c>
      <c r="AG54" s="696">
        <f>(AF47+AG47)/2*$D$48/4</f>
        <v>0</v>
      </c>
      <c r="AH54" s="698"/>
      <c r="AI54" s="696">
        <f>(AG47+AI47)/2*$D$48/4</f>
        <v>0</v>
      </c>
      <c r="AJ54" s="696">
        <f>(AI47+AJ47)/2*$D$48/4</f>
        <v>0</v>
      </c>
      <c r="AK54" s="696">
        <f>(AJ47+AK47)/2*$D$48/4</f>
        <v>0</v>
      </c>
      <c r="AL54" s="696">
        <f>(AK47+AL47)/2*$D$48/4</f>
        <v>0</v>
      </c>
      <c r="AM54" s="698"/>
      <c r="AN54" s="696">
        <f>(AL47+AN47)/2*$D$48/4</f>
        <v>0</v>
      </c>
      <c r="AO54" s="696">
        <f>(AN47+AO47)/2*$D$48/4</f>
        <v>0</v>
      </c>
      <c r="AP54" s="696">
        <f>(AO47+AP47)/2*$D$48/4</f>
        <v>0</v>
      </c>
      <c r="AQ54" s="696">
        <f>(AP47+AQ47)/2*$D$48/4</f>
        <v>0</v>
      </c>
      <c r="AR54" s="698"/>
      <c r="AS54" s="696">
        <f>(AQ47+AS47)/2*$D$48/4</f>
        <v>0</v>
      </c>
      <c r="AT54" s="696">
        <f>(AS47+AT47)/2*$D$48/4</f>
        <v>0</v>
      </c>
      <c r="AU54" s="696">
        <f>(AT47+AU47)/2*$D$48/4</f>
        <v>0</v>
      </c>
      <c r="AV54" s="696">
        <f>(AU47+AV47)/2*$D$48/4</f>
        <v>0</v>
      </c>
      <c r="AW54" s="698"/>
      <c r="AX54" s="696">
        <f>(AV47+AX47)/2*$D$48/4</f>
        <v>0</v>
      </c>
      <c r="AY54" s="696">
        <f>(AX47+AY47)/2*$D$48/4</f>
        <v>0</v>
      </c>
      <c r="AZ54" s="696">
        <f>(AY47+AZ47)/2*$D$48/4</f>
        <v>0</v>
      </c>
      <c r="BA54" s="696">
        <f>(AZ47+BA47)/2*$D$48/4</f>
        <v>0</v>
      </c>
      <c r="BB54" s="698"/>
      <c r="BC54" s="696">
        <f>(BA47+BC47)/2*$D$48/4</f>
        <v>0</v>
      </c>
      <c r="BD54" s="696">
        <f>(BC47+BD47)/2*$D$48/4</f>
        <v>0</v>
      </c>
      <c r="BE54" s="696">
        <f>(BD47+BE47)/2*$D$48/4</f>
        <v>0</v>
      </c>
      <c r="BF54" s="696">
        <f>(BE47+BF47)/2*$D$48/4</f>
        <v>0</v>
      </c>
      <c r="BG54" s="747"/>
      <c r="BH54" s="747"/>
      <c r="BI54" s="747"/>
      <c r="BJ54" s="747"/>
      <c r="BK54" s="747"/>
      <c r="BL54" s="747"/>
      <c r="BM54" s="747"/>
      <c r="BN54" s="747"/>
      <c r="BO54" s="747"/>
      <c r="BP54" s="747"/>
      <c r="BQ54" s="747"/>
      <c r="BR54" s="747"/>
      <c r="BS54" s="747"/>
      <c r="BT54" s="747"/>
      <c r="BU54" s="747"/>
      <c r="BV54" s="747"/>
      <c r="BW54" s="747"/>
      <c r="BX54" s="747"/>
      <c r="BY54" s="747"/>
      <c r="BZ54" s="747"/>
      <c r="CA54" s="747"/>
      <c r="CB54" s="747"/>
      <c r="CC54" s="747"/>
      <c r="CD54" s="747"/>
      <c r="CE54" s="747"/>
      <c r="CF54" s="747"/>
      <c r="CG54" s="747"/>
      <c r="CH54" s="747"/>
      <c r="CI54" s="747"/>
      <c r="CJ54" s="747"/>
      <c r="CK54" s="747"/>
      <c r="CL54" s="747"/>
      <c r="CM54" s="747"/>
      <c r="CN54" s="747"/>
      <c r="CO54" s="747"/>
      <c r="CP54" s="747"/>
      <c r="CQ54" s="747"/>
      <c r="CR54" s="747"/>
      <c r="CS54" s="747"/>
      <c r="CT54" s="747"/>
      <c r="CU54" s="747"/>
      <c r="CV54" s="747"/>
      <c r="CW54" s="747"/>
      <c r="CX54" s="747"/>
      <c r="CY54" s="747"/>
      <c r="CZ54" s="747"/>
      <c r="DA54" s="747"/>
      <c r="DB54" s="747"/>
      <c r="DC54" s="747"/>
      <c r="DD54" s="747"/>
      <c r="DE54" s="747"/>
      <c r="DF54" s="747"/>
      <c r="DG54" s="747"/>
      <c r="DH54" s="747"/>
      <c r="DI54" s="747"/>
      <c r="DJ54" s="747"/>
      <c r="DK54" s="747"/>
      <c r="DL54" s="747"/>
      <c r="DM54" s="747"/>
      <c r="DN54" s="747"/>
      <c r="DO54" s="747"/>
      <c r="DP54" s="747"/>
      <c r="DQ54" s="747"/>
      <c r="DR54" s="747"/>
      <c r="DS54" s="747"/>
      <c r="DT54" s="747"/>
      <c r="DU54" s="747"/>
      <c r="DV54" s="747"/>
      <c r="DW54" s="747"/>
      <c r="DX54" s="747"/>
      <c r="DY54" s="747"/>
      <c r="DZ54" s="747"/>
      <c r="EA54" s="747"/>
      <c r="EB54" s="747"/>
      <c r="EC54" s="747"/>
      <c r="ED54" s="747"/>
      <c r="EE54" s="747"/>
      <c r="EF54" s="747"/>
      <c r="EG54" s="747"/>
      <c r="EH54" s="747"/>
      <c r="EI54" s="747"/>
      <c r="EJ54" s="747"/>
      <c r="EK54" s="747"/>
      <c r="EL54" s="747"/>
      <c r="EM54" s="747"/>
      <c r="EN54" s="747"/>
      <c r="EO54" s="747"/>
      <c r="EP54" s="747"/>
      <c r="EQ54" s="747"/>
      <c r="ER54" s="747"/>
      <c r="ES54" s="747"/>
      <c r="ET54" s="747"/>
      <c r="EU54" s="747"/>
      <c r="EV54" s="747"/>
      <c r="EW54" s="747"/>
      <c r="EX54" s="747"/>
      <c r="EY54" s="747"/>
      <c r="EZ54" s="747"/>
      <c r="FA54" s="747"/>
      <c r="FB54" s="747"/>
      <c r="FC54" s="747"/>
      <c r="FD54" s="747"/>
      <c r="FE54" s="747"/>
      <c r="FF54" s="747"/>
      <c r="FG54" s="747"/>
      <c r="FH54" s="747"/>
      <c r="FI54" s="747"/>
      <c r="FJ54" s="747"/>
      <c r="FK54" s="747"/>
      <c r="FL54" s="747"/>
      <c r="FM54" s="747"/>
      <c r="FN54" s="747"/>
      <c r="FO54" s="747"/>
      <c r="FP54" s="747"/>
      <c r="FQ54" s="747"/>
      <c r="FR54" s="747"/>
      <c r="FS54" s="747"/>
      <c r="FT54" s="747"/>
      <c r="FU54" s="747"/>
      <c r="FV54" s="747"/>
      <c r="FW54" s="747"/>
      <c r="FX54" s="747"/>
      <c r="FY54" s="747"/>
      <c r="FZ54" s="747"/>
      <c r="GA54" s="747"/>
      <c r="GB54" s="747"/>
      <c r="GC54" s="747"/>
      <c r="GD54" s="747"/>
      <c r="GE54" s="747"/>
      <c r="GF54" s="747"/>
      <c r="GG54" s="747"/>
      <c r="GH54" s="747"/>
      <c r="GI54" s="747"/>
      <c r="GJ54" s="747"/>
    </row>
    <row r="55" spans="1:202" ht="18" customHeight="1">
      <c r="A55" s="758"/>
      <c r="B55" s="700" t="s">
        <v>738</v>
      </c>
      <c r="C55" s="687">
        <f>SUM(E55:BF55)</f>
        <v>1035</v>
      </c>
      <c r="D55" s="698"/>
      <c r="E55" s="697">
        <f>E50/8*$D$51</f>
        <v>0</v>
      </c>
      <c r="F55" s="697">
        <f t="shared" ref="F55:H55" si="158">F50/8*$D$51</f>
        <v>0</v>
      </c>
      <c r="G55" s="697">
        <f t="shared" si="158"/>
        <v>0</v>
      </c>
      <c r="H55" s="697">
        <f t="shared" si="158"/>
        <v>255</v>
      </c>
      <c r="I55" s="698"/>
      <c r="J55" s="697">
        <f>(H50+J50)/8*$D$51</f>
        <v>510</v>
      </c>
      <c r="K55" s="697">
        <f>(J50+K50)/8*$D$51</f>
        <v>262.5</v>
      </c>
      <c r="L55" s="697">
        <f t="shared" ref="L55:M55" si="159">(K50+L50)/8*$D$51</f>
        <v>7.5</v>
      </c>
      <c r="M55" s="697">
        <f t="shared" si="159"/>
        <v>0</v>
      </c>
      <c r="N55" s="698"/>
      <c r="O55" s="697">
        <f>(M50+O50)/8*$D$51</f>
        <v>0</v>
      </c>
      <c r="P55" s="697">
        <f>(O50+P50)/8*$D$51</f>
        <v>0</v>
      </c>
      <c r="Q55" s="697">
        <f t="shared" ref="Q55:R55" si="160">(P50+Q50)/8*$D$51</f>
        <v>0</v>
      </c>
      <c r="R55" s="697">
        <f t="shared" si="160"/>
        <v>0</v>
      </c>
      <c r="S55" s="698"/>
      <c r="T55" s="697">
        <f>(R50+T50)/8*$D$51</f>
        <v>0</v>
      </c>
      <c r="U55" s="697">
        <f>(T50+U50)/8*$D$51</f>
        <v>0</v>
      </c>
      <c r="V55" s="697">
        <f t="shared" ref="V55:W55" si="161">(U50+V50)/8*$D$51</f>
        <v>0</v>
      </c>
      <c r="W55" s="697">
        <f t="shared" si="161"/>
        <v>0</v>
      </c>
      <c r="X55" s="698"/>
      <c r="Y55" s="697">
        <f>(W50+Y50)/8*$D$51</f>
        <v>0</v>
      </c>
      <c r="Z55" s="697">
        <f>(Y50+Z50)/8*$D$51</f>
        <v>0</v>
      </c>
      <c r="AA55" s="697">
        <f t="shared" ref="AA55:AB55" si="162">(Z50+AA50)/8*$D$51</f>
        <v>0</v>
      </c>
      <c r="AB55" s="697">
        <f t="shared" si="162"/>
        <v>0</v>
      </c>
      <c r="AC55" s="698"/>
      <c r="AD55" s="697">
        <f>(AB50+AD50)/8*$D$51</f>
        <v>0</v>
      </c>
      <c r="AE55" s="697">
        <f>(AD50+AE50)/8*$D$51</f>
        <v>0</v>
      </c>
      <c r="AF55" s="697">
        <f t="shared" ref="AF55:AG55" si="163">(AE50+AF50)/8*$D$51</f>
        <v>0</v>
      </c>
      <c r="AG55" s="697">
        <f t="shared" si="163"/>
        <v>0</v>
      </c>
      <c r="AH55" s="698"/>
      <c r="AI55" s="697">
        <f>(AG50+AI50)/8*$D$51</f>
        <v>0</v>
      </c>
      <c r="AJ55" s="697">
        <f>(AI50+AJ50)/8*$D$51</f>
        <v>0</v>
      </c>
      <c r="AK55" s="697">
        <f t="shared" ref="AK55:AL55" si="164">(AJ50+AK50)/8*$D$51</f>
        <v>0</v>
      </c>
      <c r="AL55" s="697">
        <f t="shared" si="164"/>
        <v>0</v>
      </c>
      <c r="AM55" s="698"/>
      <c r="AN55" s="697">
        <f>(AL50+AN50)/8*$D$51</f>
        <v>0</v>
      </c>
      <c r="AO55" s="697">
        <f>(AN50+AO50)/8*$D$51</f>
        <v>0</v>
      </c>
      <c r="AP55" s="697">
        <f t="shared" ref="AP55:AQ55" si="165">(AO50+AP50)/8*$D$51</f>
        <v>0</v>
      </c>
      <c r="AQ55" s="697">
        <f t="shared" si="165"/>
        <v>0</v>
      </c>
      <c r="AR55" s="698"/>
      <c r="AS55" s="697">
        <f>(AQ50+AS50)/8*$D$51</f>
        <v>0</v>
      </c>
      <c r="AT55" s="697">
        <f>(AS50+AT50)/8*$D$51</f>
        <v>0</v>
      </c>
      <c r="AU55" s="697">
        <f t="shared" ref="AU55:AV55" si="166">(AT50+AU50)/8*$D$51</f>
        <v>0</v>
      </c>
      <c r="AV55" s="697">
        <f t="shared" si="166"/>
        <v>0</v>
      </c>
      <c r="AW55" s="698"/>
      <c r="AX55" s="697">
        <f>(AV50+AX50)/8*$D$51</f>
        <v>0</v>
      </c>
      <c r="AY55" s="697">
        <f>(AX50+AY50)/8*$D$51</f>
        <v>0</v>
      </c>
      <c r="AZ55" s="697">
        <f t="shared" ref="AZ55:BA55" si="167">(AY50+AZ50)/8*$D$51</f>
        <v>0</v>
      </c>
      <c r="BA55" s="697">
        <f t="shared" si="167"/>
        <v>0</v>
      </c>
      <c r="BB55" s="698"/>
      <c r="BC55" s="697">
        <f>(BA50+BC50)/8*$D$51</f>
        <v>0</v>
      </c>
      <c r="BD55" s="697">
        <f>(BC50+BD50)/8*$D$51</f>
        <v>0</v>
      </c>
      <c r="BE55" s="697">
        <f t="shared" ref="BE55:BF55" si="168">(BD50+BE50)/8*$D$51</f>
        <v>0</v>
      </c>
      <c r="BF55" s="697">
        <f t="shared" si="168"/>
        <v>0</v>
      </c>
      <c r="BG55" s="747"/>
      <c r="BH55" s="747"/>
      <c r="BI55" s="747"/>
      <c r="BJ55" s="747"/>
      <c r="BK55" s="747"/>
      <c r="BL55" s="747"/>
      <c r="BM55" s="747"/>
      <c r="BN55" s="747"/>
      <c r="BO55" s="747"/>
      <c r="BP55" s="747"/>
      <c r="BQ55" s="747"/>
      <c r="BR55" s="747"/>
      <c r="BS55" s="747"/>
      <c r="BT55" s="747"/>
      <c r="BU55" s="747"/>
      <c r="BV55" s="747"/>
      <c r="BW55" s="747"/>
      <c r="BX55" s="747"/>
      <c r="BY55" s="747"/>
      <c r="BZ55" s="747"/>
      <c r="CA55" s="747"/>
      <c r="CB55" s="747"/>
      <c r="CC55" s="747"/>
      <c r="CD55" s="747"/>
      <c r="CE55" s="747"/>
      <c r="CF55" s="747"/>
      <c r="CG55" s="747"/>
      <c r="CH55" s="747"/>
      <c r="CI55" s="747"/>
      <c r="CJ55" s="747"/>
      <c r="CK55" s="747"/>
      <c r="CL55" s="747"/>
      <c r="CM55" s="747"/>
      <c r="CN55" s="747"/>
      <c r="CO55" s="747"/>
      <c r="CP55" s="747"/>
      <c r="CQ55" s="747"/>
      <c r="CR55" s="747"/>
      <c r="CS55" s="747"/>
      <c r="CT55" s="747"/>
      <c r="CU55" s="747"/>
      <c r="CV55" s="747"/>
      <c r="CW55" s="747"/>
      <c r="CX55" s="747"/>
      <c r="CY55" s="747"/>
      <c r="CZ55" s="747"/>
      <c r="DA55" s="747"/>
      <c r="DB55" s="747"/>
      <c r="DC55" s="747"/>
      <c r="DD55" s="747"/>
      <c r="DE55" s="747"/>
      <c r="DF55" s="747"/>
      <c r="DG55" s="747"/>
      <c r="DH55" s="747"/>
      <c r="DI55" s="747"/>
      <c r="DJ55" s="747"/>
      <c r="DK55" s="747"/>
      <c r="DL55" s="747"/>
      <c r="DM55" s="747"/>
      <c r="DN55" s="747"/>
      <c r="DO55" s="747"/>
      <c r="DP55" s="747"/>
      <c r="DQ55" s="747"/>
      <c r="DR55" s="747"/>
      <c r="DS55" s="747"/>
      <c r="DT55" s="747"/>
      <c r="DU55" s="747"/>
      <c r="DV55" s="747"/>
      <c r="DW55" s="747"/>
      <c r="DX55" s="747"/>
      <c r="DY55" s="747"/>
      <c r="DZ55" s="747"/>
      <c r="EA55" s="747"/>
      <c r="EB55" s="747"/>
      <c r="EC55" s="747"/>
      <c r="ED55" s="747"/>
      <c r="EE55" s="747"/>
      <c r="EF55" s="747"/>
      <c r="EG55" s="747"/>
      <c r="EH55" s="747"/>
      <c r="EI55" s="747"/>
      <c r="EJ55" s="747"/>
      <c r="EK55" s="747"/>
      <c r="EL55" s="747"/>
      <c r="EM55" s="747"/>
      <c r="EN55" s="747"/>
      <c r="EO55" s="747"/>
      <c r="EP55" s="747"/>
      <c r="EQ55" s="747"/>
      <c r="ER55" s="747"/>
      <c r="ES55" s="747"/>
      <c r="ET55" s="747"/>
      <c r="EU55" s="747"/>
      <c r="EV55" s="747"/>
      <c r="EW55" s="747"/>
      <c r="EX55" s="747"/>
      <c r="EY55" s="747"/>
      <c r="EZ55" s="747"/>
      <c r="FA55" s="747"/>
      <c r="FB55" s="747"/>
      <c r="FC55" s="747"/>
      <c r="FD55" s="747"/>
      <c r="FE55" s="747"/>
      <c r="FF55" s="747"/>
      <c r="FG55" s="747"/>
      <c r="FH55" s="747"/>
      <c r="FI55" s="747"/>
      <c r="FJ55" s="747"/>
      <c r="FK55" s="747"/>
      <c r="FL55" s="747"/>
      <c r="FM55" s="747"/>
      <c r="FN55" s="747"/>
      <c r="FO55" s="747"/>
      <c r="FP55" s="747"/>
      <c r="FQ55" s="747"/>
      <c r="FR55" s="747"/>
      <c r="FS55" s="747"/>
      <c r="FT55" s="747"/>
      <c r="FU55" s="747"/>
      <c r="FV55" s="747"/>
      <c r="FW55" s="747"/>
      <c r="FX55" s="747"/>
      <c r="FY55" s="747"/>
      <c r="FZ55" s="747"/>
      <c r="GA55" s="747"/>
      <c r="GB55" s="747"/>
      <c r="GC55" s="747"/>
      <c r="GD55" s="747"/>
      <c r="GE55" s="747"/>
      <c r="GF55" s="747"/>
      <c r="GG55" s="747"/>
      <c r="GH55" s="747"/>
      <c r="GI55" s="747"/>
      <c r="GJ55" s="747"/>
    </row>
    <row r="56" spans="1:202" ht="18" customHeight="1" thickBot="1">
      <c r="A56" s="758"/>
      <c r="B56" s="709" t="s">
        <v>739</v>
      </c>
      <c r="C56" s="817">
        <f ca="1">C46-C53</f>
        <v>957.46390231113401</v>
      </c>
      <c r="D56" s="817"/>
      <c r="E56" s="817">
        <f ca="1">E46+E48+E51-E49-E52-E53</f>
        <v>0</v>
      </c>
      <c r="F56" s="817">
        <f t="shared" ref="F56:BF56" ca="1" si="169">F46+F48+F51-F49-F52-F53</f>
        <v>0</v>
      </c>
      <c r="G56" s="817">
        <f t="shared" ca="1" si="169"/>
        <v>40.5</v>
      </c>
      <c r="H56" s="817">
        <f t="shared" ca="1" si="169"/>
        <v>-12745.495015351291</v>
      </c>
      <c r="I56" s="817"/>
      <c r="J56" s="817">
        <f t="shared" ca="1" si="169"/>
        <v>-4248.4085148745253</v>
      </c>
      <c r="K56" s="817">
        <f t="shared" ca="1" si="169"/>
        <v>-350.53585363236925</v>
      </c>
      <c r="L56" s="817">
        <f t="shared" ca="1" si="169"/>
        <v>813.70432128574635</v>
      </c>
      <c r="M56" s="817">
        <f t="shared" ca="1" si="169"/>
        <v>9901.3438891120495</v>
      </c>
      <c r="N56" s="817"/>
      <c r="O56" s="817">
        <f t="shared" ca="1" si="169"/>
        <v>-61.339084970746626</v>
      </c>
      <c r="P56" s="817">
        <f t="shared" ca="1" si="169"/>
        <v>4210.9176763253236</v>
      </c>
      <c r="Q56" s="817">
        <f t="shared" ca="1" si="169"/>
        <v>1614.0481140318147</v>
      </c>
      <c r="R56" s="817">
        <f t="shared" ca="1" si="169"/>
        <v>-10070.33143030214</v>
      </c>
      <c r="S56" s="817"/>
      <c r="T56" s="817">
        <f t="shared" ca="1" si="169"/>
        <v>-1401.2333006110475</v>
      </c>
      <c r="U56" s="817">
        <f t="shared" ca="1" si="169"/>
        <v>-1567.2858800000001</v>
      </c>
      <c r="V56" s="817">
        <f t="shared" ca="1" si="169"/>
        <v>-1187.6775800000003</v>
      </c>
      <c r="W56" s="817">
        <f t="shared" ca="1" si="169"/>
        <v>0</v>
      </c>
      <c r="X56" s="817"/>
      <c r="Y56" s="817">
        <f t="shared" ca="1" si="169"/>
        <v>0</v>
      </c>
      <c r="Z56" s="817">
        <f t="shared" ca="1" si="169"/>
        <v>0</v>
      </c>
      <c r="AA56" s="817">
        <f t="shared" ca="1" si="169"/>
        <v>-592.85636800000009</v>
      </c>
      <c r="AB56" s="817">
        <f t="shared" ca="1" si="169"/>
        <v>-889.28455199999996</v>
      </c>
      <c r="AC56" s="817"/>
      <c r="AD56" s="817">
        <f t="shared" ca="1" si="169"/>
        <v>0</v>
      </c>
      <c r="AE56" s="817">
        <f t="shared" ca="1" si="169"/>
        <v>0</v>
      </c>
      <c r="AF56" s="817">
        <f t="shared" ca="1" si="169"/>
        <v>0</v>
      </c>
      <c r="AG56" s="817">
        <f t="shared" ca="1" si="169"/>
        <v>0</v>
      </c>
      <c r="AH56" s="817"/>
      <c r="AI56" s="817">
        <f t="shared" ca="1" si="169"/>
        <v>0</v>
      </c>
      <c r="AJ56" s="817">
        <f t="shared" ca="1" si="169"/>
        <v>0</v>
      </c>
      <c r="AK56" s="817">
        <f t="shared" ca="1" si="169"/>
        <v>0</v>
      </c>
      <c r="AL56" s="817">
        <f t="shared" ca="1" si="169"/>
        <v>0</v>
      </c>
      <c r="AM56" s="817"/>
      <c r="AN56" s="817">
        <f t="shared" ca="1" si="169"/>
        <v>0</v>
      </c>
      <c r="AO56" s="817">
        <f t="shared" ca="1" si="169"/>
        <v>0</v>
      </c>
      <c r="AP56" s="817">
        <f t="shared" ca="1" si="169"/>
        <v>0</v>
      </c>
      <c r="AQ56" s="817">
        <f t="shared" ca="1" si="169"/>
        <v>0</v>
      </c>
      <c r="AR56" s="817"/>
      <c r="AS56" s="817">
        <f t="shared" ca="1" si="169"/>
        <v>0</v>
      </c>
      <c r="AT56" s="817">
        <f t="shared" ca="1" si="169"/>
        <v>0</v>
      </c>
      <c r="AU56" s="817">
        <f t="shared" ca="1" si="169"/>
        <v>0</v>
      </c>
      <c r="AV56" s="817">
        <f t="shared" ca="1" si="169"/>
        <v>0</v>
      </c>
      <c r="AW56" s="817"/>
      <c r="AX56" s="817">
        <f t="shared" ca="1" si="169"/>
        <v>0</v>
      </c>
      <c r="AY56" s="817">
        <f t="shared" ca="1" si="169"/>
        <v>0</v>
      </c>
      <c r="AZ56" s="817">
        <f t="shared" ca="1" si="169"/>
        <v>0</v>
      </c>
      <c r="BA56" s="817">
        <f t="shared" ca="1" si="169"/>
        <v>0</v>
      </c>
      <c r="BB56" s="817"/>
      <c r="BC56" s="817">
        <f t="shared" ca="1" si="169"/>
        <v>0</v>
      </c>
      <c r="BD56" s="817">
        <f t="shared" ca="1" si="169"/>
        <v>0</v>
      </c>
      <c r="BE56" s="817">
        <f t="shared" ca="1" si="169"/>
        <v>0</v>
      </c>
      <c r="BF56" s="817">
        <f t="shared" ca="1" si="169"/>
        <v>0</v>
      </c>
      <c r="BG56" s="747"/>
      <c r="BH56" s="747"/>
      <c r="BI56" s="747"/>
      <c r="BJ56" s="747"/>
      <c r="BK56" s="747"/>
      <c r="BL56" s="747"/>
      <c r="BM56" s="747"/>
      <c r="BN56" s="747"/>
      <c r="BO56" s="747"/>
      <c r="BP56" s="747"/>
      <c r="BQ56" s="747"/>
      <c r="BR56" s="747"/>
      <c r="BS56" s="747"/>
      <c r="BT56" s="747"/>
      <c r="BU56" s="747"/>
      <c r="BV56" s="747"/>
      <c r="BW56" s="747"/>
      <c r="BX56" s="747"/>
      <c r="BY56" s="747"/>
      <c r="BZ56" s="747"/>
      <c r="CA56" s="747"/>
      <c r="CB56" s="747"/>
      <c r="CC56" s="747"/>
      <c r="CD56" s="747"/>
      <c r="CE56" s="747"/>
      <c r="CF56" s="747"/>
      <c r="CG56" s="747"/>
      <c r="CH56" s="747"/>
      <c r="CI56" s="747"/>
      <c r="CJ56" s="747"/>
      <c r="CK56" s="747"/>
      <c r="CL56" s="747"/>
      <c r="CM56" s="747"/>
      <c r="CN56" s="747"/>
      <c r="CO56" s="747"/>
      <c r="CP56" s="747"/>
      <c r="CQ56" s="747"/>
      <c r="CR56" s="747"/>
      <c r="CS56" s="747"/>
      <c r="CT56" s="747"/>
      <c r="CU56" s="747"/>
      <c r="CV56" s="747"/>
      <c r="CW56" s="747"/>
      <c r="CX56" s="747"/>
      <c r="CY56" s="747"/>
      <c r="CZ56" s="747"/>
      <c r="DA56" s="747"/>
      <c r="DB56" s="747"/>
      <c r="DC56" s="747"/>
      <c r="DD56" s="747"/>
      <c r="DE56" s="747"/>
      <c r="DF56" s="747"/>
      <c r="DG56" s="747"/>
      <c r="DH56" s="747"/>
      <c r="DI56" s="747"/>
      <c r="DJ56" s="747"/>
      <c r="DK56" s="747"/>
      <c r="DL56" s="747"/>
      <c r="DM56" s="747"/>
      <c r="DN56" s="747"/>
      <c r="DO56" s="747"/>
      <c r="DP56" s="747"/>
      <c r="DQ56" s="747"/>
      <c r="DR56" s="747"/>
      <c r="DS56" s="747"/>
      <c r="DT56" s="747"/>
      <c r="DU56" s="747"/>
      <c r="DV56" s="747"/>
      <c r="DW56" s="747"/>
      <c r="DX56" s="747"/>
      <c r="DY56" s="747"/>
      <c r="DZ56" s="747"/>
      <c r="EA56" s="747"/>
      <c r="EB56" s="747"/>
      <c r="EC56" s="747"/>
      <c r="ED56" s="747"/>
      <c r="EE56" s="747"/>
      <c r="EF56" s="747"/>
      <c r="EG56" s="747"/>
      <c r="EH56" s="747"/>
      <c r="EI56" s="747"/>
      <c r="EJ56" s="747"/>
      <c r="EK56" s="747"/>
      <c r="EL56" s="747"/>
      <c r="EM56" s="747"/>
      <c r="EN56" s="747"/>
      <c r="EO56" s="747"/>
      <c r="EP56" s="747"/>
      <c r="EQ56" s="747"/>
      <c r="ER56" s="747"/>
      <c r="ES56" s="747"/>
      <c r="ET56" s="747"/>
      <c r="EU56" s="747"/>
      <c r="EV56" s="747"/>
      <c r="EW56" s="747"/>
      <c r="EX56" s="747"/>
      <c r="EY56" s="747"/>
      <c r="EZ56" s="747"/>
      <c r="FA56" s="747"/>
      <c r="FB56" s="747"/>
      <c r="FC56" s="747"/>
      <c r="FD56" s="747"/>
      <c r="FE56" s="747"/>
      <c r="FF56" s="747"/>
      <c r="FG56" s="747"/>
      <c r="FH56" s="747"/>
      <c r="FI56" s="747"/>
      <c r="FJ56" s="747"/>
      <c r="FK56" s="747"/>
      <c r="FL56" s="747"/>
      <c r="FM56" s="747"/>
      <c r="FN56" s="747"/>
      <c r="FO56" s="747"/>
      <c r="FP56" s="747"/>
      <c r="FQ56" s="747"/>
      <c r="FR56" s="747"/>
      <c r="FS56" s="747"/>
      <c r="FT56" s="747"/>
      <c r="FU56" s="747"/>
      <c r="FV56" s="747"/>
      <c r="FW56" s="747"/>
      <c r="FX56" s="747"/>
      <c r="FY56" s="747"/>
      <c r="FZ56" s="747"/>
      <c r="GA56" s="747"/>
      <c r="GB56" s="747"/>
      <c r="GC56" s="747"/>
      <c r="GD56" s="747"/>
      <c r="GE56" s="747"/>
      <c r="GF56" s="747"/>
      <c r="GG56" s="747"/>
      <c r="GH56" s="747"/>
      <c r="GI56" s="747"/>
      <c r="GJ56" s="747"/>
    </row>
    <row r="57" spans="1:202" ht="18" customHeight="1" thickBot="1">
      <c r="A57" s="758"/>
      <c r="B57" s="709" t="s">
        <v>740</v>
      </c>
      <c r="C57" s="711">
        <f ca="1">BF57</f>
        <v>-16533.933578987184</v>
      </c>
      <c r="D57" s="711"/>
      <c r="E57" s="711">
        <f ca="1">E56</f>
        <v>0</v>
      </c>
      <c r="F57" s="711">
        <f ca="1">E57+F56</f>
        <v>0</v>
      </c>
      <c r="G57" s="711">
        <f t="shared" ref="G57:H57" ca="1" si="170">F57+G56</f>
        <v>40.5</v>
      </c>
      <c r="H57" s="711">
        <f t="shared" ca="1" si="170"/>
        <v>-12704.995015351291</v>
      </c>
      <c r="I57" s="711"/>
      <c r="J57" s="711">
        <f ca="1">H57+J56</f>
        <v>-16953.403530225816</v>
      </c>
      <c r="K57" s="711">
        <f ca="1">J57+K56</f>
        <v>-17303.939383858185</v>
      </c>
      <c r="L57" s="711">
        <f t="shared" ref="L57:M57" ca="1" si="171">K57+L56</f>
        <v>-16490.235062572439</v>
      </c>
      <c r="M57" s="711">
        <f t="shared" ca="1" si="171"/>
        <v>-6588.8911734603898</v>
      </c>
      <c r="N57" s="711"/>
      <c r="O57" s="711">
        <f ca="1">M57+O56</f>
        <v>-6650.2302584311365</v>
      </c>
      <c r="P57" s="711">
        <f ca="1">O57+P56</f>
        <v>-2439.3125821058129</v>
      </c>
      <c r="Q57" s="711">
        <f t="shared" ref="Q57:R57" ca="1" si="172">P57+Q56</f>
        <v>-825.26446807399816</v>
      </c>
      <c r="R57" s="711">
        <f t="shared" ca="1" si="172"/>
        <v>-10895.595898376137</v>
      </c>
      <c r="S57" s="711"/>
      <c r="T57" s="711">
        <f ca="1">R57+T56</f>
        <v>-12296.829198987185</v>
      </c>
      <c r="U57" s="711">
        <f ca="1">T57+U56</f>
        <v>-13864.115078987184</v>
      </c>
      <c r="V57" s="711">
        <f t="shared" ref="V57:W57" ca="1" si="173">U57+V56</f>
        <v>-15051.792658987184</v>
      </c>
      <c r="W57" s="711">
        <f t="shared" ca="1" si="173"/>
        <v>-15051.792658987184</v>
      </c>
      <c r="X57" s="711"/>
      <c r="Y57" s="711">
        <f ca="1">W57+Y56</f>
        <v>-15051.792658987184</v>
      </c>
      <c r="Z57" s="711">
        <f ca="1">Y57+Z56</f>
        <v>-15051.792658987184</v>
      </c>
      <c r="AA57" s="711">
        <f t="shared" ref="AA57:AB57" ca="1" si="174">Z57+AA56</f>
        <v>-15644.649026987185</v>
      </c>
      <c r="AB57" s="711">
        <f t="shared" ca="1" si="174"/>
        <v>-16533.933578987184</v>
      </c>
      <c r="AC57" s="711"/>
      <c r="AD57" s="711">
        <f ca="1">AB57+AD56</f>
        <v>-16533.933578987184</v>
      </c>
      <c r="AE57" s="711">
        <f ca="1">AD57+AE56</f>
        <v>-16533.933578987184</v>
      </c>
      <c r="AF57" s="711">
        <f t="shared" ref="AF57:AG57" ca="1" si="175">AE57+AF56</f>
        <v>-16533.933578987184</v>
      </c>
      <c r="AG57" s="711">
        <f t="shared" ca="1" si="175"/>
        <v>-16533.933578987184</v>
      </c>
      <c r="AH57" s="711"/>
      <c r="AI57" s="711">
        <f ca="1">AG57+AI56</f>
        <v>-16533.933578987184</v>
      </c>
      <c r="AJ57" s="711">
        <f ca="1">AI57+AJ56</f>
        <v>-16533.933578987184</v>
      </c>
      <c r="AK57" s="711">
        <f t="shared" ref="AK57:AL57" ca="1" si="176">AJ57+AK56</f>
        <v>-16533.933578987184</v>
      </c>
      <c r="AL57" s="711">
        <f t="shared" ca="1" si="176"/>
        <v>-16533.933578987184</v>
      </c>
      <c r="AM57" s="711"/>
      <c r="AN57" s="711">
        <f ca="1">AL57+AN56</f>
        <v>-16533.933578987184</v>
      </c>
      <c r="AO57" s="711">
        <f ca="1">AN57+AO56</f>
        <v>-16533.933578987184</v>
      </c>
      <c r="AP57" s="711">
        <f t="shared" ref="AP57:AQ57" ca="1" si="177">AO57+AP56</f>
        <v>-16533.933578987184</v>
      </c>
      <c r="AQ57" s="711">
        <f t="shared" ca="1" si="177"/>
        <v>-16533.933578987184</v>
      </c>
      <c r="AR57" s="711"/>
      <c r="AS57" s="711">
        <f ca="1">AQ57+AS56</f>
        <v>-16533.933578987184</v>
      </c>
      <c r="AT57" s="711">
        <f ca="1">AS57+AT56</f>
        <v>-16533.933578987184</v>
      </c>
      <c r="AU57" s="711">
        <f t="shared" ref="AU57:AV57" ca="1" si="178">AT57+AU56</f>
        <v>-16533.933578987184</v>
      </c>
      <c r="AV57" s="711">
        <f t="shared" ca="1" si="178"/>
        <v>-16533.933578987184</v>
      </c>
      <c r="AW57" s="711"/>
      <c r="AX57" s="711">
        <f ca="1">AV57+AX56</f>
        <v>-16533.933578987184</v>
      </c>
      <c r="AY57" s="711">
        <f ca="1">AX57+AY56</f>
        <v>-16533.933578987184</v>
      </c>
      <c r="AZ57" s="711">
        <f t="shared" ref="AZ57:BA57" ca="1" si="179">AY57+AZ56</f>
        <v>-16533.933578987184</v>
      </c>
      <c r="BA57" s="711">
        <f t="shared" ca="1" si="179"/>
        <v>-16533.933578987184</v>
      </c>
      <c r="BB57" s="711"/>
      <c r="BC57" s="711">
        <f ca="1">BA57+BC56</f>
        <v>-16533.933578987184</v>
      </c>
      <c r="BD57" s="711">
        <f ca="1">BC57+BD56</f>
        <v>-16533.933578987184</v>
      </c>
      <c r="BE57" s="711">
        <f t="shared" ref="BE57:BF57" ca="1" si="180">BD57+BE56</f>
        <v>-16533.933578987184</v>
      </c>
      <c r="BF57" s="711">
        <f t="shared" ca="1" si="180"/>
        <v>-16533.933578987184</v>
      </c>
      <c r="BG57" s="747"/>
      <c r="BH57" s="747"/>
      <c r="BI57" s="747"/>
      <c r="BJ57" s="747"/>
      <c r="BK57" s="747"/>
      <c r="BL57" s="747"/>
      <c r="BM57" s="747"/>
      <c r="BN57" s="747"/>
      <c r="BO57" s="747"/>
      <c r="BP57" s="747"/>
      <c r="BQ57" s="747"/>
      <c r="BR57" s="747"/>
      <c r="BS57" s="747"/>
      <c r="BT57" s="747"/>
      <c r="BU57" s="747"/>
      <c r="BV57" s="747"/>
      <c r="BW57" s="747"/>
      <c r="BX57" s="747"/>
      <c r="BY57" s="747"/>
      <c r="BZ57" s="747"/>
      <c r="CA57" s="747"/>
      <c r="CB57" s="747"/>
      <c r="CC57" s="747"/>
      <c r="CD57" s="747"/>
      <c r="CE57" s="747"/>
      <c r="CF57" s="747"/>
      <c r="CG57" s="747"/>
      <c r="CH57" s="747"/>
      <c r="CI57" s="747"/>
      <c r="CJ57" s="747"/>
      <c r="CK57" s="747"/>
      <c r="CL57" s="747"/>
      <c r="CM57" s="747"/>
      <c r="CN57" s="747"/>
      <c r="CO57" s="747"/>
      <c r="CP57" s="747"/>
      <c r="CQ57" s="747"/>
      <c r="CR57" s="747"/>
      <c r="CS57" s="747"/>
      <c r="CT57" s="747"/>
      <c r="CU57" s="747"/>
      <c r="CV57" s="747"/>
      <c r="CW57" s="747"/>
      <c r="CX57" s="747"/>
      <c r="CY57" s="747"/>
      <c r="CZ57" s="747"/>
      <c r="DA57" s="747"/>
      <c r="DB57" s="747"/>
      <c r="DC57" s="747"/>
      <c r="DD57" s="747"/>
      <c r="DE57" s="747"/>
      <c r="DF57" s="747"/>
      <c r="DG57" s="747"/>
      <c r="DH57" s="747"/>
      <c r="DI57" s="747"/>
      <c r="DJ57" s="747"/>
      <c r="DK57" s="747"/>
      <c r="DL57" s="747"/>
      <c r="DM57" s="747"/>
      <c r="DN57" s="747"/>
      <c r="DO57" s="747"/>
      <c r="DP57" s="747"/>
      <c r="DQ57" s="747"/>
      <c r="DR57" s="747"/>
      <c r="DS57" s="747"/>
      <c r="DT57" s="747"/>
      <c r="DU57" s="747"/>
      <c r="DV57" s="747"/>
      <c r="DW57" s="747"/>
      <c r="DX57" s="747"/>
      <c r="DY57" s="747"/>
      <c r="DZ57" s="747"/>
      <c r="EA57" s="747"/>
      <c r="EB57" s="747"/>
      <c r="EC57" s="747"/>
      <c r="ED57" s="747"/>
      <c r="EE57" s="747"/>
      <c r="EF57" s="747"/>
      <c r="EG57" s="747"/>
      <c r="EH57" s="747"/>
      <c r="EI57" s="747"/>
      <c r="EJ57" s="747"/>
      <c r="EK57" s="747"/>
      <c r="EL57" s="747"/>
      <c r="EM57" s="747"/>
      <c r="EN57" s="747"/>
      <c r="EO57" s="747"/>
      <c r="EP57" s="747"/>
      <c r="EQ57" s="747"/>
      <c r="ER57" s="747"/>
      <c r="ES57" s="747"/>
      <c r="ET57" s="747"/>
      <c r="EU57" s="747"/>
      <c r="EV57" s="747"/>
      <c r="EW57" s="747"/>
      <c r="EX57" s="747"/>
      <c r="EY57" s="747"/>
      <c r="EZ57" s="747"/>
      <c r="FA57" s="747"/>
      <c r="FB57" s="747"/>
      <c r="FC57" s="747"/>
      <c r="FD57" s="747"/>
      <c r="FE57" s="747"/>
      <c r="FF57" s="747"/>
      <c r="FG57" s="747"/>
      <c r="FH57" s="747"/>
      <c r="FI57" s="747"/>
      <c r="FJ57" s="747"/>
      <c r="FK57" s="747"/>
      <c r="FL57" s="747"/>
      <c r="FM57" s="747"/>
      <c r="FN57" s="747"/>
      <c r="FO57" s="747"/>
      <c r="FP57" s="747"/>
      <c r="FQ57" s="747"/>
      <c r="FR57" s="747"/>
      <c r="FS57" s="747"/>
      <c r="FT57" s="747"/>
      <c r="FU57" s="747"/>
      <c r="FV57" s="747"/>
      <c r="FW57" s="747"/>
      <c r="FX57" s="747"/>
      <c r="FY57" s="747"/>
      <c r="FZ57" s="747"/>
      <c r="GA57" s="747"/>
      <c r="GB57" s="747"/>
      <c r="GC57" s="747"/>
      <c r="GD57" s="747"/>
      <c r="GE57" s="747"/>
      <c r="GF57" s="747"/>
      <c r="GG57" s="747"/>
      <c r="GH57" s="747"/>
      <c r="GI57" s="747"/>
      <c r="GJ57" s="747"/>
    </row>
    <row r="58" spans="1:202" ht="18" customHeight="1">
      <c r="A58" s="758"/>
      <c r="B58" s="810" t="s">
        <v>741</v>
      </c>
      <c r="C58" s="811">
        <f ca="1">C56-收并购及自持输出表!C39+C48-C49+C51-C52</f>
        <v>-47.999999999985448</v>
      </c>
      <c r="D58" s="812"/>
      <c r="E58" s="812"/>
      <c r="F58" s="812"/>
      <c r="G58" s="812"/>
      <c r="H58" s="812"/>
      <c r="I58" s="812"/>
      <c r="J58" s="812"/>
      <c r="K58" s="812"/>
      <c r="L58" s="812"/>
      <c r="M58" s="812"/>
      <c r="N58" s="812"/>
      <c r="O58" s="812"/>
      <c r="P58" s="812"/>
      <c r="Q58" s="812"/>
      <c r="R58" s="812"/>
      <c r="S58" s="812"/>
      <c r="T58" s="812"/>
      <c r="U58" s="812"/>
      <c r="V58" s="812"/>
      <c r="W58" s="812"/>
      <c r="X58" s="812"/>
      <c r="Y58" s="812"/>
      <c r="Z58" s="812"/>
      <c r="AA58" s="812"/>
      <c r="AB58" s="812"/>
      <c r="AC58" s="812"/>
      <c r="AD58" s="812"/>
      <c r="AE58" s="812"/>
      <c r="AF58" s="812"/>
      <c r="AG58" s="812"/>
      <c r="AH58" s="812"/>
      <c r="AI58" s="812"/>
      <c r="AJ58" s="812"/>
      <c r="AK58" s="812"/>
      <c r="AL58" s="812"/>
      <c r="AM58" s="812"/>
      <c r="AN58" s="812"/>
      <c r="AO58" s="812"/>
      <c r="AP58" s="812"/>
      <c r="AQ58" s="812"/>
      <c r="AR58" s="812"/>
      <c r="AS58" s="812"/>
      <c r="AT58" s="812"/>
      <c r="AU58" s="812"/>
      <c r="AV58" s="812"/>
      <c r="AW58" s="812"/>
      <c r="AX58" s="812"/>
      <c r="AY58" s="812"/>
      <c r="AZ58" s="812"/>
      <c r="BA58" s="812"/>
      <c r="BB58" s="812"/>
      <c r="BC58" s="812"/>
      <c r="BD58" s="812"/>
      <c r="BE58" s="812"/>
      <c r="BF58" s="812"/>
      <c r="BG58" s="747"/>
      <c r="BH58" s="747"/>
      <c r="BI58" s="747"/>
      <c r="BJ58" s="747"/>
      <c r="BK58" s="747"/>
      <c r="BL58" s="747"/>
      <c r="BM58" s="747"/>
      <c r="BN58" s="747"/>
      <c r="BO58" s="747"/>
      <c r="BP58" s="747"/>
      <c r="BQ58" s="747"/>
      <c r="BR58" s="747"/>
      <c r="BS58" s="747"/>
      <c r="BT58" s="747"/>
      <c r="BU58" s="747"/>
      <c r="BV58" s="747"/>
      <c r="BW58" s="747"/>
      <c r="BX58" s="747"/>
      <c r="BY58" s="747"/>
      <c r="BZ58" s="747"/>
      <c r="CA58" s="747"/>
      <c r="CB58" s="747"/>
      <c r="CC58" s="747"/>
      <c r="CD58" s="747"/>
      <c r="CE58" s="747"/>
      <c r="CF58" s="747"/>
      <c r="CG58" s="747"/>
      <c r="CH58" s="747"/>
      <c r="CI58" s="747"/>
      <c r="CJ58" s="747"/>
      <c r="CK58" s="747"/>
      <c r="CL58" s="747"/>
      <c r="CM58" s="747"/>
      <c r="CN58" s="747"/>
      <c r="CO58" s="747"/>
      <c r="CP58" s="747"/>
      <c r="CQ58" s="747"/>
      <c r="CR58" s="747"/>
      <c r="CS58" s="747"/>
      <c r="CT58" s="747"/>
      <c r="CU58" s="747"/>
      <c r="CV58" s="747"/>
      <c r="CW58" s="747"/>
      <c r="CX58" s="747"/>
      <c r="CY58" s="747"/>
      <c r="CZ58" s="747"/>
      <c r="DA58" s="747"/>
      <c r="DB58" s="747"/>
      <c r="DC58" s="747"/>
      <c r="DD58" s="747"/>
      <c r="DE58" s="747"/>
      <c r="DF58" s="747"/>
      <c r="DG58" s="747"/>
      <c r="DH58" s="747"/>
      <c r="DI58" s="747"/>
      <c r="DJ58" s="747"/>
      <c r="DK58" s="747"/>
      <c r="DL58" s="747"/>
      <c r="DM58" s="747"/>
      <c r="DN58" s="747"/>
      <c r="DO58" s="747"/>
      <c r="DP58" s="747"/>
      <c r="DQ58" s="747"/>
      <c r="DR58" s="747"/>
      <c r="DS58" s="747"/>
      <c r="DT58" s="747"/>
      <c r="DU58" s="747"/>
      <c r="DV58" s="747"/>
      <c r="DW58" s="747"/>
      <c r="DX58" s="747"/>
      <c r="DY58" s="747"/>
      <c r="DZ58" s="747"/>
      <c r="EA58" s="747"/>
      <c r="EB58" s="747"/>
      <c r="EC58" s="747"/>
      <c r="ED58" s="747"/>
      <c r="EE58" s="747"/>
      <c r="EF58" s="747"/>
      <c r="EG58" s="747"/>
      <c r="EH58" s="747"/>
      <c r="EI58" s="747"/>
      <c r="EJ58" s="747"/>
      <c r="EK58" s="747"/>
      <c r="EL58" s="747"/>
      <c r="EM58" s="747"/>
      <c r="EN58" s="747"/>
      <c r="EO58" s="747"/>
      <c r="EP58" s="747"/>
      <c r="EQ58" s="747"/>
      <c r="ER58" s="747"/>
      <c r="ES58" s="747"/>
      <c r="ET58" s="747"/>
      <c r="EU58" s="747"/>
      <c r="EV58" s="747"/>
      <c r="EW58" s="747"/>
      <c r="EX58" s="747"/>
      <c r="EY58" s="747"/>
      <c r="EZ58" s="747"/>
      <c r="FA58" s="747"/>
      <c r="FB58" s="747"/>
      <c r="FC58" s="747"/>
      <c r="FD58" s="747"/>
      <c r="FE58" s="747"/>
      <c r="FF58" s="747"/>
      <c r="FG58" s="747"/>
      <c r="FH58" s="747"/>
      <c r="FI58" s="747"/>
      <c r="FJ58" s="747"/>
      <c r="FK58" s="747"/>
      <c r="FL58" s="747"/>
      <c r="FM58" s="747"/>
      <c r="FN58" s="747"/>
      <c r="FO58" s="747"/>
      <c r="FP58" s="747"/>
      <c r="FQ58" s="747"/>
      <c r="FR58" s="747"/>
      <c r="FS58" s="747"/>
      <c r="FT58" s="747"/>
      <c r="FU58" s="747"/>
      <c r="FV58" s="747"/>
      <c r="FW58" s="747"/>
      <c r="FX58" s="747"/>
      <c r="FY58" s="747"/>
      <c r="FZ58" s="747"/>
      <c r="GA58" s="747"/>
      <c r="GB58" s="747"/>
      <c r="GC58" s="747"/>
      <c r="GD58" s="747"/>
      <c r="GE58" s="747"/>
      <c r="GF58" s="747"/>
      <c r="GG58" s="747"/>
      <c r="GH58" s="747"/>
      <c r="GI58" s="747"/>
      <c r="GJ58" s="747"/>
    </row>
    <row r="59" spans="1:202">
      <c r="A59" s="758"/>
      <c r="B59" s="818"/>
      <c r="C59" s="473"/>
      <c r="D59" s="747"/>
      <c r="E59" s="747"/>
      <c r="F59" s="747"/>
      <c r="G59" s="747"/>
      <c r="H59" s="747"/>
      <c r="I59" s="747"/>
      <c r="J59" s="747"/>
      <c r="K59" s="747"/>
      <c r="L59" s="747"/>
      <c r="M59" s="747"/>
      <c r="N59" s="747"/>
      <c r="O59" s="747"/>
      <c r="P59" s="747"/>
      <c r="Q59" s="747"/>
      <c r="R59" s="747"/>
      <c r="S59" s="747"/>
      <c r="T59" s="747"/>
      <c r="U59" s="747"/>
      <c r="V59" s="747"/>
      <c r="W59" s="747"/>
      <c r="X59" s="747"/>
      <c r="Y59" s="747"/>
      <c r="Z59" s="747"/>
      <c r="AA59" s="747"/>
      <c r="AB59" s="747"/>
      <c r="AC59" s="747"/>
      <c r="AD59" s="747"/>
      <c r="AE59" s="747"/>
      <c r="AF59" s="747"/>
      <c r="AG59" s="747"/>
      <c r="AH59" s="747"/>
      <c r="AI59" s="747"/>
      <c r="AJ59" s="747"/>
      <c r="AK59" s="747"/>
      <c r="AL59" s="747"/>
      <c r="AM59" s="747"/>
      <c r="AN59" s="747"/>
      <c r="AO59" s="747"/>
      <c r="AP59" s="747"/>
      <c r="AQ59" s="747"/>
      <c r="AR59" s="747"/>
      <c r="AS59" s="747"/>
      <c r="AT59" s="747"/>
      <c r="AU59" s="747"/>
      <c r="AV59" s="747"/>
      <c r="AW59" s="747"/>
      <c r="AX59" s="747"/>
      <c r="AY59" s="747"/>
      <c r="AZ59" s="747"/>
      <c r="BA59" s="747"/>
      <c r="BB59" s="747"/>
      <c r="BC59" s="747"/>
      <c r="BD59" s="747"/>
      <c r="BE59" s="747"/>
      <c r="BF59" s="747"/>
      <c r="BG59" s="747"/>
      <c r="BH59" s="747"/>
      <c r="BI59" s="747"/>
      <c r="BJ59" s="747"/>
      <c r="BK59" s="747"/>
      <c r="BL59" s="747"/>
      <c r="BM59" s="747"/>
      <c r="BN59" s="747"/>
      <c r="BO59" s="747"/>
      <c r="BP59" s="747"/>
      <c r="BQ59" s="747"/>
      <c r="BR59" s="747"/>
      <c r="BS59" s="747"/>
      <c r="BT59" s="747"/>
      <c r="BU59" s="747"/>
      <c r="BV59" s="747"/>
      <c r="BW59" s="747"/>
      <c r="BX59" s="747"/>
      <c r="BY59" s="747"/>
      <c r="BZ59" s="747"/>
      <c r="CA59" s="747"/>
      <c r="CB59" s="747"/>
      <c r="CC59" s="747"/>
      <c r="CD59" s="747"/>
      <c r="CE59" s="747"/>
      <c r="CF59" s="747"/>
      <c r="CG59" s="747"/>
      <c r="CH59" s="747"/>
      <c r="CI59" s="747"/>
      <c r="CJ59" s="747"/>
      <c r="CK59" s="747"/>
      <c r="CL59" s="747"/>
      <c r="CM59" s="747"/>
      <c r="CN59" s="747"/>
      <c r="CO59" s="747"/>
      <c r="CP59" s="747"/>
      <c r="CQ59" s="747"/>
      <c r="CR59" s="747"/>
      <c r="CS59" s="747"/>
      <c r="CT59" s="747"/>
      <c r="CU59" s="747"/>
      <c r="CV59" s="747"/>
      <c r="CW59" s="747"/>
      <c r="CX59" s="747"/>
      <c r="CY59" s="747"/>
      <c r="CZ59" s="747"/>
      <c r="DA59" s="747"/>
      <c r="DB59" s="747"/>
      <c r="DC59" s="747"/>
      <c r="DD59" s="747"/>
      <c r="DE59" s="747"/>
      <c r="DF59" s="747"/>
      <c r="DG59" s="747"/>
      <c r="DH59" s="747"/>
      <c r="DI59" s="747"/>
      <c r="DJ59" s="747"/>
      <c r="DK59" s="747"/>
      <c r="DL59" s="747"/>
      <c r="DM59" s="747"/>
      <c r="DN59" s="747"/>
      <c r="DO59" s="747"/>
      <c r="DP59" s="747"/>
      <c r="DQ59" s="747"/>
      <c r="DR59" s="747"/>
      <c r="DS59" s="747"/>
      <c r="DT59" s="747"/>
      <c r="DU59" s="747"/>
      <c r="DV59" s="747"/>
      <c r="DW59" s="747"/>
      <c r="DX59" s="747"/>
      <c r="DY59" s="747"/>
      <c r="DZ59" s="747"/>
      <c r="EA59" s="747"/>
      <c r="EB59" s="747"/>
      <c r="EC59" s="747"/>
      <c r="ED59" s="747"/>
      <c r="EE59" s="747"/>
      <c r="EF59" s="747"/>
      <c r="EG59" s="747"/>
      <c r="EH59" s="747"/>
      <c r="EI59" s="747"/>
      <c r="EJ59" s="747"/>
      <c r="EK59" s="747"/>
      <c r="EL59" s="747"/>
      <c r="EM59" s="747"/>
      <c r="EN59" s="747"/>
      <c r="EO59" s="747"/>
      <c r="EP59" s="747"/>
      <c r="EQ59" s="747"/>
      <c r="ER59" s="747"/>
      <c r="ES59" s="747"/>
      <c r="ET59" s="747"/>
      <c r="EU59" s="747"/>
      <c r="EV59" s="747"/>
      <c r="EW59" s="747"/>
      <c r="EX59" s="747"/>
      <c r="EY59" s="747"/>
      <c r="EZ59" s="747"/>
      <c r="FA59" s="747"/>
      <c r="FB59" s="747"/>
      <c r="FC59" s="747"/>
      <c r="FD59" s="747"/>
      <c r="FE59" s="747"/>
      <c r="FF59" s="747"/>
      <c r="FG59" s="747"/>
      <c r="FH59" s="747"/>
      <c r="FI59" s="747"/>
      <c r="FJ59" s="747"/>
      <c r="FK59" s="747"/>
      <c r="FL59" s="747"/>
      <c r="FM59" s="747"/>
      <c r="FN59" s="747"/>
      <c r="FO59" s="747"/>
      <c r="FP59" s="747"/>
      <c r="FQ59" s="747"/>
      <c r="FR59" s="747"/>
      <c r="FS59" s="747"/>
      <c r="FT59" s="747"/>
      <c r="FU59" s="747"/>
      <c r="FV59" s="747"/>
      <c r="FW59" s="747"/>
      <c r="FX59" s="747"/>
      <c r="FY59" s="747"/>
      <c r="FZ59" s="747"/>
      <c r="GA59" s="747"/>
      <c r="GB59" s="747"/>
      <c r="GC59" s="747"/>
      <c r="GD59" s="747"/>
      <c r="GE59" s="747"/>
      <c r="GF59" s="747"/>
      <c r="GG59" s="747"/>
      <c r="GH59" s="747"/>
      <c r="GI59" s="747"/>
      <c r="GJ59" s="747"/>
    </row>
    <row r="60" spans="1:202">
      <c r="A60" s="758"/>
      <c r="B60" s="818"/>
      <c r="C60" s="473"/>
      <c r="D60" s="747"/>
      <c r="E60" s="819">
        <f>收并购参数设置!E2</f>
        <v>43210</v>
      </c>
      <c r="F60" s="819">
        <f>E60+90</f>
        <v>43300</v>
      </c>
      <c r="G60" s="819">
        <f>F60+90</f>
        <v>43390</v>
      </c>
      <c r="H60" s="819">
        <f>G60+90</f>
        <v>43480</v>
      </c>
      <c r="I60" s="819"/>
      <c r="J60" s="819">
        <f>H60+90</f>
        <v>43570</v>
      </c>
      <c r="K60" s="819">
        <f>J60+90</f>
        <v>43660</v>
      </c>
      <c r="L60" s="819">
        <f>K60+90</f>
        <v>43750</v>
      </c>
      <c r="M60" s="819">
        <f>L60+90</f>
        <v>43840</v>
      </c>
      <c r="N60" s="819"/>
      <c r="O60" s="819">
        <f>M60+90</f>
        <v>43930</v>
      </c>
      <c r="P60" s="819">
        <f>O60+90</f>
        <v>44020</v>
      </c>
      <c r="Q60" s="819">
        <f>P60+90</f>
        <v>44110</v>
      </c>
      <c r="R60" s="819">
        <f>Q60+90</f>
        <v>44200</v>
      </c>
      <c r="S60" s="819"/>
      <c r="T60" s="819">
        <f>R60+90</f>
        <v>44290</v>
      </c>
      <c r="U60" s="819">
        <f>T60+90</f>
        <v>44380</v>
      </c>
      <c r="V60" s="819">
        <f>U60+90</f>
        <v>44470</v>
      </c>
      <c r="W60" s="819">
        <f>V60+90</f>
        <v>44560</v>
      </c>
      <c r="X60" s="819"/>
      <c r="Y60" s="819">
        <f>W60+90</f>
        <v>44650</v>
      </c>
      <c r="Z60" s="819">
        <f>Y60+90</f>
        <v>44740</v>
      </c>
      <c r="AA60" s="819">
        <f>Z60+90</f>
        <v>44830</v>
      </c>
      <c r="AB60" s="819">
        <f>AA60+90</f>
        <v>44920</v>
      </c>
      <c r="AC60" s="819"/>
      <c r="AD60" s="819">
        <f>AB60+90</f>
        <v>45010</v>
      </c>
      <c r="AE60" s="819">
        <f>AD60+90</f>
        <v>45100</v>
      </c>
      <c r="AF60" s="819">
        <f>AE60+90</f>
        <v>45190</v>
      </c>
      <c r="AG60" s="819">
        <f>AF60+90</f>
        <v>45280</v>
      </c>
      <c r="AH60" s="819"/>
      <c r="AI60" s="819">
        <f>AG60+90</f>
        <v>45370</v>
      </c>
      <c r="AJ60" s="819">
        <f>AI60+90</f>
        <v>45460</v>
      </c>
      <c r="AK60" s="819">
        <f>AJ60+90</f>
        <v>45550</v>
      </c>
      <c r="AL60" s="819">
        <f>AK60+90</f>
        <v>45640</v>
      </c>
      <c r="AM60" s="819"/>
      <c r="AN60" s="819">
        <f>AL60+90</f>
        <v>45730</v>
      </c>
      <c r="AO60" s="819">
        <f>AN60+90</f>
        <v>45820</v>
      </c>
      <c r="AP60" s="819">
        <f>AO60+90</f>
        <v>45910</v>
      </c>
      <c r="AQ60" s="819">
        <f>AP60+90</f>
        <v>46000</v>
      </c>
      <c r="AR60" s="819"/>
      <c r="AS60" s="819">
        <f>AQ60+90</f>
        <v>46090</v>
      </c>
      <c r="AT60" s="819">
        <f>AS60+90</f>
        <v>46180</v>
      </c>
      <c r="AU60" s="819">
        <f>AT60+90</f>
        <v>46270</v>
      </c>
      <c r="AV60" s="819">
        <f>AU60+90</f>
        <v>46360</v>
      </c>
      <c r="AW60" s="819"/>
      <c r="AX60" s="819">
        <f>AV60+90</f>
        <v>46450</v>
      </c>
      <c r="AY60" s="819">
        <f>AX60+90</f>
        <v>46540</v>
      </c>
      <c r="AZ60" s="819">
        <f>AY60+90</f>
        <v>46630</v>
      </c>
      <c r="BA60" s="819">
        <f>AZ60+90</f>
        <v>46720</v>
      </c>
      <c r="BB60" s="819"/>
      <c r="BC60" s="819">
        <f>BA60+90</f>
        <v>46810</v>
      </c>
      <c r="BD60" s="819">
        <f>BC60+90</f>
        <v>46900</v>
      </c>
      <c r="BE60" s="819">
        <f>BD60+90</f>
        <v>46990</v>
      </c>
      <c r="BF60" s="819">
        <f>BE60+90</f>
        <v>47080</v>
      </c>
      <c r="BG60" s="819"/>
      <c r="BH60" s="819"/>
      <c r="BI60" s="819"/>
      <c r="BJ60" s="819"/>
      <c r="BK60" s="819"/>
      <c r="BL60" s="819"/>
      <c r="BM60" s="819"/>
      <c r="BN60" s="819"/>
      <c r="BO60" s="819"/>
      <c r="BP60" s="819">
        <v>47618</v>
      </c>
      <c r="BQ60" s="747"/>
      <c r="BR60" s="747"/>
      <c r="BS60" s="747"/>
      <c r="BT60" s="747"/>
      <c r="BU60" s="747"/>
      <c r="BV60" s="747"/>
      <c r="BW60" s="747"/>
      <c r="BX60" s="747"/>
      <c r="BY60" s="747"/>
      <c r="BZ60" s="747"/>
      <c r="CA60" s="747"/>
      <c r="CB60" s="747"/>
      <c r="CC60" s="747"/>
      <c r="CD60" s="747"/>
      <c r="CE60" s="747"/>
      <c r="CF60" s="747"/>
      <c r="CG60" s="747"/>
      <c r="CH60" s="747"/>
      <c r="CI60" s="747"/>
      <c r="CJ60" s="747"/>
      <c r="CK60" s="747"/>
      <c r="CL60" s="747"/>
      <c r="CM60" s="747"/>
      <c r="CN60" s="747"/>
      <c r="CO60" s="747"/>
      <c r="CP60" s="747"/>
      <c r="CQ60" s="747"/>
      <c r="CR60" s="747"/>
      <c r="CS60" s="747"/>
      <c r="CT60" s="747"/>
      <c r="CU60" s="747"/>
      <c r="CV60" s="747"/>
      <c r="CW60" s="747"/>
      <c r="CX60" s="747"/>
      <c r="CY60" s="747"/>
      <c r="CZ60" s="747"/>
      <c r="DA60" s="747"/>
      <c r="DB60" s="747"/>
      <c r="DC60" s="747"/>
      <c r="DD60" s="747"/>
      <c r="DE60" s="747"/>
      <c r="DF60" s="747"/>
      <c r="DG60" s="747"/>
      <c r="DH60" s="747"/>
      <c r="DI60" s="747"/>
      <c r="DJ60" s="747"/>
      <c r="DK60" s="747"/>
      <c r="DL60" s="747"/>
      <c r="DM60" s="747"/>
      <c r="DN60" s="747"/>
      <c r="DO60" s="747"/>
      <c r="DP60" s="747"/>
      <c r="DQ60" s="747"/>
      <c r="DR60" s="747"/>
      <c r="DS60" s="747"/>
      <c r="DT60" s="747"/>
      <c r="DU60" s="747"/>
      <c r="DV60" s="747"/>
      <c r="DW60" s="747"/>
      <c r="DX60" s="747"/>
      <c r="DY60" s="747"/>
      <c r="DZ60" s="747"/>
      <c r="EA60" s="747"/>
      <c r="EB60" s="747"/>
      <c r="EC60" s="747"/>
      <c r="ED60" s="747"/>
      <c r="EE60" s="747"/>
      <c r="EF60" s="747"/>
      <c r="EG60" s="747"/>
      <c r="EH60" s="747"/>
      <c r="EI60" s="747"/>
      <c r="EJ60" s="747"/>
      <c r="EK60" s="747"/>
      <c r="EL60" s="747"/>
      <c r="EM60" s="747"/>
      <c r="EN60" s="747"/>
      <c r="EO60" s="747"/>
      <c r="EP60" s="747"/>
      <c r="EQ60" s="747"/>
      <c r="ER60" s="747"/>
      <c r="ES60" s="747"/>
      <c r="ET60" s="747"/>
      <c r="EU60" s="747"/>
      <c r="EV60" s="747"/>
      <c r="EW60" s="747"/>
      <c r="EX60" s="747"/>
      <c r="EY60" s="747"/>
      <c r="EZ60" s="747"/>
      <c r="FA60" s="747"/>
      <c r="FB60" s="747"/>
      <c r="FC60" s="747"/>
      <c r="FD60" s="747"/>
      <c r="FE60" s="747"/>
      <c r="FF60" s="747"/>
      <c r="FG60" s="747"/>
      <c r="FH60" s="747"/>
      <c r="FI60" s="747"/>
      <c r="FJ60" s="747"/>
      <c r="FK60" s="747"/>
      <c r="FL60" s="747"/>
      <c r="FM60" s="747"/>
      <c r="FN60" s="747"/>
      <c r="FO60" s="747"/>
      <c r="FP60" s="747"/>
      <c r="FQ60" s="747"/>
      <c r="FR60" s="747"/>
      <c r="FS60" s="747"/>
      <c r="FT60" s="747"/>
      <c r="FU60" s="747"/>
      <c r="FV60" s="747"/>
      <c r="FW60" s="747"/>
      <c r="FX60" s="747"/>
      <c r="FY60" s="747"/>
      <c r="FZ60" s="747"/>
      <c r="GA60" s="747"/>
      <c r="GB60" s="747"/>
      <c r="GC60" s="747"/>
      <c r="GD60" s="747"/>
      <c r="GE60" s="747"/>
      <c r="GF60" s="747"/>
      <c r="GG60" s="747"/>
      <c r="GH60" s="747"/>
      <c r="GI60" s="747"/>
      <c r="GJ60" s="747"/>
      <c r="GK60" s="747"/>
      <c r="GL60" s="747"/>
      <c r="GM60" s="747"/>
      <c r="GN60" s="747"/>
      <c r="GO60" s="747"/>
      <c r="GP60" s="747"/>
      <c r="GQ60" s="747"/>
      <c r="GR60" s="747"/>
      <c r="GS60" s="747"/>
      <c r="GT60" s="747"/>
    </row>
    <row r="61" spans="1:202" s="77" customFormat="1" ht="12.75">
      <c r="A61" s="758"/>
      <c r="B61" s="818"/>
      <c r="C61" s="742" t="s">
        <v>742</v>
      </c>
      <c r="D61" s="820">
        <f ca="1">IF(ISERROR((1+IRR(E61:AV61,0.01))^4-1),0,(1+IRR(E61:AV61,0.01))^4-1)</f>
        <v>0.28342911257571046</v>
      </c>
      <c r="E61" s="93">
        <f ca="1">E28*'1.参数设置'!$E$6</f>
        <v>0</v>
      </c>
      <c r="F61" s="93">
        <f ca="1">F28*'1.参数设置'!$E$6</f>
        <v>0</v>
      </c>
      <c r="G61" s="93">
        <f ca="1">G28*'1.参数设置'!$E$6</f>
        <v>-7150</v>
      </c>
      <c r="H61" s="93">
        <f ca="1">H28*'1.参数设置'!$E$6</f>
        <v>-26292.233565158538</v>
      </c>
      <c r="I61" s="93"/>
      <c r="J61" s="93">
        <f ca="1">J28*'1.参数设置'!$E$6</f>
        <v>-6274.3959674372627</v>
      </c>
      <c r="K61" s="93">
        <f ca="1">K28*'1.参数设置'!$E$6</f>
        <v>15784.339146367633</v>
      </c>
      <c r="L61" s="93">
        <f ca="1">L28*'1.参数设置'!$E$6</f>
        <v>25086.077804954042</v>
      </c>
      <c r="M61" s="93">
        <f ca="1">M28*'1.参数设置'!$E$6</f>
        <v>12933.21888911205</v>
      </c>
      <c r="N61" s="93"/>
      <c r="O61" s="93">
        <f ca="1">O28*'1.参数设置'!$E$6</f>
        <v>-61.339084970746626</v>
      </c>
      <c r="P61" s="93">
        <f ca="1">P28*'1.参数设置'!$E$6</f>
        <v>4210.9176763253236</v>
      </c>
      <c r="Q61" s="93">
        <f ca="1">Q28*'1.参数设置'!$E$6</f>
        <v>1614.0481140318147</v>
      </c>
      <c r="R61" s="93">
        <f ca="1">R28*'1.参数设置'!$E$6</f>
        <v>-10070.33143030214</v>
      </c>
      <c r="S61" s="93"/>
      <c r="T61" s="93">
        <f ca="1">T28*'1.参数设置'!$E$6</f>
        <v>-1401.2333006110475</v>
      </c>
      <c r="U61" s="93">
        <f ca="1">U28*'1.参数设置'!$E$6</f>
        <v>-1567.2858800000001</v>
      </c>
      <c r="V61" s="93">
        <f ca="1">V28*'1.参数设置'!$E$6</f>
        <v>-1187.6775800000003</v>
      </c>
      <c r="W61" s="93">
        <f ca="1">W28*'1.参数设置'!$E$6</f>
        <v>0</v>
      </c>
      <c r="X61" s="93"/>
      <c r="Y61" s="93">
        <f ca="1">Y28*'1.参数设置'!$E$6</f>
        <v>0</v>
      </c>
      <c r="Z61" s="93">
        <f ca="1">Z28*'1.参数设置'!$E$6</f>
        <v>0</v>
      </c>
      <c r="AA61" s="93">
        <f ca="1">AA28*'1.参数设置'!$E$6</f>
        <v>-592.85636800000009</v>
      </c>
      <c r="AB61" s="93">
        <f ca="1">AB28*'1.参数设置'!$E$6</f>
        <v>-889.28455199999996</v>
      </c>
      <c r="AC61" s="93"/>
      <c r="AD61" s="93">
        <f ca="1">AD28*'1.参数设置'!$E$6</f>
        <v>0</v>
      </c>
      <c r="AE61" s="93">
        <f ca="1">AE28*'1.参数设置'!$E$6</f>
        <v>0</v>
      </c>
      <c r="AF61" s="93">
        <f ca="1">AF28*'1.参数设置'!$E$6</f>
        <v>0</v>
      </c>
      <c r="AG61" s="93">
        <f ca="1">AG28*'1.参数设置'!$E$6</f>
        <v>0</v>
      </c>
      <c r="AH61" s="93"/>
      <c r="AI61" s="93">
        <f ca="1">AI28*'1.参数设置'!$E$6</f>
        <v>0</v>
      </c>
      <c r="AJ61" s="93">
        <f ca="1">AJ28*'1.参数设置'!$E$6</f>
        <v>0</v>
      </c>
      <c r="AK61" s="93">
        <f ca="1">AK28*'1.参数设置'!$E$6</f>
        <v>0</v>
      </c>
      <c r="AL61" s="93">
        <f ca="1">AL28*'1.参数设置'!$E$6</f>
        <v>0</v>
      </c>
      <c r="AM61" s="93"/>
      <c r="AN61" s="93">
        <f ca="1">AN28*'1.参数设置'!$E$6</f>
        <v>0</v>
      </c>
      <c r="AO61" s="93">
        <f ca="1">AO28*'1.参数设置'!$E$6</f>
        <v>0</v>
      </c>
      <c r="AP61" s="93">
        <f ca="1">AP28*'1.参数设置'!$E$6</f>
        <v>0</v>
      </c>
      <c r="AQ61" s="93">
        <f ca="1">AQ28*'1.参数设置'!$E$6</f>
        <v>0</v>
      </c>
      <c r="AR61" s="93"/>
      <c r="AS61" s="93">
        <f ca="1">AS28*'1.参数设置'!$E$6</f>
        <v>0</v>
      </c>
      <c r="AT61" s="93">
        <f ca="1">AT28*'1.参数设置'!$E$6</f>
        <v>0</v>
      </c>
      <c r="AU61" s="93">
        <f ca="1">AU28*'1.参数设置'!$E$6</f>
        <v>0</v>
      </c>
      <c r="AV61" s="93">
        <f ca="1">AV28*'1.参数设置'!$E$6</f>
        <v>0</v>
      </c>
      <c r="AW61" s="93"/>
      <c r="AX61" s="93">
        <f ca="1">AX28*'1.参数设置'!$E$6</f>
        <v>0</v>
      </c>
      <c r="AY61" s="93">
        <f ca="1">AY28*'1.参数设置'!$E$6</f>
        <v>0</v>
      </c>
      <c r="AZ61" s="93">
        <f ca="1">AZ28*'1.参数设置'!$E$6</f>
        <v>0</v>
      </c>
      <c r="BA61" s="93">
        <f ca="1">BA28*'1.参数设置'!$E$6</f>
        <v>0</v>
      </c>
      <c r="BB61" s="93"/>
      <c r="BC61" s="93">
        <f ca="1">BC28*'1.参数设置'!$E$6</f>
        <v>0</v>
      </c>
      <c r="BD61" s="93">
        <f ca="1">BD28*'1.参数设置'!$E$6</f>
        <v>0</v>
      </c>
      <c r="BE61" s="93">
        <f ca="1">BE28*'1.参数设置'!$E$6</f>
        <v>0</v>
      </c>
      <c r="BF61" s="93">
        <f ca="1">BF28*'1.参数设置'!$E$6</f>
        <v>0</v>
      </c>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c r="CN61" s="78"/>
      <c r="CO61" s="78"/>
      <c r="CP61" s="78"/>
      <c r="CQ61" s="78"/>
      <c r="CR61" s="78"/>
      <c r="CS61" s="78"/>
      <c r="CT61" s="78"/>
      <c r="CU61" s="78"/>
      <c r="CV61" s="78"/>
      <c r="CW61" s="78"/>
      <c r="CX61" s="78"/>
      <c r="CY61" s="78"/>
      <c r="CZ61" s="78"/>
      <c r="DA61" s="78"/>
      <c r="DB61" s="78"/>
      <c r="DC61" s="78"/>
      <c r="DD61" s="78"/>
      <c r="DE61" s="78"/>
      <c r="DF61" s="78"/>
      <c r="DG61" s="78"/>
      <c r="DH61" s="78"/>
      <c r="DI61" s="78"/>
      <c r="DJ61" s="78"/>
      <c r="DK61" s="78"/>
      <c r="DL61" s="78"/>
      <c r="DM61" s="78"/>
      <c r="DN61" s="78"/>
      <c r="DO61" s="78"/>
      <c r="DP61" s="78"/>
      <c r="DQ61" s="78"/>
      <c r="DR61" s="78"/>
      <c r="DS61" s="78"/>
      <c r="DT61" s="78"/>
      <c r="DU61" s="78"/>
      <c r="DV61" s="78"/>
      <c r="DW61" s="78"/>
      <c r="DX61" s="78"/>
      <c r="DY61" s="78"/>
      <c r="DZ61" s="78"/>
      <c r="EA61" s="78"/>
      <c r="EB61" s="78"/>
      <c r="EC61" s="78"/>
      <c r="ED61" s="78"/>
      <c r="EE61" s="78"/>
      <c r="EF61" s="78"/>
      <c r="EG61" s="78"/>
      <c r="EH61" s="78"/>
      <c r="EI61" s="78"/>
      <c r="EJ61" s="78"/>
      <c r="EK61" s="78"/>
      <c r="EL61" s="78"/>
      <c r="EM61" s="78"/>
      <c r="EN61" s="78"/>
      <c r="EO61" s="78"/>
      <c r="EP61" s="78"/>
      <c r="EQ61" s="78"/>
      <c r="ER61" s="78"/>
      <c r="ES61" s="78"/>
      <c r="ET61" s="78"/>
      <c r="EU61" s="78"/>
      <c r="EV61" s="78"/>
      <c r="EW61" s="78"/>
      <c r="EX61" s="78"/>
      <c r="EY61" s="78"/>
      <c r="EZ61" s="78"/>
      <c r="FA61" s="78"/>
      <c r="FB61" s="78"/>
      <c r="FC61" s="78"/>
      <c r="FD61" s="78"/>
      <c r="FE61" s="78"/>
      <c r="FF61" s="78"/>
      <c r="FG61" s="78"/>
      <c r="FH61" s="78"/>
      <c r="FI61" s="78"/>
      <c r="FJ61" s="78"/>
      <c r="FK61" s="78"/>
      <c r="FL61" s="78"/>
      <c r="FM61" s="78"/>
      <c r="FN61" s="78"/>
      <c r="FO61" s="78"/>
      <c r="FP61" s="78"/>
      <c r="FQ61" s="78"/>
      <c r="FR61" s="78"/>
      <c r="FS61" s="78"/>
      <c r="FT61" s="78"/>
      <c r="FU61" s="78"/>
      <c r="FV61" s="78"/>
      <c r="FW61" s="78"/>
      <c r="FX61" s="78"/>
      <c r="FY61" s="78"/>
      <c r="FZ61" s="78"/>
      <c r="GA61" s="78"/>
      <c r="GB61" s="78"/>
      <c r="GC61" s="78"/>
      <c r="GD61" s="78"/>
      <c r="GE61" s="78"/>
      <c r="GF61" s="78"/>
      <c r="GG61" s="78"/>
      <c r="GH61" s="78"/>
      <c r="GI61" s="78"/>
      <c r="GJ61" s="78"/>
    </row>
    <row r="62" spans="1:202" s="247" customFormat="1" ht="12.75">
      <c r="A62" s="758"/>
      <c r="B62" s="821"/>
      <c r="C62" s="822" t="s">
        <v>743</v>
      </c>
      <c r="D62" s="820">
        <f ca="1">IF(ISERROR((1+IRR(E62:AV62,0.1))^4-1),0,(1+IRR(E62:AV62,0.1))^4-1)</f>
        <v>0</v>
      </c>
      <c r="E62" s="102">
        <f ca="1">E61+E33*'1.参数设置'!$E$6+(E51-E52-E55)-E45</f>
        <v>0</v>
      </c>
      <c r="F62" s="102">
        <f ca="1">F61+F33*'1.参数设置'!$E$6+(F51-F52-F55)-F45</f>
        <v>0</v>
      </c>
      <c r="G62" s="102">
        <f ca="1">G61+G33*'1.参数设置'!$E$6+(G51-G52-G55)-G45</f>
        <v>-7150</v>
      </c>
      <c r="H62" s="102">
        <f ca="1">H61+H33*'1.参数设置'!$E$6+(H51-H52-H55)-H45</f>
        <v>-22474.995015351291</v>
      </c>
      <c r="I62" s="102"/>
      <c r="J62" s="102">
        <f ca="1">J61+J33*'1.参数设置'!$E$6+(J51-J52-J55)-J45</f>
        <v>-12033.908514874525</v>
      </c>
      <c r="K62" s="102">
        <f ca="1">K61+K33*'1.参数设置'!$E$6+(K51-K52-K55)-K45</f>
        <v>25602.964146367631</v>
      </c>
      <c r="L62" s="102">
        <f ca="1">L61+L33*'1.参数设置'!$E$6+(L51-L52-L55)-L45</f>
        <v>813.70432128574635</v>
      </c>
      <c r="M62" s="102">
        <f ca="1">M61+M33*'1.参数设置'!$E$6+(M51-M52-M55)-M45</f>
        <v>9901.3438891120495</v>
      </c>
      <c r="N62" s="102"/>
      <c r="O62" s="102">
        <f ca="1">O61+O33*'1.参数设置'!$E$6+(O51-O52-O55)-O45</f>
        <v>-61.339084970746626</v>
      </c>
      <c r="P62" s="102">
        <f ca="1">P61+P33*'1.参数设置'!$E$6+(P51-P52-P55)-P45</f>
        <v>4210.9176763253236</v>
      </c>
      <c r="Q62" s="102">
        <f ca="1">Q61+Q33*'1.参数设置'!$E$6+(Q51-Q52-Q55)-Q45</f>
        <v>1614.0481140318147</v>
      </c>
      <c r="R62" s="102">
        <f ca="1">R61+R33*'1.参数设置'!$E$6+(R51-R52-R55)-R45</f>
        <v>-10070.33143030214</v>
      </c>
      <c r="S62" s="102"/>
      <c r="T62" s="102">
        <f ca="1">T61+T33*'1.参数设置'!$E$6+(T51-T52-T55)-T45</f>
        <v>-1401.2333006110475</v>
      </c>
      <c r="U62" s="102">
        <f ca="1">U61+U33*'1.参数设置'!$E$6+(U51-U52-U55)-U45</f>
        <v>-1567.2858800000001</v>
      </c>
      <c r="V62" s="102">
        <f ca="1">V61+V33*'1.参数设置'!$E$6+(V51-V52-V55)-V45</f>
        <v>-1187.6775800000003</v>
      </c>
      <c r="W62" s="102">
        <f ca="1">W61+W33*'1.参数设置'!$E$6+(W51-W52-W55)-W45</f>
        <v>0</v>
      </c>
      <c r="X62" s="102"/>
      <c r="Y62" s="102">
        <f ca="1">Y61+Y33*'1.参数设置'!$E$6+(Y51-Y52-Y55)-Y45</f>
        <v>0</v>
      </c>
      <c r="Z62" s="102">
        <f ca="1">Z61+Z33*'1.参数设置'!$E$6+(Z51-Z52-Z55)-Z45</f>
        <v>0</v>
      </c>
      <c r="AA62" s="102">
        <f ca="1">AA61+AA33*'1.参数设置'!$E$6+(AA51-AA52-AA55)-AA45</f>
        <v>-592.85636800000009</v>
      </c>
      <c r="AB62" s="102">
        <f ca="1">AB61+AB33*'1.参数设置'!$E$6+(AB51-AB52-AB55)-AB45</f>
        <v>-889.28455199999996</v>
      </c>
      <c r="AC62" s="102"/>
      <c r="AD62" s="102">
        <f ca="1">AD61+AD33*'1.参数设置'!$E$6+(AD51-AD52-AD55)-AD45</f>
        <v>0</v>
      </c>
      <c r="AE62" s="102">
        <f ca="1">AE61+AE33*'1.参数设置'!$E$6+(AE51-AE52-AE55)-AE45</f>
        <v>0</v>
      </c>
      <c r="AF62" s="102">
        <f ca="1">AF61+AF33*'1.参数设置'!$E$6+(AF51-AF52-AF55)-AF45</f>
        <v>0</v>
      </c>
      <c r="AG62" s="102">
        <f ca="1">AG61+AG33*'1.参数设置'!$E$6+(AG51-AG52-AG55)-AG45</f>
        <v>0</v>
      </c>
      <c r="AH62" s="102"/>
      <c r="AI62" s="102">
        <f ca="1">AI61+AI33*'1.参数设置'!$E$6+(AI51-AI52-AI55)-AI45</f>
        <v>0</v>
      </c>
      <c r="AJ62" s="102">
        <f ca="1">AJ61+AJ33*'1.参数设置'!$E$6+(AJ51-AJ52-AJ55)-AJ45</f>
        <v>0</v>
      </c>
      <c r="AK62" s="102">
        <f ca="1">AK61+AK33*'1.参数设置'!$E$6+(AK51-AK52-AK55)-AK45</f>
        <v>0</v>
      </c>
      <c r="AL62" s="102">
        <f ca="1">AL61+AL33*'1.参数设置'!$E$6+(AL51-AL52-AL55)-AL45</f>
        <v>0</v>
      </c>
      <c r="AM62" s="102"/>
      <c r="AN62" s="102">
        <f ca="1">AN61+AN33*'1.参数设置'!$E$6+(AN51-AN52-AN55)-AN45</f>
        <v>0</v>
      </c>
      <c r="AO62" s="102">
        <f ca="1">AO61+AO33*'1.参数设置'!$E$6+(AO51-AO52-AO55)-AO45</f>
        <v>0</v>
      </c>
      <c r="AP62" s="102">
        <f ca="1">AP61+AP33*'1.参数设置'!$E$6+(AP51-AP52-AP55)-AP45</f>
        <v>0</v>
      </c>
      <c r="AQ62" s="102">
        <f ca="1">AQ61+AQ33*'1.参数设置'!$E$6+(AQ51-AQ52-AQ55)-AQ45</f>
        <v>0</v>
      </c>
      <c r="AR62" s="102"/>
      <c r="AS62" s="102">
        <f ca="1">AS61+AS33*'1.参数设置'!$E$6+(AS51-AS52-AS55)-AS45</f>
        <v>0</v>
      </c>
      <c r="AT62" s="102">
        <f ca="1">AT61+AT33*'1.参数设置'!$E$6+(AT51-AT52-AT55)-AT45</f>
        <v>0</v>
      </c>
      <c r="AU62" s="102">
        <f ca="1">AU61+AU33*'1.参数设置'!$E$6+(AU51-AU52-AU55)-AU45</f>
        <v>0</v>
      </c>
      <c r="AV62" s="102">
        <f ca="1">AV61+AV33*'1.参数设置'!$E$6+(AV51-AV52-AV55)-AV45</f>
        <v>0</v>
      </c>
      <c r="AW62" s="102"/>
      <c r="AX62" s="102">
        <f ca="1">AX61+AX33*'1.参数设置'!$E$6+(AX51-AX52-AX55)-AX45</f>
        <v>0</v>
      </c>
      <c r="AY62" s="102">
        <f ca="1">AY61+AY33*'1.参数设置'!$E$6+(AY51-AY52-AY55)-AY45</f>
        <v>0</v>
      </c>
      <c r="AZ62" s="102">
        <f ca="1">AZ61+AZ33*'1.参数设置'!$E$6+(AZ51-AZ52-AZ55)-AZ45</f>
        <v>0</v>
      </c>
      <c r="BA62" s="102">
        <f ca="1">BA61+BA33*'1.参数设置'!$E$6+(BA51-BA52-BA55)-BA45</f>
        <v>0</v>
      </c>
      <c r="BB62" s="102"/>
      <c r="BC62" s="102">
        <f ca="1">BC61+BC33*'1.参数设置'!$E$6+(BC51-BC52-BC55)-BC45</f>
        <v>0</v>
      </c>
      <c r="BD62" s="102">
        <f ca="1">BD61+BD33*'1.参数设置'!$E$6+(BD51-BD52-BD55)-BD45</f>
        <v>0</v>
      </c>
      <c r="BE62" s="102">
        <f ca="1">BE61+BE33*'1.参数设置'!$E$6+(BE51-BE52-BE55)-BE45</f>
        <v>0</v>
      </c>
      <c r="BF62" s="102">
        <f ca="1">BF61+BF33*'1.参数设置'!$E$6+(BF51-BF52-BF55)-BF45</f>
        <v>0</v>
      </c>
      <c r="BG62" s="758"/>
      <c r="BH62" s="758"/>
      <c r="BI62" s="758"/>
      <c r="BJ62" s="758"/>
      <c r="BK62" s="758"/>
      <c r="BL62" s="758"/>
      <c r="BM62" s="758"/>
      <c r="BN62" s="758"/>
      <c r="BO62" s="758"/>
      <c r="BP62" s="758"/>
      <c r="BQ62" s="758"/>
      <c r="BR62" s="758"/>
      <c r="BS62" s="758"/>
      <c r="BT62" s="758"/>
      <c r="BU62" s="758"/>
      <c r="BV62" s="758"/>
      <c r="BW62" s="758"/>
      <c r="BX62" s="758"/>
      <c r="BY62" s="758"/>
      <c r="BZ62" s="758"/>
      <c r="CA62" s="758"/>
      <c r="CB62" s="758"/>
      <c r="CC62" s="758"/>
      <c r="CD62" s="758"/>
      <c r="CE62" s="758"/>
      <c r="CF62" s="758"/>
      <c r="CG62" s="758"/>
      <c r="CH62" s="758"/>
      <c r="CI62" s="758"/>
      <c r="CJ62" s="758"/>
      <c r="CK62" s="758"/>
      <c r="CL62" s="758"/>
      <c r="CM62" s="758"/>
      <c r="CN62" s="758"/>
      <c r="CO62" s="758"/>
      <c r="CP62" s="758"/>
      <c r="CQ62" s="758"/>
      <c r="CR62" s="758"/>
      <c r="CS62" s="758"/>
      <c r="CT62" s="758"/>
      <c r="CU62" s="758"/>
      <c r="CV62" s="758"/>
      <c r="CW62" s="758"/>
      <c r="CX62" s="758"/>
      <c r="CY62" s="758"/>
      <c r="CZ62" s="758"/>
      <c r="DA62" s="758"/>
      <c r="DB62" s="758"/>
      <c r="DC62" s="758"/>
      <c r="DD62" s="758"/>
      <c r="DE62" s="758"/>
      <c r="DF62" s="758"/>
      <c r="DG62" s="758"/>
      <c r="DH62" s="758"/>
      <c r="DI62" s="758"/>
      <c r="DJ62" s="758"/>
      <c r="DK62" s="758"/>
      <c r="DL62" s="758"/>
      <c r="DM62" s="758"/>
      <c r="DN62" s="758"/>
      <c r="DO62" s="758"/>
      <c r="DP62" s="758"/>
      <c r="DQ62" s="758"/>
      <c r="DR62" s="758"/>
      <c r="DS62" s="758"/>
      <c r="DT62" s="758"/>
      <c r="DU62" s="758"/>
      <c r="DV62" s="758"/>
      <c r="DW62" s="758"/>
      <c r="DX62" s="758"/>
      <c r="DY62" s="758"/>
      <c r="DZ62" s="758"/>
      <c r="EA62" s="758"/>
      <c r="EB62" s="758"/>
      <c r="EC62" s="758"/>
      <c r="ED62" s="758"/>
      <c r="EE62" s="758"/>
      <c r="EF62" s="758"/>
      <c r="EG62" s="758"/>
      <c r="EH62" s="758"/>
      <c r="EI62" s="758"/>
      <c r="EJ62" s="758"/>
      <c r="EK62" s="758"/>
      <c r="EL62" s="758"/>
      <c r="EM62" s="758"/>
      <c r="EN62" s="758"/>
      <c r="EO62" s="758"/>
      <c r="EP62" s="758"/>
      <c r="EQ62" s="758"/>
      <c r="ER62" s="758"/>
      <c r="ES62" s="758"/>
      <c r="ET62" s="758"/>
      <c r="EU62" s="758"/>
      <c r="EV62" s="758"/>
      <c r="EW62" s="758"/>
      <c r="EX62" s="758"/>
      <c r="EY62" s="758"/>
      <c r="EZ62" s="758"/>
      <c r="FA62" s="758"/>
      <c r="FB62" s="758"/>
      <c r="FC62" s="758"/>
      <c r="FD62" s="758"/>
      <c r="FE62" s="758"/>
      <c r="FF62" s="758"/>
      <c r="FG62" s="758"/>
      <c r="FH62" s="758"/>
      <c r="FI62" s="758"/>
      <c r="FJ62" s="758"/>
      <c r="FK62" s="758"/>
      <c r="FL62" s="758"/>
      <c r="FM62" s="758"/>
      <c r="FN62" s="758"/>
      <c r="FO62" s="758"/>
      <c r="FP62" s="758"/>
      <c r="FQ62" s="758"/>
      <c r="FR62" s="758"/>
      <c r="FS62" s="758"/>
      <c r="FT62" s="758"/>
      <c r="FU62" s="758"/>
      <c r="FV62" s="758"/>
      <c r="FW62" s="758"/>
      <c r="FX62" s="758"/>
      <c r="FY62" s="758"/>
      <c r="FZ62" s="758"/>
      <c r="GA62" s="758"/>
      <c r="GB62" s="758"/>
      <c r="GC62" s="758"/>
      <c r="GD62" s="758"/>
      <c r="GE62" s="758"/>
      <c r="GF62" s="758"/>
      <c r="GG62" s="758"/>
      <c r="GH62" s="758"/>
      <c r="GI62" s="758"/>
      <c r="GJ62" s="758"/>
    </row>
    <row r="63" spans="1:202" s="77" customFormat="1" ht="12.75">
      <c r="A63" s="758"/>
      <c r="B63" s="818"/>
      <c r="C63" s="742" t="s">
        <v>744</v>
      </c>
      <c r="D63" s="823">
        <f ca="1">NPV('1.参数设置'!E9,'7.现金流量表（项目经营性）'!E61:AV61)</f>
        <v>2048.5328235443762</v>
      </c>
      <c r="E63" s="823">
        <f ca="1">NPV('1.参数设置'!$E$9,$E61:E61)</f>
        <v>0</v>
      </c>
      <c r="F63" s="823">
        <f ca="1">NPV('1.参数设置'!$E$9,$E61:F61)</f>
        <v>0</v>
      </c>
      <c r="G63" s="823">
        <f ca="1">NPV('1.参数设置'!$E$9,$E61:G61)</f>
        <v>-6523.7484877117058</v>
      </c>
      <c r="H63" s="823">
        <f ca="1">NPV('1.参数设置'!$E$9,$E61:H61)</f>
        <v>-29791.211819710417</v>
      </c>
      <c r="I63" s="823">
        <f ca="1">NPV('1.参数设置'!$E$9,$E61:I61)</f>
        <v>-29791.211819710417</v>
      </c>
      <c r="J63" s="823">
        <f ca="1">NPV('1.参数设置'!$E$9,$E61:J61)</f>
        <v>-35176.685013457238</v>
      </c>
      <c r="K63" s="823">
        <f ca="1">NPV('1.参数设置'!$E$9,$E61:K61)</f>
        <v>-22036.280386349121</v>
      </c>
      <c r="L63" s="823">
        <f ca="1">NPV('1.参数设置'!$E$9,$E61:L61)</f>
        <v>-1780.6628180977241</v>
      </c>
      <c r="M63" s="823">
        <f ca="1">NPV('1.参数设置'!$E$9,$E61:M61)</f>
        <v>8347.94466025771</v>
      </c>
      <c r="N63" s="823">
        <f ca="1">NPV('1.参数设置'!$E$9,$E61:N61)</f>
        <v>8347.94466025771</v>
      </c>
      <c r="O63" s="823">
        <f ca="1">NPV('1.参数设置'!$E$9,$E61:O61)</f>
        <v>8301.3527201266552</v>
      </c>
      <c r="P63" s="823">
        <f ca="1">NPV('1.参数设置'!$E$9,$E61:P61)</f>
        <v>11403.63021496932</v>
      </c>
      <c r="Q63" s="823">
        <f ca="1">NPV('1.参数设置'!$E$9,$E61:Q61)</f>
        <v>12556.952694839876</v>
      </c>
      <c r="R63" s="823">
        <f ca="1">NPV('1.参数设置'!$E$9,$E61:R61)</f>
        <v>5577.7078628787967</v>
      </c>
      <c r="S63" s="823">
        <f ca="1">NPV('1.参数设置'!$E$9,$E61:S61)</f>
        <v>5577.7078628787967</v>
      </c>
      <c r="T63" s="823">
        <f ca="1">NPV('1.参数设置'!$E$9,$E61:T61)</f>
        <v>4635.8063194439965</v>
      </c>
      <c r="U63" s="823">
        <f ca="1">NPV('1.参数设置'!$E$9,$E61:U61)</f>
        <v>3613.9880371695504</v>
      </c>
      <c r="V63" s="823">
        <f ca="1">NPV('1.参数设置'!$E$9,$E61:V61)</f>
        <v>2862.9630349861659</v>
      </c>
      <c r="W63" s="823">
        <f ca="1">NPV('1.参数设置'!$E$9,$E61:W61)</f>
        <v>2862.9630349861659</v>
      </c>
      <c r="X63" s="823">
        <f ca="1">NPV('1.参数设置'!$E$9,$E61:X61)</f>
        <v>2862.9630349861659</v>
      </c>
      <c r="Y63" s="823">
        <f ca="1">NPV('1.参数设置'!$E$9,$E61:Y61)</f>
        <v>2862.9630349861659</v>
      </c>
      <c r="Z63" s="823">
        <f ca="1">NPV('1.参数设置'!$E$9,$E61:Z61)</f>
        <v>2862.9630349861659</v>
      </c>
      <c r="AA63" s="823">
        <f ca="1">NPV('1.参数设置'!$E$9,$E61:AA61)</f>
        <v>2531.2008500731945</v>
      </c>
      <c r="AB63" s="823">
        <f ca="1">NPV('1.参数设置'!$E$9,$E61:AB61)</f>
        <v>2048.5328235443762</v>
      </c>
      <c r="AC63" s="823">
        <f ca="1">NPV('1.参数设置'!$E$9,$E61:AC61)</f>
        <v>2048.5328235443762</v>
      </c>
      <c r="AD63" s="823">
        <f ca="1">NPV('1.参数设置'!$E$9,$E61:AD61)</f>
        <v>2048.5328235443762</v>
      </c>
      <c r="AE63" s="823">
        <f ca="1">NPV('1.参数设置'!$E$9,$E61:AE61)</f>
        <v>2048.5328235443762</v>
      </c>
      <c r="AF63" s="823">
        <f ca="1">NPV('1.参数设置'!$E$9,$E61:AF61)</f>
        <v>2048.5328235443762</v>
      </c>
      <c r="AG63" s="823">
        <f ca="1">NPV('1.参数设置'!$E$9,$E61:AG61)</f>
        <v>2048.5328235443762</v>
      </c>
      <c r="AH63" s="823">
        <f ca="1">NPV('1.参数设置'!$E$9,$E61:AH61)</f>
        <v>2048.5328235443762</v>
      </c>
      <c r="AI63" s="823">
        <f ca="1">NPV('1.参数设置'!$E$9,$E61:AI61)</f>
        <v>2048.5328235443762</v>
      </c>
      <c r="AJ63" s="823">
        <f ca="1">NPV('1.参数设置'!$E$9,$E61:AJ61)</f>
        <v>2048.5328235443762</v>
      </c>
      <c r="AK63" s="823">
        <f ca="1">NPV('1.参数设置'!$E$9,$E61:AK61)</f>
        <v>2048.5328235443762</v>
      </c>
      <c r="AL63" s="823">
        <f ca="1">NPV('1.参数设置'!$E$9,$E61:AL61)</f>
        <v>2048.5328235443762</v>
      </c>
      <c r="AM63" s="823">
        <f ca="1">NPV('1.参数设置'!$E$9,$E61:AM61)</f>
        <v>2048.5328235443762</v>
      </c>
      <c r="AN63" s="823">
        <f ca="1">NPV('1.参数设置'!$E$9,$E61:AN61)</f>
        <v>2048.5328235443762</v>
      </c>
      <c r="AO63" s="823">
        <f ca="1">NPV('1.参数设置'!$E$9,$E61:AO61)</f>
        <v>2048.5328235443762</v>
      </c>
      <c r="AP63" s="823">
        <f ca="1">NPV('1.参数设置'!$E$9,$E61:AP61)</f>
        <v>2048.5328235443762</v>
      </c>
      <c r="AQ63" s="823">
        <f ca="1">NPV('1.参数设置'!$E$9,$E61:AQ61)</f>
        <v>2048.5328235443762</v>
      </c>
      <c r="AR63" s="823">
        <f ca="1">NPV('1.参数设置'!$E$9,$E61:AR61)</f>
        <v>2048.5328235443762</v>
      </c>
      <c r="AS63" s="823">
        <f ca="1">NPV('1.参数设置'!$E$9,$E61:AS61)</f>
        <v>2048.5328235443762</v>
      </c>
      <c r="AT63" s="823">
        <f ca="1">NPV('1.参数设置'!$E$9,$E61:AT61)</f>
        <v>2048.5328235443762</v>
      </c>
      <c r="AU63" s="823">
        <f ca="1">NPV('1.参数设置'!$E$9,$E61:AU61)</f>
        <v>2048.5328235443762</v>
      </c>
      <c r="AV63" s="823">
        <f ca="1">NPV('1.参数设置'!$E$9,$E61:AV61)</f>
        <v>2048.5328235443762</v>
      </c>
      <c r="AW63" s="823">
        <f ca="1">NPV('1.参数设置'!$E$9,$E61:AW61)</f>
        <v>2048.5328235443762</v>
      </c>
      <c r="AX63" s="823">
        <f ca="1">NPV('1.参数设置'!$E$9,$E61:AX61)</f>
        <v>2048.5328235443762</v>
      </c>
      <c r="AY63" s="823">
        <f ca="1">NPV('1.参数设置'!$E$9,$E61:AY61)</f>
        <v>2048.5328235443762</v>
      </c>
      <c r="AZ63" s="823">
        <f ca="1">NPV('1.参数设置'!$E$9,$E61:AZ61)</f>
        <v>2048.5328235443762</v>
      </c>
      <c r="BA63" s="823">
        <f ca="1">NPV('1.参数设置'!$E$9,$E61:BA61)</f>
        <v>2048.5328235443762</v>
      </c>
      <c r="BB63" s="823">
        <f ca="1">NPV('1.参数设置'!$E$9,$E61:BB61)</f>
        <v>2048.5328235443762</v>
      </c>
      <c r="BC63" s="823">
        <f ca="1">NPV('1.参数设置'!$E$9,$E61:BC61)</f>
        <v>2048.5328235443762</v>
      </c>
      <c r="BD63" s="823">
        <f ca="1">NPV('1.参数设置'!$E$9,$E61:BD61)</f>
        <v>2048.5328235443762</v>
      </c>
      <c r="BE63" s="823">
        <f ca="1">NPV('1.参数设置'!$E$9,$E61:BE61)</f>
        <v>2048.5328235443762</v>
      </c>
      <c r="BF63" s="823">
        <f ca="1">NPV('1.参数设置'!$E$9,$E61:BF61)</f>
        <v>2048.5328235443762</v>
      </c>
      <c r="BG63" s="78"/>
      <c r="BH63" s="78"/>
      <c r="BI63" s="78"/>
      <c r="BJ63" s="78"/>
      <c r="BK63" s="78"/>
      <c r="BL63" s="78"/>
      <c r="BM63" s="78"/>
      <c r="BN63" s="78"/>
      <c r="BO63" s="78"/>
      <c r="BP63" s="78"/>
      <c r="BQ63" s="78"/>
      <c r="BR63" s="78"/>
      <c r="BS63" s="78"/>
      <c r="BT63" s="78"/>
      <c r="BU63" s="78"/>
      <c r="BV63" s="78"/>
      <c r="BW63" s="78"/>
      <c r="BX63" s="78"/>
      <c r="BY63" s="78"/>
      <c r="BZ63" s="78"/>
      <c r="CA63" s="78"/>
      <c r="CB63" s="78"/>
      <c r="CC63" s="78"/>
      <c r="CD63" s="78"/>
      <c r="CE63" s="78"/>
      <c r="CF63" s="78"/>
      <c r="CG63" s="78"/>
      <c r="CH63" s="78"/>
      <c r="CI63" s="78"/>
      <c r="CJ63" s="78"/>
      <c r="CK63" s="78"/>
      <c r="CL63" s="78"/>
      <c r="CM63" s="78"/>
      <c r="CN63" s="78"/>
      <c r="CO63" s="78"/>
      <c r="CP63" s="78"/>
      <c r="CQ63" s="78"/>
      <c r="CR63" s="78"/>
      <c r="CS63" s="78"/>
      <c r="CT63" s="78"/>
      <c r="CU63" s="78"/>
      <c r="CV63" s="78"/>
      <c r="CW63" s="78"/>
      <c r="CX63" s="78"/>
      <c r="CY63" s="78"/>
      <c r="CZ63" s="78"/>
      <c r="DA63" s="78"/>
      <c r="DB63" s="78"/>
      <c r="DC63" s="78"/>
      <c r="DD63" s="78"/>
      <c r="DE63" s="78"/>
      <c r="DF63" s="78"/>
      <c r="DG63" s="78"/>
      <c r="DH63" s="78"/>
      <c r="DI63" s="78"/>
      <c r="DJ63" s="78"/>
      <c r="DK63" s="78"/>
      <c r="DL63" s="78"/>
      <c r="DM63" s="78"/>
      <c r="DN63" s="78"/>
      <c r="DO63" s="78"/>
      <c r="DP63" s="78"/>
      <c r="DQ63" s="78"/>
      <c r="DR63" s="78"/>
      <c r="DS63" s="78"/>
      <c r="DT63" s="78"/>
      <c r="DU63" s="78"/>
      <c r="DV63" s="78"/>
      <c r="DW63" s="78"/>
      <c r="DX63" s="78"/>
      <c r="DY63" s="78"/>
      <c r="DZ63" s="78"/>
      <c r="EA63" s="78"/>
      <c r="EB63" s="78"/>
      <c r="EC63" s="78"/>
      <c r="ED63" s="78"/>
      <c r="EE63" s="78"/>
      <c r="EF63" s="78"/>
      <c r="EG63" s="78"/>
      <c r="EH63" s="78"/>
      <c r="EI63" s="78"/>
      <c r="EJ63" s="78"/>
      <c r="EK63" s="78"/>
      <c r="EL63" s="78"/>
      <c r="EM63" s="78"/>
      <c r="EN63" s="78"/>
      <c r="EO63" s="78"/>
      <c r="EP63" s="78"/>
      <c r="EQ63" s="78"/>
      <c r="ER63" s="78"/>
      <c r="ES63" s="78"/>
      <c r="ET63" s="78"/>
      <c r="EU63" s="78"/>
      <c r="EV63" s="78"/>
      <c r="EW63" s="78"/>
      <c r="EX63" s="78"/>
      <c r="EY63" s="78"/>
      <c r="EZ63" s="78"/>
      <c r="FA63" s="78"/>
      <c r="FB63" s="78"/>
      <c r="FC63" s="78"/>
      <c r="FD63" s="78"/>
      <c r="FE63" s="78"/>
      <c r="FF63" s="78"/>
      <c r="FG63" s="78"/>
      <c r="FH63" s="78"/>
      <c r="FI63" s="78"/>
      <c r="FJ63" s="78"/>
      <c r="FK63" s="78"/>
      <c r="FL63" s="78"/>
      <c r="FM63" s="78"/>
      <c r="FN63" s="78"/>
      <c r="FO63" s="78"/>
      <c r="FP63" s="78"/>
      <c r="FQ63" s="78"/>
      <c r="FR63" s="78"/>
      <c r="FS63" s="78"/>
      <c r="FT63" s="78"/>
      <c r="FU63" s="78"/>
      <c r="FV63" s="78"/>
      <c r="FW63" s="78"/>
      <c r="FX63" s="78"/>
      <c r="FY63" s="78"/>
      <c r="FZ63" s="78"/>
      <c r="GA63" s="78"/>
      <c r="GB63" s="78"/>
      <c r="GC63" s="78"/>
      <c r="GD63" s="78"/>
      <c r="GE63" s="78"/>
      <c r="GF63" s="78"/>
      <c r="GG63" s="78"/>
      <c r="GH63" s="78"/>
      <c r="GI63" s="78"/>
      <c r="GJ63" s="78"/>
    </row>
    <row r="64" spans="1:202" s="247" customFormat="1" ht="12.75">
      <c r="A64" s="758"/>
      <c r="B64" s="821"/>
      <c r="C64" s="824" t="s">
        <v>745</v>
      </c>
      <c r="D64" s="758"/>
      <c r="E64" s="825">
        <f>E34*'1.参数设置'!$E$6+E48-E49</f>
        <v>0</v>
      </c>
      <c r="F64" s="825">
        <f ca="1">E64+F34*'1.参数设置'!$E$6+'7.现金流量表（项目经营性）'!F48-'7.现金流量表（项目经营性）'!F49</f>
        <v>0</v>
      </c>
      <c r="G64" s="825">
        <f ca="1">F64+G34*'1.参数设置'!$E$6+'7.现金流量表（项目经营性）'!G48-'7.现金流量表（项目经营性）'!G49</f>
        <v>7300</v>
      </c>
      <c r="H64" s="825">
        <f ca="1">G64+H34*'1.参数设置'!$E$6+'7.现金流量表（项目经营性）'!H48-'7.现金流量表（项目经营性）'!H49</f>
        <v>17400</v>
      </c>
      <c r="I64" s="825"/>
      <c r="J64" s="825">
        <f ca="1">I64+J34*'1.参数设置'!$E$6+'7.现金流量表（项目经营性）'!J48-'7.现金流量表（项目经营性）'!J49</f>
        <v>8300</v>
      </c>
      <c r="K64" s="825">
        <f ca="1">J64+K34*'1.参数设置'!$E$6+'7.现金流量表（项目经营性）'!K48-'7.现金流量表（项目经营性）'!K49</f>
        <v>-17400</v>
      </c>
      <c r="L64" s="825">
        <f ca="1">K64+L34*'1.参数设置'!$E$6+'7.现金流量表（项目经营性）'!L48-'7.现金流量表（项目经营性）'!L49</f>
        <v>-17400</v>
      </c>
      <c r="M64" s="825">
        <f ca="1">L64+M34*'1.参数设置'!$E$6+'7.现金流量表（项目经营性）'!M48-'7.现金流量表（项目经营性）'!M49</f>
        <v>-17400</v>
      </c>
      <c r="N64" s="825"/>
      <c r="O64" s="825">
        <f>N64+O34*'1.参数设置'!$E$6+'7.现金流量表（项目经营性）'!O48-'7.现金流量表（项目经营性）'!O49</f>
        <v>0</v>
      </c>
      <c r="P64" s="825">
        <f>O64+P34*'1.参数设置'!$E$6+'7.现金流量表（项目经营性）'!P48-'7.现金流量表（项目经营性）'!P49</f>
        <v>0</v>
      </c>
      <c r="Q64" s="825">
        <f ca="1">P64+Q34*'1.参数设置'!$E$6+'7.现金流量表（项目经营性）'!Q48-'7.现金流量表（项目经营性）'!Q49</f>
        <v>0</v>
      </c>
      <c r="R64" s="825">
        <f ca="1">Q64+R34*'1.参数设置'!$E$6+'7.现金流量表（项目经营性）'!R48-'7.现金流量表（项目经营性）'!R49</f>
        <v>0</v>
      </c>
      <c r="S64" s="825"/>
      <c r="T64" s="825">
        <f ca="1">S64+T34*'1.参数设置'!$E$6+'7.现金流量表（项目经营性）'!T48-'7.现金流量表（项目经营性）'!T49</f>
        <v>0</v>
      </c>
      <c r="U64" s="825">
        <f ca="1">T64+U34*'1.参数设置'!$E$6+'7.现金流量表（项目经营性）'!U48-'7.现金流量表（项目经营性）'!U49</f>
        <v>0</v>
      </c>
      <c r="V64" s="825">
        <f ca="1">U64+V34*'1.参数设置'!$E$6+'7.现金流量表（项目经营性）'!V48-'7.现金流量表（项目经营性）'!V49</f>
        <v>0</v>
      </c>
      <c r="W64" s="825">
        <f ca="1">V64+W34*'1.参数设置'!$E$6+'7.现金流量表（项目经营性）'!W48-'7.现金流量表（项目经营性）'!W49</f>
        <v>0</v>
      </c>
      <c r="X64" s="825"/>
      <c r="Y64" s="825">
        <f ca="1">X64+Y34*'1.参数设置'!$E$6+'7.现金流量表（项目经营性）'!Y48-'7.现金流量表（项目经营性）'!Y49</f>
        <v>0</v>
      </c>
      <c r="Z64" s="825">
        <f ca="1">Y64+Z34*'1.参数设置'!$E$6+'7.现金流量表（项目经营性）'!Z48-'7.现金流量表（项目经营性）'!Z49</f>
        <v>0</v>
      </c>
      <c r="AA64" s="825">
        <f ca="1">Z64+AA34*'1.参数设置'!$E$6+'7.现金流量表（项目经营性）'!AA48-'7.现金流量表（项目经营性）'!AA49</f>
        <v>0</v>
      </c>
      <c r="AB64" s="825">
        <f ca="1">AA64+AB34*'1.参数设置'!$E$6+'7.现金流量表（项目经营性）'!AB48-'7.现金流量表（项目经营性）'!AB49</f>
        <v>0</v>
      </c>
      <c r="AC64" s="825"/>
      <c r="AD64" s="825">
        <f ca="1">AC64+AD34*'1.参数设置'!$E$6+'7.现金流量表（项目经营性）'!AD48-'7.现金流量表（项目经营性）'!AD49</f>
        <v>0</v>
      </c>
      <c r="AE64" s="825">
        <f ca="1">AD64+AE34*'1.参数设置'!$E$6+'7.现金流量表（项目经营性）'!AE48-'7.现金流量表（项目经营性）'!AE49</f>
        <v>0</v>
      </c>
      <c r="AF64" s="825">
        <f ca="1">AE64+AF34*'1.参数设置'!$E$6+'7.现金流量表（项目经营性）'!AF48-'7.现金流量表（项目经营性）'!AF49</f>
        <v>0</v>
      </c>
      <c r="AG64" s="825">
        <f ca="1">AF64+AG34*'1.参数设置'!$E$6+'7.现金流量表（项目经营性）'!AG48-'7.现金流量表（项目经营性）'!AG49</f>
        <v>0</v>
      </c>
      <c r="AH64" s="825"/>
      <c r="AI64" s="825">
        <f ca="1">AH64+AI34*'1.参数设置'!$E$6+'7.现金流量表（项目经营性）'!AI48-'7.现金流量表（项目经营性）'!AI49</f>
        <v>0</v>
      </c>
      <c r="AJ64" s="825">
        <f ca="1">AI64+AJ34*'1.参数设置'!$E$6+'7.现金流量表（项目经营性）'!AJ48-'7.现金流量表（项目经营性）'!AJ49</f>
        <v>0</v>
      </c>
      <c r="AK64" s="825">
        <f ca="1">AJ64+AK34*'1.参数设置'!$E$6+'7.现金流量表（项目经营性）'!AK48-'7.现金流量表（项目经营性）'!AK49</f>
        <v>0</v>
      </c>
      <c r="AL64" s="825">
        <f ca="1">AK64+AL34*'1.参数设置'!$E$6+'7.现金流量表（项目经营性）'!AL48-'7.现金流量表（项目经营性）'!AL49</f>
        <v>0</v>
      </c>
      <c r="AM64" s="825"/>
      <c r="AN64" s="825">
        <f ca="1">AM64+AN34*'1.参数设置'!$E$6+'7.现金流量表（项目经营性）'!AN48-'7.现金流量表（项目经营性）'!AN49</f>
        <v>0</v>
      </c>
      <c r="AO64" s="825">
        <f ca="1">AN64+AO34*'1.参数设置'!$E$6+'7.现金流量表（项目经营性）'!AO48-'7.现金流量表（项目经营性）'!AO49</f>
        <v>0</v>
      </c>
      <c r="AP64" s="825">
        <f ca="1">AO64+AP34*'1.参数设置'!$E$6+'7.现金流量表（项目经营性）'!AP48-'7.现金流量表（项目经营性）'!AP49</f>
        <v>0</v>
      </c>
      <c r="AQ64" s="825">
        <f ca="1">AP64+AQ34*'1.参数设置'!$E$6+'7.现金流量表（项目经营性）'!AQ48-'7.现金流量表（项目经营性）'!AQ49</f>
        <v>0</v>
      </c>
      <c r="AR64" s="825"/>
      <c r="AS64" s="825">
        <f ca="1">AR64+AS34*'1.参数设置'!$E$6+'7.现金流量表（项目经营性）'!AS48-'7.现金流量表（项目经营性）'!AS49</f>
        <v>0</v>
      </c>
      <c r="AT64" s="825">
        <f ca="1">AS64+AT34*'1.参数设置'!$E$6+'7.现金流量表（项目经营性）'!AT48-'7.现金流量表（项目经营性）'!AT49</f>
        <v>0</v>
      </c>
      <c r="AU64" s="825">
        <f ca="1">AT64+AU34*'1.参数设置'!$E$6+'7.现金流量表（项目经营性）'!AU48-'7.现金流量表（项目经营性）'!AU49</f>
        <v>0</v>
      </c>
      <c r="AV64" s="825">
        <f ca="1">AU64+AV34*'1.参数设置'!$E$6+'7.现金流量表（项目经营性）'!AV48-'7.现金流量表（项目经营性）'!AV49</f>
        <v>0</v>
      </c>
      <c r="AW64" s="825"/>
      <c r="AX64" s="825">
        <f ca="1">AW64+AX34*'1.参数设置'!$E$6+'7.现金流量表（项目经营性）'!AX48-'7.现金流量表（项目经营性）'!AX49</f>
        <v>0</v>
      </c>
      <c r="AY64" s="825">
        <f ca="1">AX64+AY34*'1.参数设置'!$E$6+'7.现金流量表（项目经营性）'!AY48-'7.现金流量表（项目经营性）'!AY49</f>
        <v>0</v>
      </c>
      <c r="AZ64" s="825">
        <f ca="1">AY64+AZ34*'1.参数设置'!$E$6+'7.现金流量表（项目经营性）'!AZ48-'7.现金流量表（项目经营性）'!AZ49</f>
        <v>0</v>
      </c>
      <c r="BA64" s="825">
        <f ca="1">AZ64+BA34*'1.参数设置'!$E$6+'7.现金流量表（项目经营性）'!BA48-'7.现金流量表（项目经营性）'!BA49</f>
        <v>0</v>
      </c>
      <c r="BB64" s="825"/>
      <c r="BC64" s="825">
        <f ca="1">BB64+BC34*'1.参数设置'!$E$6+'7.现金流量表（项目经营性）'!BC48-'7.现金流量表（项目经营性）'!BC49</f>
        <v>0</v>
      </c>
      <c r="BD64" s="825">
        <f ca="1">BC64+BD34*'1.参数设置'!$E$6+'7.现金流量表（项目经营性）'!BD48-'7.现金流量表（项目经营性）'!BD49</f>
        <v>0</v>
      </c>
      <c r="BE64" s="825">
        <f ca="1">BD64+BE34*'1.参数设置'!$E$6+'7.现金流量表（项目经营性）'!BE48-'7.现金流量表（项目经营性）'!BE49</f>
        <v>0</v>
      </c>
      <c r="BF64" s="825">
        <f ca="1">BE64+BF34*'1.参数设置'!$E$6+'7.现金流量表（项目经营性）'!BF48-'7.现金流量表（项目经营性）'!BF49</f>
        <v>0</v>
      </c>
      <c r="BG64" s="758"/>
      <c r="BH64" s="758"/>
      <c r="BI64" s="758"/>
      <c r="BJ64" s="758"/>
      <c r="BK64" s="758"/>
      <c r="BL64" s="758"/>
      <c r="BM64" s="758"/>
      <c r="BN64" s="758"/>
      <c r="BO64" s="758"/>
      <c r="BP64" s="758"/>
      <c r="BQ64" s="758"/>
      <c r="BR64" s="758"/>
      <c r="BS64" s="758"/>
      <c r="BT64" s="758"/>
      <c r="BU64" s="758"/>
      <c r="BV64" s="758"/>
      <c r="BW64" s="758"/>
      <c r="BX64" s="758"/>
      <c r="BY64" s="758"/>
      <c r="BZ64" s="758"/>
      <c r="CA64" s="758"/>
      <c r="CB64" s="758"/>
      <c r="CC64" s="758"/>
      <c r="CD64" s="758"/>
      <c r="CE64" s="758"/>
      <c r="CF64" s="758"/>
      <c r="CG64" s="758"/>
      <c r="CH64" s="758"/>
      <c r="CI64" s="758"/>
      <c r="CJ64" s="758"/>
      <c r="CK64" s="758"/>
      <c r="CL64" s="758"/>
      <c r="CM64" s="758"/>
      <c r="CN64" s="758"/>
      <c r="CO64" s="758"/>
      <c r="CP64" s="758"/>
      <c r="CQ64" s="758"/>
      <c r="CR64" s="758"/>
      <c r="CS64" s="758"/>
      <c r="CT64" s="758"/>
      <c r="CU64" s="758"/>
      <c r="CV64" s="758"/>
      <c r="CW64" s="758"/>
      <c r="CX64" s="758"/>
      <c r="CY64" s="758"/>
      <c r="CZ64" s="758"/>
      <c r="DA64" s="758"/>
      <c r="DB64" s="758"/>
      <c r="DC64" s="758"/>
      <c r="DD64" s="758"/>
      <c r="DE64" s="758"/>
      <c r="DF64" s="758"/>
      <c r="DG64" s="758"/>
      <c r="DH64" s="758"/>
      <c r="DI64" s="758"/>
      <c r="DJ64" s="758"/>
      <c r="DK64" s="758"/>
      <c r="DL64" s="758"/>
      <c r="DM64" s="758"/>
      <c r="DN64" s="758"/>
      <c r="DO64" s="758"/>
      <c r="DP64" s="758"/>
      <c r="DQ64" s="758"/>
      <c r="DR64" s="758"/>
      <c r="DS64" s="758"/>
      <c r="DT64" s="758"/>
      <c r="DU64" s="758"/>
      <c r="DV64" s="758"/>
      <c r="DW64" s="758"/>
      <c r="DX64" s="758"/>
      <c r="DY64" s="758"/>
      <c r="DZ64" s="758"/>
      <c r="EA64" s="758"/>
      <c r="EB64" s="758"/>
      <c r="EC64" s="758"/>
      <c r="ED64" s="758"/>
      <c r="EE64" s="758"/>
      <c r="EF64" s="758"/>
      <c r="EG64" s="758"/>
      <c r="EH64" s="758"/>
      <c r="EI64" s="758"/>
      <c r="EJ64" s="758"/>
      <c r="EK64" s="758"/>
      <c r="EL64" s="758"/>
      <c r="EM64" s="758"/>
      <c r="EN64" s="758"/>
      <c r="EO64" s="758"/>
      <c r="EP64" s="758"/>
      <c r="EQ64" s="758"/>
      <c r="ER64" s="758"/>
      <c r="ES64" s="758"/>
      <c r="ET64" s="758"/>
      <c r="EU64" s="758"/>
      <c r="EV64" s="758"/>
      <c r="EW64" s="758"/>
      <c r="EX64" s="758"/>
      <c r="EY64" s="758"/>
      <c r="EZ64" s="758"/>
      <c r="FA64" s="758"/>
      <c r="FB64" s="758"/>
      <c r="FC64" s="758"/>
      <c r="FD64" s="758"/>
      <c r="FE64" s="758"/>
      <c r="FF64" s="758"/>
      <c r="FG64" s="758"/>
      <c r="FH64" s="758"/>
      <c r="FI64" s="758"/>
      <c r="FJ64" s="758"/>
      <c r="FK64" s="758"/>
      <c r="FL64" s="758"/>
      <c r="FM64" s="758"/>
      <c r="FN64" s="758"/>
      <c r="FO64" s="758"/>
      <c r="FP64" s="758"/>
      <c r="FQ64" s="758"/>
      <c r="FR64" s="758"/>
      <c r="FS64" s="758"/>
      <c r="FT64" s="758"/>
      <c r="FU64" s="758"/>
      <c r="FV64" s="758"/>
      <c r="FW64" s="758"/>
      <c r="FX64" s="758"/>
      <c r="FY64" s="758"/>
      <c r="FZ64" s="758"/>
      <c r="GA64" s="758"/>
      <c r="GB64" s="758"/>
      <c r="GC64" s="758"/>
      <c r="GD64" s="758"/>
      <c r="GE64" s="758"/>
      <c r="GF64" s="758"/>
      <c r="GG64" s="758"/>
      <c r="GH64" s="758"/>
      <c r="GI64" s="758"/>
      <c r="GJ64" s="758"/>
    </row>
    <row r="65" spans="1:192">
      <c r="C65" s="855" t="s">
        <v>746</v>
      </c>
      <c r="D65" s="856">
        <f ca="1">MAX(D64:BF64)</f>
        <v>17400</v>
      </c>
    </row>
    <row r="66" spans="1:192" ht="29.25" customHeight="1">
      <c r="C66" s="855" t="s">
        <v>747</v>
      </c>
      <c r="D66" s="857" t="s">
        <v>748</v>
      </c>
    </row>
    <row r="67" spans="1:192">
      <c r="C67" s="855" t="s">
        <v>749</v>
      </c>
      <c r="D67" s="858">
        <f ca="1">D62</f>
        <v>0</v>
      </c>
    </row>
    <row r="68" spans="1:192">
      <c r="A68" s="758"/>
      <c r="B68" s="818"/>
      <c r="C68" s="473"/>
      <c r="D68" s="681"/>
      <c r="E68" s="747"/>
      <c r="F68" s="747"/>
      <c r="G68" s="747"/>
      <c r="H68" s="747"/>
      <c r="I68" s="747"/>
      <c r="J68" s="747"/>
      <c r="K68" s="747"/>
      <c r="L68" s="747"/>
      <c r="M68" s="747"/>
      <c r="N68" s="747"/>
      <c r="O68" s="747"/>
      <c r="P68" s="747"/>
      <c r="Q68" s="747"/>
      <c r="R68" s="747"/>
      <c r="S68" s="747"/>
      <c r="T68" s="747"/>
      <c r="U68" s="747"/>
      <c r="V68" s="747"/>
      <c r="W68" s="747"/>
      <c r="X68" s="747"/>
      <c r="Y68" s="747"/>
      <c r="Z68" s="747"/>
      <c r="AA68" s="747"/>
      <c r="AB68" s="747"/>
      <c r="AC68" s="747"/>
      <c r="AD68" s="747"/>
      <c r="AE68" s="747"/>
      <c r="AF68" s="747"/>
      <c r="AG68" s="747"/>
      <c r="AH68" s="747"/>
      <c r="AI68" s="747"/>
      <c r="AJ68" s="747"/>
      <c r="AK68" s="747"/>
      <c r="AL68" s="747"/>
      <c r="AM68" s="747"/>
      <c r="AN68" s="747"/>
      <c r="AO68" s="747"/>
      <c r="AP68" s="747"/>
      <c r="AQ68" s="747"/>
      <c r="AR68" s="747"/>
      <c r="AS68" s="747"/>
      <c r="AT68" s="747"/>
      <c r="AU68" s="747"/>
      <c r="AV68" s="747"/>
      <c r="AW68" s="747"/>
      <c r="AX68" s="747"/>
      <c r="AY68" s="747"/>
      <c r="AZ68" s="747"/>
      <c r="BA68" s="747"/>
      <c r="BB68" s="747"/>
      <c r="BC68" s="747"/>
      <c r="BD68" s="747"/>
      <c r="BE68" s="747"/>
      <c r="BF68" s="747"/>
      <c r="BG68" s="747"/>
      <c r="BH68" s="747"/>
      <c r="BI68" s="747"/>
      <c r="BJ68" s="747"/>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c r="CI68" s="747"/>
      <c r="CJ68" s="747"/>
      <c r="CK68" s="747"/>
      <c r="CL68" s="747"/>
      <c r="CM68" s="747"/>
      <c r="CN68" s="747"/>
      <c r="CO68" s="747"/>
      <c r="CP68" s="747"/>
      <c r="CQ68" s="747"/>
      <c r="CR68" s="747"/>
      <c r="CS68" s="747"/>
      <c r="CT68" s="747"/>
      <c r="CU68" s="747"/>
      <c r="CV68" s="747"/>
      <c r="CW68" s="747"/>
      <c r="CX68" s="747"/>
      <c r="CY68" s="747"/>
      <c r="CZ68" s="747"/>
      <c r="DA68" s="747"/>
      <c r="DB68" s="747"/>
      <c r="DC68" s="747"/>
      <c r="DD68" s="747"/>
      <c r="DE68" s="747"/>
      <c r="DF68" s="747"/>
      <c r="DG68" s="747"/>
      <c r="DH68" s="747"/>
      <c r="DI68" s="747"/>
      <c r="DJ68" s="747"/>
      <c r="DK68" s="747"/>
      <c r="DL68" s="747"/>
      <c r="DM68" s="747"/>
      <c r="DN68" s="747"/>
      <c r="DO68" s="747"/>
      <c r="DP68" s="747"/>
      <c r="DQ68" s="747"/>
      <c r="DR68" s="747"/>
      <c r="DS68" s="747"/>
      <c r="DT68" s="747"/>
      <c r="DU68" s="747"/>
      <c r="DV68" s="747"/>
      <c r="DW68" s="747"/>
      <c r="DX68" s="747"/>
      <c r="DY68" s="747"/>
      <c r="DZ68" s="747"/>
      <c r="EA68" s="747"/>
      <c r="EB68" s="747"/>
      <c r="EC68" s="747"/>
      <c r="ED68" s="747"/>
      <c r="EE68" s="747"/>
      <c r="EF68" s="747"/>
      <c r="EG68" s="747"/>
      <c r="EH68" s="747"/>
      <c r="EI68" s="747"/>
      <c r="EJ68" s="747"/>
      <c r="EK68" s="747"/>
      <c r="EL68" s="747"/>
      <c r="EM68" s="747"/>
      <c r="EN68" s="747"/>
      <c r="EO68" s="747"/>
      <c r="EP68" s="747"/>
      <c r="EQ68" s="747"/>
      <c r="ER68" s="747"/>
      <c r="ES68" s="747"/>
      <c r="ET68" s="747"/>
      <c r="EU68" s="747"/>
      <c r="EV68" s="747"/>
      <c r="EW68" s="747"/>
      <c r="EX68" s="747"/>
      <c r="EY68" s="747"/>
      <c r="EZ68" s="747"/>
      <c r="FA68" s="747"/>
      <c r="FB68" s="747"/>
      <c r="FC68" s="747"/>
      <c r="FD68" s="747"/>
      <c r="FE68" s="747"/>
      <c r="FF68" s="747"/>
      <c r="FG68" s="747"/>
      <c r="FH68" s="747"/>
      <c r="FI68" s="747"/>
      <c r="FJ68" s="747"/>
      <c r="FK68" s="747"/>
      <c r="FL68" s="747"/>
      <c r="FM68" s="747"/>
      <c r="FN68" s="747"/>
      <c r="FO68" s="747"/>
      <c r="FP68" s="747"/>
      <c r="FQ68" s="747"/>
      <c r="FR68" s="747"/>
      <c r="FS68" s="747"/>
      <c r="FT68" s="747"/>
      <c r="FU68" s="747"/>
      <c r="FV68" s="747"/>
      <c r="FW68" s="747"/>
      <c r="FX68" s="747"/>
      <c r="FY68" s="747"/>
      <c r="FZ68" s="747"/>
      <c r="GA68" s="747"/>
      <c r="GB68" s="747"/>
      <c r="GC68" s="747"/>
      <c r="GD68" s="747"/>
      <c r="GE68" s="747"/>
      <c r="GF68" s="747"/>
      <c r="GG68" s="747"/>
      <c r="GH68" s="747"/>
      <c r="GI68" s="747"/>
      <c r="GJ68" s="747"/>
    </row>
  </sheetData>
  <protectedRanges>
    <protectedRange sqref="E51 AL51:AW51 F47:AW47 E53:E54 F52:AW54 I55 N55 S55 X55 AC55 AH55 AM55 AR55 AW55 AX53:BA54 BC53:BF54 F50:AW50 F48:F49 I48:AW48 I49 L49:AW49" name="区域1_1"/>
    <protectedRange sqref="F51:AK51" name="区域1_2_1"/>
    <protectedRange sqref="G48:H49" name="区域1_1_1"/>
    <protectedRange sqref="J49:K49" name="区域1_1_2"/>
  </protectedRanges>
  <phoneticPr fontId="102" type="noConversion"/>
  <hyperlinks>
    <hyperlink ref="D1" location="目录!A1" display="返回目录"/>
  </hyperlinks>
  <pageMargins left="0.69930555555555596" right="0.69930555555555596"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73"/>
  <sheetViews>
    <sheetView showGridLines="0" workbookViewId="0">
      <pane xSplit="3" ySplit="13" topLeftCell="D14" activePane="bottomRight" state="frozen"/>
      <selection pane="topRight"/>
      <selection pane="bottomLeft"/>
      <selection pane="bottomRight" activeCell="D19" sqref="D19"/>
    </sheetView>
  </sheetViews>
  <sheetFormatPr defaultColWidth="9" defaultRowHeight="12.75"/>
  <cols>
    <col min="1" max="1" width="3.5" style="77" customWidth="1"/>
    <col min="2" max="2" width="15.625" style="77" customWidth="1"/>
    <col min="3" max="3" width="10.375" style="77" customWidth="1"/>
    <col min="4" max="5" width="9" style="77"/>
    <col min="6" max="6" width="9.125" style="77" customWidth="1"/>
    <col min="7" max="7" width="9.5" style="77" customWidth="1"/>
    <col min="8" max="11" width="10.125" style="77" customWidth="1"/>
    <col min="12" max="49" width="9.625" style="77" customWidth="1"/>
    <col min="50" max="16384" width="9" style="77"/>
  </cols>
  <sheetData>
    <row r="1" spans="2:49" ht="18.75">
      <c r="B1" s="79" t="s">
        <v>750</v>
      </c>
      <c r="C1" s="79"/>
      <c r="D1" s="80" t="s">
        <v>117</v>
      </c>
      <c r="E1" s="79"/>
    </row>
    <row r="3" spans="2:49">
      <c r="B3" s="81" t="s">
        <v>118</v>
      </c>
      <c r="C3" s="81"/>
      <c r="D3" s="81"/>
      <c r="E3" s="81"/>
    </row>
    <row r="4" spans="2:49">
      <c r="B4" s="81"/>
      <c r="C4" s="81"/>
      <c r="D4" s="81"/>
      <c r="E4" s="81"/>
    </row>
    <row r="5" spans="2:49">
      <c r="B5" s="82" t="s">
        <v>751</v>
      </c>
      <c r="C5" s="82"/>
      <c r="D5" s="82"/>
      <c r="E5" s="82"/>
    </row>
    <row r="6" spans="2:49">
      <c r="B6" s="686" t="s">
        <v>569</v>
      </c>
      <c r="C6" s="686" t="s">
        <v>752</v>
      </c>
      <c r="D6" s="686" t="s">
        <v>753</v>
      </c>
    </row>
    <row r="7" spans="2:49">
      <c r="B7" s="248" t="s">
        <v>754</v>
      </c>
      <c r="C7" s="687">
        <f ca="1">SUM('5.分产品利润表'!B7:B8,'5.分产品利润表'!B10,'5.分产品利润表'!B13:B17)</f>
        <v>71881.213115187435</v>
      </c>
      <c r="D7" s="688">
        <f ca="1">IF(C7=0,0,C7/C7)</f>
        <v>1</v>
      </c>
    </row>
    <row r="8" spans="2:49">
      <c r="B8" s="689" t="s">
        <v>755</v>
      </c>
      <c r="C8" s="91">
        <f>C19</f>
        <v>27000</v>
      </c>
      <c r="D8" s="688">
        <f ca="1">IFERROR(C8/C7,0)</f>
        <v>0.37561970409059914</v>
      </c>
      <c r="E8" s="690"/>
      <c r="F8" s="691"/>
    </row>
    <row r="10" spans="2:49">
      <c r="B10" s="82" t="s">
        <v>756</v>
      </c>
      <c r="C10" s="82"/>
      <c r="D10" s="82"/>
      <c r="E10" s="82"/>
    </row>
    <row r="11" spans="2:49" ht="15.75" customHeight="1">
      <c r="B11" s="141" t="s">
        <v>757</v>
      </c>
      <c r="C11" s="141"/>
      <c r="D11" s="141"/>
      <c r="E11" s="141"/>
      <c r="F11" s="81" t="s">
        <v>533</v>
      </c>
    </row>
    <row r="12" spans="2:49" ht="17.25" customHeight="1">
      <c r="B12" s="1886" t="s">
        <v>598</v>
      </c>
      <c r="C12" s="1888" t="s">
        <v>251</v>
      </c>
      <c r="D12" s="1888" t="s">
        <v>238</v>
      </c>
      <c r="E12" s="1888" t="s">
        <v>758</v>
      </c>
      <c r="F12" s="1890">
        <f>'1.参数设置'!C4</f>
        <v>2018</v>
      </c>
      <c r="G12" s="1891"/>
      <c r="H12" s="1891"/>
      <c r="I12" s="1892"/>
      <c r="J12" s="1884">
        <f>F12+1</f>
        <v>2019</v>
      </c>
      <c r="K12" s="1884"/>
      <c r="L12" s="1884"/>
      <c r="M12" s="1884"/>
      <c r="N12" s="1884">
        <f>J12+1</f>
        <v>2020</v>
      </c>
      <c r="O12" s="1884"/>
      <c r="P12" s="1884"/>
      <c r="Q12" s="1884"/>
      <c r="R12" s="1884">
        <f>N12+1</f>
        <v>2021</v>
      </c>
      <c r="S12" s="1884"/>
      <c r="T12" s="1884"/>
      <c r="U12" s="1884"/>
      <c r="V12" s="1884">
        <f>R12+1</f>
        <v>2022</v>
      </c>
      <c r="W12" s="1884"/>
      <c r="X12" s="1884"/>
      <c r="Y12" s="1884"/>
      <c r="Z12" s="1884">
        <f>V12+1</f>
        <v>2023</v>
      </c>
      <c r="AA12" s="1884"/>
      <c r="AB12" s="1884"/>
      <c r="AC12" s="1884"/>
      <c r="AD12" s="1884">
        <f>Z12+1</f>
        <v>2024</v>
      </c>
      <c r="AE12" s="1884"/>
      <c r="AF12" s="1884"/>
      <c r="AG12" s="1884"/>
      <c r="AH12" s="1884">
        <f>AD12+1</f>
        <v>2025</v>
      </c>
      <c r="AI12" s="1884"/>
      <c r="AJ12" s="1884"/>
      <c r="AK12" s="1884"/>
      <c r="AL12" s="1884">
        <f>AH12+1</f>
        <v>2026</v>
      </c>
      <c r="AM12" s="1884"/>
      <c r="AN12" s="1884"/>
      <c r="AO12" s="1884"/>
      <c r="AP12" s="1884">
        <f>AL12+1</f>
        <v>2027</v>
      </c>
      <c r="AQ12" s="1884"/>
      <c r="AR12" s="1884"/>
      <c r="AS12" s="1884"/>
      <c r="AT12" s="1884">
        <f>AP12+1</f>
        <v>2028</v>
      </c>
      <c r="AU12" s="1884"/>
      <c r="AV12" s="1884"/>
      <c r="AW12" s="1885"/>
    </row>
    <row r="13" spans="2:49" ht="17.25" customHeight="1">
      <c r="B13" s="1887"/>
      <c r="C13" s="1871"/>
      <c r="D13" s="1871"/>
      <c r="E13" s="1871"/>
      <c r="F13" s="222">
        <v>1</v>
      </c>
      <c r="G13" s="223">
        <v>2</v>
      </c>
      <c r="H13" s="223">
        <v>3</v>
      </c>
      <c r="I13" s="224">
        <v>4</v>
      </c>
      <c r="J13" s="222">
        <v>1</v>
      </c>
      <c r="K13" s="223">
        <v>2</v>
      </c>
      <c r="L13" s="223">
        <v>3</v>
      </c>
      <c r="M13" s="224">
        <v>4</v>
      </c>
      <c r="N13" s="222">
        <v>1</v>
      </c>
      <c r="O13" s="223">
        <v>2</v>
      </c>
      <c r="P13" s="223">
        <v>3</v>
      </c>
      <c r="Q13" s="224">
        <v>4</v>
      </c>
      <c r="R13" s="222">
        <v>1</v>
      </c>
      <c r="S13" s="223">
        <v>2</v>
      </c>
      <c r="T13" s="223">
        <v>3</v>
      </c>
      <c r="U13" s="224">
        <v>4</v>
      </c>
      <c r="V13" s="222">
        <v>1</v>
      </c>
      <c r="W13" s="223">
        <v>2</v>
      </c>
      <c r="X13" s="223">
        <v>3</v>
      </c>
      <c r="Y13" s="224">
        <v>4</v>
      </c>
      <c r="Z13" s="222">
        <v>1</v>
      </c>
      <c r="AA13" s="223">
        <v>2</v>
      </c>
      <c r="AB13" s="223">
        <v>3</v>
      </c>
      <c r="AC13" s="224">
        <v>4</v>
      </c>
      <c r="AD13" s="222">
        <v>1</v>
      </c>
      <c r="AE13" s="223">
        <v>2</v>
      </c>
      <c r="AF13" s="223">
        <v>3</v>
      </c>
      <c r="AG13" s="224">
        <v>4</v>
      </c>
      <c r="AH13" s="222">
        <v>1</v>
      </c>
      <c r="AI13" s="223">
        <v>2</v>
      </c>
      <c r="AJ13" s="223">
        <v>3</v>
      </c>
      <c r="AK13" s="224">
        <v>4</v>
      </c>
      <c r="AL13" s="222">
        <v>1</v>
      </c>
      <c r="AM13" s="223">
        <v>2</v>
      </c>
      <c r="AN13" s="223">
        <v>3</v>
      </c>
      <c r="AO13" s="224">
        <v>4</v>
      </c>
      <c r="AP13" s="222">
        <v>1</v>
      </c>
      <c r="AQ13" s="223">
        <v>2</v>
      </c>
      <c r="AR13" s="223">
        <v>3</v>
      </c>
      <c r="AS13" s="224">
        <v>4</v>
      </c>
      <c r="AT13" s="222">
        <v>1</v>
      </c>
      <c r="AU13" s="223">
        <v>2</v>
      </c>
      <c r="AV13" s="223">
        <v>3</v>
      </c>
      <c r="AW13" s="730">
        <v>4</v>
      </c>
    </row>
    <row r="14" spans="2:49" ht="15" customHeight="1">
      <c r="B14" s="693" t="s">
        <v>342</v>
      </c>
      <c r="C14" s="687">
        <f t="shared" ref="C14:C18" ca="1" si="0">AW14</f>
        <v>21633.361383609434</v>
      </c>
      <c r="D14" s="694"/>
      <c r="E14" s="695"/>
      <c r="F14" s="696">
        <f ca="1">'7.现金流量表'!E29</f>
        <v>0</v>
      </c>
      <c r="G14" s="697">
        <f ca="1">'7.现金流量表'!F29</f>
        <v>0</v>
      </c>
      <c r="H14" s="697">
        <f ca="1">'7.现金流量表'!G29</f>
        <v>-7150</v>
      </c>
      <c r="I14" s="727">
        <f ca="1">'7.现金流量表'!H29</f>
        <v>-20514.472114965785</v>
      </c>
      <c r="J14" s="696">
        <f ca="1">'7.现金流量表'!J29</f>
        <v>-21671.355534965784</v>
      </c>
      <c r="K14" s="697">
        <f ca="1">'7.现金流量表'!K29</f>
        <v>-5887.016388598151</v>
      </c>
      <c r="L14" s="697">
        <f ca="1">'7.现金流量表'!L29</f>
        <v>18645.184900024185</v>
      </c>
      <c r="M14" s="727">
        <f ca="1">'7.现金流量表'!M29</f>
        <v>31578.403789136235</v>
      </c>
      <c r="N14" s="696">
        <f ca="1">'7.现金流量表'!O29</f>
        <v>31517.064704165488</v>
      </c>
      <c r="O14" s="697">
        <f ca="1">'7.现金流量表'!P29</f>
        <v>35727.982380490808</v>
      </c>
      <c r="P14" s="697">
        <f ca="1">'7.现金流量表'!Q29</f>
        <v>37342.030494522623</v>
      </c>
      <c r="Q14" s="727">
        <f ca="1">'7.现金流量表'!R29</f>
        <v>27271.699064220484</v>
      </c>
      <c r="R14" s="696">
        <f ca="1">'7.现金流量表'!T29</f>
        <v>25870.465763609434</v>
      </c>
      <c r="S14" s="697">
        <f ca="1">'7.现金流量表'!U29</f>
        <v>24303.179883609435</v>
      </c>
      <c r="T14" s="697">
        <f ca="1">'7.现金流量表'!V29</f>
        <v>23115.502303609435</v>
      </c>
      <c r="U14" s="727">
        <f ca="1">'7.现金流量表'!W29</f>
        <v>23115.502303609435</v>
      </c>
      <c r="V14" s="696">
        <f ca="1">'7.现金流量表'!Y29</f>
        <v>23115.502303609435</v>
      </c>
      <c r="W14" s="697">
        <f ca="1">'7.现金流量表'!Z29</f>
        <v>23115.502303609435</v>
      </c>
      <c r="X14" s="697">
        <f ca="1">'7.现金流量表'!AA29</f>
        <v>22522.645935609435</v>
      </c>
      <c r="Y14" s="727">
        <f ca="1">'7.现金流量表'!AB29</f>
        <v>21633.361383609434</v>
      </c>
      <c r="Z14" s="696">
        <f ca="1">'7.现金流量表'!AD29</f>
        <v>21633.361383609434</v>
      </c>
      <c r="AA14" s="697">
        <f ca="1">'7.现金流量表'!AE29</f>
        <v>21633.361383609434</v>
      </c>
      <c r="AB14" s="697">
        <f ca="1">'7.现金流量表'!AF29</f>
        <v>21633.361383609434</v>
      </c>
      <c r="AC14" s="727">
        <f ca="1">'7.现金流量表'!AG29</f>
        <v>21633.361383609434</v>
      </c>
      <c r="AD14" s="696">
        <f ca="1">'7.现金流量表'!AI29</f>
        <v>21633.361383609434</v>
      </c>
      <c r="AE14" s="697">
        <f ca="1">'7.现金流量表'!AJ29</f>
        <v>21633.361383609434</v>
      </c>
      <c r="AF14" s="697">
        <f ca="1">'7.现金流量表'!AK29</f>
        <v>21633.361383609434</v>
      </c>
      <c r="AG14" s="727">
        <f ca="1">'7.现金流量表'!AL29</f>
        <v>21633.361383609434</v>
      </c>
      <c r="AH14" s="696">
        <f ca="1">'7.现金流量表'!AN29</f>
        <v>21633.361383609434</v>
      </c>
      <c r="AI14" s="697">
        <f ca="1">'7.现金流量表'!AO29</f>
        <v>21633.361383609434</v>
      </c>
      <c r="AJ14" s="697">
        <f ca="1">'7.现金流量表'!AP29</f>
        <v>21633.361383609434</v>
      </c>
      <c r="AK14" s="727">
        <f ca="1">'7.现金流量表'!AQ29</f>
        <v>21633.361383609434</v>
      </c>
      <c r="AL14" s="696">
        <f ca="1">'7.现金流量表'!AS29</f>
        <v>21633.361383609434</v>
      </c>
      <c r="AM14" s="697">
        <f ca="1">'7.现金流量表'!AT29</f>
        <v>21633.361383609434</v>
      </c>
      <c r="AN14" s="697">
        <f ca="1">'7.现金流量表'!AU29</f>
        <v>21633.361383609434</v>
      </c>
      <c r="AO14" s="727">
        <f ca="1">'7.现金流量表'!AV29</f>
        <v>21633.361383609434</v>
      </c>
      <c r="AP14" s="696">
        <f ca="1">'7.现金流量表'!AX29</f>
        <v>21633.361383609434</v>
      </c>
      <c r="AQ14" s="697">
        <f ca="1">'7.现金流量表'!AY29</f>
        <v>21633.361383609434</v>
      </c>
      <c r="AR14" s="697">
        <f ca="1">'7.现金流量表'!AZ29</f>
        <v>21633.361383609434</v>
      </c>
      <c r="AS14" s="727">
        <f ca="1">'7.现金流量表'!BA29</f>
        <v>21633.361383609434</v>
      </c>
      <c r="AT14" s="696">
        <f ca="1">'7.现金流量表'!BC29</f>
        <v>21633.361383609434</v>
      </c>
      <c r="AU14" s="697">
        <f ca="1">'7.现金流量表'!BD29</f>
        <v>21633.361383609434</v>
      </c>
      <c r="AV14" s="697">
        <f ca="1">'7.现金流量表'!BE29</f>
        <v>21633.361383609434</v>
      </c>
      <c r="AW14" s="731">
        <f ca="1">'7.现金流量表'!BF29</f>
        <v>21633.361383609434</v>
      </c>
    </row>
    <row r="15" spans="2:49" s="247" customFormat="1" ht="15" customHeight="1">
      <c r="B15" s="693" t="s">
        <v>237</v>
      </c>
      <c r="C15" s="687">
        <f t="shared" ca="1" si="0"/>
        <v>0</v>
      </c>
      <c r="D15" s="698"/>
      <c r="E15" s="699"/>
      <c r="F15" s="696">
        <f>F16-F17</f>
        <v>0</v>
      </c>
      <c r="G15" s="697">
        <f t="shared" ref="G15:AW15" ca="1" si="1">F15+G16-G17</f>
        <v>0</v>
      </c>
      <c r="H15" s="697">
        <f t="shared" ca="1" si="1"/>
        <v>0</v>
      </c>
      <c r="I15" s="727">
        <f t="shared" ca="1" si="1"/>
        <v>0</v>
      </c>
      <c r="J15" s="696">
        <f t="shared" ca="1" si="1"/>
        <v>8800</v>
      </c>
      <c r="K15" s="697">
        <f t="shared" ca="1" si="1"/>
        <v>0</v>
      </c>
      <c r="L15" s="697">
        <f t="shared" ca="1" si="1"/>
        <v>0</v>
      </c>
      <c r="M15" s="727">
        <f t="shared" ca="1" si="1"/>
        <v>0</v>
      </c>
      <c r="N15" s="696">
        <f t="shared" ca="1" si="1"/>
        <v>0</v>
      </c>
      <c r="O15" s="697">
        <f t="shared" ca="1" si="1"/>
        <v>0</v>
      </c>
      <c r="P15" s="697">
        <f t="shared" ca="1" si="1"/>
        <v>0</v>
      </c>
      <c r="Q15" s="727">
        <f t="shared" ca="1" si="1"/>
        <v>0</v>
      </c>
      <c r="R15" s="696">
        <f t="shared" ca="1" si="1"/>
        <v>0</v>
      </c>
      <c r="S15" s="697">
        <f t="shared" ca="1" si="1"/>
        <v>0</v>
      </c>
      <c r="T15" s="697">
        <f t="shared" ca="1" si="1"/>
        <v>0</v>
      </c>
      <c r="U15" s="727">
        <f t="shared" ca="1" si="1"/>
        <v>0</v>
      </c>
      <c r="V15" s="696">
        <f t="shared" ca="1" si="1"/>
        <v>0</v>
      </c>
      <c r="W15" s="697">
        <f t="shared" ca="1" si="1"/>
        <v>0</v>
      </c>
      <c r="X15" s="697">
        <f t="shared" ca="1" si="1"/>
        <v>0</v>
      </c>
      <c r="Y15" s="727">
        <f t="shared" ca="1" si="1"/>
        <v>0</v>
      </c>
      <c r="Z15" s="696">
        <f t="shared" ca="1" si="1"/>
        <v>0</v>
      </c>
      <c r="AA15" s="697">
        <f t="shared" ca="1" si="1"/>
        <v>0</v>
      </c>
      <c r="AB15" s="697">
        <f t="shared" ca="1" si="1"/>
        <v>0</v>
      </c>
      <c r="AC15" s="727">
        <f t="shared" ca="1" si="1"/>
        <v>0</v>
      </c>
      <c r="AD15" s="696">
        <f t="shared" ca="1" si="1"/>
        <v>0</v>
      </c>
      <c r="AE15" s="697">
        <f t="shared" ca="1" si="1"/>
        <v>0</v>
      </c>
      <c r="AF15" s="697">
        <f t="shared" ca="1" si="1"/>
        <v>0</v>
      </c>
      <c r="AG15" s="727">
        <f t="shared" ca="1" si="1"/>
        <v>0</v>
      </c>
      <c r="AH15" s="696">
        <f t="shared" ca="1" si="1"/>
        <v>0</v>
      </c>
      <c r="AI15" s="697">
        <f t="shared" ca="1" si="1"/>
        <v>0</v>
      </c>
      <c r="AJ15" s="697">
        <f t="shared" ca="1" si="1"/>
        <v>0</v>
      </c>
      <c r="AK15" s="727">
        <f t="shared" ca="1" si="1"/>
        <v>0</v>
      </c>
      <c r="AL15" s="696">
        <f t="shared" ca="1" si="1"/>
        <v>0</v>
      </c>
      <c r="AM15" s="697">
        <f t="shared" ca="1" si="1"/>
        <v>0</v>
      </c>
      <c r="AN15" s="697">
        <f t="shared" ca="1" si="1"/>
        <v>0</v>
      </c>
      <c r="AO15" s="727">
        <f t="shared" ca="1" si="1"/>
        <v>0</v>
      </c>
      <c r="AP15" s="696">
        <f t="shared" ca="1" si="1"/>
        <v>0</v>
      </c>
      <c r="AQ15" s="697">
        <f t="shared" ca="1" si="1"/>
        <v>0</v>
      </c>
      <c r="AR15" s="697">
        <f t="shared" ca="1" si="1"/>
        <v>0</v>
      </c>
      <c r="AS15" s="727">
        <f t="shared" ca="1" si="1"/>
        <v>0</v>
      </c>
      <c r="AT15" s="696">
        <f t="shared" ca="1" si="1"/>
        <v>0</v>
      </c>
      <c r="AU15" s="697">
        <f t="shared" ca="1" si="1"/>
        <v>0</v>
      </c>
      <c r="AV15" s="697">
        <f t="shared" ca="1" si="1"/>
        <v>0</v>
      </c>
      <c r="AW15" s="731">
        <f t="shared" ca="1" si="1"/>
        <v>0</v>
      </c>
    </row>
    <row r="16" spans="2:49" ht="15" customHeight="1">
      <c r="B16" s="700" t="s">
        <v>759</v>
      </c>
      <c r="C16" s="687">
        <f t="shared" ref="C16:C23" si="2">SUM(F16:AW16)</f>
        <v>8800</v>
      </c>
      <c r="D16" s="701">
        <v>0.12</v>
      </c>
      <c r="E16" s="702">
        <v>3</v>
      </c>
      <c r="F16" s="703"/>
      <c r="G16" s="704"/>
      <c r="H16" s="704"/>
      <c r="I16" s="728"/>
      <c r="J16" s="703">
        <v>8800</v>
      </c>
      <c r="K16" s="704"/>
      <c r="L16" s="704"/>
      <c r="M16" s="728"/>
      <c r="N16" s="703"/>
      <c r="O16" s="704"/>
      <c r="P16" s="704"/>
      <c r="Q16" s="728"/>
      <c r="R16" s="703"/>
      <c r="S16" s="704"/>
      <c r="T16" s="704"/>
      <c r="U16" s="728"/>
      <c r="V16" s="703"/>
      <c r="W16" s="704"/>
      <c r="X16" s="704"/>
      <c r="Y16" s="728"/>
      <c r="Z16" s="703"/>
      <c r="AA16" s="704"/>
      <c r="AB16" s="704"/>
      <c r="AC16" s="728"/>
      <c r="AD16" s="703"/>
      <c r="AE16" s="704"/>
      <c r="AF16" s="704"/>
      <c r="AG16" s="728"/>
      <c r="AH16" s="703"/>
      <c r="AI16" s="704"/>
      <c r="AJ16" s="704"/>
      <c r="AK16" s="728"/>
      <c r="AL16" s="703"/>
      <c r="AM16" s="704"/>
      <c r="AN16" s="704"/>
      <c r="AO16" s="728"/>
      <c r="AP16" s="703"/>
      <c r="AQ16" s="704"/>
      <c r="AR16" s="704"/>
      <c r="AS16" s="728"/>
      <c r="AT16" s="703"/>
      <c r="AU16" s="704"/>
      <c r="AV16" s="704"/>
      <c r="AW16" s="732"/>
    </row>
    <row r="17" spans="2:49" ht="15" customHeight="1">
      <c r="B17" s="700" t="s">
        <v>760</v>
      </c>
      <c r="C17" s="687">
        <f t="shared" ca="1" si="2"/>
        <v>8800</v>
      </c>
      <c r="D17" s="694"/>
      <c r="E17" s="705"/>
      <c r="F17" s="703"/>
      <c r="G17" s="704">
        <f ca="1">IF(COUNTA($F$13:G$13)&lt;=$E16,0,OFFSET(G16,,-$E16,1,1))</f>
        <v>0</v>
      </c>
      <c r="H17" s="704">
        <f ca="1">IF(COUNTA($F$13:H$13)&lt;=$E16,0,OFFSET(H16,,-$E16,1,1))</f>
        <v>0</v>
      </c>
      <c r="I17" s="728">
        <f ca="1">IF(COUNTA($F$13:I$13)&lt;=$E16,0,OFFSET(I16,,-$E16,1,1))</f>
        <v>0</v>
      </c>
      <c r="J17" s="703">
        <f ca="1">IF(COUNTA($F$13:J$13)&lt;=$E16,0,OFFSET(J16,,-$E16,1,1))</f>
        <v>0</v>
      </c>
      <c r="K17" s="704">
        <v>8800</v>
      </c>
      <c r="L17" s="704">
        <v>0</v>
      </c>
      <c r="M17" s="728"/>
      <c r="N17" s="703"/>
      <c r="O17" s="704"/>
      <c r="P17" s="704">
        <f ca="1">IF(COUNTA($F$13:P$13)&lt;=$E16,0,OFFSET(P16,,-$E16,1,1))</f>
        <v>0</v>
      </c>
      <c r="Q17" s="728">
        <f ca="1">IF(COUNTA($F$13:Q$13)&lt;=$E16,0,OFFSET(Q16,,-$E16,1,1))</f>
        <v>0</v>
      </c>
      <c r="R17" s="703">
        <f ca="1">IF(COUNTA($F$13:R$13)&lt;=$E16,0,OFFSET(R16,,-$E16,1,1))</f>
        <v>0</v>
      </c>
      <c r="S17" s="704">
        <f ca="1">IF(COUNTA($F$13:S$13)&lt;=$E16,0,OFFSET(S16,,-$E16,1,1))</f>
        <v>0</v>
      </c>
      <c r="T17" s="704">
        <f ca="1">IF(COUNTA($F$13:T$13)&lt;=$E16,0,OFFSET(T16,,-$E16,1,1))</f>
        <v>0</v>
      </c>
      <c r="U17" s="728">
        <f ca="1">IF(COUNTA($F$13:U$13)&lt;=$E16,0,OFFSET(U16,,-$E16,1,1))</f>
        <v>0</v>
      </c>
      <c r="V17" s="703">
        <f ca="1">IF(COUNTA($F$13:V$13)&lt;=$E16,0,OFFSET(V16,,-$E16,1,1))</f>
        <v>0</v>
      </c>
      <c r="W17" s="704">
        <f ca="1">IF(COUNTA($F$13:W$13)&lt;=$E16,0,OFFSET(W16,,-$E16,1,1))</f>
        <v>0</v>
      </c>
      <c r="X17" s="704">
        <f ca="1">IF(COUNTA($F$13:X$13)&lt;=$E16,0,OFFSET(X16,,-$E16,1,1))</f>
        <v>0</v>
      </c>
      <c r="Y17" s="728">
        <f ca="1">IF(COUNTA($F$13:Y$13)&lt;=$E16,0,OFFSET(Y16,,-$E16,1,1))</f>
        <v>0</v>
      </c>
      <c r="Z17" s="703">
        <f ca="1">IF(COUNTA($F$13:Z$13)&lt;=$E16,0,OFFSET(Z16,,-$E16,1,1))</f>
        <v>0</v>
      </c>
      <c r="AA17" s="704">
        <f ca="1">IF(COUNTA($F$13:AA$13)&lt;=$E16,0,OFFSET(AA16,,-$E16,1,1))</f>
        <v>0</v>
      </c>
      <c r="AB17" s="704">
        <f ca="1">IF(COUNTA($F$13:AB$13)&lt;=$E16,0,OFFSET(AB16,,-$E16,1,1))</f>
        <v>0</v>
      </c>
      <c r="AC17" s="728">
        <f ca="1">IF(COUNTA($F$13:AC$13)&lt;=$E16,0,OFFSET(AC16,,-$E16,1,1))</f>
        <v>0</v>
      </c>
      <c r="AD17" s="703">
        <f ca="1">IF(COUNTA($F$13:AD$13)&lt;=$E16,0,OFFSET(AD16,,-$E16,1,1))</f>
        <v>0</v>
      </c>
      <c r="AE17" s="704">
        <f ca="1">IF(COUNTA($F$13:AE$13)&lt;=$E16,0,OFFSET(AE16,,-$E16,1,1))</f>
        <v>0</v>
      </c>
      <c r="AF17" s="704">
        <f ca="1">IF(COUNTA($F$13:AF$13)&lt;=$E16,0,OFFSET(AF16,,-$E16,1,1))</f>
        <v>0</v>
      </c>
      <c r="AG17" s="728">
        <f ca="1">IF(COUNTA($F$13:AG$13)&lt;=$E16,0,OFFSET(AG16,,-$E16,1,1))</f>
        <v>0</v>
      </c>
      <c r="AH17" s="703">
        <f ca="1">IF(COUNTA($F$13:AH$13)&lt;=$E16,0,OFFSET(AH16,,-$E16,1,1))</f>
        <v>0</v>
      </c>
      <c r="AI17" s="704">
        <f ca="1">IF(COUNTA($F$13:AI$13)&lt;=$E16,0,OFFSET(AI16,,-$E16,1,1))</f>
        <v>0</v>
      </c>
      <c r="AJ17" s="704">
        <f ca="1">IF(COUNTA($F$13:AJ$13)&lt;=$E16,0,OFFSET(AJ16,,-$E16,1,1))</f>
        <v>0</v>
      </c>
      <c r="AK17" s="728">
        <f ca="1">IF(COUNTA($F$13:AK$13)&lt;=$E16,0,OFFSET(AK16,,-$E16,1,1))</f>
        <v>0</v>
      </c>
      <c r="AL17" s="703">
        <f ca="1">IF(COUNTA($F$13:AL$13)&lt;=$E16,0,OFFSET(AL16,,-$E16,1,1))</f>
        <v>0</v>
      </c>
      <c r="AM17" s="704">
        <f ca="1">IF(COUNTA($F$13:AM$13)&lt;=$E16,0,OFFSET(AM16,,-$E16,1,1))</f>
        <v>0</v>
      </c>
      <c r="AN17" s="704">
        <f ca="1">IF(COUNTA($F$13:AN$13)&lt;=$E16,0,OFFSET(AN16,,-$E16,1,1))</f>
        <v>0</v>
      </c>
      <c r="AO17" s="728">
        <f ca="1">IF(COUNTA($F$13:AO$13)&lt;=$E16,0,OFFSET(AO16,,-$E16,1,1))</f>
        <v>0</v>
      </c>
      <c r="AP17" s="703">
        <f ca="1">IF(COUNTA($F$13:AP$13)&lt;=$E16,0,OFFSET(AP16,,-$E16,1,1))</f>
        <v>0</v>
      </c>
      <c r="AQ17" s="704">
        <f ca="1">IF(COUNTA($F$13:AQ$13)&lt;=$E16,0,OFFSET(AQ16,,-$E16,1,1))</f>
        <v>0</v>
      </c>
      <c r="AR17" s="704">
        <f ca="1">IF(COUNTA($F$13:AR$13)&lt;=$E16,0,OFFSET(AR16,,-$E16,1,1))</f>
        <v>0</v>
      </c>
      <c r="AS17" s="728">
        <f ca="1">IF(COUNTA($F$13:AS$13)&lt;=$E16,0,OFFSET(AS16,,-$E16,1,1))</f>
        <v>0</v>
      </c>
      <c r="AT17" s="703">
        <f ca="1">IF(COUNTA($F$13:AT$13)&lt;=$E16,0,OFFSET(AT16,,-$E16,1,1))</f>
        <v>0</v>
      </c>
      <c r="AU17" s="704">
        <f ca="1">IF(COUNTA($F$13:AU$13)&lt;=$E16,0,OFFSET(AU16,,-$E16,1,1))</f>
        <v>0</v>
      </c>
      <c r="AV17" s="704">
        <f ca="1">IF(COUNTA($F$13:AV$13)&lt;=$E16,0,OFFSET(AV16,,-$E16,1,1))</f>
        <v>0</v>
      </c>
      <c r="AW17" s="732">
        <f ca="1">IF(COUNTA($F$13:AW$13)&lt;=$E16,0,OFFSET(AW16,,-$E16,1,1))</f>
        <v>0</v>
      </c>
    </row>
    <row r="18" spans="2:49" s="247" customFormat="1" ht="15" customHeight="1">
      <c r="B18" s="693" t="s">
        <v>241</v>
      </c>
      <c r="C18" s="687">
        <f t="shared" ca="1" si="0"/>
        <v>0</v>
      </c>
      <c r="D18" s="698"/>
      <c r="E18" s="699"/>
      <c r="F18" s="696">
        <f>F19-F20</f>
        <v>0</v>
      </c>
      <c r="G18" s="697">
        <f ca="1">F18+G19-G20</f>
        <v>0</v>
      </c>
      <c r="H18" s="697">
        <f t="shared" ref="H18:AW18" ca="1" si="3">G18+H19-H20</f>
        <v>0</v>
      </c>
      <c r="I18" s="727">
        <f t="shared" ca="1" si="3"/>
        <v>0</v>
      </c>
      <c r="J18" s="696">
        <f t="shared" ca="1" si="3"/>
        <v>0</v>
      </c>
      <c r="K18" s="697">
        <f t="shared" ca="1" si="3"/>
        <v>27000</v>
      </c>
      <c r="L18" s="697">
        <f t="shared" ca="1" si="3"/>
        <v>3000</v>
      </c>
      <c r="M18" s="727">
        <f t="shared" ca="1" si="3"/>
        <v>0</v>
      </c>
      <c r="N18" s="696">
        <f t="shared" ca="1" si="3"/>
        <v>0</v>
      </c>
      <c r="O18" s="697">
        <f t="shared" ca="1" si="3"/>
        <v>0</v>
      </c>
      <c r="P18" s="697">
        <f t="shared" ca="1" si="3"/>
        <v>0</v>
      </c>
      <c r="Q18" s="727">
        <f t="shared" ca="1" si="3"/>
        <v>0</v>
      </c>
      <c r="R18" s="696">
        <f t="shared" ca="1" si="3"/>
        <v>0</v>
      </c>
      <c r="S18" s="697">
        <f t="shared" ca="1" si="3"/>
        <v>0</v>
      </c>
      <c r="T18" s="697">
        <f t="shared" ca="1" si="3"/>
        <v>0</v>
      </c>
      <c r="U18" s="727">
        <f t="shared" ca="1" si="3"/>
        <v>0</v>
      </c>
      <c r="V18" s="696">
        <f t="shared" ca="1" si="3"/>
        <v>0</v>
      </c>
      <c r="W18" s="697">
        <f t="shared" ca="1" si="3"/>
        <v>0</v>
      </c>
      <c r="X18" s="697">
        <f t="shared" ca="1" si="3"/>
        <v>0</v>
      </c>
      <c r="Y18" s="727">
        <f t="shared" ca="1" si="3"/>
        <v>0</v>
      </c>
      <c r="Z18" s="696">
        <f t="shared" ca="1" si="3"/>
        <v>0</v>
      </c>
      <c r="AA18" s="697">
        <f t="shared" ca="1" si="3"/>
        <v>0</v>
      </c>
      <c r="AB18" s="697">
        <f t="shared" ca="1" si="3"/>
        <v>0</v>
      </c>
      <c r="AC18" s="727">
        <f t="shared" ca="1" si="3"/>
        <v>0</v>
      </c>
      <c r="AD18" s="696">
        <f t="shared" ca="1" si="3"/>
        <v>0</v>
      </c>
      <c r="AE18" s="697">
        <f t="shared" ca="1" si="3"/>
        <v>0</v>
      </c>
      <c r="AF18" s="697">
        <f t="shared" ca="1" si="3"/>
        <v>0</v>
      </c>
      <c r="AG18" s="727">
        <f t="shared" ca="1" si="3"/>
        <v>0</v>
      </c>
      <c r="AH18" s="696">
        <f t="shared" ca="1" si="3"/>
        <v>0</v>
      </c>
      <c r="AI18" s="697">
        <f t="shared" ca="1" si="3"/>
        <v>0</v>
      </c>
      <c r="AJ18" s="697">
        <f t="shared" ca="1" si="3"/>
        <v>0</v>
      </c>
      <c r="AK18" s="727">
        <f t="shared" ca="1" si="3"/>
        <v>0</v>
      </c>
      <c r="AL18" s="696">
        <f t="shared" ca="1" si="3"/>
        <v>0</v>
      </c>
      <c r="AM18" s="697">
        <f t="shared" ca="1" si="3"/>
        <v>0</v>
      </c>
      <c r="AN18" s="697">
        <f t="shared" ca="1" si="3"/>
        <v>0</v>
      </c>
      <c r="AO18" s="727">
        <f t="shared" ca="1" si="3"/>
        <v>0</v>
      </c>
      <c r="AP18" s="696">
        <f t="shared" ca="1" si="3"/>
        <v>0</v>
      </c>
      <c r="AQ18" s="697">
        <f t="shared" ca="1" si="3"/>
        <v>0</v>
      </c>
      <c r="AR18" s="697">
        <f t="shared" ca="1" si="3"/>
        <v>0</v>
      </c>
      <c r="AS18" s="727">
        <f t="shared" ca="1" si="3"/>
        <v>0</v>
      </c>
      <c r="AT18" s="696">
        <f t="shared" ca="1" si="3"/>
        <v>0</v>
      </c>
      <c r="AU18" s="697">
        <f t="shared" ca="1" si="3"/>
        <v>0</v>
      </c>
      <c r="AV18" s="697">
        <f t="shared" ca="1" si="3"/>
        <v>0</v>
      </c>
      <c r="AW18" s="731">
        <f t="shared" ca="1" si="3"/>
        <v>0</v>
      </c>
    </row>
    <row r="19" spans="2:49" ht="15" customHeight="1">
      <c r="B19" s="700" t="s">
        <v>761</v>
      </c>
      <c r="C19" s="687">
        <f>SUM(F19:AW19)</f>
        <v>27000</v>
      </c>
      <c r="D19" s="706">
        <v>8.5000000000000006E-2</v>
      </c>
      <c r="E19" s="702">
        <v>4</v>
      </c>
      <c r="F19" s="703"/>
      <c r="G19" s="704"/>
      <c r="H19" s="704"/>
      <c r="I19" s="728"/>
      <c r="J19" s="703"/>
      <c r="K19" s="704">
        <v>27000</v>
      </c>
      <c r="L19" s="704"/>
      <c r="M19" s="728"/>
      <c r="N19" s="703"/>
      <c r="O19" s="704"/>
      <c r="P19" s="704"/>
      <c r="Q19" s="728"/>
      <c r="R19" s="703"/>
      <c r="S19" s="704"/>
      <c r="T19" s="704"/>
      <c r="U19" s="728"/>
      <c r="V19" s="703"/>
      <c r="W19" s="704"/>
      <c r="X19" s="704"/>
      <c r="Y19" s="728"/>
      <c r="Z19" s="703"/>
      <c r="AA19" s="704"/>
      <c r="AB19" s="704"/>
      <c r="AC19" s="728"/>
      <c r="AD19" s="703"/>
      <c r="AE19" s="704"/>
      <c r="AF19" s="704"/>
      <c r="AG19" s="728"/>
      <c r="AH19" s="703"/>
      <c r="AI19" s="704"/>
      <c r="AJ19" s="704"/>
      <c r="AK19" s="728"/>
      <c r="AL19" s="703"/>
      <c r="AM19" s="704"/>
      <c r="AN19" s="704"/>
      <c r="AO19" s="704"/>
      <c r="AP19" s="704"/>
      <c r="AQ19" s="704"/>
      <c r="AR19" s="704"/>
      <c r="AS19" s="728"/>
      <c r="AT19" s="703"/>
      <c r="AU19" s="704"/>
      <c r="AV19" s="704"/>
      <c r="AW19" s="732"/>
    </row>
    <row r="20" spans="2:49" ht="15" customHeight="1">
      <c r="B20" s="700" t="s">
        <v>762</v>
      </c>
      <c r="C20" s="687">
        <f ca="1">SUM(F20:AW20)</f>
        <v>27000</v>
      </c>
      <c r="D20" s="694"/>
      <c r="E20" s="695"/>
      <c r="F20" s="703"/>
      <c r="G20" s="704">
        <f ca="1">IF(COUNTA($F$13:G$13)&lt;=$E19,0,OFFSET(G19,,-$E19,1,1))</f>
        <v>0</v>
      </c>
      <c r="H20" s="704">
        <f ca="1">IF(COUNTA($F$13:H$13)&lt;=$E19,0,OFFSET(H19,,-$E19,1,1))</f>
        <v>0</v>
      </c>
      <c r="I20" s="728">
        <f ca="1">IF(COUNTA($F$13:I$13)&lt;=$E19,0,OFFSET(I19,,-$E19,1,1))</f>
        <v>0</v>
      </c>
      <c r="J20" s="703">
        <f ca="1">IF(COUNTA($F$13:J$13)&lt;=$E19,0,OFFSET(J19,,-$E19,1,1))</f>
        <v>0</v>
      </c>
      <c r="K20" s="704">
        <f ca="1">IF(COUNTA($F$13:K$13)&lt;=$E19,0,OFFSET(K19,,-$E19,1,1))</f>
        <v>0</v>
      </c>
      <c r="L20" s="704">
        <v>24000</v>
      </c>
      <c r="M20" s="728">
        <v>3000</v>
      </c>
      <c r="N20" s="703"/>
      <c r="O20" s="704"/>
      <c r="P20" s="704"/>
      <c r="Q20" s="728">
        <f ca="1">IF(COUNTA($F$13:Q$13)&lt;=$E19,0,OFFSET(Q19,,-$E19,1,1))</f>
        <v>0</v>
      </c>
      <c r="R20" s="703">
        <f ca="1">IF(COUNTA($F$13:R$13)&lt;=$E19,0,OFFSET(R19,,-$E19,1,1))</f>
        <v>0</v>
      </c>
      <c r="S20" s="704">
        <f ca="1">IF(COUNTA($F$13:S$13)&lt;=$E19,0,OFFSET(S19,,-$E19,1,1))</f>
        <v>0</v>
      </c>
      <c r="T20" s="704">
        <f ca="1">IF(COUNTA($F$13:T$13)&lt;=$E19,0,OFFSET(T19,,-$E19,1,1))</f>
        <v>0</v>
      </c>
      <c r="U20" s="728">
        <f ca="1">IF(COUNTA($F$13:U$13)&lt;=$E19,0,OFFSET(U19,,-$E19,1,1))</f>
        <v>0</v>
      </c>
      <c r="V20" s="703">
        <f ca="1">IF(COUNTA($F$13:V$13)&lt;=$E19,0,OFFSET(V19,,-$E19,1,1))</f>
        <v>0</v>
      </c>
      <c r="W20" s="704">
        <f ca="1">IF(COUNTA($F$13:W$13)&lt;=$E19,0,OFFSET(W19,,-$E19,1,1))</f>
        <v>0</v>
      </c>
      <c r="X20" s="704">
        <f ca="1">IF(COUNTA($F$13:X$13)&lt;=$E19,0,OFFSET(X19,,-$E19,1,1))</f>
        <v>0</v>
      </c>
      <c r="Y20" s="728">
        <f ca="1">IF(COUNTA($F$13:Y$13)&lt;=$E19,0,OFFSET(Y19,,-$E19,1,1))</f>
        <v>0</v>
      </c>
      <c r="Z20" s="703">
        <f ca="1">IF(COUNTA($F$13:Z$13)&lt;=$E19,0,OFFSET(Z19,,-$E19,1,1))</f>
        <v>0</v>
      </c>
      <c r="AA20" s="704">
        <f ca="1">IF(COUNTA($F$13:AA$13)&lt;=$E19,0,OFFSET(AA19,,-$E19,1,1))</f>
        <v>0</v>
      </c>
      <c r="AB20" s="704">
        <f ca="1">IF(COUNTA($F$13:AB$13)&lt;=$E19,0,OFFSET(AB19,,-$E19,1,1))</f>
        <v>0</v>
      </c>
      <c r="AC20" s="728">
        <f ca="1">IF(COUNTA($F$13:AC$13)&lt;=$E19,0,OFFSET(AC19,,-$E19,1,1))</f>
        <v>0</v>
      </c>
      <c r="AD20" s="703">
        <f ca="1">IF(COUNTA($F$13:AD$13)&lt;=$E19,0,OFFSET(AD19,,-$E19,1,1))</f>
        <v>0</v>
      </c>
      <c r="AE20" s="704">
        <f ca="1">IF(COUNTA($F$13:AE$13)&lt;=$E19,0,OFFSET(AE19,,-$E19,1,1))</f>
        <v>0</v>
      </c>
      <c r="AF20" s="704">
        <f ca="1">IF(COUNTA($F$13:AF$13)&lt;=$E19,0,OFFSET(AF19,,-$E19,1,1))</f>
        <v>0</v>
      </c>
      <c r="AG20" s="728">
        <f ca="1">IF(COUNTA($F$13:AG$13)&lt;=$E19,0,OFFSET(AG19,,-$E19,1,1))</f>
        <v>0</v>
      </c>
      <c r="AH20" s="703">
        <f ca="1">IF(COUNTA($F$13:AH$13)&lt;=$E19,0,OFFSET(AH19,,-$E19,1,1))</f>
        <v>0</v>
      </c>
      <c r="AI20" s="704">
        <f ca="1">IF(COUNTA($F$13:AI$13)&lt;=$E19,0,OFFSET(AI19,,-$E19,1,1))</f>
        <v>0</v>
      </c>
      <c r="AJ20" s="704">
        <f ca="1">IF(COUNTA($F$13:AJ$13)&lt;=$E19,0,OFFSET(AJ19,,-$E19,1,1))</f>
        <v>0</v>
      </c>
      <c r="AK20" s="728">
        <f ca="1">IF(COUNTA($F$13:AK$13)&lt;=$E19,0,OFFSET(AK19,,-$E19,1,1))</f>
        <v>0</v>
      </c>
      <c r="AL20" s="703">
        <f ca="1">IF(COUNTA($F$13:AL$13)&lt;=$E19,0,OFFSET(AL19,,-$E19,1,1))</f>
        <v>0</v>
      </c>
      <c r="AM20" s="704">
        <f ca="1">IF(COUNTA($F$13:AM$13)&lt;=$E19,0,OFFSET(AM19,,-$E19,1,1))</f>
        <v>0</v>
      </c>
      <c r="AN20" s="704">
        <f ca="1">IF(COUNTA($F$13:AN$13)&lt;=$E19,0,OFFSET(AN19,,-$E19,1,1))</f>
        <v>0</v>
      </c>
      <c r="AO20" s="728">
        <f ca="1">IF(COUNTA($F$13:AO$13)&lt;=$E19,0,OFFSET(AO19,,-$E19,1,1))</f>
        <v>0</v>
      </c>
      <c r="AP20" s="703">
        <f ca="1">IF(COUNTA($F$13:AP$13)&lt;=$E19,0,OFFSET(AP19,,-$E19,1,1))</f>
        <v>0</v>
      </c>
      <c r="AQ20" s="704">
        <f ca="1">IF(COUNTA($F$13:AQ$13)&lt;=$E19,0,OFFSET(AQ19,,-$E19,1,1))</f>
        <v>0</v>
      </c>
      <c r="AR20" s="704">
        <f ca="1">IF(COUNTA($F$13:AR$13)&lt;=$E19,0,OFFSET(AR19,,-$E19,1,1))</f>
        <v>0</v>
      </c>
      <c r="AS20" s="728">
        <f ca="1">IF(COUNTA($F$13:AS$13)&lt;=$E19,0,OFFSET(AS19,,-$E19,1,1))</f>
        <v>0</v>
      </c>
      <c r="AT20" s="703">
        <f ca="1">IF(COUNTA($F$13:AT$13)&lt;=$E19,0,OFFSET(AT19,,-$E19,1,1))</f>
        <v>0</v>
      </c>
      <c r="AU20" s="704">
        <f ca="1">IF(COUNTA($F$13:AU$13)&lt;=$E19,0,OFFSET(AU19,,-$E19,1,1))</f>
        <v>0</v>
      </c>
      <c r="AV20" s="704">
        <f ca="1">IF(COUNTA($F$13:AV$13)&lt;=$E19,0,OFFSET(AV19,,-$E19,1,1))</f>
        <v>0</v>
      </c>
      <c r="AW20" s="732">
        <f ca="1">IF(COUNTA($F$13:AW$13)&lt;=$E19,0,OFFSET(AW19,,-$E19,1,1))</f>
        <v>0</v>
      </c>
    </row>
    <row r="21" spans="2:49" s="247" customFormat="1" ht="15" customHeight="1">
      <c r="B21" s="693" t="s">
        <v>244</v>
      </c>
      <c r="C21" s="687">
        <f t="shared" ca="1" si="2"/>
        <v>901.5</v>
      </c>
      <c r="D21" s="707"/>
      <c r="E21" s="708"/>
      <c r="F21" s="696">
        <f>SUM(F22:F23)</f>
        <v>0</v>
      </c>
      <c r="G21" s="697">
        <f ca="1">SUM(G22:G23)</f>
        <v>0</v>
      </c>
      <c r="H21" s="697">
        <f t="shared" ref="H21:AW21" ca="1" si="4">SUM(H22:H23)</f>
        <v>0</v>
      </c>
      <c r="I21" s="727">
        <f t="shared" ca="1" si="4"/>
        <v>0</v>
      </c>
      <c r="J21" s="696">
        <f t="shared" ca="1" si="4"/>
        <v>132</v>
      </c>
      <c r="K21" s="697">
        <f t="shared" ca="1" si="4"/>
        <v>418.875</v>
      </c>
      <c r="L21" s="697">
        <f t="shared" ca="1" si="4"/>
        <v>318.75</v>
      </c>
      <c r="M21" s="727">
        <f t="shared" ca="1" si="4"/>
        <v>31.875000000000004</v>
      </c>
      <c r="N21" s="696">
        <f t="shared" ca="1" si="4"/>
        <v>0</v>
      </c>
      <c r="O21" s="697">
        <f t="shared" ca="1" si="4"/>
        <v>0</v>
      </c>
      <c r="P21" s="697">
        <f t="shared" ca="1" si="4"/>
        <v>0</v>
      </c>
      <c r="Q21" s="727">
        <f t="shared" ca="1" si="4"/>
        <v>0</v>
      </c>
      <c r="R21" s="696">
        <f t="shared" ca="1" si="4"/>
        <v>0</v>
      </c>
      <c r="S21" s="697">
        <f t="shared" ca="1" si="4"/>
        <v>0</v>
      </c>
      <c r="T21" s="697">
        <f t="shared" ca="1" si="4"/>
        <v>0</v>
      </c>
      <c r="U21" s="727">
        <f t="shared" ca="1" si="4"/>
        <v>0</v>
      </c>
      <c r="V21" s="696">
        <f t="shared" ca="1" si="4"/>
        <v>0</v>
      </c>
      <c r="W21" s="697">
        <f t="shared" ca="1" si="4"/>
        <v>0</v>
      </c>
      <c r="X21" s="697">
        <f t="shared" ca="1" si="4"/>
        <v>0</v>
      </c>
      <c r="Y21" s="727">
        <f t="shared" ca="1" si="4"/>
        <v>0</v>
      </c>
      <c r="Z21" s="696">
        <f t="shared" ca="1" si="4"/>
        <v>0</v>
      </c>
      <c r="AA21" s="697">
        <f t="shared" ca="1" si="4"/>
        <v>0</v>
      </c>
      <c r="AB21" s="697">
        <f t="shared" ca="1" si="4"/>
        <v>0</v>
      </c>
      <c r="AC21" s="727">
        <f t="shared" ca="1" si="4"/>
        <v>0</v>
      </c>
      <c r="AD21" s="696">
        <f t="shared" ca="1" si="4"/>
        <v>0</v>
      </c>
      <c r="AE21" s="697">
        <f t="shared" ca="1" si="4"/>
        <v>0</v>
      </c>
      <c r="AF21" s="697">
        <f t="shared" ca="1" si="4"/>
        <v>0</v>
      </c>
      <c r="AG21" s="727">
        <f t="shared" ca="1" si="4"/>
        <v>0</v>
      </c>
      <c r="AH21" s="696">
        <f t="shared" ca="1" si="4"/>
        <v>0</v>
      </c>
      <c r="AI21" s="697">
        <f t="shared" ca="1" si="4"/>
        <v>0</v>
      </c>
      <c r="AJ21" s="697">
        <f t="shared" ca="1" si="4"/>
        <v>0</v>
      </c>
      <c r="AK21" s="727">
        <f t="shared" ca="1" si="4"/>
        <v>0</v>
      </c>
      <c r="AL21" s="696">
        <f t="shared" ca="1" si="4"/>
        <v>0</v>
      </c>
      <c r="AM21" s="697">
        <f t="shared" ca="1" si="4"/>
        <v>0</v>
      </c>
      <c r="AN21" s="697">
        <f t="shared" ca="1" si="4"/>
        <v>0</v>
      </c>
      <c r="AO21" s="727">
        <f t="shared" ca="1" si="4"/>
        <v>0</v>
      </c>
      <c r="AP21" s="696">
        <f t="shared" ca="1" si="4"/>
        <v>0</v>
      </c>
      <c r="AQ21" s="697">
        <f t="shared" ca="1" si="4"/>
        <v>0</v>
      </c>
      <c r="AR21" s="697">
        <f t="shared" ca="1" si="4"/>
        <v>0</v>
      </c>
      <c r="AS21" s="727">
        <f t="shared" ca="1" si="4"/>
        <v>0</v>
      </c>
      <c r="AT21" s="696">
        <f t="shared" ca="1" si="4"/>
        <v>0</v>
      </c>
      <c r="AU21" s="697">
        <f t="shared" ca="1" si="4"/>
        <v>0</v>
      </c>
      <c r="AV21" s="697">
        <f t="shared" ca="1" si="4"/>
        <v>0</v>
      </c>
      <c r="AW21" s="731">
        <f t="shared" ca="1" si="4"/>
        <v>0</v>
      </c>
    </row>
    <row r="22" spans="2:49" ht="15" customHeight="1">
      <c r="B22" s="700" t="s">
        <v>763</v>
      </c>
      <c r="C22" s="687">
        <f t="shared" ca="1" si="2"/>
        <v>264</v>
      </c>
      <c r="D22" s="707"/>
      <c r="E22" s="708"/>
      <c r="F22" s="696">
        <f>F15/2*$D$16/4</f>
        <v>0</v>
      </c>
      <c r="G22" s="697">
        <f ca="1">(F15+G15)/2*$D$16/4</f>
        <v>0</v>
      </c>
      <c r="H22" s="697">
        <f t="shared" ref="H22:AW22" ca="1" si="5">(G15+H15)/2*$D$16/4</f>
        <v>0</v>
      </c>
      <c r="I22" s="727">
        <f t="shared" ca="1" si="5"/>
        <v>0</v>
      </c>
      <c r="J22" s="696">
        <f t="shared" ca="1" si="5"/>
        <v>132</v>
      </c>
      <c r="K22" s="697">
        <f t="shared" ca="1" si="5"/>
        <v>132</v>
      </c>
      <c r="L22" s="697">
        <f t="shared" ca="1" si="5"/>
        <v>0</v>
      </c>
      <c r="M22" s="727">
        <f t="shared" ca="1" si="5"/>
        <v>0</v>
      </c>
      <c r="N22" s="696">
        <f t="shared" ca="1" si="5"/>
        <v>0</v>
      </c>
      <c r="O22" s="697">
        <f t="shared" ca="1" si="5"/>
        <v>0</v>
      </c>
      <c r="P22" s="697">
        <f t="shared" ca="1" si="5"/>
        <v>0</v>
      </c>
      <c r="Q22" s="727">
        <f t="shared" ca="1" si="5"/>
        <v>0</v>
      </c>
      <c r="R22" s="696">
        <f t="shared" ca="1" si="5"/>
        <v>0</v>
      </c>
      <c r="S22" s="697">
        <f t="shared" ca="1" si="5"/>
        <v>0</v>
      </c>
      <c r="T22" s="697">
        <f t="shared" ca="1" si="5"/>
        <v>0</v>
      </c>
      <c r="U22" s="727">
        <f t="shared" ca="1" si="5"/>
        <v>0</v>
      </c>
      <c r="V22" s="696">
        <f t="shared" ca="1" si="5"/>
        <v>0</v>
      </c>
      <c r="W22" s="697">
        <f t="shared" ca="1" si="5"/>
        <v>0</v>
      </c>
      <c r="X22" s="697">
        <f t="shared" ca="1" si="5"/>
        <v>0</v>
      </c>
      <c r="Y22" s="727">
        <f t="shared" ca="1" si="5"/>
        <v>0</v>
      </c>
      <c r="Z22" s="696">
        <f t="shared" ca="1" si="5"/>
        <v>0</v>
      </c>
      <c r="AA22" s="697">
        <f t="shared" ca="1" si="5"/>
        <v>0</v>
      </c>
      <c r="AB22" s="697">
        <f t="shared" ca="1" si="5"/>
        <v>0</v>
      </c>
      <c r="AC22" s="727">
        <f t="shared" ca="1" si="5"/>
        <v>0</v>
      </c>
      <c r="AD22" s="696">
        <f t="shared" ca="1" si="5"/>
        <v>0</v>
      </c>
      <c r="AE22" s="697">
        <f t="shared" ca="1" si="5"/>
        <v>0</v>
      </c>
      <c r="AF22" s="697">
        <f t="shared" ca="1" si="5"/>
        <v>0</v>
      </c>
      <c r="AG22" s="727">
        <f t="shared" ca="1" si="5"/>
        <v>0</v>
      </c>
      <c r="AH22" s="696">
        <f t="shared" ca="1" si="5"/>
        <v>0</v>
      </c>
      <c r="AI22" s="697">
        <f t="shared" ca="1" si="5"/>
        <v>0</v>
      </c>
      <c r="AJ22" s="697">
        <f t="shared" ca="1" si="5"/>
        <v>0</v>
      </c>
      <c r="AK22" s="727">
        <f t="shared" ca="1" si="5"/>
        <v>0</v>
      </c>
      <c r="AL22" s="696">
        <f t="shared" ca="1" si="5"/>
        <v>0</v>
      </c>
      <c r="AM22" s="697">
        <f t="shared" ca="1" si="5"/>
        <v>0</v>
      </c>
      <c r="AN22" s="697">
        <f t="shared" ca="1" si="5"/>
        <v>0</v>
      </c>
      <c r="AO22" s="727">
        <f t="shared" ca="1" si="5"/>
        <v>0</v>
      </c>
      <c r="AP22" s="696">
        <f t="shared" ca="1" si="5"/>
        <v>0</v>
      </c>
      <c r="AQ22" s="697">
        <f t="shared" ca="1" si="5"/>
        <v>0</v>
      </c>
      <c r="AR22" s="697">
        <f t="shared" ca="1" si="5"/>
        <v>0</v>
      </c>
      <c r="AS22" s="727">
        <f t="shared" ca="1" si="5"/>
        <v>0</v>
      </c>
      <c r="AT22" s="696">
        <f t="shared" ca="1" si="5"/>
        <v>0</v>
      </c>
      <c r="AU22" s="697">
        <f t="shared" ca="1" si="5"/>
        <v>0</v>
      </c>
      <c r="AV22" s="697">
        <f t="shared" ca="1" si="5"/>
        <v>0</v>
      </c>
      <c r="AW22" s="731">
        <f t="shared" ca="1" si="5"/>
        <v>0</v>
      </c>
    </row>
    <row r="23" spans="2:49" ht="15" customHeight="1">
      <c r="B23" s="700" t="s">
        <v>764</v>
      </c>
      <c r="C23" s="687">
        <f t="shared" ca="1" si="2"/>
        <v>637.5</v>
      </c>
      <c r="D23" s="698"/>
      <c r="E23" s="699"/>
      <c r="F23" s="696">
        <f>F18/2*$D$19/4</f>
        <v>0</v>
      </c>
      <c r="G23" s="697">
        <f ca="1">(F18+G18)/2*$D$19/4</f>
        <v>0</v>
      </c>
      <c r="H23" s="697">
        <f ca="1">(G18+H18)/2*$D$19/4</f>
        <v>0</v>
      </c>
      <c r="I23" s="727">
        <f t="shared" ref="I23:AW23" ca="1" si="6">(H18+I18)/2*$D$19/4</f>
        <v>0</v>
      </c>
      <c r="J23" s="696">
        <f t="shared" ca="1" si="6"/>
        <v>0</v>
      </c>
      <c r="K23" s="697">
        <f t="shared" ca="1" si="6"/>
        <v>286.875</v>
      </c>
      <c r="L23" s="697">
        <f t="shared" ca="1" si="6"/>
        <v>318.75</v>
      </c>
      <c r="M23" s="727">
        <f t="shared" ca="1" si="6"/>
        <v>31.875000000000004</v>
      </c>
      <c r="N23" s="696">
        <f t="shared" ca="1" si="6"/>
        <v>0</v>
      </c>
      <c r="O23" s="697">
        <f t="shared" ca="1" si="6"/>
        <v>0</v>
      </c>
      <c r="P23" s="697">
        <f t="shared" ca="1" si="6"/>
        <v>0</v>
      </c>
      <c r="Q23" s="727">
        <f t="shared" ca="1" si="6"/>
        <v>0</v>
      </c>
      <c r="R23" s="696">
        <f t="shared" ca="1" si="6"/>
        <v>0</v>
      </c>
      <c r="S23" s="697">
        <f t="shared" ca="1" si="6"/>
        <v>0</v>
      </c>
      <c r="T23" s="697">
        <f t="shared" ca="1" si="6"/>
        <v>0</v>
      </c>
      <c r="U23" s="727">
        <f t="shared" ca="1" si="6"/>
        <v>0</v>
      </c>
      <c r="V23" s="696">
        <f t="shared" ca="1" si="6"/>
        <v>0</v>
      </c>
      <c r="W23" s="697">
        <f t="shared" ca="1" si="6"/>
        <v>0</v>
      </c>
      <c r="X23" s="697">
        <f t="shared" ca="1" si="6"/>
        <v>0</v>
      </c>
      <c r="Y23" s="727">
        <f t="shared" ca="1" si="6"/>
        <v>0</v>
      </c>
      <c r="Z23" s="696">
        <f t="shared" ca="1" si="6"/>
        <v>0</v>
      </c>
      <c r="AA23" s="697">
        <f t="shared" ca="1" si="6"/>
        <v>0</v>
      </c>
      <c r="AB23" s="697">
        <f t="shared" ca="1" si="6"/>
        <v>0</v>
      </c>
      <c r="AC23" s="727">
        <f t="shared" ca="1" si="6"/>
        <v>0</v>
      </c>
      <c r="AD23" s="696">
        <f t="shared" ca="1" si="6"/>
        <v>0</v>
      </c>
      <c r="AE23" s="697">
        <f t="shared" ca="1" si="6"/>
        <v>0</v>
      </c>
      <c r="AF23" s="697">
        <f t="shared" ca="1" si="6"/>
        <v>0</v>
      </c>
      <c r="AG23" s="727">
        <f t="shared" ca="1" si="6"/>
        <v>0</v>
      </c>
      <c r="AH23" s="696">
        <f t="shared" ca="1" si="6"/>
        <v>0</v>
      </c>
      <c r="AI23" s="697">
        <f t="shared" ca="1" si="6"/>
        <v>0</v>
      </c>
      <c r="AJ23" s="697">
        <f t="shared" ca="1" si="6"/>
        <v>0</v>
      </c>
      <c r="AK23" s="727">
        <f t="shared" ca="1" si="6"/>
        <v>0</v>
      </c>
      <c r="AL23" s="696">
        <f t="shared" ca="1" si="6"/>
        <v>0</v>
      </c>
      <c r="AM23" s="697">
        <f t="shared" ca="1" si="6"/>
        <v>0</v>
      </c>
      <c r="AN23" s="697">
        <f t="shared" ca="1" si="6"/>
        <v>0</v>
      </c>
      <c r="AO23" s="727">
        <f t="shared" ca="1" si="6"/>
        <v>0</v>
      </c>
      <c r="AP23" s="696">
        <f t="shared" ca="1" si="6"/>
        <v>0</v>
      </c>
      <c r="AQ23" s="697">
        <f t="shared" ca="1" si="6"/>
        <v>0</v>
      </c>
      <c r="AR23" s="697">
        <f t="shared" ca="1" si="6"/>
        <v>0</v>
      </c>
      <c r="AS23" s="727">
        <f t="shared" ca="1" si="6"/>
        <v>0</v>
      </c>
      <c r="AT23" s="696">
        <f t="shared" ca="1" si="6"/>
        <v>0</v>
      </c>
      <c r="AU23" s="697">
        <f t="shared" ca="1" si="6"/>
        <v>0</v>
      </c>
      <c r="AV23" s="697">
        <f t="shared" ca="1" si="6"/>
        <v>0</v>
      </c>
      <c r="AW23" s="731">
        <f t="shared" ca="1" si="6"/>
        <v>0</v>
      </c>
    </row>
    <row r="24" spans="2:49" ht="15" customHeight="1">
      <c r="B24" s="709" t="s">
        <v>247</v>
      </c>
      <c r="C24" s="710">
        <f ca="1">C14-C21</f>
        <v>20731.861383609434</v>
      </c>
      <c r="D24" s="711"/>
      <c r="E24" s="711"/>
      <c r="F24" s="712">
        <f ca="1">F14+F15+F18-SUM($F21:F21)</f>
        <v>0</v>
      </c>
      <c r="G24" s="713">
        <f ca="1">G14+G15+G18-SUM($F21:G21)</f>
        <v>0</v>
      </c>
      <c r="H24" s="713">
        <f ca="1">H14+H15+H18-SUM($F21:H21)</f>
        <v>-7150</v>
      </c>
      <c r="I24" s="729">
        <f ca="1">I14+I15+I18-SUM($F21:I21)</f>
        <v>-20514.472114965785</v>
      </c>
      <c r="J24" s="712">
        <f ca="1">J14+J15+J18-SUM($F21:J21)</f>
        <v>-13003.355534965784</v>
      </c>
      <c r="K24" s="713">
        <f ca="1">K14+K15+K18-SUM($F21:K21)</f>
        <v>20562.108611401847</v>
      </c>
      <c r="L24" s="713">
        <f ca="1">L14+L15+L18-SUM($F21:L21)</f>
        <v>20775.559900024185</v>
      </c>
      <c r="M24" s="729">
        <f ca="1">M14+M15+M18-SUM($F21:M21)</f>
        <v>30676.903789136235</v>
      </c>
      <c r="N24" s="712">
        <f ca="1">N14+N15+N18-SUM($F21:N21)</f>
        <v>30615.564704165488</v>
      </c>
      <c r="O24" s="713">
        <f ca="1">O14+O15+O18-SUM($F21:O21)</f>
        <v>34826.482380490808</v>
      </c>
      <c r="P24" s="713">
        <f ca="1">P14+P15+P18-SUM($F21:P21)</f>
        <v>36440.530494522623</v>
      </c>
      <c r="Q24" s="729">
        <f ca="1">Q14+Q15+Q18-SUM($F21:Q21)</f>
        <v>26370.199064220484</v>
      </c>
      <c r="R24" s="712">
        <f ca="1">R14+R15+R18-SUM($F21:R21)</f>
        <v>24968.965763609434</v>
      </c>
      <c r="S24" s="713">
        <f ca="1">S14+S15+S18-SUM($F21:S21)</f>
        <v>23401.679883609435</v>
      </c>
      <c r="T24" s="713">
        <f ca="1">T14+T15+T18-SUM($F21:T21)</f>
        <v>22214.002303609435</v>
      </c>
      <c r="U24" s="729">
        <f ca="1">U14+U15+U18-SUM($F21:U21)</f>
        <v>22214.002303609435</v>
      </c>
      <c r="V24" s="712">
        <f ca="1">V14+V15+V18-SUM($F21:V21)</f>
        <v>22214.002303609435</v>
      </c>
      <c r="W24" s="713">
        <f ca="1">W14+W15+W18-SUM($F21:W21)</f>
        <v>22214.002303609435</v>
      </c>
      <c r="X24" s="713">
        <f ca="1">X14+X15+X18-SUM($F21:X21)</f>
        <v>21621.145935609435</v>
      </c>
      <c r="Y24" s="729">
        <f ca="1">Y14+Y15+Y18-SUM($F21:Y21)</f>
        <v>20731.861383609434</v>
      </c>
      <c r="Z24" s="712">
        <f ca="1">Z14+Z15+Z18-SUM($F21:Z21)</f>
        <v>20731.861383609434</v>
      </c>
      <c r="AA24" s="713">
        <f ca="1">AA14+AA15+AA18-SUM($F21:AA21)</f>
        <v>20731.861383609434</v>
      </c>
      <c r="AB24" s="713">
        <f ca="1">AB14+AB15+AB18-SUM($F21:AB21)</f>
        <v>20731.861383609434</v>
      </c>
      <c r="AC24" s="729">
        <f ca="1">AC14+AC15+AC18-SUM($F21:AC21)</f>
        <v>20731.861383609434</v>
      </c>
      <c r="AD24" s="712">
        <f ca="1">AD14+AD15+AD18-SUM($F21:AD21)</f>
        <v>20731.861383609434</v>
      </c>
      <c r="AE24" s="713">
        <f ca="1">AE14+AE15+AE18-SUM($F21:AE21)</f>
        <v>20731.861383609434</v>
      </c>
      <c r="AF24" s="713">
        <f ca="1">AF14+AF15+AF18-SUM($F21:AF21)</f>
        <v>20731.861383609434</v>
      </c>
      <c r="AG24" s="729">
        <f ca="1">AG14+AG15+AG18-SUM($F21:AG21)</f>
        <v>20731.861383609434</v>
      </c>
      <c r="AH24" s="712">
        <f ca="1">AH14+AH15+AH18-SUM($F21:AH21)</f>
        <v>20731.861383609434</v>
      </c>
      <c r="AI24" s="713">
        <f ca="1">AI14+AI15+AI18-SUM($F21:AI21)</f>
        <v>20731.861383609434</v>
      </c>
      <c r="AJ24" s="713">
        <f ca="1">AJ14+AJ15+AJ18-SUM($F21:AJ21)</f>
        <v>20731.861383609434</v>
      </c>
      <c r="AK24" s="729">
        <f ca="1">AK14+AK15+AK18-SUM($F21:AK21)</f>
        <v>20731.861383609434</v>
      </c>
      <c r="AL24" s="712">
        <f ca="1">AL14+AL15+AL18-SUM($F21:AL21)</f>
        <v>20731.861383609434</v>
      </c>
      <c r="AM24" s="713">
        <f ca="1">AM14+AM15+AM18-SUM($F21:AM21)</f>
        <v>20731.861383609434</v>
      </c>
      <c r="AN24" s="713">
        <f ca="1">AN14+AN15+AN18-SUM($F21:AN21)</f>
        <v>20731.861383609434</v>
      </c>
      <c r="AO24" s="729">
        <f ca="1">AO14+AO15+AO18-SUM($F21:AO21)</f>
        <v>20731.861383609434</v>
      </c>
      <c r="AP24" s="712">
        <f ca="1">AP14+AP15+AP18-SUM($F21:AP21)</f>
        <v>20731.861383609434</v>
      </c>
      <c r="AQ24" s="713">
        <f ca="1">AQ14+AQ15+AQ18-SUM($F21:AQ21)</f>
        <v>20731.861383609434</v>
      </c>
      <c r="AR24" s="713">
        <f ca="1">AR14+AR15+AR18-SUM($F21:AR21)</f>
        <v>20731.861383609434</v>
      </c>
      <c r="AS24" s="729">
        <f ca="1">AS14+AS15+AS18-SUM($F21:AS21)</f>
        <v>20731.861383609434</v>
      </c>
      <c r="AT24" s="712">
        <f ca="1">AT14+AT15+AT18-SUM($F21:AT21)</f>
        <v>20731.861383609434</v>
      </c>
      <c r="AU24" s="713">
        <f ca="1">AU14+AU15+AU18-SUM($F21:AU21)</f>
        <v>20731.861383609434</v>
      </c>
      <c r="AV24" s="713">
        <f ca="1">AV14+AV15+AV18-SUM($F21:AV21)</f>
        <v>20731.861383609434</v>
      </c>
      <c r="AW24" s="733">
        <f ca="1">AW14+AW15+AW18-SUM($F21:AW21)</f>
        <v>20731.861383609434</v>
      </c>
    </row>
    <row r="25" spans="2:49" s="684" customFormat="1" ht="15.75" customHeight="1">
      <c r="B25" s="714" t="s">
        <v>765</v>
      </c>
      <c r="C25" s="715">
        <f ca="1">C23</f>
        <v>637.5</v>
      </c>
      <c r="D25" s="1889" t="s">
        <v>766</v>
      </c>
      <c r="E25" s="716">
        <f ca="1">SUM(F25:AW25)</f>
        <v>1016.6956912482893</v>
      </c>
      <c r="F25" s="717">
        <f ca="1">IF(F24&gt;0,0,-F24*10%/4)</f>
        <v>0</v>
      </c>
      <c r="G25" s="717">
        <f ca="1">IF(G24&gt;0,0,-G24*10%/4)</f>
        <v>0</v>
      </c>
      <c r="H25" s="717">
        <f t="shared" ref="H25:AW25" ca="1" si="7">IF(H24&gt;0,0,-H24*10%/4)</f>
        <v>178.75</v>
      </c>
      <c r="I25" s="717">
        <f t="shared" ca="1" si="7"/>
        <v>512.8618028741447</v>
      </c>
      <c r="J25" s="717">
        <f t="shared" ca="1" si="7"/>
        <v>325.08388837414464</v>
      </c>
      <c r="K25" s="717">
        <f t="shared" ca="1" si="7"/>
        <v>0</v>
      </c>
      <c r="L25" s="717">
        <f t="shared" ca="1" si="7"/>
        <v>0</v>
      </c>
      <c r="M25" s="717">
        <f t="shared" ca="1" si="7"/>
        <v>0</v>
      </c>
      <c r="N25" s="717">
        <f t="shared" ca="1" si="7"/>
        <v>0</v>
      </c>
      <c r="O25" s="717">
        <f t="shared" ca="1" si="7"/>
        <v>0</v>
      </c>
      <c r="P25" s="717">
        <f t="shared" ca="1" si="7"/>
        <v>0</v>
      </c>
      <c r="Q25" s="717">
        <f t="shared" ca="1" si="7"/>
        <v>0</v>
      </c>
      <c r="R25" s="717">
        <f t="shared" ca="1" si="7"/>
        <v>0</v>
      </c>
      <c r="S25" s="717">
        <f t="shared" ca="1" si="7"/>
        <v>0</v>
      </c>
      <c r="T25" s="717">
        <f t="shared" ca="1" si="7"/>
        <v>0</v>
      </c>
      <c r="U25" s="717">
        <f t="shared" ca="1" si="7"/>
        <v>0</v>
      </c>
      <c r="V25" s="717">
        <f t="shared" ca="1" si="7"/>
        <v>0</v>
      </c>
      <c r="W25" s="717">
        <f t="shared" ca="1" si="7"/>
        <v>0</v>
      </c>
      <c r="X25" s="717">
        <f t="shared" ca="1" si="7"/>
        <v>0</v>
      </c>
      <c r="Y25" s="717">
        <f t="shared" ca="1" si="7"/>
        <v>0</v>
      </c>
      <c r="Z25" s="717">
        <f t="shared" ca="1" si="7"/>
        <v>0</v>
      </c>
      <c r="AA25" s="717">
        <f t="shared" ca="1" si="7"/>
        <v>0</v>
      </c>
      <c r="AB25" s="717">
        <f t="shared" ca="1" si="7"/>
        <v>0</v>
      </c>
      <c r="AC25" s="717">
        <f t="shared" ca="1" si="7"/>
        <v>0</v>
      </c>
      <c r="AD25" s="717">
        <f t="shared" ca="1" si="7"/>
        <v>0</v>
      </c>
      <c r="AE25" s="717">
        <f t="shared" ca="1" si="7"/>
        <v>0</v>
      </c>
      <c r="AF25" s="717">
        <f t="shared" ca="1" si="7"/>
        <v>0</v>
      </c>
      <c r="AG25" s="717">
        <f t="shared" ca="1" si="7"/>
        <v>0</v>
      </c>
      <c r="AH25" s="717">
        <f t="shared" ca="1" si="7"/>
        <v>0</v>
      </c>
      <c r="AI25" s="717">
        <f t="shared" ca="1" si="7"/>
        <v>0</v>
      </c>
      <c r="AJ25" s="717">
        <f t="shared" ca="1" si="7"/>
        <v>0</v>
      </c>
      <c r="AK25" s="717">
        <f t="shared" ca="1" si="7"/>
        <v>0</v>
      </c>
      <c r="AL25" s="717">
        <f t="shared" ca="1" si="7"/>
        <v>0</v>
      </c>
      <c r="AM25" s="717">
        <f t="shared" ca="1" si="7"/>
        <v>0</v>
      </c>
      <c r="AN25" s="717">
        <f t="shared" ca="1" si="7"/>
        <v>0</v>
      </c>
      <c r="AO25" s="717">
        <f t="shared" ca="1" si="7"/>
        <v>0</v>
      </c>
      <c r="AP25" s="717">
        <f t="shared" ca="1" si="7"/>
        <v>0</v>
      </c>
      <c r="AQ25" s="717">
        <f t="shared" ca="1" si="7"/>
        <v>0</v>
      </c>
      <c r="AR25" s="717">
        <f t="shared" ca="1" si="7"/>
        <v>0</v>
      </c>
      <c r="AS25" s="717">
        <f t="shared" ca="1" si="7"/>
        <v>0</v>
      </c>
      <c r="AT25" s="717">
        <f t="shared" ca="1" si="7"/>
        <v>0</v>
      </c>
      <c r="AU25" s="717">
        <f t="shared" ca="1" si="7"/>
        <v>0</v>
      </c>
      <c r="AV25" s="717">
        <f t="shared" ca="1" si="7"/>
        <v>0</v>
      </c>
      <c r="AW25" s="717">
        <f t="shared" ca="1" si="7"/>
        <v>0</v>
      </c>
    </row>
    <row r="26" spans="2:49" s="684" customFormat="1" ht="16.5" customHeight="1">
      <c r="B26" s="714" t="s">
        <v>767</v>
      </c>
      <c r="C26" s="718">
        <f ca="1">C21-C25</f>
        <v>264</v>
      </c>
      <c r="D26" s="1889"/>
      <c r="E26" s="77"/>
      <c r="F26" s="717"/>
      <c r="G26" s="717"/>
      <c r="H26" s="717"/>
      <c r="I26" s="717"/>
      <c r="J26" s="717"/>
      <c r="K26" s="717"/>
      <c r="L26" s="717"/>
      <c r="M26" s="717"/>
      <c r="N26" s="717"/>
      <c r="O26" s="717"/>
      <c r="P26" s="717"/>
      <c r="Q26" s="717"/>
      <c r="R26" s="717"/>
      <c r="S26" s="717"/>
      <c r="T26" s="717"/>
      <c r="U26" s="717"/>
      <c r="V26" s="717"/>
      <c r="W26" s="717"/>
      <c r="X26" s="717"/>
      <c r="Y26" s="717"/>
      <c r="Z26" s="717"/>
      <c r="AA26" s="717"/>
      <c r="AB26" s="717"/>
      <c r="AC26" s="717"/>
      <c r="AD26" s="717"/>
      <c r="AE26" s="717"/>
      <c r="AF26" s="717"/>
      <c r="AG26" s="717"/>
      <c r="AH26" s="717"/>
      <c r="AI26" s="717"/>
      <c r="AJ26" s="717"/>
      <c r="AK26" s="717"/>
      <c r="AL26" s="717"/>
      <c r="AM26" s="717"/>
      <c r="AN26" s="717"/>
      <c r="AO26" s="717"/>
      <c r="AP26" s="717"/>
      <c r="AQ26" s="717"/>
      <c r="AR26" s="717"/>
      <c r="AS26" s="717"/>
      <c r="AT26" s="717"/>
      <c r="AU26" s="717"/>
      <c r="AV26" s="717"/>
      <c r="AW26" s="717"/>
    </row>
    <row r="27" spans="2:49" s="684" customFormat="1">
      <c r="B27" s="719" t="s">
        <v>768</v>
      </c>
      <c r="C27" s="720">
        <f ca="1">C16-C17+C19-C20</f>
        <v>0</v>
      </c>
      <c r="D27" s="718"/>
      <c r="G27" s="717"/>
      <c r="H27" s="717"/>
      <c r="I27" s="717"/>
      <c r="J27" s="717"/>
      <c r="K27" s="717"/>
      <c r="L27" s="717"/>
      <c r="M27" s="717"/>
      <c r="N27" s="717"/>
      <c r="O27" s="717"/>
      <c r="P27" s="717"/>
      <c r="Q27" s="717"/>
      <c r="R27" s="717"/>
      <c r="S27" s="717"/>
      <c r="T27" s="717"/>
      <c r="U27" s="717"/>
      <c r="V27" s="717"/>
      <c r="W27" s="717"/>
      <c r="X27" s="717"/>
      <c r="Y27" s="717"/>
      <c r="Z27" s="717"/>
      <c r="AA27" s="717"/>
      <c r="AB27" s="717"/>
      <c r="AC27" s="717"/>
      <c r="AD27" s="717"/>
      <c r="AE27" s="717"/>
      <c r="AF27" s="717"/>
      <c r="AG27" s="717"/>
      <c r="AH27" s="717"/>
      <c r="AI27" s="717"/>
      <c r="AJ27" s="717"/>
      <c r="AK27" s="717"/>
      <c r="AL27" s="717"/>
      <c r="AM27" s="717"/>
      <c r="AN27" s="717"/>
      <c r="AO27" s="717"/>
      <c r="AP27" s="717"/>
      <c r="AQ27" s="717"/>
      <c r="AR27" s="717"/>
      <c r="AS27" s="717"/>
      <c r="AT27" s="717"/>
      <c r="AU27" s="717"/>
      <c r="AV27" s="717"/>
      <c r="AW27" s="717"/>
    </row>
    <row r="28" spans="2:49" ht="12.75" customHeight="1">
      <c r="B28" s="141" t="s">
        <v>769</v>
      </c>
    </row>
    <row r="29" spans="2:49" s="685" customFormat="1" ht="28.5" customHeight="1">
      <c r="B29" s="721" t="s">
        <v>598</v>
      </c>
      <c r="C29" s="721" t="s">
        <v>251</v>
      </c>
      <c r="D29" s="721" t="str">
        <f>'8.项目规划指标表'!B5</f>
        <v>高层</v>
      </c>
      <c r="E29" s="721" t="str">
        <f>'8.项目规划指标表'!B6</f>
        <v>商铺</v>
      </c>
      <c r="F29" s="721" t="str">
        <f>'8.项目规划指标表'!B7</f>
        <v>回迁商业</v>
      </c>
      <c r="G29" s="721">
        <f>'8.项目规划指标表'!B8</f>
        <v>0</v>
      </c>
      <c r="H29" s="721">
        <f>'8.项目规划指标表'!B9</f>
        <v>0</v>
      </c>
      <c r="I29" s="721">
        <f>'8.项目规划指标表'!B10</f>
        <v>0</v>
      </c>
      <c r="J29" s="721">
        <f>'8.项目规划指标表'!B11</f>
        <v>0</v>
      </c>
      <c r="K29" s="721">
        <f>'8.项目规划指标表'!B12</f>
        <v>0</v>
      </c>
      <c r="L29" s="721">
        <f>'8.项目规划指标表'!B13</f>
        <v>0</v>
      </c>
      <c r="M29" s="721" t="str">
        <f>'8.项目规划指标表'!B14</f>
        <v>自持物业</v>
      </c>
      <c r="N29" s="721" t="str">
        <f>'8.项目规划指标表'!B18</f>
        <v>有产权车库(个)</v>
      </c>
      <c r="O29" s="721" t="str">
        <f>'8.项目规划指标表'!B19</f>
        <v>无产权车库(个)</v>
      </c>
    </row>
    <row r="30" spans="2:49" ht="16.5" customHeight="1">
      <c r="B30" s="626" t="s">
        <v>19</v>
      </c>
      <c r="C30" s="91">
        <f ca="1">IFERROR('13.建安成本表'!E179/SUM('13.建安成本表'!$E$179,'13.建安成本表'!$H$179,'13.建安成本表'!$K$179,'13.建安成本表'!$N$179,'13.建安成本表'!$Q$179,'13.建安成本表'!$T$179)*$C$21,0)</f>
        <v>901.5</v>
      </c>
      <c r="D30" s="91">
        <f ca="1">IF(OR(D$29="回迁房",D$29="保障性住房（可租）",D$29="回迁商业",D$29="回迁写字楼"),0,IFERROR($C$30*'13.建安成本表'!$E$180/('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786.4312016661313</v>
      </c>
      <c r="E30" s="91">
        <f ca="1">IF(OR(E$29="回迁房",E$29="保障性住房（可租）",E$29="回迁商业",E$29="回迁写字楼"),0,IFERROR($C$30*'13.建安成本表'!$E$181/('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61.074823354538523</v>
      </c>
      <c r="F30" s="91">
        <f>IF(OR(F$29="回迁房",F$29="保障性住房（可租）",F$29="回迁商业",F$29="回迁写字楼"),0,IFERROR($C$30*'13.建安成本表'!$E$182/('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G30" s="91">
        <f ca="1">IF(OR(G$29="回迁房",G$29="保障性住房（可租）",G$29="回迁商业",G$29="回迁写字楼"),0,IFERROR($C$30*'13.建安成本表'!$E$183/('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H30" s="91">
        <f ca="1">IF(OR(H$29="回迁房",H$29="保障性住房（可租）",H$29="回迁商业",H$29="回迁写字楼"),0,IFERROR($C$30*'13.建安成本表'!$E$184/('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I30" s="91">
        <f ca="1">IF(OR(I$29="回迁房",I$29="保障性住房（可租）",I$29="回迁商业",I$29="回迁写字楼"),0,IFERROR($C$30*'13.建安成本表'!$E$185/('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J30" s="91">
        <f ca="1">IF(OR(J$29="回迁房",J$29="保障性住房（可租）",J$29="回迁商业",J$29="回迁写字楼"),0,IFERROR($C$30*'13.建安成本表'!$E$186/('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K30" s="91">
        <f ca="1">IF(OR(K$29="回迁房",K$29="保障性住房（可租）",K$29="回迁商业",K$29="回迁写字楼"),0,IFERROR($C$30*'13.建安成本表'!$E$187/('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L30" s="91">
        <f ca="1">IF(OR(L$29="回迁房",L$29="保障性住房（可租）",L$29="回迁商业",L$29="回迁写字楼"),0,IFERROR($C$30*'13.建安成本表'!$E$188/('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M30" s="91">
        <f ca="1">IF(OR(M$29="回迁房",M$29="保障性住房（可租）",M$29="回迁商业",M$29="回迁写字楼"),0,IFERROR($C$30*'13.建安成本表'!$E$189/('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N30" s="91">
        <f ca="1">IF(OR(N$29="回迁房",N$29="保障性住房（可租）",N$29="回迁商业",N$29="回迁写字楼"),0,IFERROR($C$30*'13.建安成本表'!$E$190/('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53.993974979330268</v>
      </c>
      <c r="O30" s="91">
        <f ca="1">IF(OR(O$29="回迁房",O$29="保障性住房（可租）",O$29="回迁商业",O$29="回迁写字楼"),0,IFERROR($C$30*'13.建安成本表'!$E$191/('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P30" s="93">
        <f t="shared" ref="P30:P35" ca="1" si="8">SUM(D30:O30)-C30</f>
        <v>0</v>
      </c>
    </row>
    <row r="31" spans="2:49" ht="16.5" customHeight="1">
      <c r="B31" s="626" t="s">
        <v>20</v>
      </c>
      <c r="C31" s="91">
        <f ca="1">IFERROR('13.建安成本表'!H179/SUM('13.建安成本表'!$E$179,'13.建安成本表'!$H$179,'13.建安成本表'!$K$179,'13.建安成本表'!$N$179,'13.建安成本表'!$Q$179,'13.建安成本表'!$T$179)*$C$21,0)</f>
        <v>0</v>
      </c>
      <c r="D31" s="91">
        <f ca="1">IF(OR(D$29="回迁房",D$29="保障性住房（可租）",D$29="回迁商业",D$29="回迁写字楼"),0,IFERROR($C31*'13.建安成本表'!$H$180/('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E31" s="91">
        <f ca="1">IF(OR(E$29="回迁房",E$29="保障性住房（可租）",E$29="回迁商业",E$29="回迁写字楼"),0,IFERROR($C31*'13.建安成本表'!$H$181/('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F31" s="91">
        <f>IF(OR(F$29="回迁房",F$29="保障性住房（可租）",F$29="回迁商业",F$29="回迁写字楼"),0,IFERROR($C31*'13.建安成本表'!$H$182/('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G31" s="91">
        <f ca="1">IF(OR(G$29="回迁房",G$29="保障性住房（可租）",G$29="回迁商业",G$29="回迁写字楼"),0,IFERROR($C31*'13.建安成本表'!$H$183/('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H31" s="91">
        <f ca="1">IF(OR(H$29="回迁房",H$29="保障性住房（可租）",H$29="回迁商业",H$29="回迁写字楼"),0,IFERROR($C31*'13.建安成本表'!$H$184/('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I31" s="91">
        <f ca="1">IF(OR(I$29="回迁房",I$29="保障性住房（可租）",I$29="回迁商业",I$29="回迁写字楼"),0,IFERROR($C31*'13.建安成本表'!$H$185/('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J31" s="91">
        <f ca="1">IF(OR(J$29="回迁房",J$29="保障性住房（可租）",J$29="回迁商业",J$29="回迁写字楼"),0,IFERROR($C31*'13.建安成本表'!$H$186/('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K31" s="91">
        <f ca="1">IF(OR(K$29="回迁房",K$29="保障性住房（可租）",K$29="回迁商业",K$29="回迁写字楼"),0,IFERROR($C31*'13.建安成本表'!$H$187/('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L31" s="91">
        <f ca="1">IF(OR(L$29="回迁房",L$29="保障性住房（可租）",L$29="回迁商业",L$29="回迁写字楼"),0,IFERROR($C31*'13.建安成本表'!$H$188/('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M31" s="91">
        <f ca="1">IF(OR(M$29="回迁房",M$29="保障性住房（可租）",M$29="回迁商业",M$29="回迁写字楼"),0,IFERROR($C31*'13.建安成本表'!$H$189/('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N31" s="91">
        <f ca="1">IF(OR(N$29="回迁房",N$29="保障性住房（可租）",N$29="回迁商业",N$29="回迁写字楼"),0,IFERROR($C31*'13.建安成本表'!$H$190/('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O31" s="91">
        <f ca="1">IF(OR(O$29="回迁房",O$29="保障性住房（可租）",O$29="回迁商业",O$29="回迁写字楼"),0,IFERROR($C31*'13.建安成本表'!$H$191/('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P31" s="93">
        <f t="shared" ca="1" si="8"/>
        <v>0</v>
      </c>
    </row>
    <row r="32" spans="2:49" ht="16.5" customHeight="1">
      <c r="B32" s="626" t="s">
        <v>21</v>
      </c>
      <c r="C32" s="91">
        <f ca="1">IFERROR('13.建安成本表'!K179/SUM('13.建安成本表'!$E$179,'13.建安成本表'!$H$179,'13.建安成本表'!$K$179,'13.建安成本表'!$N$179,'13.建安成本表'!$Q$179,'13.建安成本表'!$T$179)*$C$21,0)</f>
        <v>0</v>
      </c>
      <c r="D32" s="91">
        <f ca="1">IF(OR(D$29="回迁房",D$29="保障性住房（可租）",D$29="回迁商业",D$29="回迁写字楼"),0,IFERROR($C32*'13.建安成本表'!$K$180/('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E32" s="91">
        <f ca="1">IF(OR(E$29="回迁房",E$29="保障性住房（可租）",E$29="回迁商业",E$29="回迁写字楼"),0,IFERROR($C32*'13.建安成本表'!$K$181/('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F32" s="91">
        <f>IF(OR(F$29="回迁房",F$29="保障性住房（可租）",F$29="回迁商业",F$29="回迁写字楼"),0,IFERROR($C32*'13.建安成本表'!$K$182/('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G32" s="91">
        <f ca="1">IF(OR(G$29="回迁房",G$29="保障性住房（可租）",G$29="回迁商业",G$29="回迁写字楼"),0,IFERROR($C32*'13.建安成本表'!$K$183/('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H32" s="91">
        <f ca="1">IF(OR(H$29="回迁房",H$29="保障性住房（可租）",H$29="回迁商业",H$29="回迁写字楼"),0,IFERROR($C32*'13.建安成本表'!$K$184/('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I32" s="91">
        <f ca="1">IF(OR(I$29="回迁房",I$29="保障性住房（可租）",I$29="回迁商业",I$29="回迁写字楼"),0,IFERROR($C32*'13.建安成本表'!$K$185/('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J32" s="91">
        <f ca="1">IF(OR(J$29="回迁房",J$29="保障性住房（可租）",J$29="回迁商业",J$29="回迁写字楼"),0,IFERROR($C32*'13.建安成本表'!$K$186/('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K32" s="91">
        <f ca="1">IF(OR(K$29="回迁房",K$29="保障性住房（可租）",K$29="回迁商业",K$29="回迁写字楼"),0,IFERROR($C32*'13.建安成本表'!$K$187/('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L32" s="91">
        <f ca="1">IF(OR(L$29="回迁房",L$29="保障性住房（可租）",L$29="回迁商业",L$29="回迁写字楼"),0,IFERROR($C32*'13.建安成本表'!$K$188/('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M32" s="91">
        <f ca="1">IF(OR(M$29="回迁房",M$29="保障性住房（可租）",M$29="回迁商业",M$29="回迁写字楼"),0,IFERROR($C32*'13.建安成本表'!$K$189/('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N32" s="91">
        <f ca="1">IF(OR(N$29="回迁房",N$29="保障性住房（可租）",N$29="回迁商业",N$29="回迁写字楼"),0,IFERROR($C32*'13.建安成本表'!$K$190/('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O32" s="91">
        <f ca="1">IF(OR(O$29="回迁房",O$29="保障性住房（可租）",O$29="回迁商业",O$29="回迁写字楼"),0,IFERROR($C32*'13.建安成本表'!$K$191/('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P32" s="93">
        <f t="shared" ca="1" si="8"/>
        <v>0</v>
      </c>
    </row>
    <row r="33" spans="2:16" ht="16.5" customHeight="1">
      <c r="B33" s="626" t="s">
        <v>22</v>
      </c>
      <c r="C33" s="91">
        <f ca="1">IFERROR('13.建安成本表'!N179/SUM('13.建安成本表'!$E$179,'13.建安成本表'!$H$179,'13.建安成本表'!$K$179,'13.建安成本表'!$N$179,'13.建安成本表'!$Q$179,'13.建安成本表'!$T$179)*$C$21,0)</f>
        <v>0</v>
      </c>
      <c r="D33" s="91">
        <f ca="1">IF(OR(D$29="回迁房",D$29="保障性住房（可租）",D$29="回迁商业",D$29="回迁写字楼"),0,IFERROR($C33*'13.建安成本表'!$N$180/('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E33" s="91">
        <f ca="1">IF(OR(E$29="回迁房",E$29="保障性住房（可租）",E$29="回迁商业",E$29="回迁写字楼"),0,IFERROR($C33*'13.建安成本表'!$N$181/('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F33" s="91">
        <f>IF(OR(F$29="回迁房",F$29="保障性住房（可租）",F$29="回迁商业",F$29="回迁写字楼"),0,IFERROR($C33*'13.建安成本表'!$N$182/('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G33" s="91">
        <f ca="1">IF(OR(G$29="回迁房",G$29="保障性住房（可租）",G$29="回迁商业",G$29="回迁写字楼"),0,IFERROR($C33*'13.建安成本表'!$N$183/('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H33" s="91">
        <f ca="1">IF(OR(H$29="回迁房",H$29="保障性住房（可租）",H$29="回迁商业",H$29="回迁写字楼"),0,IFERROR($C33*'13.建安成本表'!$N$184/('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I33" s="91">
        <f ca="1">IF(OR(I$29="回迁房",I$29="保障性住房（可租）",I$29="回迁商业",I$29="回迁写字楼"),0,IFERROR($C33*'13.建安成本表'!$N$185/('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J33" s="91">
        <f ca="1">IF(OR(J$29="回迁房",J$29="保障性住房（可租）",J$29="回迁商业",J$29="回迁写字楼"),0,IFERROR($C33*'13.建安成本表'!$N$186/('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K33" s="91">
        <f ca="1">IF(OR(K$29="回迁房",K$29="保障性住房（可租）",K$29="回迁商业",K$29="回迁写字楼"),0,IFERROR($C33*'13.建安成本表'!$N$187/('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L33" s="91">
        <f ca="1">IF(OR(L$29="回迁房",L$29="保障性住房（可租）",L$29="回迁商业",L$29="回迁写字楼"),0,IFERROR($C33*'13.建安成本表'!$N$188/('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M33" s="91">
        <f ca="1">IF(OR(M$29="回迁房",M$29="保障性住房（可租）",M$29="回迁商业",M$29="回迁写字楼"),0,IFERROR($C33*'13.建安成本表'!$N$189/('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N33" s="91">
        <f ca="1">IF(OR(N$29="回迁房",N$29="保障性住房（可租）",N$29="回迁商业",N$29="回迁写字楼"),0,IFERROR($C33*'13.建安成本表'!$N$190/('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O33" s="91">
        <f ca="1">IF(OR(O$29="回迁房",O$29="保障性住房（可租）",O$29="回迁商业",O$29="回迁写字楼"),0,IFERROR($C33*'13.建安成本表'!$N$191/('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P33" s="93">
        <f t="shared" ca="1" si="8"/>
        <v>0</v>
      </c>
    </row>
    <row r="34" spans="2:16" ht="16.5" customHeight="1">
      <c r="B34" s="626" t="s">
        <v>23</v>
      </c>
      <c r="C34" s="91">
        <f ca="1">IFERROR('13.建安成本表'!Q179/SUM('13.建安成本表'!$E$179,'13.建安成本表'!$H$179,'13.建安成本表'!$K$179,'13.建安成本表'!$N$179,'13.建安成本表'!$Q$179,'13.建安成本表'!$T$179)*$C$21,0)</f>
        <v>0</v>
      </c>
      <c r="D34" s="91">
        <f ca="1">IF(OR(D$29="回迁房",D$29="保障性住房（可租）",D$29="回迁商业",D$29="回迁写字楼"),0,IFERROR($C34*'13.建安成本表'!$Q$180/('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E34" s="91">
        <f ca="1">IF(OR(E$29="回迁房",E$29="保障性住房（可租）",E$29="回迁商业",E$29="回迁写字楼"),0,IFERROR($C34*'13.建安成本表'!$Q$181/('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F34" s="91">
        <f>IF(OR(F$29="回迁房",F$29="保障性住房（可租）",F$29="回迁商业",F$29="回迁写字楼"),0,IFERROR($C34*'13.建安成本表'!$Q$182/('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G34" s="91">
        <f ca="1">IF(OR(G$29="回迁房",G$29="保障性住房（可租）",G$29="回迁商业",G$29="回迁写字楼"),0,IFERROR($C34*'13.建安成本表'!$Q$183/('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H34" s="91">
        <f ca="1">IF(OR(H$29="回迁房",H$29="保障性住房（可租）",H$29="回迁商业",H$29="回迁写字楼"),0,IFERROR($C34*'13.建安成本表'!$Q$184/('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I34" s="91">
        <f ca="1">IF(OR(I$29="回迁房",I$29="保障性住房（可租）",I$29="回迁商业",I$29="回迁写字楼"),0,IFERROR($C34*'13.建安成本表'!$Q$185/('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J34" s="91">
        <f ca="1">IF(OR(J$29="回迁房",J$29="保障性住房（可租）",J$29="回迁商业",J$29="回迁写字楼"),0,IFERROR($C34*'13.建安成本表'!$Q$186/('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K34" s="91">
        <f ca="1">IF(OR(K$29="回迁房",K$29="保障性住房（可租）",K$29="回迁商业",K$29="回迁写字楼"),0,IFERROR($C34*'13.建安成本表'!$Q$187/('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L34" s="91">
        <f ca="1">IF(OR(L$29="回迁房",L$29="保障性住房（可租）",L$29="回迁商业",L$29="回迁写字楼"),0,IFERROR($C34*'13.建安成本表'!$Q$188/('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M34" s="91">
        <f ca="1">IF(OR(M$29="回迁房",M$29="保障性住房（可租）",M$29="回迁商业",M$29="回迁写字楼"),0,IFERROR($C34*'13.建安成本表'!$Q$189/('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N34" s="91">
        <f ca="1">IF(OR(N$29="回迁房",N$29="保障性住房（可租）",N$29="回迁商业",N$29="回迁写字楼"),0,IFERROR($C34*'13.建安成本表'!$Q$190/('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O34" s="91">
        <f ca="1">IF(OR(O$29="回迁房",O$29="保障性住房（可租）",O$29="回迁商业",O$29="回迁写字楼"),0,IFERROR($C34*'13.建安成本表'!$Q$191/('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P34" s="93">
        <f t="shared" ca="1" si="8"/>
        <v>0</v>
      </c>
    </row>
    <row r="35" spans="2:16" ht="16.5" customHeight="1">
      <c r="B35" s="626" t="s">
        <v>24</v>
      </c>
      <c r="C35" s="91">
        <f ca="1">IFERROR('13.建安成本表'!T179/SUM('13.建安成本表'!$E$179,'13.建安成本表'!$H$179,'13.建安成本表'!$K$179,'13.建安成本表'!$N$179,'13.建安成本表'!$Q$179,'13.建安成本表'!$T$179)*$C$21,0)</f>
        <v>0</v>
      </c>
      <c r="D35" s="91">
        <f ca="1">IF(OR(D$29="回迁房",D$29="保障性住房（可租）",D$29="回迁商业",D$29="回迁写字楼"),0,IFERROR($C35*'13.建安成本表'!$T$180/('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E35" s="91">
        <f ca="1">IF(OR(E$29="回迁房",E$29="保障性住房（可租）",E$29="回迁商业",E$29="回迁写字楼"),0,IFERROR($C35*'13.建安成本表'!$T$181/('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F35" s="91">
        <f>IF(OR(F$29="回迁房",F$29="保障性住房（可租）",F$29="回迁商业",F$29="回迁写字楼"),0,IFERROR($C35*'13.建安成本表'!$T$182/('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G35" s="91">
        <f ca="1">IF(OR(G$29="回迁房",G$29="保障性住房（可租）",G$29="回迁商业",G$29="回迁写字楼"),0,IFERROR($C35*'13.建安成本表'!$T$183/('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H35" s="91">
        <f ca="1">IF(OR(H$29="回迁房",H$29="保障性住房（可租）",H$29="回迁商业",H$29="回迁写字楼"),0,IFERROR($C35*'13.建安成本表'!$T$184/('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I35" s="91">
        <f ca="1">IF(OR(I$29="回迁房",I$29="保障性住房（可租）",I$29="回迁商业",I$29="回迁写字楼"),0,IFERROR($C35*'13.建安成本表'!$T$185/('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J35" s="91">
        <f ca="1">IF(OR(J$29="回迁房",J$29="保障性住房（可租）",J$29="回迁商业",J$29="回迁写字楼"),0,IFERROR($C35*'13.建安成本表'!$T$186/('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K35" s="91">
        <f ca="1">IF(OR(K$29="回迁房",K$29="保障性住房（可租）",K$29="回迁商业",K$29="回迁写字楼"),0,IFERROR($C35*'13.建安成本表'!$T$187/('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L35" s="91">
        <f ca="1">IF(OR(L$29="回迁房",L$29="保障性住房（可租）",L$29="回迁商业",L$29="回迁写字楼"),0,IFERROR($C35*'13.建安成本表'!$T$188/('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M35" s="91">
        <f ca="1">IF(OR(M$29="回迁房",M$29="保障性住房（可租）",M$29="回迁商业",M$29="回迁写字楼"),0,IFERROR($C35*'13.建安成本表'!$T$189/('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N35" s="91">
        <f ca="1">IF(OR(N$29="回迁房",N$29="保障性住房（可租）",N$29="回迁商业",N$29="回迁写字楼"),0,IFERROR($C35*'13.建安成本表'!$T$190/('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O35" s="91">
        <f ca="1">IF(OR(O$29="回迁房",O$29="保障性住房（可租）",O$29="回迁商业",O$29="回迁写字楼"),0,IFERROR($C35*'13.建安成本表'!$T$191/('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P35" s="93">
        <f t="shared" ca="1" si="8"/>
        <v>0</v>
      </c>
    </row>
    <row r="36" spans="2:16" ht="16.5" customHeight="1">
      <c r="B36" s="722" t="s">
        <v>251</v>
      </c>
      <c r="C36" s="723">
        <f ca="1">SUM(C30:C35)</f>
        <v>901.5</v>
      </c>
      <c r="D36" s="723">
        <f ca="1">SUM(D30:D35)</f>
        <v>786.4312016661313</v>
      </c>
      <c r="E36" s="723">
        <f ca="1">SUM(E30:E35)</f>
        <v>61.074823354538523</v>
      </c>
      <c r="F36" s="723">
        <f t="shared" ref="F36:O36" si="9">SUM(F30:F35)</f>
        <v>0</v>
      </c>
      <c r="G36" s="723">
        <f t="shared" ca="1" si="9"/>
        <v>0</v>
      </c>
      <c r="H36" s="723">
        <f t="shared" ca="1" si="9"/>
        <v>0</v>
      </c>
      <c r="I36" s="723">
        <f t="shared" ca="1" si="9"/>
        <v>0</v>
      </c>
      <c r="J36" s="723">
        <f t="shared" ca="1" si="9"/>
        <v>0</v>
      </c>
      <c r="K36" s="723">
        <f t="shared" ca="1" si="9"/>
        <v>0</v>
      </c>
      <c r="L36" s="723">
        <f t="shared" ca="1" si="9"/>
        <v>0</v>
      </c>
      <c r="M36" s="723">
        <f t="shared" ca="1" si="9"/>
        <v>0</v>
      </c>
      <c r="N36" s="723">
        <f t="shared" ca="1" si="9"/>
        <v>53.993974979330268</v>
      </c>
      <c r="O36" s="723">
        <f t="shared" ca="1" si="9"/>
        <v>0</v>
      </c>
    </row>
    <row r="37" spans="2:16" ht="16.5" customHeight="1"/>
    <row r="38" spans="2:16" ht="16.5" customHeight="1">
      <c r="B38" s="141" t="s">
        <v>770</v>
      </c>
    </row>
    <row r="39" spans="2:16" s="685" customFormat="1" ht="29.25" customHeight="1">
      <c r="B39" s="721" t="s">
        <v>598</v>
      </c>
      <c r="C39" s="721" t="s">
        <v>251</v>
      </c>
      <c r="D39" s="721" t="str">
        <f>'8.项目规划指标表'!B5</f>
        <v>高层</v>
      </c>
      <c r="E39" s="721" t="str">
        <f>'8.项目规划指标表'!B6</f>
        <v>商铺</v>
      </c>
      <c r="F39" s="721" t="str">
        <f>'8.项目规划指标表'!B7</f>
        <v>回迁商业</v>
      </c>
      <c r="G39" s="721">
        <f>'8.项目规划指标表'!B8</f>
        <v>0</v>
      </c>
      <c r="H39" s="721">
        <f>'8.项目规划指标表'!B9</f>
        <v>0</v>
      </c>
      <c r="I39" s="721">
        <f>'8.项目规划指标表'!B10</f>
        <v>0</v>
      </c>
      <c r="J39" s="721">
        <f>'8.项目规划指标表'!B11</f>
        <v>0</v>
      </c>
      <c r="K39" s="721">
        <f>'8.项目规划指标表'!B12</f>
        <v>0</v>
      </c>
      <c r="L39" s="721">
        <f>'8.项目规划指标表'!B13</f>
        <v>0</v>
      </c>
      <c r="M39" s="721" t="str">
        <f>'8.项目规划指标表'!B14</f>
        <v>自持物业</v>
      </c>
      <c r="N39" s="721" t="str">
        <f>'8.项目规划指标表'!B18</f>
        <v>有产权车库(个)</v>
      </c>
      <c r="O39" s="721" t="str">
        <f>'8.项目规划指标表'!B19</f>
        <v>无产权车库(个)</v>
      </c>
    </row>
    <row r="40" spans="2:16" ht="16.5" customHeight="1">
      <c r="B40" s="626" t="s">
        <v>19</v>
      </c>
      <c r="C40" s="91">
        <f ca="1">IFERROR(C30/'8.项目规划指标表'!$H22*10000,0)</f>
        <v>138.21175604820164</v>
      </c>
      <c r="D40" s="91">
        <f ca="1">IFERROR(D30/'8.项目规划指标表'!$I5*10000,0)</f>
        <v>140.1838149137489</v>
      </c>
      <c r="E40" s="91">
        <f ca="1">IFERROR(E30/'8.项目规划指标表'!$I6*10000,0)</f>
        <v>167.78797624873221</v>
      </c>
      <c r="F40" s="91">
        <f>IFERROR(F30/'8.项目规划指标表'!$I7*10000,0)</f>
        <v>0</v>
      </c>
      <c r="G40" s="91">
        <f ca="1">IFERROR(G30/'8.项目规划指标表'!$I8*10000,0)</f>
        <v>0</v>
      </c>
      <c r="H40" s="91">
        <f ca="1">IFERROR(H30/'8.项目规划指标表'!$I9*10000,0)</f>
        <v>0</v>
      </c>
      <c r="I40" s="91">
        <f ca="1">IFERROR(I30/'8.项目规划指标表'!$I10*10000,0)</f>
        <v>0</v>
      </c>
      <c r="J40" s="91">
        <f ca="1">IFERROR(J30/'8.项目规划指标表'!$I11*10000,0)</f>
        <v>0</v>
      </c>
      <c r="K40" s="91">
        <f ca="1">IFERROR(K30/'8.项目规划指标表'!$I12*10000,0)</f>
        <v>0</v>
      </c>
      <c r="L40" s="91">
        <f ca="1">IFERROR(L30/'8.项目规划指标表'!$I13*10000,0)</f>
        <v>0</v>
      </c>
      <c r="M40" s="91">
        <f ca="1">IFERROR(M30/'8.项目规划指标表'!$I14*10000,0)</f>
        <v>0</v>
      </c>
      <c r="N40" s="91">
        <f ca="1">IFERROR(N30/'8.项目规划指标表'!$G18*10000,0)</f>
        <v>41.273486454158594</v>
      </c>
      <c r="O40" s="91">
        <f ca="1">IFERROR(O30/'8.项目规划指标表'!$H19*10000,0)</f>
        <v>0</v>
      </c>
      <c r="P40" s="93"/>
    </row>
    <row r="41" spans="2:16" ht="16.5" customHeight="1">
      <c r="B41" s="626" t="s">
        <v>20</v>
      </c>
      <c r="C41" s="91">
        <f ca="1">IFERROR(C31/'8.项目规划指标表'!$L22*10000,0)</f>
        <v>0</v>
      </c>
      <c r="D41" s="91">
        <f ca="1">IFERROR(D31/'8.项目规划指标表'!$M5*10000,0)</f>
        <v>0</v>
      </c>
      <c r="E41" s="91">
        <f ca="1">IFERROR(E31/'8.项目规划指标表'!$M6*10000,0)</f>
        <v>0</v>
      </c>
      <c r="F41" s="91">
        <f>IFERROR(F31/'8.项目规划指标表'!$M7*10000,0)</f>
        <v>0</v>
      </c>
      <c r="G41" s="91">
        <f ca="1">IFERROR(G31/'8.项目规划指标表'!$M8*10000,0)</f>
        <v>0</v>
      </c>
      <c r="H41" s="91">
        <f ca="1">IFERROR(H31/'8.项目规划指标表'!$M9*10000,0)</f>
        <v>0</v>
      </c>
      <c r="I41" s="91">
        <f ca="1">IFERROR(I31/'8.项目规划指标表'!$M10*10000,0)</f>
        <v>0</v>
      </c>
      <c r="J41" s="91">
        <f ca="1">IFERROR(J31/'8.项目规划指标表'!$M11*10000,0)</f>
        <v>0</v>
      </c>
      <c r="K41" s="91">
        <f ca="1">IFERROR(K31/'8.项目规划指标表'!$M12*10000,0)</f>
        <v>0</v>
      </c>
      <c r="L41" s="91">
        <f ca="1">IFERROR(L31/'8.项目规划指标表'!$M13*10000,0)</f>
        <v>0</v>
      </c>
      <c r="M41" s="91">
        <f ca="1">IFERROR(M31/'8.项目规划指标表'!$M14*10000,0)</f>
        <v>0</v>
      </c>
      <c r="N41" s="91">
        <f ca="1">IFERROR(N31/'8.项目规划指标表'!$K18*10000,0)</f>
        <v>0</v>
      </c>
      <c r="O41" s="91">
        <f ca="1">IFERROR(O31/'8.项目规划指标表'!$M19*10000,0)</f>
        <v>0</v>
      </c>
      <c r="P41" s="93"/>
    </row>
    <row r="42" spans="2:16" ht="16.5" customHeight="1">
      <c r="B42" s="626" t="s">
        <v>21</v>
      </c>
      <c r="C42" s="91">
        <f ca="1">IFERROR(C32/'8.项目规划指标表'!$P22*10000,0)</f>
        <v>0</v>
      </c>
      <c r="D42" s="91">
        <f ca="1">IFERROR(D32/'8.项目规划指标表'!$Q5*10000,0)</f>
        <v>0</v>
      </c>
      <c r="E42" s="91">
        <f ca="1">IFERROR(E32/'8.项目规划指标表'!$Q6*10000,0)</f>
        <v>0</v>
      </c>
      <c r="F42" s="91">
        <f>IFERROR(F32/'8.项目规划指标表'!$Q7*10000,0)</f>
        <v>0</v>
      </c>
      <c r="G42" s="91">
        <f ca="1">IFERROR(G32/'8.项目规划指标表'!$Q8*10000,0)</f>
        <v>0</v>
      </c>
      <c r="H42" s="91">
        <f ca="1">IFERROR(H32/'8.项目规划指标表'!$Q9*10000,0)</f>
        <v>0</v>
      </c>
      <c r="I42" s="91">
        <f ca="1">IFERROR(I32/'8.项目规划指标表'!$Q10*10000,0)</f>
        <v>0</v>
      </c>
      <c r="J42" s="91">
        <f ca="1">IFERROR(J32/'8.项目规划指标表'!$Q11*10000,0)</f>
        <v>0</v>
      </c>
      <c r="K42" s="91">
        <f ca="1">IFERROR(K32/'8.项目规划指标表'!$Q12*10000,0)</f>
        <v>0</v>
      </c>
      <c r="L42" s="91">
        <f ca="1">IFERROR(L32/'8.项目规划指标表'!$Q13*10000,0)</f>
        <v>0</v>
      </c>
      <c r="M42" s="91">
        <f ca="1">IFERROR(M32/'8.项目规划指标表'!$Q14*10000,0)</f>
        <v>0</v>
      </c>
      <c r="N42" s="91">
        <f ca="1">IFERROR(N32/'8.项目规划指标表'!$O18*10000,0)</f>
        <v>0</v>
      </c>
      <c r="O42" s="91">
        <f ca="1">IFERROR(O32/'8.项目规划指标表'!$Q19*10000,0)</f>
        <v>0</v>
      </c>
      <c r="P42" s="93"/>
    </row>
    <row r="43" spans="2:16" ht="16.5" customHeight="1">
      <c r="B43" s="626" t="s">
        <v>22</v>
      </c>
      <c r="C43" s="91">
        <f ca="1">IFERROR(C33/'8.项目规划指标表'!$T22*10000,0)</f>
        <v>0</v>
      </c>
      <c r="D43" s="91">
        <f ca="1">IFERROR(D33/'8.项目规划指标表'!$U5*10000,0)</f>
        <v>0</v>
      </c>
      <c r="E43" s="91">
        <f ca="1">IFERROR(E33/'8.项目规划指标表'!$U6*10000,0)</f>
        <v>0</v>
      </c>
      <c r="F43" s="91">
        <f>IFERROR(F33/'8.项目规划指标表'!$U7*10000,0)</f>
        <v>0</v>
      </c>
      <c r="G43" s="91">
        <f ca="1">IFERROR(G33/'8.项目规划指标表'!$U8*10000,0)</f>
        <v>0</v>
      </c>
      <c r="H43" s="91">
        <f ca="1">IFERROR(H33/'8.项目规划指标表'!$U9*10000,0)</f>
        <v>0</v>
      </c>
      <c r="I43" s="91">
        <f ca="1">IFERROR(I33/'8.项目规划指标表'!$U10*10000,0)</f>
        <v>0</v>
      </c>
      <c r="J43" s="91">
        <f ca="1">IFERROR(J33/'8.项目规划指标表'!$U11*10000,0)</f>
        <v>0</v>
      </c>
      <c r="K43" s="91">
        <f ca="1">IFERROR(K33/'8.项目规划指标表'!$U12*10000,0)</f>
        <v>0</v>
      </c>
      <c r="L43" s="91">
        <f ca="1">IFERROR(L33/'8.项目规划指标表'!$U13*10000,0)</f>
        <v>0</v>
      </c>
      <c r="M43" s="91">
        <f ca="1">IFERROR(M33/'8.项目规划指标表'!$U14*10000,0)</f>
        <v>0</v>
      </c>
      <c r="N43" s="91">
        <f ca="1">IFERROR(N33/'8.项目规划指标表'!$S18*10000,0)</f>
        <v>0</v>
      </c>
      <c r="O43" s="91">
        <f ca="1">IFERROR(O33/'8.项目规划指标表'!$U19*10000,0)</f>
        <v>0</v>
      </c>
      <c r="P43" s="93"/>
    </row>
    <row r="44" spans="2:16" ht="16.5" customHeight="1">
      <c r="B44" s="626" t="s">
        <v>23</v>
      </c>
      <c r="C44" s="91">
        <f ca="1">IFERROR(C34/'8.项目规划指标表'!$X22*10000,0)</f>
        <v>0</v>
      </c>
      <c r="D44" s="91">
        <f ca="1">IFERROR(D34/'8.项目规划指标表'!$Y5*10000,0)</f>
        <v>0</v>
      </c>
      <c r="E44" s="91">
        <f ca="1">IFERROR(E34/'8.项目规划指标表'!$Y6*10000,0)</f>
        <v>0</v>
      </c>
      <c r="F44" s="91">
        <f>IFERROR(F34/'8.项目规划指标表'!$Y7*10000,0)</f>
        <v>0</v>
      </c>
      <c r="G44" s="91">
        <f ca="1">IFERROR(G34/'8.项目规划指标表'!$Y8*10000,0)</f>
        <v>0</v>
      </c>
      <c r="H44" s="91">
        <f ca="1">IFERROR(H34/'8.项目规划指标表'!$Y9*10000,0)</f>
        <v>0</v>
      </c>
      <c r="I44" s="91">
        <f ca="1">IFERROR(I34/'8.项目规划指标表'!$Y10*10000,0)</f>
        <v>0</v>
      </c>
      <c r="J44" s="91">
        <f ca="1">IFERROR(J34/'8.项目规划指标表'!$Y11*10000,0)</f>
        <v>0</v>
      </c>
      <c r="K44" s="91">
        <f ca="1">IFERROR(K34/'8.项目规划指标表'!$Y12*10000,0)</f>
        <v>0</v>
      </c>
      <c r="L44" s="91">
        <f ca="1">IFERROR(L34/'8.项目规划指标表'!$Y13*10000,0)</f>
        <v>0</v>
      </c>
      <c r="M44" s="91">
        <f ca="1">IFERROR(M34/'8.项目规划指标表'!$Y14*10000,0)</f>
        <v>0</v>
      </c>
      <c r="N44" s="91">
        <f ca="1">IFERROR(N34/'8.项目规划指标表'!$W18*10000,0)</f>
        <v>0</v>
      </c>
      <c r="O44" s="91">
        <f ca="1">IFERROR(O34/'8.项目规划指标表'!$Y19*10000,0)</f>
        <v>0</v>
      </c>
      <c r="P44" s="93"/>
    </row>
    <row r="45" spans="2:16" ht="16.5" customHeight="1">
      <c r="B45" s="626" t="s">
        <v>24</v>
      </c>
      <c r="C45" s="91">
        <f ca="1">IFERROR(C35/'8.项目规划指标表'!$AB22*10000,0)</f>
        <v>0</v>
      </c>
      <c r="D45" s="91">
        <f ca="1">IFERROR(D35/'8.项目规划指标表'!$AC5*10000,0)</f>
        <v>0</v>
      </c>
      <c r="E45" s="91">
        <f ca="1">IFERROR(E35/'8.项目规划指标表'!$AC6*10000,0)</f>
        <v>0</v>
      </c>
      <c r="F45" s="91">
        <f>IFERROR(F35/'8.项目规划指标表'!$AC7*10000,0)</f>
        <v>0</v>
      </c>
      <c r="G45" s="91">
        <f ca="1">IFERROR(G35/'8.项目规划指标表'!$AC8*10000,0)</f>
        <v>0</v>
      </c>
      <c r="H45" s="91">
        <f ca="1">IFERROR(H35/'8.项目规划指标表'!$AC9*10000,0)</f>
        <v>0</v>
      </c>
      <c r="I45" s="91">
        <f ca="1">IFERROR(I35/'8.项目规划指标表'!$AC10*10000,0)</f>
        <v>0</v>
      </c>
      <c r="J45" s="91">
        <f ca="1">IFERROR(J35/'8.项目规划指标表'!$AC11*10000,0)</f>
        <v>0</v>
      </c>
      <c r="K45" s="91">
        <f ca="1">IFERROR(K35/'8.项目规划指标表'!$AC12*10000,0)</f>
        <v>0</v>
      </c>
      <c r="L45" s="91">
        <f ca="1">IFERROR(L35/'8.项目规划指标表'!$AC13*10000,0)</f>
        <v>0</v>
      </c>
      <c r="M45" s="91">
        <f ca="1">IFERROR(M35/'8.项目规划指标表'!$AC14*10000,0)</f>
        <v>0</v>
      </c>
      <c r="N45" s="91">
        <f ca="1">IFERROR(N35/'8.项目规划指标表'!$AA18*10000,0)</f>
        <v>0</v>
      </c>
      <c r="O45" s="91">
        <f ca="1">IFERROR(O35/'8.项目规划指标表'!$AC19*10000,0)</f>
        <v>0</v>
      </c>
      <c r="P45" s="93"/>
    </row>
    <row r="46" spans="2:16" ht="16.5" customHeight="1">
      <c r="B46" s="722" t="s">
        <v>251</v>
      </c>
      <c r="C46" s="723">
        <f t="shared" ref="C46:O46" ca="1" si="10">SUM(C40:C45)</f>
        <v>138.21175604820164</v>
      </c>
      <c r="D46" s="723">
        <f t="shared" ca="1" si="10"/>
        <v>140.1838149137489</v>
      </c>
      <c r="E46" s="723">
        <f t="shared" ca="1" si="10"/>
        <v>167.78797624873221</v>
      </c>
      <c r="F46" s="723">
        <f t="shared" si="10"/>
        <v>0</v>
      </c>
      <c r="G46" s="723">
        <f t="shared" ca="1" si="10"/>
        <v>0</v>
      </c>
      <c r="H46" s="723">
        <f t="shared" ca="1" si="10"/>
        <v>0</v>
      </c>
      <c r="I46" s="723">
        <f t="shared" ca="1" si="10"/>
        <v>0</v>
      </c>
      <c r="J46" s="723">
        <f t="shared" ca="1" si="10"/>
        <v>0</v>
      </c>
      <c r="K46" s="723">
        <f t="shared" ca="1" si="10"/>
        <v>0</v>
      </c>
      <c r="L46" s="723">
        <f t="shared" ca="1" si="10"/>
        <v>0</v>
      </c>
      <c r="M46" s="723">
        <f t="shared" ca="1" si="10"/>
        <v>0</v>
      </c>
      <c r="N46" s="723">
        <f t="shared" ca="1" si="10"/>
        <v>41.273486454158594</v>
      </c>
      <c r="O46" s="723">
        <f t="shared" ca="1" si="10"/>
        <v>0</v>
      </c>
    </row>
    <row r="49" spans="1:16" ht="12.75" customHeight="1">
      <c r="B49" s="141" t="s">
        <v>771</v>
      </c>
      <c r="D49" s="74">
        <v>1</v>
      </c>
      <c r="E49" s="74">
        <v>2</v>
      </c>
      <c r="F49" s="74">
        <v>3</v>
      </c>
      <c r="G49" s="74">
        <v>4</v>
      </c>
      <c r="H49" s="74">
        <v>5</v>
      </c>
      <c r="I49" s="74">
        <v>6</v>
      </c>
      <c r="J49" s="74">
        <v>7</v>
      </c>
      <c r="K49" s="74">
        <v>8</v>
      </c>
      <c r="L49" s="74">
        <v>9</v>
      </c>
      <c r="M49" s="74">
        <v>10</v>
      </c>
    </row>
    <row r="50" spans="1:16" s="685" customFormat="1" ht="28.5" customHeight="1">
      <c r="B50" s="721" t="s">
        <v>598</v>
      </c>
      <c r="C50" s="721" t="s">
        <v>251</v>
      </c>
      <c r="D50" s="721" t="str">
        <f>D29</f>
        <v>高层</v>
      </c>
      <c r="E50" s="721" t="str">
        <f t="shared" ref="E50:O50" si="11">E29</f>
        <v>商铺</v>
      </c>
      <c r="F50" s="721" t="str">
        <f t="shared" si="11"/>
        <v>回迁商业</v>
      </c>
      <c r="G50" s="721">
        <f t="shared" si="11"/>
        <v>0</v>
      </c>
      <c r="H50" s="721">
        <f t="shared" si="11"/>
        <v>0</v>
      </c>
      <c r="I50" s="721">
        <f t="shared" si="11"/>
        <v>0</v>
      </c>
      <c r="J50" s="721">
        <f t="shared" si="11"/>
        <v>0</v>
      </c>
      <c r="K50" s="721">
        <f t="shared" si="11"/>
        <v>0</v>
      </c>
      <c r="L50" s="721">
        <f t="shared" si="11"/>
        <v>0</v>
      </c>
      <c r="M50" s="721" t="str">
        <f t="shared" si="11"/>
        <v>自持物业</v>
      </c>
      <c r="N50" s="721" t="str">
        <f t="shared" si="11"/>
        <v>有产权车库(个)</v>
      </c>
      <c r="O50" s="721" t="str">
        <f t="shared" si="11"/>
        <v>无产权车库(个)</v>
      </c>
    </row>
    <row r="51" spans="1:16" ht="16.5" customHeight="1">
      <c r="B51" s="626" t="s">
        <v>19</v>
      </c>
      <c r="C51" s="91">
        <f ca="1">IFERROR('13.建安成本表'!E179/SUM('13.建安成本表'!$E$179,'13.建安成本表'!$H$179,'13.建安成本表'!$K$179,'13.建安成本表'!$N$179,'13.建安成本表'!$Q$179,'13.建安成本表'!$T$179)*$C$25,0)</f>
        <v>637.5</v>
      </c>
      <c r="D51" s="91">
        <f ca="1">IF(OR(D$29="回迁房",D$29="保障性住房（可租）",D$29="保障性住房（可售）"),0,IFERROR($C$51*'13.建安成本表'!$E$180/('13.建安成本表'!$E$179-SUMIF('13.建安成本表'!$B$180:$B$191,"回迁房",'13.建安成本表'!$E$180:$E$191)-SUMIF('13.建安成本表'!$B$180:$B$191,"保障性住房（可租）",'13.建安成本表'!$E$180:$E$191)-SUMIF('13.建安成本表'!$B$180:$B$191,"保障性住房（可售）",'13.建安成本表'!$E$180:$E$191)),0))</f>
        <v>556.12855359085825</v>
      </c>
      <c r="E51" s="91">
        <f ca="1">IF(OR(E$29="回迁房",E$29="保障性住房（可租）",E$29="保障性住房（可售）"),0,IFERROR($C$51*'13.建安成本表'!$E$181/('13.建安成本表'!$E$179-SUMIF('13.建安成本表'!$B$180:$B$191,"回迁房",'13.建安成本表'!$E$180:$E$191)-SUMIF('13.建安成本表'!$B$180:$B$191,"保障性住房（可租）",'13.建安成本表'!$E$180:$E$191)-SUMIF('13.建安成本表'!$B$180:$B$191,"保障性住房（可售）",'13.建安成本表'!$E$180:$E$191)),0))</f>
        <v>43.189350957868342</v>
      </c>
      <c r="F51" s="91">
        <f ca="1">IF(OR(F$29="回迁房",F$29="保障性住房（可租）",F$29="保障性住房（可售）"),0,IFERROR($C$51*'13.建安成本表'!$E$182/('13.建安成本表'!$E$179-SUMIF('13.建安成本表'!$B$180:$B$191,"回迁房",'13.建安成本表'!$E$180:$E$191)-SUMIF('13.建安成本表'!$B$180:$B$191,"保障性住房（可租）",'13.建安成本表'!$E$180:$E$191)-SUMIF('13.建安成本表'!$B$180:$B$191,"保障性住房（可售）",'13.建安成本表'!$E$180:$E$191)),0))</f>
        <v>0</v>
      </c>
      <c r="G51" s="91">
        <f ca="1">IF(OR(G$29="回迁房",G$29="保障性住房（可租）",G$29="保障性住房（可售）"),0,IFERROR($C$51*'13.建安成本表'!$E$183/('13.建安成本表'!$E$179-SUMIF('13.建安成本表'!$B$180:$B$191,"回迁房",'13.建安成本表'!$E$180:$E$191)-SUMIF('13.建安成本表'!$B$180:$B$191,"保障性住房（可租）",'13.建安成本表'!$E$180:$E$191)-SUMIF('13.建安成本表'!$B$180:$B$191,"保障性住房（可售）",'13.建安成本表'!$E$180:$E$191)),0))</f>
        <v>0</v>
      </c>
      <c r="H51" s="91">
        <f ca="1">IF(OR(H$29="回迁房",H$29="保障性住房（可租）",H$29="保障性住房（可售）"),0,IFERROR($C$51*'13.建安成本表'!$E$184/('13.建安成本表'!$E$179-SUMIF('13.建安成本表'!$B$180:$B$191,"回迁房",'13.建安成本表'!$E$180:$E$191)-SUMIF('13.建安成本表'!$B$180:$B$191,"保障性住房（可租）",'13.建安成本表'!$E$180:$E$191)-SUMIF('13.建安成本表'!$B$180:$B$191,"保障性住房（可售）",'13.建安成本表'!$E$180:$E$191)),0))</f>
        <v>0</v>
      </c>
      <c r="I51" s="91">
        <f ca="1">IF(OR(I$29="回迁房",I$29="保障性住房（可租）",I$29="保障性住房（可售）"),0,IFERROR($C$51*'13.建安成本表'!$E$185/('13.建安成本表'!$E$179-SUMIF('13.建安成本表'!$B$180:$B$191,"回迁房",'13.建安成本表'!$E$180:$E$191)-SUMIF('13.建安成本表'!$B$180:$B$191,"保障性住房（可租）",'13.建安成本表'!$E$180:$E$191)-SUMIF('13.建安成本表'!$B$180:$B$191,"保障性住房（可售）",'13.建安成本表'!$E$180:$E$191)),0))</f>
        <v>0</v>
      </c>
      <c r="J51" s="91">
        <f ca="1">IF(OR(J$29="回迁房",J$29="保障性住房（可租）",J$29="保障性住房（可售）"),0,IFERROR($C$51*'13.建安成本表'!$E$186/('13.建安成本表'!$E$179-SUMIF('13.建安成本表'!$B$180:$B$191,"回迁房",'13.建安成本表'!$E$180:$E$191)-SUMIF('13.建安成本表'!$B$180:$B$191,"保障性住房（可租）",'13.建安成本表'!$E$180:$E$191)-SUMIF('13.建安成本表'!$B$180:$B$191,"保障性住房（可售）",'13.建安成本表'!$E$180:$E$191)),0))</f>
        <v>0</v>
      </c>
      <c r="K51" s="91">
        <f ca="1">IF(OR(K$29="回迁房",K$29="保障性住房（可租）",K$29="保障性住房（可售）"),0,IFERROR($C$51*'13.建安成本表'!$E$187/('13.建安成本表'!$E$179-SUMIF('13.建安成本表'!$B$180:$B$191,"回迁房",'13.建安成本表'!$E$180:$E$191)-SUMIF('13.建安成本表'!$B$180:$B$191,"保障性住房（可租）",'13.建安成本表'!$E$180:$E$191)-SUMIF('13.建安成本表'!$B$180:$B$191,"保障性住房（可售）",'13.建安成本表'!$E$180:$E$191)),0))</f>
        <v>0</v>
      </c>
      <c r="L51" s="91">
        <f ca="1">IF(OR(L$29="回迁房",L$29="保障性住房（可租）",L$29="保障性住房（可售）"),0,IFERROR($C$51*'13.建安成本表'!$E$188/('13.建安成本表'!$E$179-SUMIF('13.建安成本表'!$B$180:$B$191,"回迁房",'13.建安成本表'!$E$180:$E$191)-SUMIF('13.建安成本表'!$B$180:$B$191,"保障性住房（可租）",'13.建安成本表'!$E$180:$E$191)-SUMIF('13.建安成本表'!$B$180:$B$191,"保障性住房（可售）",'13.建安成本表'!$E$180:$E$191)),0))</f>
        <v>0</v>
      </c>
      <c r="M51" s="91">
        <f ca="1">IF(OR(M$29="回迁房",M$29="保障性住房（可租）",M$29="保障性住房（可售）"),0,IFERROR($C$51*'13.建安成本表'!$E$189/('13.建安成本表'!$E$179-SUMIF('13.建安成本表'!$B$180:$B$191,"回迁房",'13.建安成本表'!$E$180:$E$191)-SUMIF('13.建安成本表'!$B$180:$B$191,"保障性住房（可租）",'13.建安成本表'!$E$180:$E$191)-SUMIF('13.建安成本表'!$B$180:$B$191,"保障性住房（可售）",'13.建安成本表'!$E$180:$E$191)),0))</f>
        <v>0</v>
      </c>
      <c r="N51" s="91">
        <f ca="1">IF(OR(N$29="回迁房",N$29="保障性住房（可租）",N$29="保障性住房（可售）"),0,IFERROR($C$51*'13.建安成本表'!$E$190/('13.建安成本表'!$E$179-SUMIF('13.建安成本表'!$B$180:$B$191,"回迁房",'13.建安成本表'!$E$180:$E$191)-SUMIF('13.建安成本表'!$B$180:$B$191,"保障性住房（可租）",'13.建安成本表'!$E$180:$E$191)-SUMIF('13.建安成本表'!$B$180:$B$191,"保障性住房（可售）",'13.建安成本表'!$E$180:$E$191)),0))</f>
        <v>38.18209545127349</v>
      </c>
      <c r="O51" s="91">
        <f ca="1">IF(OR(O$29="回迁房",O$29="保障性住房（可租）",O$29="保障性住房（可售）"),0,IFERROR($C$51*'13.建安成本表'!$E$191/('13.建安成本表'!$E$179-SUMIF('13.建安成本表'!$B$180:$B$191,"回迁房",'13.建安成本表'!$E$180:$E$191)-SUMIF('13.建安成本表'!$B$180:$B$191,"保障性住房（可租）",'13.建安成本表'!$E$180:$E$191)-SUMIF('13.建安成本表'!$B$180:$B$191,"保障性住房（可售）",'13.建安成本表'!$E$180:$E$191)),0))</f>
        <v>0</v>
      </c>
      <c r="P51" s="93">
        <f t="shared" ref="P51:P56" ca="1" si="12">SUM(D51:O51)-C51</f>
        <v>0</v>
      </c>
    </row>
    <row r="52" spans="1:16" ht="16.5" customHeight="1">
      <c r="B52" s="626" t="s">
        <v>20</v>
      </c>
      <c r="C52" s="91">
        <f ca="1">IFERROR('13.建安成本表'!H179/SUM('13.建安成本表'!$E$179,'13.建安成本表'!$H$179,'13.建安成本表'!$K$179,'13.建安成本表'!$N$179,'13.建安成本表'!$Q$179,'13.建安成本表'!$T$179)*$C$25,0)</f>
        <v>0</v>
      </c>
      <c r="D52" s="91">
        <f ca="1">IF(OR(D$29="回迁房",D$29="保障性住房（可租）",D$29="保障性住房（可售）"),0,IFERROR($C$52*'13.建安成本表'!$H$180/('13.建安成本表'!$H$179-SUMIF('13.建安成本表'!$B$180:$B$191,"回迁房",'13.建安成本表'!$E$180:$H$191)-SUMIF('13.建安成本表'!$B$180:$B$191,"保障性住房（可租）",'13.建安成本表'!$E$180:$H$191)-SUMIF('13.建安成本表'!$B$180:$B$191,"保障性住房（可售）",'13.建安成本表'!$E$180:$H$191)),0))</f>
        <v>0</v>
      </c>
      <c r="E52" s="91">
        <f ca="1">IF(OR(E$29="回迁房",E$29="保障性住房（可租）",E$29="保障性住房（可售）"),0,IFERROR($C$52*'13.建安成本表'!$H$181/('13.建安成本表'!$H$179-SUMIF('13.建安成本表'!$B$180:$B$191,"回迁房",'13.建安成本表'!$E$180:$H$191)-SUMIF('13.建安成本表'!$B$180:$B$191,"保障性住房（可租）",'13.建安成本表'!$E$180:$H$191)-SUMIF('13.建安成本表'!$B$180:$B$191,"保障性住房（可售）",'13.建安成本表'!$E$180:$H$191)),0))</f>
        <v>0</v>
      </c>
      <c r="F52" s="91">
        <f ca="1">IF(OR(F$29="回迁房",F$29="保障性住房（可租）",F$29="保障性住房（可售）"),0,IFERROR($C$52*'13.建安成本表'!$H$182/('13.建安成本表'!$H$179-SUMIF('13.建安成本表'!$B$180:$B$191,"回迁房",'13.建安成本表'!$E$180:$H$191)-SUMIF('13.建安成本表'!$B$180:$B$191,"保障性住房（可租）",'13.建安成本表'!$E$180:$H$191)-SUMIF('13.建安成本表'!$B$180:$B$191,"保障性住房（可售）",'13.建安成本表'!$E$180:$H$191)),0))</f>
        <v>0</v>
      </c>
      <c r="G52" s="91">
        <f ca="1">IF(OR(G$29="回迁房",G$29="保障性住房（可租）",G$29="保障性住房（可售）"),0,IFERROR($C$52*'13.建安成本表'!$H$183/('13.建安成本表'!$H$179-SUMIF('13.建安成本表'!$B$180:$B$191,"回迁房",'13.建安成本表'!$E$180:$H$191)-SUMIF('13.建安成本表'!$B$180:$B$191,"保障性住房（可租）",'13.建安成本表'!$E$180:$H$191)-SUMIF('13.建安成本表'!$B$180:$B$191,"保障性住房（可售）",'13.建安成本表'!$E$180:$H$191)),0))</f>
        <v>0</v>
      </c>
      <c r="H52" s="91">
        <f ca="1">IF(OR(H$29="回迁房",H$29="保障性住房（可租）",H$29="保障性住房（可售）"),0,IFERROR($C$52*'13.建安成本表'!$H$184/('13.建安成本表'!$H$179-SUMIF('13.建安成本表'!$B$180:$B$191,"回迁房",'13.建安成本表'!$E$180:$H$191)-SUMIF('13.建安成本表'!$B$180:$B$191,"保障性住房（可租）",'13.建安成本表'!$E$180:$H$191)-SUMIF('13.建安成本表'!$B$180:$B$191,"保障性住房（可售）",'13.建安成本表'!$E$180:$H$191)),0))</f>
        <v>0</v>
      </c>
      <c r="I52" s="91">
        <f ca="1">IF(OR(I$29="回迁房",I$29="保障性住房（可租）",I$29="保障性住房（可售）"),0,IFERROR($C$52*'13.建安成本表'!$H$185/('13.建安成本表'!$H$179-SUMIF('13.建安成本表'!$B$180:$B$191,"回迁房",'13.建安成本表'!$E$180:$H$191)-SUMIF('13.建安成本表'!$B$180:$B$191,"保障性住房（可租）",'13.建安成本表'!$E$180:$H$191)-SUMIF('13.建安成本表'!$B$180:$B$191,"保障性住房（可售）",'13.建安成本表'!$E$180:$H$191)),0))</f>
        <v>0</v>
      </c>
      <c r="J52" s="91">
        <f ca="1">IF(OR(J$29="回迁房",J$29="保障性住房（可租）",J$29="保障性住房（可售）"),0,IFERROR($C$52*'13.建安成本表'!$H$186/('13.建安成本表'!$H$179-SUMIF('13.建安成本表'!$B$180:$B$191,"回迁房",'13.建安成本表'!$E$180:$H$191)-SUMIF('13.建安成本表'!$B$180:$B$191,"保障性住房（可租）",'13.建安成本表'!$E$180:$H$191)-SUMIF('13.建安成本表'!$B$180:$B$191,"保障性住房（可售）",'13.建安成本表'!$E$180:$H$191)),0))</f>
        <v>0</v>
      </c>
      <c r="K52" s="91">
        <f ca="1">IF(OR(K$29="回迁房",K$29="保障性住房（可租）",K$29="保障性住房（可售）"),0,IFERROR($C$52*'13.建安成本表'!$H$187/('13.建安成本表'!$H$179-SUMIF('13.建安成本表'!$B$180:$B$191,"回迁房",'13.建安成本表'!$E$180:$H$191)-SUMIF('13.建安成本表'!$B$180:$B$191,"保障性住房（可租）",'13.建安成本表'!$E$180:$H$191)-SUMIF('13.建安成本表'!$B$180:$B$191,"保障性住房（可售）",'13.建安成本表'!$E$180:$H$191)),0))</f>
        <v>0</v>
      </c>
      <c r="L52" s="91">
        <f ca="1">IF(OR(L$29="回迁房",L$29="保障性住房（可租）",L$29="保障性住房（可售）"),0,IFERROR($C$52*'13.建安成本表'!$H$188/('13.建安成本表'!$H$179-SUMIF('13.建安成本表'!$B$180:$B$191,"回迁房",'13.建安成本表'!$E$180:$H$191)-SUMIF('13.建安成本表'!$B$180:$B$191,"保障性住房（可租）",'13.建安成本表'!$E$180:$H$191)-SUMIF('13.建安成本表'!$B$180:$B$191,"保障性住房（可售）",'13.建安成本表'!$E$180:$H$191)),0))</f>
        <v>0</v>
      </c>
      <c r="M52" s="91">
        <f ca="1">IF(OR(M$29="回迁房",M$29="保障性住房（可租）",M$29="保障性住房（可售）"),0,IFERROR($C$52*'13.建安成本表'!$H$189/('13.建安成本表'!$H$179-SUMIF('13.建安成本表'!$B$180:$B$191,"回迁房",'13.建安成本表'!$E$180:$H$191)-SUMIF('13.建安成本表'!$B$180:$B$191,"保障性住房（可租）",'13.建安成本表'!$E$180:$H$191)-SUMIF('13.建安成本表'!$B$180:$B$191,"保障性住房（可售）",'13.建安成本表'!$E$180:$H$191)),0))</f>
        <v>0</v>
      </c>
      <c r="N52" s="91">
        <f ca="1">IF(OR(N$29="回迁房",N$29="保障性住房（可租）",N$29="保障性住房（可售）"),0,IFERROR($C$52*'13.建安成本表'!$H$190/('13.建安成本表'!$H$179-SUMIF('13.建安成本表'!$B$180:$B$191,"回迁房",'13.建安成本表'!$E$180:$H$191)-SUMIF('13.建安成本表'!$B$180:$B$191,"保障性住房（可租）",'13.建安成本表'!$E$180:$H$191)-SUMIF('13.建安成本表'!$B$180:$B$191,"保障性住房（可售）",'13.建安成本表'!$E$180:$H$191)),0))</f>
        <v>0</v>
      </c>
      <c r="O52" s="91">
        <f ca="1">IF(OR(O$29="回迁房",O$29="保障性住房（可租）",O$29="保障性住房（可售）"),0,IFERROR($C$52*'13.建安成本表'!$H$191/('13.建安成本表'!$H$179-SUMIF('13.建安成本表'!$B$180:$B$191,"回迁房",'13.建安成本表'!$E$180:$H$191)-SUMIF('13.建安成本表'!$B$180:$B$191,"保障性住房（可租）",'13.建安成本表'!$E$180:$H$191)-SUMIF('13.建安成本表'!$B$180:$B$191,"保障性住房（可售）",'13.建安成本表'!$E$180:$H$191)),0))</f>
        <v>0</v>
      </c>
      <c r="P52" s="93">
        <f t="shared" ca="1" si="12"/>
        <v>0</v>
      </c>
    </row>
    <row r="53" spans="1:16" ht="16.5" customHeight="1">
      <c r="B53" s="626" t="s">
        <v>21</v>
      </c>
      <c r="C53" s="91">
        <f ca="1">IFERROR('13.建安成本表'!K179/SUM('13.建安成本表'!$E$179,'13.建安成本表'!$H$179,'13.建安成本表'!$K$179,'13.建安成本表'!$N$179,'13.建安成本表'!$Q$179,'13.建安成本表'!$T$179)*$C$25,0)</f>
        <v>0</v>
      </c>
      <c r="D53" s="91">
        <f ca="1">IF(OR(D$29="回迁房",D$29="保障性住房（可租）",D$29="保障性住房（可售）"),0,IFERROR($C$53*'13.建安成本表'!$K$180/('13.建安成本表'!$K$179-SUMIF('13.建安成本表'!$B$180:$B$191,"回迁房",'13.建安成本表'!$E$180:$K$191)-SUMIF('13.建安成本表'!$B$180:$B$191,"保障性住房（可租）",'13.建安成本表'!$E$180:$K$191)-SUMIF('13.建安成本表'!$B$180:$B$191,"保障性住房（可售）",'13.建安成本表'!$E$180:$K$191)),0))</f>
        <v>0</v>
      </c>
      <c r="E53" s="91">
        <f ca="1">IF(OR(E$29="回迁房",E$29="保障性住房（可租）",E$29="保障性住房（可售）"),0,IFERROR($C$53*'13.建安成本表'!$K$181/('13.建安成本表'!$K$179-SUMIF('13.建安成本表'!$B$180:$B$191,"回迁房",'13.建安成本表'!$E$180:$K$191)-SUMIF('13.建安成本表'!$B$180:$B$191,"保障性住房（可租）",'13.建安成本表'!$E$180:$K$191)-SUMIF('13.建安成本表'!$B$180:$B$191,"保障性住房（可售）",'13.建安成本表'!$E$180:$K$191)),0))</f>
        <v>0</v>
      </c>
      <c r="F53" s="91">
        <f ca="1">IF(OR(F$29="回迁房",F$29="保障性住房（可租）",F$29="保障性住房（可售）"),0,IFERROR($C$53*'13.建安成本表'!$K$182/('13.建安成本表'!$K$179-SUMIF('13.建安成本表'!$B$180:$B$191,"回迁房",'13.建安成本表'!$E$180:$K$191)-SUMIF('13.建安成本表'!$B$180:$B$191,"保障性住房（可租）",'13.建安成本表'!$E$180:$K$191)-SUMIF('13.建安成本表'!$B$180:$B$191,"保障性住房（可售）",'13.建安成本表'!$E$180:$K$191)),0))</f>
        <v>0</v>
      </c>
      <c r="G53" s="91">
        <f ca="1">IF(OR(G$29="回迁房",G$29="保障性住房（可租）",G$29="保障性住房（可售）"),0,IFERROR($C$53*'13.建安成本表'!$K$183/('13.建安成本表'!$K$179-SUMIF('13.建安成本表'!$B$180:$B$191,"回迁房",'13.建安成本表'!$E$180:$K$191)-SUMIF('13.建安成本表'!$B$180:$B$191,"保障性住房（可租）",'13.建安成本表'!$E$180:$K$191)-SUMIF('13.建安成本表'!$B$180:$B$191,"保障性住房（可售）",'13.建安成本表'!$E$180:$K$191)),0))</f>
        <v>0</v>
      </c>
      <c r="H53" s="91">
        <f ca="1">IF(OR(H$29="回迁房",H$29="保障性住房（可租）",H$29="保障性住房（可售）"),0,IFERROR($C$53*'13.建安成本表'!$K$184/('13.建安成本表'!$K$179-SUMIF('13.建安成本表'!$B$180:$B$191,"回迁房",'13.建安成本表'!$E$180:$K$191)-SUMIF('13.建安成本表'!$B$180:$B$191,"保障性住房（可租）",'13.建安成本表'!$E$180:$K$191)-SUMIF('13.建安成本表'!$B$180:$B$191,"保障性住房（可售）",'13.建安成本表'!$E$180:$K$191)),0))</f>
        <v>0</v>
      </c>
      <c r="I53" s="91">
        <f ca="1">IF(OR(I$29="回迁房",I$29="保障性住房（可租）",I$29="保障性住房（可售）"),0,IFERROR($C$53*'13.建安成本表'!$K$185/('13.建安成本表'!$K$179-SUMIF('13.建安成本表'!$B$180:$B$191,"回迁房",'13.建安成本表'!$E$180:$K$191)-SUMIF('13.建安成本表'!$B$180:$B$191,"保障性住房（可租）",'13.建安成本表'!$E$180:$K$191)-SUMIF('13.建安成本表'!$B$180:$B$191,"保障性住房（可售）",'13.建安成本表'!$E$180:$K$191)),0))</f>
        <v>0</v>
      </c>
      <c r="J53" s="91">
        <f ca="1">IF(OR(J$29="回迁房",J$29="保障性住房（可租）",J$29="保障性住房（可售）"),0,IFERROR($C$53*'13.建安成本表'!$K$186/('13.建安成本表'!$K$179-SUMIF('13.建安成本表'!$B$180:$B$191,"回迁房",'13.建安成本表'!$E$180:$K$191)-SUMIF('13.建安成本表'!$B$180:$B$191,"保障性住房（可租）",'13.建安成本表'!$E$180:$K$191)-SUMIF('13.建安成本表'!$B$180:$B$191,"保障性住房（可售）",'13.建安成本表'!$E$180:$K$191)),0))</f>
        <v>0</v>
      </c>
      <c r="K53" s="91">
        <f ca="1">IF(OR(K$29="回迁房",K$29="保障性住房（可租）",K$29="保障性住房（可售）"),0,IFERROR($C$53*'13.建安成本表'!$K$187/('13.建安成本表'!$K$179-SUMIF('13.建安成本表'!$B$180:$B$191,"回迁房",'13.建安成本表'!$E$180:$K$191)-SUMIF('13.建安成本表'!$B$180:$B$191,"保障性住房（可租）",'13.建安成本表'!$E$180:$K$191)-SUMIF('13.建安成本表'!$B$180:$B$191,"保障性住房（可售）",'13.建安成本表'!$E$180:$K$191)),0))</f>
        <v>0</v>
      </c>
      <c r="L53" s="91">
        <f ca="1">IF(OR(L$29="回迁房",L$29="保障性住房（可租）",L$29="保障性住房（可售）"),0,IFERROR($C$53*'13.建安成本表'!$K$188/('13.建安成本表'!$K$179-SUMIF('13.建安成本表'!$B$180:$B$191,"回迁房",'13.建安成本表'!$E$180:$K$191)-SUMIF('13.建安成本表'!$B$180:$B$191,"保障性住房（可租）",'13.建安成本表'!$E$180:$K$191)-SUMIF('13.建安成本表'!$B$180:$B$191,"保障性住房（可售）",'13.建安成本表'!$E$180:$K$191)),0))</f>
        <v>0</v>
      </c>
      <c r="M53" s="91">
        <f ca="1">IF(OR(M$29="回迁房",M$29="保障性住房（可租）",M$29="保障性住房（可售）"),0,IFERROR($C$53*'13.建安成本表'!$K$189/('13.建安成本表'!$K$179-SUMIF('13.建安成本表'!$B$180:$B$191,"回迁房",'13.建安成本表'!$E$180:$K$191)-SUMIF('13.建安成本表'!$B$180:$B$191,"保障性住房（可租）",'13.建安成本表'!$E$180:$K$191)-SUMIF('13.建安成本表'!$B$180:$B$191,"保障性住房（可售）",'13.建安成本表'!$E$180:$K$191)),0))</f>
        <v>0</v>
      </c>
      <c r="N53" s="91">
        <f ca="1">IF(OR(N$29="回迁房",N$29="保障性住房（可租）",N$29="保障性住房（可售）"),0,IFERROR($C$53*'13.建安成本表'!$K$190/('13.建安成本表'!$K$179-SUMIF('13.建安成本表'!$B$180:$B$191,"回迁房",'13.建安成本表'!$E$180:$K$191)-SUMIF('13.建安成本表'!$B$180:$B$191,"保障性住房（可租）",'13.建安成本表'!$E$180:$K$191)-SUMIF('13.建安成本表'!$B$180:$B$191,"保障性住房（可售）",'13.建安成本表'!$E$180:$K$191)),0))</f>
        <v>0</v>
      </c>
      <c r="O53" s="91">
        <f ca="1">IF(OR(O$29="回迁房",O$29="保障性住房（可租）",O$29="保障性住房（可售）"),0,IFERROR($C$53*'13.建安成本表'!$K$191/('13.建安成本表'!$K$179-SUMIF('13.建安成本表'!$B$180:$B$191,"回迁房",'13.建安成本表'!$E$180:$K$191)-SUMIF('13.建安成本表'!$B$180:$B$191,"保障性住房（可租）",'13.建安成本表'!$E$180:$K$191)-SUMIF('13.建安成本表'!$B$180:$B$191,"保障性住房（可售）",'13.建安成本表'!$E$180:$K$191)),0))</f>
        <v>0</v>
      </c>
      <c r="P53" s="93">
        <f t="shared" ca="1" si="12"/>
        <v>0</v>
      </c>
    </row>
    <row r="54" spans="1:16" ht="16.5" customHeight="1">
      <c r="B54" s="626" t="s">
        <v>22</v>
      </c>
      <c r="C54" s="91">
        <f ca="1">IFERROR('13.建安成本表'!N179/SUM('13.建安成本表'!$E$179,'13.建安成本表'!$H$179,'13.建安成本表'!$K$179,'13.建安成本表'!$N$179,'13.建安成本表'!$Q$179,'13.建安成本表'!$T$179)*$C$25,0)</f>
        <v>0</v>
      </c>
      <c r="D54" s="91">
        <f ca="1">IF(OR(D$29="回迁房",D$29="保障性住房（可租）",D$29="保障性住房（可售）"),0,IFERROR($C$54*'13.建安成本表'!$N$180/('13.建安成本表'!$N$179-SUMIF('13.建安成本表'!$B$180:$B$191,"回迁房",'13.建安成本表'!$E$180:$N$191)-SUMIF('13.建安成本表'!$B$180:$B$191,"保障性住房（可租）",'13.建安成本表'!$E$180:$N$191)-SUMIF('13.建安成本表'!$B$180:$B$191,"保障性住房（可售）",'13.建安成本表'!$E$180:$N$191)),0))</f>
        <v>0</v>
      </c>
      <c r="E54" s="91">
        <f ca="1">IF(OR(E$29="回迁房",E$29="保障性住房（可租）",E$29="保障性住房（可售）"),0,IFERROR($C$54*'13.建安成本表'!$N$181/('13.建安成本表'!$N$179-SUMIF('13.建安成本表'!$B$180:$B$191,"回迁房",'13.建安成本表'!$E$180:$N$191)-SUMIF('13.建安成本表'!$B$180:$B$191,"保障性住房（可租）",'13.建安成本表'!$E$180:$N$191)-SUMIF('13.建安成本表'!$B$180:$B$191,"保障性住房（可售）",'13.建安成本表'!$E$180:$N$191)),0))</f>
        <v>0</v>
      </c>
      <c r="F54" s="91">
        <f ca="1">IF(OR(F$29="回迁房",F$29="保障性住房（可租）",F$29="保障性住房（可售）"),0,IFERROR($C$54*'13.建安成本表'!$N$182/('13.建安成本表'!$N$179-SUMIF('13.建安成本表'!$B$180:$B$191,"回迁房",'13.建安成本表'!$E$180:$N$191)-SUMIF('13.建安成本表'!$B$180:$B$191,"保障性住房（可租）",'13.建安成本表'!$E$180:$N$191)-SUMIF('13.建安成本表'!$B$180:$B$191,"保障性住房（可售）",'13.建安成本表'!$E$180:$N$191)),0))</f>
        <v>0</v>
      </c>
      <c r="G54" s="91">
        <f ca="1">IF(OR(G$29="回迁房",G$29="保障性住房（可租）",G$29="保障性住房（可售）"),0,IFERROR($C$54*'13.建安成本表'!$N$183/('13.建安成本表'!$N$179-SUMIF('13.建安成本表'!$B$180:$B$191,"回迁房",'13.建安成本表'!$E$180:$N$191)-SUMIF('13.建安成本表'!$B$180:$B$191,"保障性住房（可租）",'13.建安成本表'!$E$180:$N$191)-SUMIF('13.建安成本表'!$B$180:$B$191,"保障性住房（可售）",'13.建安成本表'!$E$180:$N$191)),0))</f>
        <v>0</v>
      </c>
      <c r="H54" s="91">
        <f ca="1">IF(OR(H$29="回迁房",H$29="保障性住房（可租）",H$29="保障性住房（可售）"),0,IFERROR($C$54*'13.建安成本表'!$N$184/('13.建安成本表'!$N$179-SUMIF('13.建安成本表'!$B$180:$B$191,"回迁房",'13.建安成本表'!$E$180:$N$191)-SUMIF('13.建安成本表'!$B$180:$B$191,"保障性住房（可租）",'13.建安成本表'!$E$180:$N$191)-SUMIF('13.建安成本表'!$B$180:$B$191,"保障性住房（可售）",'13.建安成本表'!$E$180:$N$191)),0))</f>
        <v>0</v>
      </c>
      <c r="I54" s="91">
        <f ca="1">IF(OR(I$29="回迁房",I$29="保障性住房（可租）",I$29="保障性住房（可售）"),0,IFERROR($C$54*'13.建安成本表'!$N$185/('13.建安成本表'!$N$179-SUMIF('13.建安成本表'!$B$180:$B$191,"回迁房",'13.建安成本表'!$E$180:$N$191)-SUMIF('13.建安成本表'!$B$180:$B$191,"保障性住房（可租）",'13.建安成本表'!$E$180:$N$191)-SUMIF('13.建安成本表'!$B$180:$B$191,"保障性住房（可售）",'13.建安成本表'!$E$180:$N$191)),0))</f>
        <v>0</v>
      </c>
      <c r="J54" s="91">
        <f ca="1">IF(OR(J$29="回迁房",J$29="保障性住房（可租）",J$29="保障性住房（可售）"),0,IFERROR($C$54*'13.建安成本表'!$N$186/('13.建安成本表'!$N$179-SUMIF('13.建安成本表'!$B$180:$B$191,"回迁房",'13.建安成本表'!$E$180:$N$191)-SUMIF('13.建安成本表'!$B$180:$B$191,"保障性住房（可租）",'13.建安成本表'!$E$180:$N$191)-SUMIF('13.建安成本表'!$B$180:$B$191,"保障性住房（可售）",'13.建安成本表'!$E$180:$N$191)),0))</f>
        <v>0</v>
      </c>
      <c r="K54" s="91">
        <f ca="1">IF(OR(K$29="回迁房",K$29="保障性住房（可租）",K$29="保障性住房（可售）"),0,IFERROR($C$54*'13.建安成本表'!$N$187/('13.建安成本表'!$N$179-SUMIF('13.建安成本表'!$B$180:$B$191,"回迁房",'13.建安成本表'!$E$180:$N$191)-SUMIF('13.建安成本表'!$B$180:$B$191,"保障性住房（可租）",'13.建安成本表'!$E$180:$N$191)-SUMIF('13.建安成本表'!$B$180:$B$191,"保障性住房（可售）",'13.建安成本表'!$E$180:$N$191)),0))</f>
        <v>0</v>
      </c>
      <c r="L54" s="91">
        <f ca="1">IF(OR(L$29="回迁房",L$29="保障性住房（可租）",L$29="保障性住房（可售）"),0,IFERROR($C$54*'13.建安成本表'!$N$188/('13.建安成本表'!$N$179-SUMIF('13.建安成本表'!$B$180:$B$191,"回迁房",'13.建安成本表'!$E$180:$N$191)-SUMIF('13.建安成本表'!$B$180:$B$191,"保障性住房（可租）",'13.建安成本表'!$E$180:$N$191)-SUMIF('13.建安成本表'!$B$180:$B$191,"保障性住房（可售）",'13.建安成本表'!$E$180:$N$191)),0))</f>
        <v>0</v>
      </c>
      <c r="M54" s="91">
        <f ca="1">IF(OR(M$29="回迁房",M$29="保障性住房（可租）",M$29="保障性住房（可售）"),0,IFERROR($C$54*'13.建安成本表'!$N$189/('13.建安成本表'!$N$179-SUMIF('13.建安成本表'!$B$180:$B$191,"回迁房",'13.建安成本表'!$E$180:$N$191)-SUMIF('13.建安成本表'!$B$180:$B$191,"保障性住房（可租）",'13.建安成本表'!$E$180:$N$191)-SUMIF('13.建安成本表'!$B$180:$B$191,"保障性住房（可售）",'13.建安成本表'!$E$180:$N$191)),0))</f>
        <v>0</v>
      </c>
      <c r="N54" s="91">
        <f ca="1">IF(OR(N$29="回迁房",N$29="保障性住房（可租）",N$29="保障性住房（可售）"),0,IFERROR($C$54*'13.建安成本表'!$N$190/('13.建安成本表'!$N$179-SUMIF('13.建安成本表'!$B$180:$B$191,"回迁房",'13.建安成本表'!$E$180:$N$191)-SUMIF('13.建安成本表'!$B$180:$B$191,"保障性住房（可租）",'13.建安成本表'!$E$180:$N$191)-SUMIF('13.建安成本表'!$B$180:$B$191,"保障性住房（可售）",'13.建安成本表'!$E$180:$N$191)),0))</f>
        <v>0</v>
      </c>
      <c r="O54" s="91">
        <f ca="1">IF(OR(O$29="回迁房",O$29="保障性住房（可租）",O$29="保障性住房（可售）"),0,IFERROR($C$54*'13.建安成本表'!$N$191/('13.建安成本表'!$N$179-SUMIF('13.建安成本表'!$B$180:$B$191,"回迁房",'13.建安成本表'!$E$180:$N$191)-SUMIF('13.建安成本表'!$B$180:$B$191,"保障性住房（可租）",'13.建安成本表'!$E$180:$N$191)-SUMIF('13.建安成本表'!$B$180:$B$191,"保障性住房（可售）",'13.建安成本表'!$E$180:$N$191)),0))</f>
        <v>0</v>
      </c>
      <c r="P54" s="93">
        <f t="shared" ca="1" si="12"/>
        <v>0</v>
      </c>
    </row>
    <row r="55" spans="1:16" ht="16.5" customHeight="1">
      <c r="B55" s="626" t="s">
        <v>23</v>
      </c>
      <c r="C55" s="91">
        <f ca="1">IFERROR('13.建安成本表'!Q179/SUM('13.建安成本表'!$E$179,'13.建安成本表'!$H$179,'13.建安成本表'!$K$179,'13.建安成本表'!$N$179,'13.建安成本表'!$Q$179,'13.建安成本表'!$T$179)*$C$25,0)</f>
        <v>0</v>
      </c>
      <c r="D55" s="91">
        <f ca="1">IF(OR(D$29="回迁房",D$29="保障性住房（可租）",D$29="保障性住房（可售）"),0,IFERROR($C$55*'13.建安成本表'!$Q$180/('13.建安成本表'!$Q$179-SUMIF('13.建安成本表'!$B$180:$B$191,"回迁房",'13.建安成本表'!$E$180:$Q$191)-SUMIF('13.建安成本表'!$B$180:$B$191,"保障性住房（可租）",'13.建安成本表'!$E$180:$Q$191)-SUMIF('13.建安成本表'!$B$180:$B$191,"保障性住房（可售）",'13.建安成本表'!$E$180:$Q$191)),0))</f>
        <v>0</v>
      </c>
      <c r="E55" s="91">
        <f ca="1">IF(OR(E$29="回迁房",E$29="保障性住房（可租）",E$29="保障性住房（可售）"),0,IFERROR($C$55*'13.建安成本表'!$Q$181/('13.建安成本表'!$Q$179-SUMIF('13.建安成本表'!$B$180:$B$191,"回迁房",'13.建安成本表'!$E$180:$Q$191)-SUMIF('13.建安成本表'!$B$180:$B$191,"保障性住房（可租）",'13.建安成本表'!$E$180:$Q$191)-SUMIF('13.建安成本表'!$B$180:$B$191,"保障性住房（可售）",'13.建安成本表'!$E$180:$Q$191)),0))</f>
        <v>0</v>
      </c>
      <c r="F55" s="91">
        <f ca="1">IF(OR(F$29="回迁房",F$29="保障性住房（可租）",F$29="保障性住房（可售）"),0,IFERROR($C$55*'13.建安成本表'!$Q$182/('13.建安成本表'!$Q$179-SUMIF('13.建安成本表'!$B$180:$B$191,"回迁房",'13.建安成本表'!$E$180:$Q$191)-SUMIF('13.建安成本表'!$B$180:$B$191,"保障性住房（可租）",'13.建安成本表'!$E$180:$Q$191)-SUMIF('13.建安成本表'!$B$180:$B$191,"保障性住房（可售）",'13.建安成本表'!$E$180:$Q$191)),0))</f>
        <v>0</v>
      </c>
      <c r="G55" s="91">
        <f ca="1">IF(OR(G$29="回迁房",G$29="保障性住房（可租）",G$29="保障性住房（可售）"),0,IFERROR($C$55*'13.建安成本表'!$Q$183/('13.建安成本表'!$Q$179-SUMIF('13.建安成本表'!$B$180:$B$191,"回迁房",'13.建安成本表'!$E$180:$Q$191)-SUMIF('13.建安成本表'!$B$180:$B$191,"保障性住房（可租）",'13.建安成本表'!$E$180:$Q$191)-SUMIF('13.建安成本表'!$B$180:$B$191,"保障性住房（可售）",'13.建安成本表'!$E$180:$Q$191)),0))</f>
        <v>0</v>
      </c>
      <c r="H55" s="91">
        <f ca="1">IF(OR(H$29="回迁房",H$29="保障性住房（可租）",H$29="保障性住房（可售）"),0,IFERROR($C$55*'13.建安成本表'!$Q$184/('13.建安成本表'!$Q$179-SUMIF('13.建安成本表'!$B$180:$B$191,"回迁房",'13.建安成本表'!$E$180:$Q$191)-SUMIF('13.建安成本表'!$B$180:$B$191,"保障性住房（可租）",'13.建安成本表'!$E$180:$Q$191)-SUMIF('13.建安成本表'!$B$180:$B$191,"保障性住房（可售）",'13.建安成本表'!$E$180:$Q$191)),0))</f>
        <v>0</v>
      </c>
      <c r="I55" s="91">
        <f ca="1">IF(OR(I$29="回迁房",I$29="保障性住房（可租）",I$29="保障性住房（可售）"),0,IFERROR($C$55*'13.建安成本表'!$Q$185/('13.建安成本表'!$Q$179-SUMIF('13.建安成本表'!$B$180:$B$191,"回迁房",'13.建安成本表'!$E$180:$Q$191)-SUMIF('13.建安成本表'!$B$180:$B$191,"保障性住房（可租）",'13.建安成本表'!$E$180:$Q$191)-SUMIF('13.建安成本表'!$B$180:$B$191,"保障性住房（可售）",'13.建安成本表'!$E$180:$Q$191)),0))</f>
        <v>0</v>
      </c>
      <c r="J55" s="91">
        <f ca="1">IF(OR(J$29="回迁房",J$29="保障性住房（可租）",J$29="保障性住房（可售）"),0,IFERROR($C$55*'13.建安成本表'!$Q$186/('13.建安成本表'!$Q$179-SUMIF('13.建安成本表'!$B$180:$B$191,"回迁房",'13.建安成本表'!$E$180:$Q$191)-SUMIF('13.建安成本表'!$B$180:$B$191,"保障性住房（可租）",'13.建安成本表'!$E$180:$Q$191)-SUMIF('13.建安成本表'!$B$180:$B$191,"保障性住房（可售）",'13.建安成本表'!$E$180:$Q$191)),0))</f>
        <v>0</v>
      </c>
      <c r="K55" s="91">
        <f ca="1">IF(OR(K$29="回迁房",K$29="保障性住房（可租）",K$29="保障性住房（可售）"),0,IFERROR($C$55*'13.建安成本表'!$Q$187/('13.建安成本表'!$Q$179-SUMIF('13.建安成本表'!$B$180:$B$191,"回迁房",'13.建安成本表'!$E$180:$Q$191)-SUMIF('13.建安成本表'!$B$180:$B$191,"保障性住房（可租）",'13.建安成本表'!$E$180:$Q$191)-SUMIF('13.建安成本表'!$B$180:$B$191,"保障性住房（可售）",'13.建安成本表'!$E$180:$Q$191)),0))</f>
        <v>0</v>
      </c>
      <c r="L55" s="91">
        <f ca="1">IF(OR(L$29="回迁房",L$29="保障性住房（可租）",L$29="保障性住房（可售）"),0,IFERROR($C$55*'13.建安成本表'!$Q$188/('13.建安成本表'!$Q$179-SUMIF('13.建安成本表'!$B$180:$B$191,"回迁房",'13.建安成本表'!$E$180:$Q$191)-SUMIF('13.建安成本表'!$B$180:$B$191,"保障性住房（可租）",'13.建安成本表'!$E$180:$Q$191)-SUMIF('13.建安成本表'!$B$180:$B$191,"保障性住房（可售）",'13.建安成本表'!$E$180:$Q$191)),0))</f>
        <v>0</v>
      </c>
      <c r="M55" s="91">
        <f ca="1">IF(OR(M$29="回迁房",M$29="保障性住房（可租）",M$29="保障性住房（可售）"),0,IFERROR($C$55*'13.建安成本表'!$Q$189/('13.建安成本表'!$Q$179-SUMIF('13.建安成本表'!$B$180:$B$191,"回迁房",'13.建安成本表'!$E$180:$Q$191)-SUMIF('13.建安成本表'!$B$180:$B$191,"保障性住房（可租）",'13.建安成本表'!$E$180:$Q$191)-SUMIF('13.建安成本表'!$B$180:$B$191,"保障性住房（可售）",'13.建安成本表'!$E$180:$Q$191)),0))</f>
        <v>0</v>
      </c>
      <c r="N55" s="91">
        <f ca="1">IF(OR(N$29="回迁房",N$29="保障性住房（可租）",N$29="保障性住房（可售）"),0,IFERROR($C$55*'13.建安成本表'!$Q$190/('13.建安成本表'!$Q$179-SUMIF('13.建安成本表'!$B$180:$B$191,"回迁房",'13.建安成本表'!$E$180:$Q$191)-SUMIF('13.建安成本表'!$B$180:$B$191,"保障性住房（可租）",'13.建安成本表'!$E$180:$Q$191)-SUMIF('13.建安成本表'!$B$180:$B$191,"保障性住房（可售）",'13.建安成本表'!$E$180:$Q$191)),0))</f>
        <v>0</v>
      </c>
      <c r="O55" s="91">
        <f ca="1">IF(OR(O$29="回迁房",O$29="保障性住房（可租）",O$29="保障性住房（可售）"),0,IFERROR($C$55*'13.建安成本表'!$Q$191/('13.建安成本表'!$Q$179-SUMIF('13.建安成本表'!$B$180:$B$191,"回迁房",'13.建安成本表'!$E$180:$Q$191)-SUMIF('13.建安成本表'!$B$180:$B$191,"保障性住房（可租）",'13.建安成本表'!$E$180:$Q$191)-SUMIF('13.建安成本表'!$B$180:$B$191,"保障性住房（可售）",'13.建安成本表'!$E$180:$Q$191)),0))</f>
        <v>0</v>
      </c>
      <c r="P55" s="93">
        <f t="shared" ca="1" si="12"/>
        <v>0</v>
      </c>
    </row>
    <row r="56" spans="1:16" ht="16.5" customHeight="1">
      <c r="B56" s="626" t="s">
        <v>24</v>
      </c>
      <c r="C56" s="91">
        <f ca="1">IFERROR('13.建安成本表'!T179/SUM('13.建安成本表'!$E$179,'13.建安成本表'!$H$179,'13.建安成本表'!$K$179,'13.建安成本表'!$N$179,'13.建安成本表'!$Q$179,'13.建安成本表'!$T$179)*$C$25,0)</f>
        <v>0</v>
      </c>
      <c r="D56" s="91">
        <f ca="1">IF(OR(D$29="回迁房",D$29="保障性住房（可租）",D$29="保障性住房（可售）"),0,IFERROR($C$56*'13.建安成本表'!$T$180/('13.建安成本表'!$T$179-SUMIF('13.建安成本表'!$B$180:$B$191,"回迁房",'13.建安成本表'!$E$180:$T$191)-SUMIF('13.建安成本表'!$B$180:$B$191,"保障性住房（可租）",'13.建安成本表'!$E$180:$T$191)-SUMIF('13.建安成本表'!$B$180:$B$191,"保障性住房（可售）",'13.建安成本表'!$E$180:$T$191)),0))</f>
        <v>0</v>
      </c>
      <c r="E56" s="91">
        <f ca="1">IF(OR(E$29="回迁房",E$29="保障性住房（可租）",E$29="保障性住房（可售）"),0,IFERROR($C$56*'13.建安成本表'!$T$181/('13.建安成本表'!$T$179-SUMIF('13.建安成本表'!$B$180:$B$191,"回迁房",'13.建安成本表'!$E$180:$T$191)-SUMIF('13.建安成本表'!$B$180:$B$191,"保障性住房（可租）",'13.建安成本表'!$E$180:$T$191)-SUMIF('13.建安成本表'!$B$180:$B$191,"保障性住房（可售）",'13.建安成本表'!$E$180:$T$191)),0))</f>
        <v>0</v>
      </c>
      <c r="F56" s="91">
        <f ca="1">IF(OR(F$29="回迁房",F$29="保障性住房（可租）",F$29="保障性住房（可售）"),0,IFERROR($C$56*'13.建安成本表'!$T$182/('13.建安成本表'!$T$179-SUMIF('13.建安成本表'!$B$180:$B$191,"回迁房",'13.建安成本表'!$E$180:$T$191)-SUMIF('13.建安成本表'!$B$180:$B$191,"保障性住房（可租）",'13.建安成本表'!$E$180:$T$191)-SUMIF('13.建安成本表'!$B$180:$B$191,"保障性住房（可售）",'13.建安成本表'!$E$180:$T$191)),0))</f>
        <v>0</v>
      </c>
      <c r="G56" s="91">
        <f ca="1">IF(OR(G$29="回迁房",G$29="保障性住房（可租）",G$29="保障性住房（可售）"),0,IFERROR($C$56*'13.建安成本表'!$T$183/('13.建安成本表'!$T$179-SUMIF('13.建安成本表'!$B$180:$B$191,"回迁房",'13.建安成本表'!$E$180:$T$191)-SUMIF('13.建安成本表'!$B$180:$B$191,"保障性住房（可租）",'13.建安成本表'!$E$180:$T$191)-SUMIF('13.建安成本表'!$B$180:$B$191,"保障性住房（可售）",'13.建安成本表'!$E$180:$T$191)),0))</f>
        <v>0</v>
      </c>
      <c r="H56" s="91">
        <f ca="1">IF(OR(H$29="回迁房",H$29="保障性住房（可租）",H$29="保障性住房（可售）"),0,IFERROR($C$56*'13.建安成本表'!$T$184/('13.建安成本表'!$T$179-SUMIF('13.建安成本表'!$B$180:$B$191,"回迁房",'13.建安成本表'!$E$180:$T$191)-SUMIF('13.建安成本表'!$B$180:$B$191,"保障性住房（可租）",'13.建安成本表'!$E$180:$T$191)-SUMIF('13.建安成本表'!$B$180:$B$191,"保障性住房（可售）",'13.建安成本表'!$E$180:$T$191)),0))</f>
        <v>0</v>
      </c>
      <c r="I56" s="91">
        <f ca="1">IF(OR(I$29="回迁房",I$29="保障性住房（可租）",I$29="保障性住房（可售）"),0,IFERROR($C$56*'13.建安成本表'!$T$185/('13.建安成本表'!$T$179-SUMIF('13.建安成本表'!$B$180:$B$191,"回迁房",'13.建安成本表'!$E$180:$T$191)-SUMIF('13.建安成本表'!$B$180:$B$191,"保障性住房（可租）",'13.建安成本表'!$E$180:$T$191)-SUMIF('13.建安成本表'!$B$180:$B$191,"保障性住房（可售）",'13.建安成本表'!$E$180:$T$191)),0))</f>
        <v>0</v>
      </c>
      <c r="J56" s="91">
        <f ca="1">IF(OR(J$29="回迁房",J$29="保障性住房（可租）",J$29="保障性住房（可售）"),0,IFERROR($C$56*'13.建安成本表'!$T$186/('13.建安成本表'!$T$179-SUMIF('13.建安成本表'!$B$180:$B$191,"回迁房",'13.建安成本表'!$E$180:$T$191)-SUMIF('13.建安成本表'!$B$180:$B$191,"保障性住房（可租）",'13.建安成本表'!$E$180:$T$191)-SUMIF('13.建安成本表'!$B$180:$B$191,"保障性住房（可售）",'13.建安成本表'!$E$180:$T$191)),0))</f>
        <v>0</v>
      </c>
      <c r="K56" s="91">
        <f ca="1">IF(OR(K$29="回迁房",K$29="保障性住房（可租）",K$29="保障性住房（可售）"),0,IFERROR($C$56*'13.建安成本表'!$T$187/('13.建安成本表'!$T$179-SUMIF('13.建安成本表'!$B$180:$B$191,"回迁房",'13.建安成本表'!$E$180:$T$191)-SUMIF('13.建安成本表'!$B$180:$B$191,"保障性住房（可租）",'13.建安成本表'!$E$180:$T$191)-SUMIF('13.建安成本表'!$B$180:$B$191,"保障性住房（可售）",'13.建安成本表'!$E$180:$T$191)),0))</f>
        <v>0</v>
      </c>
      <c r="L56" s="91">
        <f ca="1">IF(OR(L$29="回迁房",L$29="保障性住房（可租）",L$29="保障性住房（可售）"),0,IFERROR($C$56*'13.建安成本表'!$T$188/('13.建安成本表'!$T$179-SUMIF('13.建安成本表'!$B$180:$B$191,"回迁房",'13.建安成本表'!$E$180:$T$191)-SUMIF('13.建安成本表'!$B$180:$B$191,"保障性住房（可租）",'13.建安成本表'!$E$180:$T$191)-SUMIF('13.建安成本表'!$B$180:$B$191,"保障性住房（可售）",'13.建安成本表'!$E$180:$T$191)),0))</f>
        <v>0</v>
      </c>
      <c r="M56" s="91">
        <f ca="1">IF(OR(M$29="回迁房",M$29="保障性住房（可租）",M$29="保障性住房（可售）"),0,IFERROR($C$56*'13.建安成本表'!$T$189/('13.建安成本表'!$T$179-SUMIF('13.建安成本表'!$B$180:$B$191,"回迁房",'13.建安成本表'!$E$180:$T$191)-SUMIF('13.建安成本表'!$B$180:$B$191,"保障性住房（可租）",'13.建安成本表'!$E$180:$T$191)-SUMIF('13.建安成本表'!$B$180:$B$191,"保障性住房（可售）",'13.建安成本表'!$E$180:$T$191)),0))</f>
        <v>0</v>
      </c>
      <c r="N56" s="91">
        <f ca="1">IF(OR(N$29="回迁房",N$29="保障性住房（可租）",N$29="保障性住房（可售）"),0,IFERROR($C$56*'13.建安成本表'!$T$190/('13.建安成本表'!$T$179-SUMIF('13.建安成本表'!$B$180:$B$191,"回迁房",'13.建安成本表'!$E$180:$T$191)-SUMIF('13.建安成本表'!$B$180:$B$191,"保障性住房（可租）",'13.建安成本表'!$E$180:$T$191)-SUMIF('13.建安成本表'!$B$180:$B$191,"保障性住房（可售）",'13.建安成本表'!$E$180:$T$191)),0))</f>
        <v>0</v>
      </c>
      <c r="O56" s="91">
        <f ca="1">IF(OR(O$29="回迁房",O$29="保障性住房（可租）",O$29="保障性住房（可售）"),0,IFERROR($C$56*'13.建安成本表'!$T$191/('13.建安成本表'!$T$179-SUMIF('13.建安成本表'!$B$180:$B$191,"回迁房",'13.建安成本表'!$E$180:$T$191)-SUMIF('13.建安成本表'!$B$180:$B$191,"保障性住房（可租）",'13.建安成本表'!$E$180:$T$191)-SUMIF('13.建安成本表'!$B$180:$B$191,"保障性住房（可售）",'13.建安成本表'!$E$180:$T$191)),0))</f>
        <v>0</v>
      </c>
      <c r="P56" s="93">
        <f t="shared" ca="1" si="12"/>
        <v>0</v>
      </c>
    </row>
    <row r="57" spans="1:16" ht="16.5" customHeight="1">
      <c r="B57" s="722" t="s">
        <v>251</v>
      </c>
      <c r="C57" s="723">
        <f ca="1">SUM(C51:C56)</f>
        <v>637.5</v>
      </c>
      <c r="D57" s="723">
        <f ca="1">SUM(D51:D56)</f>
        <v>556.12855359085825</v>
      </c>
      <c r="E57" s="723">
        <f ca="1">SUM(E51:E56)</f>
        <v>43.189350957868342</v>
      </c>
      <c r="F57" s="723">
        <f t="shared" ref="F57:O57" ca="1" si="13">SUM(F51:F56)</f>
        <v>0</v>
      </c>
      <c r="G57" s="723">
        <f t="shared" ca="1" si="13"/>
        <v>0</v>
      </c>
      <c r="H57" s="723">
        <f t="shared" ca="1" si="13"/>
        <v>0</v>
      </c>
      <c r="I57" s="723">
        <f t="shared" ca="1" si="13"/>
        <v>0</v>
      </c>
      <c r="J57" s="723">
        <f t="shared" ca="1" si="13"/>
        <v>0</v>
      </c>
      <c r="K57" s="723">
        <f t="shared" ca="1" si="13"/>
        <v>0</v>
      </c>
      <c r="L57" s="723">
        <f t="shared" ca="1" si="13"/>
        <v>0</v>
      </c>
      <c r="M57" s="723">
        <f t="shared" ca="1" si="13"/>
        <v>0</v>
      </c>
      <c r="N57" s="723">
        <f t="shared" ca="1" si="13"/>
        <v>38.18209545127349</v>
      </c>
      <c r="O57" s="723">
        <f t="shared" ca="1" si="13"/>
        <v>0</v>
      </c>
    </row>
    <row r="59" spans="1:16">
      <c r="B59" s="82" t="s">
        <v>772</v>
      </c>
    </row>
    <row r="60" spans="1:16">
      <c r="B60" s="724"/>
      <c r="C60" s="421" t="s">
        <v>251</v>
      </c>
      <c r="D60" s="415" t="str">
        <f>B51</f>
        <v>一期</v>
      </c>
      <c r="E60" s="415" t="str">
        <f>B52</f>
        <v>二期</v>
      </c>
      <c r="F60" s="415" t="str">
        <f>B53</f>
        <v>三期</v>
      </c>
      <c r="G60" s="415" t="str">
        <f>B54</f>
        <v>四期</v>
      </c>
      <c r="H60" s="415" t="str">
        <f>B55</f>
        <v>五期</v>
      </c>
      <c r="I60" s="421" t="str">
        <f>B56</f>
        <v>六期</v>
      </c>
    </row>
    <row r="61" spans="1:16">
      <c r="A61" s="77">
        <v>1</v>
      </c>
      <c r="B61" s="416" t="str">
        <f>D$50</f>
        <v>高层</v>
      </c>
      <c r="C61" s="725"/>
      <c r="D61" s="725">
        <f>IF('8.项目规划指标表'!$J5&lt;&gt;0,D$51,0)</f>
        <v>0</v>
      </c>
      <c r="E61" s="726">
        <f>IF('8.项目规划指标表'!$N5&lt;&gt;0,D52,0)</f>
        <v>0</v>
      </c>
      <c r="F61" s="726">
        <f>IF('8.项目规划指标表'!$R5&lt;&gt;0,D53,0)</f>
        <v>0</v>
      </c>
      <c r="G61" s="726">
        <f>IF('8.项目规划指标表'!$V5&lt;&gt;0,D54,0)</f>
        <v>0</v>
      </c>
      <c r="H61" s="726">
        <f>IF('8.项目规划指标表'!$Z5&lt;&gt;0,D55,0)</f>
        <v>0</v>
      </c>
      <c r="I61" s="726">
        <f>IF('8.项目规划指标表'!$AD5&lt;&gt;0,D56,0)</f>
        <v>0</v>
      </c>
    </row>
    <row r="62" spans="1:16">
      <c r="A62" s="77">
        <v>2</v>
      </c>
      <c r="B62" s="416" t="str">
        <f>E50</f>
        <v>商铺</v>
      </c>
      <c r="C62" s="725"/>
      <c r="D62" s="725">
        <f>IF('8.项目规划指标表'!$J6&lt;&gt;0,E$51,0)</f>
        <v>0</v>
      </c>
      <c r="E62" s="726">
        <f>IF('8.项目规划指标表'!$N6&lt;&gt;0,E52,0)</f>
        <v>0</v>
      </c>
      <c r="F62" s="726">
        <f>IF('8.项目规划指标表'!$R6&lt;&gt;0,E53,0)</f>
        <v>0</v>
      </c>
      <c r="G62" s="726">
        <f>IF('8.项目规划指标表'!$V6&lt;&gt;0,E54,0)</f>
        <v>0</v>
      </c>
      <c r="H62" s="726">
        <f>IF('8.项目规划指标表'!$Z6&lt;&gt;0,E55,0)</f>
        <v>0</v>
      </c>
      <c r="I62" s="726">
        <f>IF('8.项目规划指标表'!$AD6&lt;&gt;0,E56,0)</f>
        <v>0</v>
      </c>
    </row>
    <row r="63" spans="1:16">
      <c r="A63" s="77">
        <v>3</v>
      </c>
      <c r="B63" s="416" t="str">
        <f>F50</f>
        <v>回迁商业</v>
      </c>
      <c r="C63" s="725"/>
      <c r="D63" s="725">
        <f>IF('8.项目规划指标表'!$J7&lt;&gt;0,F$51,0)</f>
        <v>0</v>
      </c>
      <c r="E63" s="726">
        <f>IF('8.项目规划指标表'!$N7&lt;&gt;0,F52,0)</f>
        <v>0</v>
      </c>
      <c r="F63" s="726">
        <f>IF('8.项目规划指标表'!$R7&lt;&gt;0,F53,0)</f>
        <v>0</v>
      </c>
      <c r="G63" s="726">
        <f>IF('8.项目规划指标表'!$V7&lt;&gt;0,F54,0)</f>
        <v>0</v>
      </c>
      <c r="H63" s="726">
        <f>IF('8.项目规划指标表'!$Z7&lt;&gt;0,F55,0)</f>
        <v>0</v>
      </c>
      <c r="I63" s="726">
        <f>IF('8.项目规划指标表'!$AD7&lt;&gt;0,F56,0)</f>
        <v>0</v>
      </c>
    </row>
    <row r="64" spans="1:16">
      <c r="A64" s="77">
        <v>4</v>
      </c>
      <c r="B64" s="416">
        <f>G50</f>
        <v>0</v>
      </c>
      <c r="C64" s="725"/>
      <c r="D64" s="725">
        <f>IF('8.项目规划指标表'!$J8&lt;&gt;0,G51,0)</f>
        <v>0</v>
      </c>
      <c r="E64" s="726">
        <f>IF('8.项目规划指标表'!$N8&lt;&gt;0,G52,0)</f>
        <v>0</v>
      </c>
      <c r="F64" s="726">
        <f>IF('8.项目规划指标表'!$R8&lt;&gt;0,G53,0)</f>
        <v>0</v>
      </c>
      <c r="G64" s="726">
        <f>IF('8.项目规划指标表'!$V8&lt;&gt;0,G54,0)</f>
        <v>0</v>
      </c>
      <c r="H64" s="726">
        <f>IF('8.项目规划指标表'!$Z8&lt;&gt;0,G55,0)</f>
        <v>0</v>
      </c>
      <c r="I64" s="726">
        <f>IF('8.项目规划指标表'!$AD8&lt;&gt;0,G56,0)</f>
        <v>0</v>
      </c>
    </row>
    <row r="65" spans="1:9">
      <c r="A65" s="77">
        <v>5</v>
      </c>
      <c r="B65" s="416">
        <f>H50</f>
        <v>0</v>
      </c>
      <c r="C65" s="725"/>
      <c r="D65" s="725">
        <f>IF('8.项目规划指标表'!$J9&lt;&gt;0,H51,0)</f>
        <v>0</v>
      </c>
      <c r="E65" s="726">
        <f>IF('8.项目规划指标表'!$N9&lt;&gt;0,H52,0)</f>
        <v>0</v>
      </c>
      <c r="F65" s="726">
        <f>IF('8.项目规划指标表'!$R9&lt;&gt;0,H53,0)</f>
        <v>0</v>
      </c>
      <c r="G65" s="726">
        <f>IF('8.项目规划指标表'!$V9&lt;&gt;0,H54,0)</f>
        <v>0</v>
      </c>
      <c r="H65" s="726">
        <f>IF('8.项目规划指标表'!$Z9&lt;&gt;0,H55,0)</f>
        <v>0</v>
      </c>
      <c r="I65" s="726">
        <f>IF('8.项目规划指标表'!$AD9&lt;&gt;0,H56,0)</f>
        <v>0</v>
      </c>
    </row>
    <row r="66" spans="1:9">
      <c r="A66" s="77">
        <v>6</v>
      </c>
      <c r="B66" s="416">
        <f>I50</f>
        <v>0</v>
      </c>
      <c r="C66" s="725"/>
      <c r="D66" s="725">
        <f>IF('8.项目规划指标表'!$J10&lt;&gt;0,I51,0)</f>
        <v>0</v>
      </c>
      <c r="E66" s="726">
        <f>IF('8.项目规划指标表'!$N10&lt;&gt;0,I52,0)</f>
        <v>0</v>
      </c>
      <c r="F66" s="726">
        <f>IF('8.项目规划指标表'!$R10&lt;&gt;0,I53,0)</f>
        <v>0</v>
      </c>
      <c r="G66" s="726">
        <f>IF('8.项目规划指标表'!$V10&lt;&gt;0,I54,0)</f>
        <v>0</v>
      </c>
      <c r="H66" s="726">
        <f>IF('8.项目规划指标表'!$Z10&lt;&gt;0,I55,0)</f>
        <v>0</v>
      </c>
      <c r="I66" s="726">
        <f>IF('8.项目规划指标表'!$AD10&lt;&gt;0,I56,0)</f>
        <v>0</v>
      </c>
    </row>
    <row r="67" spans="1:9">
      <c r="A67" s="77">
        <v>7</v>
      </c>
      <c r="B67" s="416">
        <f>J50</f>
        <v>0</v>
      </c>
      <c r="C67" s="725"/>
      <c r="D67" s="725">
        <f>IF('8.项目规划指标表'!$J11&lt;&gt;0,J51,0)</f>
        <v>0</v>
      </c>
      <c r="E67" s="726">
        <f>IF('8.项目规划指标表'!$N11&lt;&gt;0,J52,0)</f>
        <v>0</v>
      </c>
      <c r="F67" s="726">
        <f>IF('8.项目规划指标表'!$R11&lt;&gt;0,J53,0)</f>
        <v>0</v>
      </c>
      <c r="G67" s="726">
        <f>IF('8.项目规划指标表'!$V11&lt;&gt;0,J54,0)</f>
        <v>0</v>
      </c>
      <c r="H67" s="726">
        <f>IF('8.项目规划指标表'!$Z11&lt;&gt;0,J55,0)</f>
        <v>0</v>
      </c>
      <c r="I67" s="726">
        <f>IF('8.项目规划指标表'!$AD11&lt;&gt;0,J56,0)</f>
        <v>0</v>
      </c>
    </row>
    <row r="68" spans="1:9">
      <c r="A68" s="77">
        <v>8</v>
      </c>
      <c r="B68" s="416">
        <f>K50</f>
        <v>0</v>
      </c>
      <c r="C68" s="725"/>
      <c r="D68" s="725">
        <f>IF('8.项目规划指标表'!$J12&lt;&gt;0,K51,0)</f>
        <v>0</v>
      </c>
      <c r="E68" s="726">
        <f>IF('8.项目规划指标表'!$N12&lt;&gt;0,K52,0)</f>
        <v>0</v>
      </c>
      <c r="F68" s="726">
        <f>IF('8.项目规划指标表'!$R12&lt;&gt;0,K53,0)</f>
        <v>0</v>
      </c>
      <c r="G68" s="726">
        <f>IF('8.项目规划指标表'!$V12&lt;&gt;0,K54,0)</f>
        <v>0</v>
      </c>
      <c r="H68" s="726">
        <f>IF('8.项目规划指标表'!$Z12&lt;&gt;0,K55,0)</f>
        <v>0</v>
      </c>
      <c r="I68" s="726">
        <f>IF('8.项目规划指标表'!$AD12&lt;&gt;0,K56,0)</f>
        <v>0</v>
      </c>
    </row>
    <row r="69" spans="1:9">
      <c r="A69" s="77">
        <v>9</v>
      </c>
      <c r="B69" s="416">
        <f>L50</f>
        <v>0</v>
      </c>
      <c r="C69" s="725"/>
      <c r="D69" s="725">
        <f>IF('8.项目规划指标表'!$J13&lt;&gt;0,L51,0)</f>
        <v>0</v>
      </c>
      <c r="E69" s="726">
        <f>IF('8.项目规划指标表'!$N13&lt;&gt;0,L52,0)</f>
        <v>0</v>
      </c>
      <c r="F69" s="726">
        <f>IF('8.项目规划指标表'!$R13&lt;&gt;0,L53,0)</f>
        <v>0</v>
      </c>
      <c r="G69" s="726">
        <f>IF('8.项目规划指标表'!$V13&lt;&gt;0,L54,0)</f>
        <v>0</v>
      </c>
      <c r="H69" s="726">
        <f>IF('8.项目规划指标表'!$Z13&lt;&gt;0,L55,0)</f>
        <v>0</v>
      </c>
      <c r="I69" s="726">
        <f>IF('8.项目规划指标表'!$AD13&lt;&gt;0,L56,0)</f>
        <v>0</v>
      </c>
    </row>
    <row r="70" spans="1:9">
      <c r="A70" s="77">
        <v>10</v>
      </c>
      <c r="B70" s="416" t="str">
        <f>M50</f>
        <v>自持物业</v>
      </c>
      <c r="C70" s="725"/>
      <c r="D70" s="725">
        <f>IF('8.项目规划指标表'!$J14&lt;&gt;0,M51,0)</f>
        <v>0</v>
      </c>
      <c r="E70" s="726">
        <f>IF('8.项目规划指标表'!$N14&lt;&gt;0,M52,0)</f>
        <v>0</v>
      </c>
      <c r="F70" s="726">
        <f>IF('8.项目规划指标表'!$R14&lt;&gt;0,M53,0)</f>
        <v>0</v>
      </c>
      <c r="G70" s="726">
        <f>IF('8.项目规划指标表'!$V14&lt;&gt;0,M54,0)</f>
        <v>0</v>
      </c>
      <c r="H70" s="726">
        <f>IF('8.项目规划指标表'!$Z14&lt;&gt;0,M55,0)</f>
        <v>0</v>
      </c>
      <c r="I70" s="726">
        <f>IF('8.项目规划指标表'!$AD14&lt;&gt;0,I66+P66,0)</f>
        <v>0</v>
      </c>
    </row>
    <row r="71" spans="1:9">
      <c r="A71" s="77">
        <v>11</v>
      </c>
      <c r="B71" s="416" t="str">
        <f>N50</f>
        <v>有产权车库(个)</v>
      </c>
      <c r="C71" s="734"/>
      <c r="D71" s="734">
        <f>IF('8.项目规划指标表'!J18&lt;&gt;0,N51,0)</f>
        <v>0</v>
      </c>
      <c r="E71" s="734">
        <f>IF('8.项目规划指标表'!N18&lt;&gt;0,N52,0)</f>
        <v>0</v>
      </c>
      <c r="F71" s="734">
        <f>IF('8.项目规划指标表'!$R18&lt;&gt;0,N53,0)</f>
        <v>0</v>
      </c>
      <c r="G71" s="726">
        <f>IF('8.项目规划指标表'!$V18&lt;&gt;0,N54,0)</f>
        <v>0</v>
      </c>
      <c r="H71" s="726">
        <f>IF('8.项目规划指标表'!Z18&lt;&gt;0,N55,0)</f>
        <v>0</v>
      </c>
      <c r="I71" s="726">
        <f>IF('8.项目规划指标表'!$AD18&lt;&gt;0,N56,0)</f>
        <v>0</v>
      </c>
    </row>
    <row r="72" spans="1:9">
      <c r="A72" s="77">
        <v>12</v>
      </c>
      <c r="B72" s="416" t="str">
        <f>O50</f>
        <v>无产权车库(个)</v>
      </c>
      <c r="C72" s="734"/>
      <c r="D72" s="734">
        <f>IF('8.项目规划指标表'!J19&lt;&gt;0,O51,0)</f>
        <v>0</v>
      </c>
      <c r="E72" s="734">
        <f>IF('8.项目规划指标表'!N19&lt;&gt;0,O52,0)</f>
        <v>0</v>
      </c>
      <c r="F72" s="734">
        <f>IF('8.项目规划指标表'!R19&lt;&gt;0,O53,0)</f>
        <v>0</v>
      </c>
      <c r="G72" s="726">
        <f>IF('8.项目规划指标表'!$V19&lt;&gt;0,O54,0)</f>
        <v>0</v>
      </c>
      <c r="H72" s="726">
        <f>IF('8.项目规划指标表'!Z19&lt;&gt;0,O55,0)</f>
        <v>0</v>
      </c>
      <c r="I72" s="726">
        <f>IF('8.项目规划指标表'!$AD19&lt;&gt;0,O56,0)</f>
        <v>0</v>
      </c>
    </row>
    <row r="73" spans="1:9">
      <c r="B73" s="735" t="str">
        <f>B57</f>
        <v>合计</v>
      </c>
      <c r="C73" s="725">
        <f>D73+E73+F73+G73+H73+I73</f>
        <v>0</v>
      </c>
      <c r="D73" s="725">
        <f>SUM(D61:D72)</f>
        <v>0</v>
      </c>
      <c r="E73" s="726">
        <f>SUM(E61:E72)</f>
        <v>0</v>
      </c>
      <c r="F73" s="726">
        <f t="shared" ref="F73:I73" si="14">SUM(F61:F72)</f>
        <v>0</v>
      </c>
      <c r="G73" s="725">
        <f t="shared" si="14"/>
        <v>0</v>
      </c>
      <c r="H73" s="726">
        <f t="shared" si="14"/>
        <v>0</v>
      </c>
      <c r="I73" s="726">
        <f t="shared" si="14"/>
        <v>0</v>
      </c>
    </row>
  </sheetData>
  <sheetProtection password="D9A8" sheet="1" objects="1" scenarios="1"/>
  <protectedRanges>
    <protectedRange sqref="F14:AW18 E19 D8 E25 AL19:AW19 G20:AW27 F20:F26" name="区域1"/>
    <protectedRange sqref="F19:AK19" name="区域1_2"/>
  </protectedRanges>
  <mergeCells count="16">
    <mergeCell ref="AT12:AW12"/>
    <mergeCell ref="B12:B13"/>
    <mergeCell ref="C12:C13"/>
    <mergeCell ref="D12:D13"/>
    <mergeCell ref="D25:D26"/>
    <mergeCell ref="E12:E13"/>
    <mergeCell ref="Z12:AC12"/>
    <mergeCell ref="AD12:AG12"/>
    <mergeCell ref="AH12:AK12"/>
    <mergeCell ref="AL12:AO12"/>
    <mergeCell ref="AP12:AS12"/>
    <mergeCell ref="F12:I12"/>
    <mergeCell ref="J12:M12"/>
    <mergeCell ref="N12:Q12"/>
    <mergeCell ref="R12:U12"/>
    <mergeCell ref="V12:Y12"/>
  </mergeCells>
  <phoneticPr fontId="102" type="noConversion"/>
  <hyperlinks>
    <hyperlink ref="D1" location="目录!A1" display="返回目录"/>
  </hyperlinks>
  <pageMargins left="0.69930555555555596" right="0.69930555555555596" top="0.75" bottom="0.75" header="0.3" footer="0.3"/>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95"/>
  <sheetViews>
    <sheetView showGridLines="0" workbookViewId="0">
      <pane xSplit="2" ySplit="4" topLeftCell="E5" activePane="bottomRight" state="frozen"/>
      <selection pane="topRight"/>
      <selection pane="bottomLeft"/>
      <selection pane="bottomRight" activeCell="G19" activeCellId="3" sqref="H5:H7 H15 G18 G19"/>
    </sheetView>
  </sheetViews>
  <sheetFormatPr defaultColWidth="9" defaultRowHeight="13.5"/>
  <cols>
    <col min="2" max="2" width="23.5" customWidth="1"/>
    <col min="3" max="3" width="11.5" customWidth="1"/>
    <col min="4" max="5" width="16.125" customWidth="1"/>
    <col min="6" max="6" width="17.875" customWidth="1"/>
    <col min="7" max="7" width="13.625" customWidth="1"/>
    <col min="8" max="9" width="16.125" customWidth="1"/>
    <col min="10" max="10" width="18.875" customWidth="1"/>
    <col min="11" max="11" width="13.625" customWidth="1"/>
    <col min="12" max="13" width="16.125" customWidth="1"/>
    <col min="14" max="14" width="18.875" customWidth="1"/>
    <col min="15" max="15" width="11.5" customWidth="1"/>
    <col min="16" max="17" width="16.125" customWidth="1"/>
    <col min="18" max="18" width="18.875" customWidth="1"/>
    <col min="19" max="19" width="11.5" customWidth="1"/>
    <col min="20" max="21" width="16.125" customWidth="1"/>
    <col min="22" max="22" width="18.875" customWidth="1"/>
    <col min="23" max="23" width="11.5" customWidth="1"/>
    <col min="24" max="25" width="16.125" customWidth="1"/>
    <col min="26" max="26" width="18.875" customWidth="1"/>
    <col min="27" max="27" width="11.5" customWidth="1"/>
    <col min="28" max="29" width="16.125" customWidth="1"/>
    <col min="30" max="30" width="18.875" customWidth="1"/>
  </cols>
  <sheetData>
    <row r="1" spans="1:31" ht="22.5">
      <c r="A1" s="575" t="str">
        <f>"项目"&amp;'1.参数设置'!E4&amp;"设计指标表"</f>
        <v>项目拿地阶段设计指标表</v>
      </c>
      <c r="B1" s="576"/>
      <c r="C1" s="576"/>
      <c r="D1" s="576"/>
      <c r="E1" s="577" t="s">
        <v>117</v>
      </c>
      <c r="F1" s="576"/>
      <c r="G1" s="576"/>
      <c r="H1" s="576"/>
      <c r="I1" s="576"/>
      <c r="J1" s="576"/>
      <c r="K1" s="576"/>
      <c r="L1" s="576"/>
      <c r="M1" s="576"/>
      <c r="N1" s="576"/>
      <c r="O1" s="576"/>
      <c r="P1" s="576"/>
      <c r="Q1" s="78"/>
      <c r="R1" s="78"/>
      <c r="S1" s="78"/>
      <c r="T1" s="78"/>
      <c r="U1" s="78"/>
      <c r="V1" s="78"/>
      <c r="W1" s="78"/>
      <c r="X1" s="78"/>
      <c r="Y1" s="78"/>
      <c r="Z1" s="78"/>
      <c r="AA1" s="78"/>
      <c r="AB1" s="78"/>
      <c r="AC1" s="78"/>
      <c r="AD1" s="78"/>
      <c r="AE1" s="674"/>
    </row>
    <row r="2" spans="1:31">
      <c r="A2" s="81" t="s">
        <v>773</v>
      </c>
      <c r="B2" s="78"/>
      <c r="C2" s="624"/>
      <c r="D2" s="625"/>
      <c r="E2" s="78"/>
      <c r="F2" s="78"/>
      <c r="G2" s="78"/>
      <c r="H2" s="78">
        <f>H16/G16</f>
        <v>2.4998355753123103</v>
      </c>
      <c r="I2" s="78"/>
      <c r="J2" s="78"/>
      <c r="K2" s="78"/>
      <c r="L2" s="78" t="e">
        <f>L16/K16</f>
        <v>#DIV/0!</v>
      </c>
      <c r="M2" s="78"/>
      <c r="N2" s="78"/>
      <c r="O2" s="78"/>
      <c r="P2" s="78" t="e">
        <f>P16/O16</f>
        <v>#DIV/0!</v>
      </c>
      <c r="Q2" s="78"/>
      <c r="R2" s="78"/>
      <c r="S2" s="78"/>
      <c r="T2" s="78" t="e">
        <f>T16/S16</f>
        <v>#DIV/0!</v>
      </c>
      <c r="U2" s="78"/>
      <c r="V2" s="78"/>
      <c r="W2" s="78"/>
      <c r="X2" s="78" t="e">
        <f>X16/W16</f>
        <v>#DIV/0!</v>
      </c>
      <c r="Y2" s="78"/>
      <c r="Z2" s="78"/>
      <c r="AA2" s="78"/>
      <c r="AB2" s="78"/>
      <c r="AC2" s="78"/>
      <c r="AD2" s="78"/>
      <c r="AE2" s="674"/>
    </row>
    <row r="3" spans="1:31" ht="16.5" customHeight="1">
      <c r="A3" s="1903" t="s">
        <v>550</v>
      </c>
      <c r="B3" s="1904"/>
      <c r="C3" s="1893" t="s">
        <v>18</v>
      </c>
      <c r="D3" s="1894"/>
      <c r="E3" s="1894"/>
      <c r="F3" s="1895"/>
      <c r="G3" s="1893" t="s">
        <v>19</v>
      </c>
      <c r="H3" s="1894"/>
      <c r="I3" s="1894"/>
      <c r="J3" s="1895"/>
      <c r="K3" s="1893" t="s">
        <v>20</v>
      </c>
      <c r="L3" s="1894"/>
      <c r="M3" s="1894"/>
      <c r="N3" s="1895"/>
      <c r="O3" s="1893" t="s">
        <v>21</v>
      </c>
      <c r="P3" s="1894"/>
      <c r="Q3" s="1894"/>
      <c r="R3" s="1895"/>
      <c r="S3" s="1893" t="s">
        <v>22</v>
      </c>
      <c r="T3" s="1894"/>
      <c r="U3" s="1894"/>
      <c r="V3" s="1895"/>
      <c r="W3" s="1893" t="s">
        <v>23</v>
      </c>
      <c r="X3" s="1894"/>
      <c r="Y3" s="1894"/>
      <c r="Z3" s="1895"/>
      <c r="AA3" s="1893" t="s">
        <v>24</v>
      </c>
      <c r="AB3" s="1894"/>
      <c r="AC3" s="1894"/>
      <c r="AD3" s="1896"/>
      <c r="AE3" s="674"/>
    </row>
    <row r="4" spans="1:31">
      <c r="A4" s="1905"/>
      <c r="B4" s="1906"/>
      <c r="C4" s="626" t="s">
        <v>774</v>
      </c>
      <c r="D4" s="626" t="s">
        <v>775</v>
      </c>
      <c r="E4" s="626" t="s">
        <v>776</v>
      </c>
      <c r="F4" s="626" t="s">
        <v>777</v>
      </c>
      <c r="G4" s="627" t="str">
        <f>C4</f>
        <v>用地面积(m2)</v>
      </c>
      <c r="H4" s="628" t="str">
        <f t="shared" ref="H4:AD4" si="0">D4</f>
        <v>建筑面积(m2)</v>
      </c>
      <c r="I4" s="628" t="str">
        <f t="shared" si="0"/>
        <v>可售/自持面积(m2)</v>
      </c>
      <c r="J4" s="666" t="str">
        <f t="shared" si="0"/>
        <v>其中：自持有面积(m2)</v>
      </c>
      <c r="K4" s="627" t="str">
        <f t="shared" si="0"/>
        <v>用地面积(m2)</v>
      </c>
      <c r="L4" s="628" t="str">
        <f t="shared" si="0"/>
        <v>建筑面积(m2)</v>
      </c>
      <c r="M4" s="628" t="str">
        <f t="shared" si="0"/>
        <v>可售/自持面积(m2)</v>
      </c>
      <c r="N4" s="666" t="str">
        <f t="shared" si="0"/>
        <v>其中：自持有面积(m2)</v>
      </c>
      <c r="O4" s="627" t="str">
        <f t="shared" si="0"/>
        <v>用地面积(m2)</v>
      </c>
      <c r="P4" s="628" t="str">
        <f t="shared" si="0"/>
        <v>建筑面积(m2)</v>
      </c>
      <c r="Q4" s="628" t="str">
        <f t="shared" si="0"/>
        <v>可售/自持面积(m2)</v>
      </c>
      <c r="R4" s="666" t="str">
        <f t="shared" si="0"/>
        <v>其中：自持有面积(m2)</v>
      </c>
      <c r="S4" s="627" t="str">
        <f t="shared" si="0"/>
        <v>用地面积(m2)</v>
      </c>
      <c r="T4" s="628" t="str">
        <f t="shared" si="0"/>
        <v>建筑面积(m2)</v>
      </c>
      <c r="U4" s="628" t="str">
        <f t="shared" si="0"/>
        <v>可售/自持面积(m2)</v>
      </c>
      <c r="V4" s="666" t="str">
        <f t="shared" si="0"/>
        <v>其中：自持有面积(m2)</v>
      </c>
      <c r="W4" s="627" t="str">
        <f t="shared" si="0"/>
        <v>用地面积(m2)</v>
      </c>
      <c r="X4" s="628" t="str">
        <f t="shared" si="0"/>
        <v>建筑面积(m2)</v>
      </c>
      <c r="Y4" s="628" t="str">
        <f t="shared" si="0"/>
        <v>可售/自持面积(m2)</v>
      </c>
      <c r="Z4" s="666" t="str">
        <f t="shared" si="0"/>
        <v>其中：自持有面积(m2)</v>
      </c>
      <c r="AA4" s="627" t="str">
        <f t="shared" si="0"/>
        <v>用地面积(m2)</v>
      </c>
      <c r="AB4" s="628" t="str">
        <f t="shared" si="0"/>
        <v>建筑面积(m2)</v>
      </c>
      <c r="AC4" s="628" t="str">
        <f t="shared" si="0"/>
        <v>可售/自持面积(m2)</v>
      </c>
      <c r="AD4" s="675" t="str">
        <f t="shared" si="0"/>
        <v>其中：自持有面积(m2)</v>
      </c>
      <c r="AE4" s="676"/>
    </row>
    <row r="5" spans="1:31">
      <c r="A5" s="1907" t="s">
        <v>778</v>
      </c>
      <c r="B5" s="629" t="s">
        <v>779</v>
      </c>
      <c r="C5" s="630">
        <f>SUM(G5,K5,O5,S5,W5,AA5)</f>
        <v>13628.800934302324</v>
      </c>
      <c r="D5" s="630">
        <f t="shared" ref="D5:D15" si="1">SUM(H5,L5,P5,T5,X5,AB5)</f>
        <v>56100</v>
      </c>
      <c r="E5" s="630">
        <f t="shared" ref="E5:E15" si="2">SUM(I5,M5,Q5,U5,Y5,AC5)</f>
        <v>56100</v>
      </c>
      <c r="F5" s="630">
        <f t="shared" ref="F5:F15" si="3">SUM(J5,N5,R5,V5,Z5,AD5)</f>
        <v>0</v>
      </c>
      <c r="G5" s="631">
        <f>G32</f>
        <v>13628.800934302324</v>
      </c>
      <c r="H5" s="631">
        <v>56100</v>
      </c>
      <c r="I5" s="631">
        <f>H5</f>
        <v>56100</v>
      </c>
      <c r="J5" s="658"/>
      <c r="K5" s="632"/>
      <c r="L5" s="631"/>
      <c r="M5" s="631"/>
      <c r="N5" s="658"/>
      <c r="O5" s="632"/>
      <c r="P5" s="631"/>
      <c r="Q5" s="631"/>
      <c r="R5" s="658"/>
      <c r="S5" s="632"/>
      <c r="T5" s="631"/>
      <c r="U5" s="631"/>
      <c r="V5" s="658"/>
      <c r="W5" s="632"/>
      <c r="X5" s="631"/>
      <c r="Y5" s="631"/>
      <c r="Z5" s="658"/>
      <c r="AA5" s="632"/>
      <c r="AB5" s="631"/>
      <c r="AC5" s="631"/>
      <c r="AD5" s="658"/>
      <c r="AE5" s="656" t="str">
        <f>IF(OR(B5="回迁房",B5="无产权公共配套",B5="回迁商业",B5="回迁写字楼"),"不分摊",IF(B5="","","分摊"))</f>
        <v>分摊</v>
      </c>
    </row>
    <row r="6" spans="1:31">
      <c r="A6" s="1908"/>
      <c r="B6" s="632" t="s">
        <v>159</v>
      </c>
      <c r="C6" s="630">
        <f t="shared" ref="C6:C15" si="4">SUM(G6,K6,O6,S6,W6,AA6)</f>
        <v>7410.0622164244169</v>
      </c>
      <c r="D6" s="630">
        <f t="shared" si="1"/>
        <v>3640</v>
      </c>
      <c r="E6" s="630">
        <f t="shared" si="2"/>
        <v>3640</v>
      </c>
      <c r="F6" s="630">
        <f t="shared" si="3"/>
        <v>0</v>
      </c>
      <c r="G6" s="631">
        <f>G33</f>
        <v>7410.0622164244169</v>
      </c>
      <c r="H6" s="633">
        <v>3640</v>
      </c>
      <c r="I6" s="633">
        <f>H6</f>
        <v>3640</v>
      </c>
      <c r="J6" s="658"/>
      <c r="K6" s="632"/>
      <c r="L6" s="631"/>
      <c r="M6" s="631"/>
      <c r="N6" s="658"/>
      <c r="O6" s="632"/>
      <c r="P6" s="631"/>
      <c r="Q6" s="631"/>
      <c r="R6" s="658"/>
      <c r="S6" s="632"/>
      <c r="T6" s="631"/>
      <c r="U6" s="631"/>
      <c r="V6" s="658"/>
      <c r="W6" s="632"/>
      <c r="X6" s="631"/>
      <c r="Y6" s="631"/>
      <c r="Z6" s="658"/>
      <c r="AA6" s="632"/>
      <c r="AB6" s="631"/>
      <c r="AC6" s="631"/>
      <c r="AD6" s="658"/>
      <c r="AE6" s="656" t="str">
        <f t="shared" ref="AE6:AE15" si="5">IF(OR(B6="回迁房",B6="无产权公共配套",B6="回迁商业",B6="回迁写字楼"),"不分摊",IF(B6="","","分摊"))</f>
        <v>分摊</v>
      </c>
    </row>
    <row r="7" spans="1:31">
      <c r="A7" s="1908"/>
      <c r="B7" s="632" t="s">
        <v>780</v>
      </c>
      <c r="C7" s="630">
        <f t="shared" si="4"/>
        <v>3106.1196117732552</v>
      </c>
      <c r="D7" s="630">
        <f t="shared" si="1"/>
        <v>4208</v>
      </c>
      <c r="E7" s="630">
        <f t="shared" si="2"/>
        <v>0</v>
      </c>
      <c r="F7" s="630">
        <f t="shared" si="3"/>
        <v>0</v>
      </c>
      <c r="G7" s="631">
        <f>G34</f>
        <v>3106.1196117732552</v>
      </c>
      <c r="H7" s="631">
        <v>4208</v>
      </c>
      <c r="I7" s="631"/>
      <c r="J7" s="658"/>
      <c r="K7" s="632"/>
      <c r="L7" s="631"/>
      <c r="M7" s="667"/>
      <c r="N7" s="658"/>
      <c r="O7" s="632"/>
      <c r="P7" s="631"/>
      <c r="Q7" s="667"/>
      <c r="R7" s="658"/>
      <c r="S7" s="632"/>
      <c r="T7" s="631"/>
      <c r="U7" s="631"/>
      <c r="V7" s="658"/>
      <c r="W7" s="632"/>
      <c r="X7" s="631"/>
      <c r="Y7" s="631"/>
      <c r="Z7" s="658"/>
      <c r="AA7" s="632"/>
      <c r="AB7" s="631"/>
      <c r="AC7" s="631"/>
      <c r="AD7" s="658"/>
      <c r="AE7" s="656" t="str">
        <f t="shared" si="5"/>
        <v>不分摊</v>
      </c>
    </row>
    <row r="8" spans="1:31">
      <c r="A8" s="1908"/>
      <c r="B8" s="632"/>
      <c r="C8" s="630">
        <f t="shared" si="4"/>
        <v>0</v>
      </c>
      <c r="D8" s="630">
        <f t="shared" si="1"/>
        <v>0</v>
      </c>
      <c r="E8" s="630">
        <f t="shared" si="2"/>
        <v>0</v>
      </c>
      <c r="F8" s="630">
        <f t="shared" si="3"/>
        <v>0</v>
      </c>
      <c r="G8" s="631"/>
      <c r="H8" s="631"/>
      <c r="I8" s="631"/>
      <c r="J8" s="658"/>
      <c r="K8" s="632"/>
      <c r="L8" s="631"/>
      <c r="M8" s="667"/>
      <c r="N8" s="658"/>
      <c r="O8" s="632"/>
      <c r="P8" s="631"/>
      <c r="Q8" s="667"/>
      <c r="R8" s="658"/>
      <c r="S8" s="632"/>
      <c r="T8" s="631"/>
      <c r="U8" s="631"/>
      <c r="V8" s="658"/>
      <c r="W8" s="632"/>
      <c r="X8" s="631"/>
      <c r="Y8" s="631"/>
      <c r="Z8" s="658"/>
      <c r="AA8" s="632"/>
      <c r="AB8" s="631"/>
      <c r="AC8" s="631"/>
      <c r="AD8" s="658"/>
      <c r="AE8" s="656" t="str">
        <f t="shared" si="5"/>
        <v/>
      </c>
    </row>
    <row r="9" spans="1:31">
      <c r="A9" s="1908"/>
      <c r="B9" s="632"/>
      <c r="C9" s="630">
        <f t="shared" si="4"/>
        <v>0</v>
      </c>
      <c r="D9" s="630">
        <f t="shared" si="1"/>
        <v>0</v>
      </c>
      <c r="E9" s="630">
        <f t="shared" si="2"/>
        <v>0</v>
      </c>
      <c r="F9" s="630">
        <f t="shared" si="3"/>
        <v>0</v>
      </c>
      <c r="G9" s="631"/>
      <c r="H9" s="631"/>
      <c r="I9" s="631"/>
      <c r="J9" s="658"/>
      <c r="K9" s="632"/>
      <c r="L9" s="631"/>
      <c r="M9" s="667"/>
      <c r="N9" s="658"/>
      <c r="O9" s="632"/>
      <c r="P9" s="631"/>
      <c r="Q9" s="667"/>
      <c r="R9" s="658"/>
      <c r="S9" s="632"/>
      <c r="T9" s="631"/>
      <c r="U9" s="631"/>
      <c r="V9" s="658"/>
      <c r="W9" s="632"/>
      <c r="X9" s="631"/>
      <c r="Y9" s="631"/>
      <c r="Z9" s="658"/>
      <c r="AA9" s="632"/>
      <c r="AB9" s="631"/>
      <c r="AC9" s="631"/>
      <c r="AD9" s="658"/>
      <c r="AE9" s="656" t="str">
        <f t="shared" si="5"/>
        <v/>
      </c>
    </row>
    <row r="10" spans="1:31">
      <c r="A10" s="1908"/>
      <c r="B10" s="632"/>
      <c r="C10" s="630">
        <f t="shared" si="4"/>
        <v>0</v>
      </c>
      <c r="D10" s="630">
        <f t="shared" si="1"/>
        <v>0</v>
      </c>
      <c r="E10" s="630">
        <f t="shared" si="2"/>
        <v>0</v>
      </c>
      <c r="F10" s="630">
        <f t="shared" si="3"/>
        <v>0</v>
      </c>
      <c r="G10" s="631"/>
      <c r="H10" s="631"/>
      <c r="I10" s="631"/>
      <c r="J10" s="658"/>
      <c r="K10" s="632"/>
      <c r="L10" s="631"/>
      <c r="M10" s="667"/>
      <c r="N10" s="658"/>
      <c r="O10" s="632"/>
      <c r="P10" s="631"/>
      <c r="Q10" s="667"/>
      <c r="R10" s="658"/>
      <c r="S10" s="632"/>
      <c r="T10" s="631"/>
      <c r="U10" s="631"/>
      <c r="V10" s="658"/>
      <c r="W10" s="632"/>
      <c r="X10" s="631"/>
      <c r="Y10" s="631"/>
      <c r="Z10" s="658"/>
      <c r="AA10" s="632"/>
      <c r="AB10" s="631"/>
      <c r="AC10" s="631"/>
      <c r="AD10" s="658"/>
      <c r="AE10" s="656" t="str">
        <f t="shared" si="5"/>
        <v/>
      </c>
    </row>
    <row r="11" spans="1:31">
      <c r="A11" s="1908"/>
      <c r="B11" s="632"/>
      <c r="C11" s="630">
        <f t="shared" si="4"/>
        <v>0</v>
      </c>
      <c r="D11" s="630">
        <f t="shared" si="1"/>
        <v>0</v>
      </c>
      <c r="E11" s="630">
        <f t="shared" si="2"/>
        <v>0</v>
      </c>
      <c r="F11" s="630">
        <f t="shared" si="3"/>
        <v>0</v>
      </c>
      <c r="G11" s="631"/>
      <c r="H11" s="631"/>
      <c r="I11" s="631"/>
      <c r="J11" s="658"/>
      <c r="K11" s="632"/>
      <c r="L11" s="631"/>
      <c r="M11" s="631"/>
      <c r="N11" s="658"/>
      <c r="O11" s="632"/>
      <c r="P11" s="631"/>
      <c r="Q11" s="631"/>
      <c r="R11" s="658"/>
      <c r="S11" s="632"/>
      <c r="T11" s="631"/>
      <c r="U11" s="631"/>
      <c r="V11" s="658"/>
      <c r="W11" s="632"/>
      <c r="X11" s="631"/>
      <c r="Y11" s="631"/>
      <c r="Z11" s="658"/>
      <c r="AA11" s="632"/>
      <c r="AB11" s="631"/>
      <c r="AC11" s="631"/>
      <c r="AD11" s="658"/>
      <c r="AE11" s="656" t="str">
        <f t="shared" si="5"/>
        <v/>
      </c>
    </row>
    <row r="12" spans="1:31">
      <c r="A12" s="1908"/>
      <c r="B12" s="632"/>
      <c r="C12" s="630">
        <f t="shared" si="4"/>
        <v>0</v>
      </c>
      <c r="D12" s="630">
        <f t="shared" si="1"/>
        <v>0</v>
      </c>
      <c r="E12" s="630">
        <f t="shared" si="2"/>
        <v>0</v>
      </c>
      <c r="F12" s="630">
        <f t="shared" si="3"/>
        <v>0</v>
      </c>
      <c r="G12" s="631"/>
      <c r="H12" s="631"/>
      <c r="I12" s="631"/>
      <c r="J12" s="658"/>
      <c r="K12" s="632"/>
      <c r="L12" s="631"/>
      <c r="M12" s="631"/>
      <c r="N12" s="658"/>
      <c r="O12" s="632"/>
      <c r="P12" s="631"/>
      <c r="Q12" s="631"/>
      <c r="R12" s="658"/>
      <c r="S12" s="632"/>
      <c r="T12" s="631"/>
      <c r="U12" s="631"/>
      <c r="V12" s="658"/>
      <c r="W12" s="632"/>
      <c r="X12" s="631"/>
      <c r="Y12" s="631"/>
      <c r="Z12" s="658"/>
      <c r="AA12" s="632"/>
      <c r="AB12" s="631"/>
      <c r="AC12" s="631"/>
      <c r="AD12" s="658"/>
      <c r="AE12" s="656" t="str">
        <f t="shared" si="5"/>
        <v/>
      </c>
    </row>
    <row r="13" spans="1:31">
      <c r="A13" s="1908"/>
      <c r="B13" s="632"/>
      <c r="C13" s="630">
        <f t="shared" si="4"/>
        <v>0</v>
      </c>
      <c r="D13" s="630">
        <f t="shared" si="1"/>
        <v>0</v>
      </c>
      <c r="E13" s="630">
        <f t="shared" si="2"/>
        <v>0</v>
      </c>
      <c r="F13" s="630">
        <f t="shared" si="3"/>
        <v>0</v>
      </c>
      <c r="G13" s="631"/>
      <c r="H13" s="631"/>
      <c r="I13" s="631"/>
      <c r="J13" s="658"/>
      <c r="K13" s="632"/>
      <c r="L13" s="631"/>
      <c r="M13" s="631"/>
      <c r="N13" s="658"/>
      <c r="O13" s="632"/>
      <c r="P13" s="631"/>
      <c r="Q13" s="631"/>
      <c r="R13" s="658"/>
      <c r="S13" s="632"/>
      <c r="T13" s="631"/>
      <c r="U13" s="631"/>
      <c r="V13" s="658"/>
      <c r="W13" s="632"/>
      <c r="X13" s="631"/>
      <c r="Y13" s="631"/>
      <c r="Z13" s="658"/>
      <c r="AA13" s="632"/>
      <c r="AB13" s="631"/>
      <c r="AC13" s="631"/>
      <c r="AD13" s="658"/>
      <c r="AE13" s="656" t="str">
        <f t="shared" si="5"/>
        <v/>
      </c>
    </row>
    <row r="14" spans="1:31">
      <c r="A14" s="1908"/>
      <c r="B14" s="634" t="s">
        <v>280</v>
      </c>
      <c r="C14" s="630">
        <f t="shared" si="4"/>
        <v>0</v>
      </c>
      <c r="D14" s="630">
        <f t="shared" si="1"/>
        <v>0</v>
      </c>
      <c r="E14" s="630">
        <f t="shared" si="2"/>
        <v>0</v>
      </c>
      <c r="F14" s="630">
        <f t="shared" si="3"/>
        <v>0</v>
      </c>
      <c r="G14" s="631"/>
      <c r="H14" s="631"/>
      <c r="I14" s="631"/>
      <c r="J14" s="668"/>
      <c r="K14" s="632"/>
      <c r="L14" s="631"/>
      <c r="M14" s="631"/>
      <c r="N14" s="668"/>
      <c r="O14" s="632"/>
      <c r="P14" s="631"/>
      <c r="Q14" s="631"/>
      <c r="R14" s="668"/>
      <c r="S14" s="632"/>
      <c r="T14" s="631"/>
      <c r="U14" s="631"/>
      <c r="V14" s="668"/>
      <c r="W14" s="632"/>
      <c r="X14" s="631"/>
      <c r="Y14" s="631"/>
      <c r="Z14" s="668"/>
      <c r="AA14" s="632"/>
      <c r="AB14" s="631"/>
      <c r="AC14" s="631"/>
      <c r="AD14" s="677"/>
      <c r="AE14" s="656" t="str">
        <f t="shared" si="5"/>
        <v>分摊</v>
      </c>
    </row>
    <row r="15" spans="1:31">
      <c r="A15" s="1909"/>
      <c r="B15" s="635" t="s">
        <v>781</v>
      </c>
      <c r="C15" s="630">
        <f t="shared" si="4"/>
        <v>1702.7172375</v>
      </c>
      <c r="D15" s="630">
        <f t="shared" si="1"/>
        <v>667</v>
      </c>
      <c r="E15" s="630">
        <f t="shared" si="2"/>
        <v>0</v>
      </c>
      <c r="F15" s="630">
        <f t="shared" si="3"/>
        <v>0</v>
      </c>
      <c r="G15" s="631">
        <f>G42</f>
        <v>1702.7172375</v>
      </c>
      <c r="H15" s="631">
        <v>667</v>
      </c>
      <c r="I15" s="631"/>
      <c r="J15" s="658"/>
      <c r="K15" s="632"/>
      <c r="L15" s="631"/>
      <c r="M15" s="667"/>
      <c r="N15" s="658"/>
      <c r="O15" s="632"/>
      <c r="P15" s="631"/>
      <c r="Q15" s="667"/>
      <c r="R15" s="658"/>
      <c r="S15" s="632"/>
      <c r="T15" s="631"/>
      <c r="U15" s="631"/>
      <c r="V15" s="658"/>
      <c r="W15" s="632"/>
      <c r="X15" s="631"/>
      <c r="Y15" s="631"/>
      <c r="Z15" s="658"/>
      <c r="AA15" s="632"/>
      <c r="AB15" s="631"/>
      <c r="AC15" s="631"/>
      <c r="AD15" s="658"/>
      <c r="AE15" s="656" t="str">
        <f t="shared" si="5"/>
        <v>不分摊</v>
      </c>
    </row>
    <row r="16" spans="1:31">
      <c r="A16" s="636" t="s">
        <v>782</v>
      </c>
      <c r="B16" s="637"/>
      <c r="C16" s="638">
        <f>SUM(C5:C15)</f>
        <v>25847.699999999997</v>
      </c>
      <c r="D16" s="638">
        <f t="shared" ref="D16:AD16" si="6">SUM(D5:D15)</f>
        <v>64615</v>
      </c>
      <c r="E16" s="638">
        <f t="shared" si="6"/>
        <v>59740</v>
      </c>
      <c r="F16" s="638">
        <f t="shared" si="6"/>
        <v>0</v>
      </c>
      <c r="G16" s="639">
        <f t="shared" si="6"/>
        <v>25847.699999999997</v>
      </c>
      <c r="H16" s="640">
        <f t="shared" si="6"/>
        <v>64615</v>
      </c>
      <c r="I16" s="640">
        <f t="shared" si="6"/>
        <v>59740</v>
      </c>
      <c r="J16" s="669">
        <f t="shared" si="6"/>
        <v>0</v>
      </c>
      <c r="K16" s="639">
        <f t="shared" si="6"/>
        <v>0</v>
      </c>
      <c r="L16" s="640">
        <f t="shared" si="6"/>
        <v>0</v>
      </c>
      <c r="M16" s="640">
        <f t="shared" si="6"/>
        <v>0</v>
      </c>
      <c r="N16" s="640">
        <f t="shared" si="6"/>
        <v>0</v>
      </c>
      <c r="O16" s="639">
        <f t="shared" si="6"/>
        <v>0</v>
      </c>
      <c r="P16" s="640">
        <f t="shared" si="6"/>
        <v>0</v>
      </c>
      <c r="Q16" s="640">
        <f t="shared" si="6"/>
        <v>0</v>
      </c>
      <c r="R16" s="669">
        <f t="shared" si="6"/>
        <v>0</v>
      </c>
      <c r="S16" s="639">
        <f t="shared" si="6"/>
        <v>0</v>
      </c>
      <c r="T16" s="640">
        <f t="shared" si="6"/>
        <v>0</v>
      </c>
      <c r="U16" s="640">
        <f t="shared" si="6"/>
        <v>0</v>
      </c>
      <c r="V16" s="669">
        <f t="shared" si="6"/>
        <v>0</v>
      </c>
      <c r="W16" s="639">
        <f t="shared" si="6"/>
        <v>0</v>
      </c>
      <c r="X16" s="640">
        <f t="shared" si="6"/>
        <v>0</v>
      </c>
      <c r="Y16" s="640">
        <f t="shared" si="6"/>
        <v>0</v>
      </c>
      <c r="Z16" s="669">
        <f t="shared" si="6"/>
        <v>0</v>
      </c>
      <c r="AA16" s="639">
        <f t="shared" si="6"/>
        <v>0</v>
      </c>
      <c r="AB16" s="640">
        <f t="shared" si="6"/>
        <v>0</v>
      </c>
      <c r="AC16" s="640">
        <f t="shared" si="6"/>
        <v>0</v>
      </c>
      <c r="AD16" s="678">
        <f t="shared" si="6"/>
        <v>0</v>
      </c>
      <c r="AE16" s="674"/>
    </row>
    <row r="17" spans="1:31">
      <c r="A17" s="641"/>
      <c r="B17" s="642"/>
      <c r="C17" s="626" t="s">
        <v>775</v>
      </c>
      <c r="D17" s="626" t="s">
        <v>776</v>
      </c>
      <c r="E17" s="626" t="s">
        <v>783</v>
      </c>
      <c r="F17" s="626" t="s">
        <v>784</v>
      </c>
      <c r="G17" s="627" t="str">
        <f t="shared" ref="G17:J17" si="7">C17</f>
        <v>建筑面积(m2)</v>
      </c>
      <c r="H17" s="628" t="str">
        <f t="shared" si="7"/>
        <v>可售/自持面积(m2)</v>
      </c>
      <c r="I17" s="628" t="str">
        <f t="shared" si="7"/>
        <v>个数</v>
      </c>
      <c r="J17" s="666" t="str">
        <f t="shared" si="7"/>
        <v>其中：自持(个)</v>
      </c>
      <c r="K17" s="627" t="str">
        <f t="shared" ref="K17:AD17" si="8">G17</f>
        <v>建筑面积(m2)</v>
      </c>
      <c r="L17" s="628" t="str">
        <f t="shared" si="8"/>
        <v>可售/自持面积(m2)</v>
      </c>
      <c r="M17" s="628" t="str">
        <f t="shared" si="8"/>
        <v>个数</v>
      </c>
      <c r="N17" s="666" t="str">
        <f t="shared" si="8"/>
        <v>其中：自持(个)</v>
      </c>
      <c r="O17" s="627" t="str">
        <f t="shared" si="8"/>
        <v>建筑面积(m2)</v>
      </c>
      <c r="P17" s="628" t="str">
        <f t="shared" si="8"/>
        <v>可售/自持面积(m2)</v>
      </c>
      <c r="Q17" s="628" t="str">
        <f t="shared" si="8"/>
        <v>个数</v>
      </c>
      <c r="R17" s="666" t="str">
        <f t="shared" si="8"/>
        <v>其中：自持(个)</v>
      </c>
      <c r="S17" s="627" t="str">
        <f t="shared" si="8"/>
        <v>建筑面积(m2)</v>
      </c>
      <c r="T17" s="628" t="str">
        <f t="shared" si="8"/>
        <v>可售/自持面积(m2)</v>
      </c>
      <c r="U17" s="628" t="str">
        <f t="shared" si="8"/>
        <v>个数</v>
      </c>
      <c r="V17" s="666" t="str">
        <f t="shared" si="8"/>
        <v>其中：自持(个)</v>
      </c>
      <c r="W17" s="627" t="str">
        <f t="shared" si="8"/>
        <v>建筑面积(m2)</v>
      </c>
      <c r="X17" s="628" t="str">
        <f t="shared" si="8"/>
        <v>可售/自持面积(m2)</v>
      </c>
      <c r="Y17" s="628" t="str">
        <f t="shared" si="8"/>
        <v>个数</v>
      </c>
      <c r="Z17" s="666" t="str">
        <f t="shared" si="8"/>
        <v>其中：自持(个)</v>
      </c>
      <c r="AA17" s="627" t="str">
        <f t="shared" si="8"/>
        <v>建筑面积(m2)</v>
      </c>
      <c r="AB17" s="628" t="str">
        <f t="shared" si="8"/>
        <v>可售/自持面积(m2)</v>
      </c>
      <c r="AC17" s="628" t="str">
        <f t="shared" si="8"/>
        <v>个数</v>
      </c>
      <c r="AD17" s="675" t="str">
        <f t="shared" si="8"/>
        <v>其中：自持(个)</v>
      </c>
      <c r="AE17" s="676"/>
    </row>
    <row r="18" spans="1:31">
      <c r="A18" s="643" t="s">
        <v>785</v>
      </c>
      <c r="B18" s="226" t="s">
        <v>786</v>
      </c>
      <c r="C18" s="630">
        <f t="shared" ref="C18:C20" si="9">SUM(G18,K18,O18,S18,W18,AA18)</f>
        <v>13082</v>
      </c>
      <c r="D18" s="630">
        <f>SUM(H18,L18,P18,T18,X18,AB18)</f>
        <v>5486</v>
      </c>
      <c r="E18" s="630">
        <f>SUM(I18,M18,Q18,U18,Y18,AC18)</f>
        <v>422</v>
      </c>
      <c r="F18" s="644">
        <f>SUM(J18,N18,R18,V18,Z18,AD18)</f>
        <v>0</v>
      </c>
      <c r="G18" s="645">
        <f>I18*31</f>
        <v>13082</v>
      </c>
      <c r="H18" s="646">
        <f>I18*13</f>
        <v>5486</v>
      </c>
      <c r="I18" s="646">
        <f>397+25</f>
        <v>422</v>
      </c>
      <c r="J18" s="670"/>
      <c r="K18" s="645"/>
      <c r="L18" s="646"/>
      <c r="M18" s="646"/>
      <c r="N18" s="670"/>
      <c r="O18" s="645"/>
      <c r="P18" s="646"/>
      <c r="Q18" s="646"/>
      <c r="R18" s="668"/>
      <c r="S18" s="632"/>
      <c r="T18" s="631"/>
      <c r="U18" s="631"/>
      <c r="V18" s="668"/>
      <c r="W18" s="632"/>
      <c r="X18" s="631"/>
      <c r="Y18" s="631"/>
      <c r="Z18" s="668"/>
      <c r="AA18" s="632"/>
      <c r="AB18" s="631"/>
      <c r="AC18" s="631"/>
      <c r="AD18" s="677"/>
      <c r="AE18" s="674"/>
    </row>
    <row r="19" spans="1:31">
      <c r="A19" s="643"/>
      <c r="B19" s="226" t="s">
        <v>787</v>
      </c>
      <c r="C19" s="630">
        <f t="shared" si="9"/>
        <v>4257</v>
      </c>
      <c r="D19" s="630">
        <f>SUM(H19,L19,P19,T19,X19,AB19)</f>
        <v>0</v>
      </c>
      <c r="E19" s="630">
        <f t="shared" ref="E19:E20" si="10">SUM(I19,M19,Q19,U19,Y19,AC19)</f>
        <v>187</v>
      </c>
      <c r="F19" s="644">
        <f>SUM(J19,N19,R19,V19,Z19,AD19)</f>
        <v>0</v>
      </c>
      <c r="G19" s="645">
        <f>(I19-58)*33</f>
        <v>4257</v>
      </c>
      <c r="H19" s="646"/>
      <c r="I19" s="646">
        <v>187</v>
      </c>
      <c r="J19" s="670"/>
      <c r="K19" s="645"/>
      <c r="L19" s="646"/>
      <c r="M19" s="646"/>
      <c r="N19" s="670">
        <v>0</v>
      </c>
      <c r="O19" s="645"/>
      <c r="P19" s="646"/>
      <c r="Q19" s="646"/>
      <c r="R19" s="668"/>
      <c r="S19" s="632"/>
      <c r="T19" s="631"/>
      <c r="U19" s="631"/>
      <c r="V19" s="668"/>
      <c r="W19" s="632"/>
      <c r="X19" s="631"/>
      <c r="Y19" s="631"/>
      <c r="Z19" s="668"/>
      <c r="AA19" s="632"/>
      <c r="AB19" s="631"/>
      <c r="AC19" s="631"/>
      <c r="AD19" s="677"/>
      <c r="AE19" s="674"/>
    </row>
    <row r="20" spans="1:31">
      <c r="A20" s="643"/>
      <c r="B20" s="226" t="s">
        <v>788</v>
      </c>
      <c r="C20" s="630">
        <f t="shared" si="9"/>
        <v>0</v>
      </c>
      <c r="D20" s="630">
        <f t="shared" ref="D20" si="11">SUM(H20,L20,P20,T20,X20,AB20)</f>
        <v>0</v>
      </c>
      <c r="E20" s="630">
        <f t="shared" si="10"/>
        <v>0</v>
      </c>
      <c r="F20" s="644">
        <f>SUM(J20,N20,R20,V20,Z20,AD20)</f>
        <v>0</v>
      </c>
      <c r="G20" s="645"/>
      <c r="H20" s="646"/>
      <c r="I20" s="646"/>
      <c r="J20" s="670"/>
      <c r="K20" s="645"/>
      <c r="L20" s="646"/>
      <c r="M20" s="646"/>
      <c r="N20" s="670"/>
      <c r="O20" s="645"/>
      <c r="P20" s="646"/>
      <c r="Q20" s="646"/>
      <c r="R20" s="668"/>
      <c r="S20" s="632"/>
      <c r="T20" s="631"/>
      <c r="U20" s="631"/>
      <c r="V20" s="668"/>
      <c r="W20" s="632"/>
      <c r="X20" s="631"/>
      <c r="Y20" s="631"/>
      <c r="Z20" s="668"/>
      <c r="AA20" s="632"/>
      <c r="AB20" s="631"/>
      <c r="AC20" s="631"/>
      <c r="AD20" s="677"/>
      <c r="AE20" s="674"/>
    </row>
    <row r="21" spans="1:31">
      <c r="A21" s="636" t="s">
        <v>789</v>
      </c>
      <c r="B21" s="637"/>
      <c r="C21" s="638">
        <f>SUM(C18:C20)</f>
        <v>17339</v>
      </c>
      <c r="D21" s="638">
        <f t="shared" ref="D21:AD21" si="12">SUM(D18:D20)</f>
        <v>5486</v>
      </c>
      <c r="E21" s="638">
        <f t="shared" si="12"/>
        <v>609</v>
      </c>
      <c r="F21" s="638">
        <f t="shared" si="12"/>
        <v>0</v>
      </c>
      <c r="G21" s="639">
        <f t="shared" si="12"/>
        <v>17339</v>
      </c>
      <c r="H21" s="640">
        <f t="shared" si="12"/>
        <v>5486</v>
      </c>
      <c r="I21" s="640">
        <f t="shared" si="12"/>
        <v>609</v>
      </c>
      <c r="J21" s="669">
        <f t="shared" si="12"/>
        <v>0</v>
      </c>
      <c r="K21" s="639">
        <f t="shared" si="12"/>
        <v>0</v>
      </c>
      <c r="L21" s="640">
        <f t="shared" si="12"/>
        <v>0</v>
      </c>
      <c r="M21" s="640">
        <f t="shared" si="12"/>
        <v>0</v>
      </c>
      <c r="N21" s="669">
        <f t="shared" si="12"/>
        <v>0</v>
      </c>
      <c r="O21" s="639">
        <f t="shared" si="12"/>
        <v>0</v>
      </c>
      <c r="P21" s="640">
        <f t="shared" si="12"/>
        <v>0</v>
      </c>
      <c r="Q21" s="640">
        <f t="shared" si="12"/>
        <v>0</v>
      </c>
      <c r="R21" s="669">
        <f t="shared" si="12"/>
        <v>0</v>
      </c>
      <c r="S21" s="639">
        <f t="shared" si="12"/>
        <v>0</v>
      </c>
      <c r="T21" s="640">
        <f t="shared" si="12"/>
        <v>0</v>
      </c>
      <c r="U21" s="640">
        <f t="shared" si="12"/>
        <v>0</v>
      </c>
      <c r="V21" s="669">
        <f t="shared" si="12"/>
        <v>0</v>
      </c>
      <c r="W21" s="639">
        <f t="shared" si="12"/>
        <v>0</v>
      </c>
      <c r="X21" s="640">
        <f t="shared" si="12"/>
        <v>0</v>
      </c>
      <c r="Y21" s="640">
        <f t="shared" si="12"/>
        <v>0</v>
      </c>
      <c r="Z21" s="669">
        <f t="shared" si="12"/>
        <v>0</v>
      </c>
      <c r="AA21" s="639">
        <f t="shared" si="12"/>
        <v>0</v>
      </c>
      <c r="AB21" s="640">
        <f t="shared" si="12"/>
        <v>0</v>
      </c>
      <c r="AC21" s="640">
        <f t="shared" si="12"/>
        <v>0</v>
      </c>
      <c r="AD21" s="678">
        <f t="shared" si="12"/>
        <v>0</v>
      </c>
      <c r="AE21" s="674"/>
    </row>
    <row r="22" spans="1:31">
      <c r="A22" s="647" t="s">
        <v>790</v>
      </c>
      <c r="B22" s="648"/>
      <c r="C22" s="649">
        <f>C21+D16</f>
        <v>81954</v>
      </c>
      <c r="D22" s="649">
        <f>E16+D21</f>
        <v>65226</v>
      </c>
      <c r="E22" s="649">
        <f>E21</f>
        <v>609</v>
      </c>
      <c r="F22" s="649">
        <f>F16+F21</f>
        <v>0</v>
      </c>
      <c r="G22" s="650">
        <f>G21+H16</f>
        <v>81954</v>
      </c>
      <c r="H22" s="651">
        <f>I16+H21</f>
        <v>65226</v>
      </c>
      <c r="I22" s="651">
        <f>I21</f>
        <v>609</v>
      </c>
      <c r="J22" s="671">
        <f>J16+J21</f>
        <v>0</v>
      </c>
      <c r="K22" s="650">
        <f>K21+L16</f>
        <v>0</v>
      </c>
      <c r="L22" s="651">
        <f>M16+L21</f>
        <v>0</v>
      </c>
      <c r="M22" s="651">
        <f>M21</f>
        <v>0</v>
      </c>
      <c r="N22" s="671">
        <f>N16+N21</f>
        <v>0</v>
      </c>
      <c r="O22" s="650">
        <f>O21+P16</f>
        <v>0</v>
      </c>
      <c r="P22" s="651">
        <f>Q16+P21</f>
        <v>0</v>
      </c>
      <c r="Q22" s="651">
        <f>Q21</f>
        <v>0</v>
      </c>
      <c r="R22" s="671">
        <f>R16+R21</f>
        <v>0</v>
      </c>
      <c r="S22" s="650">
        <f>S21+T16</f>
        <v>0</v>
      </c>
      <c r="T22" s="651">
        <f>U16+T21</f>
        <v>0</v>
      </c>
      <c r="U22" s="651">
        <f>U21</f>
        <v>0</v>
      </c>
      <c r="V22" s="671">
        <f>V16+V21</f>
        <v>0</v>
      </c>
      <c r="W22" s="650">
        <f>W21+X16</f>
        <v>0</v>
      </c>
      <c r="X22" s="651">
        <f>Y16+X21</f>
        <v>0</v>
      </c>
      <c r="Y22" s="651">
        <f>Y21</f>
        <v>0</v>
      </c>
      <c r="Z22" s="671">
        <f>Z16+Z21</f>
        <v>0</v>
      </c>
      <c r="AA22" s="650">
        <f>AA21+AB16</f>
        <v>0</v>
      </c>
      <c r="AB22" s="651">
        <f>AC16+AB21</f>
        <v>0</v>
      </c>
      <c r="AC22" s="651">
        <f>AC21</f>
        <v>0</v>
      </c>
      <c r="AD22" s="679">
        <f>AD16+AD21</f>
        <v>0</v>
      </c>
      <c r="AE22" s="674"/>
    </row>
    <row r="23" spans="1:31">
      <c r="A23" s="652" t="s">
        <v>791</v>
      </c>
      <c r="B23" s="653">
        <f>'1.参数设置'!E2</f>
        <v>43210</v>
      </c>
      <c r="C23" s="78"/>
      <c r="D23" s="81" t="s">
        <v>792</v>
      </c>
      <c r="E23" s="78"/>
      <c r="F23" s="78"/>
      <c r="G23" s="78"/>
      <c r="H23" s="81" t="s">
        <v>793</v>
      </c>
      <c r="I23" s="78"/>
      <c r="J23" s="78"/>
      <c r="K23" s="78"/>
      <c r="L23" s="81" t="s">
        <v>794</v>
      </c>
      <c r="M23" s="78"/>
      <c r="N23" s="78"/>
      <c r="O23" s="78"/>
      <c r="P23" s="78"/>
      <c r="Q23" s="78"/>
      <c r="R23" s="78"/>
      <c r="S23" s="78"/>
      <c r="T23" s="78"/>
      <c r="U23" s="78"/>
      <c r="V23" s="78"/>
      <c r="W23" s="78"/>
      <c r="X23" s="78"/>
      <c r="Y23" s="78"/>
      <c r="Z23" s="78"/>
      <c r="AA23" s="78"/>
      <c r="AB23" s="78"/>
      <c r="AC23" s="78"/>
      <c r="AD23" s="78"/>
      <c r="AE23" s="674"/>
    </row>
    <row r="24" spans="1:31" ht="17.25">
      <c r="A24" s="654" t="s">
        <v>795</v>
      </c>
      <c r="B24" s="78"/>
      <c r="C24" s="78"/>
      <c r="D24" s="78"/>
      <c r="E24" s="78"/>
      <c r="F24" s="78"/>
      <c r="G24" s="78"/>
      <c r="H24" s="78"/>
      <c r="I24" s="78"/>
      <c r="J24" s="78"/>
      <c r="K24" s="78"/>
      <c r="L24" s="78"/>
      <c r="M24" s="78"/>
      <c r="N24" s="78"/>
      <c r="O24" s="78"/>
      <c r="P24" s="78"/>
      <c r="Q24" s="78"/>
      <c r="R24" s="78"/>
      <c r="S24" s="78"/>
      <c r="T24" s="78"/>
      <c r="U24" s="78"/>
      <c r="V24" s="78"/>
      <c r="W24" s="78"/>
      <c r="X24" s="78"/>
      <c r="Y24" s="78"/>
      <c r="Z24" s="78"/>
      <c r="AA24" s="78"/>
      <c r="AB24" s="78"/>
      <c r="AC24" s="78"/>
      <c r="AD24" s="78"/>
      <c r="AE24" s="674"/>
    </row>
    <row r="25" spans="1:31" ht="17.25">
      <c r="A25" s="655" t="s">
        <v>796</v>
      </c>
      <c r="B25" s="78"/>
      <c r="C25" s="78"/>
      <c r="D25" s="78"/>
      <c r="E25" s="78"/>
      <c r="F25" s="78"/>
      <c r="G25" s="78"/>
      <c r="H25" s="78"/>
      <c r="I25" s="78"/>
      <c r="J25" s="78"/>
      <c r="K25" s="78"/>
      <c r="L25" s="78"/>
      <c r="M25" s="78"/>
      <c r="N25" s="78"/>
      <c r="O25" s="78"/>
      <c r="P25" s="78"/>
      <c r="Q25" s="78"/>
      <c r="R25" s="78"/>
      <c r="S25" s="78"/>
      <c r="T25" s="78"/>
      <c r="U25" s="78"/>
      <c r="V25" s="78"/>
      <c r="W25" s="78"/>
      <c r="X25" s="78"/>
      <c r="Y25" s="78"/>
      <c r="Z25" s="78"/>
      <c r="AA25" s="78"/>
      <c r="AB25" s="78"/>
      <c r="AC25" s="78"/>
      <c r="AD25" s="78"/>
      <c r="AE25" s="674"/>
    </row>
    <row r="26" spans="1:31" ht="17.25">
      <c r="A26" s="654" t="s">
        <v>797</v>
      </c>
      <c r="B26" s="78"/>
      <c r="C26" s="78"/>
      <c r="D26" s="78"/>
      <c r="E26" s="78"/>
      <c r="F26" s="78"/>
      <c r="G26" s="78"/>
      <c r="H26" s="92"/>
      <c r="I26" s="92"/>
      <c r="J26" s="78"/>
      <c r="K26" s="78"/>
      <c r="L26" s="78"/>
      <c r="M26" s="78"/>
      <c r="N26" s="78"/>
      <c r="O26" s="78"/>
      <c r="P26" s="78"/>
      <c r="Q26" s="78"/>
      <c r="R26" s="78"/>
      <c r="S26" s="78"/>
      <c r="T26" s="78"/>
      <c r="U26" s="78"/>
      <c r="V26" s="78"/>
      <c r="W26" s="78"/>
      <c r="X26" s="78"/>
      <c r="Y26" s="78"/>
      <c r="Z26" s="78"/>
      <c r="AA26" s="78"/>
      <c r="AB26" s="78"/>
      <c r="AC26" s="78"/>
      <c r="AD26" s="78"/>
      <c r="AE26" s="674"/>
    </row>
    <row r="27" spans="1:31" ht="17.25">
      <c r="A27" s="654" t="s">
        <v>798</v>
      </c>
      <c r="B27" s="78"/>
      <c r="C27" s="78"/>
      <c r="D27" s="78"/>
      <c r="E27" s="78"/>
      <c r="F27" s="78"/>
      <c r="G27" s="78"/>
      <c r="H27" s="78"/>
      <c r="I27" s="92"/>
      <c r="J27" s="78"/>
      <c r="K27" s="78"/>
      <c r="L27" s="78"/>
      <c r="M27" s="78"/>
      <c r="N27" s="78"/>
      <c r="O27" s="78"/>
      <c r="P27" s="78"/>
      <c r="Q27" s="78"/>
      <c r="R27" s="78"/>
      <c r="S27" s="78"/>
      <c r="T27" s="78"/>
      <c r="U27" s="78"/>
      <c r="V27" s="78"/>
      <c r="W27" s="78"/>
      <c r="X27" s="78"/>
      <c r="Y27" s="78"/>
      <c r="Z27" s="78"/>
      <c r="AA27" s="78"/>
      <c r="AB27" s="78"/>
      <c r="AC27" s="78"/>
      <c r="AD27" s="78"/>
      <c r="AE27" s="674"/>
    </row>
    <row r="28" spans="1:31" ht="39" customHeight="1">
      <c r="A28" s="1897" t="s">
        <v>799</v>
      </c>
      <c r="B28" s="1898"/>
      <c r="C28" s="1898"/>
      <c r="D28" s="1898"/>
      <c r="E28" s="1898"/>
      <c r="F28" s="656">
        <v>5</v>
      </c>
      <c r="G28" s="656">
        <v>6</v>
      </c>
      <c r="H28" s="656">
        <v>7</v>
      </c>
      <c r="I28" s="656">
        <v>8</v>
      </c>
      <c r="J28" s="656">
        <v>9</v>
      </c>
      <c r="K28" s="656">
        <v>10</v>
      </c>
      <c r="L28" s="656">
        <v>11</v>
      </c>
      <c r="M28" s="656">
        <v>12</v>
      </c>
      <c r="N28" s="656">
        <v>13</v>
      </c>
      <c r="O28" s="656">
        <v>14</v>
      </c>
      <c r="P28" s="656">
        <v>15</v>
      </c>
      <c r="Q28" s="656">
        <v>16</v>
      </c>
      <c r="R28" s="656">
        <v>17</v>
      </c>
      <c r="S28" s="656">
        <v>18</v>
      </c>
      <c r="T28" s="656">
        <v>19</v>
      </c>
      <c r="U28" s="656">
        <v>20</v>
      </c>
      <c r="V28" s="656">
        <v>21</v>
      </c>
      <c r="W28" s="656">
        <v>22</v>
      </c>
      <c r="X28" s="656">
        <v>23</v>
      </c>
      <c r="Y28" s="656">
        <v>24</v>
      </c>
      <c r="Z28" s="656">
        <v>25</v>
      </c>
      <c r="AA28" s="656">
        <v>26</v>
      </c>
      <c r="AB28" s="656">
        <v>27</v>
      </c>
      <c r="AC28" s="656">
        <v>28</v>
      </c>
      <c r="AD28" s="656">
        <v>29</v>
      </c>
      <c r="AE28" s="674"/>
    </row>
    <row r="29" spans="1:31" ht="17.25">
      <c r="A29" s="654" t="s">
        <v>800</v>
      </c>
      <c r="B29" s="654"/>
      <c r="C29" s="654"/>
      <c r="D29" s="654"/>
      <c r="E29" s="654"/>
      <c r="F29" s="656"/>
      <c r="G29" s="656"/>
      <c r="H29" s="656"/>
      <c r="I29" s="656"/>
      <c r="J29" s="656"/>
      <c r="K29" s="656"/>
      <c r="L29" s="656"/>
      <c r="M29" s="656"/>
      <c r="N29" s="656"/>
      <c r="O29" s="656"/>
      <c r="P29" s="656"/>
      <c r="Q29" s="656"/>
      <c r="R29" s="656"/>
      <c r="S29" s="656"/>
      <c r="T29" s="656"/>
      <c r="U29" s="656"/>
      <c r="V29" s="656"/>
      <c r="W29" s="656"/>
      <c r="X29" s="656"/>
      <c r="Y29" s="656"/>
      <c r="Z29" s="656"/>
      <c r="AA29" s="656"/>
      <c r="AB29" s="656"/>
      <c r="AC29" s="656"/>
      <c r="AD29" s="656"/>
      <c r="AE29" s="674"/>
    </row>
    <row r="30" spans="1:31" s="260" customFormat="1">
      <c r="A30" s="1913" t="s">
        <v>550</v>
      </c>
      <c r="B30" s="1914"/>
      <c r="C30" s="1899" t="s">
        <v>18</v>
      </c>
      <c r="D30" s="1900"/>
      <c r="E30" s="1900"/>
      <c r="F30" s="1901"/>
      <c r="G30" s="1899" t="s">
        <v>19</v>
      </c>
      <c r="H30" s="1900"/>
      <c r="I30" s="1900"/>
      <c r="J30" s="1901"/>
      <c r="K30" s="1899" t="s">
        <v>20</v>
      </c>
      <c r="L30" s="1900"/>
      <c r="M30" s="1900"/>
      <c r="N30" s="1901"/>
      <c r="O30" s="1899" t="s">
        <v>21</v>
      </c>
      <c r="P30" s="1900"/>
      <c r="Q30" s="1900"/>
      <c r="R30" s="1901"/>
      <c r="S30" s="1899" t="s">
        <v>22</v>
      </c>
      <c r="T30" s="1900"/>
      <c r="U30" s="1900"/>
      <c r="V30" s="1901"/>
      <c r="W30" s="1899" t="s">
        <v>23</v>
      </c>
      <c r="X30" s="1900"/>
      <c r="Y30" s="1900"/>
      <c r="Z30" s="1901"/>
      <c r="AA30" s="1899" t="s">
        <v>24</v>
      </c>
      <c r="AB30" s="1900"/>
      <c r="AC30" s="1900"/>
      <c r="AD30" s="1902"/>
      <c r="AE30" s="656"/>
    </row>
    <row r="31" spans="1:31" s="260" customFormat="1">
      <c r="A31" s="1915"/>
      <c r="B31" s="1916"/>
      <c r="C31" s="626" t="s">
        <v>774</v>
      </c>
      <c r="D31" s="626" t="s">
        <v>801</v>
      </c>
      <c r="E31" s="626" t="s">
        <v>802</v>
      </c>
      <c r="F31" s="626" t="s">
        <v>803</v>
      </c>
      <c r="G31" s="657" t="str">
        <f>C31</f>
        <v>用地面积(m2)</v>
      </c>
      <c r="H31" s="628" t="s">
        <v>804</v>
      </c>
      <c r="I31" s="628" t="str">
        <f t="shared" ref="I31" si="13">E31</f>
        <v>可售面积(m2)</v>
      </c>
      <c r="J31" s="628" t="str">
        <f t="shared" ref="J31" si="14">F31</f>
        <v>自持有面积(m2)</v>
      </c>
      <c r="K31" s="627" t="str">
        <f t="shared" ref="K31:L31" si="15">G31</f>
        <v>用地面积(m2)</v>
      </c>
      <c r="L31" s="628" t="str">
        <f t="shared" si="15"/>
        <v>基底面积</v>
      </c>
      <c r="M31" s="628" t="str">
        <f t="shared" ref="M31" si="16">I31</f>
        <v>可售面积(m2)</v>
      </c>
      <c r="N31" s="666" t="str">
        <f t="shared" ref="N31" si="17">J31</f>
        <v>自持有面积(m2)</v>
      </c>
      <c r="O31" s="627" t="str">
        <f t="shared" ref="O31" si="18">K31</f>
        <v>用地面积(m2)</v>
      </c>
      <c r="P31" s="628" t="str">
        <f t="shared" ref="P31" si="19">L31</f>
        <v>基底面积</v>
      </c>
      <c r="Q31" s="628" t="str">
        <f t="shared" ref="Q31" si="20">M31</f>
        <v>可售面积(m2)</v>
      </c>
      <c r="R31" s="666" t="str">
        <f t="shared" ref="R31" si="21">N31</f>
        <v>自持有面积(m2)</v>
      </c>
      <c r="S31" s="627" t="str">
        <f t="shared" ref="S31" si="22">O31</f>
        <v>用地面积(m2)</v>
      </c>
      <c r="T31" s="628" t="str">
        <f t="shared" ref="T31" si="23">P31</f>
        <v>基底面积</v>
      </c>
      <c r="U31" s="628" t="str">
        <f t="shared" ref="U31" si="24">Q31</f>
        <v>可售面积(m2)</v>
      </c>
      <c r="V31" s="666" t="str">
        <f t="shared" ref="V31" si="25">R31</f>
        <v>自持有面积(m2)</v>
      </c>
      <c r="W31" s="627" t="str">
        <f t="shared" ref="W31" si="26">S31</f>
        <v>用地面积(m2)</v>
      </c>
      <c r="X31" s="628" t="str">
        <f t="shared" ref="X31" si="27">T31</f>
        <v>基底面积</v>
      </c>
      <c r="Y31" s="628" t="str">
        <f t="shared" ref="Y31" si="28">U31</f>
        <v>可售面积(m2)</v>
      </c>
      <c r="Z31" s="666" t="str">
        <f t="shared" ref="Z31" si="29">V31</f>
        <v>自持有面积(m2)</v>
      </c>
      <c r="AA31" s="627" t="str">
        <f t="shared" ref="AA31" si="30">W31</f>
        <v>用地面积(m2)</v>
      </c>
      <c r="AB31" s="628" t="str">
        <f t="shared" ref="AB31" si="31">X31</f>
        <v>基底面积</v>
      </c>
      <c r="AC31" s="628" t="str">
        <f t="shared" ref="AC31" si="32">Y31</f>
        <v>可售面积(m2)</v>
      </c>
      <c r="AD31" s="675" t="str">
        <f t="shared" ref="AD31" si="33">Z31</f>
        <v>自持有面积(m2)</v>
      </c>
      <c r="AE31" s="656"/>
    </row>
    <row r="32" spans="1:31" s="260" customFormat="1">
      <c r="A32" s="1910" t="s">
        <v>778</v>
      </c>
      <c r="B32" s="629" t="s">
        <v>779</v>
      </c>
      <c r="C32" s="630">
        <f>SUM(G32,K32,O32,S32,W32,AA32)</f>
        <v>13628.800934302324</v>
      </c>
      <c r="D32" s="630">
        <f>SUM(H32,L32,P32,T32,X32,AB32)</f>
        <v>3627.64</v>
      </c>
      <c r="E32" s="658">
        <f>SUM(I32,M32,Q32,U32,Y32,AC32)</f>
        <v>0</v>
      </c>
      <c r="F32" s="658">
        <f>SUM(J32,N32,R32,V32,Z32,AD32)</f>
        <v>0</v>
      </c>
      <c r="G32" s="659">
        <f>IFERROR($G$43/$H$43*$H32,0)</f>
        <v>13628.800934302324</v>
      </c>
      <c r="H32" s="660">
        <v>3627.64</v>
      </c>
      <c r="I32" s="658"/>
      <c r="J32" s="658"/>
      <c r="K32" s="659">
        <f>IFERROR($K$43/$L$43*$L32,0)</f>
        <v>0</v>
      </c>
      <c r="L32" s="660"/>
      <c r="M32" s="658"/>
      <c r="N32" s="658"/>
      <c r="O32" s="659">
        <f>IFERROR($O$43/$P$43*$P32,0)</f>
        <v>0</v>
      </c>
      <c r="P32" s="660"/>
      <c r="Q32" s="658"/>
      <c r="R32" s="658"/>
      <c r="S32" s="659">
        <f>IFERROR($S$43/$T$43*$T32,0)</f>
        <v>0</v>
      </c>
      <c r="T32" s="660"/>
      <c r="U32" s="658"/>
      <c r="V32" s="658"/>
      <c r="W32" s="659">
        <f>IFERROR($W$43/$X$43*$X32,0)</f>
        <v>0</v>
      </c>
      <c r="X32" s="660"/>
      <c r="Y32" s="658"/>
      <c r="Z32" s="658"/>
      <c r="AA32" s="659">
        <f>IFERROR($AA$43/$AB$43*$AB32,0)</f>
        <v>0</v>
      </c>
      <c r="AB32" s="660"/>
      <c r="AC32" s="658"/>
      <c r="AD32" s="658"/>
      <c r="AE32" s="680"/>
    </row>
    <row r="33" spans="1:31" s="260" customFormat="1">
      <c r="A33" s="1911"/>
      <c r="B33" s="632" t="s">
        <v>159</v>
      </c>
      <c r="C33" s="630">
        <f t="shared" ref="C33:C42" si="34">SUM(G33,K33,O33,S33,W33,AA33)</f>
        <v>7410.0622164244169</v>
      </c>
      <c r="D33" s="630">
        <f t="shared" ref="D33:D42" si="35">SUM(H33,L33,P33,T33,X33,AB33)</f>
        <v>1972.37</v>
      </c>
      <c r="E33" s="658">
        <f t="shared" ref="E33:E42" si="36">SUM(I33,M33,Q33,U33,Y33,AC33)</f>
        <v>0</v>
      </c>
      <c r="F33" s="658">
        <f t="shared" ref="F33:F42" si="37">SUM(J33,N33,R33,V33,Z33,AD33)</f>
        <v>0</v>
      </c>
      <c r="G33" s="659">
        <f>IFERROR($G$43/$H$43*$H33,0)</f>
        <v>7410.0622164244169</v>
      </c>
      <c r="H33" s="660">
        <v>1972.37</v>
      </c>
      <c r="I33" s="658"/>
      <c r="J33" s="658"/>
      <c r="K33" s="659">
        <f t="shared" ref="K33:K42" si="38">IFERROR($K$43/$L$43*$L33,0)</f>
        <v>0</v>
      </c>
      <c r="L33" s="660"/>
      <c r="M33" s="658"/>
      <c r="N33" s="658"/>
      <c r="O33" s="659">
        <f t="shared" ref="O33:O42" si="39">IFERROR($O$43/$P$43*$P33,0)</f>
        <v>0</v>
      </c>
      <c r="P33" s="660"/>
      <c r="Q33" s="658"/>
      <c r="R33" s="658"/>
      <c r="S33" s="659">
        <f t="shared" ref="S33:S42" si="40">IFERROR($S$43/$T$43*$T33,0)</f>
        <v>0</v>
      </c>
      <c r="T33" s="660"/>
      <c r="U33" s="658"/>
      <c r="V33" s="658"/>
      <c r="W33" s="659">
        <f t="shared" ref="W33:W42" si="41">IFERROR($W$43/$X$43*$X33,0)</f>
        <v>0</v>
      </c>
      <c r="X33" s="660"/>
      <c r="Y33" s="658"/>
      <c r="Z33" s="658"/>
      <c r="AA33" s="659">
        <f t="shared" ref="AA33:AA42" si="42">IFERROR($AA$43/$AB$43*$AB33,0)</f>
        <v>0</v>
      </c>
      <c r="AB33" s="660"/>
      <c r="AC33" s="658"/>
      <c r="AD33" s="658"/>
      <c r="AE33" s="680"/>
    </row>
    <row r="34" spans="1:31" s="260" customFormat="1">
      <c r="A34" s="1911"/>
      <c r="B34" s="632" t="s">
        <v>805</v>
      </c>
      <c r="C34" s="630">
        <f t="shared" si="34"/>
        <v>3106.1196117732552</v>
      </c>
      <c r="D34" s="630">
        <f t="shared" si="35"/>
        <v>826.77</v>
      </c>
      <c r="E34" s="658">
        <f t="shared" si="36"/>
        <v>0</v>
      </c>
      <c r="F34" s="658">
        <f t="shared" si="37"/>
        <v>0</v>
      </c>
      <c r="G34" s="659">
        <f t="shared" ref="G34:G42" si="43">IFERROR($G$43/$H$43*$H34,0)</f>
        <v>3106.1196117732552</v>
      </c>
      <c r="H34" s="660">
        <v>826.77</v>
      </c>
      <c r="I34" s="658"/>
      <c r="J34" s="658"/>
      <c r="K34" s="659">
        <f t="shared" si="38"/>
        <v>0</v>
      </c>
      <c r="L34" s="660"/>
      <c r="M34" s="658"/>
      <c r="N34" s="658"/>
      <c r="O34" s="659">
        <f t="shared" si="39"/>
        <v>0</v>
      </c>
      <c r="P34" s="660"/>
      <c r="Q34" s="658"/>
      <c r="R34" s="658"/>
      <c r="S34" s="659">
        <f t="shared" si="40"/>
        <v>0</v>
      </c>
      <c r="T34" s="660"/>
      <c r="U34" s="658"/>
      <c r="V34" s="658"/>
      <c r="W34" s="659">
        <f t="shared" si="41"/>
        <v>0</v>
      </c>
      <c r="X34" s="660"/>
      <c r="Y34" s="658"/>
      <c r="Z34" s="658"/>
      <c r="AA34" s="659">
        <f t="shared" si="42"/>
        <v>0</v>
      </c>
      <c r="AB34" s="660"/>
      <c r="AC34" s="658"/>
      <c r="AD34" s="658"/>
      <c r="AE34" s="680"/>
    </row>
    <row r="35" spans="1:31" s="260" customFormat="1">
      <c r="A35" s="1911"/>
      <c r="B35" s="632"/>
      <c r="C35" s="630">
        <f t="shared" si="34"/>
        <v>0</v>
      </c>
      <c r="D35" s="630">
        <f t="shared" si="35"/>
        <v>0</v>
      </c>
      <c r="E35" s="658">
        <f t="shared" si="36"/>
        <v>0</v>
      </c>
      <c r="F35" s="658">
        <f t="shared" si="37"/>
        <v>0</v>
      </c>
      <c r="G35" s="659">
        <f t="shared" si="43"/>
        <v>0</v>
      </c>
      <c r="H35" s="660"/>
      <c r="I35" s="658"/>
      <c r="J35" s="658"/>
      <c r="K35" s="659">
        <f t="shared" si="38"/>
        <v>0</v>
      </c>
      <c r="L35" s="660"/>
      <c r="M35" s="658"/>
      <c r="N35" s="658"/>
      <c r="O35" s="659">
        <f t="shared" si="39"/>
        <v>0</v>
      </c>
      <c r="P35" s="660"/>
      <c r="Q35" s="658"/>
      <c r="R35" s="658"/>
      <c r="S35" s="659">
        <f t="shared" si="40"/>
        <v>0</v>
      </c>
      <c r="T35" s="660"/>
      <c r="U35" s="658"/>
      <c r="V35" s="658"/>
      <c r="W35" s="659">
        <f t="shared" si="41"/>
        <v>0</v>
      </c>
      <c r="X35" s="660"/>
      <c r="Y35" s="658"/>
      <c r="Z35" s="658"/>
      <c r="AA35" s="659">
        <f t="shared" si="42"/>
        <v>0</v>
      </c>
      <c r="AB35" s="660"/>
      <c r="AC35" s="658"/>
      <c r="AD35" s="658"/>
      <c r="AE35" s="680"/>
    </row>
    <row r="36" spans="1:31" s="260" customFormat="1">
      <c r="A36" s="1911"/>
      <c r="B36" s="632"/>
      <c r="C36" s="630">
        <f t="shared" si="34"/>
        <v>0</v>
      </c>
      <c r="D36" s="630">
        <f t="shared" si="35"/>
        <v>0</v>
      </c>
      <c r="E36" s="658">
        <f t="shared" si="36"/>
        <v>0</v>
      </c>
      <c r="F36" s="658">
        <f t="shared" si="37"/>
        <v>0</v>
      </c>
      <c r="G36" s="659">
        <f t="shared" si="43"/>
        <v>0</v>
      </c>
      <c r="H36" s="660"/>
      <c r="I36" s="658"/>
      <c r="J36" s="658"/>
      <c r="K36" s="659">
        <f t="shared" si="38"/>
        <v>0</v>
      </c>
      <c r="L36" s="660"/>
      <c r="M36" s="658"/>
      <c r="N36" s="658"/>
      <c r="O36" s="659">
        <f t="shared" si="39"/>
        <v>0</v>
      </c>
      <c r="P36" s="660"/>
      <c r="Q36" s="658"/>
      <c r="R36" s="658"/>
      <c r="S36" s="659">
        <f t="shared" si="40"/>
        <v>0</v>
      </c>
      <c r="T36" s="660"/>
      <c r="U36" s="658"/>
      <c r="V36" s="658"/>
      <c r="W36" s="659">
        <f t="shared" si="41"/>
        <v>0</v>
      </c>
      <c r="X36" s="660"/>
      <c r="Y36" s="658"/>
      <c r="Z36" s="658"/>
      <c r="AA36" s="659">
        <f t="shared" si="42"/>
        <v>0</v>
      </c>
      <c r="AB36" s="660"/>
      <c r="AC36" s="658"/>
      <c r="AD36" s="658"/>
      <c r="AE36" s="680"/>
    </row>
    <row r="37" spans="1:31" s="260" customFormat="1">
      <c r="A37" s="1911"/>
      <c r="B37" s="632"/>
      <c r="C37" s="630">
        <f t="shared" si="34"/>
        <v>0</v>
      </c>
      <c r="D37" s="630">
        <f t="shared" si="35"/>
        <v>0</v>
      </c>
      <c r="E37" s="658">
        <f t="shared" si="36"/>
        <v>0</v>
      </c>
      <c r="F37" s="658">
        <f t="shared" si="37"/>
        <v>0</v>
      </c>
      <c r="G37" s="659">
        <f t="shared" si="43"/>
        <v>0</v>
      </c>
      <c r="H37" s="660"/>
      <c r="I37" s="658"/>
      <c r="J37" s="658"/>
      <c r="K37" s="659">
        <f t="shared" si="38"/>
        <v>0</v>
      </c>
      <c r="L37" s="660"/>
      <c r="M37" s="658"/>
      <c r="N37" s="658"/>
      <c r="O37" s="659">
        <f t="shared" si="39"/>
        <v>0</v>
      </c>
      <c r="P37" s="660"/>
      <c r="Q37" s="658"/>
      <c r="R37" s="658"/>
      <c r="S37" s="659">
        <f t="shared" si="40"/>
        <v>0</v>
      </c>
      <c r="T37" s="660"/>
      <c r="U37" s="658"/>
      <c r="V37" s="658"/>
      <c r="W37" s="659">
        <f t="shared" si="41"/>
        <v>0</v>
      </c>
      <c r="X37" s="660"/>
      <c r="Y37" s="658"/>
      <c r="Z37" s="658"/>
      <c r="AA37" s="659">
        <f t="shared" si="42"/>
        <v>0</v>
      </c>
      <c r="AB37" s="660"/>
      <c r="AC37" s="658"/>
      <c r="AD37" s="658"/>
      <c r="AE37" s="680"/>
    </row>
    <row r="38" spans="1:31" s="260" customFormat="1">
      <c r="A38" s="1911"/>
      <c r="B38" s="632"/>
      <c r="C38" s="630">
        <f t="shared" si="34"/>
        <v>0</v>
      </c>
      <c r="D38" s="630">
        <f t="shared" si="35"/>
        <v>0</v>
      </c>
      <c r="E38" s="658">
        <f t="shared" si="36"/>
        <v>0</v>
      </c>
      <c r="F38" s="658">
        <f t="shared" si="37"/>
        <v>0</v>
      </c>
      <c r="G38" s="659">
        <f t="shared" si="43"/>
        <v>0</v>
      </c>
      <c r="H38" s="660"/>
      <c r="I38" s="658"/>
      <c r="J38" s="658"/>
      <c r="K38" s="659">
        <f t="shared" si="38"/>
        <v>0</v>
      </c>
      <c r="L38" s="660"/>
      <c r="M38" s="658"/>
      <c r="N38" s="658"/>
      <c r="O38" s="659">
        <f t="shared" si="39"/>
        <v>0</v>
      </c>
      <c r="P38" s="660"/>
      <c r="Q38" s="658"/>
      <c r="R38" s="658"/>
      <c r="S38" s="659">
        <f t="shared" si="40"/>
        <v>0</v>
      </c>
      <c r="T38" s="660"/>
      <c r="U38" s="658"/>
      <c r="V38" s="658"/>
      <c r="W38" s="659">
        <f t="shared" si="41"/>
        <v>0</v>
      </c>
      <c r="X38" s="660"/>
      <c r="Y38" s="658"/>
      <c r="Z38" s="658"/>
      <c r="AA38" s="659">
        <f t="shared" si="42"/>
        <v>0</v>
      </c>
      <c r="AB38" s="660"/>
      <c r="AC38" s="658"/>
      <c r="AD38" s="658"/>
      <c r="AE38" s="680"/>
    </row>
    <row r="39" spans="1:31" s="260" customFormat="1">
      <c r="A39" s="1911"/>
      <c r="B39" s="632"/>
      <c r="C39" s="630">
        <f t="shared" si="34"/>
        <v>0</v>
      </c>
      <c r="D39" s="630">
        <f t="shared" si="35"/>
        <v>0</v>
      </c>
      <c r="E39" s="658">
        <f t="shared" si="36"/>
        <v>0</v>
      </c>
      <c r="F39" s="658">
        <f t="shared" si="37"/>
        <v>0</v>
      </c>
      <c r="G39" s="659">
        <f t="shared" si="43"/>
        <v>0</v>
      </c>
      <c r="H39" s="660"/>
      <c r="I39" s="658"/>
      <c r="J39" s="658"/>
      <c r="K39" s="659">
        <f t="shared" si="38"/>
        <v>0</v>
      </c>
      <c r="L39" s="660"/>
      <c r="M39" s="658"/>
      <c r="N39" s="658"/>
      <c r="O39" s="659">
        <f t="shared" si="39"/>
        <v>0</v>
      </c>
      <c r="P39" s="660"/>
      <c r="Q39" s="658"/>
      <c r="R39" s="658"/>
      <c r="S39" s="659">
        <f t="shared" si="40"/>
        <v>0</v>
      </c>
      <c r="T39" s="660"/>
      <c r="U39" s="658"/>
      <c r="V39" s="658"/>
      <c r="W39" s="659">
        <f t="shared" si="41"/>
        <v>0</v>
      </c>
      <c r="X39" s="660"/>
      <c r="Y39" s="658"/>
      <c r="Z39" s="658"/>
      <c r="AA39" s="659">
        <f t="shared" si="42"/>
        <v>0</v>
      </c>
      <c r="AB39" s="660"/>
      <c r="AC39" s="658"/>
      <c r="AD39" s="658"/>
      <c r="AE39" s="680"/>
    </row>
    <row r="40" spans="1:31" s="260" customFormat="1">
      <c r="A40" s="1911"/>
      <c r="B40" s="632"/>
      <c r="C40" s="630">
        <f t="shared" si="34"/>
        <v>0</v>
      </c>
      <c r="D40" s="630">
        <f t="shared" si="35"/>
        <v>0</v>
      </c>
      <c r="E40" s="658">
        <f t="shared" si="36"/>
        <v>0</v>
      </c>
      <c r="F40" s="658">
        <f t="shared" si="37"/>
        <v>0</v>
      </c>
      <c r="G40" s="659">
        <f t="shared" si="43"/>
        <v>0</v>
      </c>
      <c r="H40" s="660"/>
      <c r="I40" s="658"/>
      <c r="J40" s="658"/>
      <c r="K40" s="659">
        <f t="shared" si="38"/>
        <v>0</v>
      </c>
      <c r="L40" s="660"/>
      <c r="M40" s="658"/>
      <c r="N40" s="658"/>
      <c r="O40" s="659">
        <f t="shared" si="39"/>
        <v>0</v>
      </c>
      <c r="P40" s="660"/>
      <c r="Q40" s="658"/>
      <c r="R40" s="658"/>
      <c r="S40" s="659">
        <f t="shared" si="40"/>
        <v>0</v>
      </c>
      <c r="T40" s="660"/>
      <c r="U40" s="658"/>
      <c r="V40" s="658"/>
      <c r="W40" s="659">
        <f t="shared" si="41"/>
        <v>0</v>
      </c>
      <c r="X40" s="660"/>
      <c r="Y40" s="658"/>
      <c r="Z40" s="658"/>
      <c r="AA40" s="659">
        <f t="shared" si="42"/>
        <v>0</v>
      </c>
      <c r="AB40" s="660"/>
      <c r="AC40" s="658"/>
      <c r="AD40" s="658"/>
      <c r="AE40" s="680"/>
    </row>
    <row r="41" spans="1:31" s="260" customFormat="1">
      <c r="A41" s="1911"/>
      <c r="B41" s="632"/>
      <c r="C41" s="630">
        <f t="shared" si="34"/>
        <v>0</v>
      </c>
      <c r="D41" s="630">
        <f t="shared" si="35"/>
        <v>0</v>
      </c>
      <c r="E41" s="658">
        <f t="shared" si="36"/>
        <v>0</v>
      </c>
      <c r="F41" s="658">
        <f t="shared" si="37"/>
        <v>0</v>
      </c>
      <c r="G41" s="659">
        <f t="shared" si="43"/>
        <v>0</v>
      </c>
      <c r="H41" s="660"/>
      <c r="I41" s="658"/>
      <c r="J41" s="658"/>
      <c r="K41" s="659">
        <f t="shared" si="38"/>
        <v>0</v>
      </c>
      <c r="L41" s="660"/>
      <c r="M41" s="658"/>
      <c r="N41" s="658"/>
      <c r="O41" s="659">
        <f t="shared" si="39"/>
        <v>0</v>
      </c>
      <c r="P41" s="660"/>
      <c r="Q41" s="658"/>
      <c r="R41" s="658"/>
      <c r="S41" s="659">
        <f t="shared" si="40"/>
        <v>0</v>
      </c>
      <c r="T41" s="660"/>
      <c r="U41" s="658"/>
      <c r="V41" s="658"/>
      <c r="W41" s="659">
        <f t="shared" si="41"/>
        <v>0</v>
      </c>
      <c r="X41" s="660"/>
      <c r="Y41" s="658"/>
      <c r="Z41" s="658"/>
      <c r="AA41" s="659">
        <f t="shared" si="42"/>
        <v>0</v>
      </c>
      <c r="AB41" s="660"/>
      <c r="AC41" s="658"/>
      <c r="AD41" s="658"/>
      <c r="AE41" s="680"/>
    </row>
    <row r="42" spans="1:31" s="260" customFormat="1">
      <c r="A42" s="1912"/>
      <c r="B42" s="661" t="s">
        <v>781</v>
      </c>
      <c r="C42" s="630">
        <f t="shared" si="34"/>
        <v>1702.7172375</v>
      </c>
      <c r="D42" s="630">
        <f t="shared" si="35"/>
        <v>453.22</v>
      </c>
      <c r="E42" s="658">
        <f t="shared" si="36"/>
        <v>0</v>
      </c>
      <c r="F42" s="658">
        <f t="shared" si="37"/>
        <v>0</v>
      </c>
      <c r="G42" s="659">
        <f t="shared" si="43"/>
        <v>1702.7172375</v>
      </c>
      <c r="H42" s="660">
        <v>453.22</v>
      </c>
      <c r="I42" s="658"/>
      <c r="J42" s="658"/>
      <c r="K42" s="659">
        <f t="shared" si="38"/>
        <v>0</v>
      </c>
      <c r="L42" s="660"/>
      <c r="M42" s="658"/>
      <c r="N42" s="658"/>
      <c r="O42" s="659">
        <f t="shared" si="39"/>
        <v>0</v>
      </c>
      <c r="P42" s="660"/>
      <c r="Q42" s="658"/>
      <c r="R42" s="658"/>
      <c r="S42" s="659">
        <f t="shared" si="40"/>
        <v>0</v>
      </c>
      <c r="T42" s="660"/>
      <c r="U42" s="658"/>
      <c r="V42" s="658"/>
      <c r="W42" s="659">
        <f t="shared" si="41"/>
        <v>0</v>
      </c>
      <c r="X42" s="660"/>
      <c r="Y42" s="658"/>
      <c r="Z42" s="658"/>
      <c r="AA42" s="659">
        <f t="shared" si="42"/>
        <v>0</v>
      </c>
      <c r="AB42" s="660"/>
      <c r="AC42" s="658"/>
      <c r="AD42" s="658"/>
      <c r="AE42" s="680"/>
    </row>
    <row r="43" spans="1:31" s="623" customFormat="1" ht="24.75" customHeight="1">
      <c r="A43" s="662" t="s">
        <v>806</v>
      </c>
      <c r="B43" s="248"/>
      <c r="C43" s="663"/>
      <c r="D43" s="663"/>
      <c r="E43" s="658"/>
      <c r="F43" s="658"/>
      <c r="G43" s="664">
        <v>25847.7</v>
      </c>
      <c r="H43" s="665">
        <f>SUM(H32:H42)</f>
        <v>6880.0000000000009</v>
      </c>
      <c r="I43" s="658"/>
      <c r="J43" s="658"/>
      <c r="K43" s="672"/>
      <c r="L43" s="665">
        <f>SUM(L32:L42)</f>
        <v>0</v>
      </c>
      <c r="M43" s="658"/>
      <c r="N43" s="658"/>
      <c r="O43" s="672"/>
      <c r="P43" s="665">
        <f>SUM(P32:P42)</f>
        <v>0</v>
      </c>
      <c r="Q43" s="658"/>
      <c r="R43" s="658"/>
      <c r="S43" s="672"/>
      <c r="T43" s="665">
        <f>SUM(T32:T42)</f>
        <v>0</v>
      </c>
      <c r="U43" s="658"/>
      <c r="V43" s="658"/>
      <c r="W43" s="672"/>
      <c r="X43" s="665">
        <f>SUM(X32:X42)</f>
        <v>0</v>
      </c>
      <c r="Y43" s="658"/>
      <c r="Z43" s="658"/>
      <c r="AA43" s="672"/>
      <c r="AB43" s="665">
        <f>SUM(AB32:AB42)</f>
        <v>0</v>
      </c>
      <c r="AC43" s="658"/>
      <c r="AD43" s="658"/>
      <c r="AE43" s="680"/>
    </row>
    <row r="44" spans="1:31" ht="17.25">
      <c r="A44" s="654"/>
      <c r="B44" s="654"/>
      <c r="C44" s="654"/>
      <c r="D44" s="654"/>
      <c r="E44" s="654"/>
      <c r="F44" s="656"/>
      <c r="G44" s="656"/>
      <c r="H44" s="656"/>
      <c r="I44" s="656"/>
      <c r="J44" s="656"/>
      <c r="K44" s="656"/>
      <c r="L44" s="656"/>
      <c r="M44" s="656"/>
      <c r="N44" s="656"/>
      <c r="O44" s="656"/>
      <c r="P44" s="656"/>
      <c r="Q44" s="656"/>
      <c r="R44" s="656"/>
      <c r="S44" s="656"/>
      <c r="T44" s="656"/>
      <c r="U44" s="656"/>
      <c r="V44" s="656"/>
      <c r="W44" s="656"/>
      <c r="X44" s="656"/>
      <c r="Y44" s="656"/>
      <c r="Z44" s="656"/>
      <c r="AA44" s="656"/>
      <c r="AB44" s="656"/>
      <c r="AC44" s="656"/>
      <c r="AD44" s="656"/>
      <c r="AE44" s="674"/>
    </row>
    <row r="45" spans="1:31" ht="17.25">
      <c r="A45" s="654" t="s">
        <v>807</v>
      </c>
      <c r="B45" s="654"/>
      <c r="C45" s="654"/>
      <c r="D45" s="654"/>
      <c r="E45" s="654"/>
      <c r="F45" s="656"/>
      <c r="G45" s="656"/>
      <c r="H45" s="656"/>
      <c r="I45" s="656"/>
      <c r="J45" s="656"/>
      <c r="K45" s="656"/>
      <c r="L45" s="656"/>
      <c r="M45" s="656"/>
      <c r="N45" s="656"/>
      <c r="O45" s="656"/>
      <c r="P45" s="656"/>
      <c r="Q45" s="656"/>
      <c r="R45" s="656"/>
      <c r="S45" s="656"/>
      <c r="T45" s="656"/>
      <c r="U45" s="656"/>
      <c r="V45" s="656"/>
      <c r="W45" s="656"/>
      <c r="X45" s="656"/>
      <c r="Y45" s="656"/>
      <c r="Z45" s="656"/>
      <c r="AA45" s="656"/>
      <c r="AB45" s="656"/>
      <c r="AC45" s="656"/>
      <c r="AD45" s="656"/>
      <c r="AE45" s="674"/>
    </row>
    <row r="46" spans="1:31">
      <c r="A46" s="1913" t="s">
        <v>550</v>
      </c>
      <c r="B46" s="1914"/>
      <c r="C46" s="1899" t="s">
        <v>18</v>
      </c>
      <c r="D46" s="1900"/>
      <c r="E46" s="1900"/>
      <c r="F46" s="1901"/>
      <c r="G46" s="1899" t="s">
        <v>19</v>
      </c>
      <c r="H46" s="1900"/>
      <c r="I46" s="1900"/>
      <c r="J46" s="1901"/>
      <c r="K46" s="1899" t="s">
        <v>20</v>
      </c>
      <c r="L46" s="1900"/>
      <c r="M46" s="1900"/>
      <c r="N46" s="1901"/>
      <c r="O46" s="1899" t="s">
        <v>21</v>
      </c>
      <c r="P46" s="1900"/>
      <c r="Q46" s="1900"/>
      <c r="R46" s="1901"/>
      <c r="S46" s="1899" t="s">
        <v>22</v>
      </c>
      <c r="T46" s="1900"/>
      <c r="U46" s="1900"/>
      <c r="V46" s="1901"/>
      <c r="W46" s="1899" t="s">
        <v>23</v>
      </c>
      <c r="X46" s="1900"/>
      <c r="Y46" s="1900"/>
      <c r="Z46" s="1901"/>
      <c r="AA46" s="1899" t="s">
        <v>24</v>
      </c>
      <c r="AB46" s="1900"/>
      <c r="AC46" s="1900"/>
      <c r="AD46" s="1902"/>
      <c r="AE46" s="674"/>
    </row>
    <row r="47" spans="1:31">
      <c r="A47" s="1915"/>
      <c r="B47" s="1916"/>
      <c r="C47" s="626" t="s">
        <v>774</v>
      </c>
      <c r="D47" s="626" t="s">
        <v>775</v>
      </c>
      <c r="E47" s="626" t="s">
        <v>802</v>
      </c>
      <c r="F47" s="626" t="s">
        <v>803</v>
      </c>
      <c r="G47" s="657" t="str">
        <f>C47</f>
        <v>用地面积(m2)</v>
      </c>
      <c r="H47" s="628" t="s">
        <v>808</v>
      </c>
      <c r="I47" s="628" t="str">
        <f t="shared" ref="I47" si="44">E47</f>
        <v>可售面积(m2)</v>
      </c>
      <c r="J47" s="628" t="str">
        <f t="shared" ref="J47:L47" si="45">F47</f>
        <v>自持有面积(m2)</v>
      </c>
      <c r="K47" s="673" t="str">
        <f t="shared" si="45"/>
        <v>用地面积(m2)</v>
      </c>
      <c r="L47" s="628" t="str">
        <f t="shared" si="45"/>
        <v>建筑面积</v>
      </c>
      <c r="M47" s="628" t="str">
        <f t="shared" ref="M47" si="46">I47</f>
        <v>可售面积(m2)</v>
      </c>
      <c r="N47" s="666" t="str">
        <f t="shared" ref="N47" si="47">J47</f>
        <v>自持有面积(m2)</v>
      </c>
      <c r="O47" s="627" t="str">
        <f t="shared" ref="O47" si="48">K47</f>
        <v>用地面积(m2)</v>
      </c>
      <c r="P47" s="628" t="str">
        <f t="shared" ref="P47" si="49">L47</f>
        <v>建筑面积</v>
      </c>
      <c r="Q47" s="628" t="str">
        <f t="shared" ref="Q47" si="50">M47</f>
        <v>可售面积(m2)</v>
      </c>
      <c r="R47" s="666" t="str">
        <f t="shared" ref="R47" si="51">N47</f>
        <v>自持有面积(m2)</v>
      </c>
      <c r="S47" s="627" t="str">
        <f t="shared" ref="S47" si="52">O47</f>
        <v>用地面积(m2)</v>
      </c>
      <c r="T47" s="628" t="str">
        <f t="shared" ref="T47" si="53">P47</f>
        <v>建筑面积</v>
      </c>
      <c r="U47" s="628" t="str">
        <f t="shared" ref="U47" si="54">Q47</f>
        <v>可售面积(m2)</v>
      </c>
      <c r="V47" s="666" t="str">
        <f t="shared" ref="V47" si="55">R47</f>
        <v>自持有面积(m2)</v>
      </c>
      <c r="W47" s="627" t="str">
        <f t="shared" ref="W47" si="56">S47</f>
        <v>用地面积(m2)</v>
      </c>
      <c r="X47" s="628" t="str">
        <f t="shared" ref="X47" si="57">T47</f>
        <v>建筑面积</v>
      </c>
      <c r="Y47" s="628" t="str">
        <f t="shared" ref="Y47" si="58">U47</f>
        <v>可售面积(m2)</v>
      </c>
      <c r="Z47" s="666" t="str">
        <f t="shared" ref="Z47" si="59">V47</f>
        <v>自持有面积(m2)</v>
      </c>
      <c r="AA47" s="627" t="str">
        <f t="shared" ref="AA47" si="60">W47</f>
        <v>用地面积(m2)</v>
      </c>
      <c r="AB47" s="628" t="str">
        <f t="shared" ref="AB47" si="61">X47</f>
        <v>建筑面积</v>
      </c>
      <c r="AC47" s="628" t="str">
        <f t="shared" ref="AC47" si="62">Y47</f>
        <v>可售面积(m2)</v>
      </c>
      <c r="AD47" s="675" t="str">
        <f t="shared" ref="AD47" si="63">Z47</f>
        <v>自持有面积(m2)</v>
      </c>
      <c r="AE47" s="674"/>
    </row>
    <row r="48" spans="1:31">
      <c r="A48" s="1910" t="s">
        <v>778</v>
      </c>
      <c r="B48" s="629"/>
      <c r="C48" s="630">
        <f>SUM(G48,K48,O48,S48,W48,AA48)</f>
        <v>0</v>
      </c>
      <c r="D48" s="630">
        <f>SUM(H48,L48,P48,T48,X48,AB48)</f>
        <v>0</v>
      </c>
      <c r="E48" s="658">
        <f>SUM(I48,M48,Q48,U48,Y48,AC48)</f>
        <v>0</v>
      </c>
      <c r="F48" s="658">
        <f>SUM(J48,N48,R48,V48,Z48,AD48)</f>
        <v>0</v>
      </c>
      <c r="G48" s="659">
        <f>IFERROR($G$59/$H$59*$H48,0)</f>
        <v>0</v>
      </c>
      <c r="H48" s="660"/>
      <c r="I48" s="658"/>
      <c r="J48" s="658"/>
      <c r="K48" s="659">
        <f>IFERROR($K$59/$L$59*$L48,0)</f>
        <v>0</v>
      </c>
      <c r="L48" s="660"/>
      <c r="M48" s="658"/>
      <c r="N48" s="658"/>
      <c r="O48" s="659">
        <f>IFERROR($O$59/$P$59*$P48,0)</f>
        <v>0</v>
      </c>
      <c r="P48" s="660"/>
      <c r="Q48" s="658"/>
      <c r="R48" s="658"/>
      <c r="S48" s="659">
        <f>IFERROR($S$59/$T$59*$T48,0)</f>
        <v>0</v>
      </c>
      <c r="T48" s="660"/>
      <c r="U48" s="658"/>
      <c r="V48" s="658"/>
      <c r="W48" s="659">
        <f>IFERROR($W$59/$X$59*$X48,0)</f>
        <v>0</v>
      </c>
      <c r="X48" s="660"/>
      <c r="Y48" s="658"/>
      <c r="Z48" s="658"/>
      <c r="AA48" s="659">
        <f>IFERROR($AA$59/$AB$59*$AB48,0)</f>
        <v>0</v>
      </c>
      <c r="AB48" s="660"/>
      <c r="AC48" s="658"/>
      <c r="AD48" s="658"/>
      <c r="AE48" s="674"/>
    </row>
    <row r="49" spans="1:31">
      <c r="A49" s="1911"/>
      <c r="B49" s="632"/>
      <c r="C49" s="630">
        <f t="shared" ref="C49:C58" si="64">SUM(G49,K49,O49,S49,W49,AA49)</f>
        <v>0</v>
      </c>
      <c r="D49" s="630">
        <f t="shared" ref="D49:D58" si="65">SUM(H49,L49,P49,T49,X49,AB49)</f>
        <v>0</v>
      </c>
      <c r="E49" s="658">
        <f t="shared" ref="E49:E58" si="66">SUM(I49,M49,Q49,U49,Y49,AC49)</f>
        <v>0</v>
      </c>
      <c r="F49" s="658">
        <f t="shared" ref="F49:F58" si="67">SUM(J49,N49,R49,V49,Z49,AD49)</f>
        <v>0</v>
      </c>
      <c r="G49" s="659">
        <f t="shared" ref="G49:G58" si="68">IFERROR($G$59/$H$59*$H49,0)</f>
        <v>0</v>
      </c>
      <c r="H49" s="660"/>
      <c r="I49" s="658"/>
      <c r="J49" s="658"/>
      <c r="K49" s="659">
        <f>IFERROR($K$59/$L$59*$L49,0)</f>
        <v>0</v>
      </c>
      <c r="L49" s="660"/>
      <c r="M49" s="658"/>
      <c r="N49" s="658"/>
      <c r="O49" s="659">
        <f t="shared" ref="O49:O58" si="69">IFERROR($O$59/$P$59*$P49,0)</f>
        <v>0</v>
      </c>
      <c r="P49" s="660"/>
      <c r="Q49" s="658"/>
      <c r="R49" s="658"/>
      <c r="S49" s="659">
        <f t="shared" ref="S49:S58" si="70">IFERROR($S$59/$T$59*$T49,0)</f>
        <v>0</v>
      </c>
      <c r="T49" s="660"/>
      <c r="U49" s="658"/>
      <c r="V49" s="658"/>
      <c r="W49" s="659">
        <f t="shared" ref="W49:W58" si="71">IFERROR($W$59/$X$59*$X49,0)</f>
        <v>0</v>
      </c>
      <c r="X49" s="660"/>
      <c r="Y49" s="658"/>
      <c r="Z49" s="658"/>
      <c r="AA49" s="659">
        <f t="shared" ref="AA49:AA58" si="72">IFERROR($AA$59/$AB$59*$AB49,0)</f>
        <v>0</v>
      </c>
      <c r="AB49" s="660"/>
      <c r="AC49" s="658"/>
      <c r="AD49" s="658"/>
      <c r="AE49" s="674"/>
    </row>
    <row r="50" spans="1:31">
      <c r="A50" s="1911"/>
      <c r="B50" s="632"/>
      <c r="C50" s="630">
        <f t="shared" si="64"/>
        <v>0</v>
      </c>
      <c r="D50" s="630">
        <f t="shared" si="65"/>
        <v>0</v>
      </c>
      <c r="E50" s="658">
        <f t="shared" si="66"/>
        <v>0</v>
      </c>
      <c r="F50" s="658">
        <f t="shared" si="67"/>
        <v>0</v>
      </c>
      <c r="G50" s="659">
        <f t="shared" si="68"/>
        <v>0</v>
      </c>
      <c r="H50" s="660"/>
      <c r="I50" s="658"/>
      <c r="J50" s="658"/>
      <c r="K50" s="659">
        <f>IFERROR($K$59/$L$59*$L50,0)</f>
        <v>0</v>
      </c>
      <c r="L50" s="660"/>
      <c r="M50" s="658"/>
      <c r="N50" s="658"/>
      <c r="O50" s="659">
        <f t="shared" si="69"/>
        <v>0</v>
      </c>
      <c r="P50" s="660"/>
      <c r="Q50" s="658"/>
      <c r="R50" s="658"/>
      <c r="S50" s="659">
        <f t="shared" si="70"/>
        <v>0</v>
      </c>
      <c r="T50" s="660"/>
      <c r="U50" s="658"/>
      <c r="V50" s="658"/>
      <c r="W50" s="659">
        <f t="shared" si="71"/>
        <v>0</v>
      </c>
      <c r="X50" s="660"/>
      <c r="Y50" s="658"/>
      <c r="Z50" s="658"/>
      <c r="AA50" s="659">
        <f t="shared" si="72"/>
        <v>0</v>
      </c>
      <c r="AB50" s="660"/>
      <c r="AC50" s="658"/>
      <c r="AD50" s="658"/>
      <c r="AE50" s="674"/>
    </row>
    <row r="51" spans="1:31">
      <c r="A51" s="1911"/>
      <c r="B51" s="632"/>
      <c r="C51" s="630">
        <f t="shared" si="64"/>
        <v>0</v>
      </c>
      <c r="D51" s="630">
        <f t="shared" si="65"/>
        <v>0</v>
      </c>
      <c r="E51" s="658">
        <f t="shared" si="66"/>
        <v>0</v>
      </c>
      <c r="F51" s="658">
        <f t="shared" si="67"/>
        <v>0</v>
      </c>
      <c r="G51" s="659">
        <f t="shared" si="68"/>
        <v>0</v>
      </c>
      <c r="H51" s="660"/>
      <c r="I51" s="658"/>
      <c r="J51" s="658"/>
      <c r="K51" s="659">
        <f t="shared" ref="K51:K58" si="73">IFERROR($K$59/$L$59*$L51,0)</f>
        <v>0</v>
      </c>
      <c r="L51" s="660"/>
      <c r="M51" s="658"/>
      <c r="N51" s="658"/>
      <c r="O51" s="659">
        <f t="shared" si="69"/>
        <v>0</v>
      </c>
      <c r="P51" s="660"/>
      <c r="Q51" s="658"/>
      <c r="R51" s="658"/>
      <c r="S51" s="659">
        <f t="shared" si="70"/>
        <v>0</v>
      </c>
      <c r="T51" s="660"/>
      <c r="U51" s="658"/>
      <c r="V51" s="658"/>
      <c r="W51" s="659">
        <f t="shared" si="71"/>
        <v>0</v>
      </c>
      <c r="X51" s="660"/>
      <c r="Y51" s="658"/>
      <c r="Z51" s="658"/>
      <c r="AA51" s="659">
        <f t="shared" si="72"/>
        <v>0</v>
      </c>
      <c r="AB51" s="660"/>
      <c r="AC51" s="658"/>
      <c r="AD51" s="658"/>
      <c r="AE51" s="674"/>
    </row>
    <row r="52" spans="1:31">
      <c r="A52" s="1911"/>
      <c r="B52" s="632"/>
      <c r="C52" s="630">
        <f t="shared" si="64"/>
        <v>0</v>
      </c>
      <c r="D52" s="630">
        <f t="shared" si="65"/>
        <v>0</v>
      </c>
      <c r="E52" s="658">
        <f t="shared" si="66"/>
        <v>0</v>
      </c>
      <c r="F52" s="658">
        <f t="shared" si="67"/>
        <v>0</v>
      </c>
      <c r="G52" s="659">
        <f t="shared" si="68"/>
        <v>0</v>
      </c>
      <c r="H52" s="660"/>
      <c r="I52" s="658"/>
      <c r="J52" s="658"/>
      <c r="K52" s="659">
        <f t="shared" si="73"/>
        <v>0</v>
      </c>
      <c r="L52" s="660"/>
      <c r="M52" s="658"/>
      <c r="N52" s="658"/>
      <c r="O52" s="659">
        <f t="shared" si="69"/>
        <v>0</v>
      </c>
      <c r="P52" s="660"/>
      <c r="Q52" s="658"/>
      <c r="R52" s="658"/>
      <c r="S52" s="659">
        <f t="shared" si="70"/>
        <v>0</v>
      </c>
      <c r="T52" s="660"/>
      <c r="U52" s="658"/>
      <c r="V52" s="658"/>
      <c r="W52" s="659">
        <f t="shared" si="71"/>
        <v>0</v>
      </c>
      <c r="X52" s="660"/>
      <c r="Y52" s="658"/>
      <c r="Z52" s="658"/>
      <c r="AA52" s="659">
        <f t="shared" si="72"/>
        <v>0</v>
      </c>
      <c r="AB52" s="660"/>
      <c r="AC52" s="658"/>
      <c r="AD52" s="658"/>
      <c r="AE52" s="674"/>
    </row>
    <row r="53" spans="1:31">
      <c r="A53" s="1911"/>
      <c r="B53" s="632"/>
      <c r="C53" s="630">
        <f t="shared" si="64"/>
        <v>0</v>
      </c>
      <c r="D53" s="630">
        <f t="shared" si="65"/>
        <v>0</v>
      </c>
      <c r="E53" s="658">
        <f t="shared" si="66"/>
        <v>0</v>
      </c>
      <c r="F53" s="658">
        <f t="shared" si="67"/>
        <v>0</v>
      </c>
      <c r="G53" s="659">
        <f t="shared" si="68"/>
        <v>0</v>
      </c>
      <c r="H53" s="660"/>
      <c r="I53" s="658"/>
      <c r="J53" s="658"/>
      <c r="K53" s="659">
        <f t="shared" si="73"/>
        <v>0</v>
      </c>
      <c r="L53" s="660"/>
      <c r="M53" s="658"/>
      <c r="N53" s="658"/>
      <c r="O53" s="659">
        <f t="shared" si="69"/>
        <v>0</v>
      </c>
      <c r="P53" s="660"/>
      <c r="Q53" s="658"/>
      <c r="R53" s="658"/>
      <c r="S53" s="659">
        <f t="shared" si="70"/>
        <v>0</v>
      </c>
      <c r="T53" s="660"/>
      <c r="U53" s="658"/>
      <c r="V53" s="658"/>
      <c r="W53" s="659">
        <f t="shared" si="71"/>
        <v>0</v>
      </c>
      <c r="X53" s="660"/>
      <c r="Y53" s="658"/>
      <c r="Z53" s="658"/>
      <c r="AA53" s="659">
        <f t="shared" si="72"/>
        <v>0</v>
      </c>
      <c r="AB53" s="660"/>
      <c r="AC53" s="658"/>
      <c r="AD53" s="658"/>
      <c r="AE53" s="674"/>
    </row>
    <row r="54" spans="1:31">
      <c r="A54" s="1911"/>
      <c r="B54" s="632"/>
      <c r="C54" s="630">
        <f t="shared" si="64"/>
        <v>0</v>
      </c>
      <c r="D54" s="630">
        <f t="shared" si="65"/>
        <v>0</v>
      </c>
      <c r="E54" s="658">
        <f t="shared" si="66"/>
        <v>0</v>
      </c>
      <c r="F54" s="658">
        <f t="shared" si="67"/>
        <v>0</v>
      </c>
      <c r="G54" s="659">
        <f t="shared" si="68"/>
        <v>0</v>
      </c>
      <c r="H54" s="660"/>
      <c r="I54" s="658"/>
      <c r="J54" s="658"/>
      <c r="K54" s="659">
        <f t="shared" si="73"/>
        <v>0</v>
      </c>
      <c r="L54" s="660"/>
      <c r="M54" s="658"/>
      <c r="N54" s="658"/>
      <c r="O54" s="659">
        <f t="shared" si="69"/>
        <v>0</v>
      </c>
      <c r="P54" s="660"/>
      <c r="Q54" s="658"/>
      <c r="R54" s="658"/>
      <c r="S54" s="659">
        <f t="shared" si="70"/>
        <v>0</v>
      </c>
      <c r="T54" s="660"/>
      <c r="U54" s="658"/>
      <c r="V54" s="658"/>
      <c r="W54" s="659">
        <f t="shared" si="71"/>
        <v>0</v>
      </c>
      <c r="X54" s="660"/>
      <c r="Y54" s="658"/>
      <c r="Z54" s="658"/>
      <c r="AA54" s="659">
        <f t="shared" si="72"/>
        <v>0</v>
      </c>
      <c r="AB54" s="660"/>
      <c r="AC54" s="658"/>
      <c r="AD54" s="658"/>
      <c r="AE54" s="674"/>
    </row>
    <row r="55" spans="1:31">
      <c r="A55" s="1911"/>
      <c r="B55" s="632"/>
      <c r="C55" s="630">
        <f t="shared" si="64"/>
        <v>0</v>
      </c>
      <c r="D55" s="630">
        <f t="shared" si="65"/>
        <v>0</v>
      </c>
      <c r="E55" s="658">
        <f t="shared" si="66"/>
        <v>0</v>
      </c>
      <c r="F55" s="658">
        <f t="shared" si="67"/>
        <v>0</v>
      </c>
      <c r="G55" s="659">
        <f t="shared" si="68"/>
        <v>0</v>
      </c>
      <c r="H55" s="660"/>
      <c r="I55" s="658"/>
      <c r="J55" s="658"/>
      <c r="K55" s="659">
        <f t="shared" si="73"/>
        <v>0</v>
      </c>
      <c r="L55" s="660"/>
      <c r="M55" s="658"/>
      <c r="N55" s="658"/>
      <c r="O55" s="659">
        <f t="shared" si="69"/>
        <v>0</v>
      </c>
      <c r="P55" s="660"/>
      <c r="Q55" s="658"/>
      <c r="R55" s="658"/>
      <c r="S55" s="659">
        <f t="shared" si="70"/>
        <v>0</v>
      </c>
      <c r="T55" s="660"/>
      <c r="U55" s="658"/>
      <c r="V55" s="658"/>
      <c r="W55" s="659">
        <f t="shared" si="71"/>
        <v>0</v>
      </c>
      <c r="X55" s="660"/>
      <c r="Y55" s="658"/>
      <c r="Z55" s="658"/>
      <c r="AA55" s="659">
        <f t="shared" si="72"/>
        <v>0</v>
      </c>
      <c r="AB55" s="660"/>
      <c r="AC55" s="658"/>
      <c r="AD55" s="658"/>
      <c r="AE55" s="674"/>
    </row>
    <row r="56" spans="1:31">
      <c r="A56" s="1911"/>
      <c r="B56" s="632"/>
      <c r="C56" s="630">
        <f t="shared" si="64"/>
        <v>0</v>
      </c>
      <c r="D56" s="630">
        <f t="shared" si="65"/>
        <v>0</v>
      </c>
      <c r="E56" s="658">
        <f t="shared" si="66"/>
        <v>0</v>
      </c>
      <c r="F56" s="658">
        <f t="shared" si="67"/>
        <v>0</v>
      </c>
      <c r="G56" s="659">
        <f t="shared" si="68"/>
        <v>0</v>
      </c>
      <c r="H56" s="660"/>
      <c r="I56" s="658"/>
      <c r="J56" s="658"/>
      <c r="K56" s="659">
        <f t="shared" si="73"/>
        <v>0</v>
      </c>
      <c r="L56" s="660"/>
      <c r="M56" s="658"/>
      <c r="N56" s="658"/>
      <c r="O56" s="659">
        <f t="shared" si="69"/>
        <v>0</v>
      </c>
      <c r="P56" s="660"/>
      <c r="Q56" s="658"/>
      <c r="R56" s="658"/>
      <c r="S56" s="659">
        <f t="shared" si="70"/>
        <v>0</v>
      </c>
      <c r="T56" s="660"/>
      <c r="U56" s="658"/>
      <c r="V56" s="658"/>
      <c r="W56" s="659">
        <f t="shared" si="71"/>
        <v>0</v>
      </c>
      <c r="X56" s="660"/>
      <c r="Y56" s="658"/>
      <c r="Z56" s="658"/>
      <c r="AA56" s="659">
        <f t="shared" si="72"/>
        <v>0</v>
      </c>
      <c r="AB56" s="660"/>
      <c r="AC56" s="658"/>
      <c r="AD56" s="658"/>
      <c r="AE56" s="674"/>
    </row>
    <row r="57" spans="1:31">
      <c r="A57" s="1911"/>
      <c r="B57" s="632"/>
      <c r="C57" s="630">
        <f t="shared" si="64"/>
        <v>0</v>
      </c>
      <c r="D57" s="630">
        <f t="shared" si="65"/>
        <v>0</v>
      </c>
      <c r="E57" s="658">
        <f t="shared" si="66"/>
        <v>0</v>
      </c>
      <c r="F57" s="658">
        <f t="shared" si="67"/>
        <v>0</v>
      </c>
      <c r="G57" s="659">
        <f t="shared" si="68"/>
        <v>0</v>
      </c>
      <c r="H57" s="660"/>
      <c r="I57" s="658"/>
      <c r="J57" s="658"/>
      <c r="K57" s="659">
        <f t="shared" si="73"/>
        <v>0</v>
      </c>
      <c r="L57" s="660"/>
      <c r="M57" s="658"/>
      <c r="N57" s="658"/>
      <c r="O57" s="659">
        <f t="shared" si="69"/>
        <v>0</v>
      </c>
      <c r="P57" s="660"/>
      <c r="Q57" s="658"/>
      <c r="R57" s="658"/>
      <c r="S57" s="659">
        <f t="shared" si="70"/>
        <v>0</v>
      </c>
      <c r="T57" s="660"/>
      <c r="U57" s="658"/>
      <c r="V57" s="658"/>
      <c r="W57" s="659">
        <f t="shared" si="71"/>
        <v>0</v>
      </c>
      <c r="X57" s="660"/>
      <c r="Y57" s="658"/>
      <c r="Z57" s="658"/>
      <c r="AA57" s="659">
        <f t="shared" si="72"/>
        <v>0</v>
      </c>
      <c r="AB57" s="660"/>
      <c r="AC57" s="658"/>
      <c r="AD57" s="658"/>
      <c r="AE57" s="674"/>
    </row>
    <row r="58" spans="1:31">
      <c r="A58" s="1912"/>
      <c r="B58" s="661" t="s">
        <v>781</v>
      </c>
      <c r="C58" s="630">
        <f t="shared" si="64"/>
        <v>0</v>
      </c>
      <c r="D58" s="630">
        <f t="shared" si="65"/>
        <v>0</v>
      </c>
      <c r="E58" s="658">
        <f t="shared" si="66"/>
        <v>0</v>
      </c>
      <c r="F58" s="658">
        <f t="shared" si="67"/>
        <v>0</v>
      </c>
      <c r="G58" s="659">
        <f t="shared" si="68"/>
        <v>0</v>
      </c>
      <c r="H58" s="660"/>
      <c r="I58" s="658"/>
      <c r="J58" s="658"/>
      <c r="K58" s="659">
        <f t="shared" si="73"/>
        <v>0</v>
      </c>
      <c r="L58" s="660"/>
      <c r="M58" s="658"/>
      <c r="N58" s="658"/>
      <c r="O58" s="659">
        <f t="shared" si="69"/>
        <v>0</v>
      </c>
      <c r="P58" s="660"/>
      <c r="Q58" s="658"/>
      <c r="R58" s="658"/>
      <c r="S58" s="659">
        <f t="shared" si="70"/>
        <v>0</v>
      </c>
      <c r="T58" s="660"/>
      <c r="U58" s="658"/>
      <c r="V58" s="658"/>
      <c r="W58" s="659">
        <f t="shared" si="71"/>
        <v>0</v>
      </c>
      <c r="X58" s="660"/>
      <c r="Y58" s="658"/>
      <c r="Z58" s="658"/>
      <c r="AA58" s="659">
        <f t="shared" si="72"/>
        <v>0</v>
      </c>
      <c r="AB58" s="660"/>
      <c r="AC58" s="658"/>
      <c r="AD58" s="658"/>
      <c r="AE58" s="674"/>
    </row>
    <row r="59" spans="1:31" ht="14.25">
      <c r="A59" s="662" t="s">
        <v>806</v>
      </c>
      <c r="B59" s="248"/>
      <c r="C59" s="663"/>
      <c r="D59" s="663"/>
      <c r="E59" s="658"/>
      <c r="F59" s="658"/>
      <c r="G59" s="664"/>
      <c r="H59" s="665">
        <f>SUM(H48:H58)</f>
        <v>0</v>
      </c>
      <c r="I59" s="658"/>
      <c r="J59" s="658"/>
      <c r="K59" s="672"/>
      <c r="L59" s="665">
        <f>SUM(L48:L58)</f>
        <v>0</v>
      </c>
      <c r="M59" s="658"/>
      <c r="N59" s="658"/>
      <c r="O59" s="672"/>
      <c r="P59" s="665">
        <f>SUM(P48:P58)</f>
        <v>0</v>
      </c>
      <c r="Q59" s="658"/>
      <c r="R59" s="658"/>
      <c r="S59" s="672"/>
      <c r="T59" s="665">
        <f>SUM(T48:T58)</f>
        <v>0</v>
      </c>
      <c r="U59" s="658"/>
      <c r="V59" s="658"/>
      <c r="W59" s="672"/>
      <c r="X59" s="665">
        <f>SUM(X48:X58)</f>
        <v>0</v>
      </c>
      <c r="Y59" s="658"/>
      <c r="Z59" s="658"/>
      <c r="AA59" s="672"/>
      <c r="AB59" s="665">
        <f>SUM(AB48:AB58)</f>
        <v>0</v>
      </c>
      <c r="AC59" s="658"/>
      <c r="AD59" s="658"/>
      <c r="AE59" s="674"/>
    </row>
    <row r="60" spans="1:31" ht="17.25">
      <c r="A60" s="654"/>
      <c r="B60" s="654"/>
      <c r="C60" s="654"/>
      <c r="D60" s="654"/>
      <c r="E60" s="654"/>
      <c r="F60" s="656"/>
      <c r="G60" s="656"/>
      <c r="H60" s="656"/>
      <c r="I60" s="656"/>
      <c r="J60" s="656"/>
      <c r="K60" s="656"/>
      <c r="L60" s="656"/>
      <c r="M60" s="656"/>
      <c r="N60" s="656"/>
      <c r="O60" s="656"/>
      <c r="P60" s="656"/>
      <c r="Q60" s="656"/>
      <c r="R60" s="656"/>
      <c r="S60" s="656"/>
      <c r="T60" s="656"/>
      <c r="U60" s="656"/>
      <c r="V60" s="656"/>
      <c r="W60" s="656"/>
      <c r="X60" s="656"/>
      <c r="Y60" s="656"/>
      <c r="Z60" s="656"/>
      <c r="AA60" s="656"/>
      <c r="AB60" s="656"/>
      <c r="AC60" s="656"/>
      <c r="AD60" s="656"/>
      <c r="AE60" s="674"/>
    </row>
    <row r="61" spans="1:31" ht="17.25">
      <c r="A61" s="654"/>
      <c r="B61" s="654"/>
      <c r="C61" s="654"/>
      <c r="D61" s="654"/>
      <c r="E61" s="654"/>
      <c r="F61" s="656"/>
      <c r="G61" s="656"/>
      <c r="H61" s="656"/>
      <c r="I61" s="656"/>
      <c r="J61" s="656"/>
      <c r="K61" s="656"/>
      <c r="L61" s="656"/>
      <c r="M61" s="656"/>
      <c r="N61" s="656"/>
      <c r="O61" s="656"/>
      <c r="P61" s="656"/>
      <c r="Q61" s="656"/>
      <c r="R61" s="656"/>
      <c r="S61" s="656"/>
      <c r="T61" s="656"/>
      <c r="U61" s="656"/>
      <c r="V61" s="656"/>
      <c r="W61" s="656"/>
      <c r="X61" s="656"/>
      <c r="Y61" s="656"/>
      <c r="Z61" s="656"/>
      <c r="AA61" s="656"/>
      <c r="AB61" s="656"/>
      <c r="AC61" s="656"/>
      <c r="AD61" s="656"/>
      <c r="AE61" s="674"/>
    </row>
    <row r="62" spans="1:31" ht="17.25">
      <c r="A62" s="654"/>
      <c r="B62" s="654"/>
      <c r="C62" s="654"/>
      <c r="D62" s="654"/>
      <c r="E62" s="654"/>
      <c r="F62" s="656"/>
      <c r="G62" s="656"/>
      <c r="H62" s="656"/>
      <c r="I62" s="656"/>
      <c r="J62" s="656"/>
      <c r="K62" s="656"/>
      <c r="L62" s="656"/>
      <c r="M62" s="656"/>
      <c r="N62" s="656"/>
      <c r="O62" s="656"/>
      <c r="P62" s="656"/>
      <c r="Q62" s="656"/>
      <c r="R62" s="656"/>
      <c r="S62" s="656"/>
      <c r="T62" s="656"/>
      <c r="U62" s="656"/>
      <c r="V62" s="656"/>
      <c r="W62" s="656"/>
      <c r="X62" s="656"/>
      <c r="Y62" s="656"/>
      <c r="Z62" s="656"/>
      <c r="AA62" s="656"/>
      <c r="AB62" s="656"/>
      <c r="AC62" s="656"/>
      <c r="AD62" s="656"/>
      <c r="AE62" s="674"/>
    </row>
    <row r="63" spans="1:31" ht="17.25">
      <c r="A63" s="654"/>
      <c r="B63" s="654"/>
      <c r="C63" s="654"/>
      <c r="D63" s="654"/>
      <c r="E63" s="654"/>
      <c r="F63" s="656"/>
      <c r="G63" s="656"/>
      <c r="H63" s="656"/>
      <c r="I63" s="656"/>
      <c r="J63" s="656"/>
      <c r="K63" s="656"/>
      <c r="L63" s="656"/>
      <c r="M63" s="656"/>
      <c r="N63" s="656"/>
      <c r="O63" s="656"/>
      <c r="P63" s="656"/>
      <c r="Q63" s="656"/>
      <c r="R63" s="656"/>
      <c r="S63" s="656"/>
      <c r="T63" s="656"/>
      <c r="U63" s="656"/>
      <c r="V63" s="656"/>
      <c r="W63" s="656"/>
      <c r="X63" s="656"/>
      <c r="Y63" s="656"/>
      <c r="Z63" s="656"/>
      <c r="AA63" s="656"/>
      <c r="AB63" s="656"/>
      <c r="AC63" s="656"/>
      <c r="AD63" s="656"/>
      <c r="AE63" s="674"/>
    </row>
    <row r="64" spans="1:31" ht="17.25">
      <c r="A64" s="654"/>
      <c r="B64" s="654"/>
      <c r="C64" s="654"/>
      <c r="D64" s="654"/>
      <c r="E64" s="654"/>
      <c r="F64" s="656"/>
      <c r="G64" s="656"/>
      <c r="H64" s="656"/>
      <c r="I64" s="656"/>
      <c r="J64" s="656"/>
      <c r="K64" s="656"/>
      <c r="L64" s="656"/>
      <c r="M64" s="656"/>
      <c r="N64" s="656"/>
      <c r="O64" s="656"/>
      <c r="P64" s="656"/>
      <c r="Q64" s="656"/>
      <c r="R64" s="656"/>
      <c r="S64" s="656"/>
      <c r="T64" s="656"/>
      <c r="U64" s="656"/>
      <c r="V64" s="656"/>
      <c r="W64" s="656"/>
      <c r="X64" s="656"/>
      <c r="Y64" s="656"/>
      <c r="Z64" s="656"/>
      <c r="AA64" s="656"/>
      <c r="AB64" s="656"/>
      <c r="AC64" s="656"/>
      <c r="AD64" s="656"/>
      <c r="AE64" s="674"/>
    </row>
    <row r="65" spans="1:31" ht="17.25">
      <c r="A65" s="654"/>
      <c r="B65" s="654"/>
      <c r="C65" s="654"/>
      <c r="D65" s="654"/>
      <c r="E65" s="654"/>
      <c r="F65" s="656"/>
      <c r="G65" s="656"/>
      <c r="H65" s="656"/>
      <c r="I65" s="656"/>
      <c r="J65" s="656"/>
      <c r="K65" s="656"/>
      <c r="L65" s="656"/>
      <c r="M65" s="656"/>
      <c r="N65" s="656"/>
      <c r="O65" s="656"/>
      <c r="P65" s="656"/>
      <c r="Q65" s="656"/>
      <c r="R65" s="656"/>
      <c r="S65" s="656"/>
      <c r="T65" s="656"/>
      <c r="U65" s="656"/>
      <c r="V65" s="656"/>
      <c r="W65" s="656"/>
      <c r="X65" s="656"/>
      <c r="Y65" s="656"/>
      <c r="Z65" s="656"/>
      <c r="AA65" s="656"/>
      <c r="AB65" s="656"/>
      <c r="AC65" s="656"/>
      <c r="AD65" s="656"/>
      <c r="AE65" s="674"/>
    </row>
    <row r="66" spans="1:31" ht="17.25">
      <c r="A66" s="654"/>
      <c r="B66" s="654"/>
      <c r="C66" s="654"/>
      <c r="D66" s="654"/>
      <c r="E66" s="654"/>
      <c r="F66" s="656"/>
      <c r="G66" s="656"/>
      <c r="H66" s="656"/>
      <c r="I66" s="656"/>
      <c r="J66" s="656"/>
      <c r="K66" s="656"/>
      <c r="L66" s="656"/>
      <c r="M66" s="656"/>
      <c r="N66" s="656"/>
      <c r="O66" s="656"/>
      <c r="P66" s="656"/>
      <c r="Q66" s="656"/>
      <c r="R66" s="656"/>
      <c r="S66" s="656"/>
      <c r="T66" s="656"/>
      <c r="U66" s="656"/>
      <c r="V66" s="656"/>
      <c r="W66" s="656"/>
      <c r="X66" s="656"/>
      <c r="Y66" s="656"/>
      <c r="Z66" s="656"/>
      <c r="AA66" s="656"/>
      <c r="AB66" s="656"/>
      <c r="AC66" s="656"/>
      <c r="AD66" s="656"/>
      <c r="AE66" s="674"/>
    </row>
    <row r="67" spans="1:31" ht="17.25">
      <c r="A67" s="654"/>
      <c r="B67" s="654"/>
      <c r="C67" s="654"/>
      <c r="D67" s="654"/>
      <c r="E67" s="654"/>
      <c r="F67" s="656"/>
      <c r="G67" s="656"/>
      <c r="H67" s="656"/>
      <c r="I67" s="656"/>
      <c r="J67" s="656"/>
      <c r="K67" s="656"/>
      <c r="L67" s="656"/>
      <c r="M67" s="656"/>
      <c r="N67" s="656"/>
      <c r="O67" s="656"/>
      <c r="P67" s="656"/>
      <c r="Q67" s="656"/>
      <c r="R67" s="656"/>
      <c r="S67" s="656"/>
      <c r="T67" s="656"/>
      <c r="U67" s="656"/>
      <c r="V67" s="656"/>
      <c r="W67" s="656"/>
      <c r="X67" s="656"/>
      <c r="Y67" s="656"/>
      <c r="Z67" s="656"/>
      <c r="AA67" s="656"/>
      <c r="AB67" s="656"/>
      <c r="AC67" s="656"/>
      <c r="AD67" s="656"/>
      <c r="AE67" s="674"/>
    </row>
    <row r="68" spans="1:31">
      <c r="A68" s="110"/>
      <c r="B68" s="76"/>
      <c r="C68" s="656">
        <v>2</v>
      </c>
      <c r="D68" s="656">
        <v>3</v>
      </c>
      <c r="E68" s="656">
        <v>4</v>
      </c>
      <c r="F68" s="656">
        <v>5</v>
      </c>
      <c r="G68" s="656">
        <v>6</v>
      </c>
      <c r="H68" s="656">
        <v>7</v>
      </c>
      <c r="I68" s="656">
        <v>8</v>
      </c>
      <c r="J68" s="656">
        <v>9</v>
      </c>
      <c r="K68" s="656">
        <v>10</v>
      </c>
      <c r="L68" s="656">
        <v>11</v>
      </c>
      <c r="M68" s="656">
        <v>12</v>
      </c>
      <c r="N68" s="656">
        <v>13</v>
      </c>
      <c r="O68" s="656">
        <v>14</v>
      </c>
      <c r="P68" s="656">
        <v>15</v>
      </c>
      <c r="Q68" s="656">
        <v>16</v>
      </c>
      <c r="R68" s="656">
        <v>17</v>
      </c>
      <c r="S68" s="656">
        <v>18</v>
      </c>
      <c r="T68" s="656">
        <v>19</v>
      </c>
      <c r="U68" s="656">
        <v>20</v>
      </c>
      <c r="V68" s="656">
        <v>21</v>
      </c>
      <c r="W68" s="656">
        <v>22</v>
      </c>
      <c r="X68" s="656">
        <v>23</v>
      </c>
      <c r="Y68" s="656">
        <v>24</v>
      </c>
      <c r="Z68" s="656">
        <v>25</v>
      </c>
      <c r="AA68" s="656">
        <v>26</v>
      </c>
      <c r="AB68" s="656">
        <v>27</v>
      </c>
      <c r="AC68" s="656">
        <v>28</v>
      </c>
      <c r="AD68" s="656">
        <v>29</v>
      </c>
      <c r="AE68" s="674"/>
    </row>
    <row r="69" spans="1:31">
      <c r="A69" s="110"/>
      <c r="B69" s="110"/>
      <c r="C69" s="94"/>
      <c r="D69" s="94"/>
      <c r="E69" s="78"/>
      <c r="F69" s="78"/>
      <c r="G69" s="681"/>
      <c r="H69" s="78"/>
      <c r="I69" s="78"/>
      <c r="J69" s="92"/>
      <c r="K69" s="92"/>
      <c r="L69" s="78"/>
      <c r="M69" s="78"/>
      <c r="N69" s="78"/>
      <c r="O69" s="78"/>
      <c r="P69" s="78"/>
      <c r="Q69" s="78"/>
      <c r="R69" s="78"/>
      <c r="S69" s="78"/>
      <c r="T69" s="78"/>
      <c r="U69" s="78"/>
      <c r="V69" s="78"/>
      <c r="W69" s="78"/>
      <c r="X69" s="78"/>
      <c r="Y69" s="78"/>
      <c r="Z69" s="78"/>
      <c r="AA69" s="78"/>
      <c r="AB69" s="78"/>
      <c r="AC69" s="78"/>
      <c r="AD69" s="78"/>
      <c r="AE69" s="674"/>
    </row>
    <row r="70" spans="1:31">
      <c r="A70" s="682" t="s">
        <v>809</v>
      </c>
      <c r="B70" s="110"/>
      <c r="C70" s="78"/>
      <c r="D70" s="78"/>
      <c r="E70" s="78"/>
      <c r="F70" s="78"/>
      <c r="G70" s="78"/>
      <c r="H70" s="78"/>
      <c r="I70" s="78"/>
      <c r="J70" s="92"/>
      <c r="K70" s="92"/>
      <c r="L70" s="78"/>
      <c r="M70" s="78"/>
      <c r="N70" s="78"/>
      <c r="O70" s="78"/>
      <c r="P70" s="78"/>
      <c r="Q70" s="78"/>
      <c r="R70" s="78"/>
      <c r="S70" s="78"/>
      <c r="T70" s="78"/>
      <c r="U70" s="78"/>
      <c r="V70" s="78"/>
      <c r="W70" s="78"/>
      <c r="X70" s="78"/>
      <c r="Y70" s="78"/>
      <c r="Z70" s="78"/>
      <c r="AA70" s="78"/>
      <c r="AB70" s="78"/>
      <c r="AC70" s="78"/>
      <c r="AD70" s="78"/>
      <c r="AE70" s="674"/>
    </row>
    <row r="71" spans="1:31">
      <c r="A71" s="682" t="s">
        <v>779</v>
      </c>
      <c r="B71" s="110"/>
      <c r="C71" s="94"/>
      <c r="D71" s="78"/>
      <c r="E71" s="78"/>
      <c r="F71" s="78"/>
      <c r="G71" s="78"/>
      <c r="H71" s="78"/>
      <c r="I71" s="78"/>
      <c r="J71" s="92"/>
      <c r="K71" s="92"/>
      <c r="L71" s="78"/>
      <c r="M71" s="78"/>
      <c r="N71" s="78"/>
      <c r="O71" s="78"/>
      <c r="P71" s="78"/>
      <c r="Q71" s="78"/>
      <c r="R71" s="78"/>
      <c r="S71" s="78"/>
      <c r="T71" s="78"/>
      <c r="U71" s="78"/>
      <c r="V71" s="78"/>
      <c r="W71" s="78"/>
      <c r="X71" s="78"/>
      <c r="Y71" s="78"/>
      <c r="Z71" s="78"/>
      <c r="AA71" s="78"/>
      <c r="AB71" s="78"/>
      <c r="AC71" s="78"/>
      <c r="AD71" s="78"/>
      <c r="AE71" s="674"/>
    </row>
    <row r="72" spans="1:31">
      <c r="A72" s="682" t="s">
        <v>810</v>
      </c>
      <c r="B72" s="110"/>
      <c r="C72" s="94"/>
      <c r="D72" s="94"/>
      <c r="E72" s="78"/>
      <c r="F72" s="78"/>
      <c r="G72" s="78"/>
      <c r="H72" s="78"/>
      <c r="I72" s="78"/>
      <c r="J72" s="92"/>
      <c r="K72" s="92"/>
      <c r="L72" s="78"/>
      <c r="M72" s="78"/>
      <c r="N72" s="78"/>
      <c r="O72" s="78"/>
      <c r="P72" s="78"/>
      <c r="Q72" s="78"/>
      <c r="R72" s="78"/>
      <c r="S72" s="78"/>
      <c r="T72" s="78"/>
      <c r="U72" s="78"/>
      <c r="V72" s="78"/>
      <c r="W72" s="78"/>
      <c r="X72" s="78"/>
      <c r="Y72" s="78"/>
      <c r="Z72" s="78"/>
      <c r="AA72" s="78"/>
      <c r="AB72" s="78"/>
      <c r="AC72" s="78"/>
      <c r="AD72" s="78"/>
      <c r="AE72" s="674"/>
    </row>
    <row r="73" spans="1:31">
      <c r="A73" s="682" t="s">
        <v>811</v>
      </c>
      <c r="B73" s="110"/>
      <c r="C73" s="94"/>
      <c r="D73" s="94"/>
      <c r="E73" s="78"/>
      <c r="F73" s="78"/>
      <c r="G73" s="78"/>
      <c r="H73" s="78"/>
      <c r="I73" s="78"/>
      <c r="J73" s="92"/>
      <c r="K73" s="92"/>
      <c r="L73" s="78"/>
      <c r="M73" s="78"/>
      <c r="N73" s="78"/>
      <c r="O73" s="78"/>
      <c r="P73" s="78"/>
      <c r="Q73" s="78"/>
      <c r="R73" s="78"/>
      <c r="S73" s="78"/>
      <c r="T73" s="78"/>
      <c r="U73" s="78"/>
      <c r="V73" s="78"/>
      <c r="W73" s="78"/>
      <c r="X73" s="78"/>
      <c r="Y73" s="78"/>
      <c r="Z73" s="78"/>
      <c r="AA73" s="78"/>
      <c r="AB73" s="78"/>
      <c r="AC73" s="78"/>
      <c r="AD73" s="78"/>
      <c r="AE73" s="674"/>
    </row>
    <row r="74" spans="1:31">
      <c r="A74" s="682" t="s">
        <v>812</v>
      </c>
      <c r="B74" s="110"/>
      <c r="C74" s="94"/>
      <c r="D74" s="94"/>
      <c r="E74" s="78"/>
      <c r="F74" s="78"/>
      <c r="G74" s="78"/>
      <c r="H74" s="78"/>
      <c r="I74" s="78"/>
      <c r="J74" s="92"/>
      <c r="K74" s="92"/>
      <c r="L74" s="78"/>
      <c r="M74" s="78"/>
      <c r="N74" s="78"/>
      <c r="O74" s="78"/>
      <c r="P74" s="78"/>
      <c r="Q74" s="78"/>
      <c r="R74" s="78"/>
      <c r="S74" s="78"/>
      <c r="T74" s="78"/>
      <c r="U74" s="78"/>
      <c r="V74" s="78"/>
      <c r="W74" s="78"/>
      <c r="X74" s="78"/>
      <c r="Y74" s="78"/>
      <c r="Z74" s="78"/>
      <c r="AA74" s="78"/>
      <c r="AB74" s="78"/>
      <c r="AC74" s="78"/>
      <c r="AD74" s="78"/>
      <c r="AE74" s="674"/>
    </row>
    <row r="75" spans="1:31">
      <c r="A75" s="682" t="s">
        <v>813</v>
      </c>
      <c r="B75" s="110"/>
      <c r="C75" s="94"/>
      <c r="D75" s="94"/>
      <c r="E75" s="78"/>
      <c r="F75" s="78"/>
      <c r="G75" s="78"/>
      <c r="H75" s="78"/>
      <c r="I75" s="78"/>
      <c r="J75" s="92"/>
      <c r="K75" s="92"/>
      <c r="L75" s="78"/>
      <c r="M75" s="78"/>
      <c r="N75" s="78"/>
      <c r="O75" s="78"/>
      <c r="P75" s="78"/>
      <c r="Q75" s="78"/>
      <c r="R75" s="78"/>
      <c r="S75" s="78"/>
      <c r="T75" s="78"/>
      <c r="U75" s="78"/>
      <c r="V75" s="78"/>
      <c r="W75" s="78"/>
      <c r="X75" s="78"/>
      <c r="Y75" s="78"/>
      <c r="Z75" s="78"/>
      <c r="AA75" s="78"/>
      <c r="AB75" s="78"/>
      <c r="AC75" s="78"/>
      <c r="AD75" s="78"/>
      <c r="AE75" s="674"/>
    </row>
    <row r="76" spans="1:31">
      <c r="A76" s="682" t="s">
        <v>814</v>
      </c>
      <c r="B76" s="110"/>
      <c r="C76" s="78"/>
      <c r="D76" s="78"/>
      <c r="E76" s="78"/>
      <c r="F76" s="78"/>
      <c r="G76" s="78"/>
      <c r="H76" s="78"/>
      <c r="I76" s="78"/>
      <c r="J76" s="92"/>
      <c r="K76" s="78"/>
      <c r="L76" s="78"/>
      <c r="M76" s="78"/>
      <c r="N76" s="78"/>
      <c r="O76" s="78"/>
      <c r="P76" s="78"/>
      <c r="Q76" s="78"/>
      <c r="R76" s="78"/>
      <c r="S76" s="78"/>
      <c r="T76" s="78"/>
      <c r="U76" s="78"/>
      <c r="V76" s="78"/>
      <c r="W76" s="78"/>
      <c r="X76" s="78"/>
      <c r="Y76" s="78"/>
      <c r="Z76" s="78"/>
      <c r="AA76" s="78"/>
      <c r="AB76" s="78"/>
      <c r="AC76" s="78"/>
      <c r="AD76" s="78"/>
      <c r="AE76" s="674"/>
    </row>
    <row r="77" spans="1:31">
      <c r="A77" s="682" t="s">
        <v>815</v>
      </c>
      <c r="B77" s="110"/>
      <c r="C77" s="78"/>
      <c r="D77" s="78"/>
      <c r="E77" s="78"/>
      <c r="F77" s="78"/>
      <c r="G77" s="78"/>
      <c r="H77" s="78"/>
      <c r="I77" s="78"/>
      <c r="J77" s="78"/>
      <c r="K77" s="78"/>
      <c r="L77" s="78"/>
      <c r="M77" s="78"/>
      <c r="N77" s="78"/>
      <c r="O77" s="78"/>
      <c r="P77" s="78"/>
      <c r="Q77" s="78"/>
      <c r="R77" s="78"/>
      <c r="S77" s="78"/>
      <c r="T77" s="78"/>
      <c r="U77" s="78"/>
      <c r="V77" s="78"/>
      <c r="W77" s="78"/>
      <c r="X77" s="78"/>
      <c r="Y77" s="78"/>
      <c r="Z77" s="78"/>
      <c r="AA77" s="78"/>
      <c r="AB77" s="78"/>
      <c r="AC77" s="78"/>
      <c r="AD77" s="78"/>
      <c r="AE77" s="674"/>
    </row>
    <row r="78" spans="1:31">
      <c r="A78" s="682" t="s">
        <v>816</v>
      </c>
      <c r="B78" s="110"/>
      <c r="C78" s="78"/>
      <c r="D78" s="78"/>
      <c r="E78" s="78"/>
      <c r="F78" s="78"/>
      <c r="G78" s="78"/>
      <c r="H78" s="78"/>
      <c r="I78" s="78"/>
      <c r="J78" s="78"/>
      <c r="K78" s="78"/>
      <c r="L78" s="78"/>
      <c r="M78" s="78"/>
      <c r="N78" s="78"/>
      <c r="O78" s="78"/>
      <c r="P78" s="78"/>
      <c r="Q78" s="78"/>
      <c r="R78" s="78"/>
      <c r="S78" s="78"/>
      <c r="T78" s="78"/>
      <c r="U78" s="78"/>
      <c r="V78" s="78"/>
      <c r="W78" s="78"/>
      <c r="X78" s="78"/>
      <c r="Y78" s="78"/>
      <c r="Z78" s="78"/>
      <c r="AA78" s="78"/>
      <c r="AB78" s="78"/>
      <c r="AC78" s="78"/>
      <c r="AD78" s="78"/>
      <c r="AE78" s="674"/>
    </row>
    <row r="79" spans="1:31">
      <c r="A79" s="682" t="s">
        <v>805</v>
      </c>
      <c r="B79" s="110"/>
      <c r="C79" s="78"/>
      <c r="D79" s="78"/>
      <c r="E79" s="78"/>
      <c r="F79" s="78"/>
      <c r="G79" s="78"/>
      <c r="H79" s="78"/>
      <c r="I79" s="78"/>
      <c r="J79" s="78"/>
      <c r="K79" s="78"/>
      <c r="L79" s="78"/>
      <c r="M79" s="78"/>
      <c r="N79" s="78"/>
      <c r="O79" s="78"/>
      <c r="P79" s="78"/>
      <c r="Q79" s="78"/>
      <c r="R79" s="78"/>
      <c r="S79" s="78"/>
      <c r="T79" s="78"/>
      <c r="U79" s="78"/>
      <c r="V79" s="78"/>
      <c r="W79" s="78"/>
      <c r="X79" s="78"/>
      <c r="Y79" s="78"/>
      <c r="Z79" s="78"/>
      <c r="AA79" s="78"/>
      <c r="AB79" s="78"/>
      <c r="AC79" s="78"/>
      <c r="AD79" s="78"/>
      <c r="AE79" s="674"/>
    </row>
    <row r="80" spans="1:31">
      <c r="A80" s="682" t="s">
        <v>817</v>
      </c>
      <c r="B80" s="110"/>
      <c r="C80" s="78"/>
      <c r="D80" s="78"/>
      <c r="E80" s="78"/>
      <c r="F80" s="78"/>
      <c r="G80" s="78"/>
      <c r="H80" s="78"/>
      <c r="I80" s="78"/>
      <c r="J80" s="78"/>
      <c r="K80" s="78"/>
      <c r="L80" s="78"/>
      <c r="M80" s="78"/>
      <c r="N80" s="78"/>
      <c r="O80" s="78"/>
      <c r="P80" s="78"/>
      <c r="Q80" s="78"/>
      <c r="R80" s="78"/>
      <c r="S80" s="78"/>
      <c r="T80" s="78"/>
      <c r="U80" s="78"/>
      <c r="V80" s="78"/>
      <c r="W80" s="78"/>
      <c r="X80" s="78"/>
      <c r="Y80" s="78"/>
      <c r="Z80" s="78"/>
      <c r="AA80" s="78"/>
      <c r="AB80" s="78"/>
      <c r="AC80" s="78"/>
      <c r="AD80" s="78"/>
      <c r="AE80" s="674"/>
    </row>
    <row r="81" spans="1:31">
      <c r="A81" s="682" t="s">
        <v>818</v>
      </c>
      <c r="B81" s="110"/>
      <c r="C81" s="78"/>
      <c r="D81" s="78"/>
      <c r="E81" s="78"/>
      <c r="F81" s="78"/>
      <c r="G81" s="78"/>
      <c r="H81" s="78"/>
      <c r="I81" s="78"/>
      <c r="J81" s="78"/>
      <c r="K81" s="78"/>
      <c r="L81" s="78"/>
      <c r="M81" s="78"/>
      <c r="N81" s="78"/>
      <c r="O81" s="78"/>
      <c r="P81" s="78"/>
      <c r="Q81" s="78"/>
      <c r="R81" s="78"/>
      <c r="S81" s="78"/>
      <c r="T81" s="78"/>
      <c r="U81" s="78"/>
      <c r="V81" s="78"/>
      <c r="W81" s="78"/>
      <c r="X81" s="78"/>
      <c r="Y81" s="78"/>
      <c r="Z81" s="78"/>
      <c r="AA81" s="78"/>
      <c r="AB81" s="78"/>
      <c r="AC81" s="78"/>
      <c r="AD81" s="78"/>
      <c r="AE81" s="674"/>
    </row>
    <row r="82" spans="1:31">
      <c r="A82" s="682" t="s">
        <v>819</v>
      </c>
      <c r="B82" s="110"/>
      <c r="C82" s="78"/>
      <c r="D82" s="78"/>
      <c r="E82" s="78"/>
      <c r="F82" s="78"/>
      <c r="G82" s="78"/>
      <c r="H82" s="78"/>
      <c r="I82" s="78"/>
      <c r="J82" s="78"/>
      <c r="K82" s="78"/>
      <c r="L82" s="78"/>
      <c r="M82" s="78"/>
      <c r="N82" s="78"/>
      <c r="O82" s="78"/>
      <c r="P82" s="78"/>
      <c r="Q82" s="78"/>
      <c r="R82" s="78"/>
      <c r="S82" s="78"/>
      <c r="T82" s="78"/>
      <c r="U82" s="78"/>
      <c r="V82" s="78"/>
      <c r="W82" s="78"/>
      <c r="X82" s="78"/>
      <c r="Y82" s="78"/>
      <c r="Z82" s="78"/>
      <c r="AA82" s="78"/>
      <c r="AB82" s="78"/>
      <c r="AC82" s="78"/>
      <c r="AD82" s="78"/>
      <c r="AE82" s="674"/>
    </row>
    <row r="83" spans="1:31">
      <c r="A83" s="682" t="s">
        <v>280</v>
      </c>
      <c r="B83" s="110"/>
      <c r="C83" s="78"/>
      <c r="D83" s="78"/>
      <c r="E83" s="78"/>
      <c r="F83" s="78"/>
      <c r="G83" s="78"/>
      <c r="H83" s="78"/>
      <c r="I83" s="78"/>
      <c r="J83" s="78"/>
      <c r="K83" s="78"/>
      <c r="L83" s="78"/>
      <c r="M83" s="78"/>
      <c r="N83" s="78"/>
      <c r="O83" s="78"/>
      <c r="P83" s="78"/>
      <c r="Q83" s="78"/>
      <c r="R83" s="78"/>
      <c r="S83" s="78"/>
      <c r="T83" s="78"/>
      <c r="U83" s="78"/>
      <c r="V83" s="78"/>
      <c r="W83" s="78"/>
      <c r="X83" s="78"/>
      <c r="Y83" s="78"/>
      <c r="Z83" s="78"/>
      <c r="AA83" s="78"/>
      <c r="AB83" s="78"/>
      <c r="AC83" s="78"/>
      <c r="AD83" s="78"/>
      <c r="AE83" s="674"/>
    </row>
    <row r="84" spans="1:31">
      <c r="A84" s="682" t="s">
        <v>820</v>
      </c>
      <c r="B84" s="110"/>
      <c r="C84" s="78"/>
      <c r="D84" s="78"/>
      <c r="E84" s="78"/>
      <c r="F84" s="78"/>
      <c r="G84" s="78"/>
      <c r="H84" s="78"/>
      <c r="I84" s="78"/>
      <c r="J84" s="78"/>
      <c r="K84" s="78"/>
      <c r="L84" s="78"/>
      <c r="M84" s="78"/>
      <c r="N84" s="78"/>
      <c r="O84" s="78"/>
      <c r="P84" s="78"/>
      <c r="Q84" s="78"/>
      <c r="R84" s="78"/>
      <c r="S84" s="78"/>
      <c r="T84" s="78"/>
      <c r="U84" s="78"/>
      <c r="V84" s="78"/>
      <c r="W84" s="78"/>
      <c r="X84" s="78"/>
      <c r="Y84" s="78"/>
      <c r="Z84" s="78"/>
      <c r="AA84" s="78"/>
      <c r="AB84" s="78"/>
      <c r="AC84" s="78"/>
      <c r="AD84" s="78"/>
      <c r="AE84" s="674"/>
    </row>
    <row r="85" spans="1:31">
      <c r="A85" s="682" t="s">
        <v>159</v>
      </c>
      <c r="B85" s="110"/>
      <c r="C85" s="78"/>
      <c r="D85" s="78"/>
      <c r="E85" s="78"/>
      <c r="F85" s="78"/>
      <c r="G85" s="78"/>
      <c r="H85" s="78"/>
      <c r="I85" s="78"/>
      <c r="J85" s="78"/>
      <c r="K85" s="78"/>
      <c r="L85" s="78"/>
      <c r="M85" s="78"/>
      <c r="N85" s="78"/>
      <c r="O85" s="78"/>
      <c r="P85" s="78"/>
      <c r="Q85" s="78"/>
      <c r="R85" s="78"/>
      <c r="S85" s="78"/>
      <c r="T85" s="78"/>
      <c r="U85" s="78"/>
      <c r="V85" s="78"/>
      <c r="W85" s="78"/>
      <c r="X85" s="78"/>
      <c r="Y85" s="78"/>
      <c r="Z85" s="78"/>
      <c r="AA85" s="78"/>
      <c r="AB85" s="78"/>
      <c r="AC85" s="78"/>
      <c r="AD85" s="78"/>
      <c r="AE85" s="674"/>
    </row>
    <row r="86" spans="1:31">
      <c r="A86" s="682" t="s">
        <v>632</v>
      </c>
      <c r="B86" s="110"/>
      <c r="C86" s="78"/>
      <c r="D86" s="78"/>
      <c r="E86" s="78"/>
      <c r="F86" s="78"/>
      <c r="G86" s="78"/>
      <c r="H86" s="78"/>
      <c r="I86" s="78"/>
      <c r="J86" s="78"/>
      <c r="K86" s="78"/>
      <c r="L86" s="78"/>
      <c r="M86" s="78"/>
      <c r="N86" s="78"/>
      <c r="O86" s="78"/>
      <c r="P86" s="78"/>
      <c r="Q86" s="78"/>
      <c r="R86" s="78"/>
      <c r="S86" s="78"/>
      <c r="T86" s="78"/>
      <c r="U86" s="78"/>
      <c r="V86" s="78"/>
      <c r="W86" s="78"/>
      <c r="X86" s="78"/>
      <c r="Y86" s="78"/>
      <c r="Z86" s="78"/>
      <c r="AA86" s="78"/>
      <c r="AB86" s="78"/>
      <c r="AC86" s="78"/>
      <c r="AD86" s="78"/>
      <c r="AE86" s="674"/>
    </row>
    <row r="87" spans="1:31">
      <c r="A87" s="682" t="s">
        <v>821</v>
      </c>
      <c r="B87" s="110"/>
      <c r="C87" s="7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674"/>
    </row>
    <row r="88" spans="1:31">
      <c r="A88" s="682" t="s">
        <v>822</v>
      </c>
      <c r="B88" s="110"/>
      <c r="C88" s="78"/>
      <c r="D88" s="78"/>
      <c r="E88" s="78"/>
      <c r="F88" s="78"/>
      <c r="G88" s="78"/>
      <c r="H88" s="78"/>
      <c r="I88" s="78"/>
      <c r="J88" s="78"/>
      <c r="K88" s="78"/>
      <c r="L88" s="78"/>
      <c r="M88" s="78"/>
      <c r="N88" s="78"/>
      <c r="O88" s="78"/>
      <c r="P88" s="78"/>
      <c r="Q88" s="78"/>
      <c r="R88" s="78"/>
      <c r="S88" s="78"/>
      <c r="T88" s="78"/>
      <c r="U88" s="78"/>
      <c r="V88" s="78"/>
      <c r="W88" s="78"/>
      <c r="X88" s="78"/>
      <c r="Y88" s="78"/>
      <c r="Z88" s="78"/>
      <c r="AA88" s="78"/>
      <c r="AB88" s="78"/>
      <c r="AC88" s="78"/>
      <c r="AD88" s="78"/>
      <c r="AE88" s="674"/>
    </row>
    <row r="89" spans="1:31">
      <c r="A89" s="682" t="s">
        <v>780</v>
      </c>
      <c r="B89" s="110"/>
      <c r="C89" s="78"/>
      <c r="D89" s="78"/>
      <c r="E89" s="78"/>
      <c r="F89" s="78"/>
      <c r="G89" s="78"/>
      <c r="H89" s="78"/>
      <c r="I89" s="78"/>
      <c r="J89" s="78"/>
      <c r="K89" s="78"/>
      <c r="L89" s="78"/>
      <c r="M89" s="78"/>
      <c r="N89" s="78"/>
      <c r="O89" s="78"/>
      <c r="P89" s="78"/>
      <c r="Q89" s="78"/>
      <c r="R89" s="78"/>
      <c r="S89" s="78"/>
      <c r="T89" s="78"/>
      <c r="U89" s="78"/>
      <c r="V89" s="78"/>
      <c r="W89" s="78"/>
      <c r="X89" s="78"/>
      <c r="Y89" s="78"/>
      <c r="Z89" s="78"/>
      <c r="AA89" s="78"/>
      <c r="AB89" s="78"/>
      <c r="AC89" s="78"/>
      <c r="AD89" s="78"/>
      <c r="AE89" s="674"/>
    </row>
    <row r="90" spans="1:31">
      <c r="A90" s="682" t="s">
        <v>823</v>
      </c>
      <c r="B90" s="110"/>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674"/>
    </row>
    <row r="91" spans="1:31">
      <c r="A91" s="682" t="s">
        <v>824</v>
      </c>
      <c r="B91" s="110"/>
      <c r="C91" s="78"/>
      <c r="D91" s="78"/>
      <c r="E91" s="78"/>
      <c r="F91" s="78"/>
      <c r="G91" s="78"/>
      <c r="H91" s="78"/>
      <c r="I91" s="78"/>
      <c r="J91" s="78"/>
      <c r="K91" s="78"/>
      <c r="L91" s="78"/>
      <c r="M91" s="78"/>
      <c r="N91" s="78"/>
      <c r="O91" s="78"/>
      <c r="P91" s="78"/>
      <c r="Q91" s="78"/>
      <c r="R91" s="78"/>
      <c r="S91" s="78"/>
      <c r="T91" s="78"/>
      <c r="U91" s="78"/>
      <c r="V91" s="78"/>
      <c r="W91" s="78"/>
      <c r="X91" s="78"/>
      <c r="Y91" s="78"/>
      <c r="Z91" s="78"/>
      <c r="AA91" s="78"/>
      <c r="AB91" s="78"/>
      <c r="AC91" s="78"/>
      <c r="AD91" s="78"/>
      <c r="AE91" s="674"/>
    </row>
    <row r="92" spans="1:31">
      <c r="A92" s="682" t="s">
        <v>781</v>
      </c>
      <c r="B92" s="110"/>
      <c r="C92" s="78"/>
      <c r="D92" s="78"/>
      <c r="E92" s="78"/>
      <c r="F92" s="78"/>
      <c r="G92" s="78"/>
      <c r="H92" s="78"/>
      <c r="I92" s="78"/>
      <c r="J92" s="78"/>
      <c r="K92" s="78"/>
      <c r="L92" s="78"/>
      <c r="M92" s="78"/>
      <c r="N92" s="78"/>
      <c r="O92" s="78"/>
      <c r="P92" s="78"/>
      <c r="Q92" s="78"/>
      <c r="R92" s="78"/>
      <c r="S92" s="78"/>
      <c r="T92" s="78"/>
      <c r="U92" s="78"/>
      <c r="V92" s="78"/>
      <c r="W92" s="78"/>
      <c r="X92" s="78"/>
      <c r="Y92" s="78"/>
      <c r="Z92" s="78"/>
      <c r="AA92" s="78"/>
      <c r="AB92" s="78"/>
      <c r="AC92" s="78"/>
      <c r="AD92" s="78"/>
      <c r="AE92" s="674"/>
    </row>
    <row r="93" spans="1:31">
      <c r="A93" s="682" t="s">
        <v>825</v>
      </c>
      <c r="B93" s="110"/>
      <c r="C93" s="78"/>
      <c r="D93" s="78"/>
      <c r="E93" s="78"/>
      <c r="F93" s="78"/>
      <c r="G93" s="78"/>
      <c r="H93" s="78"/>
      <c r="I93" s="78"/>
      <c r="J93" s="78"/>
      <c r="K93" s="78"/>
      <c r="L93" s="78"/>
      <c r="M93" s="78"/>
      <c r="N93" s="78"/>
      <c r="O93" s="78"/>
      <c r="P93" s="78"/>
      <c r="Q93" s="78"/>
      <c r="R93" s="78"/>
      <c r="S93" s="78"/>
      <c r="T93" s="78"/>
      <c r="U93" s="78"/>
      <c r="V93" s="78"/>
      <c r="W93" s="78"/>
      <c r="X93" s="78"/>
      <c r="Y93" s="78"/>
      <c r="Z93" s="78"/>
      <c r="AA93" s="78"/>
      <c r="AB93" s="78"/>
      <c r="AC93" s="78"/>
      <c r="AD93" s="78"/>
      <c r="AE93" s="674"/>
    </row>
    <row r="94" spans="1:31">
      <c r="A94" s="682" t="s">
        <v>826</v>
      </c>
      <c r="B94" s="110"/>
      <c r="C94" s="78"/>
      <c r="D94" s="78"/>
      <c r="E94" s="78"/>
      <c r="F94" s="78"/>
      <c r="G94" s="78"/>
      <c r="H94" s="78"/>
      <c r="I94" s="78"/>
      <c r="J94" s="78"/>
      <c r="K94" s="78"/>
      <c r="L94" s="78"/>
      <c r="M94" s="78"/>
      <c r="N94" s="78"/>
      <c r="O94" s="78"/>
      <c r="P94" s="78"/>
      <c r="Q94" s="78"/>
      <c r="R94" s="78"/>
      <c r="S94" s="78"/>
      <c r="T94" s="78"/>
      <c r="U94" s="78"/>
      <c r="V94" s="78"/>
      <c r="W94" s="78"/>
      <c r="X94" s="78"/>
      <c r="Y94" s="78"/>
      <c r="Z94" s="78"/>
      <c r="AA94" s="78"/>
      <c r="AB94" s="78"/>
      <c r="AC94" s="78"/>
      <c r="AD94" s="78"/>
      <c r="AE94" s="674"/>
    </row>
    <row r="95" spans="1:31">
      <c r="A95" s="683"/>
    </row>
  </sheetData>
  <sheetProtection sheet="1" objects="1" scenarios="1" formatCells="0" formatColumns="0" formatRows="0"/>
  <mergeCells count="28">
    <mergeCell ref="W46:Z46"/>
    <mergeCell ref="AA46:AD46"/>
    <mergeCell ref="A5:A15"/>
    <mergeCell ref="A32:A42"/>
    <mergeCell ref="A48:A58"/>
    <mergeCell ref="A46:B47"/>
    <mergeCell ref="A30:B31"/>
    <mergeCell ref="C46:F46"/>
    <mergeCell ref="G46:J46"/>
    <mergeCell ref="K46:N46"/>
    <mergeCell ref="O46:R46"/>
    <mergeCell ref="S46:V46"/>
    <mergeCell ref="W3:Z3"/>
    <mergeCell ref="AA3:AD3"/>
    <mergeCell ref="A28:E28"/>
    <mergeCell ref="C30:F30"/>
    <mergeCell ref="G30:J30"/>
    <mergeCell ref="K30:N30"/>
    <mergeCell ref="O30:R30"/>
    <mergeCell ref="S30:V30"/>
    <mergeCell ref="W30:Z30"/>
    <mergeCell ref="AA30:AD30"/>
    <mergeCell ref="A3:B4"/>
    <mergeCell ref="C3:F3"/>
    <mergeCell ref="G3:J3"/>
    <mergeCell ref="K3:N3"/>
    <mergeCell ref="O3:R3"/>
    <mergeCell ref="S3:V3"/>
  </mergeCells>
  <phoneticPr fontId="102" type="noConversion"/>
  <dataValidations count="3">
    <dataValidation type="list" allowBlank="1" showInputMessage="1" showErrorMessage="1" sqref="B5:B8">
      <formula1>$A$69:$A$93</formula1>
    </dataValidation>
    <dataValidation type="list" allowBlank="1" showInputMessage="1" showErrorMessage="1" sqref="B9:B10 B36:B37 B52:B53">
      <formula1>$A$70:$A$94</formula1>
    </dataValidation>
    <dataValidation type="list" allowBlank="1" showInputMessage="1" showErrorMessage="1" sqref="B11:B15 B32:B35 B38:B42 B48:B51 B54:B58">
      <formula1>$A$69:$A$94</formula1>
    </dataValidation>
  </dataValidations>
  <pageMargins left="0.69930555555555596" right="0.69930555555555596" top="0.75" bottom="0.75" header="0.3" footer="0.3"/>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H84"/>
  <sheetViews>
    <sheetView showGridLines="0" workbookViewId="0">
      <pane xSplit="3" ySplit="3" topLeftCell="P4" activePane="bottomRight" state="frozen"/>
      <selection pane="topRight"/>
      <selection pane="bottomLeft"/>
      <selection pane="bottomRight" activeCell="Y5" sqref="Y5"/>
    </sheetView>
  </sheetViews>
  <sheetFormatPr defaultColWidth="9" defaultRowHeight="13.5" outlineLevelRow="1"/>
  <cols>
    <col min="1" max="1" width="7.75" style="573" customWidth="1"/>
    <col min="2" max="2" width="6.875" style="573" customWidth="1"/>
    <col min="3" max="3" width="12.625" style="573" customWidth="1"/>
    <col min="4" max="4" width="7.625" style="573" customWidth="1"/>
    <col min="5" max="5" width="9" style="573"/>
    <col min="6" max="6" width="9" style="574"/>
    <col min="7" max="7" width="9.375" style="573" customWidth="1"/>
    <col min="8" max="13" width="10.125" style="573" customWidth="1"/>
    <col min="14" max="14" width="9.375" style="573" customWidth="1"/>
    <col min="15" max="16" width="10.125" style="573" customWidth="1"/>
    <col min="17" max="21" width="9.375" style="573" customWidth="1"/>
    <col min="22" max="22" width="9.5" style="573" customWidth="1"/>
    <col min="23" max="26" width="9.375" style="573" customWidth="1"/>
    <col min="27" max="27" width="10.125" style="573" customWidth="1"/>
    <col min="28" max="28" width="9.375" style="573" customWidth="1"/>
    <col min="29" max="29" width="10.125" style="573" customWidth="1"/>
    <col min="30" max="30" width="9.375" style="573" customWidth="1"/>
    <col min="31" max="31" width="8" style="573" customWidth="1"/>
    <col min="32" max="32" width="9" style="573"/>
    <col min="33" max="33" width="12.875" style="573" customWidth="1"/>
    <col min="34" max="16384" width="9" style="573"/>
  </cols>
  <sheetData>
    <row r="1" spans="1:34" ht="22.5">
      <c r="A1" s="575" t="str">
        <f>"项目"&amp;'1.参数设置'!E4&amp;"开发计划表"</f>
        <v>项目拿地阶段开发计划表</v>
      </c>
      <c r="B1" s="576"/>
      <c r="C1" s="576"/>
      <c r="D1" s="576"/>
      <c r="E1" s="576"/>
      <c r="F1" s="577" t="s">
        <v>117</v>
      </c>
      <c r="G1" s="576"/>
      <c r="H1" s="576"/>
      <c r="I1" s="576"/>
      <c r="J1" s="576"/>
      <c r="K1" s="576"/>
      <c r="L1" s="576"/>
      <c r="M1" s="576"/>
      <c r="N1" s="576"/>
      <c r="O1" s="576"/>
      <c r="P1" s="605"/>
      <c r="Q1" s="605"/>
      <c r="R1" s="605"/>
      <c r="S1" s="605"/>
      <c r="T1" s="605"/>
      <c r="U1" s="605"/>
      <c r="V1" s="613"/>
      <c r="W1" s="605"/>
      <c r="X1" s="605"/>
      <c r="Y1" s="605"/>
      <c r="Z1" s="605"/>
      <c r="AA1" s="605"/>
      <c r="AB1" s="605"/>
      <c r="AC1" s="605"/>
      <c r="AD1" s="605"/>
      <c r="AE1" s="605"/>
      <c r="AF1" s="605"/>
      <c r="AG1" s="605"/>
      <c r="AH1" s="605"/>
    </row>
    <row r="2" spans="1:34" s="570" customFormat="1" ht="12.75">
      <c r="A2" s="578" t="s">
        <v>827</v>
      </c>
      <c r="B2" s="579"/>
      <c r="C2" s="580">
        <v>1</v>
      </c>
      <c r="D2" s="580">
        <v>2</v>
      </c>
      <c r="E2" s="580">
        <v>3</v>
      </c>
      <c r="F2" s="580">
        <v>4</v>
      </c>
      <c r="G2" s="580">
        <v>5</v>
      </c>
      <c r="H2" s="580">
        <v>6</v>
      </c>
      <c r="I2" s="580">
        <v>7</v>
      </c>
      <c r="J2" s="580">
        <v>8</v>
      </c>
      <c r="K2" s="580">
        <v>9</v>
      </c>
      <c r="L2" s="580">
        <v>10</v>
      </c>
      <c r="M2" s="580">
        <v>11</v>
      </c>
      <c r="N2" s="580">
        <v>12</v>
      </c>
      <c r="O2" s="580">
        <v>13</v>
      </c>
      <c r="P2" s="580">
        <v>14</v>
      </c>
      <c r="Q2" s="580">
        <v>15</v>
      </c>
      <c r="R2" s="580">
        <v>16</v>
      </c>
      <c r="S2" s="580">
        <v>17</v>
      </c>
      <c r="T2" s="580">
        <v>18</v>
      </c>
      <c r="U2" s="580">
        <v>19</v>
      </c>
      <c r="V2" s="580">
        <v>20</v>
      </c>
      <c r="W2" s="580">
        <v>21</v>
      </c>
      <c r="X2" s="580">
        <v>22</v>
      </c>
      <c r="Y2" s="580">
        <v>23</v>
      </c>
      <c r="Z2" s="580">
        <v>24</v>
      </c>
      <c r="AA2" s="580">
        <v>25</v>
      </c>
      <c r="AB2" s="580">
        <v>26</v>
      </c>
      <c r="AC2" s="580">
        <v>27</v>
      </c>
      <c r="AD2" s="580">
        <v>28</v>
      </c>
      <c r="AE2" s="580">
        <v>29</v>
      </c>
      <c r="AF2" s="580">
        <v>30</v>
      </c>
      <c r="AG2" s="580">
        <v>31</v>
      </c>
      <c r="AH2" s="580">
        <v>32</v>
      </c>
    </row>
    <row r="3" spans="1:34" s="571" customFormat="1" ht="60">
      <c r="A3" s="581" t="s">
        <v>828</v>
      </c>
      <c r="B3" s="582" t="s">
        <v>829</v>
      </c>
      <c r="C3" s="582" t="s">
        <v>550</v>
      </c>
      <c r="D3" s="582" t="s">
        <v>830</v>
      </c>
      <c r="E3" s="582" t="s">
        <v>831</v>
      </c>
      <c r="F3" s="583" t="s">
        <v>832</v>
      </c>
      <c r="G3" s="582" t="s">
        <v>672</v>
      </c>
      <c r="H3" s="582" t="s">
        <v>833</v>
      </c>
      <c r="I3" s="582" t="s">
        <v>834</v>
      </c>
      <c r="J3" s="582" t="s">
        <v>835</v>
      </c>
      <c r="K3" s="582" t="s">
        <v>836</v>
      </c>
      <c r="L3" s="582" t="s">
        <v>837</v>
      </c>
      <c r="M3" s="582" t="s">
        <v>838</v>
      </c>
      <c r="N3" s="582" t="s">
        <v>839</v>
      </c>
      <c r="O3" s="582" t="s">
        <v>840</v>
      </c>
      <c r="P3" s="582" t="s">
        <v>841</v>
      </c>
      <c r="Q3" s="582" t="s">
        <v>842</v>
      </c>
      <c r="R3" s="582" t="s">
        <v>843</v>
      </c>
      <c r="S3" s="582" t="s">
        <v>844</v>
      </c>
      <c r="T3" s="582" t="s">
        <v>845</v>
      </c>
      <c r="U3" s="582" t="s">
        <v>846</v>
      </c>
      <c r="V3" s="582" t="s">
        <v>847</v>
      </c>
      <c r="W3" s="582" t="s">
        <v>848</v>
      </c>
      <c r="X3" s="582" t="s">
        <v>849</v>
      </c>
      <c r="Y3" s="582" t="s">
        <v>850</v>
      </c>
      <c r="Z3" s="582" t="s">
        <v>851</v>
      </c>
      <c r="AA3" s="582" t="s">
        <v>852</v>
      </c>
      <c r="AB3" s="582" t="s">
        <v>853</v>
      </c>
      <c r="AC3" s="582" t="s">
        <v>854</v>
      </c>
      <c r="AD3" s="582" t="s">
        <v>855</v>
      </c>
      <c r="AE3" s="582" t="s">
        <v>856</v>
      </c>
      <c r="AF3" s="615"/>
      <c r="AG3" s="615"/>
      <c r="AH3" s="615"/>
    </row>
    <row r="4" spans="1:34" s="572" customFormat="1" ht="15.75" customHeight="1">
      <c r="A4" s="584" t="s">
        <v>857</v>
      </c>
      <c r="B4" s="585"/>
      <c r="C4" s="585"/>
      <c r="D4" s="585"/>
      <c r="E4" s="585"/>
      <c r="F4" s="586"/>
      <c r="G4" s="585"/>
      <c r="H4" s="587">
        <v>1</v>
      </c>
      <c r="I4" s="587">
        <v>2</v>
      </c>
      <c r="J4" s="587">
        <v>3</v>
      </c>
      <c r="K4" s="587">
        <v>4</v>
      </c>
      <c r="L4" s="587">
        <v>5</v>
      </c>
      <c r="M4" s="587">
        <v>6</v>
      </c>
      <c r="N4" s="587">
        <v>7</v>
      </c>
      <c r="O4" s="587">
        <v>8</v>
      </c>
      <c r="P4" s="587">
        <v>9</v>
      </c>
      <c r="Q4" s="587">
        <v>10</v>
      </c>
      <c r="R4" s="587">
        <v>11</v>
      </c>
      <c r="S4" s="587">
        <v>12</v>
      </c>
      <c r="T4" s="587">
        <v>13</v>
      </c>
      <c r="U4" s="587">
        <v>14</v>
      </c>
      <c r="V4" s="587">
        <v>15</v>
      </c>
      <c r="W4" s="587">
        <v>16</v>
      </c>
      <c r="X4" s="587">
        <v>17</v>
      </c>
      <c r="Y4" s="587">
        <v>18</v>
      </c>
      <c r="Z4" s="587">
        <v>19</v>
      </c>
      <c r="AA4" s="587">
        <v>20</v>
      </c>
      <c r="AB4" s="587">
        <v>21</v>
      </c>
      <c r="AC4" s="587">
        <v>22</v>
      </c>
      <c r="AD4" s="587">
        <v>23</v>
      </c>
      <c r="AE4" s="585"/>
      <c r="AF4" s="616"/>
      <c r="AG4" s="616"/>
      <c r="AH4" s="616"/>
    </row>
    <row r="5" spans="1:34" s="570" customFormat="1" ht="16.5" customHeight="1">
      <c r="A5" s="1917" t="s">
        <v>858</v>
      </c>
      <c r="B5" s="1920" t="s">
        <v>19</v>
      </c>
      <c r="C5" s="588" t="str">
        <f>'8.项目规划指标表'!B5</f>
        <v>高层</v>
      </c>
      <c r="D5" s="589" t="str">
        <f>IF('8.项目规划指标表'!$J$5=0,"销售",IF(AND('8.项目规划指标表'!$I$5&gt;0,'8.项目规划指标表'!$J$5&gt;0),"自持/销售","自持"))</f>
        <v>销售</v>
      </c>
      <c r="E5" s="590"/>
      <c r="F5" s="591">
        <f>'8.项目规划指标表'!H5</f>
        <v>56100</v>
      </c>
      <c r="G5" s="591">
        <f>'8.项目规划指标表'!I5</f>
        <v>56100</v>
      </c>
      <c r="H5" s="592">
        <f>K5-35</f>
        <v>43316</v>
      </c>
      <c r="I5" s="592">
        <f>H5+6</f>
        <v>43322</v>
      </c>
      <c r="J5" s="592">
        <f>I5+4</f>
        <v>43326</v>
      </c>
      <c r="K5" s="592">
        <v>43351</v>
      </c>
      <c r="L5" s="592">
        <f>J5+25</f>
        <v>43351</v>
      </c>
      <c r="M5" s="592">
        <v>43363</v>
      </c>
      <c r="N5" s="592">
        <f>M5+61</f>
        <v>43424</v>
      </c>
      <c r="O5" s="592">
        <f>L5</f>
        <v>43351</v>
      </c>
      <c r="P5" s="592">
        <f>N5+30</f>
        <v>43454</v>
      </c>
      <c r="Q5" s="592">
        <f>O5+28</f>
        <v>43379</v>
      </c>
      <c r="R5" s="592">
        <f>O5+22</f>
        <v>43373</v>
      </c>
      <c r="S5" s="592">
        <f>P5+25</f>
        <v>43479</v>
      </c>
      <c r="T5" s="592">
        <f>N5+30</f>
        <v>43454</v>
      </c>
      <c r="U5" s="592">
        <f>S5+31</f>
        <v>43510</v>
      </c>
      <c r="V5" s="614">
        <f>U5+30</f>
        <v>43540</v>
      </c>
      <c r="W5" s="592">
        <f>T5+80</f>
        <v>43534</v>
      </c>
      <c r="X5" s="592">
        <v>43624</v>
      </c>
      <c r="Y5" s="592">
        <f>X5+3</f>
        <v>43627</v>
      </c>
      <c r="Z5" s="592">
        <f>W5+45+17*6+20+20</f>
        <v>43721</v>
      </c>
      <c r="AA5" s="592">
        <f>Z5+50+17*3+120+20</f>
        <v>43962</v>
      </c>
      <c r="AB5" s="592">
        <f>AA5+30</f>
        <v>43992</v>
      </c>
      <c r="AC5" s="592">
        <f>AA5+180</f>
        <v>44142</v>
      </c>
      <c r="AD5" s="592">
        <v>44562</v>
      </c>
      <c r="AE5" s="617"/>
      <c r="AF5" s="618">
        <f>IF(MAX('9.项目开发计划表'!AB5:AC5)=0,"",MAX('9.项目开发计划表'!AB5:AC5))</f>
        <v>44142</v>
      </c>
      <c r="AG5" s="620" t="str">
        <f>IFERROR(YEAR(AF5)&amp;"年"&amp;AH5&amp;"季度","")</f>
        <v>2020年4季度</v>
      </c>
      <c r="AH5" s="570">
        <f t="shared" ref="AH5:AH16" si="0">IFERROR(IF(OR(MONTH(AF5)=1,MONTH(AF5)=2,MONTH(AF5)=3),1,IF(OR(MONTH(AF5)=4,MONTH(AF5)=5,MONTH(AF5)=6),2,IF(OR(MONTH(AF5)=7,MONTH(AF5)=8,MONTH(AF5)=9),3,4))),"")</f>
        <v>4</v>
      </c>
    </row>
    <row r="6" spans="1:34" s="570" customFormat="1" ht="16.5" customHeight="1">
      <c r="A6" s="1918"/>
      <c r="B6" s="1920"/>
      <c r="C6" s="588" t="str">
        <f>'8.项目规划指标表'!B6</f>
        <v>商铺</v>
      </c>
      <c r="D6" s="589" t="str">
        <f>IF('8.项目规划指标表'!$J$6=0,"销售",IF(AND('8.项目规划指标表'!$I$6&gt;0,'8.项目规划指标表'!$J$6&gt;0),"自持/销售","自持"))</f>
        <v>销售</v>
      </c>
      <c r="E6" s="590"/>
      <c r="F6" s="591">
        <f>'8.项目规划指标表'!H6</f>
        <v>3640</v>
      </c>
      <c r="G6" s="591">
        <f>'8.项目规划指标表'!I6</f>
        <v>3640</v>
      </c>
      <c r="H6" s="592">
        <f>K6-35</f>
        <v>43316</v>
      </c>
      <c r="I6" s="592">
        <f>H6+6</f>
        <v>43322</v>
      </c>
      <c r="J6" s="592">
        <f>I6+4</f>
        <v>43326</v>
      </c>
      <c r="K6" s="592">
        <v>43351</v>
      </c>
      <c r="L6" s="592">
        <f>J6+25</f>
        <v>43351</v>
      </c>
      <c r="M6" s="592">
        <v>43363</v>
      </c>
      <c r="N6" s="592">
        <f>M6+61</f>
        <v>43424</v>
      </c>
      <c r="O6" s="592">
        <f>L6</f>
        <v>43351</v>
      </c>
      <c r="P6" s="592">
        <f>N6+30</f>
        <v>43454</v>
      </c>
      <c r="Q6" s="592">
        <f>O6+28</f>
        <v>43379</v>
      </c>
      <c r="R6" s="592">
        <f>O6+22</f>
        <v>43373</v>
      </c>
      <c r="S6" s="592">
        <f>P6+25</f>
        <v>43479</v>
      </c>
      <c r="T6" s="592">
        <f>N6+30</f>
        <v>43454</v>
      </c>
      <c r="U6" s="592">
        <f>S6+31</f>
        <v>43510</v>
      </c>
      <c r="V6" s="614">
        <f>U6+30</f>
        <v>43540</v>
      </c>
      <c r="W6" s="592">
        <f>T6+80</f>
        <v>43534</v>
      </c>
      <c r="X6" s="592">
        <v>43624</v>
      </c>
      <c r="Y6" s="592">
        <f>X6+3</f>
        <v>43627</v>
      </c>
      <c r="Z6" s="592">
        <f>W6+45+17*6+20+20</f>
        <v>43721</v>
      </c>
      <c r="AA6" s="592">
        <f>Z6+50+17*3+120+20</f>
        <v>43962</v>
      </c>
      <c r="AB6" s="592">
        <f>AA6+30</f>
        <v>43992</v>
      </c>
      <c r="AC6" s="592">
        <f>AA6+180</f>
        <v>44142</v>
      </c>
      <c r="AD6" s="592">
        <v>44562</v>
      </c>
      <c r="AE6" s="617"/>
      <c r="AF6" s="618">
        <f>IF(MAX('9.项目开发计划表'!AB6:AC6)=0,"",MAX('9.项目开发计划表'!AB6:AC6))</f>
        <v>44142</v>
      </c>
      <c r="AG6" s="620" t="str">
        <f t="shared" ref="AG6:AG16" si="1">IFERROR(YEAR(AF6)&amp;"年"&amp;AH6&amp;"季度","")</f>
        <v>2020年4季度</v>
      </c>
      <c r="AH6" s="570">
        <f t="shared" si="0"/>
        <v>4</v>
      </c>
    </row>
    <row r="7" spans="1:34" s="570" customFormat="1" ht="16.5" customHeight="1">
      <c r="A7" s="1918"/>
      <c r="B7" s="1920"/>
      <c r="C7" s="588" t="str">
        <f>'8.项目规划指标表'!B7</f>
        <v>回迁商业</v>
      </c>
      <c r="D7" s="589" t="str">
        <f>IF('8.项目规划指标表'!$J$7=0,"销售",IF(AND('8.项目规划指标表'!$I$7&gt;0,'8.项目规划指标表'!$J$7&gt;0),"自持/销售","自持"))</f>
        <v>销售</v>
      </c>
      <c r="E7" s="590"/>
      <c r="F7" s="591">
        <f>'8.项目规划指标表'!H7</f>
        <v>4208</v>
      </c>
      <c r="G7" s="591">
        <f>'8.项目规划指标表'!I7</f>
        <v>0</v>
      </c>
      <c r="H7" s="592"/>
      <c r="I7" s="592"/>
      <c r="J7" s="592"/>
      <c r="K7" s="592"/>
      <c r="L7" s="592"/>
      <c r="M7" s="592"/>
      <c r="N7" s="592"/>
      <c r="O7" s="592"/>
      <c r="P7" s="592"/>
      <c r="Q7" s="592"/>
      <c r="R7" s="592"/>
      <c r="S7" s="592"/>
      <c r="T7" s="592"/>
      <c r="U7" s="592"/>
      <c r="V7" s="614"/>
      <c r="W7" s="592"/>
      <c r="X7" s="592"/>
      <c r="Y7" s="592"/>
      <c r="Z7" s="592"/>
      <c r="AA7" s="592"/>
      <c r="AB7" s="592"/>
      <c r="AC7" s="592"/>
      <c r="AD7" s="592"/>
      <c r="AE7" s="617"/>
      <c r="AF7" s="618" t="str">
        <f>IF(MAX('9.项目开发计划表'!AB7:AC7)=0,"",MAX('9.项目开发计划表'!AB7:AC7))</f>
        <v/>
      </c>
      <c r="AG7" s="620" t="str">
        <f t="shared" si="1"/>
        <v/>
      </c>
      <c r="AH7" s="570" t="str">
        <f t="shared" si="0"/>
        <v/>
      </c>
    </row>
    <row r="8" spans="1:34" s="570" customFormat="1" ht="16.5" customHeight="1">
      <c r="A8" s="1918"/>
      <c r="B8" s="1920"/>
      <c r="C8" s="588">
        <f>'8.项目规划指标表'!B8</f>
        <v>0</v>
      </c>
      <c r="D8" s="589" t="str">
        <f>IF('8.项目规划指标表'!$J$8=0,"销售",IF(AND('8.项目规划指标表'!$I$8&gt;0,'8.项目规划指标表'!$J$8&gt;0),"自持/销售","自持"))</f>
        <v>销售</v>
      </c>
      <c r="E8" s="590"/>
      <c r="F8" s="591">
        <f>'8.项目规划指标表'!H8</f>
        <v>0</v>
      </c>
      <c r="G8" s="591">
        <f>'8.项目规划指标表'!I8</f>
        <v>0</v>
      </c>
      <c r="H8" s="592"/>
      <c r="I8" s="592"/>
      <c r="J8" s="592"/>
      <c r="K8" s="592"/>
      <c r="L8" s="592"/>
      <c r="M8" s="592"/>
      <c r="N8" s="592"/>
      <c r="O8" s="592"/>
      <c r="P8" s="592"/>
      <c r="Q8" s="592"/>
      <c r="R8" s="592"/>
      <c r="S8" s="592"/>
      <c r="T8" s="592"/>
      <c r="U8" s="592"/>
      <c r="V8" s="614"/>
      <c r="W8" s="592"/>
      <c r="X8" s="592"/>
      <c r="Y8" s="592"/>
      <c r="Z8" s="592"/>
      <c r="AA8" s="592"/>
      <c r="AB8" s="592"/>
      <c r="AC8" s="592"/>
      <c r="AD8" s="592"/>
      <c r="AE8" s="617"/>
      <c r="AF8" s="618" t="str">
        <f>IF(MAX('9.项目开发计划表'!AB8:AC8)=0,"",MAX('9.项目开发计划表'!AB8:AC8))</f>
        <v/>
      </c>
      <c r="AG8" s="620" t="str">
        <f t="shared" si="1"/>
        <v/>
      </c>
      <c r="AH8" s="570" t="str">
        <f t="shared" si="0"/>
        <v/>
      </c>
    </row>
    <row r="9" spans="1:34" s="570" customFormat="1" ht="16.5" customHeight="1">
      <c r="A9" s="1918"/>
      <c r="B9" s="1920"/>
      <c r="C9" s="588">
        <f>'8.项目规划指标表'!B9</f>
        <v>0</v>
      </c>
      <c r="D9" s="589" t="str">
        <f>IF('8.项目规划指标表'!$J$9=0,"销售",IF(AND('8.项目规划指标表'!$I$9&gt;0,'8.项目规划指标表'!$J$9&gt;0),"自持/销售","自持"))</f>
        <v>销售</v>
      </c>
      <c r="E9" s="590"/>
      <c r="F9" s="591">
        <f>'8.项目规划指标表'!H9</f>
        <v>0</v>
      </c>
      <c r="G9" s="591">
        <f>'8.项目规划指标表'!I9</f>
        <v>0</v>
      </c>
      <c r="H9" s="592"/>
      <c r="I9" s="592"/>
      <c r="J9" s="592"/>
      <c r="K9" s="592"/>
      <c r="L9" s="592"/>
      <c r="M9" s="592"/>
      <c r="N9" s="592"/>
      <c r="O9" s="592"/>
      <c r="P9" s="592"/>
      <c r="Q9" s="614"/>
      <c r="R9" s="614"/>
      <c r="S9" s="614"/>
      <c r="T9" s="614"/>
      <c r="U9" s="614"/>
      <c r="V9" s="614"/>
      <c r="W9" s="592"/>
      <c r="X9" s="614"/>
      <c r="Y9" s="614"/>
      <c r="Z9" s="614"/>
      <c r="AA9" s="614"/>
      <c r="AB9" s="614"/>
      <c r="AC9" s="614"/>
      <c r="AD9" s="614"/>
      <c r="AE9" s="617"/>
      <c r="AF9" s="618" t="str">
        <f>IF(MAX('9.项目开发计划表'!AB9:AC9)=0,"",MAX('9.项目开发计划表'!AB9:AC9))</f>
        <v/>
      </c>
      <c r="AG9" s="620" t="str">
        <f t="shared" si="1"/>
        <v/>
      </c>
      <c r="AH9" s="570" t="str">
        <f t="shared" si="0"/>
        <v/>
      </c>
    </row>
    <row r="10" spans="1:34" s="570" customFormat="1" ht="16.5" customHeight="1">
      <c r="A10" s="1918"/>
      <c r="B10" s="1920"/>
      <c r="C10" s="588">
        <f>'8.项目规划指标表'!B10</f>
        <v>0</v>
      </c>
      <c r="D10" s="589" t="str">
        <f>IF('8.项目规划指标表'!$J$10=0,"销售",IF(AND('8.项目规划指标表'!$I$10&gt;0,'8.项目规划指标表'!$J$10&gt;0),"自持/销售","自持"))</f>
        <v>销售</v>
      </c>
      <c r="E10" s="590"/>
      <c r="F10" s="591">
        <f>'8.项目规划指标表'!H10</f>
        <v>0</v>
      </c>
      <c r="G10" s="591">
        <f>'8.项目规划指标表'!I10</f>
        <v>0</v>
      </c>
      <c r="H10" s="592"/>
      <c r="I10" s="592"/>
      <c r="J10" s="592"/>
      <c r="K10" s="592"/>
      <c r="L10" s="592"/>
      <c r="M10" s="592"/>
      <c r="N10" s="592"/>
      <c r="O10" s="592"/>
      <c r="P10" s="592"/>
      <c r="Q10" s="614"/>
      <c r="R10" s="614"/>
      <c r="S10" s="614"/>
      <c r="T10" s="614"/>
      <c r="U10" s="614"/>
      <c r="V10" s="614"/>
      <c r="W10" s="592"/>
      <c r="X10" s="614"/>
      <c r="Y10" s="614"/>
      <c r="Z10" s="614"/>
      <c r="AA10" s="614"/>
      <c r="AB10" s="614"/>
      <c r="AC10" s="614"/>
      <c r="AD10" s="614"/>
      <c r="AE10" s="617"/>
      <c r="AF10" s="618" t="str">
        <f>IF(MAX('9.项目开发计划表'!AB10:AC10)=0,"",MAX('9.项目开发计划表'!AB10:AC10))</f>
        <v/>
      </c>
      <c r="AG10" s="620" t="str">
        <f t="shared" si="1"/>
        <v/>
      </c>
      <c r="AH10" s="570" t="str">
        <f t="shared" si="0"/>
        <v/>
      </c>
    </row>
    <row r="11" spans="1:34" s="570" customFormat="1" ht="16.5" customHeight="1">
      <c r="A11" s="1918"/>
      <c r="B11" s="1920"/>
      <c r="C11" s="588">
        <f>'8.项目规划指标表'!B11</f>
        <v>0</v>
      </c>
      <c r="D11" s="589" t="str">
        <f>IF('8.项目规划指标表'!$J$11=0,"销售",IF(AND('8.项目规划指标表'!$I$11&gt;0,'8.项目规划指标表'!$J$11&gt;0),"自持/销售","自持"))</f>
        <v>销售</v>
      </c>
      <c r="E11" s="590"/>
      <c r="F11" s="591">
        <f>'8.项目规划指标表'!H11</f>
        <v>0</v>
      </c>
      <c r="G11" s="591">
        <f>'8.项目规划指标表'!I11</f>
        <v>0</v>
      </c>
      <c r="H11" s="592"/>
      <c r="I11" s="592"/>
      <c r="J11" s="592"/>
      <c r="K11" s="592"/>
      <c r="L11" s="592"/>
      <c r="M11" s="592"/>
      <c r="N11" s="592"/>
      <c r="O11" s="592"/>
      <c r="P11" s="592"/>
      <c r="Q11" s="614"/>
      <c r="R11" s="614"/>
      <c r="S11" s="614"/>
      <c r="T11" s="614"/>
      <c r="U11" s="614"/>
      <c r="V11" s="614"/>
      <c r="W11" s="592"/>
      <c r="X11" s="614"/>
      <c r="Y11" s="614"/>
      <c r="Z11" s="614"/>
      <c r="AA11" s="614"/>
      <c r="AB11" s="614"/>
      <c r="AC11" s="614"/>
      <c r="AD11" s="614"/>
      <c r="AE11" s="617"/>
      <c r="AF11" s="618" t="str">
        <f>IF(MAX('9.项目开发计划表'!AB11:AC11)=0,"",MAX('9.项目开发计划表'!AB11:AC11))</f>
        <v/>
      </c>
      <c r="AG11" s="620" t="str">
        <f t="shared" si="1"/>
        <v/>
      </c>
      <c r="AH11" s="570" t="str">
        <f t="shared" si="0"/>
        <v/>
      </c>
    </row>
    <row r="12" spans="1:34" s="570" customFormat="1" ht="16.5" customHeight="1">
      <c r="A12" s="1918"/>
      <c r="B12" s="1920"/>
      <c r="C12" s="588">
        <f>'8.项目规划指标表'!B12</f>
        <v>0</v>
      </c>
      <c r="D12" s="589" t="str">
        <f>IF('8.项目规划指标表'!$J$12=0,"销售",IF(AND('8.项目规划指标表'!$I$12&gt;0,'8.项目规划指标表'!$J$12&gt;0),"自持/销售","自持"))</f>
        <v>销售</v>
      </c>
      <c r="E12" s="590"/>
      <c r="F12" s="591">
        <f>'8.项目规划指标表'!H12</f>
        <v>0</v>
      </c>
      <c r="G12" s="591">
        <f>'8.项目规划指标表'!I12</f>
        <v>0</v>
      </c>
      <c r="H12" s="592"/>
      <c r="I12" s="592"/>
      <c r="J12" s="592"/>
      <c r="K12" s="592"/>
      <c r="L12" s="592"/>
      <c r="M12" s="592"/>
      <c r="N12" s="592"/>
      <c r="O12" s="592"/>
      <c r="P12" s="592"/>
      <c r="Q12" s="614"/>
      <c r="R12" s="614"/>
      <c r="S12" s="614"/>
      <c r="T12" s="614"/>
      <c r="U12" s="614"/>
      <c r="V12" s="614"/>
      <c r="W12" s="592"/>
      <c r="X12" s="614"/>
      <c r="Y12" s="614"/>
      <c r="Z12" s="614"/>
      <c r="AA12" s="614"/>
      <c r="AB12" s="614"/>
      <c r="AC12" s="614"/>
      <c r="AD12" s="614"/>
      <c r="AE12" s="617"/>
      <c r="AF12" s="618" t="str">
        <f>IF(MAX('9.项目开发计划表'!AB12:AC12)=0,"",MAX('9.项目开发计划表'!AB12:AC12))</f>
        <v/>
      </c>
      <c r="AG12" s="620" t="str">
        <f t="shared" si="1"/>
        <v/>
      </c>
      <c r="AH12" s="570" t="str">
        <f t="shared" si="0"/>
        <v/>
      </c>
    </row>
    <row r="13" spans="1:34" s="570" customFormat="1" ht="16.5" customHeight="1">
      <c r="A13" s="1918"/>
      <c r="B13" s="1920"/>
      <c r="C13" s="588">
        <f>'8.项目规划指标表'!B13</f>
        <v>0</v>
      </c>
      <c r="D13" s="589" t="str">
        <f>IF('8.项目规划指标表'!$J$13=0,"销售",IF(AND('8.项目规划指标表'!$I$13&gt;0,'8.项目规划指标表'!$J$13&gt;0),"自持/销售","自持"))</f>
        <v>销售</v>
      </c>
      <c r="E13" s="590"/>
      <c r="F13" s="591">
        <f>'8.项目规划指标表'!H13</f>
        <v>0</v>
      </c>
      <c r="G13" s="591">
        <f>'8.项目规划指标表'!I13</f>
        <v>0</v>
      </c>
      <c r="H13" s="592"/>
      <c r="I13" s="592"/>
      <c r="J13" s="592"/>
      <c r="K13" s="592"/>
      <c r="L13" s="592"/>
      <c r="M13" s="592"/>
      <c r="N13" s="592"/>
      <c r="O13" s="592"/>
      <c r="P13" s="592"/>
      <c r="Q13" s="614"/>
      <c r="R13" s="614"/>
      <c r="S13" s="614"/>
      <c r="T13" s="614"/>
      <c r="U13" s="614"/>
      <c r="V13" s="614"/>
      <c r="W13" s="592"/>
      <c r="X13" s="614"/>
      <c r="Y13" s="614"/>
      <c r="Z13" s="614"/>
      <c r="AA13" s="614"/>
      <c r="AB13" s="614"/>
      <c r="AC13" s="614"/>
      <c r="AD13" s="614"/>
      <c r="AE13" s="617"/>
      <c r="AF13" s="618" t="str">
        <f>IF(MAX('9.项目开发计划表'!AB13:AC13)=0,"",MAX('9.项目开发计划表'!AB13:AC13))</f>
        <v/>
      </c>
      <c r="AG13" s="620" t="str">
        <f t="shared" si="1"/>
        <v/>
      </c>
      <c r="AH13" s="570" t="str">
        <f t="shared" si="0"/>
        <v/>
      </c>
    </row>
    <row r="14" spans="1:34" s="570" customFormat="1" ht="16.5" customHeight="1">
      <c r="A14" s="1918"/>
      <c r="B14" s="1920"/>
      <c r="C14" s="588" t="str">
        <f>'8.项目规划指标表'!B14</f>
        <v>自持物业</v>
      </c>
      <c r="D14" s="589" t="str">
        <f>IF('8.项目规划指标表'!$J$14=0,"销售",IF(AND('8.项目规划指标表'!$I$14&gt;0,'8.项目规划指标表'!$J$14&gt;0),"自持/销售","自持"))</f>
        <v>销售</v>
      </c>
      <c r="E14" s="590"/>
      <c r="F14" s="591">
        <f>'8.项目规划指标表'!H14</f>
        <v>0</v>
      </c>
      <c r="G14" s="591">
        <f>'8.项目规划指标表'!I14</f>
        <v>0</v>
      </c>
      <c r="H14" s="592"/>
      <c r="I14" s="592"/>
      <c r="J14" s="592"/>
      <c r="K14" s="592"/>
      <c r="L14" s="592"/>
      <c r="M14" s="592"/>
      <c r="N14" s="592"/>
      <c r="O14" s="592"/>
      <c r="P14" s="592"/>
      <c r="Q14" s="614"/>
      <c r="R14" s="614"/>
      <c r="S14" s="614"/>
      <c r="T14" s="614"/>
      <c r="U14" s="614"/>
      <c r="V14" s="614"/>
      <c r="W14" s="592"/>
      <c r="X14" s="614"/>
      <c r="Y14" s="614"/>
      <c r="Z14" s="614"/>
      <c r="AA14" s="614"/>
      <c r="AB14" s="614"/>
      <c r="AC14" s="614"/>
      <c r="AD14" s="614"/>
      <c r="AE14" s="617"/>
      <c r="AF14" s="618" t="str">
        <f>IF(MAX('9.项目开发计划表'!AB14:AC14)=0,"",MAX('9.项目开发计划表'!AB14:AC14))</f>
        <v/>
      </c>
      <c r="AG14" s="620" t="str">
        <f t="shared" si="1"/>
        <v/>
      </c>
      <c r="AH14" s="570" t="str">
        <f t="shared" si="0"/>
        <v/>
      </c>
    </row>
    <row r="15" spans="1:34" s="570" customFormat="1" ht="16.5" customHeight="1">
      <c r="A15" s="1918"/>
      <c r="B15" s="1920"/>
      <c r="C15" s="588" t="str">
        <f>'8.项目规划指标表'!B18</f>
        <v>有产权车库(个)</v>
      </c>
      <c r="D15" s="589" t="str">
        <f>IF('8.项目规划指标表'!$J$18=0,"销售",IF(AND('8.项目规划指标表'!$I$18&gt;0,'8.项目规划指标表'!$J$18&gt;0),"自持/销售","自持"))</f>
        <v>销售</v>
      </c>
      <c r="E15" s="590"/>
      <c r="F15" s="591">
        <f>'8.项目规划指标表'!G18</f>
        <v>13082</v>
      </c>
      <c r="G15" s="591">
        <f>'8.项目规划指标表'!I18</f>
        <v>422</v>
      </c>
      <c r="H15" s="592">
        <f>K15-35</f>
        <v>43316</v>
      </c>
      <c r="I15" s="592">
        <f>H15+6</f>
        <v>43322</v>
      </c>
      <c r="J15" s="592">
        <f>I15+4</f>
        <v>43326</v>
      </c>
      <c r="K15" s="592">
        <v>43351</v>
      </c>
      <c r="L15" s="592">
        <f>J15+25</f>
        <v>43351</v>
      </c>
      <c r="M15" s="592">
        <v>43363</v>
      </c>
      <c r="N15" s="592">
        <f>M15+61</f>
        <v>43424</v>
      </c>
      <c r="O15" s="592">
        <f>L15</f>
        <v>43351</v>
      </c>
      <c r="P15" s="592">
        <f>N15+30</f>
        <v>43454</v>
      </c>
      <c r="Q15" s="592">
        <f>O15+28</f>
        <v>43379</v>
      </c>
      <c r="R15" s="592">
        <f>O15+22</f>
        <v>43373</v>
      </c>
      <c r="S15" s="592">
        <f>P15+25</f>
        <v>43479</v>
      </c>
      <c r="T15" s="592">
        <f>N15+30</f>
        <v>43454</v>
      </c>
      <c r="U15" s="592">
        <f>S15+31</f>
        <v>43510</v>
      </c>
      <c r="V15" s="614">
        <f>U15+30</f>
        <v>43540</v>
      </c>
      <c r="W15" s="592">
        <f>T15+80</f>
        <v>43534</v>
      </c>
      <c r="X15" s="592">
        <v>43624</v>
      </c>
      <c r="Y15" s="592">
        <f>X15+3</f>
        <v>43627</v>
      </c>
      <c r="Z15" s="592">
        <f>W15+45+17*6+20+20</f>
        <v>43721</v>
      </c>
      <c r="AA15" s="592">
        <f>Z15+50+17*3+120+20</f>
        <v>43962</v>
      </c>
      <c r="AB15" s="592">
        <f>AA15+30</f>
        <v>43992</v>
      </c>
      <c r="AC15" s="592">
        <f>AA15+180</f>
        <v>44142</v>
      </c>
      <c r="AD15" s="592">
        <v>44562</v>
      </c>
      <c r="AE15" s="617"/>
      <c r="AF15" s="618">
        <f>IF(MAX('9.项目开发计划表'!AB15:AC15)=0,"",MAX('9.项目开发计划表'!AB15:AC15))</f>
        <v>44142</v>
      </c>
      <c r="AG15" s="620" t="str">
        <f t="shared" si="1"/>
        <v>2020年4季度</v>
      </c>
      <c r="AH15" s="570">
        <f t="shared" si="0"/>
        <v>4</v>
      </c>
    </row>
    <row r="16" spans="1:34" s="570" customFormat="1" ht="16.5" customHeight="1">
      <c r="A16" s="1918"/>
      <c r="B16" s="1920"/>
      <c r="C16" s="588" t="str">
        <f>'8.项目规划指标表'!B19</f>
        <v>无产权车库(个)</v>
      </c>
      <c r="D16" s="589" t="str">
        <f>IF('8.项目规划指标表'!$J$19=0,"销售",IF(AND('8.项目规划指标表'!$I$19&gt;0,'8.项目规划指标表'!$J$19&gt;0),"自持/销售","自持"))</f>
        <v>销售</v>
      </c>
      <c r="E16" s="590"/>
      <c r="F16" s="591">
        <f>'8.项目规划指标表'!G19</f>
        <v>4257</v>
      </c>
      <c r="G16" s="591">
        <f>'8.项目规划指标表'!I19</f>
        <v>187</v>
      </c>
      <c r="H16" s="592">
        <f>K16-35</f>
        <v>43316</v>
      </c>
      <c r="I16" s="592">
        <f>H16+6</f>
        <v>43322</v>
      </c>
      <c r="J16" s="592">
        <f>I16+4</f>
        <v>43326</v>
      </c>
      <c r="K16" s="592">
        <v>43351</v>
      </c>
      <c r="L16" s="592">
        <f>J16+25</f>
        <v>43351</v>
      </c>
      <c r="M16" s="592">
        <v>43363</v>
      </c>
      <c r="N16" s="592">
        <f>M16+61</f>
        <v>43424</v>
      </c>
      <c r="O16" s="592">
        <f>L16</f>
        <v>43351</v>
      </c>
      <c r="P16" s="592">
        <f>N16+30</f>
        <v>43454</v>
      </c>
      <c r="Q16" s="592">
        <f>O16+28</f>
        <v>43379</v>
      </c>
      <c r="R16" s="592">
        <f>O16+22</f>
        <v>43373</v>
      </c>
      <c r="S16" s="592">
        <f>P16+25</f>
        <v>43479</v>
      </c>
      <c r="T16" s="592">
        <f>N16+30</f>
        <v>43454</v>
      </c>
      <c r="U16" s="592">
        <f>S16+31</f>
        <v>43510</v>
      </c>
      <c r="V16" s="614">
        <f>U16+30</f>
        <v>43540</v>
      </c>
      <c r="W16" s="592">
        <f>T16+80</f>
        <v>43534</v>
      </c>
      <c r="X16" s="592">
        <v>43624</v>
      </c>
      <c r="Y16" s="592">
        <f>X16+3</f>
        <v>43627</v>
      </c>
      <c r="Z16" s="592">
        <f>W16+45+17*6+20+20</f>
        <v>43721</v>
      </c>
      <c r="AA16" s="592">
        <f>Z16+50+17*3+120+20</f>
        <v>43962</v>
      </c>
      <c r="AB16" s="592">
        <f>AA16+30</f>
        <v>43992</v>
      </c>
      <c r="AC16" s="592">
        <f>AA16+180</f>
        <v>44142</v>
      </c>
      <c r="AD16" s="592">
        <v>44562</v>
      </c>
      <c r="AE16" s="617"/>
      <c r="AF16" s="618">
        <f>IF(MAX('9.项目开发计划表'!AB16:AC16)=0,"",MAX('9.项目开发计划表'!AB16:AC16))</f>
        <v>44142</v>
      </c>
      <c r="AG16" s="620" t="str">
        <f t="shared" si="1"/>
        <v>2020年4季度</v>
      </c>
      <c r="AH16" s="570">
        <f t="shared" si="0"/>
        <v>4</v>
      </c>
    </row>
    <row r="17" spans="1:34" s="570" customFormat="1" ht="15" customHeight="1">
      <c r="A17" s="1918"/>
      <c r="B17" s="593"/>
      <c r="C17" s="593"/>
      <c r="D17" s="594"/>
      <c r="E17" s="595"/>
      <c r="F17" s="596"/>
      <c r="G17" s="593"/>
      <c r="H17" s="597"/>
      <c r="I17" s="597"/>
      <c r="J17" s="597"/>
      <c r="K17" s="606"/>
      <c r="L17" s="597"/>
      <c r="M17" s="607"/>
      <c r="N17" s="608"/>
      <c r="O17" s="607"/>
      <c r="P17" s="608"/>
      <c r="Q17" s="607"/>
      <c r="R17" s="607"/>
      <c r="S17" s="607"/>
      <c r="T17" s="607"/>
      <c r="U17" s="607"/>
      <c r="V17" s="608"/>
      <c r="W17" s="608"/>
      <c r="X17" s="608"/>
      <c r="Y17" s="608"/>
      <c r="Z17" s="607"/>
      <c r="AA17" s="607"/>
      <c r="AB17" s="607"/>
      <c r="AC17" s="608"/>
      <c r="AD17" s="608"/>
      <c r="AE17" s="615"/>
      <c r="AF17" s="619"/>
      <c r="AG17" s="580"/>
      <c r="AH17" s="580"/>
    </row>
    <row r="18" spans="1:34" s="570" customFormat="1" ht="16.5" customHeight="1" outlineLevel="1">
      <c r="A18" s="1918"/>
      <c r="B18" s="1920" t="s">
        <v>20</v>
      </c>
      <c r="C18" s="588" t="str">
        <f t="shared" ref="C18:C29" si="2">C5</f>
        <v>高层</v>
      </c>
      <c r="D18" s="589" t="str">
        <f>IF('8.项目规划指标表'!$N$5=0,"销售",IF(AND('8.项目规划指标表'!$M$5&gt;0,'8.项目规划指标表'!$N$5&gt;0),"自持/销售","自持"))</f>
        <v>销售</v>
      </c>
      <c r="E18" s="590"/>
      <c r="F18" s="591">
        <f>'8.项目规划指标表'!L5</f>
        <v>0</v>
      </c>
      <c r="G18" s="591">
        <f>'8.项目规划指标表'!M5</f>
        <v>0</v>
      </c>
      <c r="H18" s="592"/>
      <c r="I18" s="592"/>
      <c r="J18" s="592"/>
      <c r="K18" s="592"/>
      <c r="L18" s="592"/>
      <c r="M18" s="592"/>
      <c r="N18" s="592"/>
      <c r="O18" s="592"/>
      <c r="P18" s="592"/>
      <c r="Q18" s="592"/>
      <c r="R18" s="592"/>
      <c r="S18" s="592"/>
      <c r="T18" s="592"/>
      <c r="U18" s="592"/>
      <c r="V18" s="614"/>
      <c r="W18" s="592"/>
      <c r="X18" s="592"/>
      <c r="Y18" s="592"/>
      <c r="Z18" s="592"/>
      <c r="AA18" s="592"/>
      <c r="AB18" s="592"/>
      <c r="AC18" s="592"/>
      <c r="AD18" s="592"/>
      <c r="AE18" s="617"/>
      <c r="AF18" s="618" t="str">
        <f>IF(MAX('9.项目开发计划表'!AB18:AC18)=0,"",MAX('9.项目开发计划表'!AB18:AC18))</f>
        <v/>
      </c>
      <c r="AG18" s="620" t="str">
        <f t="shared" ref="AG18:AG29" si="3">IFERROR(YEAR(AF18)&amp;"年"&amp;AH18&amp;"季度","")</f>
        <v/>
      </c>
      <c r="AH18" s="570" t="str">
        <f t="shared" ref="AH18:AH29" si="4">IFERROR(IF(OR(MONTH(AF18)=1,MONTH(AF18)=2,MONTH(AF18)=3),1,IF(OR(MONTH(AF18)=4,MONTH(AF18)=5,MONTH(AF18)=6),2,IF(OR(MONTH(AF18)=7,MONTH(AF18)=8,MONTH(AF18)=9),3,4))),"")</f>
        <v/>
      </c>
    </row>
    <row r="19" spans="1:34" s="570" customFormat="1" ht="16.5" customHeight="1" outlineLevel="1">
      <c r="A19" s="1918"/>
      <c r="B19" s="1920"/>
      <c r="C19" s="588" t="str">
        <f t="shared" si="2"/>
        <v>商铺</v>
      </c>
      <c r="D19" s="589" t="str">
        <f>IF('8.项目规划指标表'!$N$6=0,"销售",IF(AND('8.项目规划指标表'!$M$6&gt;0,'8.项目规划指标表'!$N$6&gt;0),"自持/销售","自持"))</f>
        <v>销售</v>
      </c>
      <c r="E19" s="590"/>
      <c r="F19" s="591">
        <f>'8.项目规划指标表'!L6</f>
        <v>0</v>
      </c>
      <c r="G19" s="591">
        <f>'8.项目规划指标表'!M6</f>
        <v>0</v>
      </c>
      <c r="H19" s="592"/>
      <c r="I19" s="592"/>
      <c r="J19" s="592"/>
      <c r="K19" s="592"/>
      <c r="L19" s="592"/>
      <c r="M19" s="592"/>
      <c r="N19" s="592"/>
      <c r="O19" s="592"/>
      <c r="P19" s="592"/>
      <c r="Q19" s="592"/>
      <c r="R19" s="592"/>
      <c r="S19" s="592"/>
      <c r="T19" s="592"/>
      <c r="U19" s="592"/>
      <c r="V19" s="614"/>
      <c r="W19" s="592"/>
      <c r="X19" s="592"/>
      <c r="Y19" s="592"/>
      <c r="Z19" s="592"/>
      <c r="AA19" s="592"/>
      <c r="AB19" s="592"/>
      <c r="AC19" s="592"/>
      <c r="AD19" s="592"/>
      <c r="AE19" s="617"/>
      <c r="AF19" s="618" t="str">
        <f>IF(MAX('9.项目开发计划表'!AB19:AC19)=0,"",MAX('9.项目开发计划表'!AB19:AC19))</f>
        <v/>
      </c>
      <c r="AG19" s="620" t="str">
        <f t="shared" si="3"/>
        <v/>
      </c>
      <c r="AH19" s="570" t="str">
        <f t="shared" si="4"/>
        <v/>
      </c>
    </row>
    <row r="20" spans="1:34" s="570" customFormat="1" ht="16.5" customHeight="1" outlineLevel="1">
      <c r="A20" s="1918"/>
      <c r="B20" s="1920"/>
      <c r="C20" s="588" t="str">
        <f t="shared" si="2"/>
        <v>回迁商业</v>
      </c>
      <c r="D20" s="589" t="str">
        <f>IF('8.项目规划指标表'!$N$7=0,"销售",IF(AND('8.项目规划指标表'!$M$7&gt;0,'8.项目规划指标表'!$N$7&gt;0),"自持/销售","自持"))</f>
        <v>销售</v>
      </c>
      <c r="E20" s="590"/>
      <c r="F20" s="591">
        <f>'8.项目规划指标表'!L7</f>
        <v>0</v>
      </c>
      <c r="G20" s="591">
        <f>'8.项目规划指标表'!M7</f>
        <v>0</v>
      </c>
      <c r="H20" s="592"/>
      <c r="I20" s="592"/>
      <c r="J20" s="592"/>
      <c r="K20" s="592"/>
      <c r="L20" s="592"/>
      <c r="M20" s="592"/>
      <c r="N20" s="592"/>
      <c r="O20" s="592"/>
      <c r="P20" s="592"/>
      <c r="Q20" s="592"/>
      <c r="R20" s="592"/>
      <c r="S20" s="592"/>
      <c r="T20" s="592"/>
      <c r="U20" s="592"/>
      <c r="V20" s="614"/>
      <c r="W20" s="592"/>
      <c r="X20" s="592"/>
      <c r="Y20" s="592"/>
      <c r="Z20" s="592"/>
      <c r="AA20" s="592"/>
      <c r="AB20" s="592"/>
      <c r="AC20" s="592"/>
      <c r="AD20" s="592"/>
      <c r="AE20" s="617"/>
      <c r="AF20" s="618" t="str">
        <f>IF(MAX('9.项目开发计划表'!AB20:AC20)=0,"",MAX('9.项目开发计划表'!AB20:AC20))</f>
        <v/>
      </c>
      <c r="AG20" s="620" t="str">
        <f t="shared" si="3"/>
        <v/>
      </c>
      <c r="AH20" s="570" t="str">
        <f t="shared" si="4"/>
        <v/>
      </c>
    </row>
    <row r="21" spans="1:34" s="570" customFormat="1" ht="16.5" customHeight="1" outlineLevel="1">
      <c r="A21" s="1918"/>
      <c r="B21" s="1920"/>
      <c r="C21" s="588">
        <f t="shared" si="2"/>
        <v>0</v>
      </c>
      <c r="D21" s="589" t="str">
        <f>IF('8.项目规划指标表'!$N$8=0,"销售",IF(AND('8.项目规划指标表'!$M$8&gt;0,'8.项目规划指标表'!$N$8&gt;0),"自持/销售","自持"))</f>
        <v>销售</v>
      </c>
      <c r="E21" s="590"/>
      <c r="F21" s="591">
        <f>'8.项目规划指标表'!L8</f>
        <v>0</v>
      </c>
      <c r="G21" s="591">
        <f>'8.项目规划指标表'!M8</f>
        <v>0</v>
      </c>
      <c r="H21" s="592"/>
      <c r="I21" s="592"/>
      <c r="J21" s="592"/>
      <c r="K21" s="592"/>
      <c r="L21" s="592"/>
      <c r="M21" s="592"/>
      <c r="N21" s="592"/>
      <c r="O21" s="592"/>
      <c r="P21" s="592"/>
      <c r="Q21" s="614"/>
      <c r="R21" s="614"/>
      <c r="S21" s="614"/>
      <c r="T21" s="614"/>
      <c r="U21" s="614"/>
      <c r="V21" s="614"/>
      <c r="W21" s="614"/>
      <c r="X21" s="614"/>
      <c r="Y21" s="614"/>
      <c r="Z21" s="614"/>
      <c r="AA21" s="614"/>
      <c r="AB21" s="614"/>
      <c r="AC21" s="614"/>
      <c r="AD21" s="614"/>
      <c r="AE21" s="617"/>
      <c r="AF21" s="618" t="str">
        <f>IF(MAX('9.项目开发计划表'!AB21:AC21)=0,"",MAX('9.项目开发计划表'!AB21:AC21))</f>
        <v/>
      </c>
      <c r="AG21" s="620" t="str">
        <f t="shared" si="3"/>
        <v/>
      </c>
      <c r="AH21" s="570" t="str">
        <f t="shared" si="4"/>
        <v/>
      </c>
    </row>
    <row r="22" spans="1:34" s="570" customFormat="1" ht="16.5" customHeight="1" outlineLevel="1">
      <c r="A22" s="1918"/>
      <c r="B22" s="1920"/>
      <c r="C22" s="588">
        <f t="shared" si="2"/>
        <v>0</v>
      </c>
      <c r="D22" s="589" t="str">
        <f>IF('8.项目规划指标表'!$N$9=0,"销售",IF(AND('8.项目规划指标表'!$M$9&gt;0,'8.项目规划指标表'!$N$9&gt;0),"自持/销售","自持"))</f>
        <v>销售</v>
      </c>
      <c r="E22" s="590"/>
      <c r="F22" s="591">
        <f>'8.项目规划指标表'!L9</f>
        <v>0</v>
      </c>
      <c r="G22" s="591">
        <f>'8.项目规划指标表'!M9</f>
        <v>0</v>
      </c>
      <c r="H22" s="592"/>
      <c r="I22" s="592"/>
      <c r="J22" s="592"/>
      <c r="K22" s="592"/>
      <c r="L22" s="592"/>
      <c r="M22" s="592"/>
      <c r="N22" s="592"/>
      <c r="O22" s="592"/>
      <c r="P22" s="592"/>
      <c r="Q22" s="614"/>
      <c r="R22" s="614"/>
      <c r="S22" s="614"/>
      <c r="T22" s="614"/>
      <c r="U22" s="614"/>
      <c r="V22" s="614"/>
      <c r="W22" s="614"/>
      <c r="X22" s="614"/>
      <c r="Y22" s="614"/>
      <c r="Z22" s="614"/>
      <c r="AA22" s="614"/>
      <c r="AB22" s="614"/>
      <c r="AC22" s="614"/>
      <c r="AD22" s="614"/>
      <c r="AE22" s="617"/>
      <c r="AF22" s="618" t="str">
        <f>IF(MAX('9.项目开发计划表'!AB22:AC22)=0,"",MAX('9.项目开发计划表'!AB22:AC22))</f>
        <v/>
      </c>
      <c r="AG22" s="620" t="str">
        <f t="shared" si="3"/>
        <v/>
      </c>
      <c r="AH22" s="570" t="str">
        <f t="shared" si="4"/>
        <v/>
      </c>
    </row>
    <row r="23" spans="1:34" s="570" customFormat="1" ht="16.5" customHeight="1" outlineLevel="1">
      <c r="A23" s="1918"/>
      <c r="B23" s="1920"/>
      <c r="C23" s="588">
        <f t="shared" si="2"/>
        <v>0</v>
      </c>
      <c r="D23" s="589" t="str">
        <f>IF('8.项目规划指标表'!$N$10=0,"销售",IF(AND('8.项目规划指标表'!$M$10&gt;0,'8.项目规划指标表'!$N$10&gt;0),"自持/销售","自持"))</f>
        <v>销售</v>
      </c>
      <c r="E23" s="590"/>
      <c r="F23" s="591">
        <f>'8.项目规划指标表'!L10</f>
        <v>0</v>
      </c>
      <c r="G23" s="591">
        <f>'8.项目规划指标表'!M10</f>
        <v>0</v>
      </c>
      <c r="H23" s="592"/>
      <c r="I23" s="592"/>
      <c r="J23" s="592"/>
      <c r="K23" s="592"/>
      <c r="L23" s="592"/>
      <c r="M23" s="592"/>
      <c r="N23" s="592"/>
      <c r="O23" s="592"/>
      <c r="P23" s="592"/>
      <c r="Q23" s="614"/>
      <c r="R23" s="614"/>
      <c r="S23" s="614"/>
      <c r="T23" s="614"/>
      <c r="U23" s="614"/>
      <c r="V23" s="614"/>
      <c r="W23" s="614"/>
      <c r="X23" s="614"/>
      <c r="Y23" s="614"/>
      <c r="Z23" s="614"/>
      <c r="AA23" s="614"/>
      <c r="AB23" s="614"/>
      <c r="AC23" s="614"/>
      <c r="AD23" s="614"/>
      <c r="AE23" s="617"/>
      <c r="AF23" s="618" t="str">
        <f>IF(MAX('9.项目开发计划表'!AB23:AC23)=0,"",MAX('9.项目开发计划表'!AB23:AC23))</f>
        <v/>
      </c>
      <c r="AG23" s="620" t="str">
        <f t="shared" si="3"/>
        <v/>
      </c>
      <c r="AH23" s="570" t="str">
        <f t="shared" si="4"/>
        <v/>
      </c>
    </row>
    <row r="24" spans="1:34" s="570" customFormat="1" ht="16.5" customHeight="1" outlineLevel="1">
      <c r="A24" s="1918"/>
      <c r="B24" s="1920"/>
      <c r="C24" s="588">
        <f t="shared" si="2"/>
        <v>0</v>
      </c>
      <c r="D24" s="589" t="str">
        <f>IF('8.项目规划指标表'!$N$11=0,"销售",IF(AND('8.项目规划指标表'!$M$11&gt;0,'8.项目规划指标表'!$N$11&gt;0),"自持/销售","自持"))</f>
        <v>销售</v>
      </c>
      <c r="E24" s="590"/>
      <c r="F24" s="591">
        <f>'8.项目规划指标表'!L11</f>
        <v>0</v>
      </c>
      <c r="G24" s="591">
        <f>'8.项目规划指标表'!M11</f>
        <v>0</v>
      </c>
      <c r="H24" s="592"/>
      <c r="I24" s="592"/>
      <c r="J24" s="592"/>
      <c r="K24" s="592"/>
      <c r="L24" s="592"/>
      <c r="M24" s="592"/>
      <c r="N24" s="592"/>
      <c r="O24" s="592"/>
      <c r="P24" s="592"/>
      <c r="Q24" s="614"/>
      <c r="R24" s="614"/>
      <c r="S24" s="614"/>
      <c r="T24" s="614"/>
      <c r="U24" s="614"/>
      <c r="V24" s="614"/>
      <c r="W24" s="614"/>
      <c r="X24" s="614"/>
      <c r="Y24" s="614"/>
      <c r="Z24" s="614"/>
      <c r="AA24" s="614"/>
      <c r="AB24" s="614"/>
      <c r="AC24" s="614"/>
      <c r="AD24" s="614"/>
      <c r="AE24" s="617"/>
      <c r="AF24" s="618" t="str">
        <f>IF(MAX('9.项目开发计划表'!AB24:AC24)=0,"",MAX('9.项目开发计划表'!AB24:AC24))</f>
        <v/>
      </c>
      <c r="AG24" s="620" t="str">
        <f t="shared" si="3"/>
        <v/>
      </c>
      <c r="AH24" s="570" t="str">
        <f t="shared" si="4"/>
        <v/>
      </c>
    </row>
    <row r="25" spans="1:34" s="570" customFormat="1" ht="16.5" customHeight="1" outlineLevel="1">
      <c r="A25" s="1918"/>
      <c r="B25" s="1920"/>
      <c r="C25" s="588">
        <f t="shared" si="2"/>
        <v>0</v>
      </c>
      <c r="D25" s="589" t="str">
        <f>IF('8.项目规划指标表'!$N$12=0,"销售",IF(AND('8.项目规划指标表'!$M$12&gt;0,'8.项目规划指标表'!$N$12&gt;0),"自持/销售","自持"))</f>
        <v>销售</v>
      </c>
      <c r="E25" s="590"/>
      <c r="F25" s="591">
        <f>'8.项目规划指标表'!L12</f>
        <v>0</v>
      </c>
      <c r="G25" s="591">
        <f>'8.项目规划指标表'!M12</f>
        <v>0</v>
      </c>
      <c r="H25" s="592"/>
      <c r="I25" s="592"/>
      <c r="J25" s="592"/>
      <c r="K25" s="592"/>
      <c r="L25" s="592"/>
      <c r="M25" s="592"/>
      <c r="N25" s="592"/>
      <c r="O25" s="592"/>
      <c r="P25" s="592"/>
      <c r="Q25" s="614"/>
      <c r="R25" s="614"/>
      <c r="S25" s="614"/>
      <c r="T25" s="614"/>
      <c r="U25" s="614"/>
      <c r="V25" s="614"/>
      <c r="W25" s="614"/>
      <c r="X25" s="614"/>
      <c r="Y25" s="614"/>
      <c r="Z25" s="614"/>
      <c r="AA25" s="614"/>
      <c r="AB25" s="614"/>
      <c r="AC25" s="614"/>
      <c r="AD25" s="614"/>
      <c r="AE25" s="617"/>
      <c r="AF25" s="618" t="str">
        <f>IF(MAX('9.项目开发计划表'!AB25:AC25)=0,"",MAX('9.项目开发计划表'!AB25:AC25))</f>
        <v/>
      </c>
      <c r="AG25" s="620" t="str">
        <f t="shared" si="3"/>
        <v/>
      </c>
      <c r="AH25" s="570" t="str">
        <f t="shared" si="4"/>
        <v/>
      </c>
    </row>
    <row r="26" spans="1:34" s="570" customFormat="1" ht="16.5" customHeight="1" outlineLevel="1">
      <c r="A26" s="1918"/>
      <c r="B26" s="1920"/>
      <c r="C26" s="588">
        <f t="shared" si="2"/>
        <v>0</v>
      </c>
      <c r="D26" s="589" t="str">
        <f>IF('8.项目规划指标表'!$N$13=0,"销售",IF(AND('8.项目规划指标表'!$M$13&gt;0,'8.项目规划指标表'!$N$13&gt;0),"自持/销售","自持"))</f>
        <v>销售</v>
      </c>
      <c r="E26" s="590"/>
      <c r="F26" s="591">
        <f>'8.项目规划指标表'!L13</f>
        <v>0</v>
      </c>
      <c r="G26" s="591">
        <f>'8.项目规划指标表'!M13</f>
        <v>0</v>
      </c>
      <c r="H26" s="592"/>
      <c r="I26" s="592"/>
      <c r="J26" s="592"/>
      <c r="K26" s="592"/>
      <c r="L26" s="592"/>
      <c r="M26" s="592"/>
      <c r="N26" s="592"/>
      <c r="O26" s="592"/>
      <c r="P26" s="592"/>
      <c r="Q26" s="614"/>
      <c r="R26" s="614"/>
      <c r="S26" s="614"/>
      <c r="T26" s="614"/>
      <c r="U26" s="614"/>
      <c r="V26" s="614"/>
      <c r="W26" s="614"/>
      <c r="X26" s="614"/>
      <c r="Y26" s="614"/>
      <c r="Z26" s="614"/>
      <c r="AA26" s="614"/>
      <c r="AB26" s="614"/>
      <c r="AC26" s="614"/>
      <c r="AD26" s="614"/>
      <c r="AE26" s="617"/>
      <c r="AF26" s="618" t="str">
        <f>IF(MAX('9.项目开发计划表'!AB26:AC26)=0,"",MAX('9.项目开发计划表'!AB26:AC26))</f>
        <v/>
      </c>
      <c r="AG26" s="620" t="str">
        <f t="shared" si="3"/>
        <v/>
      </c>
      <c r="AH26" s="570" t="str">
        <f t="shared" si="4"/>
        <v/>
      </c>
    </row>
    <row r="27" spans="1:34" s="570" customFormat="1" ht="16.5" customHeight="1" outlineLevel="1">
      <c r="A27" s="1918"/>
      <c r="B27" s="1920"/>
      <c r="C27" s="588" t="str">
        <f t="shared" si="2"/>
        <v>自持物业</v>
      </c>
      <c r="D27" s="589" t="str">
        <f>IF('8.项目规划指标表'!$N$14=0,"销售",IF(AND('8.项目规划指标表'!$M$14&gt;0,'8.项目规划指标表'!$N$14&gt;0),"自持/销售","自持"))</f>
        <v>销售</v>
      </c>
      <c r="E27" s="590"/>
      <c r="F27" s="591">
        <f>'8.项目规划指标表'!L14</f>
        <v>0</v>
      </c>
      <c r="G27" s="591">
        <f>'8.项目规划指标表'!M14</f>
        <v>0</v>
      </c>
      <c r="H27" s="592"/>
      <c r="I27" s="592"/>
      <c r="J27" s="592"/>
      <c r="K27" s="592"/>
      <c r="L27" s="592"/>
      <c r="M27" s="592"/>
      <c r="N27" s="592"/>
      <c r="O27" s="592"/>
      <c r="P27" s="592"/>
      <c r="Q27" s="614"/>
      <c r="R27" s="614"/>
      <c r="S27" s="614"/>
      <c r="T27" s="614"/>
      <c r="U27" s="614"/>
      <c r="V27" s="614"/>
      <c r="W27" s="614"/>
      <c r="X27" s="614"/>
      <c r="Y27" s="614"/>
      <c r="Z27" s="614"/>
      <c r="AA27" s="614"/>
      <c r="AB27" s="614"/>
      <c r="AC27" s="614"/>
      <c r="AD27" s="614"/>
      <c r="AE27" s="617"/>
      <c r="AF27" s="618" t="str">
        <f>IF(MAX('9.项目开发计划表'!AB27:AC27)=0,"",MAX('9.项目开发计划表'!AB27:AC27))</f>
        <v/>
      </c>
      <c r="AG27" s="620" t="str">
        <f t="shared" si="3"/>
        <v/>
      </c>
      <c r="AH27" s="570" t="str">
        <f t="shared" si="4"/>
        <v/>
      </c>
    </row>
    <row r="28" spans="1:34" s="570" customFormat="1" ht="16.5" customHeight="1" outlineLevel="1">
      <c r="A28" s="1918"/>
      <c r="B28" s="1920"/>
      <c r="C28" s="588" t="str">
        <f t="shared" si="2"/>
        <v>有产权车库(个)</v>
      </c>
      <c r="D28" s="589" t="str">
        <f>IF('8.项目规划指标表'!$N$18=0,"销售",IF(AND('8.项目规划指标表'!$M$18&gt;0,'8.项目规划指标表'!$N$18&gt;0),"自持/销售","自持"))</f>
        <v>销售</v>
      </c>
      <c r="E28" s="590"/>
      <c r="F28" s="591">
        <f>'8.项目规划指标表'!K18</f>
        <v>0</v>
      </c>
      <c r="G28" s="591">
        <f>'8.项目规划指标表'!M18</f>
        <v>0</v>
      </c>
      <c r="H28" s="592"/>
      <c r="I28" s="592"/>
      <c r="J28" s="592"/>
      <c r="K28" s="592"/>
      <c r="L28" s="592"/>
      <c r="M28" s="592"/>
      <c r="N28" s="592"/>
      <c r="O28" s="592"/>
      <c r="P28" s="592"/>
      <c r="Q28" s="592"/>
      <c r="R28" s="592"/>
      <c r="S28" s="592"/>
      <c r="T28" s="592"/>
      <c r="U28" s="592"/>
      <c r="V28" s="614"/>
      <c r="W28" s="592"/>
      <c r="X28" s="592"/>
      <c r="Y28" s="592"/>
      <c r="Z28" s="592"/>
      <c r="AA28" s="592"/>
      <c r="AB28" s="592"/>
      <c r="AC28" s="592"/>
      <c r="AD28" s="592"/>
      <c r="AE28" s="617"/>
      <c r="AF28" s="618" t="str">
        <f>IF(MAX('9.项目开发计划表'!AB28:AC28)=0,"",MAX('9.项目开发计划表'!AB28:AC28))</f>
        <v/>
      </c>
      <c r="AG28" s="620" t="str">
        <f t="shared" si="3"/>
        <v/>
      </c>
      <c r="AH28" s="570" t="str">
        <f t="shared" si="4"/>
        <v/>
      </c>
    </row>
    <row r="29" spans="1:34" s="570" customFormat="1" ht="16.5" customHeight="1" outlineLevel="1">
      <c r="A29" s="1918"/>
      <c r="B29" s="1920"/>
      <c r="C29" s="588" t="str">
        <f t="shared" si="2"/>
        <v>无产权车库(个)</v>
      </c>
      <c r="D29" s="589" t="str">
        <f>IF('8.项目规划指标表'!$N$19=0,"销售",IF(AND('8.项目规划指标表'!$M$19&gt;0,'8.项目规划指标表'!$N$19&gt;0),"自持/销售","自持"))</f>
        <v>销售</v>
      </c>
      <c r="E29" s="590"/>
      <c r="F29" s="591">
        <f>'8.项目规划指标表'!K19</f>
        <v>0</v>
      </c>
      <c r="G29" s="591">
        <f>'8.项目规划指标表'!M19</f>
        <v>0</v>
      </c>
      <c r="H29" s="592"/>
      <c r="I29" s="592"/>
      <c r="J29" s="592"/>
      <c r="K29" s="592"/>
      <c r="L29" s="592"/>
      <c r="M29" s="592"/>
      <c r="N29" s="592"/>
      <c r="O29" s="592"/>
      <c r="P29" s="592"/>
      <c r="Q29" s="614"/>
      <c r="R29" s="614"/>
      <c r="S29" s="614"/>
      <c r="T29" s="614"/>
      <c r="U29" s="614"/>
      <c r="V29" s="614"/>
      <c r="W29" s="614"/>
      <c r="X29" s="614"/>
      <c r="Y29" s="614"/>
      <c r="Z29" s="614"/>
      <c r="AA29" s="614"/>
      <c r="AB29" s="614"/>
      <c r="AC29" s="614"/>
      <c r="AD29" s="614"/>
      <c r="AE29" s="617"/>
      <c r="AF29" s="618" t="str">
        <f>IF(MAX('9.项目开发计划表'!AB29:AC29)=0,"",MAX('9.项目开发计划表'!AB29:AC29))</f>
        <v/>
      </c>
      <c r="AG29" s="620" t="str">
        <f t="shared" si="3"/>
        <v/>
      </c>
      <c r="AH29" s="570" t="str">
        <f t="shared" si="4"/>
        <v/>
      </c>
    </row>
    <row r="30" spans="1:34" s="570" customFormat="1" ht="15.75" customHeight="1">
      <c r="A30" s="1918"/>
      <c r="B30" s="598"/>
      <c r="C30" s="598"/>
      <c r="D30" s="599"/>
      <c r="E30" s="600"/>
      <c r="F30" s="601"/>
      <c r="G30" s="598"/>
      <c r="H30" s="602"/>
      <c r="I30" s="602"/>
      <c r="J30" s="602"/>
      <c r="K30" s="609"/>
      <c r="L30" s="602"/>
      <c r="M30" s="610"/>
      <c r="N30" s="611"/>
      <c r="O30" s="610"/>
      <c r="P30" s="611"/>
      <c r="Q30" s="610"/>
      <c r="R30" s="610"/>
      <c r="S30" s="610"/>
      <c r="T30" s="610"/>
      <c r="U30" s="610"/>
      <c r="V30" s="611"/>
      <c r="W30" s="608"/>
      <c r="X30" s="611"/>
      <c r="Y30" s="608"/>
      <c r="Z30" s="610"/>
      <c r="AA30" s="610"/>
      <c r="AB30" s="610"/>
      <c r="AC30" s="608"/>
      <c r="AD30" s="608"/>
      <c r="AE30" s="615"/>
      <c r="AF30" s="619"/>
      <c r="AG30" s="580"/>
      <c r="AH30" s="580"/>
    </row>
    <row r="31" spans="1:34" s="570" customFormat="1" ht="16.5" customHeight="1" outlineLevel="1">
      <c r="A31" s="1918"/>
      <c r="B31" s="1920" t="s">
        <v>21</v>
      </c>
      <c r="C31" s="588" t="str">
        <f t="shared" ref="C31:C42" si="5">C18</f>
        <v>高层</v>
      </c>
      <c r="D31" s="589" t="str">
        <f>IF('8.项目规划指标表'!$R$5=0,"销售",IF(AND('8.项目规划指标表'!$Q$5&gt;0,'8.项目规划指标表'!$R$5&gt;0),"自持/销售","自持"))</f>
        <v>销售</v>
      </c>
      <c r="E31" s="590"/>
      <c r="F31" s="591">
        <f>'8.项目规划指标表'!P5</f>
        <v>0</v>
      </c>
      <c r="G31" s="591">
        <f>'8.项目规划指标表'!Q5</f>
        <v>0</v>
      </c>
      <c r="H31" s="603"/>
      <c r="I31" s="603"/>
      <c r="J31" s="603"/>
      <c r="K31" s="603"/>
      <c r="L31" s="603"/>
      <c r="M31" s="612"/>
      <c r="N31" s="612"/>
      <c r="O31" s="612"/>
      <c r="P31" s="612"/>
      <c r="Q31" s="612"/>
      <c r="R31" s="612"/>
      <c r="S31" s="612"/>
      <c r="T31" s="612"/>
      <c r="U31" s="612"/>
      <c r="V31" s="612"/>
      <c r="W31" s="612"/>
      <c r="X31" s="612"/>
      <c r="Y31" s="612"/>
      <c r="Z31" s="612"/>
      <c r="AA31" s="612"/>
      <c r="AB31" s="612"/>
      <c r="AC31" s="614"/>
      <c r="AD31" s="612"/>
      <c r="AE31" s="617"/>
      <c r="AF31" s="618" t="str">
        <f>IF(MAX('9.项目开发计划表'!AB31:AC31)=0,"",MAX('9.项目开发计划表'!AB31:AC31))</f>
        <v/>
      </c>
      <c r="AG31" s="620" t="str">
        <f t="shared" ref="AG31:AG42" si="6">IFERROR(YEAR(AF31)&amp;"年"&amp;AH31&amp;"季度","")</f>
        <v/>
      </c>
      <c r="AH31" s="570" t="str">
        <f t="shared" ref="AH31:AH42" si="7">IFERROR(IF(OR(MONTH(AF31)=1,MONTH(AF31)=2,MONTH(AF31)=3),1,IF(OR(MONTH(AF31)=4,MONTH(AF31)=5,MONTH(AF31)=6),2,IF(OR(MONTH(AF31)=7,MONTH(AF31)=8,MONTH(AF31)=9),3,4))),"")</f>
        <v/>
      </c>
    </row>
    <row r="32" spans="1:34" s="570" customFormat="1" ht="16.5" customHeight="1" outlineLevel="1">
      <c r="A32" s="1918"/>
      <c r="B32" s="1920"/>
      <c r="C32" s="588" t="str">
        <f t="shared" si="5"/>
        <v>商铺</v>
      </c>
      <c r="D32" s="589" t="str">
        <f>IF('8.项目规划指标表'!$R$6=0,"销售",IF(AND('8.项目规划指标表'!$Q$6&gt;0,'8.项目规划指标表'!$R$6&gt;0),"自持/销售","自持"))</f>
        <v>销售</v>
      </c>
      <c r="E32" s="590"/>
      <c r="F32" s="591">
        <f>'8.项目规划指标表'!P6</f>
        <v>0</v>
      </c>
      <c r="G32" s="591">
        <f>'8.项目规划指标表'!Q6</f>
        <v>0</v>
      </c>
      <c r="H32" s="603"/>
      <c r="I32" s="603"/>
      <c r="J32" s="603"/>
      <c r="K32" s="603"/>
      <c r="L32" s="603"/>
      <c r="M32" s="612"/>
      <c r="N32" s="612"/>
      <c r="O32" s="612"/>
      <c r="P32" s="612"/>
      <c r="Q32" s="612"/>
      <c r="R32" s="612"/>
      <c r="S32" s="612"/>
      <c r="T32" s="612"/>
      <c r="U32" s="612"/>
      <c r="V32" s="612"/>
      <c r="W32" s="612"/>
      <c r="X32" s="612"/>
      <c r="Y32" s="612"/>
      <c r="Z32" s="612"/>
      <c r="AA32" s="612"/>
      <c r="AB32" s="612"/>
      <c r="AC32" s="612"/>
      <c r="AD32" s="612"/>
      <c r="AE32" s="617"/>
      <c r="AF32" s="618" t="str">
        <f>IF(MAX('9.项目开发计划表'!AB32:AC32)=0,"",MAX('9.项目开发计划表'!AB32:AC32))</f>
        <v/>
      </c>
      <c r="AG32" s="620" t="str">
        <f t="shared" si="6"/>
        <v/>
      </c>
      <c r="AH32" s="570" t="str">
        <f t="shared" si="7"/>
        <v/>
      </c>
    </row>
    <row r="33" spans="1:34" s="570" customFormat="1" ht="16.5" customHeight="1" outlineLevel="1">
      <c r="A33" s="1918"/>
      <c r="B33" s="1920"/>
      <c r="C33" s="588" t="str">
        <f t="shared" si="5"/>
        <v>回迁商业</v>
      </c>
      <c r="D33" s="589" t="str">
        <f>IF('8.项目规划指标表'!$R$7=0,"销售",IF(AND('8.项目规划指标表'!$Q$7&gt;0,'8.项目规划指标表'!$R$7&gt;0),"自持/销售","自持"))</f>
        <v>销售</v>
      </c>
      <c r="E33" s="590"/>
      <c r="F33" s="591">
        <f>'8.项目规划指标表'!P7</f>
        <v>0</v>
      </c>
      <c r="G33" s="591">
        <f>'8.项目规划指标表'!Q7</f>
        <v>0</v>
      </c>
      <c r="H33" s="603"/>
      <c r="I33" s="603"/>
      <c r="J33" s="603"/>
      <c r="K33" s="603"/>
      <c r="L33" s="603"/>
      <c r="M33" s="612"/>
      <c r="N33" s="612"/>
      <c r="O33" s="612"/>
      <c r="P33" s="612"/>
      <c r="Q33" s="612"/>
      <c r="R33" s="612"/>
      <c r="S33" s="612"/>
      <c r="T33" s="612"/>
      <c r="U33" s="612"/>
      <c r="V33" s="612"/>
      <c r="W33" s="612"/>
      <c r="X33" s="612"/>
      <c r="Y33" s="612"/>
      <c r="Z33" s="612"/>
      <c r="AA33" s="612"/>
      <c r="AB33" s="612"/>
      <c r="AC33" s="612"/>
      <c r="AD33" s="612"/>
      <c r="AE33" s="617"/>
      <c r="AF33" s="618" t="str">
        <f>IF(MAX('9.项目开发计划表'!AB33:AC33)=0,"",MAX('9.项目开发计划表'!AB33:AC33))</f>
        <v/>
      </c>
      <c r="AG33" s="620" t="str">
        <f t="shared" si="6"/>
        <v/>
      </c>
      <c r="AH33" s="570" t="str">
        <f t="shared" si="7"/>
        <v/>
      </c>
    </row>
    <row r="34" spans="1:34" s="570" customFormat="1" ht="16.5" customHeight="1" outlineLevel="1">
      <c r="A34" s="1918"/>
      <c r="B34" s="1920"/>
      <c r="C34" s="588">
        <f t="shared" si="5"/>
        <v>0</v>
      </c>
      <c r="D34" s="589" t="str">
        <f>IF('8.项目规划指标表'!$R$8=0,"销售",IF(AND('8.项目规划指标表'!$Q$8&gt;0,'8.项目规划指标表'!$R$8&gt;0),"自持/销售","自持"))</f>
        <v>销售</v>
      </c>
      <c r="E34" s="590"/>
      <c r="F34" s="591">
        <f>'8.项目规划指标表'!P8</f>
        <v>0</v>
      </c>
      <c r="G34" s="591">
        <f>'8.项目规划指标表'!Q8</f>
        <v>0</v>
      </c>
      <c r="H34" s="603"/>
      <c r="I34" s="603"/>
      <c r="J34" s="603"/>
      <c r="K34" s="603"/>
      <c r="L34" s="603"/>
      <c r="M34" s="612"/>
      <c r="N34" s="612"/>
      <c r="O34" s="612"/>
      <c r="P34" s="612"/>
      <c r="Q34" s="612"/>
      <c r="R34" s="612"/>
      <c r="S34" s="612"/>
      <c r="T34" s="612"/>
      <c r="U34" s="612"/>
      <c r="V34" s="612"/>
      <c r="W34" s="612"/>
      <c r="X34" s="612"/>
      <c r="Y34" s="612"/>
      <c r="Z34" s="612"/>
      <c r="AA34" s="612"/>
      <c r="AB34" s="612"/>
      <c r="AC34" s="614"/>
      <c r="AD34" s="612"/>
      <c r="AE34" s="617"/>
      <c r="AF34" s="618" t="str">
        <f>IF(MAX('9.项目开发计划表'!AB34:AC34)=0,"",MAX('9.项目开发计划表'!AB34:AC34))</f>
        <v/>
      </c>
      <c r="AG34" s="620" t="str">
        <f t="shared" si="6"/>
        <v/>
      </c>
      <c r="AH34" s="570" t="str">
        <f t="shared" si="7"/>
        <v/>
      </c>
    </row>
    <row r="35" spans="1:34" s="570" customFormat="1" ht="16.5" customHeight="1" outlineLevel="1">
      <c r="A35" s="1918"/>
      <c r="B35" s="1920"/>
      <c r="C35" s="588">
        <f t="shared" si="5"/>
        <v>0</v>
      </c>
      <c r="D35" s="589" t="str">
        <f>IF('8.项目规划指标表'!$R$9=0,"销售",IF(AND('8.项目规划指标表'!$Q$9&gt;0,'8.项目规划指标表'!$R$9&gt;0),"自持/销售","自持"))</f>
        <v>销售</v>
      </c>
      <c r="E35" s="590"/>
      <c r="F35" s="591">
        <f>'8.项目规划指标表'!P9</f>
        <v>0</v>
      </c>
      <c r="G35" s="591">
        <f>'8.项目规划指标表'!Q9</f>
        <v>0</v>
      </c>
      <c r="H35" s="603"/>
      <c r="I35" s="603"/>
      <c r="J35" s="603"/>
      <c r="K35" s="603"/>
      <c r="L35" s="603"/>
      <c r="M35" s="612"/>
      <c r="N35" s="612"/>
      <c r="O35" s="612"/>
      <c r="P35" s="612"/>
      <c r="Q35" s="612"/>
      <c r="R35" s="612"/>
      <c r="S35" s="612"/>
      <c r="T35" s="612"/>
      <c r="U35" s="612"/>
      <c r="V35" s="612"/>
      <c r="W35" s="612"/>
      <c r="X35" s="612"/>
      <c r="Y35" s="612"/>
      <c r="Z35" s="612"/>
      <c r="AA35" s="612"/>
      <c r="AB35" s="612"/>
      <c r="AC35" s="612"/>
      <c r="AD35" s="612"/>
      <c r="AE35" s="617"/>
      <c r="AF35" s="618" t="str">
        <f>IF(MAX('9.项目开发计划表'!AB35:AC35)=0,"",MAX('9.项目开发计划表'!AB35:AC35))</f>
        <v/>
      </c>
      <c r="AG35" s="620" t="str">
        <f t="shared" si="6"/>
        <v/>
      </c>
      <c r="AH35" s="570" t="str">
        <f t="shared" si="7"/>
        <v/>
      </c>
    </row>
    <row r="36" spans="1:34" s="570" customFormat="1" ht="16.5" customHeight="1" outlineLevel="1">
      <c r="A36" s="1918"/>
      <c r="B36" s="1920"/>
      <c r="C36" s="588">
        <f t="shared" si="5"/>
        <v>0</v>
      </c>
      <c r="D36" s="589" t="str">
        <f>IF('8.项目规划指标表'!$R$10=0,"销售",IF(AND('8.项目规划指标表'!$Q$10&gt;0,'8.项目规划指标表'!$R$10&gt;0),"自持/销售","自持"))</f>
        <v>销售</v>
      </c>
      <c r="E36" s="590"/>
      <c r="F36" s="591">
        <f>'8.项目规划指标表'!P10</f>
        <v>0</v>
      </c>
      <c r="G36" s="591">
        <f>'8.项目规划指标表'!Q10</f>
        <v>0</v>
      </c>
      <c r="H36" s="603"/>
      <c r="I36" s="603"/>
      <c r="J36" s="603"/>
      <c r="K36" s="603"/>
      <c r="L36" s="603"/>
      <c r="M36" s="612"/>
      <c r="N36" s="612"/>
      <c r="O36" s="612"/>
      <c r="P36" s="612"/>
      <c r="Q36" s="612"/>
      <c r="R36" s="612"/>
      <c r="S36" s="612"/>
      <c r="T36" s="612"/>
      <c r="U36" s="612"/>
      <c r="V36" s="612"/>
      <c r="W36" s="612"/>
      <c r="X36" s="612"/>
      <c r="Y36" s="612"/>
      <c r="Z36" s="612"/>
      <c r="AA36" s="612"/>
      <c r="AB36" s="612"/>
      <c r="AC36" s="612"/>
      <c r="AD36" s="612"/>
      <c r="AE36" s="617"/>
      <c r="AF36" s="618" t="str">
        <f>IF(MAX('9.项目开发计划表'!AB36:AC36)=0,"",MAX('9.项目开发计划表'!AB36:AC36))</f>
        <v/>
      </c>
      <c r="AG36" s="620" t="str">
        <f t="shared" si="6"/>
        <v/>
      </c>
      <c r="AH36" s="570" t="str">
        <f t="shared" si="7"/>
        <v/>
      </c>
    </row>
    <row r="37" spans="1:34" s="570" customFormat="1" ht="16.5" customHeight="1" outlineLevel="1">
      <c r="A37" s="1918"/>
      <c r="B37" s="1920"/>
      <c r="C37" s="588">
        <f t="shared" si="5"/>
        <v>0</v>
      </c>
      <c r="D37" s="589" t="str">
        <f>IF('8.项目规划指标表'!$R$11=0,"销售",IF(AND('8.项目规划指标表'!$Q$11&gt;0,'8.项目规划指标表'!$R$11&gt;0),"自持/销售","自持"))</f>
        <v>销售</v>
      </c>
      <c r="E37" s="590"/>
      <c r="F37" s="591">
        <f>'8.项目规划指标表'!P11</f>
        <v>0</v>
      </c>
      <c r="G37" s="591">
        <f>'8.项目规划指标表'!Q11</f>
        <v>0</v>
      </c>
      <c r="H37" s="603"/>
      <c r="I37" s="603"/>
      <c r="J37" s="603"/>
      <c r="K37" s="603"/>
      <c r="L37" s="603"/>
      <c r="M37" s="612"/>
      <c r="N37" s="612"/>
      <c r="O37" s="612"/>
      <c r="P37" s="612"/>
      <c r="Q37" s="612"/>
      <c r="R37" s="612"/>
      <c r="S37" s="612"/>
      <c r="T37" s="612"/>
      <c r="U37" s="612"/>
      <c r="V37" s="612"/>
      <c r="W37" s="612"/>
      <c r="X37" s="612"/>
      <c r="Y37" s="612"/>
      <c r="Z37" s="612"/>
      <c r="AA37" s="612"/>
      <c r="AB37" s="612"/>
      <c r="AC37" s="612"/>
      <c r="AD37" s="612"/>
      <c r="AE37" s="617"/>
      <c r="AF37" s="618" t="str">
        <f>IF(MAX('9.项目开发计划表'!AB37:AC37)=0,"",MAX('9.项目开发计划表'!AB37:AC37))</f>
        <v/>
      </c>
      <c r="AG37" s="620" t="str">
        <f t="shared" si="6"/>
        <v/>
      </c>
      <c r="AH37" s="570" t="str">
        <f t="shared" si="7"/>
        <v/>
      </c>
    </row>
    <row r="38" spans="1:34" s="570" customFormat="1" ht="16.5" customHeight="1" outlineLevel="1">
      <c r="A38" s="1918"/>
      <c r="B38" s="1920"/>
      <c r="C38" s="588">
        <f t="shared" si="5"/>
        <v>0</v>
      </c>
      <c r="D38" s="589" t="str">
        <f>IF('8.项目规划指标表'!$R$12=0,"销售",IF(AND('8.项目规划指标表'!$Q$12&gt;0,'8.项目规划指标表'!$R$12&gt;0),"自持/销售","自持"))</f>
        <v>销售</v>
      </c>
      <c r="E38" s="590"/>
      <c r="F38" s="591">
        <f>'8.项目规划指标表'!P12</f>
        <v>0</v>
      </c>
      <c r="G38" s="591">
        <f>'8.项目规划指标表'!Q12</f>
        <v>0</v>
      </c>
      <c r="H38" s="603"/>
      <c r="I38" s="603"/>
      <c r="J38" s="603"/>
      <c r="K38" s="603"/>
      <c r="L38" s="603"/>
      <c r="M38" s="612"/>
      <c r="N38" s="612"/>
      <c r="O38" s="612"/>
      <c r="P38" s="612"/>
      <c r="Q38" s="612"/>
      <c r="R38" s="612"/>
      <c r="S38" s="612"/>
      <c r="T38" s="612"/>
      <c r="U38" s="612"/>
      <c r="V38" s="612"/>
      <c r="W38" s="612"/>
      <c r="X38" s="612"/>
      <c r="Y38" s="612"/>
      <c r="Z38" s="612"/>
      <c r="AA38" s="612"/>
      <c r="AB38" s="612"/>
      <c r="AC38" s="612"/>
      <c r="AD38" s="612"/>
      <c r="AE38" s="617"/>
      <c r="AF38" s="618" t="str">
        <f>IF(MAX('9.项目开发计划表'!AB38:AC38)=0,"",MAX('9.项目开发计划表'!AB38:AC38))</f>
        <v/>
      </c>
      <c r="AG38" s="620" t="str">
        <f t="shared" si="6"/>
        <v/>
      </c>
      <c r="AH38" s="570" t="str">
        <f t="shared" si="7"/>
        <v/>
      </c>
    </row>
    <row r="39" spans="1:34" s="570" customFormat="1" ht="16.5" customHeight="1" outlineLevel="1">
      <c r="A39" s="1918"/>
      <c r="B39" s="1920"/>
      <c r="C39" s="588">
        <f t="shared" si="5"/>
        <v>0</v>
      </c>
      <c r="D39" s="589" t="str">
        <f>IF('8.项目规划指标表'!$R$13=0,"销售",IF(AND('8.项目规划指标表'!$Q$13&gt;0,'8.项目规划指标表'!$R$13&gt;0),"自持/销售","自持"))</f>
        <v>销售</v>
      </c>
      <c r="E39" s="590"/>
      <c r="F39" s="591">
        <f>'8.项目规划指标表'!P13</f>
        <v>0</v>
      </c>
      <c r="G39" s="591">
        <f>'8.项目规划指标表'!Q13</f>
        <v>0</v>
      </c>
      <c r="H39" s="603"/>
      <c r="I39" s="603"/>
      <c r="J39" s="603"/>
      <c r="K39" s="603"/>
      <c r="L39" s="603"/>
      <c r="M39" s="612"/>
      <c r="N39" s="612"/>
      <c r="O39" s="612"/>
      <c r="P39" s="612"/>
      <c r="Q39" s="612"/>
      <c r="R39" s="612"/>
      <c r="S39" s="612"/>
      <c r="T39" s="612"/>
      <c r="U39" s="612"/>
      <c r="V39" s="612"/>
      <c r="W39" s="612"/>
      <c r="X39" s="612"/>
      <c r="Y39" s="612"/>
      <c r="Z39" s="612"/>
      <c r="AA39" s="612"/>
      <c r="AB39" s="612"/>
      <c r="AC39" s="612"/>
      <c r="AD39" s="612"/>
      <c r="AE39" s="617"/>
      <c r="AF39" s="618" t="str">
        <f>IF(MAX('9.项目开发计划表'!AB39:AC39)=0,"",MAX('9.项目开发计划表'!AB39:AC39))</f>
        <v/>
      </c>
      <c r="AG39" s="620" t="str">
        <f t="shared" si="6"/>
        <v/>
      </c>
      <c r="AH39" s="570" t="str">
        <f t="shared" si="7"/>
        <v/>
      </c>
    </row>
    <row r="40" spans="1:34" s="570" customFormat="1" ht="16.5" customHeight="1" outlineLevel="1">
      <c r="A40" s="1918"/>
      <c r="B40" s="1920"/>
      <c r="C40" s="588" t="str">
        <f t="shared" si="5"/>
        <v>自持物业</v>
      </c>
      <c r="D40" s="589" t="str">
        <f>IF('8.项目规划指标表'!$R$14=0,"销售",IF(AND('8.项目规划指标表'!$Q$14&gt;0,'8.项目规划指标表'!$R$14&gt;0),"自持/销售","自持"))</f>
        <v>销售</v>
      </c>
      <c r="E40" s="590"/>
      <c r="F40" s="591">
        <f>'8.项目规划指标表'!P14</f>
        <v>0</v>
      </c>
      <c r="G40" s="591">
        <f>'8.项目规划指标表'!Q14</f>
        <v>0</v>
      </c>
      <c r="H40" s="603"/>
      <c r="I40" s="603"/>
      <c r="J40" s="603"/>
      <c r="K40" s="603"/>
      <c r="L40" s="603"/>
      <c r="M40" s="612"/>
      <c r="N40" s="612"/>
      <c r="O40" s="612"/>
      <c r="P40" s="612"/>
      <c r="Q40" s="612"/>
      <c r="R40" s="612"/>
      <c r="S40" s="612"/>
      <c r="T40" s="612"/>
      <c r="U40" s="612"/>
      <c r="V40" s="612"/>
      <c r="W40" s="612"/>
      <c r="X40" s="612"/>
      <c r="Y40" s="612"/>
      <c r="Z40" s="612"/>
      <c r="AA40" s="612"/>
      <c r="AB40" s="612"/>
      <c r="AC40" s="612"/>
      <c r="AD40" s="612"/>
      <c r="AE40" s="617"/>
      <c r="AF40" s="618" t="str">
        <f>IF(MAX('9.项目开发计划表'!AB40:AC40)=0,"",MAX('9.项目开发计划表'!AB40:AC40))</f>
        <v/>
      </c>
      <c r="AG40" s="620" t="str">
        <f t="shared" si="6"/>
        <v/>
      </c>
      <c r="AH40" s="570" t="str">
        <f t="shared" si="7"/>
        <v/>
      </c>
    </row>
    <row r="41" spans="1:34" s="570" customFormat="1" ht="16.5" customHeight="1" outlineLevel="1">
      <c r="A41" s="1918"/>
      <c r="B41" s="1920"/>
      <c r="C41" s="588" t="str">
        <f t="shared" si="5"/>
        <v>有产权车库(个)</v>
      </c>
      <c r="D41" s="589" t="str">
        <f>IF('8.项目规划指标表'!$R$18=0,"销售",IF(AND('8.项目规划指标表'!$Q$18&gt;0,'8.项目规划指标表'!$R$18&gt;0),"自持/销售","自持"))</f>
        <v>销售</v>
      </c>
      <c r="E41" s="590"/>
      <c r="F41" s="591">
        <f>'8.项目规划指标表'!O18</f>
        <v>0</v>
      </c>
      <c r="G41" s="591">
        <f>'8.项目规划指标表'!Q18</f>
        <v>0</v>
      </c>
      <c r="H41" s="603"/>
      <c r="I41" s="603"/>
      <c r="J41" s="603"/>
      <c r="K41" s="603"/>
      <c r="L41" s="603"/>
      <c r="M41" s="612"/>
      <c r="N41" s="612"/>
      <c r="O41" s="612"/>
      <c r="P41" s="612"/>
      <c r="Q41" s="612"/>
      <c r="R41" s="612"/>
      <c r="S41" s="612"/>
      <c r="T41" s="612"/>
      <c r="U41" s="612"/>
      <c r="V41" s="612"/>
      <c r="W41" s="612"/>
      <c r="X41" s="612"/>
      <c r="Y41" s="612"/>
      <c r="Z41" s="612"/>
      <c r="AA41" s="612"/>
      <c r="AB41" s="612"/>
      <c r="AC41" s="614"/>
      <c r="AD41" s="612"/>
      <c r="AE41" s="617"/>
      <c r="AF41" s="618" t="str">
        <f>IF(MAX('9.项目开发计划表'!AB41:AC41)=0,"",MAX('9.项目开发计划表'!AB41:AC41))</f>
        <v/>
      </c>
      <c r="AG41" s="620" t="str">
        <f t="shared" si="6"/>
        <v/>
      </c>
      <c r="AH41" s="570" t="str">
        <f t="shared" si="7"/>
        <v/>
      </c>
    </row>
    <row r="42" spans="1:34" s="570" customFormat="1" ht="16.5" customHeight="1" outlineLevel="1">
      <c r="A42" s="1918"/>
      <c r="B42" s="1920"/>
      <c r="C42" s="588" t="str">
        <f t="shared" si="5"/>
        <v>无产权车库(个)</v>
      </c>
      <c r="D42" s="589" t="str">
        <f>IF('8.项目规划指标表'!$R$19=0,"销售",IF(AND('8.项目规划指标表'!$Q$19&gt;0,'8.项目规划指标表'!$R$19&gt;0),"自持/销售","自持"))</f>
        <v>销售</v>
      </c>
      <c r="E42" s="590"/>
      <c r="F42" s="591">
        <f>'8.项目规划指标表'!O19</f>
        <v>0</v>
      </c>
      <c r="G42" s="591">
        <f>'8.项目规划指标表'!Q19</f>
        <v>0</v>
      </c>
      <c r="H42" s="603"/>
      <c r="I42" s="603"/>
      <c r="J42" s="603"/>
      <c r="K42" s="603"/>
      <c r="L42" s="603"/>
      <c r="M42" s="612"/>
      <c r="N42" s="612"/>
      <c r="O42" s="612"/>
      <c r="P42" s="612"/>
      <c r="Q42" s="612"/>
      <c r="R42" s="612"/>
      <c r="S42" s="612"/>
      <c r="T42" s="612"/>
      <c r="U42" s="612"/>
      <c r="V42" s="612"/>
      <c r="W42" s="612"/>
      <c r="X42" s="612"/>
      <c r="Y42" s="612"/>
      <c r="Z42" s="612"/>
      <c r="AA42" s="612"/>
      <c r="AB42" s="612"/>
      <c r="AC42" s="612"/>
      <c r="AD42" s="612"/>
      <c r="AE42" s="617"/>
      <c r="AF42" s="618" t="str">
        <f>IF(MAX('9.项目开发计划表'!AB42:AC42)=0,"",MAX('9.项目开发计划表'!AB42:AC42))</f>
        <v/>
      </c>
      <c r="AG42" s="620" t="str">
        <f t="shared" si="6"/>
        <v/>
      </c>
      <c r="AH42" s="570" t="str">
        <f t="shared" si="7"/>
        <v/>
      </c>
    </row>
    <row r="43" spans="1:34" s="570" customFormat="1" ht="15" customHeight="1">
      <c r="A43" s="1918"/>
      <c r="B43" s="598"/>
      <c r="C43" s="598"/>
      <c r="D43" s="599"/>
      <c r="E43" s="600"/>
      <c r="F43" s="601"/>
      <c r="G43" s="598"/>
      <c r="H43" s="602"/>
      <c r="I43" s="602"/>
      <c r="J43" s="602"/>
      <c r="K43" s="609"/>
      <c r="L43" s="602"/>
      <c r="M43" s="610"/>
      <c r="N43" s="611"/>
      <c r="O43" s="610"/>
      <c r="P43" s="611"/>
      <c r="Q43" s="610"/>
      <c r="R43" s="610"/>
      <c r="S43" s="610"/>
      <c r="T43" s="610"/>
      <c r="U43" s="610"/>
      <c r="V43" s="611"/>
      <c r="W43" s="608"/>
      <c r="X43" s="611"/>
      <c r="Y43" s="608"/>
      <c r="Z43" s="610"/>
      <c r="AA43" s="610"/>
      <c r="AB43" s="610"/>
      <c r="AC43" s="608"/>
      <c r="AD43" s="608"/>
      <c r="AE43" s="615"/>
      <c r="AF43" s="619"/>
      <c r="AG43" s="580"/>
      <c r="AH43" s="580"/>
    </row>
    <row r="44" spans="1:34" s="570" customFormat="1" ht="16.5" customHeight="1" outlineLevel="1">
      <c r="A44" s="1918"/>
      <c r="B44" s="1920" t="s">
        <v>22</v>
      </c>
      <c r="C44" s="588" t="str">
        <f t="shared" ref="C44:C55" si="8">C31</f>
        <v>高层</v>
      </c>
      <c r="D44" s="589" t="str">
        <f>IF('8.项目规划指标表'!$V$5=0,"销售",IF(AND('8.项目规划指标表'!$U$5&gt;0,'8.项目规划指标表'!$V$5&gt;0),"自持/销售","自持"))</f>
        <v>销售</v>
      </c>
      <c r="E44" s="590"/>
      <c r="F44" s="591">
        <f>'8.项目规划指标表'!T5</f>
        <v>0</v>
      </c>
      <c r="G44" s="591">
        <f>'8.项目规划指标表'!U5</f>
        <v>0</v>
      </c>
      <c r="H44" s="592"/>
      <c r="I44" s="592"/>
      <c r="J44" s="592"/>
      <c r="K44" s="592"/>
      <c r="L44" s="592"/>
      <c r="M44" s="592"/>
      <c r="N44" s="592"/>
      <c r="O44" s="592"/>
      <c r="P44" s="592"/>
      <c r="Q44" s="614"/>
      <c r="R44" s="614"/>
      <c r="S44" s="614"/>
      <c r="T44" s="614"/>
      <c r="U44" s="614"/>
      <c r="V44" s="614"/>
      <c r="W44" s="614"/>
      <c r="X44" s="614"/>
      <c r="Y44" s="614"/>
      <c r="Z44" s="614"/>
      <c r="AA44" s="614"/>
      <c r="AB44" s="614"/>
      <c r="AC44" s="614"/>
      <c r="AD44" s="614"/>
      <c r="AE44" s="617"/>
      <c r="AF44" s="618" t="str">
        <f>IF(MAX('9.项目开发计划表'!AB44:AC44)=0,"",MAX('9.项目开发计划表'!AB44:AC44))</f>
        <v/>
      </c>
      <c r="AG44" s="620" t="str">
        <f t="shared" ref="AG44:AG55" si="9">IFERROR(YEAR(AF44)&amp;"年"&amp;AH44&amp;"季度","")</f>
        <v/>
      </c>
      <c r="AH44" s="570" t="str">
        <f t="shared" ref="AH44:AH55" si="10">IFERROR(IF(OR(MONTH(AF44)=1,MONTH(AF44)=2,MONTH(AF44)=3),1,IF(OR(MONTH(AF44)=4,MONTH(AF44)=5,MONTH(AF44)=6),2,IF(OR(MONTH(AF44)=7,MONTH(AF44)=8,MONTH(AF44)=9),3,4))),"")</f>
        <v/>
      </c>
    </row>
    <row r="45" spans="1:34" s="570" customFormat="1" ht="16.5" customHeight="1" outlineLevel="1">
      <c r="A45" s="1918"/>
      <c r="B45" s="1920"/>
      <c r="C45" s="588" t="str">
        <f t="shared" si="8"/>
        <v>商铺</v>
      </c>
      <c r="D45" s="589" t="str">
        <f>IF('8.项目规划指标表'!$V$6=0,"销售",IF(AND('8.项目规划指标表'!$U$6&gt;0,'8.项目规划指标表'!$V$6&gt;0),"自持/销售","自持"))</f>
        <v>销售</v>
      </c>
      <c r="E45" s="590"/>
      <c r="F45" s="591">
        <f>'8.项目规划指标表'!T6</f>
        <v>0</v>
      </c>
      <c r="G45" s="591">
        <f>'8.项目规划指标表'!U6</f>
        <v>0</v>
      </c>
      <c r="H45" s="592"/>
      <c r="I45" s="592"/>
      <c r="J45" s="592"/>
      <c r="K45" s="592"/>
      <c r="L45" s="592"/>
      <c r="M45" s="592"/>
      <c r="N45" s="592"/>
      <c r="O45" s="592"/>
      <c r="P45" s="592"/>
      <c r="Q45" s="614"/>
      <c r="R45" s="614"/>
      <c r="S45" s="614"/>
      <c r="T45" s="614"/>
      <c r="U45" s="614"/>
      <c r="V45" s="614"/>
      <c r="W45" s="614"/>
      <c r="X45" s="614"/>
      <c r="Y45" s="614"/>
      <c r="Z45" s="614"/>
      <c r="AA45" s="614"/>
      <c r="AB45" s="614"/>
      <c r="AC45" s="614"/>
      <c r="AD45" s="614"/>
      <c r="AE45" s="617"/>
      <c r="AF45" s="618" t="str">
        <f>IF(MAX('9.项目开发计划表'!AB45:AC45)=0,"",MAX('9.项目开发计划表'!AB45:AC45))</f>
        <v/>
      </c>
      <c r="AG45" s="620" t="str">
        <f t="shared" si="9"/>
        <v/>
      </c>
      <c r="AH45" s="570" t="str">
        <f t="shared" si="10"/>
        <v/>
      </c>
    </row>
    <row r="46" spans="1:34" s="570" customFormat="1" ht="16.5" customHeight="1" outlineLevel="1">
      <c r="A46" s="1918"/>
      <c r="B46" s="1920"/>
      <c r="C46" s="588" t="str">
        <f t="shared" si="8"/>
        <v>回迁商业</v>
      </c>
      <c r="D46" s="589" t="str">
        <f>IF('8.项目规划指标表'!$V$7=0,"销售",IF(AND('8.项目规划指标表'!$U$7&gt;0,'8.项目规划指标表'!$V$7&gt;0),"自持/销售","自持"))</f>
        <v>销售</v>
      </c>
      <c r="E46" s="590"/>
      <c r="F46" s="591">
        <f>'8.项目规划指标表'!T7</f>
        <v>0</v>
      </c>
      <c r="G46" s="591">
        <f>'8.项目规划指标表'!U7</f>
        <v>0</v>
      </c>
      <c r="H46" s="592"/>
      <c r="I46" s="592"/>
      <c r="J46" s="592"/>
      <c r="K46" s="592"/>
      <c r="L46" s="592"/>
      <c r="M46" s="592"/>
      <c r="N46" s="592"/>
      <c r="O46" s="592"/>
      <c r="P46" s="592"/>
      <c r="Q46" s="614"/>
      <c r="R46" s="614"/>
      <c r="S46" s="614"/>
      <c r="T46" s="614"/>
      <c r="U46" s="614"/>
      <c r="V46" s="614"/>
      <c r="W46" s="614"/>
      <c r="X46" s="614"/>
      <c r="Y46" s="614"/>
      <c r="Z46" s="614"/>
      <c r="AA46" s="614"/>
      <c r="AB46" s="614"/>
      <c r="AC46" s="614"/>
      <c r="AD46" s="614"/>
      <c r="AE46" s="617"/>
      <c r="AF46" s="618" t="str">
        <f>IF(MAX('9.项目开发计划表'!AB46:AC46)=0,"",MAX('9.项目开发计划表'!AB46:AC46))</f>
        <v/>
      </c>
      <c r="AG46" s="620" t="str">
        <f t="shared" si="9"/>
        <v/>
      </c>
      <c r="AH46" s="570" t="str">
        <f t="shared" si="10"/>
        <v/>
      </c>
    </row>
    <row r="47" spans="1:34" s="570" customFormat="1" ht="16.5" customHeight="1" outlineLevel="1">
      <c r="A47" s="1918"/>
      <c r="B47" s="1920"/>
      <c r="C47" s="588">
        <f t="shared" si="8"/>
        <v>0</v>
      </c>
      <c r="D47" s="589" t="str">
        <f>IF('8.项目规划指标表'!$V$8=0,"销售",IF(AND('8.项目规划指标表'!$U$8&gt;0,'8.项目规划指标表'!$V$8&gt;0),"自持/销售","自持"))</f>
        <v>销售</v>
      </c>
      <c r="E47" s="590"/>
      <c r="F47" s="591">
        <f>'8.项目规划指标表'!T8</f>
        <v>0</v>
      </c>
      <c r="G47" s="591">
        <f>'8.项目规划指标表'!U8</f>
        <v>0</v>
      </c>
      <c r="H47" s="592"/>
      <c r="I47" s="592"/>
      <c r="J47" s="592"/>
      <c r="K47" s="592"/>
      <c r="L47" s="592"/>
      <c r="M47" s="592"/>
      <c r="N47" s="592"/>
      <c r="O47" s="592"/>
      <c r="P47" s="592"/>
      <c r="Q47" s="614"/>
      <c r="R47" s="614"/>
      <c r="S47" s="614"/>
      <c r="T47" s="614"/>
      <c r="U47" s="614"/>
      <c r="V47" s="614"/>
      <c r="W47" s="614"/>
      <c r="X47" s="614"/>
      <c r="Y47" s="614"/>
      <c r="Z47" s="614"/>
      <c r="AA47" s="614"/>
      <c r="AB47" s="614"/>
      <c r="AC47" s="614"/>
      <c r="AD47" s="614"/>
      <c r="AE47" s="617"/>
      <c r="AF47" s="618" t="str">
        <f>IF(MAX('9.项目开发计划表'!AB47:AC47)=0,"",MAX('9.项目开发计划表'!AB47:AC47))</f>
        <v/>
      </c>
      <c r="AG47" s="620" t="str">
        <f t="shared" si="9"/>
        <v/>
      </c>
      <c r="AH47" s="570" t="str">
        <f t="shared" si="10"/>
        <v/>
      </c>
    </row>
    <row r="48" spans="1:34" s="570" customFormat="1" ht="16.5" customHeight="1" outlineLevel="1">
      <c r="A48" s="1918"/>
      <c r="B48" s="1920"/>
      <c r="C48" s="588">
        <f t="shared" si="8"/>
        <v>0</v>
      </c>
      <c r="D48" s="589" t="str">
        <f>IF('8.项目规划指标表'!$V$9=0,"销售",IF(AND('8.项目规划指标表'!$U$9&gt;0,'8.项目规划指标表'!$V$9&gt;0),"自持/销售","自持"))</f>
        <v>销售</v>
      </c>
      <c r="E48" s="590"/>
      <c r="F48" s="591">
        <f>'8.项目规划指标表'!T9</f>
        <v>0</v>
      </c>
      <c r="G48" s="591">
        <f>'8.项目规划指标表'!U9</f>
        <v>0</v>
      </c>
      <c r="H48" s="592"/>
      <c r="I48" s="592"/>
      <c r="J48" s="592"/>
      <c r="K48" s="592"/>
      <c r="L48" s="592"/>
      <c r="M48" s="592"/>
      <c r="N48" s="592"/>
      <c r="O48" s="592"/>
      <c r="P48" s="592"/>
      <c r="Q48" s="614"/>
      <c r="R48" s="614"/>
      <c r="S48" s="614"/>
      <c r="T48" s="614"/>
      <c r="U48" s="614"/>
      <c r="V48" s="614"/>
      <c r="W48" s="614"/>
      <c r="X48" s="614"/>
      <c r="Y48" s="614"/>
      <c r="Z48" s="614"/>
      <c r="AA48" s="614"/>
      <c r="AB48" s="614"/>
      <c r="AC48" s="614"/>
      <c r="AD48" s="614"/>
      <c r="AE48" s="617"/>
      <c r="AF48" s="618" t="str">
        <f>IF(MAX('9.项目开发计划表'!AB48:AC48)=0,"",MAX('9.项目开发计划表'!AB48:AC48))</f>
        <v/>
      </c>
      <c r="AG48" s="620" t="str">
        <f t="shared" si="9"/>
        <v/>
      </c>
      <c r="AH48" s="570" t="str">
        <f t="shared" si="10"/>
        <v/>
      </c>
    </row>
    <row r="49" spans="1:34" s="570" customFormat="1" ht="16.5" customHeight="1" outlineLevel="1">
      <c r="A49" s="1918"/>
      <c r="B49" s="1920"/>
      <c r="C49" s="588">
        <f t="shared" si="8"/>
        <v>0</v>
      </c>
      <c r="D49" s="589" t="str">
        <f>IF('8.项目规划指标表'!$V$10=0,"销售",IF(AND('8.项目规划指标表'!$U$10&gt;0,'8.项目规划指标表'!$V$10&gt;0),"自持/销售","自持"))</f>
        <v>销售</v>
      </c>
      <c r="E49" s="590"/>
      <c r="F49" s="591">
        <f>'8.项目规划指标表'!T10</f>
        <v>0</v>
      </c>
      <c r="G49" s="591">
        <f>'8.项目规划指标表'!U10</f>
        <v>0</v>
      </c>
      <c r="H49" s="592"/>
      <c r="I49" s="592"/>
      <c r="J49" s="592"/>
      <c r="K49" s="592"/>
      <c r="L49" s="592"/>
      <c r="M49" s="592"/>
      <c r="N49" s="592"/>
      <c r="O49" s="592"/>
      <c r="P49" s="592"/>
      <c r="Q49" s="614"/>
      <c r="R49" s="614"/>
      <c r="S49" s="614"/>
      <c r="T49" s="614"/>
      <c r="U49" s="614"/>
      <c r="V49" s="614"/>
      <c r="W49" s="614"/>
      <c r="X49" s="614"/>
      <c r="Y49" s="614"/>
      <c r="Z49" s="614"/>
      <c r="AA49" s="614"/>
      <c r="AB49" s="614"/>
      <c r="AC49" s="614"/>
      <c r="AD49" s="614"/>
      <c r="AE49" s="617"/>
      <c r="AF49" s="618" t="str">
        <f>IF(MAX('9.项目开发计划表'!AB49:AC49)=0,"",MAX('9.项目开发计划表'!AB49:AC49))</f>
        <v/>
      </c>
      <c r="AG49" s="620" t="str">
        <f t="shared" si="9"/>
        <v/>
      </c>
      <c r="AH49" s="570" t="str">
        <f t="shared" si="10"/>
        <v/>
      </c>
    </row>
    <row r="50" spans="1:34" s="570" customFormat="1" ht="16.5" customHeight="1" outlineLevel="1">
      <c r="A50" s="1918"/>
      <c r="B50" s="1920"/>
      <c r="C50" s="588">
        <f t="shared" si="8"/>
        <v>0</v>
      </c>
      <c r="D50" s="589" t="str">
        <f>IF('8.项目规划指标表'!$V$11=0,"销售",IF(AND('8.项目规划指标表'!$U$11&gt;0,'8.项目规划指标表'!$V$11&gt;0),"自持/销售","自持"))</f>
        <v>销售</v>
      </c>
      <c r="E50" s="590"/>
      <c r="F50" s="591">
        <f>'8.项目规划指标表'!T11</f>
        <v>0</v>
      </c>
      <c r="G50" s="591">
        <f>'8.项目规划指标表'!U11</f>
        <v>0</v>
      </c>
      <c r="H50" s="592"/>
      <c r="I50" s="592"/>
      <c r="J50" s="592"/>
      <c r="K50" s="592"/>
      <c r="L50" s="592"/>
      <c r="M50" s="592"/>
      <c r="N50" s="592"/>
      <c r="O50" s="592"/>
      <c r="P50" s="592"/>
      <c r="Q50" s="614"/>
      <c r="R50" s="614"/>
      <c r="S50" s="614"/>
      <c r="T50" s="614"/>
      <c r="U50" s="614"/>
      <c r="V50" s="614"/>
      <c r="W50" s="614"/>
      <c r="X50" s="614"/>
      <c r="Y50" s="614"/>
      <c r="Z50" s="614"/>
      <c r="AA50" s="614"/>
      <c r="AB50" s="614"/>
      <c r="AC50" s="614"/>
      <c r="AD50" s="614"/>
      <c r="AE50" s="617"/>
      <c r="AF50" s="618" t="str">
        <f>IF(MAX('9.项目开发计划表'!AB50:AC50)=0,"",MAX('9.项目开发计划表'!AB50:AC50))</f>
        <v/>
      </c>
      <c r="AG50" s="620" t="str">
        <f t="shared" si="9"/>
        <v/>
      </c>
      <c r="AH50" s="570" t="str">
        <f t="shared" si="10"/>
        <v/>
      </c>
    </row>
    <row r="51" spans="1:34" s="570" customFormat="1" ht="16.5" customHeight="1" outlineLevel="1">
      <c r="A51" s="1918"/>
      <c r="B51" s="1920"/>
      <c r="C51" s="588">
        <f t="shared" si="8"/>
        <v>0</v>
      </c>
      <c r="D51" s="589" t="str">
        <f>IF('8.项目规划指标表'!$V$12=0,"销售",IF(AND('8.项目规划指标表'!$U$12&gt;0,'8.项目规划指标表'!$V$12&gt;0),"自持/销售","自持"))</f>
        <v>销售</v>
      </c>
      <c r="E51" s="590"/>
      <c r="F51" s="591">
        <f>'8.项目规划指标表'!T12</f>
        <v>0</v>
      </c>
      <c r="G51" s="591">
        <f>'8.项目规划指标表'!U12</f>
        <v>0</v>
      </c>
      <c r="H51" s="592"/>
      <c r="I51" s="592"/>
      <c r="J51" s="592"/>
      <c r="K51" s="592"/>
      <c r="L51" s="592"/>
      <c r="M51" s="592"/>
      <c r="N51" s="592"/>
      <c r="O51" s="592"/>
      <c r="P51" s="592"/>
      <c r="Q51" s="614"/>
      <c r="R51" s="614"/>
      <c r="S51" s="614"/>
      <c r="T51" s="614"/>
      <c r="U51" s="614"/>
      <c r="V51" s="614"/>
      <c r="W51" s="614"/>
      <c r="X51" s="614"/>
      <c r="Y51" s="614"/>
      <c r="Z51" s="614"/>
      <c r="AA51" s="614"/>
      <c r="AB51" s="614"/>
      <c r="AC51" s="614"/>
      <c r="AD51" s="614"/>
      <c r="AE51" s="617"/>
      <c r="AF51" s="618" t="str">
        <f>IF(MAX('9.项目开发计划表'!AB51:AC51)=0,"",MAX('9.项目开发计划表'!AB51:AC51))</f>
        <v/>
      </c>
      <c r="AG51" s="620" t="str">
        <f t="shared" si="9"/>
        <v/>
      </c>
      <c r="AH51" s="570" t="str">
        <f t="shared" si="10"/>
        <v/>
      </c>
    </row>
    <row r="52" spans="1:34" s="570" customFormat="1" ht="16.5" customHeight="1" outlineLevel="1">
      <c r="A52" s="1918"/>
      <c r="B52" s="1920"/>
      <c r="C52" s="588">
        <f t="shared" si="8"/>
        <v>0</v>
      </c>
      <c r="D52" s="589" t="str">
        <f>IF('8.项目规划指标表'!$V$13=0,"销售",IF(AND('8.项目规划指标表'!$U$13&gt;0,'8.项目规划指标表'!$V$13&gt;0),"自持/销售","自持"))</f>
        <v>销售</v>
      </c>
      <c r="E52" s="590"/>
      <c r="F52" s="591">
        <f>'8.项目规划指标表'!T13</f>
        <v>0</v>
      </c>
      <c r="G52" s="591">
        <f>'8.项目规划指标表'!U13</f>
        <v>0</v>
      </c>
      <c r="H52" s="592"/>
      <c r="I52" s="592"/>
      <c r="J52" s="592"/>
      <c r="K52" s="592"/>
      <c r="L52" s="592"/>
      <c r="M52" s="592"/>
      <c r="N52" s="592"/>
      <c r="O52" s="592"/>
      <c r="P52" s="592"/>
      <c r="Q52" s="614"/>
      <c r="R52" s="614"/>
      <c r="S52" s="614"/>
      <c r="T52" s="614"/>
      <c r="U52" s="614"/>
      <c r="V52" s="614"/>
      <c r="W52" s="614"/>
      <c r="X52" s="614"/>
      <c r="Y52" s="614"/>
      <c r="Z52" s="614"/>
      <c r="AA52" s="614"/>
      <c r="AB52" s="614"/>
      <c r="AC52" s="614"/>
      <c r="AD52" s="614"/>
      <c r="AE52" s="617"/>
      <c r="AF52" s="618" t="str">
        <f>IF(MAX('9.项目开发计划表'!AB52:AC52)=0,"",MAX('9.项目开发计划表'!AB52:AC52))</f>
        <v/>
      </c>
      <c r="AG52" s="620" t="str">
        <f t="shared" si="9"/>
        <v/>
      </c>
      <c r="AH52" s="570" t="str">
        <f t="shared" si="10"/>
        <v/>
      </c>
    </row>
    <row r="53" spans="1:34" s="570" customFormat="1" ht="16.5" customHeight="1" outlineLevel="1">
      <c r="A53" s="1918"/>
      <c r="B53" s="1920"/>
      <c r="C53" s="588" t="str">
        <f t="shared" si="8"/>
        <v>自持物业</v>
      </c>
      <c r="D53" s="589" t="str">
        <f>IF('8.项目规划指标表'!$V$14=0,"销售",IF(AND('8.项目规划指标表'!$U$14&gt;0,'8.项目规划指标表'!$V$14&gt;0),"自持/销售","自持"))</f>
        <v>销售</v>
      </c>
      <c r="E53" s="590"/>
      <c r="F53" s="591">
        <f>'8.项目规划指标表'!T14</f>
        <v>0</v>
      </c>
      <c r="G53" s="591">
        <f>'8.项目规划指标表'!U14</f>
        <v>0</v>
      </c>
      <c r="H53" s="592"/>
      <c r="I53" s="592"/>
      <c r="J53" s="592"/>
      <c r="K53" s="592"/>
      <c r="L53" s="592"/>
      <c r="M53" s="592"/>
      <c r="N53" s="592"/>
      <c r="O53" s="592"/>
      <c r="P53" s="592"/>
      <c r="Q53" s="614"/>
      <c r="R53" s="614"/>
      <c r="S53" s="614"/>
      <c r="T53" s="614"/>
      <c r="U53" s="614"/>
      <c r="V53" s="614"/>
      <c r="W53" s="614"/>
      <c r="X53" s="614"/>
      <c r="Y53" s="614"/>
      <c r="Z53" s="614"/>
      <c r="AA53" s="614"/>
      <c r="AB53" s="614"/>
      <c r="AC53" s="614"/>
      <c r="AD53" s="614"/>
      <c r="AE53" s="617"/>
      <c r="AF53" s="618" t="str">
        <f>IF(MAX('9.项目开发计划表'!AB53:AC53)=0,"",MAX('9.项目开发计划表'!AB53:AC53))</f>
        <v/>
      </c>
      <c r="AG53" s="620" t="str">
        <f t="shared" si="9"/>
        <v/>
      </c>
      <c r="AH53" s="570" t="str">
        <f t="shared" si="10"/>
        <v/>
      </c>
    </row>
    <row r="54" spans="1:34" s="570" customFormat="1" ht="16.5" customHeight="1" outlineLevel="1">
      <c r="A54" s="1918"/>
      <c r="B54" s="1920"/>
      <c r="C54" s="588" t="str">
        <f t="shared" si="8"/>
        <v>有产权车库(个)</v>
      </c>
      <c r="D54" s="589" t="str">
        <f>IF('8.项目规划指标表'!$V$18=0,"销售",IF(AND('8.项目规划指标表'!$U$18&gt;0,'8.项目规划指标表'!$V$18&gt;0),"自持/销售","自持"))</f>
        <v>销售</v>
      </c>
      <c r="E54" s="590"/>
      <c r="F54" s="591">
        <f>'8.项目规划指标表'!S18</f>
        <v>0</v>
      </c>
      <c r="G54" s="591">
        <f>'8.项目规划指标表'!U18</f>
        <v>0</v>
      </c>
      <c r="H54" s="592"/>
      <c r="I54" s="592"/>
      <c r="J54" s="592"/>
      <c r="K54" s="592"/>
      <c r="L54" s="592"/>
      <c r="M54" s="592"/>
      <c r="N54" s="592"/>
      <c r="O54" s="592"/>
      <c r="P54" s="592"/>
      <c r="Q54" s="614"/>
      <c r="R54" s="614"/>
      <c r="S54" s="614"/>
      <c r="T54" s="614"/>
      <c r="U54" s="614"/>
      <c r="V54" s="614"/>
      <c r="W54" s="614"/>
      <c r="X54" s="614"/>
      <c r="Y54" s="614"/>
      <c r="Z54" s="614"/>
      <c r="AA54" s="614"/>
      <c r="AB54" s="614"/>
      <c r="AC54" s="614"/>
      <c r="AD54" s="614"/>
      <c r="AE54" s="617"/>
      <c r="AF54" s="618" t="str">
        <f>IF(MAX('9.项目开发计划表'!AB54:AC54)=0,"",MAX('9.项目开发计划表'!AB54:AC54))</f>
        <v/>
      </c>
      <c r="AG54" s="620" t="str">
        <f t="shared" si="9"/>
        <v/>
      </c>
      <c r="AH54" s="570" t="str">
        <f t="shared" si="10"/>
        <v/>
      </c>
    </row>
    <row r="55" spans="1:34" s="570" customFormat="1" ht="16.5" customHeight="1" outlineLevel="1">
      <c r="A55" s="1918"/>
      <c r="B55" s="1920"/>
      <c r="C55" s="588" t="str">
        <f t="shared" si="8"/>
        <v>无产权车库(个)</v>
      </c>
      <c r="D55" s="589" t="str">
        <f>IF('8.项目规划指标表'!$V$19=0,"销售",IF(AND('8.项目规划指标表'!$U$19&gt;0,'8.项目规划指标表'!$V$19&gt;0),"自持/销售","自持"))</f>
        <v>销售</v>
      </c>
      <c r="E55" s="590"/>
      <c r="F55" s="591">
        <f>'8.项目规划指标表'!S19</f>
        <v>0</v>
      </c>
      <c r="G55" s="591">
        <f>'8.项目规划指标表'!U19</f>
        <v>0</v>
      </c>
      <c r="H55" s="592"/>
      <c r="I55" s="592"/>
      <c r="J55" s="592"/>
      <c r="K55" s="592"/>
      <c r="L55" s="592"/>
      <c r="M55" s="592"/>
      <c r="N55" s="592"/>
      <c r="O55" s="592"/>
      <c r="P55" s="592"/>
      <c r="Q55" s="614"/>
      <c r="R55" s="614"/>
      <c r="S55" s="614"/>
      <c r="T55" s="614"/>
      <c r="U55" s="614"/>
      <c r="V55" s="614"/>
      <c r="W55" s="614"/>
      <c r="X55" s="614"/>
      <c r="Y55" s="614"/>
      <c r="Z55" s="614"/>
      <c r="AA55" s="614"/>
      <c r="AB55" s="614"/>
      <c r="AC55" s="614"/>
      <c r="AD55" s="614"/>
      <c r="AE55" s="617"/>
      <c r="AF55" s="618" t="str">
        <f>IF(MAX('9.项目开发计划表'!AB55:AC55)=0,"",MAX('9.项目开发计划表'!AB55:AC55))</f>
        <v/>
      </c>
      <c r="AG55" s="620" t="str">
        <f t="shared" si="9"/>
        <v/>
      </c>
      <c r="AH55" s="570" t="str">
        <f t="shared" si="10"/>
        <v/>
      </c>
    </row>
    <row r="56" spans="1:34" s="570" customFormat="1" ht="15.75" customHeight="1">
      <c r="A56" s="1918"/>
      <c r="B56" s="604"/>
      <c r="C56" s="598"/>
      <c r="D56" s="599"/>
      <c r="E56" s="600"/>
      <c r="F56" s="601"/>
      <c r="G56" s="598"/>
      <c r="H56" s="602"/>
      <c r="I56" s="602"/>
      <c r="J56" s="602"/>
      <c r="K56" s="609"/>
      <c r="L56" s="602"/>
      <c r="M56" s="610"/>
      <c r="N56" s="611"/>
      <c r="O56" s="610"/>
      <c r="P56" s="611"/>
      <c r="Q56" s="610"/>
      <c r="R56" s="610"/>
      <c r="S56" s="610"/>
      <c r="T56" s="610"/>
      <c r="U56" s="610"/>
      <c r="V56" s="611"/>
      <c r="W56" s="608"/>
      <c r="X56" s="611"/>
      <c r="Y56" s="608"/>
      <c r="Z56" s="610"/>
      <c r="AA56" s="610"/>
      <c r="AB56" s="610"/>
      <c r="AC56" s="608"/>
      <c r="AD56" s="608"/>
      <c r="AE56" s="615"/>
      <c r="AF56" s="619"/>
      <c r="AG56" s="580"/>
      <c r="AH56" s="580"/>
    </row>
    <row r="57" spans="1:34" s="570" customFormat="1" ht="17.25" customHeight="1" outlineLevel="1">
      <c r="A57" s="1918"/>
      <c r="B57" s="1920" t="s">
        <v>23</v>
      </c>
      <c r="C57" s="588" t="str">
        <f t="shared" ref="C57:C68" si="11">C44</f>
        <v>高层</v>
      </c>
      <c r="D57" s="589" t="str">
        <f>IF('8.项目规划指标表'!$Z$5=0,"销售",IF(AND('8.项目规划指标表'!$Y$5&gt;0,'8.项目规划指标表'!$Z$5&gt;0),"自持/销售","自持"))</f>
        <v>销售</v>
      </c>
      <c r="E57" s="590"/>
      <c r="F57" s="591">
        <f>'8.项目规划指标表'!X5</f>
        <v>0</v>
      </c>
      <c r="G57" s="591">
        <f>'8.项目规划指标表'!Y5</f>
        <v>0</v>
      </c>
      <c r="H57" s="592"/>
      <c r="I57" s="592"/>
      <c r="J57" s="592"/>
      <c r="K57" s="592"/>
      <c r="L57" s="592"/>
      <c r="M57" s="592"/>
      <c r="N57" s="592"/>
      <c r="O57" s="592"/>
      <c r="P57" s="592"/>
      <c r="Q57" s="614"/>
      <c r="R57" s="614"/>
      <c r="S57" s="614"/>
      <c r="T57" s="614"/>
      <c r="U57" s="614"/>
      <c r="V57" s="614"/>
      <c r="W57" s="614"/>
      <c r="X57" s="614"/>
      <c r="Y57" s="614"/>
      <c r="Z57" s="614"/>
      <c r="AA57" s="614"/>
      <c r="AB57" s="614"/>
      <c r="AC57" s="614"/>
      <c r="AD57" s="614"/>
      <c r="AE57" s="617"/>
      <c r="AF57" s="618" t="str">
        <f>IF(MAX('9.项目开发计划表'!AB57:AC57)=0,"",MAX('9.项目开发计划表'!AB57:AC57))</f>
        <v/>
      </c>
      <c r="AG57" s="620" t="str">
        <f t="shared" ref="AG57:AG68" si="12">IFERROR(YEAR(AF57)&amp;"年"&amp;AH57&amp;"季度","")</f>
        <v/>
      </c>
      <c r="AH57" s="570" t="str">
        <f t="shared" ref="AH57:AH68" si="13">IFERROR(IF(OR(MONTH(AF57)=1,MONTH(AF57)=2,MONTH(AF57)=3),1,IF(OR(MONTH(AF57)=4,MONTH(AF57)=5,MONTH(AF57)=6),2,IF(OR(MONTH(AF57)=7,MONTH(AF57)=8,MONTH(AF57)=9),3,4))),"")</f>
        <v/>
      </c>
    </row>
    <row r="58" spans="1:34" s="570" customFormat="1" ht="17.25" customHeight="1" outlineLevel="1">
      <c r="A58" s="1918"/>
      <c r="B58" s="1920"/>
      <c r="C58" s="588" t="str">
        <f t="shared" si="11"/>
        <v>商铺</v>
      </c>
      <c r="D58" s="589" t="str">
        <f>IF('8.项目规划指标表'!$Z$6=0,"销售",IF(AND('8.项目规划指标表'!$Y$6&gt;0,'8.项目规划指标表'!$Z$6&gt;0),"自持/销售","自持"))</f>
        <v>销售</v>
      </c>
      <c r="E58" s="590"/>
      <c r="F58" s="591">
        <f>'8.项目规划指标表'!X6</f>
        <v>0</v>
      </c>
      <c r="G58" s="591">
        <f>'8.项目规划指标表'!Y6</f>
        <v>0</v>
      </c>
      <c r="H58" s="592"/>
      <c r="I58" s="592"/>
      <c r="J58" s="592"/>
      <c r="K58" s="592"/>
      <c r="L58" s="592"/>
      <c r="M58" s="592"/>
      <c r="N58" s="592"/>
      <c r="O58" s="592"/>
      <c r="P58" s="592"/>
      <c r="Q58" s="614"/>
      <c r="R58" s="614"/>
      <c r="S58" s="614"/>
      <c r="T58" s="614"/>
      <c r="U58" s="614"/>
      <c r="V58" s="614"/>
      <c r="W58" s="614"/>
      <c r="X58" s="614"/>
      <c r="Y58" s="614"/>
      <c r="Z58" s="614"/>
      <c r="AA58" s="614"/>
      <c r="AB58" s="614"/>
      <c r="AC58" s="614"/>
      <c r="AD58" s="614"/>
      <c r="AE58" s="617"/>
      <c r="AF58" s="618" t="str">
        <f>IF(MAX('9.项目开发计划表'!AB58:AC58)=0,"",MAX('9.项目开发计划表'!AB58:AC58))</f>
        <v/>
      </c>
      <c r="AG58" s="620" t="str">
        <f t="shared" si="12"/>
        <v/>
      </c>
      <c r="AH58" s="570" t="str">
        <f t="shared" si="13"/>
        <v/>
      </c>
    </row>
    <row r="59" spans="1:34" s="570" customFormat="1" ht="17.25" customHeight="1" outlineLevel="1">
      <c r="A59" s="1918"/>
      <c r="B59" s="1920"/>
      <c r="C59" s="588" t="str">
        <f t="shared" si="11"/>
        <v>回迁商业</v>
      </c>
      <c r="D59" s="589" t="str">
        <f>IF('8.项目规划指标表'!$Z$7=0,"销售",IF(AND('8.项目规划指标表'!$Y$7&gt;0,'8.项目规划指标表'!$Z$7&gt;0),"自持/销售","自持"))</f>
        <v>销售</v>
      </c>
      <c r="E59" s="590"/>
      <c r="F59" s="591">
        <f>'8.项目规划指标表'!X7</f>
        <v>0</v>
      </c>
      <c r="G59" s="591">
        <f>'8.项目规划指标表'!Y7</f>
        <v>0</v>
      </c>
      <c r="H59" s="592"/>
      <c r="I59" s="592"/>
      <c r="J59" s="592"/>
      <c r="K59" s="592"/>
      <c r="L59" s="592"/>
      <c r="M59" s="592"/>
      <c r="N59" s="592"/>
      <c r="O59" s="592"/>
      <c r="P59" s="592"/>
      <c r="Q59" s="614"/>
      <c r="R59" s="614"/>
      <c r="S59" s="614"/>
      <c r="T59" s="614"/>
      <c r="U59" s="614"/>
      <c r="V59" s="614"/>
      <c r="W59" s="614"/>
      <c r="X59" s="614"/>
      <c r="Y59" s="614"/>
      <c r="Z59" s="614"/>
      <c r="AA59" s="614"/>
      <c r="AB59" s="614"/>
      <c r="AC59" s="614"/>
      <c r="AD59" s="614"/>
      <c r="AE59" s="617"/>
      <c r="AF59" s="618" t="str">
        <f>IF(MAX('9.项目开发计划表'!AB59:AC59)=0,"",MAX('9.项目开发计划表'!AB59:AC59))</f>
        <v/>
      </c>
      <c r="AG59" s="620" t="str">
        <f t="shared" si="12"/>
        <v/>
      </c>
      <c r="AH59" s="570" t="str">
        <f t="shared" si="13"/>
        <v/>
      </c>
    </row>
    <row r="60" spans="1:34" s="570" customFormat="1" ht="17.25" customHeight="1" outlineLevel="1">
      <c r="A60" s="1918"/>
      <c r="B60" s="1920"/>
      <c r="C60" s="588">
        <f t="shared" si="11"/>
        <v>0</v>
      </c>
      <c r="D60" s="589" t="str">
        <f>IF('8.项目规划指标表'!$Z$8=0,"销售",IF(AND('8.项目规划指标表'!$Y$8&gt;0,'8.项目规划指标表'!$Z$8&gt;0),"自持/销售","自持"))</f>
        <v>销售</v>
      </c>
      <c r="E60" s="590"/>
      <c r="F60" s="591">
        <f>'8.项目规划指标表'!X8</f>
        <v>0</v>
      </c>
      <c r="G60" s="591">
        <f>'8.项目规划指标表'!Y8</f>
        <v>0</v>
      </c>
      <c r="H60" s="592"/>
      <c r="I60" s="592"/>
      <c r="J60" s="592"/>
      <c r="K60" s="592"/>
      <c r="L60" s="592"/>
      <c r="M60" s="592"/>
      <c r="N60" s="592"/>
      <c r="O60" s="592"/>
      <c r="P60" s="592"/>
      <c r="Q60" s="614"/>
      <c r="R60" s="614"/>
      <c r="S60" s="614"/>
      <c r="T60" s="614"/>
      <c r="U60" s="614"/>
      <c r="V60" s="614"/>
      <c r="W60" s="614"/>
      <c r="X60" s="614"/>
      <c r="Y60" s="614"/>
      <c r="Z60" s="614"/>
      <c r="AA60" s="614"/>
      <c r="AB60" s="614"/>
      <c r="AC60" s="614"/>
      <c r="AD60" s="614"/>
      <c r="AE60" s="617"/>
      <c r="AF60" s="618" t="str">
        <f>IF(MAX('9.项目开发计划表'!AB60:AC60)=0,"",MAX('9.项目开发计划表'!AB60:AC60))</f>
        <v/>
      </c>
      <c r="AG60" s="620" t="str">
        <f t="shared" si="12"/>
        <v/>
      </c>
      <c r="AH60" s="570" t="str">
        <f t="shared" si="13"/>
        <v/>
      </c>
    </row>
    <row r="61" spans="1:34" s="570" customFormat="1" ht="17.25" customHeight="1" outlineLevel="1">
      <c r="A61" s="1918"/>
      <c r="B61" s="1920"/>
      <c r="C61" s="588">
        <f t="shared" si="11"/>
        <v>0</v>
      </c>
      <c r="D61" s="589" t="str">
        <f>IF('8.项目规划指标表'!$Z$9=0,"销售",IF(AND('8.项目规划指标表'!$Y$9&gt;0,'8.项目规划指标表'!$Z$9&gt;0),"自持/销售","自持"))</f>
        <v>销售</v>
      </c>
      <c r="E61" s="590"/>
      <c r="F61" s="591">
        <f>'8.项目规划指标表'!X9</f>
        <v>0</v>
      </c>
      <c r="G61" s="591">
        <f>'8.项目规划指标表'!Y9</f>
        <v>0</v>
      </c>
      <c r="H61" s="592"/>
      <c r="I61" s="592"/>
      <c r="J61" s="592"/>
      <c r="K61" s="592"/>
      <c r="L61" s="592"/>
      <c r="M61" s="592"/>
      <c r="N61" s="592"/>
      <c r="O61" s="592"/>
      <c r="P61" s="592"/>
      <c r="Q61" s="614"/>
      <c r="R61" s="614"/>
      <c r="S61" s="614"/>
      <c r="T61" s="614"/>
      <c r="U61" s="614"/>
      <c r="V61" s="614"/>
      <c r="W61" s="614"/>
      <c r="X61" s="614"/>
      <c r="Y61" s="614"/>
      <c r="Z61" s="614"/>
      <c r="AA61" s="614"/>
      <c r="AB61" s="614"/>
      <c r="AC61" s="614"/>
      <c r="AD61" s="614"/>
      <c r="AE61" s="617"/>
      <c r="AF61" s="618" t="str">
        <f>IF(MAX('9.项目开发计划表'!AB61:AC61)=0,"",MAX('9.项目开发计划表'!AB61:AC61))</f>
        <v/>
      </c>
      <c r="AG61" s="620" t="str">
        <f t="shared" si="12"/>
        <v/>
      </c>
      <c r="AH61" s="570" t="str">
        <f t="shared" si="13"/>
        <v/>
      </c>
    </row>
    <row r="62" spans="1:34" s="570" customFormat="1" ht="17.25" customHeight="1" outlineLevel="1">
      <c r="A62" s="1918"/>
      <c r="B62" s="1920"/>
      <c r="C62" s="588">
        <f t="shared" si="11"/>
        <v>0</v>
      </c>
      <c r="D62" s="589" t="str">
        <f>IF('8.项目规划指标表'!$Z$10=0,"销售",IF(AND('8.项目规划指标表'!$Y$10&gt;0,'8.项目规划指标表'!$Z$10&gt;0),"自持/销售","自持"))</f>
        <v>销售</v>
      </c>
      <c r="E62" s="590"/>
      <c r="F62" s="591">
        <f>'8.项目规划指标表'!X10</f>
        <v>0</v>
      </c>
      <c r="G62" s="591">
        <f>'8.项目规划指标表'!Y10</f>
        <v>0</v>
      </c>
      <c r="H62" s="592"/>
      <c r="I62" s="592"/>
      <c r="J62" s="592"/>
      <c r="K62" s="592"/>
      <c r="L62" s="592"/>
      <c r="M62" s="592"/>
      <c r="N62" s="592"/>
      <c r="O62" s="592"/>
      <c r="P62" s="592"/>
      <c r="Q62" s="614"/>
      <c r="R62" s="614"/>
      <c r="S62" s="614"/>
      <c r="T62" s="614"/>
      <c r="U62" s="614"/>
      <c r="V62" s="614"/>
      <c r="W62" s="614"/>
      <c r="X62" s="614"/>
      <c r="Y62" s="614"/>
      <c r="Z62" s="614"/>
      <c r="AA62" s="614"/>
      <c r="AB62" s="614"/>
      <c r="AC62" s="614"/>
      <c r="AD62" s="614"/>
      <c r="AE62" s="617"/>
      <c r="AF62" s="618" t="str">
        <f>IF(MAX('9.项目开发计划表'!AB62:AC62)=0,"",MAX('9.项目开发计划表'!AB62:AC62))</f>
        <v/>
      </c>
      <c r="AG62" s="620" t="str">
        <f t="shared" si="12"/>
        <v/>
      </c>
      <c r="AH62" s="570" t="str">
        <f t="shared" si="13"/>
        <v/>
      </c>
    </row>
    <row r="63" spans="1:34" s="570" customFormat="1" ht="17.25" customHeight="1" outlineLevel="1">
      <c r="A63" s="1918"/>
      <c r="B63" s="1920"/>
      <c r="C63" s="588">
        <f t="shared" si="11"/>
        <v>0</v>
      </c>
      <c r="D63" s="589" t="str">
        <f>IF('8.项目规划指标表'!$Z$11=0,"销售",IF(AND('8.项目规划指标表'!$Y$11&gt;0,'8.项目规划指标表'!$Z$11&gt;0),"自持/销售","自持"))</f>
        <v>销售</v>
      </c>
      <c r="E63" s="590"/>
      <c r="F63" s="591">
        <f>'8.项目规划指标表'!X11</f>
        <v>0</v>
      </c>
      <c r="G63" s="591">
        <f>'8.项目规划指标表'!Y11</f>
        <v>0</v>
      </c>
      <c r="H63" s="592"/>
      <c r="I63" s="592"/>
      <c r="J63" s="592"/>
      <c r="K63" s="592"/>
      <c r="L63" s="592"/>
      <c r="M63" s="592"/>
      <c r="N63" s="592"/>
      <c r="O63" s="592"/>
      <c r="P63" s="592"/>
      <c r="Q63" s="614"/>
      <c r="R63" s="614"/>
      <c r="S63" s="614"/>
      <c r="T63" s="614"/>
      <c r="U63" s="614"/>
      <c r="V63" s="614"/>
      <c r="W63" s="614"/>
      <c r="X63" s="614"/>
      <c r="Y63" s="614"/>
      <c r="Z63" s="614"/>
      <c r="AA63" s="614"/>
      <c r="AB63" s="614"/>
      <c r="AC63" s="614"/>
      <c r="AD63" s="614"/>
      <c r="AE63" s="617"/>
      <c r="AF63" s="618" t="str">
        <f>IF(MAX('9.项目开发计划表'!AB63:AC63)=0,"",MAX('9.项目开发计划表'!AB63:AC63))</f>
        <v/>
      </c>
      <c r="AG63" s="620" t="str">
        <f t="shared" si="12"/>
        <v/>
      </c>
      <c r="AH63" s="570" t="str">
        <f t="shared" si="13"/>
        <v/>
      </c>
    </row>
    <row r="64" spans="1:34" s="570" customFormat="1" ht="17.25" customHeight="1" outlineLevel="1">
      <c r="A64" s="1918"/>
      <c r="B64" s="1920"/>
      <c r="C64" s="588">
        <f t="shared" si="11"/>
        <v>0</v>
      </c>
      <c r="D64" s="589" t="str">
        <f>IF('8.项目规划指标表'!$Z$12=0,"销售",IF(AND('8.项目规划指标表'!$Y$12&gt;0,'8.项目规划指标表'!$Z$12&gt;0),"自持/销售","自持"))</f>
        <v>销售</v>
      </c>
      <c r="E64" s="590"/>
      <c r="F64" s="591">
        <f>'8.项目规划指标表'!X12</f>
        <v>0</v>
      </c>
      <c r="G64" s="591">
        <f>'8.项目规划指标表'!Y12</f>
        <v>0</v>
      </c>
      <c r="H64" s="592"/>
      <c r="I64" s="592"/>
      <c r="J64" s="592"/>
      <c r="K64" s="592"/>
      <c r="L64" s="592"/>
      <c r="M64" s="592"/>
      <c r="N64" s="592"/>
      <c r="O64" s="592"/>
      <c r="P64" s="592"/>
      <c r="Q64" s="614"/>
      <c r="R64" s="614"/>
      <c r="S64" s="614"/>
      <c r="T64" s="614"/>
      <c r="U64" s="614"/>
      <c r="V64" s="614"/>
      <c r="W64" s="614"/>
      <c r="X64" s="614"/>
      <c r="Y64" s="614"/>
      <c r="Z64" s="614"/>
      <c r="AA64" s="614"/>
      <c r="AB64" s="614"/>
      <c r="AC64" s="614"/>
      <c r="AD64" s="614"/>
      <c r="AE64" s="617"/>
      <c r="AF64" s="618" t="str">
        <f>IF(MAX('9.项目开发计划表'!AB64:AC64)=0,"",MAX('9.项目开发计划表'!AB64:AC64))</f>
        <v/>
      </c>
      <c r="AG64" s="620" t="str">
        <f t="shared" si="12"/>
        <v/>
      </c>
      <c r="AH64" s="570" t="str">
        <f t="shared" si="13"/>
        <v/>
      </c>
    </row>
    <row r="65" spans="1:34" s="570" customFormat="1" ht="17.25" customHeight="1">
      <c r="A65" s="1918"/>
      <c r="B65" s="1920"/>
      <c r="C65" s="588">
        <f t="shared" si="11"/>
        <v>0</v>
      </c>
      <c r="D65" s="589" t="str">
        <f>IF('8.项目规划指标表'!$Z$13=0,"销售",IF(AND('8.项目规划指标表'!$Y$13&gt;0,'8.项目规划指标表'!$Z$13&gt;0),"自持/销售","自持"))</f>
        <v>销售</v>
      </c>
      <c r="E65" s="590"/>
      <c r="F65" s="591">
        <f>'8.项目规划指标表'!X13</f>
        <v>0</v>
      </c>
      <c r="G65" s="591">
        <f>'8.项目规划指标表'!Y13</f>
        <v>0</v>
      </c>
      <c r="H65" s="592"/>
      <c r="I65" s="592"/>
      <c r="J65" s="592"/>
      <c r="K65" s="592"/>
      <c r="L65" s="592"/>
      <c r="M65" s="592"/>
      <c r="N65" s="592"/>
      <c r="O65" s="592"/>
      <c r="P65" s="592"/>
      <c r="Q65" s="614"/>
      <c r="R65" s="614"/>
      <c r="S65" s="614"/>
      <c r="T65" s="614"/>
      <c r="U65" s="614"/>
      <c r="V65" s="614"/>
      <c r="W65" s="614"/>
      <c r="X65" s="614"/>
      <c r="Y65" s="614"/>
      <c r="Z65" s="614"/>
      <c r="AA65" s="614"/>
      <c r="AB65" s="614"/>
      <c r="AC65" s="614"/>
      <c r="AD65" s="614"/>
      <c r="AE65" s="617"/>
      <c r="AF65" s="618" t="str">
        <f>IF(MAX('9.项目开发计划表'!AB65:AC65)=0,"",MAX('9.项目开发计划表'!AB65:AC65))</f>
        <v/>
      </c>
      <c r="AG65" s="620" t="str">
        <f t="shared" si="12"/>
        <v/>
      </c>
      <c r="AH65" s="570" t="str">
        <f t="shared" si="13"/>
        <v/>
      </c>
    </row>
    <row r="66" spans="1:34" s="570" customFormat="1" ht="17.25" customHeight="1">
      <c r="A66" s="1918"/>
      <c r="B66" s="1920"/>
      <c r="C66" s="588" t="str">
        <f t="shared" si="11"/>
        <v>自持物业</v>
      </c>
      <c r="D66" s="589" t="str">
        <f>IF('8.项目规划指标表'!$Z$14=0,"销售",IF(AND('8.项目规划指标表'!$Y$14&gt;0,'8.项目规划指标表'!$Z$14&gt;0),"自持/销售","自持"))</f>
        <v>销售</v>
      </c>
      <c r="E66" s="590"/>
      <c r="F66" s="591">
        <f>'8.项目规划指标表'!X14</f>
        <v>0</v>
      </c>
      <c r="G66" s="591">
        <f>'8.项目规划指标表'!Y14</f>
        <v>0</v>
      </c>
      <c r="H66" s="592"/>
      <c r="I66" s="592"/>
      <c r="J66" s="592"/>
      <c r="K66" s="592"/>
      <c r="L66" s="592"/>
      <c r="M66" s="592"/>
      <c r="N66" s="592"/>
      <c r="O66" s="592"/>
      <c r="P66" s="592"/>
      <c r="Q66" s="614"/>
      <c r="R66" s="614"/>
      <c r="S66" s="614"/>
      <c r="T66" s="614"/>
      <c r="U66" s="614"/>
      <c r="V66" s="614"/>
      <c r="W66" s="614"/>
      <c r="X66" s="614"/>
      <c r="Y66" s="614"/>
      <c r="Z66" s="614"/>
      <c r="AA66" s="614"/>
      <c r="AB66" s="614"/>
      <c r="AC66" s="614"/>
      <c r="AD66" s="614"/>
      <c r="AE66" s="617"/>
      <c r="AF66" s="618" t="str">
        <f>IF(MAX('9.项目开发计划表'!AB66:AC66)=0,"",MAX('9.项目开发计划表'!AB66:AC66))</f>
        <v/>
      </c>
      <c r="AG66" s="620" t="str">
        <f t="shared" si="12"/>
        <v/>
      </c>
      <c r="AH66" s="570" t="str">
        <f t="shared" si="13"/>
        <v/>
      </c>
    </row>
    <row r="67" spans="1:34" s="570" customFormat="1" ht="17.25" customHeight="1">
      <c r="A67" s="1918"/>
      <c r="B67" s="1920"/>
      <c r="C67" s="588" t="str">
        <f t="shared" si="11"/>
        <v>有产权车库(个)</v>
      </c>
      <c r="D67" s="589" t="str">
        <f>IF('8.项目规划指标表'!$Z$18=0,"销售",IF(AND('8.项目规划指标表'!$Y$18&gt;0,'8.项目规划指标表'!$Z$18&gt;0),"自持/销售","自持"))</f>
        <v>销售</v>
      </c>
      <c r="E67" s="590"/>
      <c r="F67" s="591">
        <f>'8.项目规划指标表'!W18</f>
        <v>0</v>
      </c>
      <c r="G67" s="591">
        <f>'8.项目规划指标表'!Y18</f>
        <v>0</v>
      </c>
      <c r="H67" s="592"/>
      <c r="I67" s="592"/>
      <c r="J67" s="592"/>
      <c r="K67" s="592"/>
      <c r="L67" s="592"/>
      <c r="M67" s="592"/>
      <c r="N67" s="592"/>
      <c r="O67" s="592"/>
      <c r="P67" s="592"/>
      <c r="Q67" s="614"/>
      <c r="R67" s="614"/>
      <c r="S67" s="614"/>
      <c r="T67" s="614"/>
      <c r="U67" s="614"/>
      <c r="V67" s="614"/>
      <c r="W67" s="614"/>
      <c r="X67" s="614"/>
      <c r="Y67" s="614"/>
      <c r="Z67" s="614"/>
      <c r="AA67" s="614"/>
      <c r="AB67" s="614"/>
      <c r="AC67" s="614"/>
      <c r="AD67" s="614"/>
      <c r="AE67" s="617"/>
      <c r="AF67" s="618" t="str">
        <f>IF(MAX('9.项目开发计划表'!AB67:AC67)=0,"",MAX('9.项目开发计划表'!AB67:AC67))</f>
        <v/>
      </c>
      <c r="AG67" s="620" t="str">
        <f t="shared" si="12"/>
        <v/>
      </c>
      <c r="AH67" s="570" t="str">
        <f t="shared" si="13"/>
        <v/>
      </c>
    </row>
    <row r="68" spans="1:34" s="570" customFormat="1" ht="17.25" customHeight="1">
      <c r="A68" s="1918"/>
      <c r="B68" s="1920"/>
      <c r="C68" s="588" t="str">
        <f t="shared" si="11"/>
        <v>无产权车库(个)</v>
      </c>
      <c r="D68" s="589" t="str">
        <f>IF('8.项目规划指标表'!$Z$19=0,"销售",IF(AND('8.项目规划指标表'!$Y$19&gt;0,'8.项目规划指标表'!$Z$19&gt;0),"自持/销售","自持"))</f>
        <v>销售</v>
      </c>
      <c r="E68" s="590"/>
      <c r="F68" s="591">
        <f>'8.项目规划指标表'!W19</f>
        <v>0</v>
      </c>
      <c r="G68" s="591">
        <f>'8.项目规划指标表'!Y19</f>
        <v>0</v>
      </c>
      <c r="H68" s="592"/>
      <c r="I68" s="592"/>
      <c r="J68" s="592"/>
      <c r="K68" s="592"/>
      <c r="L68" s="592"/>
      <c r="M68" s="592"/>
      <c r="N68" s="592"/>
      <c r="O68" s="592"/>
      <c r="P68" s="592"/>
      <c r="Q68" s="614"/>
      <c r="R68" s="614"/>
      <c r="S68" s="614"/>
      <c r="T68" s="614"/>
      <c r="U68" s="614"/>
      <c r="V68" s="614"/>
      <c r="W68" s="614"/>
      <c r="X68" s="614"/>
      <c r="Y68" s="614"/>
      <c r="Z68" s="614"/>
      <c r="AA68" s="614"/>
      <c r="AB68" s="614"/>
      <c r="AC68" s="614"/>
      <c r="AD68" s="614"/>
      <c r="AE68" s="617"/>
      <c r="AF68" s="618" t="str">
        <f>IF(MAX('9.项目开发计划表'!AB68:AC68)=0,"",MAX('9.项目开发计划表'!AB68:AC68))</f>
        <v/>
      </c>
      <c r="AG68" s="620" t="str">
        <f t="shared" si="12"/>
        <v/>
      </c>
      <c r="AH68" s="570" t="str">
        <f t="shared" si="13"/>
        <v/>
      </c>
    </row>
    <row r="69" spans="1:34" s="570" customFormat="1" ht="15.75" customHeight="1">
      <c r="A69" s="1918"/>
      <c r="B69" s="598"/>
      <c r="C69" s="598"/>
      <c r="D69" s="599"/>
      <c r="E69" s="600"/>
      <c r="F69" s="601"/>
      <c r="G69" s="598"/>
      <c r="H69" s="602"/>
      <c r="I69" s="602"/>
      <c r="J69" s="602"/>
      <c r="K69" s="609"/>
      <c r="L69" s="602"/>
      <c r="M69" s="610"/>
      <c r="N69" s="611"/>
      <c r="O69" s="610"/>
      <c r="P69" s="611"/>
      <c r="Q69" s="610"/>
      <c r="R69" s="610"/>
      <c r="S69" s="610"/>
      <c r="T69" s="610"/>
      <c r="U69" s="610"/>
      <c r="V69" s="611"/>
      <c r="W69" s="608"/>
      <c r="X69" s="611"/>
      <c r="Y69" s="608"/>
      <c r="Z69" s="610"/>
      <c r="AA69" s="610"/>
      <c r="AB69" s="610"/>
      <c r="AC69" s="608"/>
      <c r="AD69" s="608"/>
      <c r="AE69" s="615"/>
      <c r="AF69" s="619"/>
      <c r="AG69" s="580"/>
      <c r="AH69" s="580"/>
    </row>
    <row r="70" spans="1:34" s="570" customFormat="1" ht="15.75" customHeight="1" outlineLevel="1">
      <c r="A70" s="1918"/>
      <c r="B70" s="1920" t="s">
        <v>24</v>
      </c>
      <c r="C70" s="588" t="str">
        <f>C57</f>
        <v>高层</v>
      </c>
      <c r="D70" s="589" t="str">
        <f>IF('8.项目规划指标表'!$AD$5=0,"销售",IF(AND('8.项目规划指标表'!$AC$5&gt;0,'8.项目规划指标表'!$AD$5&gt;0),"自持/销售","自持"))</f>
        <v>销售</v>
      </c>
      <c r="E70" s="590"/>
      <c r="F70" s="591">
        <f>'8.项目规划指标表'!AB5</f>
        <v>0</v>
      </c>
      <c r="G70" s="591">
        <f>'8.项目规划指标表'!AC5</f>
        <v>0</v>
      </c>
      <c r="H70" s="592"/>
      <c r="I70" s="592"/>
      <c r="J70" s="592"/>
      <c r="K70" s="592"/>
      <c r="L70" s="592"/>
      <c r="M70" s="592"/>
      <c r="N70" s="592"/>
      <c r="O70" s="592"/>
      <c r="P70" s="592"/>
      <c r="Q70" s="614"/>
      <c r="R70" s="614"/>
      <c r="S70" s="614"/>
      <c r="T70" s="614"/>
      <c r="U70" s="614"/>
      <c r="V70" s="614"/>
      <c r="W70" s="614"/>
      <c r="X70" s="614"/>
      <c r="Y70" s="614"/>
      <c r="Z70" s="614"/>
      <c r="AA70" s="614"/>
      <c r="AB70" s="614"/>
      <c r="AC70" s="614"/>
      <c r="AD70" s="614"/>
      <c r="AE70" s="617"/>
      <c r="AF70" s="618" t="str">
        <f>IF(MAX('9.项目开发计划表'!AB70:AC70)=0,"",MAX('9.项目开发计划表'!AB70:AC70))</f>
        <v/>
      </c>
      <c r="AG70" s="620" t="str">
        <f t="shared" ref="AG70:AG81" si="14">IFERROR(YEAR(AF70)&amp;"年"&amp;AH70&amp;"季度","")</f>
        <v/>
      </c>
      <c r="AH70" s="570" t="str">
        <f t="shared" ref="AH70:AH81" si="15">IFERROR(IF(OR(MONTH(AF70)=1,MONTH(AF70)=2,MONTH(AF70)=3),1,IF(OR(MONTH(AF70)=4,MONTH(AF70)=5,MONTH(AF70)=6),2,IF(OR(MONTH(AF70)=7,MONTH(AF70)=8,MONTH(AF70)=9),3,4))),"")</f>
        <v/>
      </c>
    </row>
    <row r="71" spans="1:34" s="570" customFormat="1" ht="15.75" customHeight="1" outlineLevel="1">
      <c r="A71" s="1918"/>
      <c r="B71" s="1920"/>
      <c r="C71" s="588" t="str">
        <f t="shared" ref="C71:C81" si="16">C58</f>
        <v>商铺</v>
      </c>
      <c r="D71" s="589" t="str">
        <f>IF('8.项目规划指标表'!$AD$6=0,"销售",IF(AND('8.项目规划指标表'!$AC$6&gt;0,'8.项目规划指标表'!$AD$6&gt;0),"自持/销售","自持"))</f>
        <v>销售</v>
      </c>
      <c r="E71" s="590"/>
      <c r="F71" s="591">
        <f>'8.项目规划指标表'!AB6</f>
        <v>0</v>
      </c>
      <c r="G71" s="591">
        <f>'8.项目规划指标表'!AC6</f>
        <v>0</v>
      </c>
      <c r="H71" s="592"/>
      <c r="I71" s="592"/>
      <c r="J71" s="592"/>
      <c r="K71" s="592"/>
      <c r="L71" s="592"/>
      <c r="M71" s="592"/>
      <c r="N71" s="592"/>
      <c r="O71" s="592"/>
      <c r="P71" s="592"/>
      <c r="Q71" s="614"/>
      <c r="R71" s="614"/>
      <c r="S71" s="614"/>
      <c r="T71" s="614"/>
      <c r="U71" s="614"/>
      <c r="V71" s="614"/>
      <c r="W71" s="614"/>
      <c r="X71" s="614"/>
      <c r="Y71" s="614"/>
      <c r="Z71" s="614"/>
      <c r="AA71" s="614"/>
      <c r="AB71" s="614"/>
      <c r="AC71" s="614"/>
      <c r="AD71" s="614"/>
      <c r="AE71" s="617"/>
      <c r="AF71" s="618" t="str">
        <f>IF(MAX('9.项目开发计划表'!AB71:AC71)=0,"",MAX('9.项目开发计划表'!AB71:AC71))</f>
        <v/>
      </c>
      <c r="AG71" s="620" t="str">
        <f t="shared" si="14"/>
        <v/>
      </c>
      <c r="AH71" s="570" t="str">
        <f t="shared" si="15"/>
        <v/>
      </c>
    </row>
    <row r="72" spans="1:34" s="570" customFormat="1" ht="15.75" customHeight="1" outlineLevel="1">
      <c r="A72" s="1918"/>
      <c r="B72" s="1920"/>
      <c r="C72" s="588" t="str">
        <f t="shared" si="16"/>
        <v>回迁商业</v>
      </c>
      <c r="D72" s="589" t="str">
        <f>IF('8.项目规划指标表'!$AD$7=0,"销售",IF(AND('8.项目规划指标表'!$AC$7&gt;0,'8.项目规划指标表'!$AD$7&gt;0),"自持/销售","自持"))</f>
        <v>销售</v>
      </c>
      <c r="E72" s="590"/>
      <c r="F72" s="591">
        <f>'8.项目规划指标表'!AB7</f>
        <v>0</v>
      </c>
      <c r="G72" s="591">
        <f>'8.项目规划指标表'!AC7</f>
        <v>0</v>
      </c>
      <c r="H72" s="592"/>
      <c r="I72" s="592"/>
      <c r="J72" s="592"/>
      <c r="K72" s="592"/>
      <c r="L72" s="592"/>
      <c r="M72" s="592"/>
      <c r="N72" s="592"/>
      <c r="O72" s="592"/>
      <c r="P72" s="592"/>
      <c r="Q72" s="614"/>
      <c r="R72" s="614"/>
      <c r="S72" s="614"/>
      <c r="T72" s="614"/>
      <c r="U72" s="614"/>
      <c r="V72" s="614"/>
      <c r="W72" s="614"/>
      <c r="X72" s="614"/>
      <c r="Y72" s="614"/>
      <c r="Z72" s="614"/>
      <c r="AA72" s="614"/>
      <c r="AB72" s="614"/>
      <c r="AC72" s="614"/>
      <c r="AD72" s="614"/>
      <c r="AE72" s="617"/>
      <c r="AF72" s="618" t="str">
        <f>IF(MAX('9.项目开发计划表'!AB72:AC72)=0,"",MAX('9.项目开发计划表'!AB72:AC72))</f>
        <v/>
      </c>
      <c r="AG72" s="620" t="str">
        <f t="shared" si="14"/>
        <v/>
      </c>
      <c r="AH72" s="570" t="str">
        <f t="shared" si="15"/>
        <v/>
      </c>
    </row>
    <row r="73" spans="1:34" s="570" customFormat="1" ht="15.75" customHeight="1" outlineLevel="1">
      <c r="A73" s="1918"/>
      <c r="B73" s="1920"/>
      <c r="C73" s="588">
        <f t="shared" si="16"/>
        <v>0</v>
      </c>
      <c r="D73" s="589" t="str">
        <f>IF('8.项目规划指标表'!$AD$8=0,"销售",IF(AND('8.项目规划指标表'!$AC$8&gt;0,'8.项目规划指标表'!$AD$8&gt;0),"自持/销售","自持"))</f>
        <v>销售</v>
      </c>
      <c r="E73" s="590"/>
      <c r="F73" s="591">
        <f>'8.项目规划指标表'!AB8</f>
        <v>0</v>
      </c>
      <c r="G73" s="591">
        <f>'8.项目规划指标表'!AC8</f>
        <v>0</v>
      </c>
      <c r="H73" s="592"/>
      <c r="I73" s="592"/>
      <c r="J73" s="592"/>
      <c r="K73" s="592"/>
      <c r="L73" s="592"/>
      <c r="M73" s="592"/>
      <c r="N73" s="592"/>
      <c r="O73" s="592"/>
      <c r="P73" s="592"/>
      <c r="Q73" s="614"/>
      <c r="R73" s="614"/>
      <c r="S73" s="614"/>
      <c r="T73" s="614"/>
      <c r="U73" s="614"/>
      <c r="V73" s="614"/>
      <c r="W73" s="614"/>
      <c r="X73" s="614"/>
      <c r="Y73" s="614"/>
      <c r="Z73" s="614"/>
      <c r="AA73" s="614"/>
      <c r="AB73" s="614"/>
      <c r="AC73" s="614"/>
      <c r="AD73" s="614"/>
      <c r="AE73" s="617"/>
      <c r="AF73" s="618" t="str">
        <f>IF(MAX('9.项目开发计划表'!AB73:AC73)=0,"",MAX('9.项目开发计划表'!AB73:AC73))</f>
        <v/>
      </c>
      <c r="AG73" s="620" t="str">
        <f t="shared" si="14"/>
        <v/>
      </c>
      <c r="AH73" s="570" t="str">
        <f t="shared" si="15"/>
        <v/>
      </c>
    </row>
    <row r="74" spans="1:34" s="570" customFormat="1" ht="15.75" customHeight="1" outlineLevel="1">
      <c r="A74" s="1918"/>
      <c r="B74" s="1920"/>
      <c r="C74" s="588">
        <f t="shared" si="16"/>
        <v>0</v>
      </c>
      <c r="D74" s="589" t="str">
        <f>IF('8.项目规划指标表'!$AD$9=0,"销售",IF(AND('8.项目规划指标表'!$AC$9&gt;0,'8.项目规划指标表'!$AD$9&gt;0),"自持/销售","自持"))</f>
        <v>销售</v>
      </c>
      <c r="E74" s="590"/>
      <c r="F74" s="591">
        <f>'8.项目规划指标表'!AB9</f>
        <v>0</v>
      </c>
      <c r="G74" s="591">
        <f>'8.项目规划指标表'!AC9</f>
        <v>0</v>
      </c>
      <c r="H74" s="592"/>
      <c r="I74" s="592"/>
      <c r="J74" s="592"/>
      <c r="K74" s="592"/>
      <c r="L74" s="592"/>
      <c r="M74" s="592"/>
      <c r="N74" s="592"/>
      <c r="O74" s="592"/>
      <c r="P74" s="592"/>
      <c r="Q74" s="614"/>
      <c r="R74" s="614"/>
      <c r="S74" s="614"/>
      <c r="T74" s="614"/>
      <c r="U74" s="614"/>
      <c r="V74" s="614"/>
      <c r="W74" s="614"/>
      <c r="X74" s="614"/>
      <c r="Y74" s="614"/>
      <c r="Z74" s="614"/>
      <c r="AA74" s="614"/>
      <c r="AB74" s="614"/>
      <c r="AC74" s="614"/>
      <c r="AD74" s="614"/>
      <c r="AE74" s="617"/>
      <c r="AF74" s="618" t="str">
        <f>IF(MAX('9.项目开发计划表'!AB74:AC74)=0,"",MAX('9.项目开发计划表'!AB74:AC74))</f>
        <v/>
      </c>
      <c r="AG74" s="620" t="str">
        <f t="shared" si="14"/>
        <v/>
      </c>
      <c r="AH74" s="570" t="str">
        <f t="shared" si="15"/>
        <v/>
      </c>
    </row>
    <row r="75" spans="1:34" s="570" customFormat="1" ht="15.75" customHeight="1" outlineLevel="1">
      <c r="A75" s="1918"/>
      <c r="B75" s="1920"/>
      <c r="C75" s="588">
        <f t="shared" si="16"/>
        <v>0</v>
      </c>
      <c r="D75" s="589" t="str">
        <f>IF('8.项目规划指标表'!$AD$10=0,"销售",IF(AND('8.项目规划指标表'!$AC$10&gt;0,'8.项目规划指标表'!$AD$10&gt;0),"自持/销售","自持"))</f>
        <v>销售</v>
      </c>
      <c r="E75" s="590"/>
      <c r="F75" s="591">
        <f>'8.项目规划指标表'!AB10</f>
        <v>0</v>
      </c>
      <c r="G75" s="591">
        <f>'8.项目规划指标表'!AC10</f>
        <v>0</v>
      </c>
      <c r="H75" s="592"/>
      <c r="I75" s="592"/>
      <c r="J75" s="592"/>
      <c r="K75" s="592"/>
      <c r="L75" s="592"/>
      <c r="M75" s="592"/>
      <c r="N75" s="592"/>
      <c r="O75" s="592"/>
      <c r="P75" s="592"/>
      <c r="Q75" s="614"/>
      <c r="R75" s="614"/>
      <c r="S75" s="614"/>
      <c r="T75" s="614"/>
      <c r="U75" s="614"/>
      <c r="V75" s="614"/>
      <c r="W75" s="614"/>
      <c r="X75" s="614"/>
      <c r="Y75" s="614"/>
      <c r="Z75" s="614"/>
      <c r="AA75" s="614"/>
      <c r="AB75" s="614"/>
      <c r="AC75" s="614"/>
      <c r="AD75" s="614"/>
      <c r="AE75" s="617"/>
      <c r="AF75" s="618" t="str">
        <f>IF(MAX('9.项目开发计划表'!AB75:AC75)=0,"",MAX('9.项目开发计划表'!AB75:AC75))</f>
        <v/>
      </c>
      <c r="AG75" s="620" t="str">
        <f t="shared" si="14"/>
        <v/>
      </c>
      <c r="AH75" s="570" t="str">
        <f t="shared" si="15"/>
        <v/>
      </c>
    </row>
    <row r="76" spans="1:34" s="570" customFormat="1" ht="15.75" customHeight="1" outlineLevel="1">
      <c r="A76" s="1918"/>
      <c r="B76" s="1920"/>
      <c r="C76" s="588">
        <f t="shared" si="16"/>
        <v>0</v>
      </c>
      <c r="D76" s="589" t="str">
        <f>IF('8.项目规划指标表'!$AD$11=0,"销售",IF(AND('8.项目规划指标表'!$AC$11&gt;0,'8.项目规划指标表'!$AD$11&gt;0),"自持/销售","自持"))</f>
        <v>销售</v>
      </c>
      <c r="E76" s="590"/>
      <c r="F76" s="591">
        <f>'8.项目规划指标表'!AB11</f>
        <v>0</v>
      </c>
      <c r="G76" s="591">
        <f>'8.项目规划指标表'!AC11</f>
        <v>0</v>
      </c>
      <c r="H76" s="603"/>
      <c r="I76" s="603"/>
      <c r="J76" s="603"/>
      <c r="K76" s="603"/>
      <c r="L76" s="603"/>
      <c r="M76" s="612"/>
      <c r="N76" s="612"/>
      <c r="O76" s="603"/>
      <c r="P76" s="603"/>
      <c r="Q76" s="603"/>
      <c r="R76" s="603"/>
      <c r="S76" s="603"/>
      <c r="T76" s="603"/>
      <c r="U76" s="603"/>
      <c r="V76" s="603"/>
      <c r="W76" s="612"/>
      <c r="X76" s="603"/>
      <c r="Y76" s="603"/>
      <c r="Z76" s="612"/>
      <c r="AA76" s="612"/>
      <c r="AB76" s="614"/>
      <c r="AC76" s="612"/>
      <c r="AD76" s="612"/>
      <c r="AE76" s="617"/>
      <c r="AF76" s="618" t="str">
        <f>IF(MAX('9.项目开发计划表'!AB76:AC76)=0,"",MAX('9.项目开发计划表'!AB76:AC76))</f>
        <v/>
      </c>
      <c r="AG76" s="620" t="str">
        <f t="shared" si="14"/>
        <v/>
      </c>
      <c r="AH76" s="570" t="str">
        <f t="shared" si="15"/>
        <v/>
      </c>
    </row>
    <row r="77" spans="1:34" s="570" customFormat="1" ht="15.75" customHeight="1" outlineLevel="1">
      <c r="A77" s="1918"/>
      <c r="B77" s="1920"/>
      <c r="C77" s="588">
        <f t="shared" si="16"/>
        <v>0</v>
      </c>
      <c r="D77" s="589" t="str">
        <f>IF('8.项目规划指标表'!$AD$12=0,"销售",IF(AND('8.项目规划指标表'!$AC$12&gt;0,'8.项目规划指标表'!$AD$12&gt;0),"自持/销售","自持"))</f>
        <v>销售</v>
      </c>
      <c r="E77" s="590"/>
      <c r="F77" s="591">
        <f>'8.项目规划指标表'!AB12</f>
        <v>0</v>
      </c>
      <c r="G77" s="591">
        <f>'8.项目规划指标表'!AC12</f>
        <v>0</v>
      </c>
      <c r="H77" s="603"/>
      <c r="I77" s="603"/>
      <c r="J77" s="603"/>
      <c r="K77" s="603"/>
      <c r="L77" s="603"/>
      <c r="M77" s="612"/>
      <c r="N77" s="612"/>
      <c r="O77" s="612"/>
      <c r="P77" s="612"/>
      <c r="Q77" s="612"/>
      <c r="R77" s="612"/>
      <c r="S77" s="612"/>
      <c r="T77" s="612"/>
      <c r="U77" s="612"/>
      <c r="V77" s="612"/>
      <c r="W77" s="612"/>
      <c r="X77" s="612"/>
      <c r="Y77" s="612"/>
      <c r="Z77" s="612"/>
      <c r="AA77" s="612"/>
      <c r="AB77" s="614"/>
      <c r="AC77" s="612"/>
      <c r="AD77" s="612"/>
      <c r="AE77" s="617"/>
      <c r="AF77" s="618" t="str">
        <f>IF(MAX('9.项目开发计划表'!AB77:AC77)=0,"",MAX('9.项目开发计划表'!AB77:AC77))</f>
        <v/>
      </c>
      <c r="AG77" s="620" t="str">
        <f t="shared" si="14"/>
        <v/>
      </c>
      <c r="AH77" s="570" t="str">
        <f t="shared" si="15"/>
        <v/>
      </c>
    </row>
    <row r="78" spans="1:34" s="570" customFormat="1" ht="15.75" customHeight="1">
      <c r="A78" s="1918"/>
      <c r="B78" s="1920"/>
      <c r="C78" s="588">
        <f t="shared" si="16"/>
        <v>0</v>
      </c>
      <c r="D78" s="589" t="str">
        <f>IF('8.项目规划指标表'!$AD$13=0,"销售",IF(AND('8.项目规划指标表'!$AC$13&gt;0,'8.项目规划指标表'!$AD$13&gt;0),"自持/销售","自持"))</f>
        <v>销售</v>
      </c>
      <c r="E78" s="590"/>
      <c r="F78" s="591">
        <f>'8.项目规划指标表'!AB13</f>
        <v>0</v>
      </c>
      <c r="G78" s="591">
        <f>'8.项目规划指标表'!AC13</f>
        <v>0</v>
      </c>
      <c r="H78" s="603"/>
      <c r="I78" s="603"/>
      <c r="J78" s="603"/>
      <c r="K78" s="603"/>
      <c r="L78" s="603"/>
      <c r="M78" s="612"/>
      <c r="N78" s="612"/>
      <c r="O78" s="603"/>
      <c r="P78" s="603"/>
      <c r="Q78" s="612"/>
      <c r="R78" s="614"/>
      <c r="S78" s="614"/>
      <c r="T78" s="614"/>
      <c r="U78" s="614"/>
      <c r="V78" s="614"/>
      <c r="W78" s="614"/>
      <c r="X78" s="614"/>
      <c r="Y78" s="614"/>
      <c r="Z78" s="614"/>
      <c r="AA78" s="614"/>
      <c r="AB78" s="614"/>
      <c r="AC78" s="614"/>
      <c r="AD78" s="614"/>
      <c r="AE78" s="617"/>
      <c r="AF78" s="618" t="str">
        <f>IF(MAX('9.项目开发计划表'!AB78:AC78)=0,"",MAX('9.项目开发计划表'!AB78:AC78))</f>
        <v/>
      </c>
      <c r="AG78" s="620" t="str">
        <f t="shared" si="14"/>
        <v/>
      </c>
      <c r="AH78" s="570" t="str">
        <f t="shared" si="15"/>
        <v/>
      </c>
    </row>
    <row r="79" spans="1:34" s="570" customFormat="1" ht="15.75" customHeight="1">
      <c r="A79" s="1918"/>
      <c r="B79" s="1920"/>
      <c r="C79" s="588" t="str">
        <f t="shared" si="16"/>
        <v>自持物业</v>
      </c>
      <c r="D79" s="589" t="str">
        <f>IF('8.项目规划指标表'!$AD$14=0,"销售",IF(AND('8.项目规划指标表'!$AC$14&gt;0,'8.项目规划指标表'!$AD$14&gt;0),"自持/销售","自持"))</f>
        <v>销售</v>
      </c>
      <c r="E79" s="590"/>
      <c r="F79" s="591">
        <f>'8.项目规划指标表'!AB14</f>
        <v>0</v>
      </c>
      <c r="G79" s="591">
        <f>'8.项目规划指标表'!AC14</f>
        <v>0</v>
      </c>
      <c r="H79" s="603"/>
      <c r="I79" s="603"/>
      <c r="J79" s="603"/>
      <c r="K79" s="603"/>
      <c r="L79" s="603"/>
      <c r="M79" s="612"/>
      <c r="N79" s="612"/>
      <c r="O79" s="612"/>
      <c r="P79" s="612"/>
      <c r="Q79" s="612"/>
      <c r="R79" s="612"/>
      <c r="S79" s="612"/>
      <c r="T79" s="612"/>
      <c r="U79" s="612"/>
      <c r="V79" s="612"/>
      <c r="W79" s="612"/>
      <c r="X79" s="612"/>
      <c r="Y79" s="612"/>
      <c r="Z79" s="612"/>
      <c r="AA79" s="612"/>
      <c r="AB79" s="614"/>
      <c r="AC79" s="612"/>
      <c r="AD79" s="612"/>
      <c r="AE79" s="617"/>
      <c r="AF79" s="618" t="str">
        <f>IF(MAX('9.项目开发计划表'!AB79:AC79)=0,"",MAX('9.项目开发计划表'!AB79:AC79))</f>
        <v/>
      </c>
      <c r="AG79" s="620" t="str">
        <f t="shared" si="14"/>
        <v/>
      </c>
      <c r="AH79" s="570" t="str">
        <f t="shared" si="15"/>
        <v/>
      </c>
    </row>
    <row r="80" spans="1:34" s="570" customFormat="1" ht="15.75" customHeight="1">
      <c r="A80" s="1918"/>
      <c r="B80" s="1920"/>
      <c r="C80" s="588" t="str">
        <f t="shared" si="16"/>
        <v>有产权车库(个)</v>
      </c>
      <c r="D80" s="589" t="str">
        <f>IF('8.项目规划指标表'!$AD$18=0,"销售",IF(AND('8.项目规划指标表'!$AC$18&gt;0,'8.项目规划指标表'!$AD$18&gt;0),"自持/销售","自持"))</f>
        <v>销售</v>
      </c>
      <c r="E80" s="590"/>
      <c r="F80" s="591">
        <f>'8.项目规划指标表'!AA18</f>
        <v>0</v>
      </c>
      <c r="G80" s="591">
        <f>'8.项目规划指标表'!AC18</f>
        <v>0</v>
      </c>
      <c r="H80" s="603"/>
      <c r="I80" s="603"/>
      <c r="J80" s="603"/>
      <c r="K80" s="603"/>
      <c r="L80" s="603"/>
      <c r="M80" s="612"/>
      <c r="N80" s="612"/>
      <c r="O80" s="603"/>
      <c r="P80" s="603"/>
      <c r="Q80" s="612"/>
      <c r="R80" s="614"/>
      <c r="S80" s="614"/>
      <c r="T80" s="614"/>
      <c r="U80" s="614"/>
      <c r="V80" s="614"/>
      <c r="W80" s="614"/>
      <c r="X80" s="614"/>
      <c r="Y80" s="614"/>
      <c r="Z80" s="614"/>
      <c r="AA80" s="614"/>
      <c r="AB80" s="614"/>
      <c r="AC80" s="614"/>
      <c r="AD80" s="614"/>
      <c r="AE80" s="617"/>
      <c r="AF80" s="618" t="str">
        <f>IF(MAX('9.项目开发计划表'!AB80:AC80)=0,"",MAX('9.项目开发计划表'!AB80:AC80))</f>
        <v/>
      </c>
      <c r="AG80" s="620" t="str">
        <f t="shared" si="14"/>
        <v/>
      </c>
      <c r="AH80" s="570" t="str">
        <f t="shared" si="15"/>
        <v/>
      </c>
    </row>
    <row r="81" spans="1:34" s="570" customFormat="1" ht="15.75" customHeight="1">
      <c r="A81" s="1919"/>
      <c r="B81" s="1920"/>
      <c r="C81" s="588" t="str">
        <f t="shared" si="16"/>
        <v>无产权车库(个)</v>
      </c>
      <c r="D81" s="589" t="str">
        <f>IF('8.项目规划指标表'!$AD$19=0,"销售",IF(AND('8.项目规划指标表'!$AC$19&gt;0,'8.项目规划指标表'!$AD$19&gt;0),"自持/销售","自持"))</f>
        <v>销售</v>
      </c>
      <c r="E81" s="590"/>
      <c r="F81" s="591">
        <f>'8.项目规划指标表'!AA19</f>
        <v>0</v>
      </c>
      <c r="G81" s="591">
        <f>'8.项目规划指标表'!AC19</f>
        <v>0</v>
      </c>
      <c r="H81" s="603"/>
      <c r="I81" s="603"/>
      <c r="J81" s="603"/>
      <c r="K81" s="603"/>
      <c r="L81" s="603"/>
      <c r="M81" s="612"/>
      <c r="N81" s="612"/>
      <c r="O81" s="603"/>
      <c r="P81" s="603"/>
      <c r="Q81" s="612"/>
      <c r="R81" s="612"/>
      <c r="S81" s="612"/>
      <c r="T81" s="612"/>
      <c r="U81" s="612"/>
      <c r="V81" s="612"/>
      <c r="W81" s="612"/>
      <c r="X81" s="612"/>
      <c r="Y81" s="612"/>
      <c r="Z81" s="612"/>
      <c r="AA81" s="612"/>
      <c r="AB81" s="614"/>
      <c r="AC81" s="612"/>
      <c r="AD81" s="612"/>
      <c r="AE81" s="617"/>
      <c r="AF81" s="618" t="str">
        <f>IF(MAX('9.项目开发计划表'!AB81:AC81)=0,"",MAX('9.项目开发计划表'!AB81:AC81))</f>
        <v/>
      </c>
      <c r="AG81" s="620" t="str">
        <f t="shared" si="14"/>
        <v/>
      </c>
      <c r="AH81" s="570" t="str">
        <f t="shared" si="15"/>
        <v/>
      </c>
    </row>
    <row r="82" spans="1:34">
      <c r="A82" s="81" t="s">
        <v>791</v>
      </c>
      <c r="B82" s="605"/>
      <c r="C82" s="605"/>
      <c r="D82" s="605"/>
      <c r="E82" s="605"/>
      <c r="F82" s="621"/>
      <c r="G82" s="605"/>
      <c r="H82" s="605"/>
      <c r="I82" s="605"/>
      <c r="J82" s="605"/>
      <c r="K82" s="605"/>
      <c r="L82" s="605"/>
      <c r="M82" s="605"/>
      <c r="N82" s="605"/>
      <c r="O82" s="605"/>
      <c r="P82" s="605"/>
      <c r="Q82" s="605"/>
      <c r="R82" s="605"/>
      <c r="S82" s="605"/>
      <c r="T82" s="605"/>
      <c r="U82" s="605"/>
      <c r="V82" s="605"/>
      <c r="W82" s="605"/>
      <c r="X82" s="605"/>
      <c r="Y82" s="605"/>
      <c r="Z82" s="605"/>
      <c r="AA82" s="605"/>
      <c r="AB82" s="605"/>
      <c r="AC82" s="605"/>
      <c r="AD82" s="605"/>
      <c r="AE82" s="605"/>
      <c r="AF82" s="605"/>
      <c r="AG82" s="605"/>
      <c r="AH82" s="605"/>
    </row>
    <row r="83" spans="1:34">
      <c r="A83" s="605"/>
      <c r="B83" s="605"/>
      <c r="C83" s="605"/>
      <c r="D83" s="605"/>
      <c r="E83" s="605"/>
      <c r="F83" s="621"/>
      <c r="G83" s="605"/>
      <c r="H83" s="605"/>
      <c r="I83" s="605"/>
      <c r="J83" s="605"/>
      <c r="K83" s="605"/>
      <c r="L83" s="605"/>
      <c r="M83" s="605"/>
      <c r="N83" s="605"/>
      <c r="O83" s="605"/>
      <c r="P83" s="605"/>
      <c r="Q83" s="605"/>
      <c r="R83" s="605"/>
      <c r="S83" s="605"/>
      <c r="T83" s="605"/>
      <c r="U83" s="605"/>
      <c r="V83" s="605"/>
      <c r="W83" s="605"/>
      <c r="X83" s="605"/>
      <c r="Y83" s="605"/>
      <c r="Z83" s="605"/>
      <c r="AA83" s="605"/>
      <c r="AB83" s="605"/>
      <c r="AC83" s="605"/>
      <c r="AD83" s="605"/>
      <c r="AE83" s="605"/>
      <c r="AF83" s="605"/>
      <c r="AG83" s="605"/>
      <c r="AH83" s="605"/>
    </row>
    <row r="84" spans="1:34">
      <c r="A84" s="622" t="s">
        <v>859</v>
      </c>
      <c r="B84" s="605"/>
      <c r="C84" s="605"/>
      <c r="D84" s="605"/>
      <c r="E84" s="605"/>
      <c r="F84" s="621"/>
      <c r="G84" s="605"/>
      <c r="H84" s="605"/>
      <c r="I84" s="605"/>
      <c r="J84" s="605"/>
      <c r="K84" s="605"/>
      <c r="L84" s="605"/>
      <c r="M84" s="605"/>
      <c r="N84" s="605"/>
      <c r="O84" s="605"/>
      <c r="P84" s="605"/>
      <c r="Q84" s="605"/>
      <c r="R84" s="605"/>
      <c r="S84" s="605"/>
      <c r="T84" s="605"/>
      <c r="U84" s="605"/>
      <c r="V84" s="605"/>
      <c r="W84" s="605"/>
      <c r="X84" s="605"/>
      <c r="Y84" s="605"/>
      <c r="Z84" s="605"/>
      <c r="AA84" s="605"/>
      <c r="AB84" s="605"/>
      <c r="AC84" s="605"/>
      <c r="AD84" s="605"/>
      <c r="AE84" s="605"/>
      <c r="AF84" s="605"/>
      <c r="AG84" s="605"/>
      <c r="AH84" s="605"/>
    </row>
  </sheetData>
  <sheetProtection password="D9A8" sheet="1" objects="1" scenarios="1"/>
  <protectedRanges>
    <protectedRange sqref="E5:AE16 E57:AE81 E44:AE55 E31:AE42 E18:AE29" name="区域1"/>
  </protectedRanges>
  <mergeCells count="7">
    <mergeCell ref="A5:A81"/>
    <mergeCell ref="B5:B16"/>
    <mergeCell ref="B18:B29"/>
    <mergeCell ref="B31:B42"/>
    <mergeCell ref="B44:B55"/>
    <mergeCell ref="B57:B68"/>
    <mergeCell ref="B70:B81"/>
  </mergeCells>
  <phoneticPr fontId="102" type="noConversion"/>
  <hyperlinks>
    <hyperlink ref="F1" location="目录!A1" display="返回目录"/>
  </hyperlinks>
  <pageMargins left="0.69930555555555596" right="0.69930555555555596"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U81"/>
  <sheetViews>
    <sheetView showGridLines="0" workbookViewId="0">
      <pane xSplit="2" ySplit="6" topLeftCell="C7" activePane="bottomRight" state="frozen"/>
      <selection pane="topRight"/>
      <selection pane="bottomLeft"/>
      <selection pane="bottomRight" activeCell="N10" sqref="N10"/>
    </sheetView>
  </sheetViews>
  <sheetFormatPr defaultColWidth="9" defaultRowHeight="13.5"/>
  <cols>
    <col min="1" max="1" width="4.75" customWidth="1"/>
    <col min="2" max="2" width="14.875" customWidth="1"/>
  </cols>
  <sheetData>
    <row r="1" spans="1:47" s="350" customFormat="1" ht="24.75" customHeight="1">
      <c r="A1" s="351"/>
      <c r="B1" s="352" t="s">
        <v>860</v>
      </c>
      <c r="C1" s="351"/>
      <c r="D1" s="351"/>
      <c r="E1" s="516" t="s">
        <v>117</v>
      </c>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c r="AP1" s="351"/>
      <c r="AQ1" s="351"/>
      <c r="AR1" s="351"/>
      <c r="AS1" s="351"/>
      <c r="AT1" s="351"/>
      <c r="AU1" s="351"/>
    </row>
    <row r="2" spans="1:47" s="348" customFormat="1" ht="21" customHeight="1">
      <c r="A2" s="354"/>
      <c r="B2" s="348" t="s">
        <v>861</v>
      </c>
      <c r="C2" s="356"/>
      <c r="D2" s="356"/>
      <c r="E2" s="356"/>
      <c r="F2" s="356"/>
      <c r="G2" s="356"/>
      <c r="H2" s="356"/>
      <c r="I2" s="356"/>
      <c r="J2" s="356"/>
      <c r="K2" s="356"/>
      <c r="L2" s="356"/>
      <c r="M2" s="356"/>
      <c r="N2" s="356"/>
      <c r="O2" s="356"/>
      <c r="P2" s="356"/>
      <c r="Q2" s="356"/>
      <c r="R2" s="356"/>
      <c r="S2" s="356"/>
      <c r="T2" s="356"/>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354"/>
      <c r="AT2" s="354"/>
      <c r="AU2" s="354"/>
    </row>
    <row r="3" spans="1:47" s="350" customFormat="1" ht="20.25" customHeight="1">
      <c r="A3" s="351"/>
      <c r="B3" s="517" t="s">
        <v>862</v>
      </c>
      <c r="C3" s="351"/>
      <c r="D3" s="351"/>
      <c r="E3" s="351"/>
      <c r="F3" s="351"/>
      <c r="G3" s="351"/>
      <c r="H3" s="351"/>
      <c r="I3" s="351"/>
      <c r="J3" s="351"/>
      <c r="K3" s="351"/>
      <c r="L3" s="351"/>
      <c r="M3" s="351"/>
      <c r="N3" s="351"/>
      <c r="O3" s="351"/>
      <c r="P3" s="351"/>
      <c r="Q3" s="351"/>
      <c r="R3" s="351"/>
      <c r="S3" s="351"/>
      <c r="T3" s="351"/>
      <c r="U3" s="351"/>
      <c r="V3" s="351"/>
      <c r="W3" s="351"/>
      <c r="X3" s="351"/>
      <c r="Y3" s="351"/>
      <c r="Z3" s="351"/>
      <c r="AA3" s="351"/>
      <c r="AB3" s="351"/>
      <c r="AC3" s="351"/>
      <c r="AD3" s="351"/>
      <c r="AE3" s="351"/>
      <c r="AF3" s="351"/>
      <c r="AG3" s="351"/>
      <c r="AH3" s="351"/>
      <c r="AI3" s="351"/>
      <c r="AJ3" s="351"/>
      <c r="AK3" s="351"/>
      <c r="AL3" s="351"/>
      <c r="AM3" s="351"/>
      <c r="AN3" s="351"/>
      <c r="AO3" s="351"/>
      <c r="AP3" s="351"/>
      <c r="AQ3" s="351"/>
      <c r="AR3" s="351"/>
      <c r="AS3" s="351"/>
      <c r="AT3" s="351"/>
      <c r="AU3" s="351"/>
    </row>
    <row r="4" spans="1:47" s="350" customFormat="1" ht="15" customHeight="1">
      <c r="A4" s="351"/>
      <c r="B4" s="518" t="s">
        <v>19</v>
      </c>
      <c r="C4" s="519"/>
      <c r="D4" s="519"/>
      <c r="E4" s="519"/>
      <c r="F4" s="519"/>
      <c r="G4" s="519"/>
      <c r="H4" s="519"/>
      <c r="I4" s="519"/>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19"/>
      <c r="AQ4" s="519"/>
      <c r="AR4" s="519"/>
      <c r="AS4" s="519"/>
      <c r="AT4" s="537"/>
      <c r="AU4" s="351"/>
    </row>
    <row r="5" spans="1:47" s="350" customFormat="1" ht="12.75">
      <c r="A5" s="351"/>
      <c r="B5" s="1927" t="s">
        <v>534</v>
      </c>
      <c r="C5" s="1921">
        <f>'1.参数设置'!$C$4</f>
        <v>2018</v>
      </c>
      <c r="D5" s="1922"/>
      <c r="E5" s="1922"/>
      <c r="F5" s="1923"/>
      <c r="G5" s="1921">
        <f>C5+1</f>
        <v>2019</v>
      </c>
      <c r="H5" s="1922"/>
      <c r="I5" s="1922"/>
      <c r="J5" s="1923"/>
      <c r="K5" s="1921">
        <f>G5+1</f>
        <v>2020</v>
      </c>
      <c r="L5" s="1922"/>
      <c r="M5" s="1922"/>
      <c r="N5" s="1923"/>
      <c r="O5" s="1921">
        <f>K5+1</f>
        <v>2021</v>
      </c>
      <c r="P5" s="1922"/>
      <c r="Q5" s="1922"/>
      <c r="R5" s="1923"/>
      <c r="S5" s="1921">
        <f>O5+1</f>
        <v>2022</v>
      </c>
      <c r="T5" s="1922"/>
      <c r="U5" s="1922"/>
      <c r="V5" s="1923"/>
      <c r="W5" s="1921">
        <f>S5+1</f>
        <v>2023</v>
      </c>
      <c r="X5" s="1922"/>
      <c r="Y5" s="1922"/>
      <c r="Z5" s="1923"/>
      <c r="AA5" s="1921">
        <f>W5+1</f>
        <v>2024</v>
      </c>
      <c r="AB5" s="1922"/>
      <c r="AC5" s="1922"/>
      <c r="AD5" s="1923"/>
      <c r="AE5" s="1921">
        <f>AA5+1</f>
        <v>2025</v>
      </c>
      <c r="AF5" s="1922"/>
      <c r="AG5" s="1922"/>
      <c r="AH5" s="1923"/>
      <c r="AI5" s="1921">
        <f>AE5+1</f>
        <v>2026</v>
      </c>
      <c r="AJ5" s="1922"/>
      <c r="AK5" s="1922"/>
      <c r="AL5" s="1923"/>
      <c r="AM5" s="1921">
        <f>AI5+1</f>
        <v>2027</v>
      </c>
      <c r="AN5" s="1922"/>
      <c r="AO5" s="1922"/>
      <c r="AP5" s="1923"/>
      <c r="AQ5" s="1921">
        <f>AM5+1</f>
        <v>2028</v>
      </c>
      <c r="AR5" s="1922"/>
      <c r="AS5" s="1922"/>
      <c r="AT5" s="1924"/>
      <c r="AU5" s="351"/>
    </row>
    <row r="6" spans="1:47" s="350" customFormat="1" ht="14.25" customHeight="1">
      <c r="A6" s="351"/>
      <c r="B6" s="1928"/>
      <c r="C6" s="520" t="s">
        <v>863</v>
      </c>
      <c r="D6" s="521" t="s">
        <v>864</v>
      </c>
      <c r="E6" s="521" t="s">
        <v>865</v>
      </c>
      <c r="F6" s="522" t="s">
        <v>866</v>
      </c>
      <c r="G6" s="520" t="s">
        <v>863</v>
      </c>
      <c r="H6" s="521" t="s">
        <v>864</v>
      </c>
      <c r="I6" s="521" t="s">
        <v>865</v>
      </c>
      <c r="J6" s="522" t="s">
        <v>866</v>
      </c>
      <c r="K6" s="520" t="s">
        <v>863</v>
      </c>
      <c r="L6" s="521" t="s">
        <v>864</v>
      </c>
      <c r="M6" s="521" t="s">
        <v>865</v>
      </c>
      <c r="N6" s="522" t="s">
        <v>866</v>
      </c>
      <c r="O6" s="520" t="s">
        <v>863</v>
      </c>
      <c r="P6" s="521" t="s">
        <v>864</v>
      </c>
      <c r="Q6" s="521" t="s">
        <v>865</v>
      </c>
      <c r="R6" s="522" t="s">
        <v>866</v>
      </c>
      <c r="S6" s="520" t="s">
        <v>863</v>
      </c>
      <c r="T6" s="521" t="s">
        <v>864</v>
      </c>
      <c r="U6" s="521" t="s">
        <v>865</v>
      </c>
      <c r="V6" s="522" t="s">
        <v>866</v>
      </c>
      <c r="W6" s="520" t="s">
        <v>863</v>
      </c>
      <c r="X6" s="521" t="s">
        <v>864</v>
      </c>
      <c r="Y6" s="521" t="s">
        <v>865</v>
      </c>
      <c r="Z6" s="522" t="s">
        <v>866</v>
      </c>
      <c r="AA6" s="520" t="s">
        <v>863</v>
      </c>
      <c r="AB6" s="521" t="s">
        <v>864</v>
      </c>
      <c r="AC6" s="521" t="s">
        <v>865</v>
      </c>
      <c r="AD6" s="522" t="s">
        <v>866</v>
      </c>
      <c r="AE6" s="520" t="s">
        <v>863</v>
      </c>
      <c r="AF6" s="521" t="s">
        <v>864</v>
      </c>
      <c r="AG6" s="521" t="s">
        <v>865</v>
      </c>
      <c r="AH6" s="522" t="s">
        <v>866</v>
      </c>
      <c r="AI6" s="520" t="s">
        <v>863</v>
      </c>
      <c r="AJ6" s="521" t="s">
        <v>864</v>
      </c>
      <c r="AK6" s="521" t="s">
        <v>865</v>
      </c>
      <c r="AL6" s="522" t="s">
        <v>866</v>
      </c>
      <c r="AM6" s="520" t="s">
        <v>863</v>
      </c>
      <c r="AN6" s="521" t="s">
        <v>864</v>
      </c>
      <c r="AO6" s="521" t="s">
        <v>865</v>
      </c>
      <c r="AP6" s="522" t="s">
        <v>866</v>
      </c>
      <c r="AQ6" s="520" t="s">
        <v>863</v>
      </c>
      <c r="AR6" s="521" t="s">
        <v>864</v>
      </c>
      <c r="AS6" s="521" t="s">
        <v>865</v>
      </c>
      <c r="AT6" s="538" t="s">
        <v>866</v>
      </c>
      <c r="AU6" s="351"/>
    </row>
    <row r="7" spans="1:47" s="350" customFormat="1" ht="15" customHeight="1">
      <c r="A7" s="351"/>
      <c r="B7" s="523" t="s">
        <v>867</v>
      </c>
      <c r="C7" s="524"/>
      <c r="D7" s="485"/>
      <c r="E7" s="485"/>
      <c r="F7" s="485">
        <v>0.05</v>
      </c>
      <c r="G7" s="485">
        <v>0.05</v>
      </c>
      <c r="H7" s="485">
        <v>0.1</v>
      </c>
      <c r="I7" s="485">
        <v>0.1</v>
      </c>
      <c r="J7" s="485">
        <v>0.1</v>
      </c>
      <c r="K7" s="485">
        <v>0.15</v>
      </c>
      <c r="L7" s="485">
        <v>0.15</v>
      </c>
      <c r="M7" s="485">
        <v>0.15</v>
      </c>
      <c r="N7" s="485">
        <v>0.15</v>
      </c>
      <c r="O7" s="485"/>
      <c r="P7" s="486"/>
      <c r="Q7" s="524"/>
      <c r="R7" s="485"/>
      <c r="S7" s="485"/>
      <c r="T7" s="486"/>
      <c r="U7" s="524"/>
      <c r="V7" s="485"/>
      <c r="W7" s="485"/>
      <c r="X7" s="486"/>
      <c r="Y7" s="524"/>
      <c r="Z7" s="485"/>
      <c r="AA7" s="524"/>
      <c r="AB7" s="485"/>
      <c r="AC7" s="485"/>
      <c r="AD7" s="486"/>
      <c r="AE7" s="524"/>
      <c r="AF7" s="485"/>
      <c r="AG7" s="485"/>
      <c r="AH7" s="486"/>
      <c r="AI7" s="530"/>
      <c r="AJ7" s="531"/>
      <c r="AK7" s="531"/>
      <c r="AL7" s="532"/>
      <c r="AM7" s="530"/>
      <c r="AN7" s="531"/>
      <c r="AO7" s="531"/>
      <c r="AP7" s="532"/>
      <c r="AQ7" s="530"/>
      <c r="AR7" s="531"/>
      <c r="AS7" s="531"/>
      <c r="AT7" s="539"/>
      <c r="AU7" s="540">
        <f>SUM(C7:AT7)</f>
        <v>1</v>
      </c>
    </row>
    <row r="8" spans="1:47" s="350" customFormat="1" ht="15" customHeight="1">
      <c r="A8" s="351"/>
      <c r="B8" s="523" t="s">
        <v>868</v>
      </c>
      <c r="C8" s="524"/>
      <c r="D8" s="485"/>
      <c r="E8" s="485"/>
      <c r="F8" s="485"/>
      <c r="G8" s="485">
        <v>0.05</v>
      </c>
      <c r="H8" s="485">
        <v>0.05</v>
      </c>
      <c r="I8" s="485">
        <v>0.05</v>
      </c>
      <c r="J8" s="485">
        <v>0.1</v>
      </c>
      <c r="K8" s="485">
        <v>0.15</v>
      </c>
      <c r="L8" s="485">
        <v>0.1</v>
      </c>
      <c r="M8" s="485">
        <v>0.1</v>
      </c>
      <c r="N8" s="485">
        <v>0.15</v>
      </c>
      <c r="O8" s="485">
        <v>0.1</v>
      </c>
      <c r="P8" s="486">
        <v>0.05</v>
      </c>
      <c r="Q8" s="524">
        <v>0.05</v>
      </c>
      <c r="R8" s="485"/>
      <c r="S8" s="524"/>
      <c r="T8" s="485"/>
      <c r="U8" s="485">
        <v>0.02</v>
      </c>
      <c r="V8" s="486">
        <v>0.03</v>
      </c>
      <c r="W8" s="524"/>
      <c r="X8" s="485"/>
      <c r="Y8" s="485"/>
      <c r="Z8" s="486"/>
      <c r="AA8" s="524"/>
      <c r="AB8" s="485"/>
      <c r="AC8" s="485"/>
      <c r="AD8" s="486"/>
      <c r="AE8" s="524"/>
      <c r="AF8" s="485"/>
      <c r="AG8" s="485"/>
      <c r="AH8" s="486"/>
      <c r="AI8" s="530"/>
      <c r="AJ8" s="531"/>
      <c r="AK8" s="531"/>
      <c r="AL8" s="532"/>
      <c r="AM8" s="530"/>
      <c r="AN8" s="531"/>
      <c r="AO8" s="531"/>
      <c r="AP8" s="532"/>
      <c r="AQ8" s="530"/>
      <c r="AR8" s="531"/>
      <c r="AS8" s="531"/>
      <c r="AT8" s="539"/>
      <c r="AU8" s="540">
        <f t="shared" ref="AU8:AU69" si="0">SUM(C8:AT8)</f>
        <v>1</v>
      </c>
    </row>
    <row r="9" spans="1:47" s="350" customFormat="1" ht="15" customHeight="1">
      <c r="A9" s="351"/>
      <c r="B9" s="523" t="s">
        <v>869</v>
      </c>
      <c r="C9" s="524"/>
      <c r="D9" s="485"/>
      <c r="E9" s="485"/>
      <c r="F9" s="485"/>
      <c r="G9" s="485"/>
      <c r="H9" s="485">
        <v>0.05</v>
      </c>
      <c r="I9" s="485">
        <v>0.05</v>
      </c>
      <c r="J9" s="485">
        <v>0.05</v>
      </c>
      <c r="K9" s="485">
        <v>0.1</v>
      </c>
      <c r="L9" s="485">
        <v>0.2</v>
      </c>
      <c r="M9" s="485">
        <v>0.15</v>
      </c>
      <c r="N9" s="485">
        <v>0.1</v>
      </c>
      <c r="O9" s="485">
        <v>0.1</v>
      </c>
      <c r="P9" s="486">
        <v>0.1</v>
      </c>
      <c r="Q9" s="524">
        <v>0.05</v>
      </c>
      <c r="R9" s="485"/>
      <c r="S9" s="524"/>
      <c r="T9" s="485"/>
      <c r="U9" s="485">
        <v>0.02</v>
      </c>
      <c r="V9" s="486">
        <v>0.03</v>
      </c>
      <c r="W9" s="524"/>
      <c r="X9" s="485"/>
      <c r="Y9" s="485"/>
      <c r="Z9" s="486"/>
      <c r="AA9" s="524"/>
      <c r="AB9" s="485"/>
      <c r="AC9" s="485"/>
      <c r="AD9" s="486"/>
      <c r="AE9" s="524"/>
      <c r="AF9" s="485"/>
      <c r="AG9" s="485"/>
      <c r="AH9" s="486"/>
      <c r="AI9" s="530"/>
      <c r="AJ9" s="531"/>
      <c r="AK9" s="531"/>
      <c r="AL9" s="532"/>
      <c r="AM9" s="530"/>
      <c r="AN9" s="531"/>
      <c r="AO9" s="531"/>
      <c r="AP9" s="532"/>
      <c r="AQ9" s="530"/>
      <c r="AR9" s="531"/>
      <c r="AS9" s="531"/>
      <c r="AT9" s="539"/>
      <c r="AU9" s="540">
        <f t="shared" si="0"/>
        <v>1</v>
      </c>
    </row>
    <row r="10" spans="1:47" s="350" customFormat="1" ht="15" customHeight="1">
      <c r="A10" s="351"/>
      <c r="B10" s="523" t="s">
        <v>870</v>
      </c>
      <c r="C10" s="524"/>
      <c r="D10" s="485"/>
      <c r="E10" s="485"/>
      <c r="F10" s="485"/>
      <c r="G10" s="485">
        <v>0.05</v>
      </c>
      <c r="H10" s="485">
        <v>0.1</v>
      </c>
      <c r="I10" s="485">
        <v>0.1</v>
      </c>
      <c r="J10" s="485">
        <v>0.15</v>
      </c>
      <c r="K10" s="485">
        <v>0.15</v>
      </c>
      <c r="L10" s="485">
        <v>0.1</v>
      </c>
      <c r="M10" s="485">
        <v>0.05</v>
      </c>
      <c r="N10" s="485">
        <v>0.05</v>
      </c>
      <c r="O10" s="485">
        <v>0.1</v>
      </c>
      <c r="P10" s="486">
        <v>0.05</v>
      </c>
      <c r="Q10" s="524">
        <v>0.05</v>
      </c>
      <c r="R10" s="485"/>
      <c r="S10" s="524"/>
      <c r="T10" s="485"/>
      <c r="U10" s="485">
        <v>0.02</v>
      </c>
      <c r="V10" s="486">
        <v>0.03</v>
      </c>
      <c r="W10" s="524"/>
      <c r="X10" s="485"/>
      <c r="Y10" s="485"/>
      <c r="Z10" s="486"/>
      <c r="AA10" s="524"/>
      <c r="AB10" s="485"/>
      <c r="AC10" s="485"/>
      <c r="AD10" s="486"/>
      <c r="AE10" s="524"/>
      <c r="AF10" s="485"/>
      <c r="AG10" s="485"/>
      <c r="AH10" s="486"/>
      <c r="AI10" s="530"/>
      <c r="AJ10" s="531"/>
      <c r="AK10" s="531"/>
      <c r="AL10" s="532"/>
      <c r="AM10" s="530"/>
      <c r="AN10" s="531"/>
      <c r="AO10" s="531"/>
      <c r="AP10" s="532"/>
      <c r="AQ10" s="530"/>
      <c r="AR10" s="531"/>
      <c r="AS10" s="531"/>
      <c r="AT10" s="539"/>
      <c r="AU10" s="540">
        <f t="shared" si="0"/>
        <v>1.0000000000000002</v>
      </c>
    </row>
    <row r="11" spans="1:47" s="350" customFormat="1" ht="15" customHeight="1">
      <c r="A11" s="351"/>
      <c r="B11" s="523" t="s">
        <v>871</v>
      </c>
      <c r="C11" s="524"/>
      <c r="D11" s="485"/>
      <c r="E11" s="485"/>
      <c r="F11" s="485"/>
      <c r="G11" s="485">
        <v>0.05</v>
      </c>
      <c r="H11" s="485">
        <v>0.1</v>
      </c>
      <c r="I11" s="485">
        <v>0.1</v>
      </c>
      <c r="J11" s="485">
        <v>0.2</v>
      </c>
      <c r="K11" s="485">
        <v>0.25</v>
      </c>
      <c r="L11" s="485">
        <v>0.15</v>
      </c>
      <c r="M11" s="485">
        <v>0.05</v>
      </c>
      <c r="N11" s="485">
        <v>0.05</v>
      </c>
      <c r="O11" s="485"/>
      <c r="P11" s="486"/>
      <c r="Q11" s="524"/>
      <c r="R11" s="485"/>
      <c r="S11" s="524"/>
      <c r="T11" s="485"/>
      <c r="U11" s="485">
        <v>0.02</v>
      </c>
      <c r="V11" s="486">
        <v>0.03</v>
      </c>
      <c r="W11" s="524"/>
      <c r="X11" s="485"/>
      <c r="Y11" s="485"/>
      <c r="Z11" s="486"/>
      <c r="AA11" s="524"/>
      <c r="AB11" s="485"/>
      <c r="AC11" s="485"/>
      <c r="AD11" s="486"/>
      <c r="AE11" s="524"/>
      <c r="AF11" s="485"/>
      <c r="AG11" s="485"/>
      <c r="AH11" s="486"/>
      <c r="AI11" s="530"/>
      <c r="AJ11" s="531"/>
      <c r="AK11" s="531"/>
      <c r="AL11" s="532"/>
      <c r="AM11" s="530"/>
      <c r="AN11" s="531"/>
      <c r="AO11" s="531"/>
      <c r="AP11" s="532"/>
      <c r="AQ11" s="530"/>
      <c r="AR11" s="531"/>
      <c r="AS11" s="531"/>
      <c r="AT11" s="539"/>
      <c r="AU11" s="540">
        <f t="shared" si="0"/>
        <v>1</v>
      </c>
    </row>
    <row r="12" spans="1:47" s="350" customFormat="1" ht="15" customHeight="1">
      <c r="A12" s="351"/>
      <c r="B12" s="523" t="s">
        <v>872</v>
      </c>
      <c r="C12" s="524"/>
      <c r="D12" s="485"/>
      <c r="E12" s="485"/>
      <c r="F12" s="485"/>
      <c r="G12" s="485">
        <v>0.05</v>
      </c>
      <c r="H12" s="485">
        <v>0.1</v>
      </c>
      <c r="I12" s="485">
        <v>0.15</v>
      </c>
      <c r="J12" s="485">
        <v>0.25</v>
      </c>
      <c r="K12" s="485">
        <v>0.2</v>
      </c>
      <c r="L12" s="485">
        <v>0.1</v>
      </c>
      <c r="M12" s="485">
        <v>0.05</v>
      </c>
      <c r="N12" s="485">
        <v>0.05</v>
      </c>
      <c r="O12" s="485"/>
      <c r="P12" s="486"/>
      <c r="Q12" s="524"/>
      <c r="R12" s="485"/>
      <c r="S12" s="524"/>
      <c r="T12" s="485"/>
      <c r="U12" s="485">
        <v>0.02</v>
      </c>
      <c r="V12" s="486">
        <v>0.03</v>
      </c>
      <c r="W12" s="524"/>
      <c r="X12" s="485"/>
      <c r="Y12" s="485"/>
      <c r="Z12" s="486"/>
      <c r="AA12" s="524"/>
      <c r="AB12" s="485"/>
      <c r="AC12" s="485"/>
      <c r="AD12" s="486"/>
      <c r="AE12" s="524"/>
      <c r="AF12" s="485"/>
      <c r="AG12" s="485"/>
      <c r="AH12" s="486"/>
      <c r="AI12" s="530"/>
      <c r="AJ12" s="531"/>
      <c r="AK12" s="531"/>
      <c r="AL12" s="532"/>
      <c r="AM12" s="530"/>
      <c r="AN12" s="531"/>
      <c r="AO12" s="531"/>
      <c r="AP12" s="532"/>
      <c r="AQ12" s="530"/>
      <c r="AR12" s="531"/>
      <c r="AS12" s="531"/>
      <c r="AT12" s="539"/>
      <c r="AU12" s="540">
        <f t="shared" si="0"/>
        <v>1</v>
      </c>
    </row>
    <row r="13" spans="1:47" s="350" customFormat="1" ht="15" customHeight="1">
      <c r="A13" s="351"/>
      <c r="B13" s="523" t="s">
        <v>873</v>
      </c>
      <c r="C13" s="524"/>
      <c r="D13" s="485"/>
      <c r="E13" s="485"/>
      <c r="F13" s="485"/>
      <c r="G13" s="485">
        <v>0.05</v>
      </c>
      <c r="H13" s="485">
        <v>0.1</v>
      </c>
      <c r="I13" s="485">
        <v>0.15</v>
      </c>
      <c r="J13" s="485">
        <v>0.25</v>
      </c>
      <c r="K13" s="485">
        <v>0.2</v>
      </c>
      <c r="L13" s="485">
        <v>0.1</v>
      </c>
      <c r="M13" s="485">
        <v>0.05</v>
      </c>
      <c r="N13" s="485">
        <v>0.05</v>
      </c>
      <c r="O13" s="485"/>
      <c r="P13" s="486"/>
      <c r="Q13" s="524"/>
      <c r="R13" s="485"/>
      <c r="S13" s="524"/>
      <c r="T13" s="485"/>
      <c r="U13" s="485">
        <v>0.02</v>
      </c>
      <c r="V13" s="486">
        <v>0.03</v>
      </c>
      <c r="W13" s="524"/>
      <c r="X13" s="485"/>
      <c r="Y13" s="485"/>
      <c r="Z13" s="486"/>
      <c r="AA13" s="524"/>
      <c r="AB13" s="485"/>
      <c r="AC13" s="485"/>
      <c r="AD13" s="486"/>
      <c r="AE13" s="524"/>
      <c r="AF13" s="485"/>
      <c r="AG13" s="485"/>
      <c r="AH13" s="486"/>
      <c r="AI13" s="530"/>
      <c r="AJ13" s="531"/>
      <c r="AK13" s="531"/>
      <c r="AL13" s="532"/>
      <c r="AM13" s="530"/>
      <c r="AN13" s="531"/>
      <c r="AO13" s="531"/>
      <c r="AP13" s="532"/>
      <c r="AQ13" s="530"/>
      <c r="AR13" s="531"/>
      <c r="AS13" s="531"/>
      <c r="AT13" s="539"/>
      <c r="AU13" s="540">
        <f t="shared" si="0"/>
        <v>1</v>
      </c>
    </row>
    <row r="14" spans="1:47" s="350" customFormat="1" ht="15" customHeight="1">
      <c r="A14" s="351"/>
      <c r="B14" s="525" t="s">
        <v>874</v>
      </c>
      <c r="C14" s="526"/>
      <c r="D14" s="527"/>
      <c r="E14" s="527"/>
      <c r="F14" s="485"/>
      <c r="G14" s="485"/>
      <c r="H14" s="485">
        <v>0.05</v>
      </c>
      <c r="I14" s="485">
        <v>0.05</v>
      </c>
      <c r="J14" s="485">
        <v>0.1</v>
      </c>
      <c r="K14" s="485">
        <v>0.1</v>
      </c>
      <c r="L14" s="485">
        <v>0.15</v>
      </c>
      <c r="M14" s="485">
        <v>0.15</v>
      </c>
      <c r="N14" s="485">
        <v>0.1</v>
      </c>
      <c r="O14" s="485">
        <v>0.1</v>
      </c>
      <c r="P14" s="486">
        <v>0.1</v>
      </c>
      <c r="Q14" s="524">
        <v>0.1</v>
      </c>
      <c r="R14" s="485"/>
      <c r="S14" s="524"/>
      <c r="T14" s="485"/>
      <c r="U14" s="485"/>
      <c r="V14" s="486"/>
      <c r="W14" s="524"/>
      <c r="X14" s="485"/>
      <c r="Y14" s="485"/>
      <c r="Z14" s="486"/>
      <c r="AA14" s="524"/>
      <c r="AB14" s="485"/>
      <c r="AC14" s="485"/>
      <c r="AD14" s="486"/>
      <c r="AE14" s="524"/>
      <c r="AF14" s="527"/>
      <c r="AG14" s="527"/>
      <c r="AH14" s="536"/>
      <c r="AI14" s="533"/>
      <c r="AJ14" s="534"/>
      <c r="AK14" s="534"/>
      <c r="AL14" s="535"/>
      <c r="AM14" s="533"/>
      <c r="AN14" s="534"/>
      <c r="AO14" s="534"/>
      <c r="AP14" s="535"/>
      <c r="AQ14" s="533"/>
      <c r="AR14" s="534"/>
      <c r="AS14" s="534"/>
      <c r="AT14" s="541"/>
      <c r="AU14" s="540">
        <f t="shared" si="0"/>
        <v>1</v>
      </c>
    </row>
    <row r="15" spans="1:47" s="350" customFormat="1" ht="17.25" customHeight="1">
      <c r="A15" s="351"/>
      <c r="B15" s="528" t="s">
        <v>20</v>
      </c>
      <c r="C15" s="529"/>
      <c r="D15" s="529"/>
      <c r="E15" s="529"/>
      <c r="F15" s="529"/>
      <c r="G15" s="529"/>
      <c r="H15" s="529"/>
      <c r="I15" s="529"/>
      <c r="J15" s="529"/>
      <c r="K15" s="529"/>
      <c r="L15" s="529"/>
      <c r="M15" s="529"/>
      <c r="N15" s="529"/>
      <c r="O15" s="529"/>
      <c r="P15" s="529"/>
      <c r="Q15" s="529"/>
      <c r="R15" s="529"/>
      <c r="S15" s="529"/>
      <c r="T15" s="529"/>
      <c r="U15" s="529"/>
      <c r="V15" s="529"/>
      <c r="W15" s="529"/>
      <c r="X15" s="529"/>
      <c r="Y15" s="529"/>
      <c r="Z15" s="529"/>
      <c r="AA15" s="529"/>
      <c r="AB15" s="529"/>
      <c r="AC15" s="529"/>
      <c r="AD15" s="529"/>
      <c r="AE15" s="529"/>
      <c r="AF15" s="529"/>
      <c r="AG15" s="529"/>
      <c r="AH15" s="529"/>
      <c r="AI15" s="529"/>
      <c r="AJ15" s="529"/>
      <c r="AK15" s="529"/>
      <c r="AL15" s="529"/>
      <c r="AM15" s="529"/>
      <c r="AN15" s="529"/>
      <c r="AO15" s="529"/>
      <c r="AP15" s="529"/>
      <c r="AQ15" s="529"/>
      <c r="AR15" s="529"/>
      <c r="AS15" s="529"/>
      <c r="AT15" s="542"/>
      <c r="AU15" s="540">
        <f t="shared" si="0"/>
        <v>0</v>
      </c>
    </row>
    <row r="16" spans="1:47" s="350" customFormat="1" ht="12.75">
      <c r="A16" s="351"/>
      <c r="B16" s="1927" t="s">
        <v>534</v>
      </c>
      <c r="C16" s="1921">
        <f>'1.参数设置'!$C$4</f>
        <v>2018</v>
      </c>
      <c r="D16" s="1922"/>
      <c r="E16" s="1922"/>
      <c r="F16" s="1923"/>
      <c r="G16" s="1925">
        <f>C16+1</f>
        <v>2019</v>
      </c>
      <c r="H16" s="1922"/>
      <c r="I16" s="1922"/>
      <c r="J16" s="1926"/>
      <c r="K16" s="1921">
        <f>G16+1</f>
        <v>2020</v>
      </c>
      <c r="L16" s="1922"/>
      <c r="M16" s="1922"/>
      <c r="N16" s="1923"/>
      <c r="O16" s="1925">
        <f>K16+1</f>
        <v>2021</v>
      </c>
      <c r="P16" s="1922"/>
      <c r="Q16" s="1922"/>
      <c r="R16" s="1922"/>
      <c r="S16" s="1922">
        <f>O16+1</f>
        <v>2022</v>
      </c>
      <c r="T16" s="1922"/>
      <c r="U16" s="1922"/>
      <c r="V16" s="1922"/>
      <c r="W16" s="1922">
        <f>S16+1</f>
        <v>2023</v>
      </c>
      <c r="X16" s="1922"/>
      <c r="Y16" s="1922"/>
      <c r="Z16" s="1922"/>
      <c r="AA16" s="1922">
        <f>W16+1</f>
        <v>2024</v>
      </c>
      <c r="AB16" s="1922"/>
      <c r="AC16" s="1922"/>
      <c r="AD16" s="1922"/>
      <c r="AE16" s="1922">
        <f>AA16+1</f>
        <v>2025</v>
      </c>
      <c r="AF16" s="1922"/>
      <c r="AG16" s="1922"/>
      <c r="AH16" s="1922"/>
      <c r="AI16" s="1922">
        <f>AE16+1</f>
        <v>2026</v>
      </c>
      <c r="AJ16" s="1922"/>
      <c r="AK16" s="1922"/>
      <c r="AL16" s="1922"/>
      <c r="AM16" s="1922">
        <f>AI16+1</f>
        <v>2027</v>
      </c>
      <c r="AN16" s="1922"/>
      <c r="AO16" s="1922"/>
      <c r="AP16" s="1922"/>
      <c r="AQ16" s="1922">
        <f>AM16+1</f>
        <v>2028</v>
      </c>
      <c r="AR16" s="1922"/>
      <c r="AS16" s="1922"/>
      <c r="AT16" s="1924"/>
      <c r="AU16" s="540"/>
    </row>
    <row r="17" spans="1:47" s="350" customFormat="1" ht="14.25" customHeight="1">
      <c r="A17" s="351"/>
      <c r="B17" s="1928"/>
      <c r="C17" s="520" t="s">
        <v>863</v>
      </c>
      <c r="D17" s="521" t="s">
        <v>864</v>
      </c>
      <c r="E17" s="521" t="s">
        <v>865</v>
      </c>
      <c r="F17" s="522" t="s">
        <v>866</v>
      </c>
      <c r="G17" s="520" t="s">
        <v>863</v>
      </c>
      <c r="H17" s="521" t="s">
        <v>864</v>
      </c>
      <c r="I17" s="521" t="s">
        <v>865</v>
      </c>
      <c r="J17" s="522" t="s">
        <v>866</v>
      </c>
      <c r="K17" s="520" t="s">
        <v>863</v>
      </c>
      <c r="L17" s="521" t="s">
        <v>864</v>
      </c>
      <c r="M17" s="521" t="s">
        <v>865</v>
      </c>
      <c r="N17" s="522" t="s">
        <v>866</v>
      </c>
      <c r="O17" s="520" t="s">
        <v>863</v>
      </c>
      <c r="P17" s="521" t="s">
        <v>864</v>
      </c>
      <c r="Q17" s="521" t="s">
        <v>865</v>
      </c>
      <c r="R17" s="522" t="s">
        <v>866</v>
      </c>
      <c r="S17" s="520" t="s">
        <v>863</v>
      </c>
      <c r="T17" s="521" t="s">
        <v>864</v>
      </c>
      <c r="U17" s="521" t="s">
        <v>865</v>
      </c>
      <c r="V17" s="522" t="s">
        <v>866</v>
      </c>
      <c r="W17" s="520" t="s">
        <v>863</v>
      </c>
      <c r="X17" s="521" t="s">
        <v>864</v>
      </c>
      <c r="Y17" s="521" t="s">
        <v>865</v>
      </c>
      <c r="Z17" s="522" t="s">
        <v>866</v>
      </c>
      <c r="AA17" s="520" t="s">
        <v>863</v>
      </c>
      <c r="AB17" s="521" t="s">
        <v>864</v>
      </c>
      <c r="AC17" s="521" t="s">
        <v>865</v>
      </c>
      <c r="AD17" s="522" t="s">
        <v>866</v>
      </c>
      <c r="AE17" s="520" t="s">
        <v>863</v>
      </c>
      <c r="AF17" s="521" t="s">
        <v>864</v>
      </c>
      <c r="AG17" s="521" t="s">
        <v>865</v>
      </c>
      <c r="AH17" s="522" t="s">
        <v>866</v>
      </c>
      <c r="AI17" s="520" t="s">
        <v>863</v>
      </c>
      <c r="AJ17" s="521" t="s">
        <v>864</v>
      </c>
      <c r="AK17" s="521" t="s">
        <v>865</v>
      </c>
      <c r="AL17" s="522" t="s">
        <v>866</v>
      </c>
      <c r="AM17" s="520" t="s">
        <v>863</v>
      </c>
      <c r="AN17" s="521" t="s">
        <v>864</v>
      </c>
      <c r="AO17" s="521" t="s">
        <v>865</v>
      </c>
      <c r="AP17" s="522" t="s">
        <v>866</v>
      </c>
      <c r="AQ17" s="520" t="s">
        <v>863</v>
      </c>
      <c r="AR17" s="521" t="s">
        <v>864</v>
      </c>
      <c r="AS17" s="521" t="s">
        <v>865</v>
      </c>
      <c r="AT17" s="538" t="s">
        <v>866</v>
      </c>
      <c r="AU17" s="540">
        <f t="shared" si="0"/>
        <v>0</v>
      </c>
    </row>
    <row r="18" spans="1:47" s="350" customFormat="1" ht="15" customHeight="1">
      <c r="A18" s="351"/>
      <c r="B18" s="523" t="s">
        <v>867</v>
      </c>
      <c r="C18" s="530"/>
      <c r="D18" s="531"/>
      <c r="E18" s="531"/>
      <c r="F18" s="532"/>
      <c r="G18" s="530"/>
      <c r="H18" s="485"/>
      <c r="I18" s="485"/>
      <c r="J18" s="485"/>
      <c r="K18" s="485"/>
      <c r="L18" s="485"/>
      <c r="M18" s="485"/>
      <c r="N18" s="485"/>
      <c r="O18" s="485"/>
      <c r="P18" s="485"/>
      <c r="Q18" s="485"/>
      <c r="R18" s="486"/>
      <c r="S18" s="524"/>
      <c r="T18" s="485"/>
      <c r="U18" s="532"/>
      <c r="V18" s="530"/>
      <c r="W18" s="531"/>
      <c r="X18" s="531"/>
      <c r="Y18" s="531"/>
      <c r="Z18" s="532"/>
      <c r="AA18" s="530"/>
      <c r="AB18" s="531"/>
      <c r="AC18" s="531"/>
      <c r="AD18" s="532"/>
      <c r="AE18" s="530"/>
      <c r="AF18" s="531"/>
      <c r="AG18" s="531"/>
      <c r="AH18" s="532"/>
      <c r="AI18" s="530"/>
      <c r="AJ18" s="531"/>
      <c r="AK18" s="531"/>
      <c r="AL18" s="532"/>
      <c r="AM18" s="530"/>
      <c r="AN18" s="531"/>
      <c r="AO18" s="531"/>
      <c r="AP18" s="532"/>
      <c r="AQ18" s="530"/>
      <c r="AR18" s="531"/>
      <c r="AS18" s="531"/>
      <c r="AT18" s="539"/>
      <c r="AU18" s="540">
        <f t="shared" si="0"/>
        <v>0</v>
      </c>
    </row>
    <row r="19" spans="1:47" s="350" customFormat="1" ht="15" customHeight="1">
      <c r="A19" s="351"/>
      <c r="B19" s="523" t="s">
        <v>868</v>
      </c>
      <c r="C19" s="530"/>
      <c r="D19" s="531"/>
      <c r="E19" s="531"/>
      <c r="F19" s="532"/>
      <c r="G19" s="530"/>
      <c r="H19" s="485"/>
      <c r="I19" s="485"/>
      <c r="J19" s="485"/>
      <c r="K19" s="485"/>
      <c r="L19" s="485"/>
      <c r="M19" s="485"/>
      <c r="N19" s="485"/>
      <c r="O19" s="485"/>
      <c r="P19" s="485"/>
      <c r="Q19" s="485"/>
      <c r="R19" s="486"/>
      <c r="S19" s="524"/>
      <c r="T19" s="485"/>
      <c r="U19" s="531"/>
      <c r="V19" s="531"/>
      <c r="W19" s="532"/>
      <c r="X19" s="530"/>
      <c r="Y19" s="531"/>
      <c r="Z19" s="532"/>
      <c r="AA19" s="530"/>
      <c r="AB19" s="531"/>
      <c r="AC19" s="531"/>
      <c r="AD19" s="532"/>
      <c r="AE19" s="530"/>
      <c r="AF19" s="531"/>
      <c r="AG19" s="531"/>
      <c r="AH19" s="532"/>
      <c r="AI19" s="530"/>
      <c r="AJ19" s="531"/>
      <c r="AK19" s="531"/>
      <c r="AL19" s="532"/>
      <c r="AM19" s="530"/>
      <c r="AN19" s="531"/>
      <c r="AO19" s="531"/>
      <c r="AP19" s="532"/>
      <c r="AQ19" s="530"/>
      <c r="AR19" s="531"/>
      <c r="AS19" s="531"/>
      <c r="AT19" s="539"/>
      <c r="AU19" s="540">
        <f t="shared" si="0"/>
        <v>0</v>
      </c>
    </row>
    <row r="20" spans="1:47" s="350" customFormat="1" ht="15" customHeight="1">
      <c r="A20" s="351"/>
      <c r="B20" s="523" t="s">
        <v>869</v>
      </c>
      <c r="C20" s="530"/>
      <c r="D20" s="531"/>
      <c r="E20" s="531"/>
      <c r="F20" s="532"/>
      <c r="G20" s="530"/>
      <c r="H20" s="485"/>
      <c r="I20" s="485"/>
      <c r="J20" s="485"/>
      <c r="K20" s="485"/>
      <c r="L20" s="485"/>
      <c r="M20" s="485"/>
      <c r="N20" s="485"/>
      <c r="O20" s="485"/>
      <c r="P20" s="485"/>
      <c r="Q20" s="485"/>
      <c r="R20" s="486"/>
      <c r="S20" s="524"/>
      <c r="T20" s="485"/>
      <c r="U20" s="530"/>
      <c r="V20" s="530"/>
      <c r="W20" s="530"/>
      <c r="X20" s="531"/>
      <c r="Y20" s="531"/>
      <c r="Z20" s="532"/>
      <c r="AA20" s="530"/>
      <c r="AB20" s="531"/>
      <c r="AC20" s="531"/>
      <c r="AD20" s="532"/>
      <c r="AE20" s="530"/>
      <c r="AF20" s="531"/>
      <c r="AG20" s="531"/>
      <c r="AH20" s="532"/>
      <c r="AI20" s="530"/>
      <c r="AJ20" s="531"/>
      <c r="AK20" s="531"/>
      <c r="AL20" s="532"/>
      <c r="AM20" s="530"/>
      <c r="AN20" s="531"/>
      <c r="AO20" s="531"/>
      <c r="AP20" s="532"/>
      <c r="AQ20" s="530"/>
      <c r="AR20" s="531"/>
      <c r="AS20" s="531"/>
      <c r="AT20" s="539"/>
      <c r="AU20" s="540">
        <f t="shared" si="0"/>
        <v>0</v>
      </c>
    </row>
    <row r="21" spans="1:47" s="350" customFormat="1" ht="15" customHeight="1">
      <c r="A21" s="351"/>
      <c r="B21" s="523" t="s">
        <v>870</v>
      </c>
      <c r="C21" s="530"/>
      <c r="D21" s="531"/>
      <c r="E21" s="531"/>
      <c r="F21" s="532"/>
      <c r="G21" s="530"/>
      <c r="H21" s="485"/>
      <c r="I21" s="485"/>
      <c r="J21" s="485"/>
      <c r="K21" s="485"/>
      <c r="L21" s="485"/>
      <c r="M21" s="485"/>
      <c r="N21" s="485"/>
      <c r="O21" s="485"/>
      <c r="P21" s="485"/>
      <c r="Q21" s="485"/>
      <c r="R21" s="486"/>
      <c r="S21" s="524"/>
      <c r="T21" s="485"/>
      <c r="U21" s="531"/>
      <c r="V21" s="532"/>
      <c r="W21" s="530"/>
      <c r="X21" s="531"/>
      <c r="Y21" s="531"/>
      <c r="Z21" s="532"/>
      <c r="AA21" s="530"/>
      <c r="AB21" s="531"/>
      <c r="AC21" s="531"/>
      <c r="AD21" s="532"/>
      <c r="AE21" s="530"/>
      <c r="AF21" s="531"/>
      <c r="AG21" s="531"/>
      <c r="AH21" s="532"/>
      <c r="AI21" s="530"/>
      <c r="AJ21" s="531"/>
      <c r="AK21" s="531"/>
      <c r="AL21" s="532"/>
      <c r="AM21" s="530"/>
      <c r="AN21" s="531"/>
      <c r="AO21" s="531"/>
      <c r="AP21" s="532"/>
      <c r="AQ21" s="530"/>
      <c r="AR21" s="531"/>
      <c r="AS21" s="531"/>
      <c r="AT21" s="539"/>
      <c r="AU21" s="540">
        <f t="shared" si="0"/>
        <v>0</v>
      </c>
    </row>
    <row r="22" spans="1:47" s="350" customFormat="1" ht="15" customHeight="1">
      <c r="A22" s="351"/>
      <c r="B22" s="523" t="s">
        <v>871</v>
      </c>
      <c r="C22" s="530"/>
      <c r="D22" s="531"/>
      <c r="E22" s="531"/>
      <c r="F22" s="532"/>
      <c r="G22" s="530"/>
      <c r="H22" s="485"/>
      <c r="I22" s="485"/>
      <c r="J22" s="485"/>
      <c r="K22" s="485"/>
      <c r="L22" s="485"/>
      <c r="M22" s="485"/>
      <c r="N22" s="485"/>
      <c r="O22" s="485"/>
      <c r="P22" s="485"/>
      <c r="Q22" s="485"/>
      <c r="R22" s="486"/>
      <c r="S22" s="524"/>
      <c r="T22" s="485"/>
      <c r="U22" s="531"/>
      <c r="V22" s="532"/>
      <c r="W22" s="530"/>
      <c r="X22" s="530"/>
      <c r="Y22" s="531"/>
      <c r="Z22" s="532"/>
      <c r="AA22" s="530"/>
      <c r="AB22" s="531"/>
      <c r="AC22" s="531"/>
      <c r="AD22" s="532"/>
      <c r="AE22" s="530"/>
      <c r="AF22" s="531"/>
      <c r="AG22" s="531"/>
      <c r="AH22" s="532"/>
      <c r="AI22" s="530"/>
      <c r="AJ22" s="531"/>
      <c r="AK22" s="531"/>
      <c r="AL22" s="532"/>
      <c r="AM22" s="530"/>
      <c r="AN22" s="531"/>
      <c r="AO22" s="531"/>
      <c r="AP22" s="532"/>
      <c r="AQ22" s="530"/>
      <c r="AR22" s="531"/>
      <c r="AS22" s="531"/>
      <c r="AT22" s="539"/>
      <c r="AU22" s="540">
        <f t="shared" si="0"/>
        <v>0</v>
      </c>
    </row>
    <row r="23" spans="1:47" s="350" customFormat="1" ht="15" customHeight="1">
      <c r="A23" s="351"/>
      <c r="B23" s="523" t="s">
        <v>872</v>
      </c>
      <c r="C23" s="530"/>
      <c r="D23" s="531"/>
      <c r="E23" s="531"/>
      <c r="F23" s="532"/>
      <c r="G23" s="530"/>
      <c r="H23" s="485"/>
      <c r="I23" s="485"/>
      <c r="J23" s="485"/>
      <c r="K23" s="485"/>
      <c r="L23" s="485"/>
      <c r="M23" s="485"/>
      <c r="N23" s="485"/>
      <c r="O23" s="485"/>
      <c r="P23" s="485"/>
      <c r="Q23" s="485"/>
      <c r="R23" s="486"/>
      <c r="S23" s="524"/>
      <c r="T23" s="485"/>
      <c r="U23" s="531"/>
      <c r="V23" s="532"/>
      <c r="W23" s="530"/>
      <c r="X23" s="530"/>
      <c r="Y23" s="531"/>
      <c r="Z23" s="532"/>
      <c r="AA23" s="530"/>
      <c r="AB23" s="531"/>
      <c r="AC23" s="531"/>
      <c r="AD23" s="532"/>
      <c r="AE23" s="530"/>
      <c r="AF23" s="531"/>
      <c r="AG23" s="531"/>
      <c r="AH23" s="532"/>
      <c r="AI23" s="530"/>
      <c r="AJ23" s="531"/>
      <c r="AK23" s="531"/>
      <c r="AL23" s="532"/>
      <c r="AM23" s="530"/>
      <c r="AN23" s="531"/>
      <c r="AO23" s="531"/>
      <c r="AP23" s="532"/>
      <c r="AQ23" s="530"/>
      <c r="AR23" s="531"/>
      <c r="AS23" s="531"/>
      <c r="AT23" s="539"/>
      <c r="AU23" s="540">
        <f t="shared" si="0"/>
        <v>0</v>
      </c>
    </row>
    <row r="24" spans="1:47" s="350" customFormat="1" ht="15" customHeight="1">
      <c r="A24" s="351"/>
      <c r="B24" s="523" t="s">
        <v>873</v>
      </c>
      <c r="C24" s="530"/>
      <c r="D24" s="531"/>
      <c r="E24" s="531"/>
      <c r="F24" s="532"/>
      <c r="G24" s="530"/>
      <c r="H24" s="485"/>
      <c r="I24" s="485"/>
      <c r="J24" s="485"/>
      <c r="K24" s="485"/>
      <c r="L24" s="485"/>
      <c r="M24" s="485"/>
      <c r="N24" s="485"/>
      <c r="O24" s="485"/>
      <c r="P24" s="485"/>
      <c r="Q24" s="485"/>
      <c r="R24" s="486"/>
      <c r="S24" s="524"/>
      <c r="T24" s="485"/>
      <c r="U24" s="486"/>
      <c r="V24" s="486"/>
      <c r="W24" s="486"/>
      <c r="X24" s="486"/>
      <c r="Y24" s="531"/>
      <c r="Z24" s="532"/>
      <c r="AA24" s="530"/>
      <c r="AB24" s="531"/>
      <c r="AC24" s="531"/>
      <c r="AD24" s="532"/>
      <c r="AE24" s="530"/>
      <c r="AF24" s="531"/>
      <c r="AG24" s="531"/>
      <c r="AH24" s="532"/>
      <c r="AI24" s="530"/>
      <c r="AJ24" s="531"/>
      <c r="AK24" s="531"/>
      <c r="AL24" s="532"/>
      <c r="AM24" s="530"/>
      <c r="AN24" s="531"/>
      <c r="AO24" s="531"/>
      <c r="AP24" s="532"/>
      <c r="AQ24" s="530"/>
      <c r="AR24" s="531"/>
      <c r="AS24" s="531"/>
      <c r="AT24" s="539"/>
      <c r="AU24" s="540">
        <f t="shared" si="0"/>
        <v>0</v>
      </c>
    </row>
    <row r="25" spans="1:47" s="350" customFormat="1" ht="15" customHeight="1">
      <c r="A25" s="351"/>
      <c r="B25" s="525" t="s">
        <v>874</v>
      </c>
      <c r="C25" s="533"/>
      <c r="D25" s="534"/>
      <c r="E25" s="534"/>
      <c r="F25" s="535"/>
      <c r="G25" s="533"/>
      <c r="H25" s="485"/>
      <c r="I25" s="485"/>
      <c r="J25" s="485"/>
      <c r="K25" s="485"/>
      <c r="L25" s="485"/>
      <c r="M25" s="485"/>
      <c r="N25" s="485"/>
      <c r="O25" s="485"/>
      <c r="P25" s="485"/>
      <c r="Q25" s="485"/>
      <c r="R25" s="486"/>
      <c r="S25" s="524"/>
      <c r="T25" s="485"/>
      <c r="U25" s="527"/>
      <c r="V25" s="527"/>
      <c r="W25" s="527"/>
      <c r="X25" s="527"/>
      <c r="Y25" s="534"/>
      <c r="Z25" s="535"/>
      <c r="AA25" s="533"/>
      <c r="AB25" s="534"/>
      <c r="AC25" s="534"/>
      <c r="AD25" s="535"/>
      <c r="AE25" s="533"/>
      <c r="AF25" s="534"/>
      <c r="AG25" s="534"/>
      <c r="AH25" s="535"/>
      <c r="AI25" s="533"/>
      <c r="AJ25" s="534"/>
      <c r="AK25" s="534"/>
      <c r="AL25" s="535"/>
      <c r="AM25" s="533"/>
      <c r="AN25" s="534"/>
      <c r="AO25" s="534"/>
      <c r="AP25" s="535"/>
      <c r="AQ25" s="533"/>
      <c r="AR25" s="534"/>
      <c r="AS25" s="534"/>
      <c r="AT25" s="541"/>
      <c r="AU25" s="540">
        <f t="shared" si="0"/>
        <v>0</v>
      </c>
    </row>
    <row r="26" spans="1:47" s="350" customFormat="1" ht="17.25" customHeight="1">
      <c r="A26" s="351"/>
      <c r="B26" s="528" t="s">
        <v>21</v>
      </c>
      <c r="C26" s="529"/>
      <c r="D26" s="529"/>
      <c r="E26" s="529"/>
      <c r="F26" s="529"/>
      <c r="G26" s="529"/>
      <c r="H26" s="529"/>
      <c r="I26" s="529"/>
      <c r="J26" s="529"/>
      <c r="K26" s="529"/>
      <c r="L26" s="529"/>
      <c r="M26" s="529"/>
      <c r="N26" s="529"/>
      <c r="O26" s="529"/>
      <c r="P26" s="529"/>
      <c r="Q26" s="529"/>
      <c r="R26" s="529"/>
      <c r="S26" s="529"/>
      <c r="T26" s="529"/>
      <c r="U26" s="529"/>
      <c r="V26" s="529"/>
      <c r="W26" s="529"/>
      <c r="X26" s="529"/>
      <c r="Y26" s="529"/>
      <c r="Z26" s="529"/>
      <c r="AA26" s="529"/>
      <c r="AB26" s="529"/>
      <c r="AC26" s="529"/>
      <c r="AD26" s="529"/>
      <c r="AE26" s="529"/>
      <c r="AF26" s="529"/>
      <c r="AG26" s="529"/>
      <c r="AH26" s="529"/>
      <c r="AI26" s="529"/>
      <c r="AJ26" s="529"/>
      <c r="AK26" s="529"/>
      <c r="AL26" s="529"/>
      <c r="AM26" s="529"/>
      <c r="AN26" s="529"/>
      <c r="AO26" s="529"/>
      <c r="AP26" s="529"/>
      <c r="AQ26" s="529"/>
      <c r="AR26" s="529"/>
      <c r="AS26" s="529"/>
      <c r="AT26" s="542"/>
      <c r="AU26" s="540">
        <f t="shared" si="0"/>
        <v>0</v>
      </c>
    </row>
    <row r="27" spans="1:47" s="350" customFormat="1" ht="12.75">
      <c r="A27" s="351"/>
      <c r="B27" s="1927" t="s">
        <v>534</v>
      </c>
      <c r="C27" s="1921">
        <f>'1.参数设置'!$C$4</f>
        <v>2018</v>
      </c>
      <c r="D27" s="1922"/>
      <c r="E27" s="1922"/>
      <c r="F27" s="1923"/>
      <c r="G27" s="1925">
        <f>C27+1</f>
        <v>2019</v>
      </c>
      <c r="H27" s="1922"/>
      <c r="I27" s="1922"/>
      <c r="J27" s="1922"/>
      <c r="K27" s="1922">
        <f>G27+1</f>
        <v>2020</v>
      </c>
      <c r="L27" s="1922"/>
      <c r="M27" s="1922"/>
      <c r="N27" s="1922"/>
      <c r="O27" s="1922">
        <f>K27+1</f>
        <v>2021</v>
      </c>
      <c r="P27" s="1922"/>
      <c r="Q27" s="1922"/>
      <c r="R27" s="1922"/>
      <c r="S27" s="1922">
        <f>O27+1</f>
        <v>2022</v>
      </c>
      <c r="T27" s="1922"/>
      <c r="U27" s="1922"/>
      <c r="V27" s="1922"/>
      <c r="W27" s="1922">
        <f>S27+1</f>
        <v>2023</v>
      </c>
      <c r="X27" s="1922"/>
      <c r="Y27" s="1922"/>
      <c r="Z27" s="1922"/>
      <c r="AA27" s="1922">
        <f>W27+1</f>
        <v>2024</v>
      </c>
      <c r="AB27" s="1922"/>
      <c r="AC27" s="1922"/>
      <c r="AD27" s="1922"/>
      <c r="AE27" s="1922">
        <f>AA27+1</f>
        <v>2025</v>
      </c>
      <c r="AF27" s="1922"/>
      <c r="AG27" s="1922"/>
      <c r="AH27" s="1922"/>
      <c r="AI27" s="1922">
        <f>AE27+1</f>
        <v>2026</v>
      </c>
      <c r="AJ27" s="1922"/>
      <c r="AK27" s="1922"/>
      <c r="AL27" s="1922"/>
      <c r="AM27" s="1922">
        <f>AI27+1</f>
        <v>2027</v>
      </c>
      <c r="AN27" s="1922"/>
      <c r="AO27" s="1922"/>
      <c r="AP27" s="1922"/>
      <c r="AQ27" s="1922">
        <f>AM27+1</f>
        <v>2028</v>
      </c>
      <c r="AR27" s="1922"/>
      <c r="AS27" s="1922"/>
      <c r="AT27" s="1924"/>
      <c r="AU27" s="540"/>
    </row>
    <row r="28" spans="1:47" s="350" customFormat="1" ht="14.25" customHeight="1">
      <c r="A28" s="351"/>
      <c r="B28" s="1928"/>
      <c r="C28" s="520" t="s">
        <v>863</v>
      </c>
      <c r="D28" s="521" t="s">
        <v>864</v>
      </c>
      <c r="E28" s="521" t="s">
        <v>865</v>
      </c>
      <c r="F28" s="522" t="s">
        <v>866</v>
      </c>
      <c r="G28" s="520" t="s">
        <v>863</v>
      </c>
      <c r="H28" s="521" t="s">
        <v>864</v>
      </c>
      <c r="I28" s="521" t="s">
        <v>865</v>
      </c>
      <c r="J28" s="522" t="s">
        <v>866</v>
      </c>
      <c r="K28" s="520" t="s">
        <v>863</v>
      </c>
      <c r="L28" s="521" t="s">
        <v>864</v>
      </c>
      <c r="M28" s="521" t="s">
        <v>865</v>
      </c>
      <c r="N28" s="522" t="s">
        <v>866</v>
      </c>
      <c r="O28" s="520" t="s">
        <v>863</v>
      </c>
      <c r="P28" s="521" t="s">
        <v>864</v>
      </c>
      <c r="Q28" s="521" t="s">
        <v>865</v>
      </c>
      <c r="R28" s="522" t="s">
        <v>866</v>
      </c>
      <c r="S28" s="520" t="s">
        <v>863</v>
      </c>
      <c r="T28" s="521" t="s">
        <v>864</v>
      </c>
      <c r="U28" s="521" t="s">
        <v>865</v>
      </c>
      <c r="V28" s="522" t="s">
        <v>866</v>
      </c>
      <c r="W28" s="520" t="s">
        <v>863</v>
      </c>
      <c r="X28" s="521" t="s">
        <v>864</v>
      </c>
      <c r="Y28" s="521" t="s">
        <v>865</v>
      </c>
      <c r="Z28" s="522" t="s">
        <v>866</v>
      </c>
      <c r="AA28" s="520" t="s">
        <v>863</v>
      </c>
      <c r="AB28" s="521" t="s">
        <v>864</v>
      </c>
      <c r="AC28" s="521" t="s">
        <v>865</v>
      </c>
      <c r="AD28" s="522" t="s">
        <v>866</v>
      </c>
      <c r="AE28" s="520" t="s">
        <v>863</v>
      </c>
      <c r="AF28" s="521" t="s">
        <v>864</v>
      </c>
      <c r="AG28" s="521" t="s">
        <v>865</v>
      </c>
      <c r="AH28" s="522" t="s">
        <v>866</v>
      </c>
      <c r="AI28" s="520" t="s">
        <v>863</v>
      </c>
      <c r="AJ28" s="521" t="s">
        <v>864</v>
      </c>
      <c r="AK28" s="521" t="s">
        <v>865</v>
      </c>
      <c r="AL28" s="522" t="s">
        <v>866</v>
      </c>
      <c r="AM28" s="520" t="s">
        <v>863</v>
      </c>
      <c r="AN28" s="521" t="s">
        <v>864</v>
      </c>
      <c r="AO28" s="521" t="s">
        <v>865</v>
      </c>
      <c r="AP28" s="522" t="s">
        <v>866</v>
      </c>
      <c r="AQ28" s="520" t="s">
        <v>863</v>
      </c>
      <c r="AR28" s="521" t="s">
        <v>864</v>
      </c>
      <c r="AS28" s="521" t="s">
        <v>865</v>
      </c>
      <c r="AT28" s="538" t="s">
        <v>866</v>
      </c>
      <c r="AU28" s="540">
        <f t="shared" si="0"/>
        <v>0</v>
      </c>
    </row>
    <row r="29" spans="1:47" s="350" customFormat="1" ht="15" customHeight="1">
      <c r="A29" s="351"/>
      <c r="B29" s="523" t="s">
        <v>867</v>
      </c>
      <c r="C29" s="530"/>
      <c r="D29" s="531"/>
      <c r="E29" s="531"/>
      <c r="F29" s="532"/>
      <c r="G29" s="530"/>
      <c r="H29" s="531"/>
      <c r="I29" s="531"/>
      <c r="J29" s="485"/>
      <c r="K29" s="485"/>
      <c r="L29" s="485"/>
      <c r="M29" s="485"/>
      <c r="N29" s="485"/>
      <c r="O29" s="485"/>
      <c r="P29" s="485"/>
      <c r="Q29" s="485"/>
      <c r="R29" s="485"/>
      <c r="S29" s="485"/>
      <c r="T29" s="486"/>
      <c r="U29" s="524"/>
      <c r="V29" s="485"/>
      <c r="W29" s="530"/>
      <c r="X29" s="531"/>
      <c r="Y29" s="531"/>
      <c r="Z29" s="532"/>
      <c r="AA29" s="530"/>
      <c r="AB29" s="531"/>
      <c r="AC29" s="531"/>
      <c r="AD29" s="532"/>
      <c r="AE29" s="530"/>
      <c r="AF29" s="531"/>
      <c r="AG29" s="531"/>
      <c r="AH29" s="532"/>
      <c r="AI29" s="530"/>
      <c r="AJ29" s="531"/>
      <c r="AK29" s="531"/>
      <c r="AL29" s="532"/>
      <c r="AM29" s="530"/>
      <c r="AN29" s="531"/>
      <c r="AO29" s="531"/>
      <c r="AP29" s="532"/>
      <c r="AQ29" s="530"/>
      <c r="AR29" s="531"/>
      <c r="AS29" s="531"/>
      <c r="AT29" s="539"/>
      <c r="AU29" s="540">
        <f t="shared" si="0"/>
        <v>0</v>
      </c>
    </row>
    <row r="30" spans="1:47" s="350" customFormat="1" ht="15" customHeight="1">
      <c r="A30" s="351"/>
      <c r="B30" s="523" t="s">
        <v>868</v>
      </c>
      <c r="C30" s="530"/>
      <c r="D30" s="531"/>
      <c r="E30" s="531"/>
      <c r="F30" s="532"/>
      <c r="G30" s="530"/>
      <c r="H30" s="531"/>
      <c r="I30" s="531"/>
      <c r="J30" s="485"/>
      <c r="K30" s="485"/>
      <c r="L30" s="485"/>
      <c r="M30" s="485"/>
      <c r="N30" s="485"/>
      <c r="O30" s="485"/>
      <c r="P30" s="485"/>
      <c r="Q30" s="485"/>
      <c r="R30" s="485"/>
      <c r="S30" s="485"/>
      <c r="T30" s="486"/>
      <c r="U30" s="524"/>
      <c r="V30" s="485"/>
      <c r="W30" s="530"/>
      <c r="X30" s="531"/>
      <c r="Y30" s="531"/>
      <c r="Z30" s="532"/>
      <c r="AA30" s="530"/>
      <c r="AB30" s="531"/>
      <c r="AC30" s="531"/>
      <c r="AD30" s="532"/>
      <c r="AE30" s="530"/>
      <c r="AF30" s="531"/>
      <c r="AG30" s="531"/>
      <c r="AH30" s="532"/>
      <c r="AI30" s="530"/>
      <c r="AJ30" s="531"/>
      <c r="AK30" s="531"/>
      <c r="AL30" s="532"/>
      <c r="AM30" s="530"/>
      <c r="AN30" s="531"/>
      <c r="AO30" s="531"/>
      <c r="AP30" s="532"/>
      <c r="AQ30" s="530"/>
      <c r="AR30" s="531"/>
      <c r="AS30" s="531"/>
      <c r="AT30" s="539"/>
      <c r="AU30" s="540">
        <f t="shared" si="0"/>
        <v>0</v>
      </c>
    </row>
    <row r="31" spans="1:47" s="350" customFormat="1" ht="15" customHeight="1">
      <c r="A31" s="351"/>
      <c r="B31" s="523" t="s">
        <v>869</v>
      </c>
      <c r="C31" s="530"/>
      <c r="D31" s="531"/>
      <c r="E31" s="531"/>
      <c r="F31" s="532"/>
      <c r="G31" s="530"/>
      <c r="H31" s="531"/>
      <c r="I31" s="531"/>
      <c r="J31" s="485"/>
      <c r="K31" s="485"/>
      <c r="L31" s="485"/>
      <c r="M31" s="485"/>
      <c r="N31" s="485"/>
      <c r="O31" s="485"/>
      <c r="P31" s="485"/>
      <c r="Q31" s="485"/>
      <c r="R31" s="485"/>
      <c r="S31" s="485"/>
      <c r="T31" s="486"/>
      <c r="U31" s="524"/>
      <c r="V31" s="485"/>
      <c r="W31" s="530"/>
      <c r="X31" s="531"/>
      <c r="Y31" s="531"/>
      <c r="Z31" s="532"/>
      <c r="AA31" s="530"/>
      <c r="AB31" s="531"/>
      <c r="AC31" s="531"/>
      <c r="AD31" s="532"/>
      <c r="AE31" s="530"/>
      <c r="AF31" s="531"/>
      <c r="AG31" s="531"/>
      <c r="AH31" s="532"/>
      <c r="AI31" s="530"/>
      <c r="AJ31" s="531"/>
      <c r="AK31" s="531"/>
      <c r="AL31" s="532"/>
      <c r="AM31" s="530"/>
      <c r="AN31" s="531"/>
      <c r="AO31" s="531"/>
      <c r="AP31" s="532"/>
      <c r="AQ31" s="530"/>
      <c r="AR31" s="531"/>
      <c r="AS31" s="531"/>
      <c r="AT31" s="539"/>
      <c r="AU31" s="540">
        <f t="shared" si="0"/>
        <v>0</v>
      </c>
    </row>
    <row r="32" spans="1:47" s="350" customFormat="1" ht="15" customHeight="1">
      <c r="A32" s="351"/>
      <c r="B32" s="523" t="s">
        <v>870</v>
      </c>
      <c r="C32" s="530"/>
      <c r="D32" s="531"/>
      <c r="E32" s="531"/>
      <c r="F32" s="532"/>
      <c r="G32" s="530"/>
      <c r="H32" s="531"/>
      <c r="I32" s="531"/>
      <c r="J32" s="485"/>
      <c r="K32" s="485"/>
      <c r="L32" s="485"/>
      <c r="M32" s="485"/>
      <c r="N32" s="485"/>
      <c r="O32" s="485"/>
      <c r="P32" s="485"/>
      <c r="Q32" s="485"/>
      <c r="R32" s="485"/>
      <c r="S32" s="485"/>
      <c r="T32" s="486"/>
      <c r="U32" s="524"/>
      <c r="V32" s="485"/>
      <c r="W32" s="530"/>
      <c r="X32" s="531"/>
      <c r="Y32" s="531"/>
      <c r="Z32" s="532"/>
      <c r="AA32" s="530"/>
      <c r="AB32" s="531"/>
      <c r="AC32" s="531"/>
      <c r="AD32" s="532"/>
      <c r="AE32" s="530"/>
      <c r="AF32" s="531"/>
      <c r="AG32" s="531"/>
      <c r="AH32" s="532"/>
      <c r="AI32" s="530"/>
      <c r="AJ32" s="531"/>
      <c r="AK32" s="531"/>
      <c r="AL32" s="532"/>
      <c r="AM32" s="530"/>
      <c r="AN32" s="531"/>
      <c r="AO32" s="531"/>
      <c r="AP32" s="532"/>
      <c r="AQ32" s="530"/>
      <c r="AR32" s="531"/>
      <c r="AS32" s="531"/>
      <c r="AT32" s="539"/>
      <c r="AU32" s="540">
        <f t="shared" si="0"/>
        <v>0</v>
      </c>
    </row>
    <row r="33" spans="1:47" s="350" customFormat="1" ht="15" customHeight="1">
      <c r="A33" s="351"/>
      <c r="B33" s="523" t="s">
        <v>871</v>
      </c>
      <c r="C33" s="530"/>
      <c r="D33" s="531"/>
      <c r="E33" s="531"/>
      <c r="F33" s="532"/>
      <c r="G33" s="530"/>
      <c r="H33" s="531"/>
      <c r="I33" s="531"/>
      <c r="J33" s="485"/>
      <c r="K33" s="485"/>
      <c r="L33" s="485"/>
      <c r="M33" s="485"/>
      <c r="N33" s="485"/>
      <c r="O33" s="485"/>
      <c r="P33" s="485"/>
      <c r="Q33" s="485"/>
      <c r="R33" s="485"/>
      <c r="S33" s="485"/>
      <c r="T33" s="486"/>
      <c r="U33" s="524"/>
      <c r="V33" s="485"/>
      <c r="W33" s="530"/>
      <c r="X33" s="531"/>
      <c r="Y33" s="531"/>
      <c r="Z33" s="532"/>
      <c r="AA33" s="530"/>
      <c r="AB33" s="531"/>
      <c r="AC33" s="531"/>
      <c r="AD33" s="532"/>
      <c r="AE33" s="530"/>
      <c r="AF33" s="531"/>
      <c r="AG33" s="531"/>
      <c r="AH33" s="532"/>
      <c r="AI33" s="530"/>
      <c r="AJ33" s="531"/>
      <c r="AK33" s="531"/>
      <c r="AL33" s="532"/>
      <c r="AM33" s="530"/>
      <c r="AN33" s="531"/>
      <c r="AO33" s="531"/>
      <c r="AP33" s="532"/>
      <c r="AQ33" s="530"/>
      <c r="AR33" s="531"/>
      <c r="AS33" s="531"/>
      <c r="AT33" s="539"/>
      <c r="AU33" s="540">
        <f t="shared" si="0"/>
        <v>0</v>
      </c>
    </row>
    <row r="34" spans="1:47" s="350" customFormat="1" ht="15" customHeight="1">
      <c r="A34" s="351"/>
      <c r="B34" s="523" t="s">
        <v>872</v>
      </c>
      <c r="C34" s="530"/>
      <c r="D34" s="531"/>
      <c r="E34" s="531"/>
      <c r="F34" s="532"/>
      <c r="G34" s="530"/>
      <c r="H34" s="531"/>
      <c r="I34" s="531"/>
      <c r="J34" s="485"/>
      <c r="K34" s="485"/>
      <c r="L34" s="485"/>
      <c r="M34" s="485"/>
      <c r="N34" s="485"/>
      <c r="O34" s="485"/>
      <c r="P34" s="485"/>
      <c r="Q34" s="485"/>
      <c r="R34" s="485"/>
      <c r="S34" s="485"/>
      <c r="T34" s="486"/>
      <c r="U34" s="524"/>
      <c r="V34" s="485"/>
      <c r="W34" s="530"/>
      <c r="X34" s="531"/>
      <c r="Y34" s="531"/>
      <c r="Z34" s="532"/>
      <c r="AA34" s="530"/>
      <c r="AB34" s="531"/>
      <c r="AC34" s="531"/>
      <c r="AD34" s="532"/>
      <c r="AE34" s="530"/>
      <c r="AF34" s="531"/>
      <c r="AG34" s="531"/>
      <c r="AH34" s="532"/>
      <c r="AI34" s="530"/>
      <c r="AJ34" s="531"/>
      <c r="AK34" s="531"/>
      <c r="AL34" s="532"/>
      <c r="AM34" s="530"/>
      <c r="AN34" s="531"/>
      <c r="AO34" s="531"/>
      <c r="AP34" s="532"/>
      <c r="AQ34" s="530"/>
      <c r="AR34" s="531"/>
      <c r="AS34" s="531"/>
      <c r="AT34" s="539"/>
      <c r="AU34" s="540">
        <f t="shared" si="0"/>
        <v>0</v>
      </c>
    </row>
    <row r="35" spans="1:47" s="350" customFormat="1" ht="15" customHeight="1">
      <c r="A35" s="351"/>
      <c r="B35" s="523" t="s">
        <v>873</v>
      </c>
      <c r="C35" s="530"/>
      <c r="D35" s="531"/>
      <c r="E35" s="531"/>
      <c r="F35" s="532"/>
      <c r="G35" s="530"/>
      <c r="H35" s="531"/>
      <c r="I35" s="531"/>
      <c r="J35" s="485"/>
      <c r="K35" s="485"/>
      <c r="L35" s="485"/>
      <c r="M35" s="485"/>
      <c r="N35" s="485"/>
      <c r="O35" s="485"/>
      <c r="P35" s="485"/>
      <c r="Q35" s="485"/>
      <c r="R35" s="485"/>
      <c r="S35" s="485"/>
      <c r="T35" s="486"/>
      <c r="U35" s="524"/>
      <c r="V35" s="485"/>
      <c r="W35" s="530"/>
      <c r="X35" s="531"/>
      <c r="Y35" s="531"/>
      <c r="Z35" s="532"/>
      <c r="AA35" s="530"/>
      <c r="AB35" s="531"/>
      <c r="AC35" s="531"/>
      <c r="AD35" s="532"/>
      <c r="AE35" s="530"/>
      <c r="AF35" s="531"/>
      <c r="AG35" s="531"/>
      <c r="AH35" s="532"/>
      <c r="AI35" s="530"/>
      <c r="AJ35" s="531"/>
      <c r="AK35" s="531"/>
      <c r="AL35" s="532"/>
      <c r="AM35" s="530"/>
      <c r="AN35" s="531"/>
      <c r="AO35" s="531"/>
      <c r="AP35" s="532"/>
      <c r="AQ35" s="530"/>
      <c r="AR35" s="531"/>
      <c r="AS35" s="531"/>
      <c r="AT35" s="539"/>
      <c r="AU35" s="540">
        <f t="shared" si="0"/>
        <v>0</v>
      </c>
    </row>
    <row r="36" spans="1:47" s="350" customFormat="1" ht="15" customHeight="1">
      <c r="A36" s="351"/>
      <c r="B36" s="525" t="s">
        <v>874</v>
      </c>
      <c r="C36" s="533"/>
      <c r="D36" s="534"/>
      <c r="E36" s="534"/>
      <c r="F36" s="535"/>
      <c r="G36" s="533"/>
      <c r="H36" s="534"/>
      <c r="I36" s="534"/>
      <c r="J36" s="485"/>
      <c r="K36" s="485"/>
      <c r="L36" s="485"/>
      <c r="M36" s="485"/>
      <c r="N36" s="485"/>
      <c r="O36" s="485"/>
      <c r="P36" s="485"/>
      <c r="Q36" s="485"/>
      <c r="R36" s="485"/>
      <c r="S36" s="485"/>
      <c r="T36" s="486"/>
      <c r="U36" s="524"/>
      <c r="V36" s="485"/>
      <c r="W36" s="533"/>
      <c r="X36" s="534"/>
      <c r="Y36" s="534"/>
      <c r="Z36" s="535"/>
      <c r="AA36" s="533"/>
      <c r="AB36" s="534"/>
      <c r="AC36" s="534"/>
      <c r="AD36" s="535"/>
      <c r="AE36" s="533"/>
      <c r="AF36" s="534"/>
      <c r="AG36" s="534"/>
      <c r="AH36" s="535"/>
      <c r="AI36" s="533"/>
      <c r="AJ36" s="534"/>
      <c r="AK36" s="534"/>
      <c r="AL36" s="535"/>
      <c r="AM36" s="533"/>
      <c r="AN36" s="534"/>
      <c r="AO36" s="534"/>
      <c r="AP36" s="535"/>
      <c r="AQ36" s="533"/>
      <c r="AR36" s="534"/>
      <c r="AS36" s="534"/>
      <c r="AT36" s="541"/>
      <c r="AU36" s="540">
        <f t="shared" si="0"/>
        <v>0</v>
      </c>
    </row>
    <row r="37" spans="1:47" s="350" customFormat="1" ht="17.25" customHeight="1">
      <c r="A37" s="351"/>
      <c r="B37" s="528" t="s">
        <v>22</v>
      </c>
      <c r="C37" s="529"/>
      <c r="D37" s="529"/>
      <c r="E37" s="529"/>
      <c r="F37" s="529"/>
      <c r="G37" s="529"/>
      <c r="H37" s="529"/>
      <c r="I37" s="529"/>
      <c r="J37" s="529"/>
      <c r="K37" s="529"/>
      <c r="L37" s="529"/>
      <c r="M37" s="529"/>
      <c r="N37" s="529"/>
      <c r="O37" s="529"/>
      <c r="P37" s="529"/>
      <c r="Q37" s="529"/>
      <c r="R37" s="529"/>
      <c r="S37" s="529"/>
      <c r="T37" s="529"/>
      <c r="U37" s="529"/>
      <c r="V37" s="529"/>
      <c r="W37" s="529"/>
      <c r="X37" s="529"/>
      <c r="Y37" s="529"/>
      <c r="Z37" s="529"/>
      <c r="AA37" s="529"/>
      <c r="AB37" s="529"/>
      <c r="AC37" s="529"/>
      <c r="AD37" s="529"/>
      <c r="AE37" s="529"/>
      <c r="AF37" s="529"/>
      <c r="AG37" s="529"/>
      <c r="AH37" s="529"/>
      <c r="AI37" s="529"/>
      <c r="AJ37" s="529"/>
      <c r="AK37" s="529"/>
      <c r="AL37" s="529"/>
      <c r="AM37" s="529"/>
      <c r="AN37" s="529"/>
      <c r="AO37" s="529"/>
      <c r="AP37" s="529"/>
      <c r="AQ37" s="529"/>
      <c r="AR37" s="529"/>
      <c r="AS37" s="529"/>
      <c r="AT37" s="542"/>
      <c r="AU37" s="540">
        <f t="shared" si="0"/>
        <v>0</v>
      </c>
    </row>
    <row r="38" spans="1:47" s="350" customFormat="1" ht="12.75">
      <c r="A38" s="351"/>
      <c r="B38" s="1927" t="s">
        <v>534</v>
      </c>
      <c r="C38" s="1921">
        <f>'1.参数设置'!$C$4</f>
        <v>2018</v>
      </c>
      <c r="D38" s="1922"/>
      <c r="E38" s="1922"/>
      <c r="F38" s="1923"/>
      <c r="G38" s="1925">
        <f>C38+1</f>
        <v>2019</v>
      </c>
      <c r="H38" s="1922"/>
      <c r="I38" s="1922"/>
      <c r="J38" s="1922"/>
      <c r="K38" s="1922">
        <f>G38+1</f>
        <v>2020</v>
      </c>
      <c r="L38" s="1922"/>
      <c r="M38" s="1922"/>
      <c r="N38" s="1922"/>
      <c r="O38" s="1922">
        <f>K38+1</f>
        <v>2021</v>
      </c>
      <c r="P38" s="1922"/>
      <c r="Q38" s="1922"/>
      <c r="R38" s="1922"/>
      <c r="S38" s="1922">
        <f>O38+1</f>
        <v>2022</v>
      </c>
      <c r="T38" s="1922"/>
      <c r="U38" s="1922"/>
      <c r="V38" s="1922"/>
      <c r="W38" s="1922">
        <f>S38+1</f>
        <v>2023</v>
      </c>
      <c r="X38" s="1922"/>
      <c r="Y38" s="1922"/>
      <c r="Z38" s="1922"/>
      <c r="AA38" s="1922">
        <f>W38+1</f>
        <v>2024</v>
      </c>
      <c r="AB38" s="1922"/>
      <c r="AC38" s="1922"/>
      <c r="AD38" s="1922"/>
      <c r="AE38" s="1922">
        <f>AA38+1</f>
        <v>2025</v>
      </c>
      <c r="AF38" s="1922"/>
      <c r="AG38" s="1922"/>
      <c r="AH38" s="1922"/>
      <c r="AI38" s="1922">
        <f>AE38+1</f>
        <v>2026</v>
      </c>
      <c r="AJ38" s="1922"/>
      <c r="AK38" s="1922"/>
      <c r="AL38" s="1922"/>
      <c r="AM38" s="1922">
        <f>AI38+1</f>
        <v>2027</v>
      </c>
      <c r="AN38" s="1922"/>
      <c r="AO38" s="1922"/>
      <c r="AP38" s="1922"/>
      <c r="AQ38" s="1922">
        <f>AM38+1</f>
        <v>2028</v>
      </c>
      <c r="AR38" s="1922"/>
      <c r="AS38" s="1922"/>
      <c r="AT38" s="1924"/>
      <c r="AU38" s="540"/>
    </row>
    <row r="39" spans="1:47" s="350" customFormat="1" ht="14.25" customHeight="1">
      <c r="A39" s="351"/>
      <c r="B39" s="1928"/>
      <c r="C39" s="520" t="s">
        <v>863</v>
      </c>
      <c r="D39" s="521" t="s">
        <v>864</v>
      </c>
      <c r="E39" s="521" t="s">
        <v>865</v>
      </c>
      <c r="F39" s="522" t="s">
        <v>866</v>
      </c>
      <c r="G39" s="520" t="s">
        <v>863</v>
      </c>
      <c r="H39" s="521" t="s">
        <v>864</v>
      </c>
      <c r="I39" s="521" t="s">
        <v>865</v>
      </c>
      <c r="J39" s="522" t="s">
        <v>866</v>
      </c>
      <c r="K39" s="520" t="s">
        <v>863</v>
      </c>
      <c r="L39" s="521" t="s">
        <v>864</v>
      </c>
      <c r="M39" s="521" t="s">
        <v>865</v>
      </c>
      <c r="N39" s="522" t="s">
        <v>866</v>
      </c>
      <c r="O39" s="520" t="s">
        <v>863</v>
      </c>
      <c r="P39" s="521" t="s">
        <v>864</v>
      </c>
      <c r="Q39" s="521" t="s">
        <v>865</v>
      </c>
      <c r="R39" s="522" t="s">
        <v>866</v>
      </c>
      <c r="S39" s="520" t="s">
        <v>863</v>
      </c>
      <c r="T39" s="521" t="s">
        <v>864</v>
      </c>
      <c r="U39" s="521" t="s">
        <v>865</v>
      </c>
      <c r="V39" s="522" t="s">
        <v>866</v>
      </c>
      <c r="W39" s="520" t="s">
        <v>863</v>
      </c>
      <c r="X39" s="521" t="s">
        <v>864</v>
      </c>
      <c r="Y39" s="521" t="s">
        <v>865</v>
      </c>
      <c r="Z39" s="522" t="s">
        <v>866</v>
      </c>
      <c r="AA39" s="520" t="s">
        <v>863</v>
      </c>
      <c r="AB39" s="521" t="s">
        <v>864</v>
      </c>
      <c r="AC39" s="521" t="s">
        <v>865</v>
      </c>
      <c r="AD39" s="522" t="s">
        <v>866</v>
      </c>
      <c r="AE39" s="520" t="s">
        <v>863</v>
      </c>
      <c r="AF39" s="521" t="s">
        <v>864</v>
      </c>
      <c r="AG39" s="521" t="s">
        <v>865</v>
      </c>
      <c r="AH39" s="522" t="s">
        <v>866</v>
      </c>
      <c r="AI39" s="520" t="s">
        <v>863</v>
      </c>
      <c r="AJ39" s="521" t="s">
        <v>864</v>
      </c>
      <c r="AK39" s="521" t="s">
        <v>865</v>
      </c>
      <c r="AL39" s="522" t="s">
        <v>866</v>
      </c>
      <c r="AM39" s="520" t="s">
        <v>863</v>
      </c>
      <c r="AN39" s="521" t="s">
        <v>864</v>
      </c>
      <c r="AO39" s="521" t="s">
        <v>865</v>
      </c>
      <c r="AP39" s="522" t="s">
        <v>866</v>
      </c>
      <c r="AQ39" s="520" t="s">
        <v>863</v>
      </c>
      <c r="AR39" s="521" t="s">
        <v>864</v>
      </c>
      <c r="AS39" s="521" t="s">
        <v>865</v>
      </c>
      <c r="AT39" s="538" t="s">
        <v>866</v>
      </c>
      <c r="AU39" s="540">
        <f t="shared" si="0"/>
        <v>0</v>
      </c>
    </row>
    <row r="40" spans="1:47" s="350" customFormat="1" ht="15" customHeight="1">
      <c r="A40" s="351"/>
      <c r="B40" s="523" t="s">
        <v>867</v>
      </c>
      <c r="C40" s="530"/>
      <c r="D40" s="531"/>
      <c r="E40" s="531"/>
      <c r="F40" s="532"/>
      <c r="G40" s="530"/>
      <c r="H40" s="531"/>
      <c r="I40" s="531"/>
      <c r="J40" s="532"/>
      <c r="K40" s="530"/>
      <c r="L40" s="485"/>
      <c r="M40" s="485"/>
      <c r="N40" s="485"/>
      <c r="O40" s="485"/>
      <c r="P40" s="485"/>
      <c r="Q40" s="485"/>
      <c r="R40" s="485"/>
      <c r="S40" s="485"/>
      <c r="T40" s="485"/>
      <c r="U40" s="485"/>
      <c r="V40" s="486"/>
      <c r="W40" s="524"/>
      <c r="X40" s="485"/>
      <c r="Y40" s="531"/>
      <c r="Z40" s="532"/>
      <c r="AA40" s="530"/>
      <c r="AB40" s="531"/>
      <c r="AC40" s="531"/>
      <c r="AD40" s="532"/>
      <c r="AE40" s="530"/>
      <c r="AF40" s="531"/>
      <c r="AG40" s="531"/>
      <c r="AH40" s="532"/>
      <c r="AI40" s="530"/>
      <c r="AJ40" s="531"/>
      <c r="AK40" s="531"/>
      <c r="AL40" s="532"/>
      <c r="AM40" s="530"/>
      <c r="AN40" s="531"/>
      <c r="AO40" s="531"/>
      <c r="AP40" s="532"/>
      <c r="AQ40" s="530"/>
      <c r="AR40" s="531"/>
      <c r="AS40" s="531"/>
      <c r="AT40" s="539"/>
      <c r="AU40" s="540">
        <f t="shared" si="0"/>
        <v>0</v>
      </c>
    </row>
    <row r="41" spans="1:47" s="350" customFormat="1" ht="15" customHeight="1">
      <c r="A41" s="351"/>
      <c r="B41" s="523" t="s">
        <v>868</v>
      </c>
      <c r="C41" s="530"/>
      <c r="D41" s="531"/>
      <c r="E41" s="531"/>
      <c r="F41" s="532"/>
      <c r="G41" s="530"/>
      <c r="H41" s="531"/>
      <c r="I41" s="531"/>
      <c r="J41" s="532"/>
      <c r="K41" s="530"/>
      <c r="L41" s="485"/>
      <c r="M41" s="485"/>
      <c r="N41" s="485"/>
      <c r="O41" s="485"/>
      <c r="P41" s="485"/>
      <c r="Q41" s="485"/>
      <c r="R41" s="485"/>
      <c r="S41" s="485"/>
      <c r="T41" s="485"/>
      <c r="U41" s="485"/>
      <c r="V41" s="486"/>
      <c r="W41" s="524"/>
      <c r="X41" s="485"/>
      <c r="Y41" s="531"/>
      <c r="Z41" s="532"/>
      <c r="AA41" s="530"/>
      <c r="AB41" s="531"/>
      <c r="AC41" s="531"/>
      <c r="AD41" s="532"/>
      <c r="AE41" s="530"/>
      <c r="AF41" s="531"/>
      <c r="AG41" s="531"/>
      <c r="AH41" s="532"/>
      <c r="AI41" s="530"/>
      <c r="AJ41" s="531"/>
      <c r="AK41" s="531"/>
      <c r="AL41" s="532"/>
      <c r="AM41" s="530"/>
      <c r="AN41" s="531"/>
      <c r="AO41" s="531"/>
      <c r="AP41" s="532"/>
      <c r="AQ41" s="530"/>
      <c r="AR41" s="531"/>
      <c r="AS41" s="531"/>
      <c r="AT41" s="539"/>
      <c r="AU41" s="540">
        <f t="shared" si="0"/>
        <v>0</v>
      </c>
    </row>
    <row r="42" spans="1:47" s="350" customFormat="1" ht="15" customHeight="1">
      <c r="A42" s="351"/>
      <c r="B42" s="523" t="s">
        <v>869</v>
      </c>
      <c r="C42" s="530"/>
      <c r="D42" s="531"/>
      <c r="E42" s="531"/>
      <c r="F42" s="532"/>
      <c r="G42" s="530"/>
      <c r="H42" s="531"/>
      <c r="I42" s="531"/>
      <c r="J42" s="532"/>
      <c r="K42" s="530"/>
      <c r="L42" s="485"/>
      <c r="M42" s="485"/>
      <c r="N42" s="485"/>
      <c r="O42" s="485"/>
      <c r="P42" s="485"/>
      <c r="Q42" s="485"/>
      <c r="R42" s="485"/>
      <c r="S42" s="485"/>
      <c r="T42" s="485"/>
      <c r="U42" s="485"/>
      <c r="V42" s="486"/>
      <c r="W42" s="524"/>
      <c r="X42" s="485"/>
      <c r="Y42" s="531"/>
      <c r="Z42" s="532"/>
      <c r="AA42" s="530"/>
      <c r="AB42" s="531"/>
      <c r="AC42" s="531"/>
      <c r="AD42" s="532"/>
      <c r="AE42" s="530"/>
      <c r="AF42" s="531"/>
      <c r="AG42" s="531"/>
      <c r="AH42" s="532"/>
      <c r="AI42" s="530"/>
      <c r="AJ42" s="531"/>
      <c r="AK42" s="531"/>
      <c r="AL42" s="532"/>
      <c r="AM42" s="530"/>
      <c r="AN42" s="531"/>
      <c r="AO42" s="531"/>
      <c r="AP42" s="532"/>
      <c r="AQ42" s="530"/>
      <c r="AR42" s="531"/>
      <c r="AS42" s="531"/>
      <c r="AT42" s="539"/>
      <c r="AU42" s="540">
        <f t="shared" si="0"/>
        <v>0</v>
      </c>
    </row>
    <row r="43" spans="1:47" s="350" customFormat="1" ht="15" customHeight="1">
      <c r="A43" s="351"/>
      <c r="B43" s="523" t="s">
        <v>870</v>
      </c>
      <c r="C43" s="530"/>
      <c r="D43" s="531"/>
      <c r="E43" s="531"/>
      <c r="F43" s="532"/>
      <c r="G43" s="530"/>
      <c r="H43" s="531"/>
      <c r="I43" s="531"/>
      <c r="J43" s="532"/>
      <c r="K43" s="530"/>
      <c r="L43" s="485"/>
      <c r="M43" s="485"/>
      <c r="N43" s="485"/>
      <c r="O43" s="485"/>
      <c r="P43" s="485"/>
      <c r="Q43" s="485"/>
      <c r="R43" s="485"/>
      <c r="S43" s="485"/>
      <c r="T43" s="485"/>
      <c r="U43" s="485"/>
      <c r="V43" s="486"/>
      <c r="W43" s="524"/>
      <c r="X43" s="485"/>
      <c r="Y43" s="531"/>
      <c r="Z43" s="532"/>
      <c r="AA43" s="530"/>
      <c r="AB43" s="531"/>
      <c r="AC43" s="531"/>
      <c r="AD43" s="532"/>
      <c r="AE43" s="530"/>
      <c r="AF43" s="531"/>
      <c r="AG43" s="531"/>
      <c r="AH43" s="532"/>
      <c r="AI43" s="530"/>
      <c r="AJ43" s="531"/>
      <c r="AK43" s="531"/>
      <c r="AL43" s="532"/>
      <c r="AM43" s="530"/>
      <c r="AN43" s="531"/>
      <c r="AO43" s="531"/>
      <c r="AP43" s="532"/>
      <c r="AQ43" s="530"/>
      <c r="AR43" s="531"/>
      <c r="AS43" s="531"/>
      <c r="AT43" s="539"/>
      <c r="AU43" s="540">
        <f t="shared" si="0"/>
        <v>0</v>
      </c>
    </row>
    <row r="44" spans="1:47" s="350" customFormat="1" ht="15" customHeight="1">
      <c r="A44" s="351"/>
      <c r="B44" s="523" t="s">
        <v>871</v>
      </c>
      <c r="C44" s="530"/>
      <c r="D44" s="531"/>
      <c r="E44" s="531"/>
      <c r="F44" s="532"/>
      <c r="G44" s="530"/>
      <c r="H44" s="531"/>
      <c r="I44" s="531"/>
      <c r="J44" s="532"/>
      <c r="K44" s="530"/>
      <c r="L44" s="485"/>
      <c r="M44" s="485"/>
      <c r="N44" s="485"/>
      <c r="O44" s="485"/>
      <c r="P44" s="485"/>
      <c r="Q44" s="485"/>
      <c r="R44" s="485"/>
      <c r="S44" s="485"/>
      <c r="T44" s="485"/>
      <c r="U44" s="485"/>
      <c r="V44" s="486"/>
      <c r="W44" s="524"/>
      <c r="X44" s="485"/>
      <c r="Y44" s="531"/>
      <c r="Z44" s="532"/>
      <c r="AA44" s="530"/>
      <c r="AB44" s="531"/>
      <c r="AC44" s="531"/>
      <c r="AD44" s="532"/>
      <c r="AE44" s="530"/>
      <c r="AF44" s="531"/>
      <c r="AG44" s="531"/>
      <c r="AH44" s="532"/>
      <c r="AI44" s="530"/>
      <c r="AJ44" s="531"/>
      <c r="AK44" s="531"/>
      <c r="AL44" s="532"/>
      <c r="AM44" s="530"/>
      <c r="AN44" s="531"/>
      <c r="AO44" s="531"/>
      <c r="AP44" s="532"/>
      <c r="AQ44" s="530"/>
      <c r="AR44" s="531"/>
      <c r="AS44" s="531"/>
      <c r="AT44" s="539"/>
      <c r="AU44" s="540">
        <f t="shared" si="0"/>
        <v>0</v>
      </c>
    </row>
    <row r="45" spans="1:47" s="350" customFormat="1" ht="15" customHeight="1">
      <c r="A45" s="351"/>
      <c r="B45" s="523" t="s">
        <v>872</v>
      </c>
      <c r="C45" s="530"/>
      <c r="D45" s="531"/>
      <c r="E45" s="531"/>
      <c r="F45" s="532"/>
      <c r="G45" s="530"/>
      <c r="H45" s="531"/>
      <c r="I45" s="531"/>
      <c r="J45" s="532"/>
      <c r="K45" s="530"/>
      <c r="L45" s="485"/>
      <c r="M45" s="485"/>
      <c r="N45" s="485"/>
      <c r="O45" s="485"/>
      <c r="P45" s="485"/>
      <c r="Q45" s="485"/>
      <c r="R45" s="485"/>
      <c r="S45" s="485"/>
      <c r="T45" s="485"/>
      <c r="U45" s="485"/>
      <c r="V45" s="486"/>
      <c r="W45" s="524"/>
      <c r="X45" s="485"/>
      <c r="Y45" s="531"/>
      <c r="Z45" s="532"/>
      <c r="AA45" s="530"/>
      <c r="AB45" s="531"/>
      <c r="AC45" s="531"/>
      <c r="AD45" s="532"/>
      <c r="AE45" s="530"/>
      <c r="AF45" s="531"/>
      <c r="AG45" s="531"/>
      <c r="AH45" s="532"/>
      <c r="AI45" s="530"/>
      <c r="AJ45" s="531"/>
      <c r="AK45" s="531"/>
      <c r="AL45" s="532"/>
      <c r="AM45" s="530"/>
      <c r="AN45" s="531"/>
      <c r="AO45" s="531"/>
      <c r="AP45" s="532"/>
      <c r="AQ45" s="530"/>
      <c r="AR45" s="531"/>
      <c r="AS45" s="531"/>
      <c r="AT45" s="539"/>
      <c r="AU45" s="540">
        <f t="shared" si="0"/>
        <v>0</v>
      </c>
    </row>
    <row r="46" spans="1:47" s="350" customFormat="1" ht="15" customHeight="1">
      <c r="A46" s="351"/>
      <c r="B46" s="523" t="s">
        <v>873</v>
      </c>
      <c r="C46" s="530"/>
      <c r="D46" s="531"/>
      <c r="E46" s="531"/>
      <c r="F46" s="532"/>
      <c r="G46" s="530"/>
      <c r="H46" s="531"/>
      <c r="I46" s="531"/>
      <c r="J46" s="532"/>
      <c r="K46" s="530"/>
      <c r="L46" s="485"/>
      <c r="M46" s="485"/>
      <c r="N46" s="485"/>
      <c r="O46" s="485"/>
      <c r="P46" s="485"/>
      <c r="Q46" s="485"/>
      <c r="R46" s="485"/>
      <c r="S46" s="485"/>
      <c r="T46" s="485"/>
      <c r="U46" s="485"/>
      <c r="V46" s="486"/>
      <c r="W46" s="524"/>
      <c r="X46" s="485"/>
      <c r="Y46" s="531"/>
      <c r="Z46" s="532"/>
      <c r="AA46" s="530"/>
      <c r="AB46" s="531"/>
      <c r="AC46" s="531"/>
      <c r="AD46" s="532"/>
      <c r="AE46" s="530"/>
      <c r="AF46" s="531"/>
      <c r="AG46" s="531"/>
      <c r="AH46" s="532"/>
      <c r="AI46" s="530"/>
      <c r="AJ46" s="531"/>
      <c r="AK46" s="531"/>
      <c r="AL46" s="532"/>
      <c r="AM46" s="530"/>
      <c r="AN46" s="531"/>
      <c r="AO46" s="531"/>
      <c r="AP46" s="532"/>
      <c r="AQ46" s="530"/>
      <c r="AR46" s="531"/>
      <c r="AS46" s="531"/>
      <c r="AT46" s="539"/>
      <c r="AU46" s="540">
        <f t="shared" si="0"/>
        <v>0</v>
      </c>
    </row>
    <row r="47" spans="1:47" s="350" customFormat="1" ht="15" customHeight="1">
      <c r="A47" s="351"/>
      <c r="B47" s="525" t="s">
        <v>874</v>
      </c>
      <c r="C47" s="533"/>
      <c r="D47" s="534"/>
      <c r="E47" s="534"/>
      <c r="F47" s="535"/>
      <c r="G47" s="533"/>
      <c r="H47" s="534"/>
      <c r="I47" s="534"/>
      <c r="J47" s="535"/>
      <c r="K47" s="533"/>
      <c r="L47" s="485"/>
      <c r="M47" s="485"/>
      <c r="N47" s="485"/>
      <c r="O47" s="485"/>
      <c r="P47" s="485"/>
      <c r="Q47" s="485"/>
      <c r="R47" s="485"/>
      <c r="S47" s="485"/>
      <c r="T47" s="485"/>
      <c r="U47" s="485"/>
      <c r="V47" s="486"/>
      <c r="W47" s="524"/>
      <c r="X47" s="485"/>
      <c r="Y47" s="534"/>
      <c r="Z47" s="535"/>
      <c r="AA47" s="533"/>
      <c r="AB47" s="534"/>
      <c r="AC47" s="534"/>
      <c r="AD47" s="535"/>
      <c r="AE47" s="533"/>
      <c r="AF47" s="534"/>
      <c r="AG47" s="534"/>
      <c r="AH47" s="535"/>
      <c r="AI47" s="533"/>
      <c r="AJ47" s="534"/>
      <c r="AK47" s="534"/>
      <c r="AL47" s="535"/>
      <c r="AM47" s="533"/>
      <c r="AN47" s="534"/>
      <c r="AO47" s="534"/>
      <c r="AP47" s="535"/>
      <c r="AQ47" s="533"/>
      <c r="AR47" s="534"/>
      <c r="AS47" s="534"/>
      <c r="AT47" s="541"/>
      <c r="AU47" s="540">
        <f t="shared" si="0"/>
        <v>0</v>
      </c>
    </row>
    <row r="48" spans="1:47" s="350" customFormat="1" ht="17.25" customHeight="1">
      <c r="A48" s="351"/>
      <c r="B48" s="528" t="s">
        <v>23</v>
      </c>
      <c r="C48" s="529"/>
      <c r="D48" s="529"/>
      <c r="E48" s="529"/>
      <c r="F48" s="529"/>
      <c r="G48" s="529"/>
      <c r="H48" s="529"/>
      <c r="I48" s="529"/>
      <c r="J48" s="529"/>
      <c r="K48" s="529"/>
      <c r="L48" s="529"/>
      <c r="M48" s="529"/>
      <c r="N48" s="529"/>
      <c r="O48" s="529"/>
      <c r="P48" s="529"/>
      <c r="Q48" s="529"/>
      <c r="R48" s="529"/>
      <c r="S48" s="529"/>
      <c r="T48" s="529"/>
      <c r="U48" s="529"/>
      <c r="V48" s="529"/>
      <c r="W48" s="529"/>
      <c r="X48" s="529"/>
      <c r="Y48" s="529"/>
      <c r="Z48" s="529"/>
      <c r="AA48" s="529"/>
      <c r="AB48" s="529"/>
      <c r="AC48" s="529"/>
      <c r="AD48" s="529"/>
      <c r="AE48" s="529"/>
      <c r="AF48" s="529"/>
      <c r="AG48" s="529"/>
      <c r="AH48" s="529"/>
      <c r="AI48" s="529"/>
      <c r="AJ48" s="529"/>
      <c r="AK48" s="529"/>
      <c r="AL48" s="529"/>
      <c r="AM48" s="529"/>
      <c r="AN48" s="529"/>
      <c r="AO48" s="529"/>
      <c r="AP48" s="529"/>
      <c r="AQ48" s="529"/>
      <c r="AR48" s="529"/>
      <c r="AS48" s="529"/>
      <c r="AT48" s="542"/>
      <c r="AU48" s="540">
        <f t="shared" si="0"/>
        <v>0</v>
      </c>
    </row>
    <row r="49" spans="1:47" s="350" customFormat="1" ht="12.75">
      <c r="A49" s="351"/>
      <c r="B49" s="1927" t="s">
        <v>534</v>
      </c>
      <c r="C49" s="1921">
        <f>'1.参数设置'!$C$4</f>
        <v>2018</v>
      </c>
      <c r="D49" s="1922"/>
      <c r="E49" s="1922"/>
      <c r="F49" s="1923"/>
      <c r="G49" s="1925">
        <f>C49+1</f>
        <v>2019</v>
      </c>
      <c r="H49" s="1922"/>
      <c r="I49" s="1922"/>
      <c r="J49" s="1922"/>
      <c r="K49" s="1922">
        <f>G49+1</f>
        <v>2020</v>
      </c>
      <c r="L49" s="1922"/>
      <c r="M49" s="1922"/>
      <c r="N49" s="1922"/>
      <c r="O49" s="1922">
        <f>K49+1</f>
        <v>2021</v>
      </c>
      <c r="P49" s="1922"/>
      <c r="Q49" s="1922"/>
      <c r="R49" s="1922"/>
      <c r="S49" s="1922">
        <f>O49+1</f>
        <v>2022</v>
      </c>
      <c r="T49" s="1922"/>
      <c r="U49" s="1922"/>
      <c r="V49" s="1922"/>
      <c r="W49" s="1922">
        <f>S49+1</f>
        <v>2023</v>
      </c>
      <c r="X49" s="1922"/>
      <c r="Y49" s="1922"/>
      <c r="Z49" s="1922"/>
      <c r="AA49" s="1922">
        <f>W49+1</f>
        <v>2024</v>
      </c>
      <c r="AB49" s="1922"/>
      <c r="AC49" s="1922"/>
      <c r="AD49" s="1922"/>
      <c r="AE49" s="1922">
        <f>AA49+1</f>
        <v>2025</v>
      </c>
      <c r="AF49" s="1922"/>
      <c r="AG49" s="1922"/>
      <c r="AH49" s="1922"/>
      <c r="AI49" s="1922">
        <f>AE49+1</f>
        <v>2026</v>
      </c>
      <c r="AJ49" s="1922"/>
      <c r="AK49" s="1922"/>
      <c r="AL49" s="1922"/>
      <c r="AM49" s="1922">
        <f>AI49+1</f>
        <v>2027</v>
      </c>
      <c r="AN49" s="1922"/>
      <c r="AO49" s="1922"/>
      <c r="AP49" s="1922"/>
      <c r="AQ49" s="1922">
        <f>AM49+1</f>
        <v>2028</v>
      </c>
      <c r="AR49" s="1922"/>
      <c r="AS49" s="1922"/>
      <c r="AT49" s="1924"/>
      <c r="AU49" s="540"/>
    </row>
    <row r="50" spans="1:47" s="350" customFormat="1" ht="14.25" customHeight="1">
      <c r="A50" s="351"/>
      <c r="B50" s="1928"/>
      <c r="C50" s="520" t="s">
        <v>863</v>
      </c>
      <c r="D50" s="521" t="s">
        <v>864</v>
      </c>
      <c r="E50" s="521" t="s">
        <v>865</v>
      </c>
      <c r="F50" s="522" t="s">
        <v>866</v>
      </c>
      <c r="G50" s="520" t="s">
        <v>863</v>
      </c>
      <c r="H50" s="521" t="s">
        <v>864</v>
      </c>
      <c r="I50" s="521" t="s">
        <v>865</v>
      </c>
      <c r="J50" s="522" t="s">
        <v>866</v>
      </c>
      <c r="K50" s="520" t="s">
        <v>863</v>
      </c>
      <c r="L50" s="521" t="s">
        <v>864</v>
      </c>
      <c r="M50" s="521" t="s">
        <v>865</v>
      </c>
      <c r="N50" s="522" t="s">
        <v>866</v>
      </c>
      <c r="O50" s="520" t="s">
        <v>863</v>
      </c>
      <c r="P50" s="521" t="s">
        <v>864</v>
      </c>
      <c r="Q50" s="521" t="s">
        <v>865</v>
      </c>
      <c r="R50" s="522" t="s">
        <v>866</v>
      </c>
      <c r="S50" s="520" t="s">
        <v>863</v>
      </c>
      <c r="T50" s="521" t="s">
        <v>864</v>
      </c>
      <c r="U50" s="521" t="s">
        <v>865</v>
      </c>
      <c r="V50" s="522" t="s">
        <v>866</v>
      </c>
      <c r="W50" s="520" t="s">
        <v>863</v>
      </c>
      <c r="X50" s="521" t="s">
        <v>864</v>
      </c>
      <c r="Y50" s="521" t="s">
        <v>865</v>
      </c>
      <c r="Z50" s="522" t="s">
        <v>866</v>
      </c>
      <c r="AA50" s="520" t="s">
        <v>863</v>
      </c>
      <c r="AB50" s="521" t="s">
        <v>864</v>
      </c>
      <c r="AC50" s="521" t="s">
        <v>865</v>
      </c>
      <c r="AD50" s="522" t="s">
        <v>866</v>
      </c>
      <c r="AE50" s="520" t="s">
        <v>863</v>
      </c>
      <c r="AF50" s="521" t="s">
        <v>864</v>
      </c>
      <c r="AG50" s="521" t="s">
        <v>865</v>
      </c>
      <c r="AH50" s="522" t="s">
        <v>866</v>
      </c>
      <c r="AI50" s="520" t="s">
        <v>863</v>
      </c>
      <c r="AJ50" s="521" t="s">
        <v>864</v>
      </c>
      <c r="AK50" s="521" t="s">
        <v>865</v>
      </c>
      <c r="AL50" s="522" t="s">
        <v>866</v>
      </c>
      <c r="AM50" s="520" t="s">
        <v>863</v>
      </c>
      <c r="AN50" s="521" t="s">
        <v>864</v>
      </c>
      <c r="AO50" s="521" t="s">
        <v>865</v>
      </c>
      <c r="AP50" s="522" t="s">
        <v>866</v>
      </c>
      <c r="AQ50" s="520" t="s">
        <v>863</v>
      </c>
      <c r="AR50" s="521" t="s">
        <v>864</v>
      </c>
      <c r="AS50" s="521" t="s">
        <v>865</v>
      </c>
      <c r="AT50" s="538" t="s">
        <v>866</v>
      </c>
      <c r="AU50" s="540">
        <f t="shared" si="0"/>
        <v>0</v>
      </c>
    </row>
    <row r="51" spans="1:47" s="350" customFormat="1" ht="15" customHeight="1">
      <c r="A51" s="351"/>
      <c r="B51" s="523" t="s">
        <v>867</v>
      </c>
      <c r="C51" s="530"/>
      <c r="D51" s="531"/>
      <c r="E51" s="531"/>
      <c r="F51" s="532"/>
      <c r="G51" s="530"/>
      <c r="H51" s="531"/>
      <c r="I51" s="531"/>
      <c r="J51" s="532"/>
      <c r="K51" s="530"/>
      <c r="L51" s="531"/>
      <c r="M51" s="531"/>
      <c r="N51" s="485"/>
      <c r="O51" s="485"/>
      <c r="P51" s="485"/>
      <c r="Q51" s="485"/>
      <c r="R51" s="485"/>
      <c r="S51" s="485"/>
      <c r="T51" s="485"/>
      <c r="U51" s="485"/>
      <c r="V51" s="485"/>
      <c r="W51" s="485"/>
      <c r="X51" s="486"/>
      <c r="Y51" s="524"/>
      <c r="Z51" s="485"/>
      <c r="AA51" s="530"/>
      <c r="AB51" s="531"/>
      <c r="AC51" s="531"/>
      <c r="AD51" s="532"/>
      <c r="AE51" s="530"/>
      <c r="AF51" s="531"/>
      <c r="AG51" s="531"/>
      <c r="AH51" s="532"/>
      <c r="AI51" s="530"/>
      <c r="AJ51" s="531"/>
      <c r="AK51" s="531"/>
      <c r="AL51" s="532"/>
      <c r="AM51" s="530"/>
      <c r="AN51" s="531"/>
      <c r="AO51" s="531"/>
      <c r="AP51" s="532"/>
      <c r="AQ51" s="530"/>
      <c r="AR51" s="531"/>
      <c r="AS51" s="531"/>
      <c r="AT51" s="539"/>
      <c r="AU51" s="540">
        <f t="shared" si="0"/>
        <v>0</v>
      </c>
    </row>
    <row r="52" spans="1:47" s="350" customFormat="1" ht="15" customHeight="1">
      <c r="A52" s="351"/>
      <c r="B52" s="523" t="s">
        <v>868</v>
      </c>
      <c r="C52" s="530"/>
      <c r="D52" s="531"/>
      <c r="E52" s="531"/>
      <c r="F52" s="532"/>
      <c r="G52" s="530"/>
      <c r="H52" s="531"/>
      <c r="I52" s="531"/>
      <c r="J52" s="532"/>
      <c r="K52" s="530"/>
      <c r="L52" s="531"/>
      <c r="M52" s="531"/>
      <c r="N52" s="485"/>
      <c r="O52" s="485"/>
      <c r="P52" s="485"/>
      <c r="Q52" s="485"/>
      <c r="R52" s="485"/>
      <c r="S52" s="485"/>
      <c r="T52" s="485"/>
      <c r="U52" s="485"/>
      <c r="V52" s="485"/>
      <c r="W52" s="485"/>
      <c r="X52" s="486"/>
      <c r="Y52" s="524"/>
      <c r="Z52" s="485"/>
      <c r="AA52" s="530"/>
      <c r="AB52" s="531"/>
      <c r="AC52" s="531"/>
      <c r="AD52" s="532"/>
      <c r="AE52" s="530"/>
      <c r="AF52" s="531"/>
      <c r="AG52" s="531"/>
      <c r="AH52" s="532"/>
      <c r="AI52" s="530"/>
      <c r="AJ52" s="531"/>
      <c r="AK52" s="531"/>
      <c r="AL52" s="532"/>
      <c r="AM52" s="530"/>
      <c r="AN52" s="531"/>
      <c r="AO52" s="531"/>
      <c r="AP52" s="532"/>
      <c r="AQ52" s="530"/>
      <c r="AR52" s="531"/>
      <c r="AS52" s="531"/>
      <c r="AT52" s="539"/>
      <c r="AU52" s="540">
        <f t="shared" si="0"/>
        <v>0</v>
      </c>
    </row>
    <row r="53" spans="1:47" s="350" customFormat="1" ht="15" customHeight="1">
      <c r="A53" s="351"/>
      <c r="B53" s="523" t="s">
        <v>869</v>
      </c>
      <c r="C53" s="530"/>
      <c r="D53" s="531"/>
      <c r="E53" s="531"/>
      <c r="F53" s="532"/>
      <c r="G53" s="530"/>
      <c r="H53" s="531"/>
      <c r="I53" s="531"/>
      <c r="J53" s="532"/>
      <c r="K53" s="530"/>
      <c r="L53" s="531"/>
      <c r="M53" s="531"/>
      <c r="N53" s="485"/>
      <c r="O53" s="485"/>
      <c r="P53" s="485"/>
      <c r="Q53" s="485"/>
      <c r="R53" s="485"/>
      <c r="S53" s="485"/>
      <c r="T53" s="485"/>
      <c r="U53" s="485"/>
      <c r="V53" s="485"/>
      <c r="W53" s="485"/>
      <c r="X53" s="486"/>
      <c r="Y53" s="524"/>
      <c r="Z53" s="485"/>
      <c r="AA53" s="530"/>
      <c r="AB53" s="531"/>
      <c r="AC53" s="531"/>
      <c r="AD53" s="532"/>
      <c r="AE53" s="530"/>
      <c r="AF53" s="531"/>
      <c r="AG53" s="531"/>
      <c r="AH53" s="532"/>
      <c r="AI53" s="530"/>
      <c r="AJ53" s="531"/>
      <c r="AK53" s="531"/>
      <c r="AL53" s="532"/>
      <c r="AM53" s="530"/>
      <c r="AN53" s="531"/>
      <c r="AO53" s="531"/>
      <c r="AP53" s="532"/>
      <c r="AQ53" s="530"/>
      <c r="AR53" s="531"/>
      <c r="AS53" s="531"/>
      <c r="AT53" s="539"/>
      <c r="AU53" s="540">
        <f t="shared" si="0"/>
        <v>0</v>
      </c>
    </row>
    <row r="54" spans="1:47" s="350" customFormat="1" ht="15" customHeight="1">
      <c r="A54" s="351"/>
      <c r="B54" s="523" t="s">
        <v>870</v>
      </c>
      <c r="C54" s="530"/>
      <c r="D54" s="531"/>
      <c r="E54" s="531"/>
      <c r="F54" s="532"/>
      <c r="G54" s="530"/>
      <c r="H54" s="531"/>
      <c r="I54" s="531"/>
      <c r="J54" s="532"/>
      <c r="K54" s="530"/>
      <c r="L54" s="531"/>
      <c r="M54" s="531"/>
      <c r="N54" s="485"/>
      <c r="O54" s="485"/>
      <c r="P54" s="485"/>
      <c r="Q54" s="485"/>
      <c r="R54" s="485"/>
      <c r="S54" s="485"/>
      <c r="T54" s="485"/>
      <c r="U54" s="485"/>
      <c r="V54" s="485"/>
      <c r="W54" s="485"/>
      <c r="X54" s="486"/>
      <c r="Y54" s="524"/>
      <c r="Z54" s="485"/>
      <c r="AA54" s="530"/>
      <c r="AB54" s="531"/>
      <c r="AC54" s="531"/>
      <c r="AD54" s="532"/>
      <c r="AE54" s="530"/>
      <c r="AF54" s="531"/>
      <c r="AG54" s="531"/>
      <c r="AH54" s="532"/>
      <c r="AI54" s="530"/>
      <c r="AJ54" s="531"/>
      <c r="AK54" s="531"/>
      <c r="AL54" s="532"/>
      <c r="AM54" s="530"/>
      <c r="AN54" s="531"/>
      <c r="AO54" s="531"/>
      <c r="AP54" s="532"/>
      <c r="AQ54" s="530"/>
      <c r="AR54" s="531"/>
      <c r="AS54" s="531"/>
      <c r="AT54" s="539"/>
      <c r="AU54" s="540">
        <f t="shared" si="0"/>
        <v>0</v>
      </c>
    </row>
    <row r="55" spans="1:47" s="350" customFormat="1" ht="15" customHeight="1">
      <c r="A55" s="351"/>
      <c r="B55" s="523" t="s">
        <v>871</v>
      </c>
      <c r="C55" s="530"/>
      <c r="D55" s="531"/>
      <c r="E55" s="531"/>
      <c r="F55" s="532"/>
      <c r="G55" s="530"/>
      <c r="H55" s="531"/>
      <c r="I55" s="531"/>
      <c r="J55" s="532"/>
      <c r="K55" s="530"/>
      <c r="L55" s="531"/>
      <c r="M55" s="531"/>
      <c r="N55" s="485"/>
      <c r="O55" s="485"/>
      <c r="P55" s="485"/>
      <c r="Q55" s="485"/>
      <c r="R55" s="485"/>
      <c r="S55" s="485"/>
      <c r="T55" s="485"/>
      <c r="U55" s="485"/>
      <c r="V55" s="485"/>
      <c r="W55" s="485"/>
      <c r="X55" s="486"/>
      <c r="Y55" s="524"/>
      <c r="Z55" s="485"/>
      <c r="AA55" s="530"/>
      <c r="AB55" s="531"/>
      <c r="AC55" s="531"/>
      <c r="AD55" s="532"/>
      <c r="AE55" s="530"/>
      <c r="AF55" s="531"/>
      <c r="AG55" s="531"/>
      <c r="AH55" s="532"/>
      <c r="AI55" s="530"/>
      <c r="AJ55" s="531"/>
      <c r="AK55" s="531"/>
      <c r="AL55" s="532"/>
      <c r="AM55" s="530"/>
      <c r="AN55" s="531"/>
      <c r="AO55" s="531"/>
      <c r="AP55" s="532"/>
      <c r="AQ55" s="530"/>
      <c r="AR55" s="531"/>
      <c r="AS55" s="531"/>
      <c r="AT55" s="539"/>
      <c r="AU55" s="540">
        <f t="shared" si="0"/>
        <v>0</v>
      </c>
    </row>
    <row r="56" spans="1:47" s="350" customFormat="1" ht="15" customHeight="1">
      <c r="A56" s="351"/>
      <c r="B56" s="523" t="s">
        <v>872</v>
      </c>
      <c r="C56" s="530"/>
      <c r="D56" s="531"/>
      <c r="E56" s="531"/>
      <c r="F56" s="532"/>
      <c r="G56" s="530"/>
      <c r="H56" s="531"/>
      <c r="I56" s="531"/>
      <c r="J56" s="532"/>
      <c r="K56" s="530"/>
      <c r="L56" s="531"/>
      <c r="M56" s="531"/>
      <c r="N56" s="485"/>
      <c r="O56" s="485"/>
      <c r="P56" s="485"/>
      <c r="Q56" s="485"/>
      <c r="R56" s="485"/>
      <c r="S56" s="485"/>
      <c r="T56" s="485"/>
      <c r="U56" s="485"/>
      <c r="V56" s="485"/>
      <c r="W56" s="485"/>
      <c r="X56" s="486"/>
      <c r="Y56" s="524"/>
      <c r="Z56" s="485"/>
      <c r="AA56" s="530"/>
      <c r="AB56" s="531"/>
      <c r="AC56" s="531"/>
      <c r="AD56" s="532"/>
      <c r="AE56" s="530"/>
      <c r="AF56" s="531"/>
      <c r="AG56" s="531"/>
      <c r="AH56" s="532"/>
      <c r="AI56" s="530"/>
      <c r="AJ56" s="531"/>
      <c r="AK56" s="531"/>
      <c r="AL56" s="532"/>
      <c r="AM56" s="530"/>
      <c r="AN56" s="531"/>
      <c r="AO56" s="531"/>
      <c r="AP56" s="532"/>
      <c r="AQ56" s="530"/>
      <c r="AR56" s="531"/>
      <c r="AS56" s="531"/>
      <c r="AT56" s="539"/>
      <c r="AU56" s="540">
        <f t="shared" si="0"/>
        <v>0</v>
      </c>
    </row>
    <row r="57" spans="1:47" s="350" customFormat="1" ht="15" customHeight="1">
      <c r="A57" s="351"/>
      <c r="B57" s="523" t="s">
        <v>873</v>
      </c>
      <c r="C57" s="530"/>
      <c r="D57" s="531"/>
      <c r="E57" s="531"/>
      <c r="F57" s="532"/>
      <c r="G57" s="530"/>
      <c r="H57" s="531"/>
      <c r="I57" s="531"/>
      <c r="J57" s="532"/>
      <c r="K57" s="530"/>
      <c r="L57" s="531"/>
      <c r="M57" s="531"/>
      <c r="N57" s="485"/>
      <c r="O57" s="485"/>
      <c r="P57" s="485"/>
      <c r="Q57" s="485"/>
      <c r="R57" s="485"/>
      <c r="S57" s="485"/>
      <c r="T57" s="485"/>
      <c r="U57" s="485"/>
      <c r="V57" s="485"/>
      <c r="W57" s="485"/>
      <c r="X57" s="486"/>
      <c r="Y57" s="524"/>
      <c r="Z57" s="485"/>
      <c r="AA57" s="530"/>
      <c r="AB57" s="531"/>
      <c r="AC57" s="531"/>
      <c r="AD57" s="532"/>
      <c r="AE57" s="530"/>
      <c r="AF57" s="531"/>
      <c r="AG57" s="531"/>
      <c r="AH57" s="532"/>
      <c r="AI57" s="530"/>
      <c r="AJ57" s="531"/>
      <c r="AK57" s="531"/>
      <c r="AL57" s="532"/>
      <c r="AM57" s="530"/>
      <c r="AN57" s="531"/>
      <c r="AO57" s="531"/>
      <c r="AP57" s="532"/>
      <c r="AQ57" s="530"/>
      <c r="AR57" s="531"/>
      <c r="AS57" s="531"/>
      <c r="AT57" s="539"/>
      <c r="AU57" s="540">
        <f t="shared" si="0"/>
        <v>0</v>
      </c>
    </row>
    <row r="58" spans="1:47" s="350" customFormat="1" ht="15" customHeight="1">
      <c r="A58" s="351"/>
      <c r="B58" s="525" t="s">
        <v>874</v>
      </c>
      <c r="C58" s="533"/>
      <c r="D58" s="534"/>
      <c r="E58" s="534"/>
      <c r="F58" s="535"/>
      <c r="G58" s="533"/>
      <c r="H58" s="534"/>
      <c r="I58" s="534"/>
      <c r="J58" s="535"/>
      <c r="K58" s="533"/>
      <c r="L58" s="534"/>
      <c r="M58" s="534"/>
      <c r="N58" s="485"/>
      <c r="O58" s="485"/>
      <c r="P58" s="485"/>
      <c r="Q58" s="485"/>
      <c r="R58" s="485"/>
      <c r="S58" s="485"/>
      <c r="T58" s="485"/>
      <c r="U58" s="485"/>
      <c r="V58" s="485"/>
      <c r="W58" s="485"/>
      <c r="X58" s="486"/>
      <c r="Y58" s="524"/>
      <c r="Z58" s="485"/>
      <c r="AA58" s="533"/>
      <c r="AB58" s="534"/>
      <c r="AC58" s="534"/>
      <c r="AD58" s="535"/>
      <c r="AE58" s="533"/>
      <c r="AF58" s="534"/>
      <c r="AG58" s="534"/>
      <c r="AH58" s="535"/>
      <c r="AI58" s="533"/>
      <c r="AJ58" s="534"/>
      <c r="AK58" s="534"/>
      <c r="AL58" s="535"/>
      <c r="AM58" s="533"/>
      <c r="AN58" s="534"/>
      <c r="AO58" s="534"/>
      <c r="AP58" s="535"/>
      <c r="AQ58" s="533"/>
      <c r="AR58" s="534"/>
      <c r="AS58" s="534"/>
      <c r="AT58" s="541"/>
      <c r="AU58" s="540">
        <f t="shared" si="0"/>
        <v>0</v>
      </c>
    </row>
    <row r="59" spans="1:47" s="350" customFormat="1" ht="17.25" customHeight="1">
      <c r="A59" s="351"/>
      <c r="B59" s="528" t="s">
        <v>24</v>
      </c>
      <c r="C59" s="529"/>
      <c r="D59" s="529"/>
      <c r="E59" s="529"/>
      <c r="F59" s="529"/>
      <c r="G59" s="529"/>
      <c r="H59" s="529"/>
      <c r="I59" s="529"/>
      <c r="J59" s="529"/>
      <c r="K59" s="529"/>
      <c r="L59" s="529"/>
      <c r="M59" s="529"/>
      <c r="N59" s="529"/>
      <c r="O59" s="529"/>
      <c r="P59" s="529"/>
      <c r="Q59" s="529"/>
      <c r="R59" s="529"/>
      <c r="S59" s="529"/>
      <c r="T59" s="529"/>
      <c r="U59" s="529"/>
      <c r="V59" s="529"/>
      <c r="W59" s="529"/>
      <c r="X59" s="529"/>
      <c r="Y59" s="529"/>
      <c r="Z59" s="529"/>
      <c r="AA59" s="529"/>
      <c r="AB59" s="529"/>
      <c r="AC59" s="529"/>
      <c r="AD59" s="529"/>
      <c r="AE59" s="529"/>
      <c r="AF59" s="529"/>
      <c r="AG59" s="529"/>
      <c r="AH59" s="529"/>
      <c r="AI59" s="529"/>
      <c r="AJ59" s="529"/>
      <c r="AK59" s="529"/>
      <c r="AL59" s="529"/>
      <c r="AM59" s="529"/>
      <c r="AN59" s="529"/>
      <c r="AO59" s="529"/>
      <c r="AP59" s="529"/>
      <c r="AQ59" s="529"/>
      <c r="AR59" s="529"/>
      <c r="AS59" s="529"/>
      <c r="AT59" s="542"/>
      <c r="AU59" s="540">
        <f t="shared" si="0"/>
        <v>0</v>
      </c>
    </row>
    <row r="60" spans="1:47" s="350" customFormat="1" ht="12.75">
      <c r="A60" s="351"/>
      <c r="B60" s="1927" t="s">
        <v>534</v>
      </c>
      <c r="C60" s="1921">
        <f>'1.参数设置'!$C$4</f>
        <v>2018</v>
      </c>
      <c r="D60" s="1922"/>
      <c r="E60" s="1922"/>
      <c r="F60" s="1923"/>
      <c r="G60" s="1925">
        <f>C60+1</f>
        <v>2019</v>
      </c>
      <c r="H60" s="1922"/>
      <c r="I60" s="1922"/>
      <c r="J60" s="1922"/>
      <c r="K60" s="1922">
        <f>G60+1</f>
        <v>2020</v>
      </c>
      <c r="L60" s="1922"/>
      <c r="M60" s="1922"/>
      <c r="N60" s="1922"/>
      <c r="O60" s="1922">
        <f>K60+1</f>
        <v>2021</v>
      </c>
      <c r="P60" s="1922"/>
      <c r="Q60" s="1922"/>
      <c r="R60" s="1922"/>
      <c r="S60" s="1922">
        <f>O60+1</f>
        <v>2022</v>
      </c>
      <c r="T60" s="1922"/>
      <c r="U60" s="1922"/>
      <c r="V60" s="1922"/>
      <c r="W60" s="1922">
        <f>S60+1</f>
        <v>2023</v>
      </c>
      <c r="X60" s="1922"/>
      <c r="Y60" s="1922"/>
      <c r="Z60" s="1922"/>
      <c r="AA60" s="1922">
        <f>W60+1</f>
        <v>2024</v>
      </c>
      <c r="AB60" s="1922"/>
      <c r="AC60" s="1922"/>
      <c r="AD60" s="1922"/>
      <c r="AE60" s="1922">
        <f>AA60+1</f>
        <v>2025</v>
      </c>
      <c r="AF60" s="1922"/>
      <c r="AG60" s="1922"/>
      <c r="AH60" s="1922"/>
      <c r="AI60" s="1922">
        <f>AE60+1</f>
        <v>2026</v>
      </c>
      <c r="AJ60" s="1922"/>
      <c r="AK60" s="1922"/>
      <c r="AL60" s="1922"/>
      <c r="AM60" s="1922">
        <f>AI60+1</f>
        <v>2027</v>
      </c>
      <c r="AN60" s="1922"/>
      <c r="AO60" s="1922"/>
      <c r="AP60" s="1922"/>
      <c r="AQ60" s="1922">
        <f>AM60+1</f>
        <v>2028</v>
      </c>
      <c r="AR60" s="1922"/>
      <c r="AS60" s="1922"/>
      <c r="AT60" s="1924"/>
      <c r="AU60" s="540"/>
    </row>
    <row r="61" spans="1:47" s="350" customFormat="1" ht="14.25" customHeight="1">
      <c r="A61" s="351"/>
      <c r="B61" s="1928"/>
      <c r="C61" s="520" t="s">
        <v>863</v>
      </c>
      <c r="D61" s="521" t="s">
        <v>864</v>
      </c>
      <c r="E61" s="521" t="s">
        <v>865</v>
      </c>
      <c r="F61" s="522" t="s">
        <v>866</v>
      </c>
      <c r="G61" s="520" t="s">
        <v>863</v>
      </c>
      <c r="H61" s="521" t="s">
        <v>864</v>
      </c>
      <c r="I61" s="521" t="s">
        <v>865</v>
      </c>
      <c r="J61" s="522" t="s">
        <v>866</v>
      </c>
      <c r="K61" s="520" t="s">
        <v>863</v>
      </c>
      <c r="L61" s="521" t="s">
        <v>864</v>
      </c>
      <c r="M61" s="521" t="s">
        <v>865</v>
      </c>
      <c r="N61" s="522" t="s">
        <v>866</v>
      </c>
      <c r="O61" s="520" t="s">
        <v>863</v>
      </c>
      <c r="P61" s="521" t="s">
        <v>864</v>
      </c>
      <c r="Q61" s="521" t="s">
        <v>865</v>
      </c>
      <c r="R61" s="522" t="s">
        <v>866</v>
      </c>
      <c r="S61" s="520" t="s">
        <v>863</v>
      </c>
      <c r="T61" s="521" t="s">
        <v>864</v>
      </c>
      <c r="U61" s="521" t="s">
        <v>865</v>
      </c>
      <c r="V61" s="522" t="s">
        <v>866</v>
      </c>
      <c r="W61" s="520" t="s">
        <v>863</v>
      </c>
      <c r="X61" s="521" t="s">
        <v>864</v>
      </c>
      <c r="Y61" s="521" t="s">
        <v>865</v>
      </c>
      <c r="Z61" s="522" t="s">
        <v>866</v>
      </c>
      <c r="AA61" s="520" t="s">
        <v>863</v>
      </c>
      <c r="AB61" s="521" t="s">
        <v>864</v>
      </c>
      <c r="AC61" s="521" t="s">
        <v>865</v>
      </c>
      <c r="AD61" s="522" t="s">
        <v>866</v>
      </c>
      <c r="AE61" s="520" t="s">
        <v>863</v>
      </c>
      <c r="AF61" s="521" t="s">
        <v>864</v>
      </c>
      <c r="AG61" s="521" t="s">
        <v>865</v>
      </c>
      <c r="AH61" s="522" t="s">
        <v>866</v>
      </c>
      <c r="AI61" s="520" t="s">
        <v>863</v>
      </c>
      <c r="AJ61" s="521" t="s">
        <v>864</v>
      </c>
      <c r="AK61" s="521" t="s">
        <v>865</v>
      </c>
      <c r="AL61" s="522" t="s">
        <v>866</v>
      </c>
      <c r="AM61" s="520" t="s">
        <v>863</v>
      </c>
      <c r="AN61" s="521" t="s">
        <v>864</v>
      </c>
      <c r="AO61" s="521" t="s">
        <v>865</v>
      </c>
      <c r="AP61" s="522" t="s">
        <v>866</v>
      </c>
      <c r="AQ61" s="520" t="s">
        <v>863</v>
      </c>
      <c r="AR61" s="521" t="s">
        <v>864</v>
      </c>
      <c r="AS61" s="521" t="s">
        <v>865</v>
      </c>
      <c r="AT61" s="538" t="s">
        <v>866</v>
      </c>
      <c r="AU61" s="540">
        <f t="shared" si="0"/>
        <v>0</v>
      </c>
    </row>
    <row r="62" spans="1:47" s="350" customFormat="1" ht="15" customHeight="1">
      <c r="A62" s="351"/>
      <c r="B62" s="523" t="s">
        <v>867</v>
      </c>
      <c r="C62" s="530"/>
      <c r="D62" s="531"/>
      <c r="E62" s="531"/>
      <c r="F62" s="532"/>
      <c r="G62" s="530"/>
      <c r="H62" s="531"/>
      <c r="I62" s="531"/>
      <c r="J62" s="532"/>
      <c r="K62" s="530"/>
      <c r="L62" s="531"/>
      <c r="M62" s="531"/>
      <c r="N62" s="532"/>
      <c r="O62" s="530"/>
      <c r="P62" s="485"/>
      <c r="Q62" s="485"/>
      <c r="R62" s="485"/>
      <c r="S62" s="485"/>
      <c r="T62" s="485"/>
      <c r="U62" s="485"/>
      <c r="V62" s="485"/>
      <c r="W62" s="485"/>
      <c r="X62" s="485"/>
      <c r="Y62" s="485"/>
      <c r="Z62" s="486"/>
      <c r="AA62" s="524"/>
      <c r="AB62" s="485"/>
      <c r="AC62" s="531"/>
      <c r="AD62" s="532"/>
      <c r="AE62" s="530"/>
      <c r="AF62" s="531"/>
      <c r="AG62" s="531"/>
      <c r="AH62" s="532"/>
      <c r="AI62" s="530"/>
      <c r="AJ62" s="531"/>
      <c r="AK62" s="531"/>
      <c r="AL62" s="532"/>
      <c r="AM62" s="530"/>
      <c r="AN62" s="531"/>
      <c r="AO62" s="531"/>
      <c r="AP62" s="532"/>
      <c r="AQ62" s="530"/>
      <c r="AR62" s="531"/>
      <c r="AS62" s="531"/>
      <c r="AT62" s="539"/>
      <c r="AU62" s="540">
        <f t="shared" si="0"/>
        <v>0</v>
      </c>
    </row>
    <row r="63" spans="1:47" s="350" customFormat="1" ht="15" customHeight="1">
      <c r="A63" s="351"/>
      <c r="B63" s="523" t="s">
        <v>868</v>
      </c>
      <c r="C63" s="530"/>
      <c r="D63" s="531"/>
      <c r="E63" s="531"/>
      <c r="F63" s="532"/>
      <c r="G63" s="530"/>
      <c r="H63" s="531"/>
      <c r="I63" s="531"/>
      <c r="J63" s="532"/>
      <c r="K63" s="530"/>
      <c r="L63" s="531"/>
      <c r="M63" s="531"/>
      <c r="N63" s="532"/>
      <c r="O63" s="530"/>
      <c r="P63" s="485"/>
      <c r="Q63" s="485"/>
      <c r="R63" s="485"/>
      <c r="S63" s="485"/>
      <c r="T63" s="485"/>
      <c r="U63" s="485"/>
      <c r="V63" s="485"/>
      <c r="W63" s="485"/>
      <c r="X63" s="485"/>
      <c r="Y63" s="485"/>
      <c r="Z63" s="486"/>
      <c r="AA63" s="524"/>
      <c r="AB63" s="485"/>
      <c r="AC63" s="531"/>
      <c r="AD63" s="532"/>
      <c r="AE63" s="530"/>
      <c r="AF63" s="531"/>
      <c r="AG63" s="531"/>
      <c r="AH63" s="532"/>
      <c r="AI63" s="530"/>
      <c r="AJ63" s="531"/>
      <c r="AK63" s="531"/>
      <c r="AL63" s="532"/>
      <c r="AM63" s="530"/>
      <c r="AN63" s="531"/>
      <c r="AO63" s="531"/>
      <c r="AP63" s="532"/>
      <c r="AQ63" s="530"/>
      <c r="AR63" s="531"/>
      <c r="AS63" s="531"/>
      <c r="AT63" s="539"/>
      <c r="AU63" s="540">
        <f t="shared" si="0"/>
        <v>0</v>
      </c>
    </row>
    <row r="64" spans="1:47" s="350" customFormat="1" ht="15" customHeight="1">
      <c r="A64" s="351"/>
      <c r="B64" s="523" t="s">
        <v>869</v>
      </c>
      <c r="C64" s="530"/>
      <c r="D64" s="531"/>
      <c r="E64" s="531"/>
      <c r="F64" s="532"/>
      <c r="G64" s="530"/>
      <c r="H64" s="531"/>
      <c r="I64" s="531"/>
      <c r="J64" s="532"/>
      <c r="K64" s="530"/>
      <c r="L64" s="531"/>
      <c r="M64" s="531"/>
      <c r="N64" s="532"/>
      <c r="O64" s="530"/>
      <c r="P64" s="485"/>
      <c r="Q64" s="485"/>
      <c r="R64" s="485"/>
      <c r="S64" s="485"/>
      <c r="T64" s="485"/>
      <c r="U64" s="485"/>
      <c r="V64" s="485"/>
      <c r="W64" s="485"/>
      <c r="X64" s="485"/>
      <c r="Y64" s="485"/>
      <c r="Z64" s="486"/>
      <c r="AA64" s="524"/>
      <c r="AB64" s="485"/>
      <c r="AC64" s="531"/>
      <c r="AD64" s="532"/>
      <c r="AE64" s="530"/>
      <c r="AF64" s="531"/>
      <c r="AG64" s="531"/>
      <c r="AH64" s="532"/>
      <c r="AI64" s="530"/>
      <c r="AJ64" s="531"/>
      <c r="AK64" s="531"/>
      <c r="AL64" s="532"/>
      <c r="AM64" s="530"/>
      <c r="AN64" s="531"/>
      <c r="AO64" s="531"/>
      <c r="AP64" s="532"/>
      <c r="AQ64" s="530"/>
      <c r="AR64" s="531"/>
      <c r="AS64" s="531"/>
      <c r="AT64" s="539"/>
      <c r="AU64" s="540">
        <f t="shared" si="0"/>
        <v>0</v>
      </c>
    </row>
    <row r="65" spans="1:47" s="350" customFormat="1" ht="15" customHeight="1">
      <c r="A65" s="351"/>
      <c r="B65" s="523" t="s">
        <v>870</v>
      </c>
      <c r="C65" s="530"/>
      <c r="D65" s="531"/>
      <c r="E65" s="531"/>
      <c r="F65" s="532"/>
      <c r="G65" s="530"/>
      <c r="H65" s="531"/>
      <c r="I65" s="531"/>
      <c r="J65" s="532"/>
      <c r="K65" s="530"/>
      <c r="L65" s="531"/>
      <c r="M65" s="531"/>
      <c r="N65" s="532"/>
      <c r="O65" s="530"/>
      <c r="P65" s="485"/>
      <c r="Q65" s="485"/>
      <c r="R65" s="485"/>
      <c r="S65" s="485"/>
      <c r="T65" s="485"/>
      <c r="U65" s="485"/>
      <c r="V65" s="485"/>
      <c r="W65" s="485"/>
      <c r="X65" s="485"/>
      <c r="Y65" s="485"/>
      <c r="Z65" s="486"/>
      <c r="AA65" s="524"/>
      <c r="AB65" s="485"/>
      <c r="AC65" s="531"/>
      <c r="AD65" s="532"/>
      <c r="AE65" s="530"/>
      <c r="AF65" s="531"/>
      <c r="AG65" s="531"/>
      <c r="AH65" s="532"/>
      <c r="AI65" s="530"/>
      <c r="AJ65" s="531"/>
      <c r="AK65" s="531"/>
      <c r="AL65" s="532"/>
      <c r="AM65" s="530"/>
      <c r="AN65" s="531"/>
      <c r="AO65" s="531"/>
      <c r="AP65" s="532"/>
      <c r="AQ65" s="530"/>
      <c r="AR65" s="531"/>
      <c r="AS65" s="531"/>
      <c r="AT65" s="539"/>
      <c r="AU65" s="540">
        <f t="shared" si="0"/>
        <v>0</v>
      </c>
    </row>
    <row r="66" spans="1:47" s="350" customFormat="1" ht="15" customHeight="1">
      <c r="A66" s="351"/>
      <c r="B66" s="523" t="s">
        <v>871</v>
      </c>
      <c r="C66" s="530"/>
      <c r="D66" s="531"/>
      <c r="E66" s="531"/>
      <c r="F66" s="532"/>
      <c r="G66" s="530"/>
      <c r="H66" s="531"/>
      <c r="I66" s="531"/>
      <c r="J66" s="532"/>
      <c r="K66" s="530"/>
      <c r="L66" s="531"/>
      <c r="M66" s="531"/>
      <c r="N66" s="532"/>
      <c r="O66" s="530"/>
      <c r="P66" s="485"/>
      <c r="Q66" s="485"/>
      <c r="R66" s="485"/>
      <c r="S66" s="485"/>
      <c r="T66" s="485"/>
      <c r="U66" s="485"/>
      <c r="V66" s="485"/>
      <c r="W66" s="485"/>
      <c r="X66" s="485"/>
      <c r="Y66" s="485"/>
      <c r="Z66" s="486"/>
      <c r="AA66" s="524"/>
      <c r="AB66" s="485"/>
      <c r="AC66" s="531"/>
      <c r="AD66" s="532"/>
      <c r="AE66" s="530"/>
      <c r="AF66" s="531"/>
      <c r="AG66" s="531"/>
      <c r="AH66" s="532"/>
      <c r="AI66" s="530"/>
      <c r="AJ66" s="531"/>
      <c r="AK66" s="531"/>
      <c r="AL66" s="532"/>
      <c r="AM66" s="530"/>
      <c r="AN66" s="531"/>
      <c r="AO66" s="531"/>
      <c r="AP66" s="532"/>
      <c r="AQ66" s="530"/>
      <c r="AR66" s="531"/>
      <c r="AS66" s="531"/>
      <c r="AT66" s="539"/>
      <c r="AU66" s="540">
        <f t="shared" si="0"/>
        <v>0</v>
      </c>
    </row>
    <row r="67" spans="1:47" s="350" customFormat="1" ht="15" customHeight="1">
      <c r="A67" s="351"/>
      <c r="B67" s="523" t="s">
        <v>872</v>
      </c>
      <c r="C67" s="530"/>
      <c r="D67" s="531"/>
      <c r="E67" s="531"/>
      <c r="F67" s="532"/>
      <c r="G67" s="530"/>
      <c r="H67" s="531"/>
      <c r="I67" s="531"/>
      <c r="J67" s="532"/>
      <c r="K67" s="530"/>
      <c r="L67" s="531"/>
      <c r="M67" s="531"/>
      <c r="N67" s="532"/>
      <c r="O67" s="530"/>
      <c r="P67" s="485"/>
      <c r="Q67" s="485"/>
      <c r="R67" s="485"/>
      <c r="S67" s="485"/>
      <c r="T67" s="485"/>
      <c r="U67" s="485"/>
      <c r="V67" s="485"/>
      <c r="W67" s="485"/>
      <c r="X67" s="485"/>
      <c r="Y67" s="485"/>
      <c r="Z67" s="486"/>
      <c r="AA67" s="524"/>
      <c r="AB67" s="485"/>
      <c r="AC67" s="531"/>
      <c r="AD67" s="532"/>
      <c r="AE67" s="530"/>
      <c r="AF67" s="531"/>
      <c r="AG67" s="531"/>
      <c r="AH67" s="532"/>
      <c r="AI67" s="530"/>
      <c r="AJ67" s="531"/>
      <c r="AK67" s="531"/>
      <c r="AL67" s="532"/>
      <c r="AM67" s="530"/>
      <c r="AN67" s="531"/>
      <c r="AO67" s="531"/>
      <c r="AP67" s="532"/>
      <c r="AQ67" s="530"/>
      <c r="AR67" s="531"/>
      <c r="AS67" s="531"/>
      <c r="AT67" s="539"/>
      <c r="AU67" s="540">
        <f t="shared" si="0"/>
        <v>0</v>
      </c>
    </row>
    <row r="68" spans="1:47" s="350" customFormat="1" ht="15" customHeight="1">
      <c r="A68" s="351"/>
      <c r="B68" s="523" t="s">
        <v>873</v>
      </c>
      <c r="C68" s="530"/>
      <c r="D68" s="531"/>
      <c r="E68" s="531"/>
      <c r="F68" s="532"/>
      <c r="G68" s="530"/>
      <c r="H68" s="531"/>
      <c r="I68" s="531"/>
      <c r="J68" s="532"/>
      <c r="K68" s="530"/>
      <c r="L68" s="531"/>
      <c r="M68" s="531"/>
      <c r="N68" s="532"/>
      <c r="O68" s="530"/>
      <c r="P68" s="485"/>
      <c r="Q68" s="485"/>
      <c r="R68" s="485"/>
      <c r="S68" s="485"/>
      <c r="T68" s="485"/>
      <c r="U68" s="485"/>
      <c r="V68" s="485"/>
      <c r="W68" s="485"/>
      <c r="X68" s="485"/>
      <c r="Y68" s="485"/>
      <c r="Z68" s="486"/>
      <c r="AA68" s="524"/>
      <c r="AB68" s="485"/>
      <c r="AC68" s="531"/>
      <c r="AD68" s="532"/>
      <c r="AE68" s="530"/>
      <c r="AF68" s="531"/>
      <c r="AG68" s="531"/>
      <c r="AH68" s="532"/>
      <c r="AI68" s="530"/>
      <c r="AJ68" s="531"/>
      <c r="AK68" s="531"/>
      <c r="AL68" s="532"/>
      <c r="AM68" s="530"/>
      <c r="AN68" s="531"/>
      <c r="AO68" s="531"/>
      <c r="AP68" s="532"/>
      <c r="AQ68" s="530"/>
      <c r="AR68" s="531"/>
      <c r="AS68" s="531"/>
      <c r="AT68" s="539"/>
      <c r="AU68" s="540">
        <f t="shared" si="0"/>
        <v>0</v>
      </c>
    </row>
    <row r="69" spans="1:47" s="350" customFormat="1" ht="15" customHeight="1">
      <c r="A69" s="351"/>
      <c r="B69" s="543" t="s">
        <v>874</v>
      </c>
      <c r="C69" s="544"/>
      <c r="D69" s="545"/>
      <c r="E69" s="545"/>
      <c r="F69" s="546"/>
      <c r="G69" s="544"/>
      <c r="H69" s="545"/>
      <c r="I69" s="545"/>
      <c r="J69" s="546"/>
      <c r="K69" s="544"/>
      <c r="L69" s="545"/>
      <c r="M69" s="545"/>
      <c r="N69" s="546"/>
      <c r="O69" s="544"/>
      <c r="P69" s="485"/>
      <c r="Q69" s="485"/>
      <c r="R69" s="485"/>
      <c r="S69" s="485"/>
      <c r="T69" s="485"/>
      <c r="U69" s="485"/>
      <c r="V69" s="485"/>
      <c r="W69" s="485"/>
      <c r="X69" s="485"/>
      <c r="Y69" s="485"/>
      <c r="Z69" s="486"/>
      <c r="AA69" s="524"/>
      <c r="AB69" s="485"/>
      <c r="AC69" s="545"/>
      <c r="AD69" s="546"/>
      <c r="AE69" s="544"/>
      <c r="AF69" s="545"/>
      <c r="AG69" s="545"/>
      <c r="AH69" s="546"/>
      <c r="AI69" s="544"/>
      <c r="AJ69" s="545"/>
      <c r="AK69" s="545"/>
      <c r="AL69" s="546"/>
      <c r="AM69" s="544"/>
      <c r="AN69" s="545"/>
      <c r="AO69" s="545"/>
      <c r="AP69" s="546"/>
      <c r="AQ69" s="544"/>
      <c r="AR69" s="545"/>
      <c r="AS69" s="545"/>
      <c r="AT69" s="569"/>
      <c r="AU69" s="540">
        <f t="shared" si="0"/>
        <v>0</v>
      </c>
    </row>
    <row r="70" spans="1:47" s="514" customFormat="1" ht="15" customHeight="1">
      <c r="A70" s="547"/>
      <c r="B70" s="548"/>
      <c r="C70" s="549"/>
      <c r="D70" s="549"/>
      <c r="E70" s="549"/>
      <c r="F70" s="549"/>
      <c r="G70" s="549"/>
      <c r="H70" s="549"/>
      <c r="I70" s="549"/>
      <c r="J70" s="549"/>
      <c r="K70" s="549"/>
      <c r="L70" s="549"/>
      <c r="M70" s="549"/>
      <c r="N70" s="549"/>
      <c r="O70" s="549"/>
      <c r="P70" s="549"/>
      <c r="Q70" s="549"/>
      <c r="R70" s="549"/>
      <c r="S70" s="549"/>
      <c r="T70" s="549"/>
      <c r="U70" s="549"/>
      <c r="V70" s="549"/>
      <c r="W70" s="549"/>
      <c r="X70" s="549"/>
      <c r="Y70" s="549"/>
      <c r="Z70" s="549"/>
      <c r="AA70" s="549"/>
      <c r="AB70" s="549"/>
      <c r="AC70" s="549"/>
      <c r="AD70" s="549"/>
      <c r="AE70" s="549"/>
      <c r="AF70" s="549"/>
      <c r="AG70" s="549"/>
      <c r="AH70" s="549"/>
      <c r="AI70" s="549"/>
      <c r="AJ70" s="549"/>
      <c r="AK70" s="549"/>
      <c r="AL70" s="549"/>
      <c r="AM70" s="549"/>
      <c r="AN70" s="549"/>
      <c r="AO70" s="549"/>
      <c r="AP70" s="549"/>
      <c r="AQ70" s="549"/>
      <c r="AR70" s="549"/>
      <c r="AS70" s="549"/>
      <c r="AT70" s="549"/>
      <c r="AU70" s="547"/>
    </row>
    <row r="71" spans="1:47" s="350" customFormat="1" ht="18.75" customHeight="1">
      <c r="A71" s="351"/>
      <c r="B71" s="517" t="s">
        <v>875</v>
      </c>
      <c r="C71" s="351"/>
      <c r="D71" s="351"/>
      <c r="E71" s="351"/>
      <c r="F71" s="351"/>
      <c r="G71" s="351"/>
      <c r="H71" s="351"/>
      <c r="I71" s="351"/>
      <c r="J71" s="351"/>
      <c r="K71" s="351"/>
      <c r="L71" s="351"/>
      <c r="M71" s="351"/>
      <c r="N71" s="351"/>
      <c r="O71" s="351"/>
      <c r="P71" s="351"/>
      <c r="Q71" s="351"/>
      <c r="R71" s="351"/>
      <c r="S71" s="351"/>
      <c r="T71" s="351"/>
      <c r="U71" s="351"/>
      <c r="V71" s="351"/>
      <c r="W71" s="351"/>
      <c r="X71" s="351"/>
      <c r="Y71" s="351"/>
      <c r="Z71" s="351"/>
      <c r="AA71" s="351"/>
      <c r="AB71" s="351"/>
      <c r="AC71" s="351"/>
      <c r="AD71" s="351"/>
      <c r="AE71" s="351"/>
      <c r="AF71" s="351"/>
      <c r="AG71" s="351"/>
      <c r="AH71" s="351"/>
      <c r="AI71" s="351"/>
      <c r="AJ71" s="351"/>
      <c r="AK71" s="351"/>
      <c r="AL71" s="351"/>
      <c r="AM71" s="351"/>
      <c r="AN71" s="351"/>
      <c r="AO71" s="351"/>
      <c r="AP71" s="351"/>
      <c r="AQ71" s="351"/>
      <c r="AR71" s="351"/>
      <c r="AS71" s="351"/>
      <c r="AT71" s="351"/>
      <c r="AU71" s="351"/>
    </row>
    <row r="72" spans="1:47" s="350" customFormat="1" ht="15.75" customHeight="1">
      <c r="A72" s="351"/>
      <c r="B72" s="1929" t="s">
        <v>598</v>
      </c>
      <c r="C72" s="1931" t="s">
        <v>251</v>
      </c>
      <c r="D72" s="1921">
        <f>'1.参数设置'!$C$4</f>
        <v>2018</v>
      </c>
      <c r="E72" s="1922"/>
      <c r="F72" s="1922"/>
      <c r="G72" s="1923"/>
      <c r="H72" s="1921">
        <f>D72+1</f>
        <v>2019</v>
      </c>
      <c r="I72" s="1922"/>
      <c r="J72" s="1922"/>
      <c r="K72" s="1923"/>
      <c r="L72" s="1921">
        <f>H72+1</f>
        <v>2020</v>
      </c>
      <c r="M72" s="1922"/>
      <c r="N72" s="1922"/>
      <c r="O72" s="1923"/>
      <c r="P72" s="1921">
        <f>L72+1</f>
        <v>2021</v>
      </c>
      <c r="Q72" s="1922"/>
      <c r="R72" s="1922"/>
      <c r="S72" s="1923"/>
      <c r="T72" s="1921">
        <f>P72+1</f>
        <v>2022</v>
      </c>
      <c r="U72" s="1922"/>
      <c r="V72" s="1922"/>
      <c r="W72" s="1923"/>
      <c r="X72" s="1921">
        <f>T72+1</f>
        <v>2023</v>
      </c>
      <c r="Y72" s="1922"/>
      <c r="Z72" s="1922"/>
      <c r="AA72" s="1923"/>
      <c r="AB72" s="1921">
        <f>X72+1</f>
        <v>2024</v>
      </c>
      <c r="AC72" s="1922"/>
      <c r="AD72" s="1922"/>
      <c r="AE72" s="1923"/>
      <c r="AF72" s="1921">
        <f>AB72+1</f>
        <v>2025</v>
      </c>
      <c r="AG72" s="1922"/>
      <c r="AH72" s="1922"/>
      <c r="AI72" s="1923"/>
      <c r="AJ72" s="1921">
        <f>AF72+1</f>
        <v>2026</v>
      </c>
      <c r="AK72" s="1922"/>
      <c r="AL72" s="1922"/>
      <c r="AM72" s="1923"/>
      <c r="AN72" s="1921">
        <f>AJ72+1</f>
        <v>2027</v>
      </c>
      <c r="AO72" s="1922"/>
      <c r="AP72" s="1922"/>
      <c r="AQ72" s="1923"/>
      <c r="AR72" s="1921">
        <f>AN72+1</f>
        <v>2028</v>
      </c>
      <c r="AS72" s="1922"/>
      <c r="AT72" s="1922"/>
      <c r="AU72" s="1923"/>
    </row>
    <row r="73" spans="1:47" s="350" customFormat="1" ht="15.75" customHeight="1">
      <c r="A73" s="351"/>
      <c r="B73" s="1930"/>
      <c r="C73" s="1932"/>
      <c r="D73" s="520" t="s">
        <v>863</v>
      </c>
      <c r="E73" s="521" t="s">
        <v>864</v>
      </c>
      <c r="F73" s="521" t="s">
        <v>865</v>
      </c>
      <c r="G73" s="522" t="s">
        <v>866</v>
      </c>
      <c r="H73" s="520" t="s">
        <v>863</v>
      </c>
      <c r="I73" s="521" t="s">
        <v>864</v>
      </c>
      <c r="J73" s="521" t="s">
        <v>865</v>
      </c>
      <c r="K73" s="522" t="s">
        <v>866</v>
      </c>
      <c r="L73" s="520" t="s">
        <v>863</v>
      </c>
      <c r="M73" s="521" t="s">
        <v>864</v>
      </c>
      <c r="N73" s="521" t="s">
        <v>865</v>
      </c>
      <c r="O73" s="522" t="s">
        <v>866</v>
      </c>
      <c r="P73" s="520" t="s">
        <v>863</v>
      </c>
      <c r="Q73" s="521" t="s">
        <v>864</v>
      </c>
      <c r="R73" s="521" t="s">
        <v>865</v>
      </c>
      <c r="S73" s="522" t="s">
        <v>866</v>
      </c>
      <c r="T73" s="520" t="s">
        <v>863</v>
      </c>
      <c r="U73" s="521" t="s">
        <v>864</v>
      </c>
      <c r="V73" s="521" t="s">
        <v>865</v>
      </c>
      <c r="W73" s="522" t="s">
        <v>866</v>
      </c>
      <c r="X73" s="520" t="s">
        <v>863</v>
      </c>
      <c r="Y73" s="521" t="s">
        <v>864</v>
      </c>
      <c r="Z73" s="521" t="s">
        <v>865</v>
      </c>
      <c r="AA73" s="522" t="s">
        <v>866</v>
      </c>
      <c r="AB73" s="520" t="s">
        <v>863</v>
      </c>
      <c r="AC73" s="521" t="s">
        <v>864</v>
      </c>
      <c r="AD73" s="521" t="s">
        <v>865</v>
      </c>
      <c r="AE73" s="522" t="s">
        <v>866</v>
      </c>
      <c r="AF73" s="520" t="s">
        <v>863</v>
      </c>
      <c r="AG73" s="521" t="s">
        <v>864</v>
      </c>
      <c r="AH73" s="521" t="s">
        <v>865</v>
      </c>
      <c r="AI73" s="522" t="s">
        <v>866</v>
      </c>
      <c r="AJ73" s="520" t="s">
        <v>863</v>
      </c>
      <c r="AK73" s="521" t="s">
        <v>864</v>
      </c>
      <c r="AL73" s="521" t="s">
        <v>865</v>
      </c>
      <c r="AM73" s="522" t="s">
        <v>866</v>
      </c>
      <c r="AN73" s="520" t="s">
        <v>863</v>
      </c>
      <c r="AO73" s="521" t="s">
        <v>864</v>
      </c>
      <c r="AP73" s="521" t="s">
        <v>865</v>
      </c>
      <c r="AQ73" s="522" t="s">
        <v>866</v>
      </c>
      <c r="AR73" s="520" t="s">
        <v>863</v>
      </c>
      <c r="AS73" s="521" t="s">
        <v>864</v>
      </c>
      <c r="AT73" s="521" t="s">
        <v>865</v>
      </c>
      <c r="AU73" s="522" t="s">
        <v>866</v>
      </c>
    </row>
    <row r="74" spans="1:47" s="515" customFormat="1" ht="15.75" customHeight="1">
      <c r="A74" s="550"/>
      <c r="B74" s="551" t="s">
        <v>19</v>
      </c>
      <c r="C74" s="552">
        <f t="shared" ref="C74:C79" si="1">SUM(D74:AU74)</f>
        <v>31190.531999999999</v>
      </c>
      <c r="D74" s="553">
        <f>'13.建安成本表'!$E$19*C$7+'13.建安成本表'!$E$33*C$8+'13.建安成本表'!$E$47*C$9+'13.建安成本表'!$E$61*C$10+'13.建安成本表'!$E$75*C$11+'13.建安成本表'!$E$89*C$12+'13.建安成本表'!$E$103*C$13+'13.建安成本表'!$E$117*C$14</f>
        <v>0</v>
      </c>
      <c r="E74" s="554">
        <f>'13.建安成本表'!$E$19*D$7+'13.建安成本表'!$E$33*D$8+'13.建安成本表'!$E$47*D$9+'13.建安成本表'!$E$61*D$10+'13.建安成本表'!$E$75*D$11+'13.建安成本表'!$E$89*D$12+'13.建安成本表'!$E$103*D$13+'13.建安成本表'!$E$117*D$14</f>
        <v>0</v>
      </c>
      <c r="F74" s="554">
        <f>'13.建安成本表'!$E$19*E$7+'13.建安成本表'!$E$33*E$8+'13.建安成本表'!$E$47*E$9+'13.建安成本表'!$E$61*E$10+'13.建安成本表'!$E$75*E$11+'13.建安成本表'!$E$89*E$12+'13.建安成本表'!$E$103*E$13+'13.建安成本表'!$E$117*E$14</f>
        <v>0</v>
      </c>
      <c r="G74" s="555">
        <f>'13.建安成本表'!$E$19*F$7+'13.建安成本表'!$E$33*F$8+'13.建安成本表'!$E$47*F$9+'13.建安成本表'!$E$61*F$10+'13.建安成本表'!$E$75*F$11+'13.建安成本表'!$E$89*F$12+'13.建安成本表'!$E$103*F$13+'13.建安成本表'!$E$117*F$14</f>
        <v>54.355800000000002</v>
      </c>
      <c r="H74" s="553">
        <f>'13.建安成本表'!$E$19*G$7+'13.建安成本表'!$E$33*G$8+'13.建安成本表'!$E$47*G$9+'13.建安成本表'!$E$61*G$10+'13.建安成本表'!$E$75*G$11+'13.建安成本表'!$E$89*G$12+'13.建安成本表'!$E$103*G$13+'13.建安成本表'!$E$117*G$14</f>
        <v>1156.8884200000002</v>
      </c>
      <c r="I74" s="554">
        <f>'13.建安成本表'!$E$19*H$7+'13.建安成本表'!$E$33*H$8+'13.建安成本表'!$E$47*H$9+'13.建安成本表'!$E$61*H$10+'13.建安成本表'!$E$75*H$11+'13.建安成本表'!$E$89*H$12+'13.建安成本表'!$E$103*H$13+'13.建安成本表'!$E$117*H$14</f>
        <v>2090.9356600000001</v>
      </c>
      <c r="J74" s="554">
        <f>'13.建安成本表'!$E$19*I$7+'13.建安成本表'!$E$33*I$8+'13.建安成本表'!$E$47*I$9+'13.建安成本表'!$E$61*I$10+'13.建安成本表'!$E$75*I$11+'13.建安成本表'!$E$89*I$12+'13.建安成本表'!$E$103*I$13+'13.建安成本表'!$E$117*I$14</f>
        <v>2327.5432599999999</v>
      </c>
      <c r="K74" s="555">
        <f>'13.建安成本表'!$E$19*J$7+'13.建安成本表'!$E$33*J$8+'13.建安成本表'!$E$47*J$9+'13.建安成本表'!$E$61*J$10+'13.建安成本表'!$E$75*J$11+'13.建安成本表'!$E$89*J$12+'13.建安成本表'!$E$103*J$13+'13.建安成本表'!$E$117*J$14</f>
        <v>3793.6288600000003</v>
      </c>
      <c r="L74" s="553">
        <f>'13.建安成本表'!$E$19*K$7+'13.建安成本表'!$E$33*K$8+'13.建安成本表'!$E$47*K$9+'13.建安成本表'!$E$61*K$10+'13.建安成本表'!$E$75*K$11+'13.建安成本表'!$E$89*K$12+'13.建安成本表'!$E$103*K$13+'13.建安成本表'!$E$117*K$14</f>
        <v>4720.3802199999991</v>
      </c>
      <c r="M74" s="554">
        <f>'13.建安成本表'!$E$19*L$7+'13.建安成本表'!$E$33*L$8+'13.建安成本表'!$E$47*L$9+'13.建安成本表'!$E$61*L$10+'13.建安成本表'!$E$75*L$11+'13.建安成本表'!$E$89*L$12+'13.建安成本表'!$E$103*L$13+'13.建安成本表'!$E$117*L$14</f>
        <v>4059.5709799999995</v>
      </c>
      <c r="N74" s="554">
        <f>'13.建安成本表'!$E$19*M$7+'13.建安成本表'!$E$33*M$8+'13.建安成本表'!$E$47*M$9+'13.建安成本表'!$E$61*M$10+'13.建安成本表'!$E$75*M$11+'13.建安成本表'!$E$89*M$12+'13.建安成本表'!$E$103*M$13+'13.建安成本表'!$E$117*M$14</f>
        <v>3098.9939199999999</v>
      </c>
      <c r="O74" s="555">
        <f>'13.建安成本表'!$E$19*N$7+'13.建安成本表'!$E$33*N$8+'13.建安成本表'!$E$47*N$9+'13.建安成本表'!$E$61*N$10+'13.建安成本表'!$E$75*N$11+'13.建安成本表'!$E$89*N$12+'13.建安成本表'!$E$103*N$13+'13.建安成本表'!$E$117*N$14</f>
        <v>3321.8350999999998</v>
      </c>
      <c r="P74" s="553">
        <f>'13.建安成本表'!$E$19*O$7+'13.建安成本表'!$E$33*O$8+'13.建安成本表'!$E$47*O$9+'13.建安成本表'!$E$61*O$10+'13.建安成本表'!$E$75*O$11+'13.建安成本表'!$E$89*O$12+'13.建安成本表'!$E$103*O$13+'13.建安成本表'!$E$117*O$14</f>
        <v>2329.2954000000004</v>
      </c>
      <c r="Q74" s="554">
        <f>'13.建安成本表'!$E$19*P$7+'13.建安成本表'!$E$33*P$8+'13.建安成本表'!$E$47*P$9+'13.建安成本表'!$E$61*P$10+'13.建安成本表'!$E$75*P$11+'13.建安成本表'!$E$89*P$12+'13.建安成本表'!$E$103*P$13+'13.建安成本表'!$E$117*P$14</f>
        <v>1567.2858800000001</v>
      </c>
      <c r="R74" s="554">
        <f>'13.建安成本表'!$E$19*Q$7+'13.建安成本表'!$E$33*Q$8+'13.建安成本表'!$E$47*Q$9+'13.建安成本表'!$E$61*Q$10+'13.建安成本表'!$E$75*Q$11+'13.建安成本表'!$E$89*Q$12+'13.建安成本表'!$E$103*Q$13+'13.建安成本表'!$E$117*Q$14</f>
        <v>1187.6775800000003</v>
      </c>
      <c r="S74" s="555">
        <f>'13.建安成本表'!$E$19*R$7+'13.建安成本表'!$E$33*R$8+'13.建安成本表'!$E$47*R$9+'13.建安成本表'!$E$61*R$10+'13.建安成本表'!$E$75*R$11+'13.建安成本表'!$E$89*R$12+'13.建安成本表'!$E$103*R$13+'13.建安成本表'!$E$117*R$14</f>
        <v>0</v>
      </c>
      <c r="T74" s="553">
        <f>'13.建安成本表'!$E$19*S$7+'13.建安成本表'!$E$33*S$8+'13.建安成本表'!$E$47*S$9+'13.建安成本表'!$E$61*S$10+'13.建安成本表'!$E$75*S$11+'13.建安成本表'!$E$89*S$12+'13.建安成本表'!$E$103*S$13+'13.建安成本表'!$E$117*S$14</f>
        <v>0</v>
      </c>
      <c r="U74" s="554">
        <f>'13.建安成本表'!$E$19*T$7+'13.建安成本表'!$E$33*T$8+'13.建安成本表'!$E$47*T$9+'13.建安成本表'!$E$61*T$10+'13.建安成本表'!$E$75*T$11+'13.建安成本表'!$E$89*T$12+'13.建安成本表'!$E$103*T$13+'13.建安成本表'!$E$117*T$14</f>
        <v>0</v>
      </c>
      <c r="V74" s="554">
        <f>'13.建安成本表'!$E$19*U$7+'13.建安成本表'!$E$33*U$8+'13.建安成本表'!$E$47*U$9+'13.建安成本表'!$E$61*U$10+'13.建安成本表'!$E$75*U$11+'13.建安成本表'!$E$89*U$12+'13.建安成本表'!$E$103*U$13+'13.建安成本表'!$E$117*U$14</f>
        <v>592.85636800000009</v>
      </c>
      <c r="W74" s="555">
        <f>'13.建安成本表'!$E$19*V$7+'13.建安成本表'!$E$33*V$8+'13.建安成本表'!$E$47*V$9+'13.建安成本表'!$E$61*V$10+'13.建安成本表'!$E$75*V$11+'13.建安成本表'!$E$89*V$12+'13.建安成本表'!$E$103*V$13+'13.建安成本表'!$E$117*V$14</f>
        <v>889.28455199999996</v>
      </c>
      <c r="X74" s="553">
        <f>'13.建安成本表'!$E$19*W$7+'13.建安成本表'!$E$33*W$8+'13.建安成本表'!$E$47*W$9+'13.建安成本表'!$E$61*W$10+'13.建安成本表'!$E$75*W$11+'13.建安成本表'!$E$89*W$12+'13.建安成本表'!$E$103*W$13+'13.建安成本表'!$E$117*W$14</f>
        <v>0</v>
      </c>
      <c r="Y74" s="554">
        <f>'13.建安成本表'!$E$19*X$7+'13.建安成本表'!$E$33*X$8+'13.建安成本表'!$E$47*X$9+'13.建安成本表'!$E$61*X$10+'13.建安成本表'!$E$75*X$11+'13.建安成本表'!$E$89*X$12+'13.建安成本表'!$E$103*X$13+'13.建安成本表'!$E$117*X$14</f>
        <v>0</v>
      </c>
      <c r="Z74" s="554">
        <f>'13.建安成本表'!$E$19*Y$7+'13.建安成本表'!$E$33*Y$8+'13.建安成本表'!$E$47*Y$9+'13.建安成本表'!$E$61*Y$10+'13.建安成本表'!$E$75*Y$11+'13.建安成本表'!$E$89*Y$12+'13.建安成本表'!$E$103*Y$13+'13.建安成本表'!$E$117*Y$14</f>
        <v>0</v>
      </c>
      <c r="AA74" s="555">
        <f>'13.建安成本表'!$E$19*Z$7+'13.建安成本表'!$E$33*Z$8+'13.建安成本表'!$E$47*Z$9+'13.建安成本表'!$E$61*Z$10+'13.建安成本表'!$E$75*Z$11+'13.建安成本表'!$E$89*Z$12+'13.建安成本表'!$E$103*Z$13+'13.建安成本表'!$E$117*Z$14</f>
        <v>0</v>
      </c>
      <c r="AB74" s="553">
        <f>'13.建安成本表'!$E$19*AA$7+'13.建安成本表'!$E$33*AA$8+'13.建安成本表'!$E$47*AA$9+'13.建安成本表'!$E$61*AA$10+'13.建安成本表'!$E$75*AA$11+'13.建安成本表'!$E$89*AA$12+'13.建安成本表'!$E$103*AA$13+'13.建安成本表'!$E$117*AA$14</f>
        <v>0</v>
      </c>
      <c r="AC74" s="554">
        <f>'13.建安成本表'!$E$19*AB$7+'13.建安成本表'!$E$33*AB$8+'13.建安成本表'!$E$47*AB$9+'13.建安成本表'!$E$61*AB$10+'13.建安成本表'!$E$75*AB$11+'13.建安成本表'!$E$89*AB$12+'13.建安成本表'!$E$103*AB$13+'13.建安成本表'!$E$117*AB$14</f>
        <v>0</v>
      </c>
      <c r="AD74" s="554">
        <f>'13.建安成本表'!$E$19*AC$7+'13.建安成本表'!$E$33*AC$8+'13.建安成本表'!$E$47*AC$9+'13.建安成本表'!$E$61*AC$10+'13.建安成本表'!$E$75*AC$11+'13.建安成本表'!$E$89*AC$12+'13.建安成本表'!$E$103*AC$13+'13.建安成本表'!$E$117*AC$14</f>
        <v>0</v>
      </c>
      <c r="AE74" s="555">
        <f>'13.建安成本表'!$E$19*AD$7+'13.建安成本表'!$E$33*AD$8+'13.建安成本表'!$E$47*AD$9+'13.建安成本表'!$E$61*AD$10+'13.建安成本表'!$E$75*AD$11+'13.建安成本表'!$E$89*AD$12+'13.建安成本表'!$E$103*AD$13+'13.建安成本表'!$E$117*AD$14</f>
        <v>0</v>
      </c>
      <c r="AF74" s="553">
        <f>'13.建安成本表'!$E$19*AE$7+'13.建安成本表'!$E$33*AE$8+'13.建安成本表'!$E$47*AE$9+'13.建安成本表'!$E$61*AE$10+'13.建安成本表'!$E$75*AE$11+'13.建安成本表'!$E$89*AE$12+'13.建安成本表'!$E$103*AE$13+'13.建安成本表'!$E$117*AE$14</f>
        <v>0</v>
      </c>
      <c r="AG74" s="554">
        <f>'13.建安成本表'!$E$19*AF$7+'13.建安成本表'!$E$33*AF$8+'13.建安成本表'!$E$47*AF$9+'13.建安成本表'!$E$61*AF$10+'13.建安成本表'!$E$75*AF$11+'13.建安成本表'!$E$89*AF$12+'13.建安成本表'!$E$103*AF$13+'13.建安成本表'!$E$117*AF$14</f>
        <v>0</v>
      </c>
      <c r="AH74" s="554">
        <f>'13.建安成本表'!$E$19*AG$7+'13.建安成本表'!$E$33*AG$8+'13.建安成本表'!$E$47*AG$9+'13.建安成本表'!$E$61*AG$10+'13.建安成本表'!$E$75*AG$11+'13.建安成本表'!$E$89*AG$12+'13.建安成本表'!$E$103*AG$13+'13.建安成本表'!$E$117*AG$14</f>
        <v>0</v>
      </c>
      <c r="AI74" s="555">
        <f>'13.建安成本表'!$E$19*AH$7+'13.建安成本表'!$E$33*AH$8+'13.建安成本表'!$E$47*AH$9+'13.建安成本表'!$E$61*AH$10+'13.建安成本表'!$E$75*AH$11+'13.建安成本表'!$E$89*AH$12+'13.建安成本表'!$E$103*AH$13+'13.建安成本表'!$E$117*AH$14</f>
        <v>0</v>
      </c>
      <c r="AJ74" s="553">
        <f>'13.建安成本表'!$E$19*AI$7+'13.建安成本表'!$E$33*AI$8+'13.建安成本表'!$E$47*AI$9+'13.建安成本表'!$E$61*AI$10+'13.建安成本表'!$E$75*AI$11+'13.建安成本表'!$E$89*AI$12+'13.建安成本表'!$E$103*AI$13+'13.建安成本表'!$E$117*AI$14</f>
        <v>0</v>
      </c>
      <c r="AK74" s="554">
        <f>'13.建安成本表'!$E$19*AJ$7+'13.建安成本表'!$E$33*AJ$8+'13.建安成本表'!$E$47*AJ$9+'13.建安成本表'!$E$61*AJ$10+'13.建安成本表'!$E$75*AJ$11+'13.建安成本表'!$E$89*AJ$12+'13.建安成本表'!$E$103*AJ$13+'13.建安成本表'!$E$117*AJ$14</f>
        <v>0</v>
      </c>
      <c r="AL74" s="554">
        <f>'13.建安成本表'!$E$19*AK$7+'13.建安成本表'!$E$33*AK$8+'13.建安成本表'!$E$47*AK$9+'13.建安成本表'!$E$61*AK$10+'13.建安成本表'!$E$75*AK$11+'13.建安成本表'!$E$89*AK$12+'13.建安成本表'!$E$103*AK$13+'13.建安成本表'!$E$117*AK$14</f>
        <v>0</v>
      </c>
      <c r="AM74" s="555">
        <f>'13.建安成本表'!$E$19*AL$7+'13.建安成本表'!$E$33*AL$8+'13.建安成本表'!$E$47*AL$9+'13.建安成本表'!$E$61*AL$10+'13.建安成本表'!$E$75*AL$11+'13.建安成本表'!$E$89*AL$12+'13.建安成本表'!$E$103*AL$13+'13.建安成本表'!$E$117*AL$14</f>
        <v>0</v>
      </c>
      <c r="AN74" s="553">
        <f>'13.建安成本表'!$E$19*AM$7+'13.建安成本表'!$E$33*AM$8+'13.建安成本表'!$E$47*AM$9+'13.建安成本表'!$E$61*AM$10+'13.建安成本表'!$E$75*AM$11+'13.建安成本表'!$E$89*AM$12+'13.建安成本表'!$E$103*AM$13+'13.建安成本表'!$E$117*AM$14</f>
        <v>0</v>
      </c>
      <c r="AO74" s="554">
        <f>'13.建安成本表'!$E$19*AN$7+'13.建安成本表'!$E$33*AN$8+'13.建安成本表'!$E$47*AN$9+'13.建安成本表'!$E$61*AN$10+'13.建安成本表'!$E$75*AN$11+'13.建安成本表'!$E$89*AN$12+'13.建安成本表'!$E$103*AN$13+'13.建安成本表'!$E$117*AN$14</f>
        <v>0</v>
      </c>
      <c r="AP74" s="554">
        <f>'13.建安成本表'!$E$19*AO$7+'13.建安成本表'!$E$33*AO$8+'13.建安成本表'!$E$47*AO$9+'13.建安成本表'!$E$61*AO$10+'13.建安成本表'!$E$75*AO$11+'13.建安成本表'!$E$89*AO$12+'13.建安成本表'!$E$103*AO$13+'13.建安成本表'!$E$117*AO$14</f>
        <v>0</v>
      </c>
      <c r="AQ74" s="555">
        <f>'13.建安成本表'!$E$19*AP$7+'13.建安成本表'!$E$33*AP$8+'13.建安成本表'!$E$47*AP$9+'13.建安成本表'!$E$61*AP$10+'13.建安成本表'!$E$75*AP$11+'13.建安成本表'!$E$89*AP$12+'13.建安成本表'!$E$103*AP$13+'13.建安成本表'!$E$117*AP$14</f>
        <v>0</v>
      </c>
      <c r="AR74" s="553">
        <f>'13.建安成本表'!$E$19*AQ$7+'13.建安成本表'!$E$33*AQ$8+'13.建安成本表'!$E$47*AQ$9+'13.建安成本表'!$E$61*AQ$10+'13.建安成本表'!$E$75*AQ$11+'13.建安成本表'!$E$89*AQ$12+'13.建安成本表'!$E$103*AQ$13+'13.建安成本表'!$E$117*AQ$14</f>
        <v>0</v>
      </c>
      <c r="AS74" s="554">
        <f>'13.建安成本表'!$E$19*AR$7+'13.建安成本表'!$E$33*AR$8+'13.建安成本表'!$E$47*AR$9+'13.建安成本表'!$E$61*AR$10+'13.建安成本表'!$E$75*AR$11+'13.建安成本表'!$E$89*AR$12+'13.建安成本表'!$E$103*AR$13+'13.建安成本表'!$E$117*AR$14</f>
        <v>0</v>
      </c>
      <c r="AT74" s="554">
        <f>'13.建安成本表'!$E$19*AS$7+'13.建安成本表'!$E$33*AS$8+'13.建安成本表'!$E$47*AS$9+'13.建安成本表'!$E$61*AS$10+'13.建安成本表'!$E$75*AS$11+'13.建安成本表'!$E$89*AS$12+'13.建安成本表'!$E$103*AS$13+'13.建安成本表'!$E$117*AS$14</f>
        <v>0</v>
      </c>
      <c r="AU74" s="555">
        <f>'13.建安成本表'!$E$19*AT$7+'13.建安成本表'!$E$33*AT$8+'13.建安成本表'!$E$47*AT$9+'13.建安成本表'!$E$61*AT$10+'13.建安成本表'!$E$75*AT$11+'13.建安成本表'!$E$89*AT$12+'13.建安成本表'!$E$103*AT$13+'13.建安成本表'!$E$117*AT$14</f>
        <v>0</v>
      </c>
    </row>
    <row r="75" spans="1:47" s="350" customFormat="1" ht="15.75" customHeight="1">
      <c r="A75" s="351"/>
      <c r="B75" s="551" t="s">
        <v>20</v>
      </c>
      <c r="C75" s="552">
        <f t="shared" si="1"/>
        <v>0</v>
      </c>
      <c r="D75" s="553">
        <f>'13.建安成本表'!$H$19*C$18+'13.建安成本表'!$H$33*C$19+'13.建安成本表'!$H$47*C$20+'13.建安成本表'!$H$61*C$21+'13.建安成本表'!$H$75*C$22+'13.建安成本表'!$H$89*C$23+'13.建安成本表'!$H$103*C$24+'13.建安成本表'!$H$117*C$25</f>
        <v>0</v>
      </c>
      <c r="E75" s="554">
        <f>'13.建安成本表'!$H$19*D$18+'13.建安成本表'!$H$33*D$19+'13.建安成本表'!$H$47*D$20+'13.建安成本表'!$H$61*D$21+'13.建安成本表'!$H$75*D$22+'13.建安成本表'!$H$89*D$23+'13.建安成本表'!$H$103*D$24+'13.建安成本表'!$H$117*D$25</f>
        <v>0</v>
      </c>
      <c r="F75" s="554">
        <f>'13.建安成本表'!$H$19*E$18+'13.建安成本表'!$H$33*E$19+'13.建安成本表'!$H$47*E$20+'13.建安成本表'!$H$61*E$21+'13.建安成本表'!$H$75*E$22+'13.建安成本表'!$H$89*E$23+'13.建安成本表'!$H$103*E$24+'13.建安成本表'!$H$117*E$25</f>
        <v>0</v>
      </c>
      <c r="G75" s="555">
        <f>'13.建安成本表'!$H$19*F$18+'13.建安成本表'!$H$33*F$19+'13.建安成本表'!$H$47*F$20+'13.建安成本表'!$H$61*F$21+'13.建安成本表'!$H$75*F$22+'13.建安成本表'!$H$89*F$23+'13.建安成本表'!$H$103*F$24+'13.建安成本表'!$H$117*F$25</f>
        <v>0</v>
      </c>
      <c r="H75" s="553">
        <f>'13.建安成本表'!$H$19*G$18+'13.建安成本表'!$H$33*G$19+'13.建安成本表'!$H$47*G$20+'13.建安成本表'!$H$61*G$21+'13.建安成本表'!$H$75*G$22+'13.建安成本表'!$H$89*G$23+'13.建安成本表'!$H$103*G$24+'13.建安成本表'!$H$117*G$25</f>
        <v>0</v>
      </c>
      <c r="I75" s="554">
        <f>'13.建安成本表'!$H$19*H$18+'13.建安成本表'!$H$33*H$19+'13.建安成本表'!$H$47*H$20+'13.建安成本表'!$H$61*H$21+'13.建安成本表'!$H$75*H$22+'13.建安成本表'!$H$89*H$23+'13.建安成本表'!$H$103*H$24+'13.建安成本表'!$H$117*H$25</f>
        <v>0</v>
      </c>
      <c r="J75" s="554">
        <f>'13.建安成本表'!$H$19*I$18+'13.建安成本表'!$H$33*I$19+'13.建安成本表'!$H$47*I$20+'13.建安成本表'!$H$61*I$21+'13.建安成本表'!$H$75*I$22+'13.建安成本表'!$H$89*I$23+'13.建安成本表'!$H$103*I$24+'13.建安成本表'!$H$117*I$25</f>
        <v>0</v>
      </c>
      <c r="K75" s="555">
        <f>'13.建安成本表'!$H$19*J$18+'13.建安成本表'!$H$33*J$19+'13.建安成本表'!$H$47*J$20+'13.建安成本表'!$H$61*J$21+'13.建安成本表'!$H$75*J$22+'13.建安成本表'!$H$89*J$23+'13.建安成本表'!$H$103*J$24+'13.建安成本表'!$H$117*J$25</f>
        <v>0</v>
      </c>
      <c r="L75" s="553">
        <f>'13.建安成本表'!$H$19*K$18+'13.建安成本表'!$H$33*K$19+'13.建安成本表'!$H$47*K$20+'13.建安成本表'!$H$61*K$21+'13.建安成本表'!$H$75*K$22+'13.建安成本表'!$H$89*K$23+'13.建安成本表'!$H$103*K$24+'13.建安成本表'!$H$117*K$25</f>
        <v>0</v>
      </c>
      <c r="M75" s="554">
        <f>'13.建安成本表'!$H$19*L$18+'13.建安成本表'!$H$33*L$19+'13.建安成本表'!$H$47*L$20+'13.建安成本表'!$H$61*L$21+'13.建安成本表'!$H$75*L$22+'13.建安成本表'!$H$89*L$23+'13.建安成本表'!$H$103*L$24+'13.建安成本表'!$H$117*L$25</f>
        <v>0</v>
      </c>
      <c r="N75" s="554">
        <f>'13.建安成本表'!$H$19*M$18+'13.建安成本表'!$H$33*M$19+'13.建安成本表'!$H$47*M$20+'13.建安成本表'!$H$61*M$21+'13.建安成本表'!$H$75*M$22+'13.建安成本表'!$H$89*M$23+'13.建安成本表'!$H$103*M$24+'13.建安成本表'!$H$117*M$25</f>
        <v>0</v>
      </c>
      <c r="O75" s="555">
        <f>'13.建安成本表'!$H$19*N$18+'13.建安成本表'!$H$33*N$19+'13.建安成本表'!$H$47*N$20+'13.建安成本表'!$H$61*N$21+'13.建安成本表'!$H$75*N$22+'13.建安成本表'!$H$89*N$23+'13.建安成本表'!$H$103*N$24+'13.建安成本表'!$H$117*N$25</f>
        <v>0</v>
      </c>
      <c r="P75" s="553">
        <f>'13.建安成本表'!$H$19*O$18+'13.建安成本表'!$H$33*O$19+'13.建安成本表'!$H$47*O$20+'13.建安成本表'!$H$61*O$21+'13.建安成本表'!$H$75*O$22+'13.建安成本表'!$H$89*O$23+'13.建安成本表'!$H$103*O$24+'13.建安成本表'!$H$117*O$25</f>
        <v>0</v>
      </c>
      <c r="Q75" s="554">
        <f>'13.建安成本表'!$H$19*P$18+'13.建安成本表'!$H$33*P$19+'13.建安成本表'!$H$47*P$20+'13.建安成本表'!$H$61*P$21+'13.建安成本表'!$H$75*P$22+'13.建安成本表'!$H$89*P$23+'13.建安成本表'!$H$103*P$24+'13.建安成本表'!$H$117*P$25</f>
        <v>0</v>
      </c>
      <c r="R75" s="554">
        <f>'13.建安成本表'!$H$19*Q$18+'13.建安成本表'!$H$33*Q$19+'13.建安成本表'!$H$47*Q$20+'13.建安成本表'!$H$61*Q$21+'13.建安成本表'!$H$75*Q$22+'13.建安成本表'!$H$89*Q$23+'13.建安成本表'!$H$103*Q$24+'13.建安成本表'!$H$117*Q$25</f>
        <v>0</v>
      </c>
      <c r="S75" s="555">
        <f>'13.建安成本表'!$H$19*R$18+'13.建安成本表'!$H$33*R$19+'13.建安成本表'!$H$47*R$20+'13.建安成本表'!$H$61*R$21+'13.建安成本表'!$H$75*R$22+'13.建安成本表'!$H$89*R$23+'13.建安成本表'!$H$103*R$24+'13.建安成本表'!$H$117*R$25</f>
        <v>0</v>
      </c>
      <c r="T75" s="553">
        <f>'13.建安成本表'!$H$19*S$18+'13.建安成本表'!$H$33*S$19+'13.建安成本表'!$H$47*S$20+'13.建安成本表'!$H$61*S$21+'13.建安成本表'!$H$75*S$22+'13.建安成本表'!$H$89*S$23+'13.建安成本表'!$H$103*S$24+'13.建安成本表'!$H$117*S$25</f>
        <v>0</v>
      </c>
      <c r="U75" s="554">
        <f>'13.建安成本表'!$H$19*T$18+'13.建安成本表'!$H$33*T$19+'13.建安成本表'!$H$47*T$20+'13.建安成本表'!$H$61*T$21+'13.建安成本表'!$H$75*T$22+'13.建安成本表'!$H$89*T$23+'13.建安成本表'!$H$103*T$24+'13.建安成本表'!$H$117*T$25</f>
        <v>0</v>
      </c>
      <c r="V75" s="554">
        <f>'13.建安成本表'!$H$19*U$18+'13.建安成本表'!$H$33*U$19+'13.建安成本表'!$H$47*U$20+'13.建安成本表'!$H$61*U$21+'13.建安成本表'!$H$75*U$22+'13.建安成本表'!$H$89*U$23+'13.建安成本表'!$H$103*U$24+'13.建安成本表'!$H$117*U$25</f>
        <v>0</v>
      </c>
      <c r="W75" s="555">
        <f>'13.建安成本表'!$H$19*V$18+'13.建安成本表'!$H$33*V$19+'13.建安成本表'!$H$47*V$20+'13.建安成本表'!$H$61*V$21+'13.建安成本表'!$H$75*V$22+'13.建安成本表'!$H$89*V$23+'13.建安成本表'!$H$103*V$24+'13.建安成本表'!$H$117*V$25</f>
        <v>0</v>
      </c>
      <c r="X75" s="553">
        <f>'13.建安成本表'!$H$19*W$18+'13.建安成本表'!$H$33*W$19+'13.建安成本表'!$H$47*W$20+'13.建安成本表'!$H$61*W$21+'13.建安成本表'!$H$75*W$22+'13.建安成本表'!$H$89*W$23+'13.建安成本表'!$H$103*W$24+'13.建安成本表'!$H$117*W$25</f>
        <v>0</v>
      </c>
      <c r="Y75" s="554">
        <f>'13.建安成本表'!$H$19*X$18+'13.建安成本表'!$H$33*X$19+'13.建安成本表'!$H$47*X$20+'13.建安成本表'!$H$61*X$21+'13.建安成本表'!$H$75*X$22+'13.建安成本表'!$H$89*X$23+'13.建安成本表'!$H$103*X$24+'13.建安成本表'!$H$117*X$25</f>
        <v>0</v>
      </c>
      <c r="Z75" s="554">
        <f>'13.建安成本表'!$H$19*Y$18+'13.建安成本表'!$H$33*Y$19+'13.建安成本表'!$H$47*Y$20+'13.建安成本表'!$H$61*Y$21+'13.建安成本表'!$H$75*Y$22+'13.建安成本表'!$H$89*Y$23+'13.建安成本表'!$H$103*Y$24+'13.建安成本表'!$H$117*Y$25</f>
        <v>0</v>
      </c>
      <c r="AA75" s="555">
        <f>'13.建安成本表'!$H$19*Z$18+'13.建安成本表'!$H$33*Z$19+'13.建安成本表'!$H$47*Z$20+'13.建安成本表'!$H$61*Z$21+'13.建安成本表'!$H$75*Z$22+'13.建安成本表'!$H$89*Z$23+'13.建安成本表'!$H$103*Z$24+'13.建安成本表'!$H$117*Z$25</f>
        <v>0</v>
      </c>
      <c r="AB75" s="553">
        <f>'13.建安成本表'!$H$19*AA$18+'13.建安成本表'!$H$33*AA$19+'13.建安成本表'!$H$47*AA$20+'13.建安成本表'!$H$61*AA$21+'13.建安成本表'!$H$75*AA$22+'13.建安成本表'!$H$89*AA$23+'13.建安成本表'!$H$103*AA$24+'13.建安成本表'!$H$117*AA$25</f>
        <v>0</v>
      </c>
      <c r="AC75" s="554">
        <f>'13.建安成本表'!$H$19*AB$18+'13.建安成本表'!$H$33*AB$19+'13.建安成本表'!$H$47*AB$20+'13.建安成本表'!$H$61*AB$21+'13.建安成本表'!$H$75*AB$22+'13.建安成本表'!$H$89*AB$23+'13.建安成本表'!$H$103*AB$24+'13.建安成本表'!$H$117*AB$25</f>
        <v>0</v>
      </c>
      <c r="AD75" s="554">
        <f>'13.建安成本表'!$H$19*AC$18+'13.建安成本表'!$H$33*AC$19+'13.建安成本表'!$H$47*AC$20+'13.建安成本表'!$H$61*AC$21+'13.建安成本表'!$H$75*AC$22+'13.建安成本表'!$H$89*AC$23+'13.建安成本表'!$H$103*AC$24+'13.建安成本表'!$H$117*AC$25</f>
        <v>0</v>
      </c>
      <c r="AE75" s="555">
        <f>'13.建安成本表'!$H$19*AD$18+'13.建安成本表'!$H$33*AD$19+'13.建安成本表'!$H$47*AD$20+'13.建安成本表'!$H$61*AD$21+'13.建安成本表'!$H$75*AD$22+'13.建安成本表'!$H$89*AD$23+'13.建安成本表'!$H$103*AD$24+'13.建安成本表'!$H$117*AD$25</f>
        <v>0</v>
      </c>
      <c r="AF75" s="553">
        <f>'13.建安成本表'!$H$19*AE$18+'13.建安成本表'!$H$33*AE$19+'13.建安成本表'!$H$47*AE$20+'13.建安成本表'!$H$61*AE$21+'13.建安成本表'!$H$75*AE$22+'13.建安成本表'!$H$89*AE$23+'13.建安成本表'!$H$103*AE$24+'13.建安成本表'!$H$117*AE$25</f>
        <v>0</v>
      </c>
      <c r="AG75" s="554">
        <f>'13.建安成本表'!$H$19*AF$18+'13.建安成本表'!$H$33*AF$19+'13.建安成本表'!$H$47*AF$20+'13.建安成本表'!$H$61*AF$21+'13.建安成本表'!$H$75*AF$22+'13.建安成本表'!$H$89*AF$23+'13.建安成本表'!$H$103*AF$24+'13.建安成本表'!$H$117*AF$25</f>
        <v>0</v>
      </c>
      <c r="AH75" s="554">
        <f>'13.建安成本表'!$H$19*AG$18+'13.建安成本表'!$H$33*AG$19+'13.建安成本表'!$H$47*AG$20+'13.建安成本表'!$H$61*AG$21+'13.建安成本表'!$H$75*AG$22+'13.建安成本表'!$H$89*AG$23+'13.建安成本表'!$H$103*AG$24+'13.建安成本表'!$H$117*AG$25</f>
        <v>0</v>
      </c>
      <c r="AI75" s="555">
        <f>'13.建安成本表'!$H$19*AH$18+'13.建安成本表'!$H$33*AH$19+'13.建安成本表'!$H$47*AH$20+'13.建安成本表'!$H$61*AH$21+'13.建安成本表'!$H$75*AH$22+'13.建安成本表'!$H$89*AH$23+'13.建安成本表'!$H$103*AH$24+'13.建安成本表'!$H$117*AH$25</f>
        <v>0</v>
      </c>
      <c r="AJ75" s="553">
        <f>'13.建安成本表'!$H$19*AI$18+'13.建安成本表'!$H$33*AI$19+'13.建安成本表'!$H$47*AI$20+'13.建安成本表'!$H$61*AI$21+'13.建安成本表'!$H$75*AI$22+'13.建安成本表'!$H$89*AI$23+'13.建安成本表'!$H$103*AI$24+'13.建安成本表'!$H$117*AI$25</f>
        <v>0</v>
      </c>
      <c r="AK75" s="554">
        <f>'13.建安成本表'!$H$19*AJ$18+'13.建安成本表'!$H$33*AJ$19+'13.建安成本表'!$H$47*AJ$20+'13.建安成本表'!$H$61*AJ$21+'13.建安成本表'!$H$75*AJ$22+'13.建安成本表'!$H$89*AJ$23+'13.建安成本表'!$H$103*AJ$24+'13.建安成本表'!$H$117*AJ$25</f>
        <v>0</v>
      </c>
      <c r="AL75" s="554">
        <f>'13.建安成本表'!$H$19*AK$18+'13.建安成本表'!$H$33*AK$19+'13.建安成本表'!$H$47*AK$20+'13.建安成本表'!$H$61*AK$21+'13.建安成本表'!$H$75*AK$22+'13.建安成本表'!$H$89*AK$23+'13.建安成本表'!$H$103*AK$24+'13.建安成本表'!$H$117*AK$25</f>
        <v>0</v>
      </c>
      <c r="AM75" s="555">
        <f>'13.建安成本表'!$H$19*AL$18+'13.建安成本表'!$H$33*AL$19+'13.建安成本表'!$H$47*AL$20+'13.建安成本表'!$H$61*AL$21+'13.建安成本表'!$H$75*AL$22+'13.建安成本表'!$H$89*AL$23+'13.建安成本表'!$H$103*AL$24+'13.建安成本表'!$H$117*AL$25</f>
        <v>0</v>
      </c>
      <c r="AN75" s="553">
        <f>'13.建安成本表'!$H$19*AM$18+'13.建安成本表'!$H$33*AM$19+'13.建安成本表'!$H$47*AM$20+'13.建安成本表'!$H$61*AM$21+'13.建安成本表'!$H$75*AM$22+'13.建安成本表'!$H$89*AM$23+'13.建安成本表'!$H$103*AM$24+'13.建安成本表'!$H$117*AM$25</f>
        <v>0</v>
      </c>
      <c r="AO75" s="554">
        <f>'13.建安成本表'!$H$19*AN$18+'13.建安成本表'!$H$33*AN$19+'13.建安成本表'!$H$47*AN$20+'13.建安成本表'!$H$61*AN$21+'13.建安成本表'!$H$75*AN$22+'13.建安成本表'!$H$89*AN$23+'13.建安成本表'!$H$103*AN$24+'13.建安成本表'!$H$117*AN$25</f>
        <v>0</v>
      </c>
      <c r="AP75" s="554">
        <f>'13.建安成本表'!$H$19*AO$18+'13.建安成本表'!$H$33*AO$19+'13.建安成本表'!$H$47*AO$20+'13.建安成本表'!$H$61*AO$21+'13.建安成本表'!$H$75*AO$22+'13.建安成本表'!$H$89*AO$23+'13.建安成本表'!$H$103*AO$24+'13.建安成本表'!$H$117*AO$25</f>
        <v>0</v>
      </c>
      <c r="AQ75" s="555">
        <f>'13.建安成本表'!$H$19*AP$18+'13.建安成本表'!$H$33*AP$19+'13.建安成本表'!$H$47*AP$20+'13.建安成本表'!$H$61*AP$21+'13.建安成本表'!$H$75*AP$22+'13.建安成本表'!$H$89*AP$23+'13.建安成本表'!$H$103*AP$24+'13.建安成本表'!$H$117*AP$25</f>
        <v>0</v>
      </c>
      <c r="AR75" s="553">
        <f>'13.建安成本表'!$H$19*AQ$18+'13.建安成本表'!$H$33*AQ$19+'13.建安成本表'!$H$47*AQ$20+'13.建安成本表'!$H$61*AQ$21+'13.建安成本表'!$H$75*AQ$22+'13.建安成本表'!$H$89*AQ$23+'13.建安成本表'!$H$103*AQ$24+'13.建安成本表'!$H$117*AQ$25</f>
        <v>0</v>
      </c>
      <c r="AS75" s="554">
        <f>'13.建安成本表'!$H$19*AR$18+'13.建安成本表'!$H$33*AR$19+'13.建安成本表'!$H$47*AR$20+'13.建安成本表'!$H$61*AR$21+'13.建安成本表'!$H$75*AR$22+'13.建安成本表'!$H$89*AR$23+'13.建安成本表'!$H$103*AR$24+'13.建安成本表'!$H$117*AR$25</f>
        <v>0</v>
      </c>
      <c r="AT75" s="554">
        <f>'13.建安成本表'!$H$19*AS$18+'13.建安成本表'!$H$33*AS$19+'13.建安成本表'!$H$47*AS$20+'13.建安成本表'!$H$61*AS$21+'13.建安成本表'!$H$75*AS$22+'13.建安成本表'!$H$89*AS$23+'13.建安成本表'!$H$103*AS$24+'13.建安成本表'!$H$117*AS$25</f>
        <v>0</v>
      </c>
      <c r="AU75" s="555">
        <f>'13.建安成本表'!$H$19*AT$18+'13.建安成本表'!$H$33*AT$19+'13.建安成本表'!$H$47*AT$20+'13.建安成本表'!$H$61*AT$21+'13.建安成本表'!$H$75*AT$22+'13.建安成本表'!$H$89*AT$23+'13.建安成本表'!$H$103*AT$24+'13.建安成本表'!$H$117*AT$25</f>
        <v>0</v>
      </c>
    </row>
    <row r="76" spans="1:47" s="350" customFormat="1" ht="15.75" customHeight="1">
      <c r="A76" s="351"/>
      <c r="B76" s="551" t="s">
        <v>21</v>
      </c>
      <c r="C76" s="552">
        <f t="shared" si="1"/>
        <v>0</v>
      </c>
      <c r="D76" s="553">
        <f>'13.建安成本表'!$K$19*C$29+'13.建安成本表'!$K$33*C$30+'13.建安成本表'!$K$47*C$31+'13.建安成本表'!$K$61*C$32+'13.建安成本表'!$K$75*C$33+'13.建安成本表'!$K$89*C$34+'13.建安成本表'!$K$103*C$35+'13.建安成本表'!$K$117*C$36</f>
        <v>0</v>
      </c>
      <c r="E76" s="554">
        <f>'13.建安成本表'!$K$19*D$29+'13.建安成本表'!$K$33*D$30+'13.建安成本表'!$K$47*D$31+'13.建安成本表'!$K$61*D$32+'13.建安成本表'!$K$75*D$33+'13.建安成本表'!$K$89*D$34+'13.建安成本表'!$K$103*D$35+'13.建安成本表'!$K$117*D$36</f>
        <v>0</v>
      </c>
      <c r="F76" s="554">
        <f>'13.建安成本表'!$K$19*E$29+'13.建安成本表'!$K$33*E$30+'13.建安成本表'!$K$47*E$31+'13.建安成本表'!$K$61*E$32+'13.建安成本表'!$K$75*E$33+'13.建安成本表'!$K$89*E$34+'13.建安成本表'!$K$103*E$35+'13.建安成本表'!$K$117*E$36</f>
        <v>0</v>
      </c>
      <c r="G76" s="555">
        <f>'13.建安成本表'!$K$19*F$29+'13.建安成本表'!$K$33*F$30+'13.建安成本表'!$K$47*F$31+'13.建安成本表'!$K$61*F$32+'13.建安成本表'!$K$75*F$33+'13.建安成本表'!$K$89*F$34+'13.建安成本表'!$K$103*F$35+'13.建安成本表'!$K$117*F$36</f>
        <v>0</v>
      </c>
      <c r="H76" s="553">
        <f>'13.建安成本表'!$K$19*G$29+'13.建安成本表'!$K$33*G$30+'13.建安成本表'!$K$47*G$31+'13.建安成本表'!$K$61*G$32+'13.建安成本表'!$K$75*G$33+'13.建安成本表'!$K$89*G$34+'13.建安成本表'!$K$103*G$35+'13.建安成本表'!$K$117*G$36</f>
        <v>0</v>
      </c>
      <c r="I76" s="554">
        <f>'13.建安成本表'!$K$19*H$29+'13.建安成本表'!$K$33*H$30+'13.建安成本表'!$K$47*H$31+'13.建安成本表'!$K$61*H$32+'13.建安成本表'!$K$75*H$33+'13.建安成本表'!$K$89*H$34+'13.建安成本表'!$K$103*H$35+'13.建安成本表'!$K$117*H$36</f>
        <v>0</v>
      </c>
      <c r="J76" s="554">
        <f>'13.建安成本表'!$K$19*I$29+'13.建安成本表'!$K$33*I$30+'13.建安成本表'!$K$47*I$31+'13.建安成本表'!$K$61*I$32+'13.建安成本表'!$K$75*I$33+'13.建安成本表'!$K$89*I$34+'13.建安成本表'!$K$103*I$35+'13.建安成本表'!$K$117*I$36</f>
        <v>0</v>
      </c>
      <c r="K76" s="555">
        <f>'13.建安成本表'!$K$19*J$29+'13.建安成本表'!$K$33*J$30+'13.建安成本表'!$K$47*J$31+'13.建安成本表'!$K$61*J$32+'13.建安成本表'!$K$75*J$33+'13.建安成本表'!$K$89*J$34+'13.建安成本表'!$K$103*J$35+'13.建安成本表'!$K$117*J$36</f>
        <v>0</v>
      </c>
      <c r="L76" s="553">
        <f>'13.建安成本表'!$K$19*K$29+'13.建安成本表'!$K$33*K$30+'13.建安成本表'!$K$47*K$31+'13.建安成本表'!$K$61*K$32+'13.建安成本表'!$K$75*K$33+'13.建安成本表'!$K$89*K$34+'13.建安成本表'!$K$103*K$35+'13.建安成本表'!$K$117*K$36</f>
        <v>0</v>
      </c>
      <c r="M76" s="554">
        <f>'13.建安成本表'!$K$19*L$29+'13.建安成本表'!$K$33*L$30+'13.建安成本表'!$K$47*L$31+'13.建安成本表'!$K$61*L$32+'13.建安成本表'!$K$75*L$33+'13.建安成本表'!$K$89*L$34+'13.建安成本表'!$K$103*L$35+'13.建安成本表'!$K$117*L$36</f>
        <v>0</v>
      </c>
      <c r="N76" s="554">
        <f>'13.建安成本表'!$K$19*M$29+'13.建安成本表'!$K$33*M$30+'13.建安成本表'!$K$47*M$31+'13.建安成本表'!$K$61*M$32+'13.建安成本表'!$K$75*M$33+'13.建安成本表'!$K$89*M$34+'13.建安成本表'!$K$103*M$35+'13.建安成本表'!$K$117*M$36</f>
        <v>0</v>
      </c>
      <c r="O76" s="555">
        <f>'13.建安成本表'!$K$19*N$29+'13.建安成本表'!$K$33*N$30+'13.建安成本表'!$K$47*N$31+'13.建安成本表'!$K$61*N$32+'13.建安成本表'!$K$75*N$33+'13.建安成本表'!$K$89*N$34+'13.建安成本表'!$K$103*N$35+'13.建安成本表'!$K$117*N$36</f>
        <v>0</v>
      </c>
      <c r="P76" s="553">
        <f>'13.建安成本表'!$K$19*O$29+'13.建安成本表'!$K$33*O$30+'13.建安成本表'!$K$47*O$31+'13.建安成本表'!$K$61*O$32+'13.建安成本表'!$K$75*O$33+'13.建安成本表'!$K$89*O$34+'13.建安成本表'!$K$103*O$35+'13.建安成本表'!$K$117*O$36</f>
        <v>0</v>
      </c>
      <c r="Q76" s="554">
        <f>'13.建安成本表'!$K$19*P$29+'13.建安成本表'!$K$33*P$30+'13.建安成本表'!$K$47*P$31+'13.建安成本表'!$K$61*P$32+'13.建安成本表'!$K$75*P$33+'13.建安成本表'!$K$89*P$34+'13.建安成本表'!$K$103*P$35+'13.建安成本表'!$K$117*P$36</f>
        <v>0</v>
      </c>
      <c r="R76" s="554">
        <f>'13.建安成本表'!$K$19*Q$29+'13.建安成本表'!$K$33*Q$30+'13.建安成本表'!$K$47*Q$31+'13.建安成本表'!$K$61*Q$32+'13.建安成本表'!$K$75*Q$33+'13.建安成本表'!$K$89*Q$34+'13.建安成本表'!$K$103*Q$35+'13.建安成本表'!$K$117*Q$36</f>
        <v>0</v>
      </c>
      <c r="S76" s="555">
        <f>'13.建安成本表'!$K$19*R$29+'13.建安成本表'!$K$33*R$30+'13.建安成本表'!$K$47*R$31+'13.建安成本表'!$K$61*R$32+'13.建安成本表'!$K$75*R$33+'13.建安成本表'!$K$89*R$34+'13.建安成本表'!$K$103*R$35+'13.建安成本表'!$K$117*R$36</f>
        <v>0</v>
      </c>
      <c r="T76" s="553">
        <f>'13.建安成本表'!$K$19*S$29+'13.建安成本表'!$K$33*S$30+'13.建安成本表'!$K$47*S$31+'13.建安成本表'!$K$61*S$32+'13.建安成本表'!$K$75*S$33+'13.建安成本表'!$K$89*S$34+'13.建安成本表'!$K$103*S$35+'13.建安成本表'!$K$117*S$36</f>
        <v>0</v>
      </c>
      <c r="U76" s="554">
        <f>'13.建安成本表'!$K$19*T$29+'13.建安成本表'!$K$33*T$30+'13.建安成本表'!$K$47*T$31+'13.建安成本表'!$K$61*T$32+'13.建安成本表'!$K$75*T$33+'13.建安成本表'!$K$89*T$34+'13.建安成本表'!$K$103*T$35+'13.建安成本表'!$K$117*T$36</f>
        <v>0</v>
      </c>
      <c r="V76" s="554">
        <f>'13.建安成本表'!$K$19*U$29+'13.建安成本表'!$K$33*U$30+'13.建安成本表'!$K$47*U$31+'13.建安成本表'!$K$61*U$32+'13.建安成本表'!$K$75*U$33+'13.建安成本表'!$K$89*U$34+'13.建安成本表'!$K$103*U$35+'13.建安成本表'!$K$117*U$36</f>
        <v>0</v>
      </c>
      <c r="W76" s="555">
        <f>'13.建安成本表'!$K$19*V$29+'13.建安成本表'!$K$33*V$30+'13.建安成本表'!$K$47*V$31+'13.建安成本表'!$K$61*V$32+'13.建安成本表'!$K$75*V$33+'13.建安成本表'!$K$89*V$34+'13.建安成本表'!$K$103*V$35+'13.建安成本表'!$K$117*V$36</f>
        <v>0</v>
      </c>
      <c r="X76" s="553">
        <f>'13.建安成本表'!$K$19*W$29+'13.建安成本表'!$K$33*W$30+'13.建安成本表'!$K$47*W$31+'13.建安成本表'!$K$61*W$32+'13.建安成本表'!$K$75*W$33+'13.建安成本表'!$K$89*W$34+'13.建安成本表'!$K$103*W$35+'13.建安成本表'!$K$117*W$36</f>
        <v>0</v>
      </c>
      <c r="Y76" s="554">
        <f>'13.建安成本表'!$K$19*X$29+'13.建安成本表'!$K$33*X$30+'13.建安成本表'!$K$47*X$31+'13.建安成本表'!$K$61*X$32+'13.建安成本表'!$K$75*X$33+'13.建安成本表'!$K$89*X$34+'13.建安成本表'!$K$103*X$35+'13.建安成本表'!$K$117*X$36</f>
        <v>0</v>
      </c>
      <c r="Z76" s="554">
        <f>'13.建安成本表'!$K$19*Y$29+'13.建安成本表'!$K$33*Y$30+'13.建安成本表'!$K$47*Y$31+'13.建安成本表'!$K$61*Y$32+'13.建安成本表'!$K$75*Y$33+'13.建安成本表'!$K$89*Y$34+'13.建安成本表'!$K$103*Y$35+'13.建安成本表'!$K$117*Y$36</f>
        <v>0</v>
      </c>
      <c r="AA76" s="555">
        <f>'13.建安成本表'!$K$19*Z$29+'13.建安成本表'!$K$33*Z$30+'13.建安成本表'!$K$47*Z$31+'13.建安成本表'!$K$61*Z$32+'13.建安成本表'!$K$75*Z$33+'13.建安成本表'!$K$89*Z$34+'13.建安成本表'!$K$103*Z$35+'13.建安成本表'!$K$117*Z$36</f>
        <v>0</v>
      </c>
      <c r="AB76" s="553">
        <f>'13.建安成本表'!$K$19*AA$29+'13.建安成本表'!$K$33*AA$30+'13.建安成本表'!$K$47*AA$31+'13.建安成本表'!$K$61*AA$32+'13.建安成本表'!$K$75*AA$33+'13.建安成本表'!$K$89*AA$34+'13.建安成本表'!$K$103*AA$35+'13.建安成本表'!$K$117*AA$36</f>
        <v>0</v>
      </c>
      <c r="AC76" s="554">
        <f>'13.建安成本表'!$K$19*AB$29+'13.建安成本表'!$K$33*AB$30+'13.建安成本表'!$K$47*AB$31+'13.建安成本表'!$K$61*AB$32+'13.建安成本表'!$K$75*AB$33+'13.建安成本表'!$K$89*AB$34+'13.建安成本表'!$K$103*AB$35+'13.建安成本表'!$K$117*AB$36</f>
        <v>0</v>
      </c>
      <c r="AD76" s="554">
        <f>'13.建安成本表'!$K$19*AC$29+'13.建安成本表'!$K$33*AC$30+'13.建安成本表'!$K$47*AC$31+'13.建安成本表'!$K$61*AC$32+'13.建安成本表'!$K$75*AC$33+'13.建安成本表'!$K$89*AC$34+'13.建安成本表'!$K$103*AC$35+'13.建安成本表'!$K$117*AC$36</f>
        <v>0</v>
      </c>
      <c r="AE76" s="555">
        <f>'13.建安成本表'!$K$19*AD$29+'13.建安成本表'!$K$33*AD$30+'13.建安成本表'!$K$47*AD$31+'13.建安成本表'!$K$61*AD$32+'13.建安成本表'!$K$75*AD$33+'13.建安成本表'!$K$89*AD$34+'13.建安成本表'!$K$103*AD$35+'13.建安成本表'!$K$117*AD$36</f>
        <v>0</v>
      </c>
      <c r="AF76" s="553">
        <f>'13.建安成本表'!$K$19*AE$29+'13.建安成本表'!$K$33*AE$30+'13.建安成本表'!$K$47*AE$31+'13.建安成本表'!$K$61*AE$32+'13.建安成本表'!$K$75*AE$33+'13.建安成本表'!$K$89*AE$34+'13.建安成本表'!$K$103*AE$35+'13.建安成本表'!$K$117*AE$36</f>
        <v>0</v>
      </c>
      <c r="AG76" s="554">
        <f>'13.建安成本表'!$K$19*AF$29+'13.建安成本表'!$K$33*AF$30+'13.建安成本表'!$K$47*AF$31+'13.建安成本表'!$K$61*AF$32+'13.建安成本表'!$K$75*AF$33+'13.建安成本表'!$K$89*AF$34+'13.建安成本表'!$K$103*AF$35+'13.建安成本表'!$K$117*AF$36</f>
        <v>0</v>
      </c>
      <c r="AH76" s="554">
        <f>'13.建安成本表'!$K$19*AG$29+'13.建安成本表'!$K$33*AG$30+'13.建安成本表'!$K$47*AG$31+'13.建安成本表'!$K$61*AG$32+'13.建安成本表'!$K$75*AG$33+'13.建安成本表'!$K$89*AG$34+'13.建安成本表'!$K$103*AG$35+'13.建安成本表'!$K$117*AG$36</f>
        <v>0</v>
      </c>
      <c r="AI76" s="555">
        <f>'13.建安成本表'!$K$19*AH$29+'13.建安成本表'!$K$33*AH$30+'13.建安成本表'!$K$47*AH$31+'13.建安成本表'!$K$61*AH$32+'13.建安成本表'!$K$75*AH$33+'13.建安成本表'!$K$89*AH$34+'13.建安成本表'!$K$103*AH$35+'13.建安成本表'!$K$117*AH$36</f>
        <v>0</v>
      </c>
      <c r="AJ76" s="553">
        <f>'13.建安成本表'!$K$19*AI$29+'13.建安成本表'!$K$33*AI$30+'13.建安成本表'!$K$47*AI$31+'13.建安成本表'!$K$61*AI$32+'13.建安成本表'!$K$75*AI$33+'13.建安成本表'!$K$89*AI$34+'13.建安成本表'!$K$103*AI$35+'13.建安成本表'!$K$117*AI$36</f>
        <v>0</v>
      </c>
      <c r="AK76" s="554">
        <f>'13.建安成本表'!$K$19*AJ$29+'13.建安成本表'!$K$33*AJ$30+'13.建安成本表'!$K$47*AJ$31+'13.建安成本表'!$K$61*AJ$32+'13.建安成本表'!$K$75*AJ$33+'13.建安成本表'!$K$89*AJ$34+'13.建安成本表'!$K$103*AJ$35+'13.建安成本表'!$K$117*AJ$36</f>
        <v>0</v>
      </c>
      <c r="AL76" s="554">
        <f>'13.建安成本表'!$K$19*AK$29+'13.建安成本表'!$K$33*AK$30+'13.建安成本表'!$K$47*AK$31+'13.建安成本表'!$K$61*AK$32+'13.建安成本表'!$K$75*AK$33+'13.建安成本表'!$K$89*AK$34+'13.建安成本表'!$K$103*AK$35+'13.建安成本表'!$K$117*AK$36</f>
        <v>0</v>
      </c>
      <c r="AM76" s="555">
        <f>'13.建安成本表'!$K$19*AL$29+'13.建安成本表'!$K$33*AL$30+'13.建安成本表'!$K$47*AL$31+'13.建安成本表'!$K$61*AL$32+'13.建安成本表'!$K$75*AL$33+'13.建安成本表'!$K$89*AL$34+'13.建安成本表'!$K$103*AL$35+'13.建安成本表'!$K$117*AL$36</f>
        <v>0</v>
      </c>
      <c r="AN76" s="553">
        <f>'13.建安成本表'!$K$19*AM$29+'13.建安成本表'!$K$33*AM$30+'13.建安成本表'!$K$47*AM$31+'13.建安成本表'!$K$61*AM$32+'13.建安成本表'!$K$75*AM$33+'13.建安成本表'!$K$89*AM$34+'13.建安成本表'!$K$103*AM$35+'13.建安成本表'!$K$117*AM$36</f>
        <v>0</v>
      </c>
      <c r="AO76" s="554">
        <f>'13.建安成本表'!$K$19*AN$29+'13.建安成本表'!$K$33*AN$30+'13.建安成本表'!$K$47*AN$31+'13.建安成本表'!$K$61*AN$32+'13.建安成本表'!$K$75*AN$33+'13.建安成本表'!$K$89*AN$34+'13.建安成本表'!$K$103*AN$35+'13.建安成本表'!$K$117*AN$36</f>
        <v>0</v>
      </c>
      <c r="AP76" s="554">
        <f>'13.建安成本表'!$K$19*AO$29+'13.建安成本表'!$K$33*AO$30+'13.建安成本表'!$K$47*AO$31+'13.建安成本表'!$K$61*AO$32+'13.建安成本表'!$K$75*AO$33+'13.建安成本表'!$K$89*AO$34+'13.建安成本表'!$K$103*AO$35+'13.建安成本表'!$K$117*AO$36</f>
        <v>0</v>
      </c>
      <c r="AQ76" s="555">
        <f>'13.建安成本表'!$K$19*AP$29+'13.建安成本表'!$K$33*AP$30+'13.建安成本表'!$K$47*AP$31+'13.建安成本表'!$K$61*AP$32+'13.建安成本表'!$K$75*AP$33+'13.建安成本表'!$K$89*AP$34+'13.建安成本表'!$K$103*AP$35+'13.建安成本表'!$K$117*AP$36</f>
        <v>0</v>
      </c>
      <c r="AR76" s="553">
        <f>'13.建安成本表'!$K$19*AQ$29+'13.建安成本表'!$K$33*AQ$30+'13.建安成本表'!$K$47*AQ$31+'13.建安成本表'!$K$61*AQ$32+'13.建安成本表'!$K$75*AQ$33+'13.建安成本表'!$K$89*AQ$34+'13.建安成本表'!$K$103*AQ$35+'13.建安成本表'!$K$117*AQ$36</f>
        <v>0</v>
      </c>
      <c r="AS76" s="554">
        <f>'13.建安成本表'!$K$19*AR$29+'13.建安成本表'!$K$33*AR$30+'13.建安成本表'!$K$47*AR$31+'13.建安成本表'!$K$61*AR$32+'13.建安成本表'!$K$75*AR$33+'13.建安成本表'!$K$89*AR$34+'13.建安成本表'!$K$103*AR$35+'13.建安成本表'!$K$117*AR$36</f>
        <v>0</v>
      </c>
      <c r="AT76" s="554">
        <f>'13.建安成本表'!$K$19*AS$29+'13.建安成本表'!$K$33*AS$30+'13.建安成本表'!$K$47*AS$31+'13.建安成本表'!$K$61*AS$32+'13.建安成本表'!$K$75*AS$33+'13.建安成本表'!$K$89*AS$34+'13.建安成本表'!$K$103*AS$35+'13.建安成本表'!$K$117*AS$36</f>
        <v>0</v>
      </c>
      <c r="AU76" s="555">
        <f>'13.建安成本表'!$K$19*AT$29+'13.建安成本表'!$K$33*AT$30+'13.建安成本表'!$K$47*AT$31+'13.建安成本表'!$K$61*AT$32+'13.建安成本表'!$K$75*AT$33+'13.建安成本表'!$K$89*AT$34+'13.建安成本表'!$K$103*AT$35+'13.建安成本表'!$K$117*AT$36</f>
        <v>0</v>
      </c>
    </row>
    <row r="77" spans="1:47" s="350" customFormat="1" ht="15.75" customHeight="1">
      <c r="A77" s="351"/>
      <c r="B77" s="551" t="s">
        <v>22</v>
      </c>
      <c r="C77" s="552">
        <f t="shared" si="1"/>
        <v>0</v>
      </c>
      <c r="D77" s="553">
        <f>'13.建安成本表'!$N$19*C$40+'13.建安成本表'!$N$33*C$41+'13.建安成本表'!$N$47*C$42+'13.建安成本表'!$N$61*C$43+'13.建安成本表'!$N$75*C$44+'13.建安成本表'!$N$89*C$45+'13.建安成本表'!$N$103*C$46+'13.建安成本表'!$N$117*C$47</f>
        <v>0</v>
      </c>
      <c r="E77" s="554">
        <f>'13.建安成本表'!$N$19*D$40+'13.建安成本表'!$N$33*D$41+'13.建安成本表'!$N$47*D$42+'13.建安成本表'!$N$61*D$43+'13.建安成本表'!$N$75*D$44+'13.建安成本表'!$N$89*D$45+'13.建安成本表'!$N$103*D$46+'13.建安成本表'!$N$117*D$47</f>
        <v>0</v>
      </c>
      <c r="F77" s="554">
        <f>'13.建安成本表'!$N$19*E$40+'13.建安成本表'!$N$33*E$41+'13.建安成本表'!$N$47*E$42+'13.建安成本表'!$N$61*E$43+'13.建安成本表'!$N$75*E$44+'13.建安成本表'!$N$89*E$45+'13.建安成本表'!$N$103*E$46+'13.建安成本表'!$N$117*E$47</f>
        <v>0</v>
      </c>
      <c r="G77" s="555">
        <f>'13.建安成本表'!$N$19*F$40+'13.建安成本表'!$N$33*F$41+'13.建安成本表'!$N$47*F$42+'13.建安成本表'!$N$61*F$43+'13.建安成本表'!$N$75*F$44+'13.建安成本表'!$N$89*F$45+'13.建安成本表'!$N$103*F$46+'13.建安成本表'!$N$117*F$47</f>
        <v>0</v>
      </c>
      <c r="H77" s="553">
        <f>'13.建安成本表'!$N$19*G$40+'13.建安成本表'!$N$33*G$41+'13.建安成本表'!$N$47*G$42+'13.建安成本表'!$N$61*G$43+'13.建安成本表'!$N$75*G$44+'13.建安成本表'!$N$89*G$45+'13.建安成本表'!$N$103*G$46+'13.建安成本表'!$N$117*G$47</f>
        <v>0</v>
      </c>
      <c r="I77" s="554">
        <f>'13.建安成本表'!$N$19*H$40+'13.建安成本表'!$N$33*H$41+'13.建安成本表'!$N$47*H$42+'13.建安成本表'!$N$61*H$43+'13.建安成本表'!$N$75*H$44+'13.建安成本表'!$N$89*H$45+'13.建安成本表'!$N$103*H$46+'13.建安成本表'!$N$117*H$47</f>
        <v>0</v>
      </c>
      <c r="J77" s="554">
        <f>'13.建安成本表'!$N$19*I$40+'13.建安成本表'!$N$33*I$41+'13.建安成本表'!$N$47*I$42+'13.建安成本表'!$N$61*I$43+'13.建安成本表'!$N$75*I$44+'13.建安成本表'!$N$89*I$45+'13.建安成本表'!$N$103*I$46+'13.建安成本表'!$N$117*I$47</f>
        <v>0</v>
      </c>
      <c r="K77" s="555">
        <f>'13.建安成本表'!$N$19*J$40+'13.建安成本表'!$N$33*J$41+'13.建安成本表'!$N$47*J$42+'13.建安成本表'!$N$61*J$43+'13.建安成本表'!$N$75*J$44+'13.建安成本表'!$N$89*J$45+'13.建安成本表'!$N$103*J$46+'13.建安成本表'!$N$117*J$47</f>
        <v>0</v>
      </c>
      <c r="L77" s="553">
        <f>'13.建安成本表'!$N$19*K$40+'13.建安成本表'!$N$33*K$41+'13.建安成本表'!$N$47*K$42+'13.建安成本表'!$N$61*K$43+'13.建安成本表'!$N$75*K$44+'13.建安成本表'!$N$89*K$45+'13.建安成本表'!$N$103*K$46+'13.建安成本表'!$N$117*K$47</f>
        <v>0</v>
      </c>
      <c r="M77" s="554">
        <f>'13.建安成本表'!$N$19*L$40+'13.建安成本表'!$N$33*L$41+'13.建安成本表'!$N$47*L$42+'13.建安成本表'!$N$61*L$43+'13.建安成本表'!$N$75*L$44+'13.建安成本表'!$N$89*L$45+'13.建安成本表'!$N$103*L$46+'13.建安成本表'!$N$117*L$47</f>
        <v>0</v>
      </c>
      <c r="N77" s="554">
        <f>'13.建安成本表'!$N$19*M$40+'13.建安成本表'!$N$33*M$41+'13.建安成本表'!$N$47*M$42+'13.建安成本表'!$N$61*M$43+'13.建安成本表'!$N$75*M$44+'13.建安成本表'!$N$89*M$45+'13.建安成本表'!$N$103*M$46+'13.建安成本表'!$N$117*M$47</f>
        <v>0</v>
      </c>
      <c r="O77" s="555">
        <f>'13.建安成本表'!$N$19*N$40+'13.建安成本表'!$N$33*N$41+'13.建安成本表'!$N$47*N$42+'13.建安成本表'!$N$61*N$43+'13.建安成本表'!$N$75*N$44+'13.建安成本表'!$N$89*N$45+'13.建安成本表'!$N$103*N$46+'13.建安成本表'!$N$117*N$47</f>
        <v>0</v>
      </c>
      <c r="P77" s="553">
        <f>'13.建安成本表'!$N$19*O$40+'13.建安成本表'!$N$33*O$41+'13.建安成本表'!$N$47*O$42+'13.建安成本表'!$N$61*O$43+'13.建安成本表'!$N$75*O$44+'13.建安成本表'!$N$89*O$45+'13.建安成本表'!$N$103*O$46+'13.建安成本表'!$N$117*O$47</f>
        <v>0</v>
      </c>
      <c r="Q77" s="554">
        <f>'13.建安成本表'!$N$19*P$40+'13.建安成本表'!$N$33*P$41+'13.建安成本表'!$N$47*P$42+'13.建安成本表'!$N$61*P$43+'13.建安成本表'!$N$75*P$44+'13.建安成本表'!$N$89*P$45+'13.建安成本表'!$N$103*P$46+'13.建安成本表'!$N$117*P$47</f>
        <v>0</v>
      </c>
      <c r="R77" s="554">
        <f>'13.建安成本表'!$N$19*Q$40+'13.建安成本表'!$N$33*Q$41+'13.建安成本表'!$N$47*Q$42+'13.建安成本表'!$N$61*Q$43+'13.建安成本表'!$N$75*Q$44+'13.建安成本表'!$N$89*Q$45+'13.建安成本表'!$N$103*Q$46+'13.建安成本表'!$N$117*Q$47</f>
        <v>0</v>
      </c>
      <c r="S77" s="555">
        <f>'13.建安成本表'!$N$19*R$40+'13.建安成本表'!$N$33*R$41+'13.建安成本表'!$N$47*R$42+'13.建安成本表'!$N$61*R$43+'13.建安成本表'!$N$75*R$44+'13.建安成本表'!$N$89*R$45+'13.建安成本表'!$N$103*R$46+'13.建安成本表'!$N$117*R$47</f>
        <v>0</v>
      </c>
      <c r="T77" s="553">
        <f>'13.建安成本表'!$N$19*S$40+'13.建安成本表'!$N$33*S$41+'13.建安成本表'!$N$47*S$42+'13.建安成本表'!$N$61*S$43+'13.建安成本表'!$N$75*S$44+'13.建安成本表'!$N$89*S$45+'13.建安成本表'!$N$103*S$46+'13.建安成本表'!$N$117*S$47</f>
        <v>0</v>
      </c>
      <c r="U77" s="554">
        <f>'13.建安成本表'!$N$19*T$40+'13.建安成本表'!$N$33*T$41+'13.建安成本表'!$N$47*T$42+'13.建安成本表'!$N$61*T$43+'13.建安成本表'!$N$75*T$44+'13.建安成本表'!$N$89*T$45+'13.建安成本表'!$N$103*T$46+'13.建安成本表'!$N$117*T$47</f>
        <v>0</v>
      </c>
      <c r="V77" s="554">
        <f>'13.建安成本表'!$N$19*U$40+'13.建安成本表'!$N$33*U$41+'13.建安成本表'!$N$47*U$42+'13.建安成本表'!$N$61*U$43+'13.建安成本表'!$N$75*U$44+'13.建安成本表'!$N$89*U$45+'13.建安成本表'!$N$103*U$46+'13.建安成本表'!$N$117*U$47</f>
        <v>0</v>
      </c>
      <c r="W77" s="555">
        <f>'13.建安成本表'!$N$19*V$40+'13.建安成本表'!$N$33*V$41+'13.建安成本表'!$N$47*V$42+'13.建安成本表'!$N$61*V$43+'13.建安成本表'!$N$75*V$44+'13.建安成本表'!$N$89*V$45+'13.建安成本表'!$N$103*V$46+'13.建安成本表'!$N$117*V$47</f>
        <v>0</v>
      </c>
      <c r="X77" s="553">
        <f>'13.建安成本表'!$N$19*W$40+'13.建安成本表'!$N$33*W$41+'13.建安成本表'!$N$47*W$42+'13.建安成本表'!$N$61*W$43+'13.建安成本表'!$N$75*W$44+'13.建安成本表'!$N$89*W$45+'13.建安成本表'!$N$103*W$46+'13.建安成本表'!$N$117*W$47</f>
        <v>0</v>
      </c>
      <c r="Y77" s="554">
        <f>'13.建安成本表'!$N$19*X$40+'13.建安成本表'!$N$33*X$41+'13.建安成本表'!$N$47*X$42+'13.建安成本表'!$N$61*X$43+'13.建安成本表'!$N$75*X$44+'13.建安成本表'!$N$89*X$45+'13.建安成本表'!$N$103*X$46+'13.建安成本表'!$N$117*X$47</f>
        <v>0</v>
      </c>
      <c r="Z77" s="554">
        <f>'13.建安成本表'!$N$19*Y$40+'13.建安成本表'!$N$33*Y$41+'13.建安成本表'!$N$47*Y$42+'13.建安成本表'!$N$61*Y$43+'13.建安成本表'!$N$75*Y$44+'13.建安成本表'!$N$89*Y$45+'13.建安成本表'!$N$103*Y$46+'13.建安成本表'!$N$117*Y$47</f>
        <v>0</v>
      </c>
      <c r="AA77" s="555">
        <f>'13.建安成本表'!$N$19*Z$40+'13.建安成本表'!$N$33*Z$41+'13.建安成本表'!$N$47*Z$42+'13.建安成本表'!$N$61*Z$43+'13.建安成本表'!$N$75*Z$44+'13.建安成本表'!$N$89*Z$45+'13.建安成本表'!$N$103*Z$46+'13.建安成本表'!$N$117*Z$47</f>
        <v>0</v>
      </c>
      <c r="AB77" s="553">
        <f>'13.建安成本表'!$N$19*AA$40+'13.建安成本表'!$N$33*AA$41+'13.建安成本表'!$N$47*AA$42+'13.建安成本表'!$N$61*AA$43+'13.建安成本表'!$N$75*AA$44+'13.建安成本表'!$N$89*AA$45+'13.建安成本表'!$N$103*AA$46+'13.建安成本表'!$N$117*AA$47</f>
        <v>0</v>
      </c>
      <c r="AC77" s="554">
        <f>'13.建安成本表'!$N$19*AB$40+'13.建安成本表'!$N$33*AB$41+'13.建安成本表'!$N$47*AB$42+'13.建安成本表'!$N$61*AB$43+'13.建安成本表'!$N$75*AB$44+'13.建安成本表'!$N$89*AB$45+'13.建安成本表'!$N$103*AB$46+'13.建安成本表'!$N$117*AB$47</f>
        <v>0</v>
      </c>
      <c r="AD77" s="554">
        <f>'13.建安成本表'!$N$19*AC$40+'13.建安成本表'!$N$33*AC$41+'13.建安成本表'!$N$47*AC$42+'13.建安成本表'!$N$61*AC$43+'13.建安成本表'!$N$75*AC$44+'13.建安成本表'!$N$89*AC$45+'13.建安成本表'!$N$103*AC$46+'13.建安成本表'!$N$117*AC$47</f>
        <v>0</v>
      </c>
      <c r="AE77" s="555">
        <f>'13.建安成本表'!$N$19*AD$40+'13.建安成本表'!$N$33*AD$41+'13.建安成本表'!$N$47*AD$42+'13.建安成本表'!$N$61*AD$43+'13.建安成本表'!$N$75*AD$44+'13.建安成本表'!$N$89*AD$45+'13.建安成本表'!$N$103*AD$46+'13.建安成本表'!$N$117*AD$47</f>
        <v>0</v>
      </c>
      <c r="AF77" s="553">
        <f>'13.建安成本表'!$N$19*AE$40+'13.建安成本表'!$N$33*AE$41+'13.建安成本表'!$N$47*AE$42+'13.建安成本表'!$N$61*AE$43+'13.建安成本表'!$N$75*AE$44+'13.建安成本表'!$N$89*AE$45+'13.建安成本表'!$N$103*AE$46+'13.建安成本表'!$N$117*AE$47</f>
        <v>0</v>
      </c>
      <c r="AG77" s="554">
        <f>'13.建安成本表'!$N$19*AF$40+'13.建安成本表'!$N$33*AF$41+'13.建安成本表'!$N$47*AF$42+'13.建安成本表'!$N$61*AF$43+'13.建安成本表'!$N$75*AF$44+'13.建安成本表'!$N$89*AF$45+'13.建安成本表'!$N$103*AF$46+'13.建安成本表'!$N$117*AF$47</f>
        <v>0</v>
      </c>
      <c r="AH77" s="554">
        <f>'13.建安成本表'!$N$19*AG$40+'13.建安成本表'!$N$33*AG$41+'13.建安成本表'!$N$47*AG$42+'13.建安成本表'!$N$61*AG$43+'13.建安成本表'!$N$75*AG$44+'13.建安成本表'!$N$89*AG$45+'13.建安成本表'!$N$103*AG$46+'13.建安成本表'!$N$117*AG$47</f>
        <v>0</v>
      </c>
      <c r="AI77" s="555">
        <f>'13.建安成本表'!$N$19*AH$40+'13.建安成本表'!$N$33*AH$41+'13.建安成本表'!$N$47*AH$42+'13.建安成本表'!$N$61*AH$43+'13.建安成本表'!$N$75*AH$44+'13.建安成本表'!$N$89*AH$45+'13.建安成本表'!$N$103*AH$46+'13.建安成本表'!$N$117*AH$47</f>
        <v>0</v>
      </c>
      <c r="AJ77" s="553">
        <f>'13.建安成本表'!$N$19*AI$40+'13.建安成本表'!$N$33*AI$41+'13.建安成本表'!$N$47*AI$42+'13.建安成本表'!$N$61*AI$43+'13.建安成本表'!$N$75*AI$44+'13.建安成本表'!$N$89*AI$45+'13.建安成本表'!$N$103*AI$46+'13.建安成本表'!$N$117*AI$47</f>
        <v>0</v>
      </c>
      <c r="AK77" s="554">
        <f>'13.建安成本表'!$N$19*AJ$40+'13.建安成本表'!$N$33*AJ$41+'13.建安成本表'!$N$47*AJ$42+'13.建安成本表'!$N$61*AJ$43+'13.建安成本表'!$N$75*AJ$44+'13.建安成本表'!$N$89*AJ$45+'13.建安成本表'!$N$103*AJ$46+'13.建安成本表'!$N$117*AJ$47</f>
        <v>0</v>
      </c>
      <c r="AL77" s="554">
        <f>'13.建安成本表'!$N$19*AK$40+'13.建安成本表'!$N$33*AK$41+'13.建安成本表'!$N$47*AK$42+'13.建安成本表'!$N$61*AK$43+'13.建安成本表'!$N$75*AK$44+'13.建安成本表'!$N$89*AK$45+'13.建安成本表'!$N$103*AK$46+'13.建安成本表'!$N$117*AK$47</f>
        <v>0</v>
      </c>
      <c r="AM77" s="555">
        <f>'13.建安成本表'!$N$19*AL$40+'13.建安成本表'!$N$33*AL$41+'13.建安成本表'!$N$47*AL$42+'13.建安成本表'!$N$61*AL$43+'13.建安成本表'!$N$75*AL$44+'13.建安成本表'!$N$89*AL$45+'13.建安成本表'!$N$103*AL$46+'13.建安成本表'!$N$117*AL$47</f>
        <v>0</v>
      </c>
      <c r="AN77" s="553">
        <f>'13.建安成本表'!$N$19*AM$40+'13.建安成本表'!$N$33*AM$41+'13.建安成本表'!$N$47*AM$42+'13.建安成本表'!$N$61*AM$43+'13.建安成本表'!$N$75*AM$44+'13.建安成本表'!$N$89*AM$45+'13.建安成本表'!$N$103*AM$46+'13.建安成本表'!$N$117*AM$47</f>
        <v>0</v>
      </c>
      <c r="AO77" s="554">
        <f>'13.建安成本表'!$N$19*AN$40+'13.建安成本表'!$N$33*AN$41+'13.建安成本表'!$N$47*AN$42+'13.建安成本表'!$N$61*AN$43+'13.建安成本表'!$N$75*AN$44+'13.建安成本表'!$N$89*AN$45+'13.建安成本表'!$N$103*AN$46+'13.建安成本表'!$N$117*AN$47</f>
        <v>0</v>
      </c>
      <c r="AP77" s="554">
        <f>'13.建安成本表'!$N$19*AO$40+'13.建安成本表'!$N$33*AO$41+'13.建安成本表'!$N$47*AO$42+'13.建安成本表'!$N$61*AO$43+'13.建安成本表'!$N$75*AO$44+'13.建安成本表'!$N$89*AO$45+'13.建安成本表'!$N$103*AO$46+'13.建安成本表'!$N$117*AO$47</f>
        <v>0</v>
      </c>
      <c r="AQ77" s="555">
        <f>'13.建安成本表'!$N$19*AP$40+'13.建安成本表'!$N$33*AP$41+'13.建安成本表'!$N$47*AP$42+'13.建安成本表'!$N$61*AP$43+'13.建安成本表'!$N$75*AP$44+'13.建安成本表'!$N$89*AP$45+'13.建安成本表'!$N$103*AP$46+'13.建安成本表'!$N$117*AP$47</f>
        <v>0</v>
      </c>
      <c r="AR77" s="553">
        <f>'13.建安成本表'!$N$19*AQ$40+'13.建安成本表'!$N$33*AQ$41+'13.建安成本表'!$N$47*AQ$42+'13.建安成本表'!$N$61*AQ$43+'13.建安成本表'!$N$75*AQ$44+'13.建安成本表'!$N$89*AQ$45+'13.建安成本表'!$N$103*AQ$46+'13.建安成本表'!$N$117*AQ$47</f>
        <v>0</v>
      </c>
      <c r="AS77" s="554">
        <f>'13.建安成本表'!$N$19*AR$40+'13.建安成本表'!$N$33*AR$41+'13.建安成本表'!$N$47*AR$42+'13.建安成本表'!$N$61*AR$43+'13.建安成本表'!$N$75*AR$44+'13.建安成本表'!$N$89*AR$45+'13.建安成本表'!$N$103*AR$46+'13.建安成本表'!$N$117*AR$47</f>
        <v>0</v>
      </c>
      <c r="AT77" s="554">
        <f>'13.建安成本表'!$N$19*AS$40+'13.建安成本表'!$N$33*AS$41+'13.建安成本表'!$N$47*AS$42+'13.建安成本表'!$N$61*AS$43+'13.建安成本表'!$N$75*AS$44+'13.建安成本表'!$N$89*AS$45+'13.建安成本表'!$N$103*AS$46+'13.建安成本表'!$N$117*AS$47</f>
        <v>0</v>
      </c>
      <c r="AU77" s="555">
        <f>'13.建安成本表'!$N$19*AT$40+'13.建安成本表'!$N$33*AT$41+'13.建安成本表'!$N$47*AT$42+'13.建安成本表'!$N$61*AT$43+'13.建安成本表'!$N$75*AT$44+'13.建安成本表'!$N$89*AT$45+'13.建安成本表'!$N$103*AT$46+'13.建安成本表'!$N$117*AT$47</f>
        <v>0</v>
      </c>
    </row>
    <row r="78" spans="1:47" s="350" customFormat="1" ht="15.75" customHeight="1">
      <c r="A78" s="351"/>
      <c r="B78" s="551" t="s">
        <v>23</v>
      </c>
      <c r="C78" s="552">
        <f t="shared" si="1"/>
        <v>0</v>
      </c>
      <c r="D78" s="553">
        <f>'13.建安成本表'!$Q$19*C$51+'13.建安成本表'!$Q$33*C$52+'13.建安成本表'!$Q$47*C$53+'13.建安成本表'!$Q$61*C$54+'13.建安成本表'!$Q$75*C$55+'13.建安成本表'!$Q$89*C$56+'13.建安成本表'!$Q$103*C$57+'13.建安成本表'!$Q$117*C$58</f>
        <v>0</v>
      </c>
      <c r="E78" s="554">
        <f>'13.建安成本表'!$Q$19*D$51+'13.建安成本表'!$Q$33*D$52+'13.建安成本表'!$Q$47*D$53+'13.建安成本表'!$Q$61*D$54+'13.建安成本表'!$Q$75*D$55+'13.建安成本表'!$Q$89*D$56+'13.建安成本表'!$Q$103*D$57+'13.建安成本表'!$Q$117*D$58</f>
        <v>0</v>
      </c>
      <c r="F78" s="554">
        <f>'13.建安成本表'!$Q$19*E$51+'13.建安成本表'!$Q$33*E$52+'13.建安成本表'!$Q$47*E$53+'13.建安成本表'!$Q$61*E$54+'13.建安成本表'!$Q$75*E$55+'13.建安成本表'!$Q$89*E$56+'13.建安成本表'!$Q$103*E$57+'13.建安成本表'!$Q$117*E$58</f>
        <v>0</v>
      </c>
      <c r="G78" s="555">
        <f>'13.建安成本表'!$Q$19*F$51+'13.建安成本表'!$Q$33*F$52+'13.建安成本表'!$Q$47*F$53+'13.建安成本表'!$Q$61*F$54+'13.建安成本表'!$Q$75*F$55+'13.建安成本表'!$Q$89*F$56+'13.建安成本表'!$Q$103*F$57+'13.建安成本表'!$Q$117*F$58</f>
        <v>0</v>
      </c>
      <c r="H78" s="553">
        <f>'13.建安成本表'!$Q$19*G$51+'13.建安成本表'!$Q$33*G$52+'13.建安成本表'!$Q$47*G$53+'13.建安成本表'!$Q$61*G$54+'13.建安成本表'!$Q$75*G$55+'13.建安成本表'!$Q$89*G$56+'13.建安成本表'!$Q$103*G$57+'13.建安成本表'!$Q$117*G$58</f>
        <v>0</v>
      </c>
      <c r="I78" s="554">
        <f>'13.建安成本表'!$Q$19*H$51+'13.建安成本表'!$Q$33*H$52+'13.建安成本表'!$Q$47*H$53+'13.建安成本表'!$Q$61*H$54+'13.建安成本表'!$Q$75*H$55+'13.建安成本表'!$Q$89*H$56+'13.建安成本表'!$Q$103*H$57+'13.建安成本表'!$Q$117*H$58</f>
        <v>0</v>
      </c>
      <c r="J78" s="554">
        <f>'13.建安成本表'!$Q$19*I$51+'13.建安成本表'!$Q$33*I$52+'13.建安成本表'!$Q$47*I$53+'13.建安成本表'!$Q$61*I$54+'13.建安成本表'!$Q$75*I$55+'13.建安成本表'!$Q$89*I$56+'13.建安成本表'!$Q$103*I$57+'13.建安成本表'!$Q$117*I$58</f>
        <v>0</v>
      </c>
      <c r="K78" s="555">
        <f>'13.建安成本表'!$Q$19*J$51+'13.建安成本表'!$Q$33*J$52+'13.建安成本表'!$Q$47*J$53+'13.建安成本表'!$Q$61*J$54+'13.建安成本表'!$Q$75*J$55+'13.建安成本表'!$Q$89*J$56+'13.建安成本表'!$Q$103*J$57+'13.建安成本表'!$Q$117*J$58</f>
        <v>0</v>
      </c>
      <c r="L78" s="553">
        <f>'13.建安成本表'!$Q$19*K$51+'13.建安成本表'!$Q$33*K$52+'13.建安成本表'!$Q$47*K$53+'13.建安成本表'!$Q$61*K$54+'13.建安成本表'!$Q$75*K$55+'13.建安成本表'!$Q$89*K$56+'13.建安成本表'!$Q$103*K$57+'13.建安成本表'!$Q$117*K$58</f>
        <v>0</v>
      </c>
      <c r="M78" s="554">
        <f>'13.建安成本表'!$Q$19*L$51+'13.建安成本表'!$Q$33*L$52+'13.建安成本表'!$Q$47*L$53+'13.建安成本表'!$Q$61*L$54+'13.建安成本表'!$Q$75*L$55+'13.建安成本表'!$Q$89*L$56+'13.建安成本表'!$Q$103*L$57+'13.建安成本表'!$Q$117*L$58</f>
        <v>0</v>
      </c>
      <c r="N78" s="554">
        <f>'13.建安成本表'!$Q$19*M$51+'13.建安成本表'!$Q$33*M$52+'13.建安成本表'!$Q$47*M$53+'13.建安成本表'!$Q$61*M$54+'13.建安成本表'!$Q$75*M$55+'13.建安成本表'!$Q$89*M$56+'13.建安成本表'!$Q$103*M$57+'13.建安成本表'!$Q$117*M$58</f>
        <v>0</v>
      </c>
      <c r="O78" s="555">
        <f>'13.建安成本表'!$Q$19*N$51+'13.建安成本表'!$Q$33*N$52+'13.建安成本表'!$Q$47*N$53+'13.建安成本表'!$Q$61*N$54+'13.建安成本表'!$Q$75*N$55+'13.建安成本表'!$Q$89*N$56+'13.建安成本表'!$Q$103*N$57+'13.建安成本表'!$Q$117*N$58</f>
        <v>0</v>
      </c>
      <c r="P78" s="553">
        <f>'13.建安成本表'!$Q$19*O$51+'13.建安成本表'!$Q$33*O$52+'13.建安成本表'!$Q$47*O$53+'13.建安成本表'!$Q$61*O$54+'13.建安成本表'!$Q$75*O$55+'13.建安成本表'!$Q$89*O$56+'13.建安成本表'!$Q$103*O$57+'13.建安成本表'!$Q$117*O$58</f>
        <v>0</v>
      </c>
      <c r="Q78" s="554">
        <f>'13.建安成本表'!$Q$19*P$51+'13.建安成本表'!$Q$33*P$52+'13.建安成本表'!$Q$47*P$53+'13.建安成本表'!$Q$61*P$54+'13.建安成本表'!$Q$75*P$55+'13.建安成本表'!$Q$89*P$56+'13.建安成本表'!$Q$103*P$57+'13.建安成本表'!$Q$117*P$58</f>
        <v>0</v>
      </c>
      <c r="R78" s="554">
        <f>'13.建安成本表'!$Q$19*Q$51+'13.建安成本表'!$Q$33*Q$52+'13.建安成本表'!$Q$47*Q$53+'13.建安成本表'!$Q$61*Q$54+'13.建安成本表'!$Q$75*Q$55+'13.建安成本表'!$Q$89*Q$56+'13.建安成本表'!$Q$103*Q$57+'13.建安成本表'!$Q$117*Q$58</f>
        <v>0</v>
      </c>
      <c r="S78" s="555">
        <f>'13.建安成本表'!$Q$19*R$51+'13.建安成本表'!$Q$33*R$52+'13.建安成本表'!$Q$47*R$53+'13.建安成本表'!$Q$61*R$54+'13.建安成本表'!$Q$75*R$55+'13.建安成本表'!$Q$89*R$56+'13.建安成本表'!$Q$103*R$57+'13.建安成本表'!$Q$117*R$58</f>
        <v>0</v>
      </c>
      <c r="T78" s="553">
        <f>'13.建安成本表'!$Q$19*S$51+'13.建安成本表'!$Q$33*S$52+'13.建安成本表'!$Q$47*S$53+'13.建安成本表'!$Q$61*S$54+'13.建安成本表'!$Q$75*S$55+'13.建安成本表'!$Q$89*S$56+'13.建安成本表'!$Q$103*S$57+'13.建安成本表'!$Q$117*S$58</f>
        <v>0</v>
      </c>
      <c r="U78" s="554">
        <f>'13.建安成本表'!$Q$19*T$51+'13.建安成本表'!$Q$33*T$52+'13.建安成本表'!$Q$47*T$53+'13.建安成本表'!$Q$61*T$54+'13.建安成本表'!$Q$75*T$55+'13.建安成本表'!$Q$89*T$56+'13.建安成本表'!$Q$103*T$57+'13.建安成本表'!$Q$117*T$58</f>
        <v>0</v>
      </c>
      <c r="V78" s="554">
        <f>'13.建安成本表'!$Q$19*U$51+'13.建安成本表'!$Q$33*U$52+'13.建安成本表'!$Q$47*U$53+'13.建安成本表'!$Q$61*U$54+'13.建安成本表'!$Q$75*U$55+'13.建安成本表'!$Q$89*U$56+'13.建安成本表'!$Q$103*U$57+'13.建安成本表'!$Q$117*U$58</f>
        <v>0</v>
      </c>
      <c r="W78" s="555">
        <f>'13.建安成本表'!$Q$19*V$51+'13.建安成本表'!$Q$33*V$52+'13.建安成本表'!$Q$47*V$53+'13.建安成本表'!$Q$61*V$54+'13.建安成本表'!$Q$75*V$55+'13.建安成本表'!$Q$89*V$56+'13.建安成本表'!$Q$103*V$57+'13.建安成本表'!$Q$117*V$58</f>
        <v>0</v>
      </c>
      <c r="X78" s="553">
        <f>'13.建安成本表'!$Q$19*W$51+'13.建安成本表'!$Q$33*W$52+'13.建安成本表'!$Q$47*W$53+'13.建安成本表'!$Q$61*W$54+'13.建安成本表'!$Q$75*W$55+'13.建安成本表'!$Q$89*W$56+'13.建安成本表'!$Q$103*W$57+'13.建安成本表'!$Q$117*W$58</f>
        <v>0</v>
      </c>
      <c r="Y78" s="554">
        <f>'13.建安成本表'!$Q$19*X$51+'13.建安成本表'!$Q$33*X$52+'13.建安成本表'!$Q$47*X$53+'13.建安成本表'!$Q$61*X$54+'13.建安成本表'!$Q$75*X$55+'13.建安成本表'!$Q$89*X$56+'13.建安成本表'!$Q$103*X$57+'13.建安成本表'!$Q$117*X$58</f>
        <v>0</v>
      </c>
      <c r="Z78" s="554">
        <f>'13.建安成本表'!$Q$19*Y$51+'13.建安成本表'!$Q$33*Y$52+'13.建安成本表'!$Q$47*Y$53+'13.建安成本表'!$Q$61*Y$54+'13.建安成本表'!$Q$75*Y$55+'13.建安成本表'!$Q$89*Y$56+'13.建安成本表'!$Q$103*Y$57+'13.建安成本表'!$Q$117*Y$58</f>
        <v>0</v>
      </c>
      <c r="AA78" s="555">
        <f>'13.建安成本表'!$Q$19*Z$51+'13.建安成本表'!$Q$33*Z$52+'13.建安成本表'!$Q$47*Z$53+'13.建安成本表'!$Q$61*Z$54+'13.建安成本表'!$Q$75*Z$55+'13.建安成本表'!$Q$89*Z$56+'13.建安成本表'!$Q$103*Z$57+'13.建安成本表'!$Q$117*Z$58</f>
        <v>0</v>
      </c>
      <c r="AB78" s="553">
        <f>'13.建安成本表'!$Q$19*AA$51+'13.建安成本表'!$Q$33*AA$52+'13.建安成本表'!$Q$47*AA$53+'13.建安成本表'!$Q$61*AA$54+'13.建安成本表'!$Q$75*AA$55+'13.建安成本表'!$Q$89*AA$56+'13.建安成本表'!$Q$103*AA$57+'13.建安成本表'!$Q$117*AA$58</f>
        <v>0</v>
      </c>
      <c r="AC78" s="554">
        <f>'13.建安成本表'!$Q$19*AB$51+'13.建安成本表'!$Q$33*AB$52+'13.建安成本表'!$Q$47*AB$53+'13.建安成本表'!$Q$61*AB$54+'13.建安成本表'!$Q$75*AB$55+'13.建安成本表'!$Q$89*AB$56+'13.建安成本表'!$Q$103*AB$57+'13.建安成本表'!$Q$117*AB$58</f>
        <v>0</v>
      </c>
      <c r="AD78" s="554">
        <f>'13.建安成本表'!$Q$19*AC$51+'13.建安成本表'!$Q$33*AC$52+'13.建安成本表'!$Q$47*AC$53+'13.建安成本表'!$Q$61*AC$54+'13.建安成本表'!$Q$75*AC$55+'13.建安成本表'!$Q$89*AC$56+'13.建安成本表'!$Q$103*AC$57+'13.建安成本表'!$Q$117*AC$58</f>
        <v>0</v>
      </c>
      <c r="AE78" s="555">
        <f>'13.建安成本表'!$Q$19*AD$51+'13.建安成本表'!$Q$33*AD$52+'13.建安成本表'!$Q$47*AD$53+'13.建安成本表'!$Q$61*AD$54+'13.建安成本表'!$Q$75*AD$55+'13.建安成本表'!$Q$89*AD$56+'13.建安成本表'!$Q$103*AD$57+'13.建安成本表'!$Q$117*AD$58</f>
        <v>0</v>
      </c>
      <c r="AF78" s="553">
        <f>'13.建安成本表'!$Q$19*AE$51+'13.建安成本表'!$Q$33*AE$52+'13.建安成本表'!$Q$47*AE$53+'13.建安成本表'!$Q$61*AE$54+'13.建安成本表'!$Q$75*AE$55+'13.建安成本表'!$Q$89*AE$56+'13.建安成本表'!$Q$103*AE$57+'13.建安成本表'!$Q$117*AE$58</f>
        <v>0</v>
      </c>
      <c r="AG78" s="554">
        <f>'13.建安成本表'!$Q$19*AF$51+'13.建安成本表'!$Q$33*AF$52+'13.建安成本表'!$Q$47*AF$53+'13.建安成本表'!$Q$61*AF$54+'13.建安成本表'!$Q$75*AF$55+'13.建安成本表'!$Q$89*AF$56+'13.建安成本表'!$Q$103*AF$57+'13.建安成本表'!$Q$117*AF$58</f>
        <v>0</v>
      </c>
      <c r="AH78" s="554">
        <f>'13.建安成本表'!$Q$19*AG$51+'13.建安成本表'!$Q$33*AG$52+'13.建安成本表'!$Q$47*AG$53+'13.建安成本表'!$Q$61*AG$54+'13.建安成本表'!$Q$75*AG$55+'13.建安成本表'!$Q$89*AG$56+'13.建安成本表'!$Q$103*AG$57+'13.建安成本表'!$Q$117*AG$58</f>
        <v>0</v>
      </c>
      <c r="AI78" s="555">
        <f>'13.建安成本表'!$Q$19*AH$51+'13.建安成本表'!$Q$33*AH$52+'13.建安成本表'!$Q$47*AH$53+'13.建安成本表'!$Q$61*AH$54+'13.建安成本表'!$Q$75*AH$55+'13.建安成本表'!$Q$89*AH$56+'13.建安成本表'!$Q$103*AH$57+'13.建安成本表'!$Q$117*AH$58</f>
        <v>0</v>
      </c>
      <c r="AJ78" s="553">
        <f>'13.建安成本表'!$Q$19*AI$51+'13.建安成本表'!$Q$33*AI$52+'13.建安成本表'!$Q$47*AI$53+'13.建安成本表'!$Q$61*AI$54+'13.建安成本表'!$Q$75*AI$55+'13.建安成本表'!$Q$89*AI$56+'13.建安成本表'!$Q$103*AI$57+'13.建安成本表'!$Q$117*AI$58</f>
        <v>0</v>
      </c>
      <c r="AK78" s="554">
        <f>'13.建安成本表'!$Q$19*AJ$51+'13.建安成本表'!$Q$33*AJ$52+'13.建安成本表'!$Q$47*AJ$53+'13.建安成本表'!$Q$61*AJ$54+'13.建安成本表'!$Q$75*AJ$55+'13.建安成本表'!$Q$89*AJ$56+'13.建安成本表'!$Q$103*AJ$57+'13.建安成本表'!$Q$117*AJ$58</f>
        <v>0</v>
      </c>
      <c r="AL78" s="554">
        <f>'13.建安成本表'!$Q$19*AK$51+'13.建安成本表'!$Q$33*AK$52+'13.建安成本表'!$Q$47*AK$53+'13.建安成本表'!$Q$61*AK$54+'13.建安成本表'!$Q$75*AK$55+'13.建安成本表'!$Q$89*AK$56+'13.建安成本表'!$Q$103*AK$57+'13.建安成本表'!$Q$117*AK$58</f>
        <v>0</v>
      </c>
      <c r="AM78" s="555">
        <f>'13.建安成本表'!$Q$19*AL$51+'13.建安成本表'!$Q$33*AL$52+'13.建安成本表'!$Q$47*AL$53+'13.建安成本表'!$Q$61*AL$54+'13.建安成本表'!$Q$75*AL$55+'13.建安成本表'!$Q$89*AL$56+'13.建安成本表'!$Q$103*AL$57+'13.建安成本表'!$Q$117*AL$58</f>
        <v>0</v>
      </c>
      <c r="AN78" s="553">
        <f>'13.建安成本表'!$Q$19*AM$51+'13.建安成本表'!$Q$33*AM$52+'13.建安成本表'!$Q$47*AM$53+'13.建安成本表'!$Q$61*AM$54+'13.建安成本表'!$Q$75*AM$55+'13.建安成本表'!$Q$89*AM$56+'13.建安成本表'!$Q$103*AM$57+'13.建安成本表'!$Q$117*AM$58</f>
        <v>0</v>
      </c>
      <c r="AO78" s="554">
        <f>'13.建安成本表'!$Q$19*AN$51+'13.建安成本表'!$Q$33*AN$52+'13.建安成本表'!$Q$47*AN$53+'13.建安成本表'!$Q$61*AN$54+'13.建安成本表'!$Q$75*AN$55+'13.建安成本表'!$Q$89*AN$56+'13.建安成本表'!$Q$103*AN$57+'13.建安成本表'!$Q$117*AN$58</f>
        <v>0</v>
      </c>
      <c r="AP78" s="554">
        <f>'13.建安成本表'!$Q$19*AO$51+'13.建安成本表'!$Q$33*AO$52+'13.建安成本表'!$Q$47*AO$53+'13.建安成本表'!$Q$61*AO$54+'13.建安成本表'!$Q$75*AO$55+'13.建安成本表'!$Q$89*AO$56+'13.建安成本表'!$Q$103*AO$57+'13.建安成本表'!$Q$117*AO$58</f>
        <v>0</v>
      </c>
      <c r="AQ78" s="555">
        <f>'13.建安成本表'!$Q$19*AP$51+'13.建安成本表'!$Q$33*AP$52+'13.建安成本表'!$Q$47*AP$53+'13.建安成本表'!$Q$61*AP$54+'13.建安成本表'!$Q$75*AP$55+'13.建安成本表'!$Q$89*AP$56+'13.建安成本表'!$Q$103*AP$57+'13.建安成本表'!$Q$117*AP$58</f>
        <v>0</v>
      </c>
      <c r="AR78" s="553">
        <f>'13.建安成本表'!$Q$19*AQ$51+'13.建安成本表'!$Q$33*AQ$52+'13.建安成本表'!$Q$47*AQ$53+'13.建安成本表'!$Q$61*AQ$54+'13.建安成本表'!$Q$75*AQ$55+'13.建安成本表'!$Q$89*AQ$56+'13.建安成本表'!$Q$103*AQ$57+'13.建安成本表'!$Q$117*AQ$58</f>
        <v>0</v>
      </c>
      <c r="AS78" s="554">
        <f>'13.建安成本表'!$Q$19*AR$51+'13.建安成本表'!$Q$33*AR$52+'13.建安成本表'!$Q$47*AR$53+'13.建安成本表'!$Q$61*AR$54+'13.建安成本表'!$Q$75*AR$55+'13.建安成本表'!$Q$89*AR$56+'13.建安成本表'!$Q$103*AR$57+'13.建安成本表'!$Q$117*AR$58</f>
        <v>0</v>
      </c>
      <c r="AT78" s="554">
        <f>'13.建安成本表'!$Q$19*AS$51+'13.建安成本表'!$Q$33*AS$52+'13.建安成本表'!$Q$47*AS$53+'13.建安成本表'!$Q$61*AS$54+'13.建安成本表'!$Q$75*AS$55+'13.建安成本表'!$Q$89*AS$56+'13.建安成本表'!$Q$103*AS$57+'13.建安成本表'!$Q$117*AS$58</f>
        <v>0</v>
      </c>
      <c r="AU78" s="555">
        <f>'13.建安成本表'!$Q$19*AT$51+'13.建安成本表'!$Q$33*AT$52+'13.建安成本表'!$Q$47*AT$53+'13.建安成本表'!$Q$61*AT$54+'13.建安成本表'!$Q$75*AT$55+'13.建安成本表'!$Q$89*AT$56+'13.建安成本表'!$Q$103*AT$57+'13.建安成本表'!$Q$117*AT$58</f>
        <v>0</v>
      </c>
    </row>
    <row r="79" spans="1:47" s="350" customFormat="1" ht="15.75" customHeight="1">
      <c r="A79" s="351"/>
      <c r="B79" s="556" t="s">
        <v>24</v>
      </c>
      <c r="C79" s="557">
        <f t="shared" si="1"/>
        <v>0</v>
      </c>
      <c r="D79" s="558">
        <f>'13.建安成本表'!$T$19*C$62+'13.建安成本表'!$T$33*C$63+'13.建安成本表'!$T$47*C$64+'13.建安成本表'!$T$61*C$65+'13.建安成本表'!$T$75*C$66+'13.建安成本表'!$T$89*C$67+'13.建安成本表'!$T$103*C$68+'13.建安成本表'!$T$117*C$69</f>
        <v>0</v>
      </c>
      <c r="E79" s="559">
        <f>'13.建安成本表'!$T$19*D$62+'13.建安成本表'!$T$33*D$63+'13.建安成本表'!$T$47*D$64+'13.建安成本表'!$T$61*D$65+'13.建安成本表'!$T$75*D$66+'13.建安成本表'!$T$89*D$67+'13.建安成本表'!$T$103*D$68+'13.建安成本表'!$T$117*D$69</f>
        <v>0</v>
      </c>
      <c r="F79" s="559">
        <f>'13.建安成本表'!$T$19*E$62+'13.建安成本表'!$T$33*E$63+'13.建安成本表'!$T$47*E$64+'13.建安成本表'!$T$61*E$65+'13.建安成本表'!$T$75*E$66+'13.建安成本表'!$T$89*E$67+'13.建安成本表'!$T$103*E$68+'13.建安成本表'!$T$117*E$69</f>
        <v>0</v>
      </c>
      <c r="G79" s="560">
        <f>'13.建安成本表'!$T$19*F$62+'13.建安成本表'!$T$33*F$63+'13.建安成本表'!$T$47*F$64+'13.建安成本表'!$T$61*F$65+'13.建安成本表'!$T$75*F$66+'13.建安成本表'!$T$89*F$67+'13.建安成本表'!$T$103*F$68+'13.建安成本表'!$T$117*F$69</f>
        <v>0</v>
      </c>
      <c r="H79" s="558">
        <f>'13.建安成本表'!$T$19*G$62+'13.建安成本表'!$T$33*G$63+'13.建安成本表'!$T$47*G$64+'13.建安成本表'!$T$61*G$65+'13.建安成本表'!$T$75*G$66+'13.建安成本表'!$T$89*G$67+'13.建安成本表'!$T$103*G$68+'13.建安成本表'!$T$117*G$69</f>
        <v>0</v>
      </c>
      <c r="I79" s="559">
        <f>'13.建安成本表'!$T$19*H$62+'13.建安成本表'!$T$33*H$63+'13.建安成本表'!$T$47*H$64+'13.建安成本表'!$T$61*H$65+'13.建安成本表'!$T$75*H$66+'13.建安成本表'!$T$89*H$67+'13.建安成本表'!$T$103*H$68+'13.建安成本表'!$T$117*H$69</f>
        <v>0</v>
      </c>
      <c r="J79" s="559">
        <f>'13.建安成本表'!$T$19*I$62+'13.建安成本表'!$T$33*I$63+'13.建安成本表'!$T$47*I$64+'13.建安成本表'!$T$61*I$65+'13.建安成本表'!$T$75*I$66+'13.建安成本表'!$T$89*I$67+'13.建安成本表'!$T$103*I$68+'13.建安成本表'!$T$117*I$69</f>
        <v>0</v>
      </c>
      <c r="K79" s="560">
        <f>'13.建安成本表'!$T$19*J$62+'13.建安成本表'!$T$33*J$63+'13.建安成本表'!$T$47*J$64+'13.建安成本表'!$T$61*J$65+'13.建安成本表'!$T$75*J$66+'13.建安成本表'!$T$89*J$67+'13.建安成本表'!$T$103*J$68+'13.建安成本表'!$T$117*J$69</f>
        <v>0</v>
      </c>
      <c r="L79" s="558">
        <f>'13.建安成本表'!$T$19*K$62+'13.建安成本表'!$T$33*K$63+'13.建安成本表'!$T$47*K$64+'13.建安成本表'!$T$61*K$65+'13.建安成本表'!$T$75*K$66+'13.建安成本表'!$T$89*K$67+'13.建安成本表'!$T$103*K$68+'13.建安成本表'!$T$117*K$69</f>
        <v>0</v>
      </c>
      <c r="M79" s="559">
        <f>'13.建安成本表'!$T$19*L$62+'13.建安成本表'!$T$33*L$63+'13.建安成本表'!$T$47*L$64+'13.建安成本表'!$T$61*L$65+'13.建安成本表'!$T$75*L$66+'13.建安成本表'!$T$89*L$67+'13.建安成本表'!$T$103*L$68+'13.建安成本表'!$T$117*L$69</f>
        <v>0</v>
      </c>
      <c r="N79" s="559">
        <f>'13.建安成本表'!$T$19*M$62+'13.建安成本表'!$T$33*M$63+'13.建安成本表'!$T$47*M$64+'13.建安成本表'!$T$61*M$65+'13.建安成本表'!$T$75*M$66+'13.建安成本表'!$T$89*M$67+'13.建安成本表'!$T$103*M$68+'13.建安成本表'!$T$117*M$69</f>
        <v>0</v>
      </c>
      <c r="O79" s="560">
        <f>'13.建安成本表'!$T$19*N$62+'13.建安成本表'!$T$33*N$63+'13.建安成本表'!$T$47*N$64+'13.建安成本表'!$T$61*N$65+'13.建安成本表'!$T$75*N$66+'13.建安成本表'!$T$89*N$67+'13.建安成本表'!$T$103*N$68+'13.建安成本表'!$T$117*N$69</f>
        <v>0</v>
      </c>
      <c r="P79" s="558">
        <f>'13.建安成本表'!$T$19*O$62+'13.建安成本表'!$T$33*O$63+'13.建安成本表'!$T$47*O$64+'13.建安成本表'!$T$61*O$65+'13.建安成本表'!$T$75*O$66+'13.建安成本表'!$T$89*O$67+'13.建安成本表'!$T$103*O$68+'13.建安成本表'!$T$117*O$69</f>
        <v>0</v>
      </c>
      <c r="Q79" s="559">
        <f>'13.建安成本表'!$T$19*P$62+'13.建安成本表'!$T$33*P$63+'13.建安成本表'!$T$47*P$64+'13.建安成本表'!$T$61*P$65+'13.建安成本表'!$T$75*P$66+'13.建安成本表'!$T$89*P$67+'13.建安成本表'!$T$103*P$68+'13.建安成本表'!$T$117*P$69</f>
        <v>0</v>
      </c>
      <c r="R79" s="559">
        <f>'13.建安成本表'!$T$19*Q$62+'13.建安成本表'!$T$33*Q$63+'13.建安成本表'!$T$47*Q$64+'13.建安成本表'!$T$61*Q$65+'13.建安成本表'!$T$75*Q$66+'13.建安成本表'!$T$89*Q$67+'13.建安成本表'!$T$103*Q$68+'13.建安成本表'!$T$117*Q$69</f>
        <v>0</v>
      </c>
      <c r="S79" s="560">
        <f>'13.建安成本表'!$T$19*R$62+'13.建安成本表'!$T$33*R$63+'13.建安成本表'!$T$47*R$64+'13.建安成本表'!$T$61*R$65+'13.建安成本表'!$T$75*R$66+'13.建安成本表'!$T$89*R$67+'13.建安成本表'!$T$103*R$68+'13.建安成本表'!$T$117*R$69</f>
        <v>0</v>
      </c>
      <c r="T79" s="558">
        <f>'13.建安成本表'!$T$19*S$62+'13.建安成本表'!$T$33*S$63+'13.建安成本表'!$T$47*S$64+'13.建安成本表'!$T$61*S$65+'13.建安成本表'!$T$75*S$66+'13.建安成本表'!$T$89*S$67+'13.建安成本表'!$T$103*S$68+'13.建安成本表'!$T$117*S$69</f>
        <v>0</v>
      </c>
      <c r="U79" s="559">
        <f>'13.建安成本表'!$T$19*T$62+'13.建安成本表'!$T$33*T$63+'13.建安成本表'!$T$47*T$64+'13.建安成本表'!$T$61*T$65+'13.建安成本表'!$T$75*T$66+'13.建安成本表'!$T$89*T$67+'13.建安成本表'!$T$103*T$68+'13.建安成本表'!$T$117*T$69</f>
        <v>0</v>
      </c>
      <c r="V79" s="559">
        <f>'13.建安成本表'!$T$19*U$62+'13.建安成本表'!$T$33*U$63+'13.建安成本表'!$T$47*U$64+'13.建安成本表'!$T$61*U$65+'13.建安成本表'!$T$75*U$66+'13.建安成本表'!$T$89*U$67+'13.建安成本表'!$T$103*U$68+'13.建安成本表'!$T$117*U$69</f>
        <v>0</v>
      </c>
      <c r="W79" s="560">
        <f>'13.建安成本表'!$T$19*V$62+'13.建安成本表'!$T$33*V$63+'13.建安成本表'!$T$47*V$64+'13.建安成本表'!$T$61*V$65+'13.建安成本表'!$T$75*V$66+'13.建安成本表'!$T$89*V$67+'13.建安成本表'!$T$103*V$68+'13.建安成本表'!$T$117*V$69</f>
        <v>0</v>
      </c>
      <c r="X79" s="558">
        <f>'13.建安成本表'!$T$19*W$62+'13.建安成本表'!$T$33*W$63+'13.建安成本表'!$T$47*W$64+'13.建安成本表'!$T$61*W$65+'13.建安成本表'!$T$75*W$66+'13.建安成本表'!$T$89*W$67+'13.建安成本表'!$T$103*W$68+'13.建安成本表'!$T$117*W$69</f>
        <v>0</v>
      </c>
      <c r="Y79" s="559">
        <f>'13.建安成本表'!$T$19*X$62+'13.建安成本表'!$T$33*X$63+'13.建安成本表'!$T$47*X$64+'13.建安成本表'!$T$61*X$65+'13.建安成本表'!$T$75*X$66+'13.建安成本表'!$T$89*X$67+'13.建安成本表'!$T$103*X$68+'13.建安成本表'!$T$117*X$69</f>
        <v>0</v>
      </c>
      <c r="Z79" s="559">
        <f>'13.建安成本表'!$T$19*Y$62+'13.建安成本表'!$T$33*Y$63+'13.建安成本表'!$T$47*Y$64+'13.建安成本表'!$T$61*Y$65+'13.建安成本表'!$T$75*Y$66+'13.建安成本表'!$T$89*Y$67+'13.建安成本表'!$T$103*Y$68+'13.建安成本表'!$T$117*Y$69</f>
        <v>0</v>
      </c>
      <c r="AA79" s="560">
        <f>'13.建安成本表'!$T$19*Z$62+'13.建安成本表'!$T$33*Z$63+'13.建安成本表'!$T$47*Z$64+'13.建安成本表'!$T$61*Z$65+'13.建安成本表'!$T$75*Z$66+'13.建安成本表'!$T$89*Z$67+'13.建安成本表'!$T$103*Z$68+'13.建安成本表'!$T$117*Z$69</f>
        <v>0</v>
      </c>
      <c r="AB79" s="558">
        <f>'13.建安成本表'!$T$19*AA$62+'13.建安成本表'!$T$33*AA$63+'13.建安成本表'!$T$47*AA$64+'13.建安成本表'!$T$61*AA$65+'13.建安成本表'!$T$75*AA$66+'13.建安成本表'!$T$89*AA$67+'13.建安成本表'!$T$103*AA$68+'13.建安成本表'!$T$117*AA$69</f>
        <v>0</v>
      </c>
      <c r="AC79" s="559">
        <f>'13.建安成本表'!$T$19*AB$62+'13.建安成本表'!$T$33*AB$63+'13.建安成本表'!$T$47*AB$64+'13.建安成本表'!$T$61*AB$65+'13.建安成本表'!$T$75*AB$66+'13.建安成本表'!$T$89*AB$67+'13.建安成本表'!$T$103*AB$68+'13.建安成本表'!$T$117*AB$69</f>
        <v>0</v>
      </c>
      <c r="AD79" s="559">
        <f>'13.建安成本表'!$T$19*AC$62+'13.建安成本表'!$T$33*AC$63+'13.建安成本表'!$T$47*AC$64+'13.建安成本表'!$T$61*AC$65+'13.建安成本表'!$T$75*AC$66+'13.建安成本表'!$T$89*AC$67+'13.建安成本表'!$T$103*AC$68+'13.建安成本表'!$T$117*AC$69</f>
        <v>0</v>
      </c>
      <c r="AE79" s="560">
        <f>'13.建安成本表'!$T$19*AD$62+'13.建安成本表'!$T$33*AD$63+'13.建安成本表'!$T$47*AD$64+'13.建安成本表'!$T$61*AD$65+'13.建安成本表'!$T$75*AD$66+'13.建安成本表'!$T$89*AD$67+'13.建安成本表'!$T$103*AD$68+'13.建安成本表'!$T$117*AD$69</f>
        <v>0</v>
      </c>
      <c r="AF79" s="558">
        <f>'13.建安成本表'!$T$19*AE$62+'13.建安成本表'!$T$33*AE$63+'13.建安成本表'!$T$47*AE$64+'13.建安成本表'!$T$61*AE$65+'13.建安成本表'!$T$75*AE$66+'13.建安成本表'!$T$89*AE$67+'13.建安成本表'!$T$103*AE$68+'13.建安成本表'!$T$117*AE$69</f>
        <v>0</v>
      </c>
      <c r="AG79" s="559">
        <f>'13.建安成本表'!$T$19*AF$62+'13.建安成本表'!$T$33*AF$63+'13.建安成本表'!$T$47*AF$64+'13.建安成本表'!$T$61*AF$65+'13.建安成本表'!$T$75*AF$66+'13.建安成本表'!$T$89*AF$67+'13.建安成本表'!$T$103*AF$68+'13.建安成本表'!$T$117*AF$69</f>
        <v>0</v>
      </c>
      <c r="AH79" s="559">
        <f>'13.建安成本表'!$T$19*AG$62+'13.建安成本表'!$T$33*AG$63+'13.建安成本表'!$T$47*AG$64+'13.建安成本表'!$T$61*AG$65+'13.建安成本表'!$T$75*AG$66+'13.建安成本表'!$T$89*AG$67+'13.建安成本表'!$T$103*AG$68+'13.建安成本表'!$T$117*AG$69</f>
        <v>0</v>
      </c>
      <c r="AI79" s="560">
        <f>'13.建安成本表'!$T$19*AH$62+'13.建安成本表'!$T$33*AH$63+'13.建安成本表'!$T$47*AH$64+'13.建安成本表'!$T$61*AH$65+'13.建安成本表'!$T$75*AH$66+'13.建安成本表'!$T$89*AH$67+'13.建安成本表'!$T$103*AH$68+'13.建安成本表'!$T$117*AH$69</f>
        <v>0</v>
      </c>
      <c r="AJ79" s="558">
        <f>'13.建安成本表'!$T$19*AI$62+'13.建安成本表'!$T$33*AI$63+'13.建安成本表'!$T$47*AI$64+'13.建安成本表'!$T$61*AI$65+'13.建安成本表'!$T$75*AI$66+'13.建安成本表'!$T$89*AI$67+'13.建安成本表'!$T$103*AI$68+'13.建安成本表'!$T$117*AI$69</f>
        <v>0</v>
      </c>
      <c r="AK79" s="559">
        <f>'13.建安成本表'!$T$19*AJ$62+'13.建安成本表'!$T$33*AJ$63+'13.建安成本表'!$T$47*AJ$64+'13.建安成本表'!$T$61*AJ$65+'13.建安成本表'!$T$75*AJ$66+'13.建安成本表'!$T$89*AJ$67+'13.建安成本表'!$T$103*AJ$68+'13.建安成本表'!$T$117*AJ$69</f>
        <v>0</v>
      </c>
      <c r="AL79" s="559">
        <f>'13.建安成本表'!$T$19*AK$62+'13.建安成本表'!$T$33*AK$63+'13.建安成本表'!$T$47*AK$64+'13.建安成本表'!$T$61*AK$65+'13.建安成本表'!$T$75*AK$66+'13.建安成本表'!$T$89*AK$67+'13.建安成本表'!$T$103*AK$68+'13.建安成本表'!$T$117*AK$69</f>
        <v>0</v>
      </c>
      <c r="AM79" s="560">
        <f>'13.建安成本表'!$T$19*AL$62+'13.建安成本表'!$T$33*AL$63+'13.建安成本表'!$T$47*AL$64+'13.建安成本表'!$T$61*AL$65+'13.建安成本表'!$T$75*AL$66+'13.建安成本表'!$T$89*AL$67+'13.建安成本表'!$T$103*AL$68+'13.建安成本表'!$T$117*AL$69</f>
        <v>0</v>
      </c>
      <c r="AN79" s="558">
        <f>'13.建安成本表'!$T$19*AM$62+'13.建安成本表'!$T$33*AM$63+'13.建安成本表'!$T$47*AM$64+'13.建安成本表'!$T$61*AM$65+'13.建安成本表'!$T$75*AM$66+'13.建安成本表'!$T$89*AM$67+'13.建安成本表'!$T$103*AM$68+'13.建安成本表'!$T$117*AM$69</f>
        <v>0</v>
      </c>
      <c r="AO79" s="559">
        <f>'13.建安成本表'!$T$19*AN$62+'13.建安成本表'!$T$33*AN$63+'13.建安成本表'!$T$47*AN$64+'13.建安成本表'!$T$61*AN$65+'13.建安成本表'!$T$75*AN$66+'13.建安成本表'!$T$89*AN$67+'13.建安成本表'!$T$103*AN$68+'13.建安成本表'!$T$117*AN$69</f>
        <v>0</v>
      </c>
      <c r="AP79" s="559">
        <f>'13.建安成本表'!$T$19*AO$62+'13.建安成本表'!$T$33*AO$63+'13.建安成本表'!$T$47*AO$64+'13.建安成本表'!$T$61*AO$65+'13.建安成本表'!$T$75*AO$66+'13.建安成本表'!$T$89*AO$67+'13.建安成本表'!$T$103*AO$68+'13.建安成本表'!$T$117*AO$69</f>
        <v>0</v>
      </c>
      <c r="AQ79" s="560">
        <f>'13.建安成本表'!$T$19*AP$62+'13.建安成本表'!$T$33*AP$63+'13.建安成本表'!$T$47*AP$64+'13.建安成本表'!$T$61*AP$65+'13.建安成本表'!$T$75*AP$66+'13.建安成本表'!$T$89*AP$67+'13.建安成本表'!$T$103*AP$68+'13.建安成本表'!$T$117*AP$69</f>
        <v>0</v>
      </c>
      <c r="AR79" s="558">
        <f>'13.建安成本表'!$T$19*AQ$62+'13.建安成本表'!$T$33*AQ$63+'13.建安成本表'!$T$47*AQ$64+'13.建安成本表'!$T$61*AQ$65+'13.建安成本表'!$T$75*AQ$66+'13.建安成本表'!$T$89*AQ$67+'13.建安成本表'!$T$103*AQ$68+'13.建安成本表'!$T$117*AQ$69</f>
        <v>0</v>
      </c>
      <c r="AS79" s="559">
        <f>'13.建安成本表'!$T$19*AR$62+'13.建安成本表'!$T$33*AR$63+'13.建安成本表'!$T$47*AR$64+'13.建安成本表'!$T$61*AR$65+'13.建安成本表'!$T$75*AR$66+'13.建安成本表'!$T$89*AR$67+'13.建安成本表'!$T$103*AR$68+'13.建安成本表'!$T$117*AR$69</f>
        <v>0</v>
      </c>
      <c r="AT79" s="559">
        <f>'13.建安成本表'!$T$19*AS$62+'13.建安成本表'!$T$33*AS$63+'13.建安成本表'!$T$47*AS$64+'13.建安成本表'!$T$61*AS$65+'13.建安成本表'!$T$75*AS$66+'13.建安成本表'!$T$89*AS$67+'13.建安成本表'!$T$103*AS$68+'13.建安成本表'!$T$117*AS$69</f>
        <v>0</v>
      </c>
      <c r="AU79" s="560">
        <f>'13.建安成本表'!$T$19*AT$62+'13.建安成本表'!$T$33*AT$63+'13.建安成本表'!$T$47*AT$64+'13.建安成本表'!$T$61*AT$65+'13.建安成本表'!$T$75*AT$66+'13.建安成本表'!$T$89*AT$67+'13.建安成本表'!$T$103*AT$68+'13.建安成本表'!$T$117*AT$69</f>
        <v>0</v>
      </c>
    </row>
    <row r="80" spans="1:47" s="350" customFormat="1" ht="15.75" customHeight="1">
      <c r="A80" s="351"/>
      <c r="B80" s="561" t="s">
        <v>251</v>
      </c>
      <c r="C80" s="562">
        <f>SUM(C74:C79)</f>
        <v>31190.531999999999</v>
      </c>
      <c r="D80" s="563">
        <f>SUM(D74:D79)</f>
        <v>0</v>
      </c>
      <c r="E80" s="564">
        <f t="shared" ref="E80:AU80" si="2">SUM(E74:E79)</f>
        <v>0</v>
      </c>
      <c r="F80" s="564">
        <f t="shared" si="2"/>
        <v>0</v>
      </c>
      <c r="G80" s="565">
        <f t="shared" si="2"/>
        <v>54.355800000000002</v>
      </c>
      <c r="H80" s="563">
        <f t="shared" si="2"/>
        <v>1156.8884200000002</v>
      </c>
      <c r="I80" s="564">
        <f t="shared" si="2"/>
        <v>2090.9356600000001</v>
      </c>
      <c r="J80" s="564">
        <f t="shared" si="2"/>
        <v>2327.5432599999999</v>
      </c>
      <c r="K80" s="565">
        <f t="shared" si="2"/>
        <v>3793.6288600000003</v>
      </c>
      <c r="L80" s="563">
        <f t="shared" si="2"/>
        <v>4720.3802199999991</v>
      </c>
      <c r="M80" s="564">
        <f t="shared" si="2"/>
        <v>4059.5709799999995</v>
      </c>
      <c r="N80" s="564">
        <f t="shared" si="2"/>
        <v>3098.9939199999999</v>
      </c>
      <c r="O80" s="565">
        <f t="shared" si="2"/>
        <v>3321.8350999999998</v>
      </c>
      <c r="P80" s="563">
        <f t="shared" si="2"/>
        <v>2329.2954000000004</v>
      </c>
      <c r="Q80" s="564">
        <f t="shared" si="2"/>
        <v>1567.2858800000001</v>
      </c>
      <c r="R80" s="564">
        <f t="shared" si="2"/>
        <v>1187.6775800000003</v>
      </c>
      <c r="S80" s="565">
        <f t="shared" si="2"/>
        <v>0</v>
      </c>
      <c r="T80" s="563">
        <f t="shared" si="2"/>
        <v>0</v>
      </c>
      <c r="U80" s="564">
        <f t="shared" si="2"/>
        <v>0</v>
      </c>
      <c r="V80" s="564">
        <f t="shared" si="2"/>
        <v>592.85636800000009</v>
      </c>
      <c r="W80" s="565">
        <f t="shared" si="2"/>
        <v>889.28455199999996</v>
      </c>
      <c r="X80" s="563">
        <f t="shared" si="2"/>
        <v>0</v>
      </c>
      <c r="Y80" s="564">
        <f t="shared" si="2"/>
        <v>0</v>
      </c>
      <c r="Z80" s="564">
        <f t="shared" si="2"/>
        <v>0</v>
      </c>
      <c r="AA80" s="565">
        <f t="shared" si="2"/>
        <v>0</v>
      </c>
      <c r="AB80" s="563">
        <f t="shared" si="2"/>
        <v>0</v>
      </c>
      <c r="AC80" s="564">
        <f t="shared" si="2"/>
        <v>0</v>
      </c>
      <c r="AD80" s="564">
        <f t="shared" si="2"/>
        <v>0</v>
      </c>
      <c r="AE80" s="565">
        <f t="shared" si="2"/>
        <v>0</v>
      </c>
      <c r="AF80" s="563">
        <f t="shared" si="2"/>
        <v>0</v>
      </c>
      <c r="AG80" s="564">
        <f t="shared" si="2"/>
        <v>0</v>
      </c>
      <c r="AH80" s="564">
        <f t="shared" si="2"/>
        <v>0</v>
      </c>
      <c r="AI80" s="565">
        <f t="shared" si="2"/>
        <v>0</v>
      </c>
      <c r="AJ80" s="563">
        <f t="shared" si="2"/>
        <v>0</v>
      </c>
      <c r="AK80" s="564">
        <f t="shared" si="2"/>
        <v>0</v>
      </c>
      <c r="AL80" s="564">
        <f t="shared" si="2"/>
        <v>0</v>
      </c>
      <c r="AM80" s="565">
        <f t="shared" si="2"/>
        <v>0</v>
      </c>
      <c r="AN80" s="563">
        <f t="shared" si="2"/>
        <v>0</v>
      </c>
      <c r="AO80" s="564">
        <f t="shared" si="2"/>
        <v>0</v>
      </c>
      <c r="AP80" s="564">
        <f t="shared" si="2"/>
        <v>0</v>
      </c>
      <c r="AQ80" s="565">
        <f t="shared" si="2"/>
        <v>0</v>
      </c>
      <c r="AR80" s="563">
        <f t="shared" si="2"/>
        <v>0</v>
      </c>
      <c r="AS80" s="564">
        <f t="shared" si="2"/>
        <v>0</v>
      </c>
      <c r="AT80" s="564">
        <f t="shared" si="2"/>
        <v>0</v>
      </c>
      <c r="AU80" s="565">
        <f t="shared" si="2"/>
        <v>0</v>
      </c>
    </row>
    <row r="81" spans="1:47">
      <c r="A81" s="566"/>
      <c r="B81" s="567" t="s">
        <v>553</v>
      </c>
      <c r="C81" s="568">
        <f>C80-'13.建安成本表'!E5-'13.建安成本表'!H5-'13.建安成本表'!K5-'13.建安成本表'!N5-'13.建安成本表'!Q5-'13.建安成本表'!T5</f>
        <v>0</v>
      </c>
      <c r="D81" s="566"/>
      <c r="E81" s="566"/>
      <c r="F81" s="566"/>
      <c r="G81" s="566"/>
      <c r="H81" s="566"/>
      <c r="I81" s="566"/>
      <c r="J81" s="566"/>
      <c r="K81" s="566"/>
      <c r="L81" s="566"/>
      <c r="M81" s="566"/>
      <c r="N81" s="566"/>
      <c r="O81" s="566"/>
      <c r="P81" s="566"/>
      <c r="Q81" s="566"/>
      <c r="R81" s="566"/>
      <c r="S81" s="566"/>
      <c r="T81" s="566"/>
      <c r="U81" s="566"/>
      <c r="V81" s="566"/>
      <c r="W81" s="566"/>
      <c r="X81" s="566"/>
      <c r="Y81" s="566"/>
      <c r="Z81" s="566"/>
      <c r="AA81" s="566"/>
      <c r="AB81" s="566"/>
      <c r="AC81" s="566"/>
      <c r="AD81" s="566"/>
      <c r="AE81" s="566"/>
      <c r="AF81" s="566"/>
      <c r="AG81" s="566"/>
      <c r="AH81" s="566"/>
      <c r="AI81" s="566"/>
      <c r="AJ81" s="566"/>
      <c r="AK81" s="566"/>
      <c r="AL81" s="566"/>
      <c r="AM81" s="566"/>
      <c r="AN81" s="566"/>
      <c r="AO81" s="566"/>
      <c r="AP81" s="566"/>
      <c r="AQ81" s="566"/>
      <c r="AR81" s="566"/>
      <c r="AS81" s="566"/>
      <c r="AT81" s="566"/>
      <c r="AU81" s="566"/>
    </row>
  </sheetData>
  <sheetProtection sheet="1" objects="1" scenarios="1" formatCells="0" formatColumns="0" formatRows="0"/>
  <autoFilter ref="A6:AU69"/>
  <mergeCells count="85">
    <mergeCell ref="AR72:AU72"/>
    <mergeCell ref="B5:B6"/>
    <mergeCell ref="B16:B17"/>
    <mergeCell ref="B27:B28"/>
    <mergeCell ref="B38:B39"/>
    <mergeCell ref="B49:B50"/>
    <mergeCell ref="B60:B61"/>
    <mergeCell ref="B72:B73"/>
    <mergeCell ref="C72:C73"/>
    <mergeCell ref="X72:AA72"/>
    <mergeCell ref="AB72:AE72"/>
    <mergeCell ref="AF72:AI72"/>
    <mergeCell ref="AJ72:AM72"/>
    <mergeCell ref="AN72:AQ72"/>
    <mergeCell ref="D72:G72"/>
    <mergeCell ref="H72:K72"/>
    <mergeCell ref="L72:O72"/>
    <mergeCell ref="P72:S72"/>
    <mergeCell ref="T72:W72"/>
    <mergeCell ref="AQ49:AT49"/>
    <mergeCell ref="C60:F60"/>
    <mergeCell ref="G60:J60"/>
    <mergeCell ref="K60:N60"/>
    <mergeCell ref="O60:R60"/>
    <mergeCell ref="S60:V60"/>
    <mergeCell ref="W60:Z60"/>
    <mergeCell ref="AA60:AD60"/>
    <mergeCell ref="AE60:AH60"/>
    <mergeCell ref="AI60:AL60"/>
    <mergeCell ref="AM60:AP60"/>
    <mergeCell ref="AQ60:AT60"/>
    <mergeCell ref="W49:Z49"/>
    <mergeCell ref="AA49:AD49"/>
    <mergeCell ref="AE49:AH49"/>
    <mergeCell ref="AI49:AL49"/>
    <mergeCell ref="AM49:AP49"/>
    <mergeCell ref="C49:F49"/>
    <mergeCell ref="G49:J49"/>
    <mergeCell ref="K49:N49"/>
    <mergeCell ref="O49:R49"/>
    <mergeCell ref="S49:V49"/>
    <mergeCell ref="AQ27:AT27"/>
    <mergeCell ref="C38:F38"/>
    <mergeCell ref="G38:J38"/>
    <mergeCell ref="K38:N38"/>
    <mergeCell ref="O38:R38"/>
    <mergeCell ref="S38:V38"/>
    <mergeCell ref="W38:Z38"/>
    <mergeCell ref="AA38:AD38"/>
    <mergeCell ref="AE38:AH38"/>
    <mergeCell ref="AI38:AL38"/>
    <mergeCell ref="AM38:AP38"/>
    <mergeCell ref="AQ38:AT38"/>
    <mergeCell ref="W27:Z27"/>
    <mergeCell ref="AA27:AD27"/>
    <mergeCell ref="AE27:AH27"/>
    <mergeCell ref="AI27:AL27"/>
    <mergeCell ref="AM27:AP27"/>
    <mergeCell ref="C27:F27"/>
    <mergeCell ref="G27:J27"/>
    <mergeCell ref="K27:N27"/>
    <mergeCell ref="O27:R27"/>
    <mergeCell ref="S27:V27"/>
    <mergeCell ref="AQ5:AT5"/>
    <mergeCell ref="C16:F16"/>
    <mergeCell ref="G16:J16"/>
    <mergeCell ref="K16:N16"/>
    <mergeCell ref="O16:R16"/>
    <mergeCell ref="S16:V16"/>
    <mergeCell ref="W16:Z16"/>
    <mergeCell ref="AA16:AD16"/>
    <mergeCell ref="AE16:AH16"/>
    <mergeCell ref="AI16:AL16"/>
    <mergeCell ref="AM16:AP16"/>
    <mergeCell ref="AQ16:AT16"/>
    <mergeCell ref="W5:Z5"/>
    <mergeCell ref="AA5:AD5"/>
    <mergeCell ref="AE5:AH5"/>
    <mergeCell ref="AI5:AL5"/>
    <mergeCell ref="AM5:AP5"/>
    <mergeCell ref="C5:F5"/>
    <mergeCell ref="G5:J5"/>
    <mergeCell ref="K5:N5"/>
    <mergeCell ref="O5:R5"/>
    <mergeCell ref="S5:V5"/>
  </mergeCells>
  <phoneticPr fontId="102" type="noConversion"/>
  <hyperlinks>
    <hyperlink ref="E1" location="目录!A1" display="返回目录"/>
  </hyperlinks>
  <pageMargins left="0.69930555555555596" right="0.69930555555555596"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outlinePr summaryBelow="0" summaryRight="0"/>
  </sheetPr>
  <dimension ref="A1:AW540"/>
  <sheetViews>
    <sheetView showGridLines="0" workbookViewId="0">
      <pane xSplit="4" ySplit="4" topLeftCell="I134" activePane="bottomRight" state="frozen"/>
      <selection pane="topRight"/>
      <selection pane="bottomLeft"/>
      <selection pane="bottomRight" activeCell="J86" sqref="J86"/>
    </sheetView>
  </sheetViews>
  <sheetFormatPr defaultColWidth="9" defaultRowHeight="12.75" outlineLevelRow="1"/>
  <cols>
    <col min="1" max="1" width="7.375" style="425" customWidth="1"/>
    <col min="2" max="2" width="12.5" style="425" customWidth="1"/>
    <col min="3" max="3" width="8" style="425" customWidth="1"/>
    <col min="4" max="4" width="10.125" style="426" customWidth="1"/>
    <col min="5" max="9" width="9" style="426"/>
    <col min="10" max="10" width="10.875" style="426" customWidth="1"/>
    <col min="11" max="13" width="9" style="426"/>
    <col min="14" max="14" width="10.625" style="426" customWidth="1"/>
    <col min="15" max="18" width="9" style="426"/>
    <col min="19" max="20" width="12.5" style="426" customWidth="1"/>
    <col min="21" max="16384" width="9" style="426"/>
  </cols>
  <sheetData>
    <row r="1" spans="1:49" ht="18.75">
      <c r="A1" s="427" t="str">
        <f>"项目"&amp;'1.参数设置'!E4&amp;"销售情况表"</f>
        <v>项目拿地阶段销售情况表</v>
      </c>
      <c r="B1" s="85"/>
      <c r="C1" s="85"/>
      <c r="D1" s="78"/>
      <c r="E1" s="353" t="s">
        <v>117</v>
      </c>
      <c r="F1" s="78"/>
      <c r="G1" s="1933" t="s">
        <v>550</v>
      </c>
      <c r="H1" s="1934"/>
      <c r="I1" s="469" t="str">
        <f>'8.项目规划指标表'!B5</f>
        <v>高层</v>
      </c>
      <c r="J1" s="469" t="str">
        <f>'8.项目规划指标表'!B6</f>
        <v>商铺</v>
      </c>
      <c r="K1" s="469" t="str">
        <f>'8.项目规划指标表'!B7</f>
        <v>回迁商业</v>
      </c>
      <c r="L1" s="469">
        <f>'8.项目规划指标表'!B8</f>
        <v>0</v>
      </c>
      <c r="M1" s="469">
        <f>'8.项目规划指标表'!B9</f>
        <v>0</v>
      </c>
      <c r="N1" s="469">
        <f>'8.项目规划指标表'!B10</f>
        <v>0</v>
      </c>
      <c r="O1" s="469">
        <f>'8.项目规划指标表'!B11</f>
        <v>0</v>
      </c>
      <c r="P1" s="469">
        <f>'8.项目规划指标表'!B12</f>
        <v>0</v>
      </c>
      <c r="Q1" s="469">
        <f>'8.项目规划指标表'!B13</f>
        <v>0</v>
      </c>
      <c r="R1" s="469" t="str">
        <f>'8.项目规划指标表'!B14</f>
        <v>自持物业</v>
      </c>
      <c r="S1" s="469" t="str">
        <f>'8.项目规划指标表'!B18</f>
        <v>有产权车库(个)</v>
      </c>
      <c r="T1" s="471" t="str">
        <f>'8.项目规划指标表'!B19</f>
        <v>无产权车库(个)</v>
      </c>
      <c r="U1" s="77"/>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row>
    <row r="2" spans="1:49" ht="19.5" customHeight="1">
      <c r="A2" s="428" t="s">
        <v>533</v>
      </c>
      <c r="B2" s="85"/>
      <c r="C2" s="85"/>
      <c r="D2" s="429" t="s">
        <v>629</v>
      </c>
      <c r="E2" s="1935">
        <f>'1.参数设置'!E2</f>
        <v>43210</v>
      </c>
      <c r="F2" s="1935"/>
      <c r="G2" s="1936" t="s">
        <v>876</v>
      </c>
      <c r="H2" s="1937"/>
      <c r="I2" s="470">
        <v>0.7</v>
      </c>
      <c r="J2" s="470">
        <v>0.7</v>
      </c>
      <c r="K2" s="470">
        <v>0.7</v>
      </c>
      <c r="L2" s="470">
        <v>0.7</v>
      </c>
      <c r="M2" s="470"/>
      <c r="N2" s="470"/>
      <c r="O2" s="470"/>
      <c r="P2" s="470"/>
      <c r="Q2" s="470"/>
      <c r="R2" s="470"/>
      <c r="S2" s="470">
        <v>1</v>
      </c>
      <c r="T2" s="472"/>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78"/>
    </row>
    <row r="3" spans="1:49" ht="17.25" customHeight="1">
      <c r="A3" s="1941" t="s">
        <v>598</v>
      </c>
      <c r="B3" s="1958" t="s">
        <v>877</v>
      </c>
      <c r="C3" s="1959"/>
      <c r="D3" s="1960"/>
      <c r="E3" s="1938">
        <f>'1.参数设置'!C4</f>
        <v>2018</v>
      </c>
      <c r="F3" s="1939"/>
      <c r="G3" s="1939"/>
      <c r="H3" s="1940"/>
      <c r="I3" s="1938">
        <f>E3+1</f>
        <v>2019</v>
      </c>
      <c r="J3" s="1939"/>
      <c r="K3" s="1939"/>
      <c r="L3" s="1940"/>
      <c r="M3" s="1938">
        <f>I3+1</f>
        <v>2020</v>
      </c>
      <c r="N3" s="1939"/>
      <c r="O3" s="1939"/>
      <c r="P3" s="1940"/>
      <c r="Q3" s="1938">
        <f>M3+1</f>
        <v>2021</v>
      </c>
      <c r="R3" s="1939"/>
      <c r="S3" s="1939"/>
      <c r="T3" s="1940"/>
      <c r="U3" s="1938">
        <f>Q3+1</f>
        <v>2022</v>
      </c>
      <c r="V3" s="1939"/>
      <c r="W3" s="1939"/>
      <c r="X3" s="1940"/>
      <c r="Y3" s="1938">
        <f>U3+1</f>
        <v>2023</v>
      </c>
      <c r="Z3" s="1939"/>
      <c r="AA3" s="1939"/>
      <c r="AB3" s="1940"/>
      <c r="AC3" s="1938">
        <f>Y3+1</f>
        <v>2024</v>
      </c>
      <c r="AD3" s="1939"/>
      <c r="AE3" s="1939"/>
      <c r="AF3" s="1940"/>
      <c r="AG3" s="1938">
        <f>AC3+1</f>
        <v>2025</v>
      </c>
      <c r="AH3" s="1939"/>
      <c r="AI3" s="1939"/>
      <c r="AJ3" s="1940"/>
      <c r="AK3" s="1938">
        <f>AG3+1</f>
        <v>2026</v>
      </c>
      <c r="AL3" s="1939"/>
      <c r="AM3" s="1939"/>
      <c r="AN3" s="1940"/>
      <c r="AO3" s="1938">
        <f>AK3+1</f>
        <v>2027</v>
      </c>
      <c r="AP3" s="1939"/>
      <c r="AQ3" s="1939"/>
      <c r="AR3" s="1940"/>
      <c r="AS3" s="1938">
        <f>AO3+1</f>
        <v>2028</v>
      </c>
      <c r="AT3" s="1939"/>
      <c r="AU3" s="1939"/>
      <c r="AV3" s="1940"/>
      <c r="AW3" s="78"/>
    </row>
    <row r="4" spans="1:49" ht="17.25" customHeight="1">
      <c r="A4" s="1942"/>
      <c r="B4" s="1961"/>
      <c r="C4" s="1962"/>
      <c r="D4" s="1906"/>
      <c r="E4" s="430">
        <v>1</v>
      </c>
      <c r="F4" s="431">
        <v>2</v>
      </c>
      <c r="G4" s="431">
        <v>3</v>
      </c>
      <c r="H4" s="432">
        <v>4</v>
      </c>
      <c r="I4" s="430">
        <v>1</v>
      </c>
      <c r="J4" s="431">
        <v>2</v>
      </c>
      <c r="K4" s="431">
        <v>3</v>
      </c>
      <c r="L4" s="432">
        <v>4</v>
      </c>
      <c r="M4" s="430">
        <v>1</v>
      </c>
      <c r="N4" s="431">
        <v>2</v>
      </c>
      <c r="O4" s="431">
        <v>3</v>
      </c>
      <c r="P4" s="432">
        <v>4</v>
      </c>
      <c r="Q4" s="430">
        <v>1</v>
      </c>
      <c r="R4" s="431">
        <v>2</v>
      </c>
      <c r="S4" s="431">
        <v>3</v>
      </c>
      <c r="T4" s="432">
        <v>4</v>
      </c>
      <c r="U4" s="430">
        <v>1</v>
      </c>
      <c r="V4" s="431">
        <v>2</v>
      </c>
      <c r="W4" s="431">
        <v>3</v>
      </c>
      <c r="X4" s="432">
        <v>4</v>
      </c>
      <c r="Y4" s="430">
        <v>1</v>
      </c>
      <c r="Z4" s="431">
        <v>2</v>
      </c>
      <c r="AA4" s="431">
        <v>3</v>
      </c>
      <c r="AB4" s="432">
        <v>4</v>
      </c>
      <c r="AC4" s="430">
        <v>1</v>
      </c>
      <c r="AD4" s="431">
        <v>2</v>
      </c>
      <c r="AE4" s="431">
        <v>3</v>
      </c>
      <c r="AF4" s="432">
        <v>4</v>
      </c>
      <c r="AG4" s="430">
        <v>1</v>
      </c>
      <c r="AH4" s="431">
        <v>2</v>
      </c>
      <c r="AI4" s="431">
        <v>3</v>
      </c>
      <c r="AJ4" s="432">
        <v>4</v>
      </c>
      <c r="AK4" s="430">
        <v>1</v>
      </c>
      <c r="AL4" s="431">
        <v>2</v>
      </c>
      <c r="AM4" s="431">
        <v>3</v>
      </c>
      <c r="AN4" s="432">
        <v>4</v>
      </c>
      <c r="AO4" s="430">
        <v>1</v>
      </c>
      <c r="AP4" s="431">
        <v>2</v>
      </c>
      <c r="AQ4" s="431">
        <v>3</v>
      </c>
      <c r="AR4" s="432">
        <v>4</v>
      </c>
      <c r="AS4" s="430">
        <v>1</v>
      </c>
      <c r="AT4" s="431">
        <v>2</v>
      </c>
      <c r="AU4" s="431">
        <v>3</v>
      </c>
      <c r="AV4" s="432">
        <v>4</v>
      </c>
      <c r="AW4" s="78"/>
    </row>
    <row r="5" spans="1:49" s="424" customFormat="1" ht="13.5" customHeight="1">
      <c r="A5" s="1943" t="s">
        <v>878</v>
      </c>
      <c r="B5" s="1956" t="s">
        <v>879</v>
      </c>
      <c r="C5" s="433" t="s">
        <v>880</v>
      </c>
      <c r="D5" s="434">
        <f>IFERROR(D9/D7*10000,0)</f>
        <v>16047.337623033145</v>
      </c>
      <c r="E5" s="435">
        <f>IFERROR(E8/E7*10000,0)</f>
        <v>0</v>
      </c>
      <c r="F5" s="436">
        <f t="shared" ref="F5:AV5" si="0">IFERROR(F8/F7*10000,0)</f>
        <v>0</v>
      </c>
      <c r="G5" s="436">
        <f t="shared" si="0"/>
        <v>0</v>
      </c>
      <c r="H5" s="437">
        <f t="shared" si="0"/>
        <v>0</v>
      </c>
      <c r="I5" s="435">
        <f t="shared" si="0"/>
        <v>0</v>
      </c>
      <c r="J5" s="436">
        <f t="shared" si="0"/>
        <v>15000</v>
      </c>
      <c r="K5" s="436">
        <f t="shared" si="0"/>
        <v>15599.999999999998</v>
      </c>
      <c r="L5" s="437">
        <f t="shared" si="0"/>
        <v>15912</v>
      </c>
      <c r="M5" s="435">
        <f t="shared" si="0"/>
        <v>16230.239999999998</v>
      </c>
      <c r="N5" s="436">
        <f t="shared" si="0"/>
        <v>24000</v>
      </c>
      <c r="O5" s="436">
        <f t="shared" si="0"/>
        <v>24000</v>
      </c>
      <c r="P5" s="437">
        <f t="shared" si="0"/>
        <v>0</v>
      </c>
      <c r="Q5" s="435">
        <f t="shared" si="0"/>
        <v>0</v>
      </c>
      <c r="R5" s="436">
        <f t="shared" si="0"/>
        <v>0</v>
      </c>
      <c r="S5" s="436">
        <f t="shared" si="0"/>
        <v>0</v>
      </c>
      <c r="T5" s="437">
        <f t="shared" si="0"/>
        <v>0</v>
      </c>
      <c r="U5" s="435">
        <f t="shared" si="0"/>
        <v>0</v>
      </c>
      <c r="V5" s="436">
        <f t="shared" si="0"/>
        <v>0</v>
      </c>
      <c r="W5" s="436">
        <f t="shared" si="0"/>
        <v>0</v>
      </c>
      <c r="X5" s="437">
        <f t="shared" si="0"/>
        <v>0</v>
      </c>
      <c r="Y5" s="435">
        <f t="shared" si="0"/>
        <v>0</v>
      </c>
      <c r="Z5" s="436">
        <f t="shared" si="0"/>
        <v>0</v>
      </c>
      <c r="AA5" s="436">
        <f t="shared" si="0"/>
        <v>0</v>
      </c>
      <c r="AB5" s="437">
        <f t="shared" si="0"/>
        <v>0</v>
      </c>
      <c r="AC5" s="435">
        <f t="shared" si="0"/>
        <v>0</v>
      </c>
      <c r="AD5" s="436">
        <f t="shared" si="0"/>
        <v>0</v>
      </c>
      <c r="AE5" s="436">
        <f t="shared" si="0"/>
        <v>0</v>
      </c>
      <c r="AF5" s="437">
        <f t="shared" si="0"/>
        <v>0</v>
      </c>
      <c r="AG5" s="435">
        <f t="shared" si="0"/>
        <v>0</v>
      </c>
      <c r="AH5" s="436">
        <f t="shared" si="0"/>
        <v>0</v>
      </c>
      <c r="AI5" s="436">
        <f t="shared" si="0"/>
        <v>0</v>
      </c>
      <c r="AJ5" s="437">
        <f t="shared" si="0"/>
        <v>0</v>
      </c>
      <c r="AK5" s="435">
        <f t="shared" si="0"/>
        <v>0</v>
      </c>
      <c r="AL5" s="436">
        <f t="shared" si="0"/>
        <v>0</v>
      </c>
      <c r="AM5" s="436">
        <f t="shared" si="0"/>
        <v>0</v>
      </c>
      <c r="AN5" s="437">
        <f t="shared" si="0"/>
        <v>0</v>
      </c>
      <c r="AO5" s="435">
        <f t="shared" si="0"/>
        <v>0</v>
      </c>
      <c r="AP5" s="436">
        <f t="shared" si="0"/>
        <v>0</v>
      </c>
      <c r="AQ5" s="436">
        <f t="shared" si="0"/>
        <v>0</v>
      </c>
      <c r="AR5" s="437">
        <f t="shared" si="0"/>
        <v>0</v>
      </c>
      <c r="AS5" s="435">
        <f t="shared" si="0"/>
        <v>0</v>
      </c>
      <c r="AT5" s="436">
        <f t="shared" si="0"/>
        <v>0</v>
      </c>
      <c r="AU5" s="436">
        <f t="shared" si="0"/>
        <v>0</v>
      </c>
      <c r="AV5" s="437">
        <f t="shared" si="0"/>
        <v>0</v>
      </c>
      <c r="AW5" s="473"/>
    </row>
    <row r="6" spans="1:49" ht="13.5" customHeight="1">
      <c r="A6" s="1944"/>
      <c r="B6" s="1957"/>
      <c r="C6" s="438" t="s">
        <v>881</v>
      </c>
      <c r="D6" s="439">
        <f t="shared" ref="D6:D14" si="1">SUM(E6:AV6)</f>
        <v>1.0000000000000002</v>
      </c>
      <c r="E6" s="440">
        <f>IFERROR(E7/$D$7,0)</f>
        <v>0</v>
      </c>
      <c r="F6" s="441">
        <f t="shared" ref="F6:AV6" si="2">IFERROR(F7/$D$7,0)</f>
        <v>0</v>
      </c>
      <c r="G6" s="441">
        <f t="shared" si="2"/>
        <v>0</v>
      </c>
      <c r="H6" s="442">
        <f t="shared" si="2"/>
        <v>0</v>
      </c>
      <c r="I6" s="440">
        <f t="shared" si="2"/>
        <v>0</v>
      </c>
      <c r="J6" s="441">
        <f t="shared" si="2"/>
        <v>0.328674255105457</v>
      </c>
      <c r="K6" s="441">
        <f t="shared" si="2"/>
        <v>0.328674255105457</v>
      </c>
      <c r="L6" s="442">
        <f t="shared" si="2"/>
        <v>0.14086039504519585</v>
      </c>
      <c r="M6" s="440">
        <f t="shared" si="2"/>
        <v>0.14086039504519585</v>
      </c>
      <c r="N6" s="441">
        <f t="shared" si="2"/>
        <v>4.8744559758955475E-2</v>
      </c>
      <c r="O6" s="441">
        <f t="shared" si="2"/>
        <v>1.2186139939738869E-2</v>
      </c>
      <c r="P6" s="442">
        <f t="shared" si="2"/>
        <v>0</v>
      </c>
      <c r="Q6" s="440">
        <f t="shared" si="2"/>
        <v>0</v>
      </c>
      <c r="R6" s="441">
        <f t="shared" si="2"/>
        <v>0</v>
      </c>
      <c r="S6" s="441">
        <f t="shared" si="2"/>
        <v>0</v>
      </c>
      <c r="T6" s="442">
        <f t="shared" si="2"/>
        <v>0</v>
      </c>
      <c r="U6" s="440">
        <f t="shared" si="2"/>
        <v>0</v>
      </c>
      <c r="V6" s="441">
        <f t="shared" si="2"/>
        <v>0</v>
      </c>
      <c r="W6" s="441">
        <f t="shared" si="2"/>
        <v>0</v>
      </c>
      <c r="X6" s="442">
        <f t="shared" si="2"/>
        <v>0</v>
      </c>
      <c r="Y6" s="440">
        <f t="shared" si="2"/>
        <v>0</v>
      </c>
      <c r="Z6" s="441">
        <f t="shared" si="2"/>
        <v>0</v>
      </c>
      <c r="AA6" s="441">
        <f t="shared" si="2"/>
        <v>0</v>
      </c>
      <c r="AB6" s="442">
        <f t="shared" si="2"/>
        <v>0</v>
      </c>
      <c r="AC6" s="440">
        <f t="shared" si="2"/>
        <v>0</v>
      </c>
      <c r="AD6" s="441">
        <f t="shared" si="2"/>
        <v>0</v>
      </c>
      <c r="AE6" s="441">
        <f t="shared" si="2"/>
        <v>0</v>
      </c>
      <c r="AF6" s="442">
        <f t="shared" si="2"/>
        <v>0</v>
      </c>
      <c r="AG6" s="440">
        <f t="shared" si="2"/>
        <v>0</v>
      </c>
      <c r="AH6" s="441">
        <f t="shared" si="2"/>
        <v>0</v>
      </c>
      <c r="AI6" s="441">
        <f t="shared" si="2"/>
        <v>0</v>
      </c>
      <c r="AJ6" s="442">
        <f t="shared" si="2"/>
        <v>0</v>
      </c>
      <c r="AK6" s="440">
        <f t="shared" si="2"/>
        <v>0</v>
      </c>
      <c r="AL6" s="441">
        <f t="shared" si="2"/>
        <v>0</v>
      </c>
      <c r="AM6" s="441">
        <f t="shared" si="2"/>
        <v>0</v>
      </c>
      <c r="AN6" s="442">
        <f t="shared" si="2"/>
        <v>0</v>
      </c>
      <c r="AO6" s="440">
        <f t="shared" si="2"/>
        <v>0</v>
      </c>
      <c r="AP6" s="441">
        <f t="shared" si="2"/>
        <v>0</v>
      </c>
      <c r="AQ6" s="441">
        <f t="shared" si="2"/>
        <v>0</v>
      </c>
      <c r="AR6" s="442">
        <f t="shared" si="2"/>
        <v>0</v>
      </c>
      <c r="AS6" s="440">
        <f t="shared" si="2"/>
        <v>0</v>
      </c>
      <c r="AT6" s="441">
        <f t="shared" si="2"/>
        <v>0</v>
      </c>
      <c r="AU6" s="441">
        <f t="shared" si="2"/>
        <v>0</v>
      </c>
      <c r="AV6" s="442">
        <f t="shared" si="2"/>
        <v>0</v>
      </c>
      <c r="AW6" s="78"/>
    </row>
    <row r="7" spans="1:49" s="424" customFormat="1" ht="13.5" customHeight="1">
      <c r="A7" s="1944"/>
      <c r="B7" s="1957"/>
      <c r="C7" s="438" t="s">
        <v>682</v>
      </c>
      <c r="D7" s="443">
        <f t="shared" si="1"/>
        <v>59740</v>
      </c>
      <c r="E7" s="444">
        <f t="shared" ref="E7:E9" si="3">SUM(E17,E22,E27,E32,E37,E42,E47,E52,E57,E62)</f>
        <v>0</v>
      </c>
      <c r="F7" s="445">
        <f t="shared" ref="F7:AV9" si="4">SUM(F17,F22,F27,F32,F37,F42,F47,F52,F57,F62)</f>
        <v>0</v>
      </c>
      <c r="G7" s="445">
        <f t="shared" si="4"/>
        <v>0</v>
      </c>
      <c r="H7" s="446">
        <f t="shared" si="4"/>
        <v>0</v>
      </c>
      <c r="I7" s="444">
        <f t="shared" si="4"/>
        <v>0</v>
      </c>
      <c r="J7" s="445">
        <f t="shared" si="4"/>
        <v>19635</v>
      </c>
      <c r="K7" s="445">
        <f t="shared" si="4"/>
        <v>19635</v>
      </c>
      <c r="L7" s="446">
        <f t="shared" si="4"/>
        <v>8415</v>
      </c>
      <c r="M7" s="444">
        <f t="shared" si="4"/>
        <v>8415</v>
      </c>
      <c r="N7" s="445">
        <f t="shared" si="4"/>
        <v>2912</v>
      </c>
      <c r="O7" s="445">
        <f t="shared" si="4"/>
        <v>728</v>
      </c>
      <c r="P7" s="446">
        <f t="shared" si="4"/>
        <v>0</v>
      </c>
      <c r="Q7" s="444">
        <f t="shared" si="4"/>
        <v>0</v>
      </c>
      <c r="R7" s="445">
        <f t="shared" si="4"/>
        <v>0</v>
      </c>
      <c r="S7" s="445">
        <f t="shared" si="4"/>
        <v>0</v>
      </c>
      <c r="T7" s="446">
        <f t="shared" si="4"/>
        <v>0</v>
      </c>
      <c r="U7" s="444">
        <f t="shared" si="4"/>
        <v>0</v>
      </c>
      <c r="V7" s="445">
        <f t="shared" si="4"/>
        <v>0</v>
      </c>
      <c r="W7" s="445">
        <f t="shared" si="4"/>
        <v>0</v>
      </c>
      <c r="X7" s="446">
        <f t="shared" si="4"/>
        <v>0</v>
      </c>
      <c r="Y7" s="444">
        <f t="shared" si="4"/>
        <v>0</v>
      </c>
      <c r="Z7" s="445">
        <f t="shared" si="4"/>
        <v>0</v>
      </c>
      <c r="AA7" s="445">
        <f t="shared" si="4"/>
        <v>0</v>
      </c>
      <c r="AB7" s="446">
        <f t="shared" si="4"/>
        <v>0</v>
      </c>
      <c r="AC7" s="444">
        <f t="shared" si="4"/>
        <v>0</v>
      </c>
      <c r="AD7" s="445">
        <f t="shared" si="4"/>
        <v>0</v>
      </c>
      <c r="AE7" s="445">
        <f t="shared" si="4"/>
        <v>0</v>
      </c>
      <c r="AF7" s="446">
        <f t="shared" si="4"/>
        <v>0</v>
      </c>
      <c r="AG7" s="444">
        <f t="shared" si="4"/>
        <v>0</v>
      </c>
      <c r="AH7" s="445">
        <f t="shared" si="4"/>
        <v>0</v>
      </c>
      <c r="AI7" s="445">
        <f t="shared" si="4"/>
        <v>0</v>
      </c>
      <c r="AJ7" s="446">
        <f t="shared" si="4"/>
        <v>0</v>
      </c>
      <c r="AK7" s="444">
        <f t="shared" si="4"/>
        <v>0</v>
      </c>
      <c r="AL7" s="445">
        <f t="shared" si="4"/>
        <v>0</v>
      </c>
      <c r="AM7" s="445">
        <f t="shared" si="4"/>
        <v>0</v>
      </c>
      <c r="AN7" s="446">
        <f t="shared" si="4"/>
        <v>0</v>
      </c>
      <c r="AO7" s="444">
        <f t="shared" si="4"/>
        <v>0</v>
      </c>
      <c r="AP7" s="445">
        <f t="shared" si="4"/>
        <v>0</v>
      </c>
      <c r="AQ7" s="445">
        <f t="shared" si="4"/>
        <v>0</v>
      </c>
      <c r="AR7" s="446">
        <f t="shared" si="4"/>
        <v>0</v>
      </c>
      <c r="AS7" s="444">
        <f t="shared" si="4"/>
        <v>0</v>
      </c>
      <c r="AT7" s="445">
        <f t="shared" si="4"/>
        <v>0</v>
      </c>
      <c r="AU7" s="445">
        <f t="shared" si="4"/>
        <v>0</v>
      </c>
      <c r="AV7" s="446">
        <f t="shared" si="4"/>
        <v>0</v>
      </c>
      <c r="AW7" s="473"/>
    </row>
    <row r="8" spans="1:49" s="424" customFormat="1" ht="13.5" customHeight="1">
      <c r="A8" s="1944"/>
      <c r="B8" s="1957"/>
      <c r="C8" s="438" t="s">
        <v>882</v>
      </c>
      <c r="D8" s="443">
        <f t="shared" si="1"/>
        <v>95866.794959999999</v>
      </c>
      <c r="E8" s="444">
        <f t="shared" si="3"/>
        <v>0</v>
      </c>
      <c r="F8" s="445">
        <f t="shared" si="4"/>
        <v>0</v>
      </c>
      <c r="G8" s="445">
        <f t="shared" si="4"/>
        <v>0</v>
      </c>
      <c r="H8" s="446">
        <f t="shared" si="4"/>
        <v>0</v>
      </c>
      <c r="I8" s="444">
        <f t="shared" si="4"/>
        <v>0</v>
      </c>
      <c r="J8" s="445">
        <f t="shared" si="4"/>
        <v>29452.5</v>
      </c>
      <c r="K8" s="445">
        <f t="shared" si="4"/>
        <v>30630.6</v>
      </c>
      <c r="L8" s="446">
        <f t="shared" si="4"/>
        <v>13389.948</v>
      </c>
      <c r="M8" s="444">
        <f t="shared" si="4"/>
        <v>13657.746959999999</v>
      </c>
      <c r="N8" s="445">
        <f t="shared" si="4"/>
        <v>6988.8</v>
      </c>
      <c r="O8" s="445">
        <f t="shared" si="4"/>
        <v>1747.2</v>
      </c>
      <c r="P8" s="446">
        <f t="shared" si="4"/>
        <v>0</v>
      </c>
      <c r="Q8" s="444">
        <f t="shared" si="4"/>
        <v>0</v>
      </c>
      <c r="R8" s="445">
        <f t="shared" si="4"/>
        <v>0</v>
      </c>
      <c r="S8" s="445">
        <f t="shared" si="4"/>
        <v>0</v>
      </c>
      <c r="T8" s="446">
        <f t="shared" si="4"/>
        <v>0</v>
      </c>
      <c r="U8" s="444">
        <f t="shared" si="4"/>
        <v>0</v>
      </c>
      <c r="V8" s="445">
        <f t="shared" si="4"/>
        <v>0</v>
      </c>
      <c r="W8" s="445">
        <f t="shared" si="4"/>
        <v>0</v>
      </c>
      <c r="X8" s="446">
        <f t="shared" si="4"/>
        <v>0</v>
      </c>
      <c r="Y8" s="444">
        <f t="shared" si="4"/>
        <v>0</v>
      </c>
      <c r="Z8" s="445">
        <f t="shared" si="4"/>
        <v>0</v>
      </c>
      <c r="AA8" s="445">
        <f t="shared" si="4"/>
        <v>0</v>
      </c>
      <c r="AB8" s="446">
        <f t="shared" si="4"/>
        <v>0</v>
      </c>
      <c r="AC8" s="444">
        <f t="shared" si="4"/>
        <v>0</v>
      </c>
      <c r="AD8" s="445">
        <f t="shared" si="4"/>
        <v>0</v>
      </c>
      <c r="AE8" s="445">
        <f t="shared" si="4"/>
        <v>0</v>
      </c>
      <c r="AF8" s="446">
        <f t="shared" si="4"/>
        <v>0</v>
      </c>
      <c r="AG8" s="444">
        <f t="shared" si="4"/>
        <v>0</v>
      </c>
      <c r="AH8" s="445">
        <f t="shared" si="4"/>
        <v>0</v>
      </c>
      <c r="AI8" s="445">
        <f t="shared" si="4"/>
        <v>0</v>
      </c>
      <c r="AJ8" s="446">
        <f t="shared" si="4"/>
        <v>0</v>
      </c>
      <c r="AK8" s="444">
        <f t="shared" si="4"/>
        <v>0</v>
      </c>
      <c r="AL8" s="445">
        <f t="shared" si="4"/>
        <v>0</v>
      </c>
      <c r="AM8" s="445">
        <f t="shared" si="4"/>
        <v>0</v>
      </c>
      <c r="AN8" s="446">
        <f t="shared" si="4"/>
        <v>0</v>
      </c>
      <c r="AO8" s="444">
        <f t="shared" si="4"/>
        <v>0</v>
      </c>
      <c r="AP8" s="445">
        <f t="shared" si="4"/>
        <v>0</v>
      </c>
      <c r="AQ8" s="445">
        <f t="shared" si="4"/>
        <v>0</v>
      </c>
      <c r="AR8" s="446">
        <f t="shared" si="4"/>
        <v>0</v>
      </c>
      <c r="AS8" s="444">
        <f t="shared" si="4"/>
        <v>0</v>
      </c>
      <c r="AT8" s="445">
        <f t="shared" si="4"/>
        <v>0</v>
      </c>
      <c r="AU8" s="445">
        <f t="shared" si="4"/>
        <v>0</v>
      </c>
      <c r="AV8" s="446">
        <f t="shared" si="4"/>
        <v>0</v>
      </c>
      <c r="AW8" s="473"/>
    </row>
    <row r="9" spans="1:49" s="424" customFormat="1" ht="13.5" customHeight="1">
      <c r="A9" s="1944"/>
      <c r="B9" s="1957"/>
      <c r="C9" s="447" t="s">
        <v>450</v>
      </c>
      <c r="D9" s="448">
        <f t="shared" si="1"/>
        <v>95866.794959999999</v>
      </c>
      <c r="E9" s="444">
        <f t="shared" si="3"/>
        <v>0</v>
      </c>
      <c r="F9" s="445">
        <f t="shared" si="4"/>
        <v>0</v>
      </c>
      <c r="G9" s="445">
        <f t="shared" si="4"/>
        <v>0</v>
      </c>
      <c r="H9" s="446">
        <f t="shared" si="4"/>
        <v>0</v>
      </c>
      <c r="I9" s="444">
        <f t="shared" si="4"/>
        <v>0</v>
      </c>
      <c r="J9" s="445">
        <f t="shared" si="4"/>
        <v>20616.75</v>
      </c>
      <c r="K9" s="445">
        <f t="shared" si="4"/>
        <v>30277.17</v>
      </c>
      <c r="L9" s="446">
        <f t="shared" si="4"/>
        <v>18562.143599999999</v>
      </c>
      <c r="M9" s="444">
        <f t="shared" si="4"/>
        <v>13577.407272</v>
      </c>
      <c r="N9" s="445">
        <f t="shared" si="4"/>
        <v>8989.4840880000011</v>
      </c>
      <c r="O9" s="445">
        <f t="shared" si="4"/>
        <v>3319.6800000000003</v>
      </c>
      <c r="P9" s="446">
        <f t="shared" si="4"/>
        <v>524.16000000000008</v>
      </c>
      <c r="Q9" s="444">
        <f t="shared" si="4"/>
        <v>0</v>
      </c>
      <c r="R9" s="445">
        <f t="shared" si="4"/>
        <v>0</v>
      </c>
      <c r="S9" s="445">
        <f t="shared" si="4"/>
        <v>0</v>
      </c>
      <c r="T9" s="446">
        <f t="shared" si="4"/>
        <v>0</v>
      </c>
      <c r="U9" s="444">
        <f t="shared" si="4"/>
        <v>0</v>
      </c>
      <c r="V9" s="445">
        <f t="shared" si="4"/>
        <v>0</v>
      </c>
      <c r="W9" s="445">
        <f t="shared" si="4"/>
        <v>0</v>
      </c>
      <c r="X9" s="446">
        <f t="shared" si="4"/>
        <v>0</v>
      </c>
      <c r="Y9" s="444">
        <f t="shared" si="4"/>
        <v>0</v>
      </c>
      <c r="Z9" s="445">
        <f t="shared" si="4"/>
        <v>0</v>
      </c>
      <c r="AA9" s="445">
        <f t="shared" si="4"/>
        <v>0</v>
      </c>
      <c r="AB9" s="446">
        <f t="shared" si="4"/>
        <v>0</v>
      </c>
      <c r="AC9" s="444">
        <f t="shared" si="4"/>
        <v>0</v>
      </c>
      <c r="AD9" s="445">
        <f t="shared" si="4"/>
        <v>0</v>
      </c>
      <c r="AE9" s="445">
        <f t="shared" si="4"/>
        <v>0</v>
      </c>
      <c r="AF9" s="446">
        <f t="shared" si="4"/>
        <v>0</v>
      </c>
      <c r="AG9" s="444">
        <f t="shared" si="4"/>
        <v>0</v>
      </c>
      <c r="AH9" s="445">
        <f t="shared" si="4"/>
        <v>0</v>
      </c>
      <c r="AI9" s="445">
        <f t="shared" si="4"/>
        <v>0</v>
      </c>
      <c r="AJ9" s="446">
        <f t="shared" si="4"/>
        <v>0</v>
      </c>
      <c r="AK9" s="444">
        <f t="shared" si="4"/>
        <v>0</v>
      </c>
      <c r="AL9" s="445">
        <f t="shared" si="4"/>
        <v>0</v>
      </c>
      <c r="AM9" s="445">
        <f t="shared" si="4"/>
        <v>0</v>
      </c>
      <c r="AN9" s="446">
        <f t="shared" si="4"/>
        <v>0</v>
      </c>
      <c r="AO9" s="444">
        <f t="shared" si="4"/>
        <v>0</v>
      </c>
      <c r="AP9" s="445">
        <f t="shared" si="4"/>
        <v>0</v>
      </c>
      <c r="AQ9" s="445">
        <f t="shared" si="4"/>
        <v>0</v>
      </c>
      <c r="AR9" s="446">
        <f t="shared" si="4"/>
        <v>0</v>
      </c>
      <c r="AS9" s="444">
        <f t="shared" si="4"/>
        <v>0</v>
      </c>
      <c r="AT9" s="445">
        <f t="shared" si="4"/>
        <v>0</v>
      </c>
      <c r="AU9" s="445">
        <f t="shared" si="4"/>
        <v>0</v>
      </c>
      <c r="AV9" s="446">
        <f t="shared" si="4"/>
        <v>0</v>
      </c>
      <c r="AW9" s="473"/>
    </row>
    <row r="10" spans="1:49" s="424" customFormat="1" ht="13.5" customHeight="1">
      <c r="A10" s="1944"/>
      <c r="B10" s="1956" t="s">
        <v>883</v>
      </c>
      <c r="C10" s="449" t="s">
        <v>884</v>
      </c>
      <c r="D10" s="434">
        <f>IFERROR(D14/D12*10000,0)</f>
        <v>112000</v>
      </c>
      <c r="E10" s="450">
        <f>IFERROR(E13/E12*10000,0)</f>
        <v>0</v>
      </c>
      <c r="F10" s="451">
        <f t="shared" ref="F10:AV10" si="5">IFERROR(F13/F12*10000,0)</f>
        <v>0</v>
      </c>
      <c r="G10" s="451">
        <f t="shared" si="5"/>
        <v>0</v>
      </c>
      <c r="H10" s="452">
        <f t="shared" si="5"/>
        <v>0</v>
      </c>
      <c r="I10" s="435">
        <f t="shared" si="5"/>
        <v>0</v>
      </c>
      <c r="J10" s="436">
        <f t="shared" si="5"/>
        <v>0</v>
      </c>
      <c r="K10" s="436">
        <f t="shared" si="5"/>
        <v>0</v>
      </c>
      <c r="L10" s="437">
        <f t="shared" si="5"/>
        <v>0</v>
      </c>
      <c r="M10" s="435">
        <f t="shared" si="5"/>
        <v>0</v>
      </c>
      <c r="N10" s="436">
        <f t="shared" si="5"/>
        <v>0</v>
      </c>
      <c r="O10" s="436">
        <f t="shared" si="5"/>
        <v>140000.00000000003</v>
      </c>
      <c r="P10" s="437">
        <f t="shared" si="5"/>
        <v>140000.00000000003</v>
      </c>
      <c r="Q10" s="435">
        <f t="shared" si="5"/>
        <v>139999.99999999997</v>
      </c>
      <c r="R10" s="436">
        <f t="shared" si="5"/>
        <v>0</v>
      </c>
      <c r="S10" s="436">
        <f t="shared" si="5"/>
        <v>0</v>
      </c>
      <c r="T10" s="437">
        <f t="shared" si="5"/>
        <v>0</v>
      </c>
      <c r="U10" s="435">
        <f t="shared" si="5"/>
        <v>0</v>
      </c>
      <c r="V10" s="436">
        <f t="shared" si="5"/>
        <v>0</v>
      </c>
      <c r="W10" s="436">
        <f t="shared" si="5"/>
        <v>0</v>
      </c>
      <c r="X10" s="437">
        <f t="shared" si="5"/>
        <v>0</v>
      </c>
      <c r="Y10" s="435">
        <f t="shared" si="5"/>
        <v>0</v>
      </c>
      <c r="Z10" s="436">
        <f t="shared" si="5"/>
        <v>0</v>
      </c>
      <c r="AA10" s="436">
        <f t="shared" si="5"/>
        <v>0</v>
      </c>
      <c r="AB10" s="437">
        <f t="shared" si="5"/>
        <v>0</v>
      </c>
      <c r="AC10" s="435">
        <f t="shared" si="5"/>
        <v>0</v>
      </c>
      <c r="AD10" s="436">
        <f t="shared" si="5"/>
        <v>0</v>
      </c>
      <c r="AE10" s="436">
        <f t="shared" si="5"/>
        <v>0</v>
      </c>
      <c r="AF10" s="437">
        <f t="shared" si="5"/>
        <v>0</v>
      </c>
      <c r="AG10" s="435">
        <f t="shared" si="5"/>
        <v>0</v>
      </c>
      <c r="AH10" s="436">
        <f t="shared" si="5"/>
        <v>0</v>
      </c>
      <c r="AI10" s="436">
        <f t="shared" si="5"/>
        <v>0</v>
      </c>
      <c r="AJ10" s="437">
        <f t="shared" si="5"/>
        <v>0</v>
      </c>
      <c r="AK10" s="435">
        <f t="shared" si="5"/>
        <v>0</v>
      </c>
      <c r="AL10" s="436">
        <f t="shared" si="5"/>
        <v>0</v>
      </c>
      <c r="AM10" s="436">
        <f t="shared" si="5"/>
        <v>0</v>
      </c>
      <c r="AN10" s="437">
        <f t="shared" si="5"/>
        <v>0</v>
      </c>
      <c r="AO10" s="435">
        <f t="shared" si="5"/>
        <v>0</v>
      </c>
      <c r="AP10" s="436">
        <f t="shared" si="5"/>
        <v>0</v>
      </c>
      <c r="AQ10" s="436">
        <f t="shared" si="5"/>
        <v>0</v>
      </c>
      <c r="AR10" s="437">
        <f t="shared" si="5"/>
        <v>0</v>
      </c>
      <c r="AS10" s="435">
        <f t="shared" si="5"/>
        <v>0</v>
      </c>
      <c r="AT10" s="436">
        <f t="shared" si="5"/>
        <v>0</v>
      </c>
      <c r="AU10" s="436">
        <f t="shared" si="5"/>
        <v>0</v>
      </c>
      <c r="AV10" s="437">
        <f t="shared" si="5"/>
        <v>0</v>
      </c>
      <c r="AW10" s="473"/>
    </row>
    <row r="11" spans="1:49" ht="13.5" customHeight="1">
      <c r="A11" s="1944"/>
      <c r="B11" s="1957"/>
      <c r="C11" s="438" t="s">
        <v>881</v>
      </c>
      <c r="D11" s="439">
        <f t="shared" si="1"/>
        <v>1</v>
      </c>
      <c r="E11" s="440">
        <f t="shared" ref="E11:AV11" si="6">IFERROR(E12/$D$12,0)</f>
        <v>0</v>
      </c>
      <c r="F11" s="441">
        <f t="shared" si="6"/>
        <v>0</v>
      </c>
      <c r="G11" s="441">
        <f t="shared" si="6"/>
        <v>0</v>
      </c>
      <c r="H11" s="442">
        <f t="shared" si="6"/>
        <v>0</v>
      </c>
      <c r="I11" s="440">
        <f t="shared" si="6"/>
        <v>0</v>
      </c>
      <c r="J11" s="441">
        <f t="shared" si="6"/>
        <v>0</v>
      </c>
      <c r="K11" s="441">
        <f t="shared" si="6"/>
        <v>0</v>
      </c>
      <c r="L11" s="442">
        <f t="shared" si="6"/>
        <v>0</v>
      </c>
      <c r="M11" s="440">
        <f t="shared" si="6"/>
        <v>0</v>
      </c>
      <c r="N11" s="441">
        <f t="shared" si="6"/>
        <v>0</v>
      </c>
      <c r="O11" s="441">
        <f t="shared" si="6"/>
        <v>0.3</v>
      </c>
      <c r="P11" s="442">
        <f t="shared" si="6"/>
        <v>0.3</v>
      </c>
      <c r="Q11" s="440">
        <f t="shared" si="6"/>
        <v>0.2</v>
      </c>
      <c r="R11" s="441">
        <f t="shared" si="6"/>
        <v>0.2</v>
      </c>
      <c r="S11" s="441">
        <f t="shared" si="6"/>
        <v>0</v>
      </c>
      <c r="T11" s="442">
        <f t="shared" si="6"/>
        <v>0</v>
      </c>
      <c r="U11" s="440">
        <f t="shared" si="6"/>
        <v>0</v>
      </c>
      <c r="V11" s="441">
        <f t="shared" si="6"/>
        <v>0</v>
      </c>
      <c r="W11" s="441">
        <f t="shared" si="6"/>
        <v>0</v>
      </c>
      <c r="X11" s="442">
        <f t="shared" si="6"/>
        <v>0</v>
      </c>
      <c r="Y11" s="440">
        <f t="shared" si="6"/>
        <v>0</v>
      </c>
      <c r="Z11" s="441">
        <f t="shared" si="6"/>
        <v>0</v>
      </c>
      <c r="AA11" s="441">
        <f t="shared" si="6"/>
        <v>0</v>
      </c>
      <c r="AB11" s="442">
        <f t="shared" si="6"/>
        <v>0</v>
      </c>
      <c r="AC11" s="440">
        <f t="shared" si="6"/>
        <v>0</v>
      </c>
      <c r="AD11" s="441">
        <f t="shared" si="6"/>
        <v>0</v>
      </c>
      <c r="AE11" s="441">
        <f t="shared" si="6"/>
        <v>0</v>
      </c>
      <c r="AF11" s="442">
        <f t="shared" si="6"/>
        <v>0</v>
      </c>
      <c r="AG11" s="440">
        <f t="shared" si="6"/>
        <v>0</v>
      </c>
      <c r="AH11" s="441">
        <f t="shared" si="6"/>
        <v>0</v>
      </c>
      <c r="AI11" s="441">
        <f t="shared" si="6"/>
        <v>0</v>
      </c>
      <c r="AJ11" s="442">
        <f t="shared" si="6"/>
        <v>0</v>
      </c>
      <c r="AK11" s="440">
        <f t="shared" si="6"/>
        <v>0</v>
      </c>
      <c r="AL11" s="441">
        <f t="shared" si="6"/>
        <v>0</v>
      </c>
      <c r="AM11" s="441">
        <f t="shared" si="6"/>
        <v>0</v>
      </c>
      <c r="AN11" s="442">
        <f t="shared" si="6"/>
        <v>0</v>
      </c>
      <c r="AO11" s="440">
        <f t="shared" si="6"/>
        <v>0</v>
      </c>
      <c r="AP11" s="441">
        <f t="shared" si="6"/>
        <v>0</v>
      </c>
      <c r="AQ11" s="441">
        <f t="shared" si="6"/>
        <v>0</v>
      </c>
      <c r="AR11" s="442">
        <f t="shared" si="6"/>
        <v>0</v>
      </c>
      <c r="AS11" s="440">
        <f t="shared" si="6"/>
        <v>0</v>
      </c>
      <c r="AT11" s="441">
        <f t="shared" si="6"/>
        <v>0</v>
      </c>
      <c r="AU11" s="441">
        <f t="shared" si="6"/>
        <v>0</v>
      </c>
      <c r="AV11" s="442">
        <f t="shared" si="6"/>
        <v>0</v>
      </c>
      <c r="AW11" s="78"/>
    </row>
    <row r="12" spans="1:49" s="424" customFormat="1" ht="13.5" customHeight="1">
      <c r="A12" s="1944"/>
      <c r="B12" s="1957"/>
      <c r="C12" s="438" t="s">
        <v>783</v>
      </c>
      <c r="D12" s="443">
        <f t="shared" si="1"/>
        <v>422</v>
      </c>
      <c r="E12" s="444">
        <f>SUM(E67,E72)</f>
        <v>0</v>
      </c>
      <c r="F12" s="445">
        <f t="shared" ref="F12:AV12" si="7">SUM(F67,F72)</f>
        <v>0</v>
      </c>
      <c r="G12" s="445">
        <f t="shared" si="7"/>
        <v>0</v>
      </c>
      <c r="H12" s="446">
        <f t="shared" si="7"/>
        <v>0</v>
      </c>
      <c r="I12" s="444">
        <f t="shared" si="7"/>
        <v>0</v>
      </c>
      <c r="J12" s="445">
        <f t="shared" si="7"/>
        <v>0</v>
      </c>
      <c r="K12" s="445">
        <f t="shared" si="7"/>
        <v>0</v>
      </c>
      <c r="L12" s="446">
        <f t="shared" si="7"/>
        <v>0</v>
      </c>
      <c r="M12" s="444">
        <f t="shared" si="7"/>
        <v>0</v>
      </c>
      <c r="N12" s="445">
        <f t="shared" si="7"/>
        <v>0</v>
      </c>
      <c r="O12" s="445">
        <f t="shared" si="7"/>
        <v>126.6</v>
      </c>
      <c r="P12" s="446">
        <f t="shared" si="7"/>
        <v>126.6</v>
      </c>
      <c r="Q12" s="444">
        <f t="shared" si="7"/>
        <v>84.4</v>
      </c>
      <c r="R12" s="445">
        <f t="shared" si="7"/>
        <v>84.4</v>
      </c>
      <c r="S12" s="445">
        <f t="shared" si="7"/>
        <v>0</v>
      </c>
      <c r="T12" s="446">
        <f t="shared" si="7"/>
        <v>0</v>
      </c>
      <c r="U12" s="444">
        <f t="shared" si="7"/>
        <v>0</v>
      </c>
      <c r="V12" s="445">
        <f t="shared" si="7"/>
        <v>0</v>
      </c>
      <c r="W12" s="445">
        <f t="shared" si="7"/>
        <v>0</v>
      </c>
      <c r="X12" s="446">
        <f t="shared" si="7"/>
        <v>0</v>
      </c>
      <c r="Y12" s="444">
        <f t="shared" si="7"/>
        <v>0</v>
      </c>
      <c r="Z12" s="445">
        <f t="shared" si="7"/>
        <v>0</v>
      </c>
      <c r="AA12" s="445">
        <f t="shared" si="7"/>
        <v>0</v>
      </c>
      <c r="AB12" s="446">
        <f t="shared" si="7"/>
        <v>0</v>
      </c>
      <c r="AC12" s="444">
        <f t="shared" si="7"/>
        <v>0</v>
      </c>
      <c r="AD12" s="445">
        <f t="shared" si="7"/>
        <v>0</v>
      </c>
      <c r="AE12" s="445">
        <f t="shared" si="7"/>
        <v>0</v>
      </c>
      <c r="AF12" s="446">
        <f t="shared" si="7"/>
        <v>0</v>
      </c>
      <c r="AG12" s="444">
        <f t="shared" si="7"/>
        <v>0</v>
      </c>
      <c r="AH12" s="445">
        <f t="shared" si="7"/>
        <v>0</v>
      </c>
      <c r="AI12" s="445">
        <f t="shared" si="7"/>
        <v>0</v>
      </c>
      <c r="AJ12" s="446">
        <f t="shared" si="7"/>
        <v>0</v>
      </c>
      <c r="AK12" s="444">
        <f t="shared" si="7"/>
        <v>0</v>
      </c>
      <c r="AL12" s="445">
        <f t="shared" si="7"/>
        <v>0</v>
      </c>
      <c r="AM12" s="445">
        <f t="shared" si="7"/>
        <v>0</v>
      </c>
      <c r="AN12" s="446">
        <f t="shared" si="7"/>
        <v>0</v>
      </c>
      <c r="AO12" s="444">
        <f t="shared" si="7"/>
        <v>0</v>
      </c>
      <c r="AP12" s="445">
        <f t="shared" si="7"/>
        <v>0</v>
      </c>
      <c r="AQ12" s="445">
        <f t="shared" si="7"/>
        <v>0</v>
      </c>
      <c r="AR12" s="446">
        <f t="shared" si="7"/>
        <v>0</v>
      </c>
      <c r="AS12" s="444">
        <f t="shared" si="7"/>
        <v>0</v>
      </c>
      <c r="AT12" s="445">
        <f t="shared" si="7"/>
        <v>0</v>
      </c>
      <c r="AU12" s="445">
        <f t="shared" si="7"/>
        <v>0</v>
      </c>
      <c r="AV12" s="446">
        <f t="shared" si="7"/>
        <v>0</v>
      </c>
      <c r="AW12" s="473"/>
    </row>
    <row r="13" spans="1:49" s="424" customFormat="1" ht="13.5" customHeight="1">
      <c r="A13" s="1944"/>
      <c r="B13" s="1957"/>
      <c r="C13" s="438" t="s">
        <v>885</v>
      </c>
      <c r="D13" s="443">
        <f t="shared" si="1"/>
        <v>4726.3999999999996</v>
      </c>
      <c r="E13" s="444">
        <f t="shared" ref="E13:AV13" si="8">SUM(E68,E73)</f>
        <v>0</v>
      </c>
      <c r="F13" s="445">
        <f t="shared" si="8"/>
        <v>0</v>
      </c>
      <c r="G13" s="445">
        <f t="shared" si="8"/>
        <v>0</v>
      </c>
      <c r="H13" s="446">
        <f t="shared" si="8"/>
        <v>0</v>
      </c>
      <c r="I13" s="444">
        <f t="shared" si="8"/>
        <v>0</v>
      </c>
      <c r="J13" s="445">
        <f t="shared" si="8"/>
        <v>0</v>
      </c>
      <c r="K13" s="445">
        <f t="shared" si="8"/>
        <v>0</v>
      </c>
      <c r="L13" s="446">
        <f t="shared" si="8"/>
        <v>0</v>
      </c>
      <c r="M13" s="444">
        <f t="shared" si="8"/>
        <v>0</v>
      </c>
      <c r="N13" s="445">
        <f t="shared" si="8"/>
        <v>0</v>
      </c>
      <c r="O13" s="445">
        <f t="shared" si="8"/>
        <v>1772.4</v>
      </c>
      <c r="P13" s="446">
        <f t="shared" si="8"/>
        <v>1772.4</v>
      </c>
      <c r="Q13" s="444">
        <f t="shared" si="8"/>
        <v>1181.5999999999999</v>
      </c>
      <c r="R13" s="445">
        <f t="shared" si="8"/>
        <v>0</v>
      </c>
      <c r="S13" s="445">
        <f t="shared" si="8"/>
        <v>0</v>
      </c>
      <c r="T13" s="446">
        <f t="shared" si="8"/>
        <v>0</v>
      </c>
      <c r="U13" s="444">
        <f t="shared" si="8"/>
        <v>0</v>
      </c>
      <c r="V13" s="445">
        <f t="shared" si="8"/>
        <v>0</v>
      </c>
      <c r="W13" s="445">
        <f t="shared" si="8"/>
        <v>0</v>
      </c>
      <c r="X13" s="446">
        <f t="shared" si="8"/>
        <v>0</v>
      </c>
      <c r="Y13" s="444">
        <f t="shared" si="8"/>
        <v>0</v>
      </c>
      <c r="Z13" s="445">
        <f t="shared" si="8"/>
        <v>0</v>
      </c>
      <c r="AA13" s="445">
        <f t="shared" si="8"/>
        <v>0</v>
      </c>
      <c r="AB13" s="446">
        <f t="shared" si="8"/>
        <v>0</v>
      </c>
      <c r="AC13" s="444">
        <f t="shared" si="8"/>
        <v>0</v>
      </c>
      <c r="AD13" s="445">
        <f t="shared" si="8"/>
        <v>0</v>
      </c>
      <c r="AE13" s="445">
        <f t="shared" si="8"/>
        <v>0</v>
      </c>
      <c r="AF13" s="446">
        <f t="shared" si="8"/>
        <v>0</v>
      </c>
      <c r="AG13" s="444">
        <f t="shared" si="8"/>
        <v>0</v>
      </c>
      <c r="AH13" s="445">
        <f t="shared" si="8"/>
        <v>0</v>
      </c>
      <c r="AI13" s="445">
        <f t="shared" si="8"/>
        <v>0</v>
      </c>
      <c r="AJ13" s="446">
        <f t="shared" si="8"/>
        <v>0</v>
      </c>
      <c r="AK13" s="444">
        <f t="shared" si="8"/>
        <v>0</v>
      </c>
      <c r="AL13" s="445">
        <f t="shared" si="8"/>
        <v>0</v>
      </c>
      <c r="AM13" s="445">
        <f t="shared" si="8"/>
        <v>0</v>
      </c>
      <c r="AN13" s="446">
        <f t="shared" si="8"/>
        <v>0</v>
      </c>
      <c r="AO13" s="444">
        <f t="shared" si="8"/>
        <v>0</v>
      </c>
      <c r="AP13" s="445">
        <f t="shared" si="8"/>
        <v>0</v>
      </c>
      <c r="AQ13" s="445">
        <f t="shared" si="8"/>
        <v>0</v>
      </c>
      <c r="AR13" s="446">
        <f t="shared" si="8"/>
        <v>0</v>
      </c>
      <c r="AS13" s="444">
        <f t="shared" si="8"/>
        <v>0</v>
      </c>
      <c r="AT13" s="445">
        <f t="shared" si="8"/>
        <v>0</v>
      </c>
      <c r="AU13" s="445">
        <f t="shared" si="8"/>
        <v>0</v>
      </c>
      <c r="AV13" s="446">
        <f t="shared" si="8"/>
        <v>0</v>
      </c>
      <c r="AW13" s="473"/>
    </row>
    <row r="14" spans="1:49" s="424" customFormat="1" ht="13.5" customHeight="1">
      <c r="A14" s="1944"/>
      <c r="B14" s="1957"/>
      <c r="C14" s="447" t="s">
        <v>886</v>
      </c>
      <c r="D14" s="448">
        <f t="shared" si="1"/>
        <v>4726.3999999999996</v>
      </c>
      <c r="E14" s="453">
        <f t="shared" ref="E14:AV14" si="9">SUM(E69,E74)</f>
        <v>0</v>
      </c>
      <c r="F14" s="454">
        <f t="shared" si="9"/>
        <v>0</v>
      </c>
      <c r="G14" s="454">
        <f t="shared" si="9"/>
        <v>0</v>
      </c>
      <c r="H14" s="455">
        <f t="shared" si="9"/>
        <v>0</v>
      </c>
      <c r="I14" s="453">
        <f t="shared" si="9"/>
        <v>0</v>
      </c>
      <c r="J14" s="454">
        <f t="shared" si="9"/>
        <v>0</v>
      </c>
      <c r="K14" s="454">
        <f t="shared" si="9"/>
        <v>0</v>
      </c>
      <c r="L14" s="455">
        <f t="shared" si="9"/>
        <v>0</v>
      </c>
      <c r="M14" s="453">
        <f t="shared" si="9"/>
        <v>0</v>
      </c>
      <c r="N14" s="454">
        <f t="shared" si="9"/>
        <v>0</v>
      </c>
      <c r="O14" s="454">
        <f t="shared" si="9"/>
        <v>1772.4</v>
      </c>
      <c r="P14" s="455">
        <f t="shared" si="9"/>
        <v>1772.4</v>
      </c>
      <c r="Q14" s="453">
        <f t="shared" si="9"/>
        <v>1181.5999999999999</v>
      </c>
      <c r="R14" s="454">
        <f t="shared" si="9"/>
        <v>0</v>
      </c>
      <c r="S14" s="454">
        <f t="shared" si="9"/>
        <v>0</v>
      </c>
      <c r="T14" s="455">
        <f t="shared" si="9"/>
        <v>0</v>
      </c>
      <c r="U14" s="453">
        <f t="shared" si="9"/>
        <v>0</v>
      </c>
      <c r="V14" s="454">
        <f t="shared" si="9"/>
        <v>0</v>
      </c>
      <c r="W14" s="454">
        <f t="shared" si="9"/>
        <v>0</v>
      </c>
      <c r="X14" s="455">
        <f t="shared" si="9"/>
        <v>0</v>
      </c>
      <c r="Y14" s="453">
        <f t="shared" si="9"/>
        <v>0</v>
      </c>
      <c r="Z14" s="454">
        <f t="shared" si="9"/>
        <v>0</v>
      </c>
      <c r="AA14" s="454">
        <f t="shared" si="9"/>
        <v>0</v>
      </c>
      <c r="AB14" s="455">
        <f t="shared" si="9"/>
        <v>0</v>
      </c>
      <c r="AC14" s="453">
        <f t="shared" si="9"/>
        <v>0</v>
      </c>
      <c r="AD14" s="454">
        <f t="shared" si="9"/>
        <v>0</v>
      </c>
      <c r="AE14" s="454">
        <f t="shared" si="9"/>
        <v>0</v>
      </c>
      <c r="AF14" s="455">
        <f t="shared" si="9"/>
        <v>0</v>
      </c>
      <c r="AG14" s="453">
        <f t="shared" si="9"/>
        <v>0</v>
      </c>
      <c r="AH14" s="454">
        <f t="shared" si="9"/>
        <v>0</v>
      </c>
      <c r="AI14" s="454">
        <f t="shared" si="9"/>
        <v>0</v>
      </c>
      <c r="AJ14" s="455">
        <f t="shared" si="9"/>
        <v>0</v>
      </c>
      <c r="AK14" s="453">
        <f t="shared" si="9"/>
        <v>0</v>
      </c>
      <c r="AL14" s="454">
        <f t="shared" si="9"/>
        <v>0</v>
      </c>
      <c r="AM14" s="454">
        <f t="shared" si="9"/>
        <v>0</v>
      </c>
      <c r="AN14" s="455">
        <f t="shared" si="9"/>
        <v>0</v>
      </c>
      <c r="AO14" s="453">
        <f t="shared" si="9"/>
        <v>0</v>
      </c>
      <c r="AP14" s="454">
        <f t="shared" si="9"/>
        <v>0</v>
      </c>
      <c r="AQ14" s="454">
        <f t="shared" si="9"/>
        <v>0</v>
      </c>
      <c r="AR14" s="455">
        <f t="shared" si="9"/>
        <v>0</v>
      </c>
      <c r="AS14" s="453">
        <f t="shared" si="9"/>
        <v>0</v>
      </c>
      <c r="AT14" s="454">
        <f t="shared" si="9"/>
        <v>0</v>
      </c>
      <c r="AU14" s="454">
        <f t="shared" si="9"/>
        <v>0</v>
      </c>
      <c r="AV14" s="455">
        <f t="shared" si="9"/>
        <v>0</v>
      </c>
      <c r="AW14" s="473"/>
    </row>
    <row r="15" spans="1:49" s="424" customFormat="1" ht="13.5" customHeight="1" outlineLevel="1">
      <c r="A15" s="1944"/>
      <c r="B15" s="1949" t="str">
        <f>'8.项目规划指标表'!B5</f>
        <v>高层</v>
      </c>
      <c r="C15" s="456" t="s">
        <v>880</v>
      </c>
      <c r="D15" s="457">
        <f>IFERROR(D18/D17*10000,0)</f>
        <v>15531.335999999999</v>
      </c>
      <c r="E15" s="458">
        <f>IFERROR(E18/E17*10000,0)</f>
        <v>0</v>
      </c>
      <c r="F15" s="459">
        <f t="shared" ref="F15:AV15" si="10">IFERROR(F18/F17*10000,0)</f>
        <v>0</v>
      </c>
      <c r="G15" s="459">
        <f t="shared" si="10"/>
        <v>0</v>
      </c>
      <c r="H15" s="460">
        <f t="shared" si="10"/>
        <v>0</v>
      </c>
      <c r="I15" s="458">
        <f t="shared" si="10"/>
        <v>0</v>
      </c>
      <c r="J15" s="459">
        <f t="shared" si="10"/>
        <v>15000</v>
      </c>
      <c r="K15" s="459">
        <f t="shared" si="10"/>
        <v>15599.999999999998</v>
      </c>
      <c r="L15" s="460">
        <f t="shared" si="10"/>
        <v>15912</v>
      </c>
      <c r="M15" s="458">
        <f t="shared" si="10"/>
        <v>16230.239999999998</v>
      </c>
      <c r="N15" s="459">
        <f t="shared" si="10"/>
        <v>0</v>
      </c>
      <c r="O15" s="459">
        <f t="shared" si="10"/>
        <v>0</v>
      </c>
      <c r="P15" s="460">
        <f t="shared" si="10"/>
        <v>0</v>
      </c>
      <c r="Q15" s="458">
        <f t="shared" si="10"/>
        <v>0</v>
      </c>
      <c r="R15" s="459">
        <f t="shared" si="10"/>
        <v>0</v>
      </c>
      <c r="S15" s="459">
        <f t="shared" si="10"/>
        <v>0</v>
      </c>
      <c r="T15" s="460">
        <f t="shared" si="10"/>
        <v>0</v>
      </c>
      <c r="U15" s="458">
        <f t="shared" si="10"/>
        <v>0</v>
      </c>
      <c r="V15" s="459">
        <f t="shared" si="10"/>
        <v>0</v>
      </c>
      <c r="W15" s="459">
        <f t="shared" si="10"/>
        <v>0</v>
      </c>
      <c r="X15" s="460">
        <f t="shared" si="10"/>
        <v>0</v>
      </c>
      <c r="Y15" s="458">
        <f t="shared" si="10"/>
        <v>0</v>
      </c>
      <c r="Z15" s="459">
        <f t="shared" si="10"/>
        <v>0</v>
      </c>
      <c r="AA15" s="459">
        <f t="shared" si="10"/>
        <v>0</v>
      </c>
      <c r="AB15" s="460">
        <f t="shared" si="10"/>
        <v>0</v>
      </c>
      <c r="AC15" s="458">
        <f t="shared" si="10"/>
        <v>0</v>
      </c>
      <c r="AD15" s="459">
        <f t="shared" si="10"/>
        <v>0</v>
      </c>
      <c r="AE15" s="459">
        <f t="shared" si="10"/>
        <v>0</v>
      </c>
      <c r="AF15" s="460">
        <f t="shared" si="10"/>
        <v>0</v>
      </c>
      <c r="AG15" s="458">
        <f t="shared" si="10"/>
        <v>0</v>
      </c>
      <c r="AH15" s="459">
        <f t="shared" si="10"/>
        <v>0</v>
      </c>
      <c r="AI15" s="459">
        <f t="shared" si="10"/>
        <v>0</v>
      </c>
      <c r="AJ15" s="460">
        <f t="shared" si="10"/>
        <v>0</v>
      </c>
      <c r="AK15" s="458">
        <f t="shared" si="10"/>
        <v>0</v>
      </c>
      <c r="AL15" s="459">
        <f t="shared" si="10"/>
        <v>0</v>
      </c>
      <c r="AM15" s="459">
        <f t="shared" si="10"/>
        <v>0</v>
      </c>
      <c r="AN15" s="460">
        <f t="shared" si="10"/>
        <v>0</v>
      </c>
      <c r="AO15" s="458">
        <f t="shared" si="10"/>
        <v>0</v>
      </c>
      <c r="AP15" s="459">
        <f t="shared" si="10"/>
        <v>0</v>
      </c>
      <c r="AQ15" s="459">
        <f t="shared" si="10"/>
        <v>0</v>
      </c>
      <c r="AR15" s="460">
        <f t="shared" si="10"/>
        <v>0</v>
      </c>
      <c r="AS15" s="458">
        <f t="shared" si="10"/>
        <v>0</v>
      </c>
      <c r="AT15" s="459">
        <f t="shared" si="10"/>
        <v>0</v>
      </c>
      <c r="AU15" s="459">
        <f t="shared" si="10"/>
        <v>0</v>
      </c>
      <c r="AV15" s="460">
        <f t="shared" si="10"/>
        <v>0</v>
      </c>
      <c r="AW15" s="473"/>
    </row>
    <row r="16" spans="1:49" ht="13.5" customHeight="1" outlineLevel="1">
      <c r="A16" s="1944"/>
      <c r="B16" s="1949"/>
      <c r="C16" s="461" t="s">
        <v>881</v>
      </c>
      <c r="D16" s="462">
        <f t="shared" ref="D16:D19" si="11">SUM(E16:AV16)</f>
        <v>1</v>
      </c>
      <c r="E16" s="463">
        <f t="shared" ref="E16:AV16" si="12">IFERROR(E17/$D17,0)</f>
        <v>0</v>
      </c>
      <c r="F16" s="464">
        <f t="shared" si="12"/>
        <v>0</v>
      </c>
      <c r="G16" s="464">
        <f t="shared" si="12"/>
        <v>0</v>
      </c>
      <c r="H16" s="465">
        <f t="shared" si="12"/>
        <v>0</v>
      </c>
      <c r="I16" s="463">
        <f t="shared" si="12"/>
        <v>0</v>
      </c>
      <c r="J16" s="464">
        <f t="shared" si="12"/>
        <v>0.35</v>
      </c>
      <c r="K16" s="464">
        <f t="shared" si="12"/>
        <v>0.35</v>
      </c>
      <c r="L16" s="465">
        <f t="shared" si="12"/>
        <v>0.15</v>
      </c>
      <c r="M16" s="463">
        <f t="shared" si="12"/>
        <v>0.15</v>
      </c>
      <c r="N16" s="464">
        <f t="shared" si="12"/>
        <v>0</v>
      </c>
      <c r="O16" s="464">
        <f t="shared" si="12"/>
        <v>0</v>
      </c>
      <c r="P16" s="465">
        <f t="shared" si="12"/>
        <v>0</v>
      </c>
      <c r="Q16" s="463">
        <f t="shared" si="12"/>
        <v>0</v>
      </c>
      <c r="R16" s="464">
        <f t="shared" si="12"/>
        <v>0</v>
      </c>
      <c r="S16" s="464">
        <f t="shared" si="12"/>
        <v>0</v>
      </c>
      <c r="T16" s="465">
        <f t="shared" si="12"/>
        <v>0</v>
      </c>
      <c r="U16" s="463">
        <f t="shared" si="12"/>
        <v>0</v>
      </c>
      <c r="V16" s="464">
        <f t="shared" si="12"/>
        <v>0</v>
      </c>
      <c r="W16" s="464">
        <f t="shared" si="12"/>
        <v>0</v>
      </c>
      <c r="X16" s="465">
        <f t="shared" si="12"/>
        <v>0</v>
      </c>
      <c r="Y16" s="463">
        <f t="shared" si="12"/>
        <v>0</v>
      </c>
      <c r="Z16" s="464">
        <f t="shared" si="12"/>
        <v>0</v>
      </c>
      <c r="AA16" s="464">
        <f t="shared" si="12"/>
        <v>0</v>
      </c>
      <c r="AB16" s="465">
        <f t="shared" si="12"/>
        <v>0</v>
      </c>
      <c r="AC16" s="463">
        <f t="shared" si="12"/>
        <v>0</v>
      </c>
      <c r="AD16" s="464">
        <f t="shared" si="12"/>
        <v>0</v>
      </c>
      <c r="AE16" s="464">
        <f t="shared" si="12"/>
        <v>0</v>
      </c>
      <c r="AF16" s="465">
        <f t="shared" si="12"/>
        <v>0</v>
      </c>
      <c r="AG16" s="463">
        <f t="shared" si="12"/>
        <v>0</v>
      </c>
      <c r="AH16" s="464">
        <f t="shared" si="12"/>
        <v>0</v>
      </c>
      <c r="AI16" s="464">
        <f t="shared" si="12"/>
        <v>0</v>
      </c>
      <c r="AJ16" s="465">
        <f t="shared" si="12"/>
        <v>0</v>
      </c>
      <c r="AK16" s="463">
        <f t="shared" si="12"/>
        <v>0</v>
      </c>
      <c r="AL16" s="464">
        <f t="shared" si="12"/>
        <v>0</v>
      </c>
      <c r="AM16" s="464">
        <f t="shared" si="12"/>
        <v>0</v>
      </c>
      <c r="AN16" s="465">
        <f t="shared" si="12"/>
        <v>0</v>
      </c>
      <c r="AO16" s="463">
        <f t="shared" si="12"/>
        <v>0</v>
      </c>
      <c r="AP16" s="464">
        <f t="shared" si="12"/>
        <v>0</v>
      </c>
      <c r="AQ16" s="464">
        <f t="shared" si="12"/>
        <v>0</v>
      </c>
      <c r="AR16" s="465">
        <f t="shared" si="12"/>
        <v>0</v>
      </c>
      <c r="AS16" s="463">
        <f t="shared" si="12"/>
        <v>0</v>
      </c>
      <c r="AT16" s="464">
        <f t="shared" si="12"/>
        <v>0</v>
      </c>
      <c r="AU16" s="464">
        <f t="shared" si="12"/>
        <v>0</v>
      </c>
      <c r="AV16" s="465">
        <f t="shared" si="12"/>
        <v>0</v>
      </c>
      <c r="AW16" s="78"/>
    </row>
    <row r="17" spans="1:49" s="424" customFormat="1" ht="13.5" customHeight="1" outlineLevel="1">
      <c r="A17" s="1944"/>
      <c r="B17" s="1949"/>
      <c r="C17" s="461" t="s">
        <v>682</v>
      </c>
      <c r="D17" s="466">
        <f t="shared" si="11"/>
        <v>56100</v>
      </c>
      <c r="E17" s="382">
        <f t="shared" ref="E17:E19" si="13">SUM(E87,E157,E227,E297,E367,E437)</f>
        <v>0</v>
      </c>
      <c r="F17" s="397">
        <f t="shared" ref="F17:AV17" si="14">SUM(F87,F157,F227,F297,F367,F437)</f>
        <v>0</v>
      </c>
      <c r="G17" s="397">
        <f t="shared" si="14"/>
        <v>0</v>
      </c>
      <c r="H17" s="467">
        <f t="shared" si="14"/>
        <v>0</v>
      </c>
      <c r="I17" s="382">
        <f t="shared" si="14"/>
        <v>0</v>
      </c>
      <c r="J17" s="397">
        <f t="shared" si="14"/>
        <v>19635</v>
      </c>
      <c r="K17" s="397">
        <f t="shared" si="14"/>
        <v>19635</v>
      </c>
      <c r="L17" s="467">
        <f t="shared" si="14"/>
        <v>8415</v>
      </c>
      <c r="M17" s="382">
        <f t="shared" si="14"/>
        <v>8415</v>
      </c>
      <c r="N17" s="397">
        <f t="shared" si="14"/>
        <v>0</v>
      </c>
      <c r="O17" s="397">
        <f t="shared" si="14"/>
        <v>0</v>
      </c>
      <c r="P17" s="467">
        <f t="shared" si="14"/>
        <v>0</v>
      </c>
      <c r="Q17" s="382">
        <f t="shared" si="14"/>
        <v>0</v>
      </c>
      <c r="R17" s="397">
        <f t="shared" si="14"/>
        <v>0</v>
      </c>
      <c r="S17" s="397">
        <f t="shared" si="14"/>
        <v>0</v>
      </c>
      <c r="T17" s="467">
        <f t="shared" si="14"/>
        <v>0</v>
      </c>
      <c r="U17" s="382">
        <f t="shared" si="14"/>
        <v>0</v>
      </c>
      <c r="V17" s="397">
        <f t="shared" si="14"/>
        <v>0</v>
      </c>
      <c r="W17" s="397">
        <f t="shared" si="14"/>
        <v>0</v>
      </c>
      <c r="X17" s="467">
        <f t="shared" si="14"/>
        <v>0</v>
      </c>
      <c r="Y17" s="382">
        <f t="shared" si="14"/>
        <v>0</v>
      </c>
      <c r="Z17" s="397">
        <f t="shared" si="14"/>
        <v>0</v>
      </c>
      <c r="AA17" s="397">
        <f t="shared" si="14"/>
        <v>0</v>
      </c>
      <c r="AB17" s="467">
        <f t="shared" si="14"/>
        <v>0</v>
      </c>
      <c r="AC17" s="382">
        <f t="shared" si="14"/>
        <v>0</v>
      </c>
      <c r="AD17" s="397">
        <f t="shared" si="14"/>
        <v>0</v>
      </c>
      <c r="AE17" s="397">
        <f t="shared" si="14"/>
        <v>0</v>
      </c>
      <c r="AF17" s="467">
        <f t="shared" si="14"/>
        <v>0</v>
      </c>
      <c r="AG17" s="382">
        <f t="shared" si="14"/>
        <v>0</v>
      </c>
      <c r="AH17" s="397">
        <f t="shared" si="14"/>
        <v>0</v>
      </c>
      <c r="AI17" s="397">
        <f t="shared" si="14"/>
        <v>0</v>
      </c>
      <c r="AJ17" s="467">
        <f t="shared" si="14"/>
        <v>0</v>
      </c>
      <c r="AK17" s="382">
        <f t="shared" si="14"/>
        <v>0</v>
      </c>
      <c r="AL17" s="397">
        <f t="shared" si="14"/>
        <v>0</v>
      </c>
      <c r="AM17" s="397">
        <f t="shared" si="14"/>
        <v>0</v>
      </c>
      <c r="AN17" s="467">
        <f t="shared" si="14"/>
        <v>0</v>
      </c>
      <c r="AO17" s="382">
        <f t="shared" si="14"/>
        <v>0</v>
      </c>
      <c r="AP17" s="397">
        <f t="shared" si="14"/>
        <v>0</v>
      </c>
      <c r="AQ17" s="397">
        <f t="shared" si="14"/>
        <v>0</v>
      </c>
      <c r="AR17" s="467">
        <f t="shared" si="14"/>
        <v>0</v>
      </c>
      <c r="AS17" s="382">
        <f t="shared" si="14"/>
        <v>0</v>
      </c>
      <c r="AT17" s="397">
        <f t="shared" si="14"/>
        <v>0</v>
      </c>
      <c r="AU17" s="397">
        <f t="shared" si="14"/>
        <v>0</v>
      </c>
      <c r="AV17" s="467">
        <f t="shared" si="14"/>
        <v>0</v>
      </c>
      <c r="AW17" s="473"/>
    </row>
    <row r="18" spans="1:49" s="424" customFormat="1" ht="13.5" customHeight="1" outlineLevel="1">
      <c r="A18" s="1944"/>
      <c r="B18" s="1949"/>
      <c r="C18" s="461" t="s">
        <v>882</v>
      </c>
      <c r="D18" s="466">
        <f t="shared" si="11"/>
        <v>87130.794959999999</v>
      </c>
      <c r="E18" s="382">
        <f t="shared" si="13"/>
        <v>0</v>
      </c>
      <c r="F18" s="397">
        <f t="shared" ref="F18:AV19" si="15">SUM(F88,F158,F228,F298,F368,F438)</f>
        <v>0</v>
      </c>
      <c r="G18" s="397">
        <f t="shared" si="15"/>
        <v>0</v>
      </c>
      <c r="H18" s="467">
        <f t="shared" si="15"/>
        <v>0</v>
      </c>
      <c r="I18" s="382">
        <f t="shared" si="15"/>
        <v>0</v>
      </c>
      <c r="J18" s="397">
        <f t="shared" si="15"/>
        <v>29452.5</v>
      </c>
      <c r="K18" s="397">
        <f t="shared" si="15"/>
        <v>30630.6</v>
      </c>
      <c r="L18" s="467">
        <f t="shared" si="15"/>
        <v>13389.948</v>
      </c>
      <c r="M18" s="382">
        <f t="shared" si="15"/>
        <v>13657.746959999999</v>
      </c>
      <c r="N18" s="397">
        <f t="shared" si="15"/>
        <v>0</v>
      </c>
      <c r="O18" s="397">
        <f t="shared" si="15"/>
        <v>0</v>
      </c>
      <c r="P18" s="467">
        <f t="shared" si="15"/>
        <v>0</v>
      </c>
      <c r="Q18" s="382">
        <f t="shared" si="15"/>
        <v>0</v>
      </c>
      <c r="R18" s="397">
        <f t="shared" si="15"/>
        <v>0</v>
      </c>
      <c r="S18" s="397">
        <f t="shared" si="15"/>
        <v>0</v>
      </c>
      <c r="T18" s="467">
        <f t="shared" si="15"/>
        <v>0</v>
      </c>
      <c r="U18" s="382">
        <f t="shared" si="15"/>
        <v>0</v>
      </c>
      <c r="V18" s="397">
        <f t="shared" si="15"/>
        <v>0</v>
      </c>
      <c r="W18" s="397">
        <f t="shared" si="15"/>
        <v>0</v>
      </c>
      <c r="X18" s="467">
        <f t="shared" si="15"/>
        <v>0</v>
      </c>
      <c r="Y18" s="382">
        <f t="shared" si="15"/>
        <v>0</v>
      </c>
      <c r="Z18" s="397">
        <f t="shared" si="15"/>
        <v>0</v>
      </c>
      <c r="AA18" s="397">
        <f t="shared" si="15"/>
        <v>0</v>
      </c>
      <c r="AB18" s="467">
        <f t="shared" si="15"/>
        <v>0</v>
      </c>
      <c r="AC18" s="382">
        <f t="shared" si="15"/>
        <v>0</v>
      </c>
      <c r="AD18" s="397">
        <f t="shared" si="15"/>
        <v>0</v>
      </c>
      <c r="AE18" s="397">
        <f t="shared" si="15"/>
        <v>0</v>
      </c>
      <c r="AF18" s="467">
        <f t="shared" si="15"/>
        <v>0</v>
      </c>
      <c r="AG18" s="382">
        <f t="shared" si="15"/>
        <v>0</v>
      </c>
      <c r="AH18" s="397">
        <f t="shared" si="15"/>
        <v>0</v>
      </c>
      <c r="AI18" s="397">
        <f t="shared" si="15"/>
        <v>0</v>
      </c>
      <c r="AJ18" s="467">
        <f t="shared" si="15"/>
        <v>0</v>
      </c>
      <c r="AK18" s="382">
        <f t="shared" si="15"/>
        <v>0</v>
      </c>
      <c r="AL18" s="397">
        <f t="shared" si="15"/>
        <v>0</v>
      </c>
      <c r="AM18" s="397">
        <f t="shared" si="15"/>
        <v>0</v>
      </c>
      <c r="AN18" s="467">
        <f t="shared" si="15"/>
        <v>0</v>
      </c>
      <c r="AO18" s="382">
        <f t="shared" si="15"/>
        <v>0</v>
      </c>
      <c r="AP18" s="397">
        <f t="shared" si="15"/>
        <v>0</v>
      </c>
      <c r="AQ18" s="397">
        <f t="shared" si="15"/>
        <v>0</v>
      </c>
      <c r="AR18" s="467">
        <f t="shared" si="15"/>
        <v>0</v>
      </c>
      <c r="AS18" s="382">
        <f t="shared" si="15"/>
        <v>0</v>
      </c>
      <c r="AT18" s="397">
        <f t="shared" si="15"/>
        <v>0</v>
      </c>
      <c r="AU18" s="397">
        <f t="shared" si="15"/>
        <v>0</v>
      </c>
      <c r="AV18" s="467">
        <f t="shared" si="15"/>
        <v>0</v>
      </c>
      <c r="AW18" s="473"/>
    </row>
    <row r="19" spans="1:49" s="424" customFormat="1" ht="13.5" customHeight="1" outlineLevel="1">
      <c r="A19" s="1944"/>
      <c r="B19" s="1949"/>
      <c r="C19" s="461" t="s">
        <v>450</v>
      </c>
      <c r="D19" s="468">
        <f t="shared" si="11"/>
        <v>87130.794959999985</v>
      </c>
      <c r="E19" s="386">
        <f t="shared" si="13"/>
        <v>0</v>
      </c>
      <c r="F19" s="399">
        <f t="shared" si="15"/>
        <v>0</v>
      </c>
      <c r="G19" s="399">
        <f t="shared" si="15"/>
        <v>0</v>
      </c>
      <c r="H19" s="404">
        <f t="shared" si="15"/>
        <v>0</v>
      </c>
      <c r="I19" s="386">
        <f t="shared" si="15"/>
        <v>0</v>
      </c>
      <c r="J19" s="399">
        <f t="shared" si="15"/>
        <v>20616.75</v>
      </c>
      <c r="K19" s="399">
        <f t="shared" si="15"/>
        <v>30277.17</v>
      </c>
      <c r="L19" s="404">
        <f t="shared" si="15"/>
        <v>18562.143599999999</v>
      </c>
      <c r="M19" s="386">
        <f t="shared" si="15"/>
        <v>13577.407272</v>
      </c>
      <c r="N19" s="399">
        <f t="shared" si="15"/>
        <v>4097.3240880000003</v>
      </c>
      <c r="O19" s="399">
        <f t="shared" si="15"/>
        <v>0</v>
      </c>
      <c r="P19" s="404">
        <f t="shared" si="15"/>
        <v>0</v>
      </c>
      <c r="Q19" s="386">
        <f t="shared" si="15"/>
        <v>0</v>
      </c>
      <c r="R19" s="399">
        <f t="shared" si="15"/>
        <v>0</v>
      </c>
      <c r="S19" s="399">
        <f t="shared" si="15"/>
        <v>0</v>
      </c>
      <c r="T19" s="404">
        <f t="shared" si="15"/>
        <v>0</v>
      </c>
      <c r="U19" s="386">
        <f t="shared" si="15"/>
        <v>0</v>
      </c>
      <c r="V19" s="399">
        <f t="shared" si="15"/>
        <v>0</v>
      </c>
      <c r="W19" s="399">
        <f t="shared" si="15"/>
        <v>0</v>
      </c>
      <c r="X19" s="404">
        <f t="shared" si="15"/>
        <v>0</v>
      </c>
      <c r="Y19" s="386">
        <f t="shared" si="15"/>
        <v>0</v>
      </c>
      <c r="Z19" s="399">
        <f t="shared" si="15"/>
        <v>0</v>
      </c>
      <c r="AA19" s="399">
        <f t="shared" si="15"/>
        <v>0</v>
      </c>
      <c r="AB19" s="404">
        <f t="shared" si="15"/>
        <v>0</v>
      </c>
      <c r="AC19" s="386">
        <f t="shared" si="15"/>
        <v>0</v>
      </c>
      <c r="AD19" s="399">
        <f t="shared" si="15"/>
        <v>0</v>
      </c>
      <c r="AE19" s="399">
        <f t="shared" si="15"/>
        <v>0</v>
      </c>
      <c r="AF19" s="404">
        <f t="shared" si="15"/>
        <v>0</v>
      </c>
      <c r="AG19" s="386">
        <f t="shared" si="15"/>
        <v>0</v>
      </c>
      <c r="AH19" s="399">
        <f t="shared" si="15"/>
        <v>0</v>
      </c>
      <c r="AI19" s="399">
        <f t="shared" si="15"/>
        <v>0</v>
      </c>
      <c r="AJ19" s="404">
        <f t="shared" si="15"/>
        <v>0</v>
      </c>
      <c r="AK19" s="386">
        <f t="shared" si="15"/>
        <v>0</v>
      </c>
      <c r="AL19" s="399">
        <f t="shared" si="15"/>
        <v>0</v>
      </c>
      <c r="AM19" s="399">
        <f t="shared" si="15"/>
        <v>0</v>
      </c>
      <c r="AN19" s="404">
        <f t="shared" si="15"/>
        <v>0</v>
      </c>
      <c r="AO19" s="386">
        <f t="shared" si="15"/>
        <v>0</v>
      </c>
      <c r="AP19" s="399">
        <f t="shared" si="15"/>
        <v>0</v>
      </c>
      <c r="AQ19" s="399">
        <f t="shared" si="15"/>
        <v>0</v>
      </c>
      <c r="AR19" s="404">
        <f t="shared" si="15"/>
        <v>0</v>
      </c>
      <c r="AS19" s="386">
        <f t="shared" si="15"/>
        <v>0</v>
      </c>
      <c r="AT19" s="399">
        <f t="shared" si="15"/>
        <v>0</v>
      </c>
      <c r="AU19" s="399">
        <f t="shared" si="15"/>
        <v>0</v>
      </c>
      <c r="AV19" s="404">
        <f t="shared" si="15"/>
        <v>0</v>
      </c>
      <c r="AW19" s="473"/>
    </row>
    <row r="20" spans="1:49" s="424" customFormat="1" ht="13.5" customHeight="1" outlineLevel="1">
      <c r="A20" s="1944"/>
      <c r="B20" s="1949" t="str">
        <f>'8.项目规划指标表'!B6</f>
        <v>商铺</v>
      </c>
      <c r="C20" s="461" t="s">
        <v>880</v>
      </c>
      <c r="D20" s="457">
        <f>IFERROR(D23/D22*10000,0)</f>
        <v>24000</v>
      </c>
      <c r="E20" s="458">
        <f>IFERROR(E23/E22*10000,0)</f>
        <v>0</v>
      </c>
      <c r="F20" s="459">
        <f t="shared" ref="F20:AV20" si="16">IFERROR(F23/F22*10000,0)</f>
        <v>0</v>
      </c>
      <c r="G20" s="459">
        <f t="shared" si="16"/>
        <v>0</v>
      </c>
      <c r="H20" s="460">
        <f t="shared" si="16"/>
        <v>0</v>
      </c>
      <c r="I20" s="458">
        <f t="shared" si="16"/>
        <v>0</v>
      </c>
      <c r="J20" s="459">
        <f t="shared" si="16"/>
        <v>0</v>
      </c>
      <c r="K20" s="459">
        <f t="shared" si="16"/>
        <v>0</v>
      </c>
      <c r="L20" s="460">
        <f t="shared" si="16"/>
        <v>0</v>
      </c>
      <c r="M20" s="458">
        <f t="shared" si="16"/>
        <v>0</v>
      </c>
      <c r="N20" s="459">
        <f t="shared" si="16"/>
        <v>24000</v>
      </c>
      <c r="O20" s="459">
        <f t="shared" si="16"/>
        <v>24000</v>
      </c>
      <c r="P20" s="460">
        <f t="shared" si="16"/>
        <v>0</v>
      </c>
      <c r="Q20" s="458">
        <f t="shared" si="16"/>
        <v>0</v>
      </c>
      <c r="R20" s="459">
        <f t="shared" si="16"/>
        <v>0</v>
      </c>
      <c r="S20" s="459">
        <f t="shared" si="16"/>
        <v>0</v>
      </c>
      <c r="T20" s="460">
        <f t="shared" si="16"/>
        <v>0</v>
      </c>
      <c r="U20" s="458">
        <f t="shared" si="16"/>
        <v>0</v>
      </c>
      <c r="V20" s="459">
        <f t="shared" si="16"/>
        <v>0</v>
      </c>
      <c r="W20" s="459">
        <f t="shared" si="16"/>
        <v>0</v>
      </c>
      <c r="X20" s="460">
        <f t="shared" si="16"/>
        <v>0</v>
      </c>
      <c r="Y20" s="458">
        <f t="shared" si="16"/>
        <v>0</v>
      </c>
      <c r="Z20" s="459">
        <f t="shared" si="16"/>
        <v>0</v>
      </c>
      <c r="AA20" s="459">
        <f t="shared" si="16"/>
        <v>0</v>
      </c>
      <c r="AB20" s="460">
        <f t="shared" si="16"/>
        <v>0</v>
      </c>
      <c r="AC20" s="458">
        <f t="shared" si="16"/>
        <v>0</v>
      </c>
      <c r="AD20" s="459">
        <f t="shared" si="16"/>
        <v>0</v>
      </c>
      <c r="AE20" s="459">
        <f t="shared" si="16"/>
        <v>0</v>
      </c>
      <c r="AF20" s="460">
        <f t="shared" si="16"/>
        <v>0</v>
      </c>
      <c r="AG20" s="458">
        <f t="shared" si="16"/>
        <v>0</v>
      </c>
      <c r="AH20" s="459">
        <f t="shared" si="16"/>
        <v>0</v>
      </c>
      <c r="AI20" s="459">
        <f t="shared" si="16"/>
        <v>0</v>
      </c>
      <c r="AJ20" s="460">
        <f t="shared" si="16"/>
        <v>0</v>
      </c>
      <c r="AK20" s="458">
        <f t="shared" si="16"/>
        <v>0</v>
      </c>
      <c r="AL20" s="459">
        <f t="shared" si="16"/>
        <v>0</v>
      </c>
      <c r="AM20" s="459">
        <f t="shared" si="16"/>
        <v>0</v>
      </c>
      <c r="AN20" s="460">
        <f t="shared" si="16"/>
        <v>0</v>
      </c>
      <c r="AO20" s="458">
        <f t="shared" si="16"/>
        <v>0</v>
      </c>
      <c r="AP20" s="459">
        <f t="shared" si="16"/>
        <v>0</v>
      </c>
      <c r="AQ20" s="459">
        <f t="shared" si="16"/>
        <v>0</v>
      </c>
      <c r="AR20" s="460">
        <f t="shared" si="16"/>
        <v>0</v>
      </c>
      <c r="AS20" s="458">
        <f t="shared" si="16"/>
        <v>0</v>
      </c>
      <c r="AT20" s="459">
        <f t="shared" si="16"/>
        <v>0</v>
      </c>
      <c r="AU20" s="459">
        <f t="shared" si="16"/>
        <v>0</v>
      </c>
      <c r="AV20" s="460">
        <f t="shared" si="16"/>
        <v>0</v>
      </c>
      <c r="AW20" s="473"/>
    </row>
    <row r="21" spans="1:49" ht="13.5" customHeight="1" outlineLevel="1">
      <c r="A21" s="1944"/>
      <c r="B21" s="1949"/>
      <c r="C21" s="461" t="s">
        <v>881</v>
      </c>
      <c r="D21" s="462">
        <f t="shared" ref="D21:D24" si="17">SUM(E21:AV21)</f>
        <v>1</v>
      </c>
      <c r="E21" s="463">
        <f>IFERROR(E22/$D22,0)</f>
        <v>0</v>
      </c>
      <c r="F21" s="464">
        <f t="shared" ref="F21:AV21" si="18">IFERROR(F22/$D22,0)</f>
        <v>0</v>
      </c>
      <c r="G21" s="464">
        <f t="shared" si="18"/>
        <v>0</v>
      </c>
      <c r="H21" s="465">
        <f t="shared" si="18"/>
        <v>0</v>
      </c>
      <c r="I21" s="463">
        <f t="shared" si="18"/>
        <v>0</v>
      </c>
      <c r="J21" s="464">
        <f t="shared" si="18"/>
        <v>0</v>
      </c>
      <c r="K21" s="464">
        <f t="shared" si="18"/>
        <v>0</v>
      </c>
      <c r="L21" s="465">
        <f t="shared" si="18"/>
        <v>0</v>
      </c>
      <c r="M21" s="463">
        <f t="shared" si="18"/>
        <v>0</v>
      </c>
      <c r="N21" s="464">
        <f t="shared" si="18"/>
        <v>0.8</v>
      </c>
      <c r="O21" s="464">
        <f t="shared" si="18"/>
        <v>0.2</v>
      </c>
      <c r="P21" s="465">
        <f t="shared" si="18"/>
        <v>0</v>
      </c>
      <c r="Q21" s="463">
        <f t="shared" si="18"/>
        <v>0</v>
      </c>
      <c r="R21" s="464">
        <f t="shared" si="18"/>
        <v>0</v>
      </c>
      <c r="S21" s="464">
        <f t="shared" si="18"/>
        <v>0</v>
      </c>
      <c r="T21" s="465">
        <f t="shared" si="18"/>
        <v>0</v>
      </c>
      <c r="U21" s="463">
        <f t="shared" si="18"/>
        <v>0</v>
      </c>
      <c r="V21" s="464">
        <f t="shared" si="18"/>
        <v>0</v>
      </c>
      <c r="W21" s="464">
        <f t="shared" si="18"/>
        <v>0</v>
      </c>
      <c r="X21" s="465">
        <f t="shared" si="18"/>
        <v>0</v>
      </c>
      <c r="Y21" s="463">
        <f t="shared" si="18"/>
        <v>0</v>
      </c>
      <c r="Z21" s="464">
        <f t="shared" si="18"/>
        <v>0</v>
      </c>
      <c r="AA21" s="464">
        <f t="shared" si="18"/>
        <v>0</v>
      </c>
      <c r="AB21" s="465">
        <f t="shared" si="18"/>
        <v>0</v>
      </c>
      <c r="AC21" s="463">
        <f t="shared" si="18"/>
        <v>0</v>
      </c>
      <c r="AD21" s="464">
        <f t="shared" si="18"/>
        <v>0</v>
      </c>
      <c r="AE21" s="464">
        <f t="shared" si="18"/>
        <v>0</v>
      </c>
      <c r="AF21" s="465">
        <f t="shared" si="18"/>
        <v>0</v>
      </c>
      <c r="AG21" s="463">
        <f t="shared" si="18"/>
        <v>0</v>
      </c>
      <c r="AH21" s="464">
        <f t="shared" si="18"/>
        <v>0</v>
      </c>
      <c r="AI21" s="464">
        <f t="shared" si="18"/>
        <v>0</v>
      </c>
      <c r="AJ21" s="465">
        <f t="shared" si="18"/>
        <v>0</v>
      </c>
      <c r="AK21" s="463">
        <f t="shared" si="18"/>
        <v>0</v>
      </c>
      <c r="AL21" s="464">
        <f t="shared" si="18"/>
        <v>0</v>
      </c>
      <c r="AM21" s="464">
        <f t="shared" si="18"/>
        <v>0</v>
      </c>
      <c r="AN21" s="465">
        <f t="shared" si="18"/>
        <v>0</v>
      </c>
      <c r="AO21" s="463">
        <f t="shared" si="18"/>
        <v>0</v>
      </c>
      <c r="AP21" s="464">
        <f t="shared" si="18"/>
        <v>0</v>
      </c>
      <c r="AQ21" s="464">
        <f t="shared" si="18"/>
        <v>0</v>
      </c>
      <c r="AR21" s="465">
        <f t="shared" si="18"/>
        <v>0</v>
      </c>
      <c r="AS21" s="463">
        <f t="shared" si="18"/>
        <v>0</v>
      </c>
      <c r="AT21" s="464">
        <f t="shared" si="18"/>
        <v>0</v>
      </c>
      <c r="AU21" s="464">
        <f t="shared" si="18"/>
        <v>0</v>
      </c>
      <c r="AV21" s="465">
        <f t="shared" si="18"/>
        <v>0</v>
      </c>
      <c r="AW21" s="78"/>
    </row>
    <row r="22" spans="1:49" s="424" customFormat="1" ht="13.5" customHeight="1" outlineLevel="1">
      <c r="A22" s="1944"/>
      <c r="B22" s="1949"/>
      <c r="C22" s="461" t="s">
        <v>682</v>
      </c>
      <c r="D22" s="466">
        <f t="shared" si="17"/>
        <v>3640</v>
      </c>
      <c r="E22" s="382">
        <f t="shared" ref="E22:E24" si="19">SUM(E92,E162,E232,E302,E372,E442)</f>
        <v>0</v>
      </c>
      <c r="F22" s="397">
        <f t="shared" ref="F22:AV22" si="20">SUM(F92,F162,F232,F302,F372,F442)</f>
        <v>0</v>
      </c>
      <c r="G22" s="397">
        <f t="shared" si="20"/>
        <v>0</v>
      </c>
      <c r="H22" s="467">
        <f t="shared" si="20"/>
        <v>0</v>
      </c>
      <c r="I22" s="382">
        <f t="shared" si="20"/>
        <v>0</v>
      </c>
      <c r="J22" s="397">
        <f t="shared" si="20"/>
        <v>0</v>
      </c>
      <c r="K22" s="397">
        <f t="shared" si="20"/>
        <v>0</v>
      </c>
      <c r="L22" s="467">
        <f t="shared" si="20"/>
        <v>0</v>
      </c>
      <c r="M22" s="382">
        <f t="shared" si="20"/>
        <v>0</v>
      </c>
      <c r="N22" s="397">
        <f t="shared" si="20"/>
        <v>2912</v>
      </c>
      <c r="O22" s="397">
        <f t="shared" si="20"/>
        <v>728</v>
      </c>
      <c r="P22" s="467">
        <f t="shared" si="20"/>
        <v>0</v>
      </c>
      <c r="Q22" s="382">
        <f t="shared" si="20"/>
        <v>0</v>
      </c>
      <c r="R22" s="397">
        <f t="shared" si="20"/>
        <v>0</v>
      </c>
      <c r="S22" s="397">
        <f t="shared" si="20"/>
        <v>0</v>
      </c>
      <c r="T22" s="467">
        <f t="shared" si="20"/>
        <v>0</v>
      </c>
      <c r="U22" s="382">
        <f t="shared" si="20"/>
        <v>0</v>
      </c>
      <c r="V22" s="397">
        <f t="shared" si="20"/>
        <v>0</v>
      </c>
      <c r="W22" s="397">
        <f t="shared" si="20"/>
        <v>0</v>
      </c>
      <c r="X22" s="467">
        <f t="shared" si="20"/>
        <v>0</v>
      </c>
      <c r="Y22" s="382">
        <f t="shared" si="20"/>
        <v>0</v>
      </c>
      <c r="Z22" s="397">
        <f t="shared" si="20"/>
        <v>0</v>
      </c>
      <c r="AA22" s="397">
        <f t="shared" si="20"/>
        <v>0</v>
      </c>
      <c r="AB22" s="467">
        <f t="shared" si="20"/>
        <v>0</v>
      </c>
      <c r="AC22" s="382">
        <f t="shared" si="20"/>
        <v>0</v>
      </c>
      <c r="AD22" s="397">
        <f t="shared" si="20"/>
        <v>0</v>
      </c>
      <c r="AE22" s="397">
        <f t="shared" si="20"/>
        <v>0</v>
      </c>
      <c r="AF22" s="467">
        <f t="shared" si="20"/>
        <v>0</v>
      </c>
      <c r="AG22" s="382">
        <f t="shared" si="20"/>
        <v>0</v>
      </c>
      <c r="AH22" s="397">
        <f t="shared" si="20"/>
        <v>0</v>
      </c>
      <c r="AI22" s="397">
        <f t="shared" si="20"/>
        <v>0</v>
      </c>
      <c r="AJ22" s="467">
        <f t="shared" si="20"/>
        <v>0</v>
      </c>
      <c r="AK22" s="382">
        <f t="shared" si="20"/>
        <v>0</v>
      </c>
      <c r="AL22" s="397">
        <f t="shared" si="20"/>
        <v>0</v>
      </c>
      <c r="AM22" s="397">
        <f t="shared" si="20"/>
        <v>0</v>
      </c>
      <c r="AN22" s="467">
        <f t="shared" si="20"/>
        <v>0</v>
      </c>
      <c r="AO22" s="382">
        <f t="shared" si="20"/>
        <v>0</v>
      </c>
      <c r="AP22" s="397">
        <f t="shared" si="20"/>
        <v>0</v>
      </c>
      <c r="AQ22" s="397">
        <f t="shared" si="20"/>
        <v>0</v>
      </c>
      <c r="AR22" s="467">
        <f t="shared" si="20"/>
        <v>0</v>
      </c>
      <c r="AS22" s="382">
        <f t="shared" si="20"/>
        <v>0</v>
      </c>
      <c r="AT22" s="397">
        <f t="shared" si="20"/>
        <v>0</v>
      </c>
      <c r="AU22" s="397">
        <f t="shared" si="20"/>
        <v>0</v>
      </c>
      <c r="AV22" s="467">
        <f t="shared" si="20"/>
        <v>0</v>
      </c>
      <c r="AW22" s="473"/>
    </row>
    <row r="23" spans="1:49" s="424" customFormat="1" ht="13.5" customHeight="1" outlineLevel="1">
      <c r="A23" s="1944"/>
      <c r="B23" s="1949"/>
      <c r="C23" s="461" t="s">
        <v>882</v>
      </c>
      <c r="D23" s="466">
        <f t="shared" si="17"/>
        <v>8736</v>
      </c>
      <c r="E23" s="382">
        <f t="shared" si="19"/>
        <v>0</v>
      </c>
      <c r="F23" s="397">
        <f t="shared" ref="F23:AV23" si="21">SUM(F93,F163,F233,F303,F373,F443)</f>
        <v>0</v>
      </c>
      <c r="G23" s="397">
        <f t="shared" si="21"/>
        <v>0</v>
      </c>
      <c r="H23" s="467">
        <f t="shared" si="21"/>
        <v>0</v>
      </c>
      <c r="I23" s="382">
        <f t="shared" si="21"/>
        <v>0</v>
      </c>
      <c r="J23" s="397">
        <f t="shared" si="21"/>
        <v>0</v>
      </c>
      <c r="K23" s="397">
        <f t="shared" si="21"/>
        <v>0</v>
      </c>
      <c r="L23" s="467">
        <f t="shared" si="21"/>
        <v>0</v>
      </c>
      <c r="M23" s="382">
        <f t="shared" si="21"/>
        <v>0</v>
      </c>
      <c r="N23" s="397">
        <f t="shared" si="21"/>
        <v>6988.8</v>
      </c>
      <c r="O23" s="397">
        <f t="shared" si="21"/>
        <v>1747.2</v>
      </c>
      <c r="P23" s="467">
        <f t="shared" si="21"/>
        <v>0</v>
      </c>
      <c r="Q23" s="382">
        <f t="shared" si="21"/>
        <v>0</v>
      </c>
      <c r="R23" s="397">
        <f t="shared" si="21"/>
        <v>0</v>
      </c>
      <c r="S23" s="397">
        <f t="shared" si="21"/>
        <v>0</v>
      </c>
      <c r="T23" s="467">
        <f t="shared" si="21"/>
        <v>0</v>
      </c>
      <c r="U23" s="382">
        <f t="shared" si="21"/>
        <v>0</v>
      </c>
      <c r="V23" s="397">
        <f t="shared" si="21"/>
        <v>0</v>
      </c>
      <c r="W23" s="397">
        <f t="shared" si="21"/>
        <v>0</v>
      </c>
      <c r="X23" s="467">
        <f t="shared" si="21"/>
        <v>0</v>
      </c>
      <c r="Y23" s="382">
        <f t="shared" si="21"/>
        <v>0</v>
      </c>
      <c r="Z23" s="397">
        <f t="shared" si="21"/>
        <v>0</v>
      </c>
      <c r="AA23" s="397">
        <f t="shared" si="21"/>
        <v>0</v>
      </c>
      <c r="AB23" s="467">
        <f t="shared" si="21"/>
        <v>0</v>
      </c>
      <c r="AC23" s="382">
        <f t="shared" si="21"/>
        <v>0</v>
      </c>
      <c r="AD23" s="397">
        <f t="shared" si="21"/>
        <v>0</v>
      </c>
      <c r="AE23" s="397">
        <f t="shared" si="21"/>
        <v>0</v>
      </c>
      <c r="AF23" s="467">
        <f t="shared" si="21"/>
        <v>0</v>
      </c>
      <c r="AG23" s="382">
        <f t="shared" si="21"/>
        <v>0</v>
      </c>
      <c r="AH23" s="397">
        <f t="shared" si="21"/>
        <v>0</v>
      </c>
      <c r="AI23" s="397">
        <f t="shared" si="21"/>
        <v>0</v>
      </c>
      <c r="AJ23" s="467">
        <f t="shared" si="21"/>
        <v>0</v>
      </c>
      <c r="AK23" s="382">
        <f t="shared" si="21"/>
        <v>0</v>
      </c>
      <c r="AL23" s="397">
        <f t="shared" si="21"/>
        <v>0</v>
      </c>
      <c r="AM23" s="397">
        <f t="shared" si="21"/>
        <v>0</v>
      </c>
      <c r="AN23" s="467">
        <f t="shared" si="21"/>
        <v>0</v>
      </c>
      <c r="AO23" s="382">
        <f t="shared" si="21"/>
        <v>0</v>
      </c>
      <c r="AP23" s="397">
        <f t="shared" si="21"/>
        <v>0</v>
      </c>
      <c r="AQ23" s="397">
        <f t="shared" si="21"/>
        <v>0</v>
      </c>
      <c r="AR23" s="467">
        <f t="shared" si="21"/>
        <v>0</v>
      </c>
      <c r="AS23" s="382">
        <f t="shared" si="21"/>
        <v>0</v>
      </c>
      <c r="AT23" s="397">
        <f t="shared" si="21"/>
        <v>0</v>
      </c>
      <c r="AU23" s="397">
        <f t="shared" si="21"/>
        <v>0</v>
      </c>
      <c r="AV23" s="467">
        <f t="shared" si="21"/>
        <v>0</v>
      </c>
      <c r="AW23" s="473"/>
    </row>
    <row r="24" spans="1:49" s="424" customFormat="1" ht="13.5" customHeight="1" outlineLevel="1">
      <c r="A24" s="1944"/>
      <c r="B24" s="1949"/>
      <c r="C24" s="461" t="s">
        <v>450</v>
      </c>
      <c r="D24" s="468">
        <f t="shared" si="17"/>
        <v>8736</v>
      </c>
      <c r="E24" s="386">
        <f t="shared" si="19"/>
        <v>0</v>
      </c>
      <c r="F24" s="399">
        <f t="shared" ref="F24:AV24" si="22">SUM(F94,F164,F234,F304,F374,F444)</f>
        <v>0</v>
      </c>
      <c r="G24" s="399">
        <f t="shared" si="22"/>
        <v>0</v>
      </c>
      <c r="H24" s="404">
        <f t="shared" si="22"/>
        <v>0</v>
      </c>
      <c r="I24" s="386">
        <f t="shared" si="22"/>
        <v>0</v>
      </c>
      <c r="J24" s="399">
        <f t="shared" si="22"/>
        <v>0</v>
      </c>
      <c r="K24" s="399">
        <f t="shared" si="22"/>
        <v>0</v>
      </c>
      <c r="L24" s="404">
        <f t="shared" si="22"/>
        <v>0</v>
      </c>
      <c r="M24" s="386">
        <f t="shared" si="22"/>
        <v>0</v>
      </c>
      <c r="N24" s="399">
        <f t="shared" si="22"/>
        <v>4892.16</v>
      </c>
      <c r="O24" s="399">
        <f t="shared" si="22"/>
        <v>3319.6800000000003</v>
      </c>
      <c r="P24" s="404">
        <f t="shared" si="22"/>
        <v>524.16000000000008</v>
      </c>
      <c r="Q24" s="386">
        <f t="shared" si="22"/>
        <v>0</v>
      </c>
      <c r="R24" s="399">
        <f t="shared" si="22"/>
        <v>0</v>
      </c>
      <c r="S24" s="399">
        <f t="shared" si="22"/>
        <v>0</v>
      </c>
      <c r="T24" s="404">
        <f t="shared" si="22"/>
        <v>0</v>
      </c>
      <c r="U24" s="386">
        <f t="shared" si="22"/>
        <v>0</v>
      </c>
      <c r="V24" s="399">
        <f t="shared" si="22"/>
        <v>0</v>
      </c>
      <c r="W24" s="399">
        <f t="shared" si="22"/>
        <v>0</v>
      </c>
      <c r="X24" s="404">
        <f t="shared" si="22"/>
        <v>0</v>
      </c>
      <c r="Y24" s="386">
        <f t="shared" si="22"/>
        <v>0</v>
      </c>
      <c r="Z24" s="399">
        <f t="shared" si="22"/>
        <v>0</v>
      </c>
      <c r="AA24" s="399">
        <f t="shared" si="22"/>
        <v>0</v>
      </c>
      <c r="AB24" s="404">
        <f t="shared" si="22"/>
        <v>0</v>
      </c>
      <c r="AC24" s="386">
        <f t="shared" si="22"/>
        <v>0</v>
      </c>
      <c r="AD24" s="399">
        <f t="shared" si="22"/>
        <v>0</v>
      </c>
      <c r="AE24" s="399">
        <f t="shared" si="22"/>
        <v>0</v>
      </c>
      <c r="AF24" s="404">
        <f t="shared" si="22"/>
        <v>0</v>
      </c>
      <c r="AG24" s="386">
        <f t="shared" si="22"/>
        <v>0</v>
      </c>
      <c r="AH24" s="399">
        <f t="shared" si="22"/>
        <v>0</v>
      </c>
      <c r="AI24" s="399">
        <f t="shared" si="22"/>
        <v>0</v>
      </c>
      <c r="AJ24" s="404">
        <f t="shared" si="22"/>
        <v>0</v>
      </c>
      <c r="AK24" s="386">
        <f t="shared" si="22"/>
        <v>0</v>
      </c>
      <c r="AL24" s="399">
        <f t="shared" si="22"/>
        <v>0</v>
      </c>
      <c r="AM24" s="399">
        <f t="shared" si="22"/>
        <v>0</v>
      </c>
      <c r="AN24" s="404">
        <f t="shared" si="22"/>
        <v>0</v>
      </c>
      <c r="AO24" s="386">
        <f t="shared" si="22"/>
        <v>0</v>
      </c>
      <c r="AP24" s="399">
        <f t="shared" si="22"/>
        <v>0</v>
      </c>
      <c r="AQ24" s="399">
        <f t="shared" si="22"/>
        <v>0</v>
      </c>
      <c r="AR24" s="404">
        <f t="shared" si="22"/>
        <v>0</v>
      </c>
      <c r="AS24" s="386">
        <f t="shared" si="22"/>
        <v>0</v>
      </c>
      <c r="AT24" s="399">
        <f t="shared" si="22"/>
        <v>0</v>
      </c>
      <c r="AU24" s="399">
        <f t="shared" si="22"/>
        <v>0</v>
      </c>
      <c r="AV24" s="404">
        <f t="shared" si="22"/>
        <v>0</v>
      </c>
      <c r="AW24" s="473"/>
    </row>
    <row r="25" spans="1:49" s="424" customFormat="1" ht="13.5" customHeight="1" outlineLevel="1">
      <c r="A25" s="1944"/>
      <c r="B25" s="1949" t="str">
        <f>'8.项目规划指标表'!B7</f>
        <v>回迁商业</v>
      </c>
      <c r="C25" s="461" t="s">
        <v>880</v>
      </c>
      <c r="D25" s="457">
        <f>IFERROR(D28/D27*10000,0)</f>
        <v>0</v>
      </c>
      <c r="E25" s="458">
        <f>IFERROR(E28/E27*10000,0)</f>
        <v>0</v>
      </c>
      <c r="F25" s="459">
        <f t="shared" ref="F25:AV25" si="23">IFERROR(F28/F27*10000,0)</f>
        <v>0</v>
      </c>
      <c r="G25" s="459">
        <f t="shared" si="23"/>
        <v>0</v>
      </c>
      <c r="H25" s="460">
        <f t="shared" si="23"/>
        <v>0</v>
      </c>
      <c r="I25" s="458">
        <f t="shared" si="23"/>
        <v>0</v>
      </c>
      <c r="J25" s="459">
        <f t="shared" si="23"/>
        <v>0</v>
      </c>
      <c r="K25" s="459">
        <f t="shared" si="23"/>
        <v>0</v>
      </c>
      <c r="L25" s="460">
        <f t="shared" si="23"/>
        <v>0</v>
      </c>
      <c r="M25" s="458">
        <f t="shared" si="23"/>
        <v>0</v>
      </c>
      <c r="N25" s="459">
        <f t="shared" si="23"/>
        <v>0</v>
      </c>
      <c r="O25" s="459">
        <f t="shared" si="23"/>
        <v>0</v>
      </c>
      <c r="P25" s="460">
        <f t="shared" si="23"/>
        <v>0</v>
      </c>
      <c r="Q25" s="458">
        <f t="shared" si="23"/>
        <v>0</v>
      </c>
      <c r="R25" s="459">
        <f t="shared" si="23"/>
        <v>0</v>
      </c>
      <c r="S25" s="459">
        <f t="shared" si="23"/>
        <v>0</v>
      </c>
      <c r="T25" s="460">
        <f t="shared" si="23"/>
        <v>0</v>
      </c>
      <c r="U25" s="458">
        <f t="shared" si="23"/>
        <v>0</v>
      </c>
      <c r="V25" s="459">
        <f t="shared" si="23"/>
        <v>0</v>
      </c>
      <c r="W25" s="459">
        <f t="shared" si="23"/>
        <v>0</v>
      </c>
      <c r="X25" s="460">
        <f t="shared" si="23"/>
        <v>0</v>
      </c>
      <c r="Y25" s="458">
        <f t="shared" si="23"/>
        <v>0</v>
      </c>
      <c r="Z25" s="459">
        <f t="shared" si="23"/>
        <v>0</v>
      </c>
      <c r="AA25" s="459">
        <f t="shared" si="23"/>
        <v>0</v>
      </c>
      <c r="AB25" s="460">
        <f t="shared" si="23"/>
        <v>0</v>
      </c>
      <c r="AC25" s="458">
        <f t="shared" si="23"/>
        <v>0</v>
      </c>
      <c r="AD25" s="459">
        <f t="shared" si="23"/>
        <v>0</v>
      </c>
      <c r="AE25" s="459">
        <f t="shared" si="23"/>
        <v>0</v>
      </c>
      <c r="AF25" s="460">
        <f t="shared" si="23"/>
        <v>0</v>
      </c>
      <c r="AG25" s="458">
        <f t="shared" si="23"/>
        <v>0</v>
      </c>
      <c r="AH25" s="459">
        <f t="shared" si="23"/>
        <v>0</v>
      </c>
      <c r="AI25" s="459">
        <f t="shared" si="23"/>
        <v>0</v>
      </c>
      <c r="AJ25" s="460">
        <f t="shared" si="23"/>
        <v>0</v>
      </c>
      <c r="AK25" s="458">
        <f t="shared" si="23"/>
        <v>0</v>
      </c>
      <c r="AL25" s="459">
        <f t="shared" si="23"/>
        <v>0</v>
      </c>
      <c r="AM25" s="459">
        <f t="shared" si="23"/>
        <v>0</v>
      </c>
      <c r="AN25" s="460">
        <f t="shared" si="23"/>
        <v>0</v>
      </c>
      <c r="AO25" s="458">
        <f t="shared" si="23"/>
        <v>0</v>
      </c>
      <c r="AP25" s="459">
        <f t="shared" si="23"/>
        <v>0</v>
      </c>
      <c r="AQ25" s="459">
        <f t="shared" si="23"/>
        <v>0</v>
      </c>
      <c r="AR25" s="460">
        <f t="shared" si="23"/>
        <v>0</v>
      </c>
      <c r="AS25" s="458">
        <f t="shared" si="23"/>
        <v>0</v>
      </c>
      <c r="AT25" s="459">
        <f t="shared" si="23"/>
        <v>0</v>
      </c>
      <c r="AU25" s="459">
        <f t="shared" si="23"/>
        <v>0</v>
      </c>
      <c r="AV25" s="460">
        <f t="shared" si="23"/>
        <v>0</v>
      </c>
      <c r="AW25" s="473"/>
    </row>
    <row r="26" spans="1:49" ht="13.5" customHeight="1" outlineLevel="1">
      <c r="A26" s="1944"/>
      <c r="B26" s="1949"/>
      <c r="C26" s="461" t="s">
        <v>881</v>
      </c>
      <c r="D26" s="462">
        <f t="shared" ref="D26:D29" si="24">SUM(E26:AV26)</f>
        <v>0</v>
      </c>
      <c r="E26" s="463">
        <f t="shared" ref="E26:AV26" si="25">IFERROR(E27/$D27,0)</f>
        <v>0</v>
      </c>
      <c r="F26" s="464">
        <f t="shared" si="25"/>
        <v>0</v>
      </c>
      <c r="G26" s="464">
        <f t="shared" si="25"/>
        <v>0</v>
      </c>
      <c r="H26" s="465">
        <f t="shared" si="25"/>
        <v>0</v>
      </c>
      <c r="I26" s="463">
        <f t="shared" si="25"/>
        <v>0</v>
      </c>
      <c r="J26" s="464">
        <f t="shared" si="25"/>
        <v>0</v>
      </c>
      <c r="K26" s="464">
        <f t="shared" si="25"/>
        <v>0</v>
      </c>
      <c r="L26" s="465">
        <f t="shared" si="25"/>
        <v>0</v>
      </c>
      <c r="M26" s="463">
        <f t="shared" si="25"/>
        <v>0</v>
      </c>
      <c r="N26" s="464">
        <f t="shared" si="25"/>
        <v>0</v>
      </c>
      <c r="O26" s="464">
        <f t="shared" si="25"/>
        <v>0</v>
      </c>
      <c r="P26" s="465">
        <f t="shared" si="25"/>
        <v>0</v>
      </c>
      <c r="Q26" s="463">
        <f t="shared" si="25"/>
        <v>0</v>
      </c>
      <c r="R26" s="464">
        <f t="shared" si="25"/>
        <v>0</v>
      </c>
      <c r="S26" s="464">
        <f t="shared" si="25"/>
        <v>0</v>
      </c>
      <c r="T26" s="465">
        <f t="shared" si="25"/>
        <v>0</v>
      </c>
      <c r="U26" s="463">
        <f t="shared" si="25"/>
        <v>0</v>
      </c>
      <c r="V26" s="464">
        <f t="shared" si="25"/>
        <v>0</v>
      </c>
      <c r="W26" s="464">
        <f t="shared" si="25"/>
        <v>0</v>
      </c>
      <c r="X26" s="465">
        <f t="shared" si="25"/>
        <v>0</v>
      </c>
      <c r="Y26" s="463">
        <f t="shared" si="25"/>
        <v>0</v>
      </c>
      <c r="Z26" s="464">
        <f t="shared" si="25"/>
        <v>0</v>
      </c>
      <c r="AA26" s="464">
        <f t="shared" si="25"/>
        <v>0</v>
      </c>
      <c r="AB26" s="465">
        <f t="shared" si="25"/>
        <v>0</v>
      </c>
      <c r="AC26" s="463">
        <f t="shared" si="25"/>
        <v>0</v>
      </c>
      <c r="AD26" s="464">
        <f t="shared" si="25"/>
        <v>0</v>
      </c>
      <c r="AE26" s="464">
        <f t="shared" si="25"/>
        <v>0</v>
      </c>
      <c r="AF26" s="465">
        <f t="shared" si="25"/>
        <v>0</v>
      </c>
      <c r="AG26" s="463">
        <f t="shared" si="25"/>
        <v>0</v>
      </c>
      <c r="AH26" s="464">
        <f t="shared" si="25"/>
        <v>0</v>
      </c>
      <c r="AI26" s="464">
        <f t="shared" si="25"/>
        <v>0</v>
      </c>
      <c r="AJ26" s="465">
        <f t="shared" si="25"/>
        <v>0</v>
      </c>
      <c r="AK26" s="463">
        <f t="shared" si="25"/>
        <v>0</v>
      </c>
      <c r="AL26" s="464">
        <f t="shared" si="25"/>
        <v>0</v>
      </c>
      <c r="AM26" s="464">
        <f t="shared" si="25"/>
        <v>0</v>
      </c>
      <c r="AN26" s="465">
        <f t="shared" si="25"/>
        <v>0</v>
      </c>
      <c r="AO26" s="463">
        <f t="shared" si="25"/>
        <v>0</v>
      </c>
      <c r="AP26" s="464">
        <f t="shared" si="25"/>
        <v>0</v>
      </c>
      <c r="AQ26" s="464">
        <f t="shared" si="25"/>
        <v>0</v>
      </c>
      <c r="AR26" s="465">
        <f t="shared" si="25"/>
        <v>0</v>
      </c>
      <c r="AS26" s="463">
        <f t="shared" si="25"/>
        <v>0</v>
      </c>
      <c r="AT26" s="464">
        <f t="shared" si="25"/>
        <v>0</v>
      </c>
      <c r="AU26" s="464">
        <f t="shared" si="25"/>
        <v>0</v>
      </c>
      <c r="AV26" s="465">
        <f t="shared" si="25"/>
        <v>0</v>
      </c>
      <c r="AW26" s="78"/>
    </row>
    <row r="27" spans="1:49" s="424" customFormat="1" ht="13.5" customHeight="1" outlineLevel="1">
      <c r="A27" s="1944"/>
      <c r="B27" s="1949"/>
      <c r="C27" s="461" t="s">
        <v>682</v>
      </c>
      <c r="D27" s="466">
        <f t="shared" si="24"/>
        <v>0</v>
      </c>
      <c r="E27" s="382">
        <f t="shared" ref="E27:E29" si="26">SUM(E97,E167,E237,E307,E377,E447)</f>
        <v>0</v>
      </c>
      <c r="F27" s="397">
        <f t="shared" ref="F27:AV27" si="27">SUM(F97,F167,F237,F307,F377,F447)</f>
        <v>0</v>
      </c>
      <c r="G27" s="397">
        <f t="shared" si="27"/>
        <v>0</v>
      </c>
      <c r="H27" s="467">
        <f t="shared" si="27"/>
        <v>0</v>
      </c>
      <c r="I27" s="382">
        <f t="shared" si="27"/>
        <v>0</v>
      </c>
      <c r="J27" s="397">
        <f t="shared" si="27"/>
        <v>0</v>
      </c>
      <c r="K27" s="397">
        <f t="shared" si="27"/>
        <v>0</v>
      </c>
      <c r="L27" s="467">
        <f t="shared" si="27"/>
        <v>0</v>
      </c>
      <c r="M27" s="382">
        <f t="shared" si="27"/>
        <v>0</v>
      </c>
      <c r="N27" s="397">
        <f t="shared" si="27"/>
        <v>0</v>
      </c>
      <c r="O27" s="397">
        <f t="shared" si="27"/>
        <v>0</v>
      </c>
      <c r="P27" s="467">
        <f t="shared" si="27"/>
        <v>0</v>
      </c>
      <c r="Q27" s="382">
        <f t="shared" si="27"/>
        <v>0</v>
      </c>
      <c r="R27" s="397">
        <f t="shared" si="27"/>
        <v>0</v>
      </c>
      <c r="S27" s="397">
        <f t="shared" si="27"/>
        <v>0</v>
      </c>
      <c r="T27" s="467">
        <f t="shared" si="27"/>
        <v>0</v>
      </c>
      <c r="U27" s="382">
        <f t="shared" si="27"/>
        <v>0</v>
      </c>
      <c r="V27" s="397">
        <f t="shared" si="27"/>
        <v>0</v>
      </c>
      <c r="W27" s="397">
        <f t="shared" si="27"/>
        <v>0</v>
      </c>
      <c r="X27" s="467">
        <f t="shared" si="27"/>
        <v>0</v>
      </c>
      <c r="Y27" s="382">
        <f t="shared" si="27"/>
        <v>0</v>
      </c>
      <c r="Z27" s="397">
        <f t="shared" si="27"/>
        <v>0</v>
      </c>
      <c r="AA27" s="397">
        <f t="shared" si="27"/>
        <v>0</v>
      </c>
      <c r="AB27" s="467">
        <f t="shared" si="27"/>
        <v>0</v>
      </c>
      <c r="AC27" s="382">
        <f t="shared" si="27"/>
        <v>0</v>
      </c>
      <c r="AD27" s="397">
        <f t="shared" si="27"/>
        <v>0</v>
      </c>
      <c r="AE27" s="397">
        <f t="shared" si="27"/>
        <v>0</v>
      </c>
      <c r="AF27" s="467">
        <f t="shared" si="27"/>
        <v>0</v>
      </c>
      <c r="AG27" s="382">
        <f t="shared" si="27"/>
        <v>0</v>
      </c>
      <c r="AH27" s="397">
        <f t="shared" si="27"/>
        <v>0</v>
      </c>
      <c r="AI27" s="397">
        <f t="shared" si="27"/>
        <v>0</v>
      </c>
      <c r="AJ27" s="467">
        <f t="shared" si="27"/>
        <v>0</v>
      </c>
      <c r="AK27" s="382">
        <f t="shared" si="27"/>
        <v>0</v>
      </c>
      <c r="AL27" s="397">
        <f t="shared" si="27"/>
        <v>0</v>
      </c>
      <c r="AM27" s="397">
        <f t="shared" si="27"/>
        <v>0</v>
      </c>
      <c r="AN27" s="467">
        <f t="shared" si="27"/>
        <v>0</v>
      </c>
      <c r="AO27" s="382">
        <f t="shared" si="27"/>
        <v>0</v>
      </c>
      <c r="AP27" s="397">
        <f t="shared" si="27"/>
        <v>0</v>
      </c>
      <c r="AQ27" s="397">
        <f t="shared" si="27"/>
        <v>0</v>
      </c>
      <c r="AR27" s="467">
        <f t="shared" si="27"/>
        <v>0</v>
      </c>
      <c r="AS27" s="382">
        <f t="shared" si="27"/>
        <v>0</v>
      </c>
      <c r="AT27" s="397">
        <f t="shared" si="27"/>
        <v>0</v>
      </c>
      <c r="AU27" s="397">
        <f t="shared" si="27"/>
        <v>0</v>
      </c>
      <c r="AV27" s="467">
        <f t="shared" si="27"/>
        <v>0</v>
      </c>
      <c r="AW27" s="473"/>
    </row>
    <row r="28" spans="1:49" s="424" customFormat="1" ht="13.5" customHeight="1" outlineLevel="1">
      <c r="A28" s="1944"/>
      <c r="B28" s="1949"/>
      <c r="C28" s="461" t="s">
        <v>882</v>
      </c>
      <c r="D28" s="466">
        <f t="shared" si="24"/>
        <v>0</v>
      </c>
      <c r="E28" s="382">
        <f t="shared" si="26"/>
        <v>0</v>
      </c>
      <c r="F28" s="397">
        <f t="shared" ref="F28:AV28" si="28">SUM(F98,F168,F238,F308,F378,F448)</f>
        <v>0</v>
      </c>
      <c r="G28" s="397">
        <f t="shared" si="28"/>
        <v>0</v>
      </c>
      <c r="H28" s="467">
        <f t="shared" si="28"/>
        <v>0</v>
      </c>
      <c r="I28" s="382">
        <f t="shared" si="28"/>
        <v>0</v>
      </c>
      <c r="J28" s="397">
        <f t="shared" si="28"/>
        <v>0</v>
      </c>
      <c r="K28" s="397">
        <f t="shared" si="28"/>
        <v>0</v>
      </c>
      <c r="L28" s="467">
        <f t="shared" si="28"/>
        <v>0</v>
      </c>
      <c r="M28" s="382">
        <f t="shared" si="28"/>
        <v>0</v>
      </c>
      <c r="N28" s="397">
        <f t="shared" si="28"/>
        <v>0</v>
      </c>
      <c r="O28" s="397">
        <f t="shared" si="28"/>
        <v>0</v>
      </c>
      <c r="P28" s="467">
        <f t="shared" si="28"/>
        <v>0</v>
      </c>
      <c r="Q28" s="382">
        <f t="shared" si="28"/>
        <v>0</v>
      </c>
      <c r="R28" s="397">
        <f t="shared" si="28"/>
        <v>0</v>
      </c>
      <c r="S28" s="397">
        <f t="shared" si="28"/>
        <v>0</v>
      </c>
      <c r="T28" s="467">
        <f t="shared" si="28"/>
        <v>0</v>
      </c>
      <c r="U28" s="382">
        <f t="shared" si="28"/>
        <v>0</v>
      </c>
      <c r="V28" s="397">
        <f t="shared" si="28"/>
        <v>0</v>
      </c>
      <c r="W28" s="397">
        <f t="shared" si="28"/>
        <v>0</v>
      </c>
      <c r="X28" s="467">
        <f t="shared" si="28"/>
        <v>0</v>
      </c>
      <c r="Y28" s="382">
        <f t="shared" si="28"/>
        <v>0</v>
      </c>
      <c r="Z28" s="397">
        <f t="shared" si="28"/>
        <v>0</v>
      </c>
      <c r="AA28" s="397">
        <f t="shared" si="28"/>
        <v>0</v>
      </c>
      <c r="AB28" s="467">
        <f t="shared" si="28"/>
        <v>0</v>
      </c>
      <c r="AC28" s="382">
        <f t="shared" si="28"/>
        <v>0</v>
      </c>
      <c r="AD28" s="397">
        <f t="shared" si="28"/>
        <v>0</v>
      </c>
      <c r="AE28" s="397">
        <f t="shared" si="28"/>
        <v>0</v>
      </c>
      <c r="AF28" s="467">
        <f t="shared" si="28"/>
        <v>0</v>
      </c>
      <c r="AG28" s="382">
        <f t="shared" si="28"/>
        <v>0</v>
      </c>
      <c r="AH28" s="397">
        <f t="shared" si="28"/>
        <v>0</v>
      </c>
      <c r="AI28" s="397">
        <f t="shared" si="28"/>
        <v>0</v>
      </c>
      <c r="AJ28" s="467">
        <f t="shared" si="28"/>
        <v>0</v>
      </c>
      <c r="AK28" s="382">
        <f t="shared" si="28"/>
        <v>0</v>
      </c>
      <c r="AL28" s="397">
        <f t="shared" si="28"/>
        <v>0</v>
      </c>
      <c r="AM28" s="397">
        <f t="shared" si="28"/>
        <v>0</v>
      </c>
      <c r="AN28" s="467">
        <f t="shared" si="28"/>
        <v>0</v>
      </c>
      <c r="AO28" s="382">
        <f t="shared" si="28"/>
        <v>0</v>
      </c>
      <c r="AP28" s="397">
        <f t="shared" si="28"/>
        <v>0</v>
      </c>
      <c r="AQ28" s="397">
        <f t="shared" si="28"/>
        <v>0</v>
      </c>
      <c r="AR28" s="467">
        <f t="shared" si="28"/>
        <v>0</v>
      </c>
      <c r="AS28" s="382">
        <f t="shared" si="28"/>
        <v>0</v>
      </c>
      <c r="AT28" s="397">
        <f t="shared" si="28"/>
        <v>0</v>
      </c>
      <c r="AU28" s="397">
        <f t="shared" si="28"/>
        <v>0</v>
      </c>
      <c r="AV28" s="467">
        <f t="shared" si="28"/>
        <v>0</v>
      </c>
      <c r="AW28" s="473"/>
    </row>
    <row r="29" spans="1:49" s="424" customFormat="1" ht="13.5" customHeight="1" outlineLevel="1">
      <c r="A29" s="1944"/>
      <c r="B29" s="1949"/>
      <c r="C29" s="461" t="s">
        <v>450</v>
      </c>
      <c r="D29" s="468">
        <f t="shared" si="24"/>
        <v>0</v>
      </c>
      <c r="E29" s="386">
        <f t="shared" si="26"/>
        <v>0</v>
      </c>
      <c r="F29" s="399">
        <f t="shared" ref="F29:AV29" si="29">SUM(F99,F169,F239,F309,F379,F449)</f>
        <v>0</v>
      </c>
      <c r="G29" s="399">
        <f t="shared" si="29"/>
        <v>0</v>
      </c>
      <c r="H29" s="404">
        <f t="shared" si="29"/>
        <v>0</v>
      </c>
      <c r="I29" s="386">
        <f t="shared" si="29"/>
        <v>0</v>
      </c>
      <c r="J29" s="399">
        <f t="shared" si="29"/>
        <v>0</v>
      </c>
      <c r="K29" s="399">
        <f t="shared" si="29"/>
        <v>0</v>
      </c>
      <c r="L29" s="404">
        <f t="shared" si="29"/>
        <v>0</v>
      </c>
      <c r="M29" s="386">
        <f t="shared" si="29"/>
        <v>0</v>
      </c>
      <c r="N29" s="399">
        <f t="shared" si="29"/>
        <v>0</v>
      </c>
      <c r="O29" s="399">
        <f t="shared" si="29"/>
        <v>0</v>
      </c>
      <c r="P29" s="404">
        <f t="shared" si="29"/>
        <v>0</v>
      </c>
      <c r="Q29" s="386">
        <f t="shared" si="29"/>
        <v>0</v>
      </c>
      <c r="R29" s="399">
        <f t="shared" si="29"/>
        <v>0</v>
      </c>
      <c r="S29" s="399">
        <f t="shared" si="29"/>
        <v>0</v>
      </c>
      <c r="T29" s="404">
        <f t="shared" si="29"/>
        <v>0</v>
      </c>
      <c r="U29" s="386">
        <f t="shared" si="29"/>
        <v>0</v>
      </c>
      <c r="V29" s="399">
        <f t="shared" si="29"/>
        <v>0</v>
      </c>
      <c r="W29" s="399">
        <f t="shared" si="29"/>
        <v>0</v>
      </c>
      <c r="X29" s="404">
        <f t="shared" si="29"/>
        <v>0</v>
      </c>
      <c r="Y29" s="386">
        <f t="shared" si="29"/>
        <v>0</v>
      </c>
      <c r="Z29" s="399">
        <f t="shared" si="29"/>
        <v>0</v>
      </c>
      <c r="AA29" s="399">
        <f t="shared" si="29"/>
        <v>0</v>
      </c>
      <c r="AB29" s="404">
        <f t="shared" si="29"/>
        <v>0</v>
      </c>
      <c r="AC29" s="386">
        <f t="shared" si="29"/>
        <v>0</v>
      </c>
      <c r="AD29" s="399">
        <f t="shared" si="29"/>
        <v>0</v>
      </c>
      <c r="AE29" s="399">
        <f t="shared" si="29"/>
        <v>0</v>
      </c>
      <c r="AF29" s="404">
        <f t="shared" si="29"/>
        <v>0</v>
      </c>
      <c r="AG29" s="386">
        <f t="shared" si="29"/>
        <v>0</v>
      </c>
      <c r="AH29" s="399">
        <f t="shared" si="29"/>
        <v>0</v>
      </c>
      <c r="AI29" s="399">
        <f t="shared" si="29"/>
        <v>0</v>
      </c>
      <c r="AJ29" s="404">
        <f t="shared" si="29"/>
        <v>0</v>
      </c>
      <c r="AK29" s="386">
        <f t="shared" si="29"/>
        <v>0</v>
      </c>
      <c r="AL29" s="399">
        <f t="shared" si="29"/>
        <v>0</v>
      </c>
      <c r="AM29" s="399">
        <f t="shared" si="29"/>
        <v>0</v>
      </c>
      <c r="AN29" s="404">
        <f t="shared" si="29"/>
        <v>0</v>
      </c>
      <c r="AO29" s="386">
        <f t="shared" si="29"/>
        <v>0</v>
      </c>
      <c r="AP29" s="399">
        <f t="shared" si="29"/>
        <v>0</v>
      </c>
      <c r="AQ29" s="399">
        <f t="shared" si="29"/>
        <v>0</v>
      </c>
      <c r="AR29" s="404">
        <f t="shared" si="29"/>
        <v>0</v>
      </c>
      <c r="AS29" s="386">
        <f t="shared" si="29"/>
        <v>0</v>
      </c>
      <c r="AT29" s="399">
        <f t="shared" si="29"/>
        <v>0</v>
      </c>
      <c r="AU29" s="399">
        <f t="shared" si="29"/>
        <v>0</v>
      </c>
      <c r="AV29" s="404">
        <f t="shared" si="29"/>
        <v>0</v>
      </c>
      <c r="AW29" s="473"/>
    </row>
    <row r="30" spans="1:49" s="424" customFormat="1" ht="13.5" customHeight="1" outlineLevel="1">
      <c r="A30" s="1944"/>
      <c r="B30" s="1949">
        <f>'8.项目规划指标表'!B8</f>
        <v>0</v>
      </c>
      <c r="C30" s="461" t="s">
        <v>880</v>
      </c>
      <c r="D30" s="457">
        <f>IFERROR(D33/D32*10000,0)</f>
        <v>0</v>
      </c>
      <c r="E30" s="458">
        <f>IFERROR(E33/E32*10000,0)</f>
        <v>0</v>
      </c>
      <c r="F30" s="459">
        <f t="shared" ref="F30:AV30" si="30">IFERROR(F33/F32*10000,0)</f>
        <v>0</v>
      </c>
      <c r="G30" s="459">
        <f t="shared" si="30"/>
        <v>0</v>
      </c>
      <c r="H30" s="460">
        <f t="shared" si="30"/>
        <v>0</v>
      </c>
      <c r="I30" s="458">
        <f t="shared" si="30"/>
        <v>0</v>
      </c>
      <c r="J30" s="459">
        <f t="shared" si="30"/>
        <v>0</v>
      </c>
      <c r="K30" s="459">
        <f t="shared" si="30"/>
        <v>0</v>
      </c>
      <c r="L30" s="460">
        <f t="shared" si="30"/>
        <v>0</v>
      </c>
      <c r="M30" s="458">
        <f t="shared" si="30"/>
        <v>0</v>
      </c>
      <c r="N30" s="459">
        <f t="shared" si="30"/>
        <v>0</v>
      </c>
      <c r="O30" s="459">
        <f t="shared" si="30"/>
        <v>0</v>
      </c>
      <c r="P30" s="460">
        <f t="shared" si="30"/>
        <v>0</v>
      </c>
      <c r="Q30" s="458">
        <f t="shared" si="30"/>
        <v>0</v>
      </c>
      <c r="R30" s="459">
        <f t="shared" si="30"/>
        <v>0</v>
      </c>
      <c r="S30" s="459">
        <f t="shared" si="30"/>
        <v>0</v>
      </c>
      <c r="T30" s="460">
        <f t="shared" si="30"/>
        <v>0</v>
      </c>
      <c r="U30" s="458">
        <f t="shared" si="30"/>
        <v>0</v>
      </c>
      <c r="V30" s="459">
        <f t="shared" si="30"/>
        <v>0</v>
      </c>
      <c r="W30" s="459">
        <f t="shared" si="30"/>
        <v>0</v>
      </c>
      <c r="X30" s="460">
        <f t="shared" si="30"/>
        <v>0</v>
      </c>
      <c r="Y30" s="458">
        <f t="shared" si="30"/>
        <v>0</v>
      </c>
      <c r="Z30" s="459">
        <f t="shared" si="30"/>
        <v>0</v>
      </c>
      <c r="AA30" s="459">
        <f t="shared" si="30"/>
        <v>0</v>
      </c>
      <c r="AB30" s="460">
        <f t="shared" si="30"/>
        <v>0</v>
      </c>
      <c r="AC30" s="458">
        <f t="shared" si="30"/>
        <v>0</v>
      </c>
      <c r="AD30" s="459">
        <f t="shared" si="30"/>
        <v>0</v>
      </c>
      <c r="AE30" s="459">
        <f t="shared" si="30"/>
        <v>0</v>
      </c>
      <c r="AF30" s="460">
        <f t="shared" si="30"/>
        <v>0</v>
      </c>
      <c r="AG30" s="458">
        <f t="shared" si="30"/>
        <v>0</v>
      </c>
      <c r="AH30" s="459">
        <f t="shared" si="30"/>
        <v>0</v>
      </c>
      <c r="AI30" s="459">
        <f t="shared" si="30"/>
        <v>0</v>
      </c>
      <c r="AJ30" s="460">
        <f t="shared" si="30"/>
        <v>0</v>
      </c>
      <c r="AK30" s="458">
        <f t="shared" si="30"/>
        <v>0</v>
      </c>
      <c r="AL30" s="459">
        <f t="shared" si="30"/>
        <v>0</v>
      </c>
      <c r="AM30" s="459">
        <f t="shared" si="30"/>
        <v>0</v>
      </c>
      <c r="AN30" s="460">
        <f t="shared" si="30"/>
        <v>0</v>
      </c>
      <c r="AO30" s="458">
        <f t="shared" si="30"/>
        <v>0</v>
      </c>
      <c r="AP30" s="459">
        <f t="shared" si="30"/>
        <v>0</v>
      </c>
      <c r="AQ30" s="459">
        <f t="shared" si="30"/>
        <v>0</v>
      </c>
      <c r="AR30" s="460">
        <f t="shared" si="30"/>
        <v>0</v>
      </c>
      <c r="AS30" s="458">
        <f t="shared" si="30"/>
        <v>0</v>
      </c>
      <c r="AT30" s="459">
        <f t="shared" si="30"/>
        <v>0</v>
      </c>
      <c r="AU30" s="459">
        <f t="shared" si="30"/>
        <v>0</v>
      </c>
      <c r="AV30" s="460">
        <f t="shared" si="30"/>
        <v>0</v>
      </c>
      <c r="AW30" s="473"/>
    </row>
    <row r="31" spans="1:49" ht="13.5" customHeight="1" outlineLevel="1">
      <c r="A31" s="1944"/>
      <c r="B31" s="1949"/>
      <c r="C31" s="461" t="s">
        <v>881</v>
      </c>
      <c r="D31" s="462">
        <f t="shared" ref="D31:D34" si="31">SUM(E31:AV31)</f>
        <v>0</v>
      </c>
      <c r="E31" s="463">
        <f t="shared" ref="E31:AV31" si="32">IFERROR(E32/$D32,0)</f>
        <v>0</v>
      </c>
      <c r="F31" s="464">
        <f t="shared" si="32"/>
        <v>0</v>
      </c>
      <c r="G31" s="464">
        <f t="shared" si="32"/>
        <v>0</v>
      </c>
      <c r="H31" s="465">
        <f t="shared" si="32"/>
        <v>0</v>
      </c>
      <c r="I31" s="463">
        <f t="shared" si="32"/>
        <v>0</v>
      </c>
      <c r="J31" s="464">
        <f t="shared" si="32"/>
        <v>0</v>
      </c>
      <c r="K31" s="464">
        <f t="shared" si="32"/>
        <v>0</v>
      </c>
      <c r="L31" s="465">
        <f t="shared" si="32"/>
        <v>0</v>
      </c>
      <c r="M31" s="463">
        <f t="shared" si="32"/>
        <v>0</v>
      </c>
      <c r="N31" s="464">
        <f t="shared" si="32"/>
        <v>0</v>
      </c>
      <c r="O31" s="464">
        <f t="shared" si="32"/>
        <v>0</v>
      </c>
      <c r="P31" s="465">
        <f t="shared" si="32"/>
        <v>0</v>
      </c>
      <c r="Q31" s="463">
        <f t="shared" si="32"/>
        <v>0</v>
      </c>
      <c r="R31" s="464">
        <f t="shared" si="32"/>
        <v>0</v>
      </c>
      <c r="S31" s="464">
        <f t="shared" si="32"/>
        <v>0</v>
      </c>
      <c r="T31" s="465">
        <f t="shared" si="32"/>
        <v>0</v>
      </c>
      <c r="U31" s="463">
        <f t="shared" si="32"/>
        <v>0</v>
      </c>
      <c r="V31" s="464">
        <f t="shared" si="32"/>
        <v>0</v>
      </c>
      <c r="W31" s="464">
        <f t="shared" si="32"/>
        <v>0</v>
      </c>
      <c r="X31" s="465">
        <f t="shared" si="32"/>
        <v>0</v>
      </c>
      <c r="Y31" s="463">
        <f t="shared" si="32"/>
        <v>0</v>
      </c>
      <c r="Z31" s="464">
        <f t="shared" si="32"/>
        <v>0</v>
      </c>
      <c r="AA31" s="464">
        <f t="shared" si="32"/>
        <v>0</v>
      </c>
      <c r="AB31" s="465">
        <f t="shared" si="32"/>
        <v>0</v>
      </c>
      <c r="AC31" s="463">
        <f t="shared" si="32"/>
        <v>0</v>
      </c>
      <c r="AD31" s="464">
        <f t="shared" si="32"/>
        <v>0</v>
      </c>
      <c r="AE31" s="464">
        <f t="shared" si="32"/>
        <v>0</v>
      </c>
      <c r="AF31" s="465">
        <f t="shared" si="32"/>
        <v>0</v>
      </c>
      <c r="AG31" s="463">
        <f t="shared" si="32"/>
        <v>0</v>
      </c>
      <c r="AH31" s="464">
        <f t="shared" si="32"/>
        <v>0</v>
      </c>
      <c r="AI31" s="464">
        <f t="shared" si="32"/>
        <v>0</v>
      </c>
      <c r="AJ31" s="465">
        <f t="shared" si="32"/>
        <v>0</v>
      </c>
      <c r="AK31" s="463">
        <f t="shared" si="32"/>
        <v>0</v>
      </c>
      <c r="AL31" s="464">
        <f t="shared" si="32"/>
        <v>0</v>
      </c>
      <c r="AM31" s="464">
        <f t="shared" si="32"/>
        <v>0</v>
      </c>
      <c r="AN31" s="465">
        <f t="shared" si="32"/>
        <v>0</v>
      </c>
      <c r="AO31" s="463">
        <f t="shared" si="32"/>
        <v>0</v>
      </c>
      <c r="AP31" s="464">
        <f t="shared" si="32"/>
        <v>0</v>
      </c>
      <c r="AQ31" s="464">
        <f t="shared" si="32"/>
        <v>0</v>
      </c>
      <c r="AR31" s="465">
        <f t="shared" si="32"/>
        <v>0</v>
      </c>
      <c r="AS31" s="463">
        <f t="shared" si="32"/>
        <v>0</v>
      </c>
      <c r="AT31" s="464">
        <f t="shared" si="32"/>
        <v>0</v>
      </c>
      <c r="AU31" s="464">
        <f t="shared" si="32"/>
        <v>0</v>
      </c>
      <c r="AV31" s="465">
        <f t="shared" si="32"/>
        <v>0</v>
      </c>
      <c r="AW31" s="78"/>
    </row>
    <row r="32" spans="1:49" s="424" customFormat="1" ht="13.5" customHeight="1" outlineLevel="1">
      <c r="A32" s="1944"/>
      <c r="B32" s="1949"/>
      <c r="C32" s="461" t="s">
        <v>682</v>
      </c>
      <c r="D32" s="466">
        <f t="shared" si="31"/>
        <v>0</v>
      </c>
      <c r="E32" s="382">
        <f t="shared" ref="E32:E34" si="33">SUM(E102,E172,E242,E312,E382,E452)</f>
        <v>0</v>
      </c>
      <c r="F32" s="397">
        <f t="shared" ref="F32:AV32" si="34">SUM(F102,F172,F242,F312,F382,F452)</f>
        <v>0</v>
      </c>
      <c r="G32" s="397">
        <f t="shared" si="34"/>
        <v>0</v>
      </c>
      <c r="H32" s="467">
        <f t="shared" si="34"/>
        <v>0</v>
      </c>
      <c r="I32" s="382">
        <f t="shared" si="34"/>
        <v>0</v>
      </c>
      <c r="J32" s="397">
        <f t="shared" si="34"/>
        <v>0</v>
      </c>
      <c r="K32" s="397">
        <f t="shared" si="34"/>
        <v>0</v>
      </c>
      <c r="L32" s="467">
        <f t="shared" si="34"/>
        <v>0</v>
      </c>
      <c r="M32" s="382">
        <f t="shared" si="34"/>
        <v>0</v>
      </c>
      <c r="N32" s="397">
        <f t="shared" si="34"/>
        <v>0</v>
      </c>
      <c r="O32" s="397">
        <f t="shared" si="34"/>
        <v>0</v>
      </c>
      <c r="P32" s="467">
        <f t="shared" si="34"/>
        <v>0</v>
      </c>
      <c r="Q32" s="382">
        <f t="shared" si="34"/>
        <v>0</v>
      </c>
      <c r="R32" s="397">
        <f t="shared" si="34"/>
        <v>0</v>
      </c>
      <c r="S32" s="397">
        <f t="shared" si="34"/>
        <v>0</v>
      </c>
      <c r="T32" s="467">
        <f t="shared" si="34"/>
        <v>0</v>
      </c>
      <c r="U32" s="382">
        <f t="shared" si="34"/>
        <v>0</v>
      </c>
      <c r="V32" s="397">
        <f t="shared" si="34"/>
        <v>0</v>
      </c>
      <c r="W32" s="397">
        <f t="shared" si="34"/>
        <v>0</v>
      </c>
      <c r="X32" s="467">
        <f t="shared" si="34"/>
        <v>0</v>
      </c>
      <c r="Y32" s="382">
        <f t="shared" si="34"/>
        <v>0</v>
      </c>
      <c r="Z32" s="397">
        <f t="shared" si="34"/>
        <v>0</v>
      </c>
      <c r="AA32" s="397">
        <f t="shared" si="34"/>
        <v>0</v>
      </c>
      <c r="AB32" s="467">
        <f t="shared" si="34"/>
        <v>0</v>
      </c>
      <c r="AC32" s="382">
        <f t="shared" si="34"/>
        <v>0</v>
      </c>
      <c r="AD32" s="397">
        <f t="shared" si="34"/>
        <v>0</v>
      </c>
      <c r="AE32" s="397">
        <f t="shared" si="34"/>
        <v>0</v>
      </c>
      <c r="AF32" s="467">
        <f t="shared" si="34"/>
        <v>0</v>
      </c>
      <c r="AG32" s="382">
        <f t="shared" si="34"/>
        <v>0</v>
      </c>
      <c r="AH32" s="397">
        <f t="shared" si="34"/>
        <v>0</v>
      </c>
      <c r="AI32" s="397">
        <f t="shared" si="34"/>
        <v>0</v>
      </c>
      <c r="AJ32" s="467">
        <f t="shared" si="34"/>
        <v>0</v>
      </c>
      <c r="AK32" s="382">
        <f t="shared" si="34"/>
        <v>0</v>
      </c>
      <c r="AL32" s="397">
        <f t="shared" si="34"/>
        <v>0</v>
      </c>
      <c r="AM32" s="397">
        <f t="shared" si="34"/>
        <v>0</v>
      </c>
      <c r="AN32" s="467">
        <f t="shared" si="34"/>
        <v>0</v>
      </c>
      <c r="AO32" s="382">
        <f t="shared" si="34"/>
        <v>0</v>
      </c>
      <c r="AP32" s="397">
        <f t="shared" si="34"/>
        <v>0</v>
      </c>
      <c r="AQ32" s="397">
        <f t="shared" si="34"/>
        <v>0</v>
      </c>
      <c r="AR32" s="467">
        <f t="shared" si="34"/>
        <v>0</v>
      </c>
      <c r="AS32" s="382">
        <f t="shared" si="34"/>
        <v>0</v>
      </c>
      <c r="AT32" s="397">
        <f t="shared" si="34"/>
        <v>0</v>
      </c>
      <c r="AU32" s="397">
        <f t="shared" si="34"/>
        <v>0</v>
      </c>
      <c r="AV32" s="467">
        <f t="shared" si="34"/>
        <v>0</v>
      </c>
      <c r="AW32" s="473"/>
    </row>
    <row r="33" spans="1:49" s="424" customFormat="1" ht="13.5" customHeight="1" outlineLevel="1">
      <c r="A33" s="1944"/>
      <c r="B33" s="1949"/>
      <c r="C33" s="461" t="s">
        <v>882</v>
      </c>
      <c r="D33" s="466">
        <f t="shared" si="31"/>
        <v>0</v>
      </c>
      <c r="E33" s="382">
        <f t="shared" si="33"/>
        <v>0</v>
      </c>
      <c r="F33" s="397">
        <f t="shared" ref="F33:AV33" si="35">SUM(F103,F173,F243,F313,F383,F453)</f>
        <v>0</v>
      </c>
      <c r="G33" s="397">
        <f t="shared" si="35"/>
        <v>0</v>
      </c>
      <c r="H33" s="467">
        <f t="shared" si="35"/>
        <v>0</v>
      </c>
      <c r="I33" s="382">
        <f t="shared" si="35"/>
        <v>0</v>
      </c>
      <c r="J33" s="397">
        <f t="shared" si="35"/>
        <v>0</v>
      </c>
      <c r="K33" s="397">
        <f t="shared" si="35"/>
        <v>0</v>
      </c>
      <c r="L33" s="467">
        <f t="shared" si="35"/>
        <v>0</v>
      </c>
      <c r="M33" s="382">
        <f t="shared" si="35"/>
        <v>0</v>
      </c>
      <c r="N33" s="397">
        <f t="shared" si="35"/>
        <v>0</v>
      </c>
      <c r="O33" s="397">
        <f t="shared" si="35"/>
        <v>0</v>
      </c>
      <c r="P33" s="467">
        <f t="shared" si="35"/>
        <v>0</v>
      </c>
      <c r="Q33" s="382">
        <f t="shared" si="35"/>
        <v>0</v>
      </c>
      <c r="R33" s="397">
        <f t="shared" si="35"/>
        <v>0</v>
      </c>
      <c r="S33" s="397">
        <f t="shared" si="35"/>
        <v>0</v>
      </c>
      <c r="T33" s="467">
        <f t="shared" si="35"/>
        <v>0</v>
      </c>
      <c r="U33" s="382">
        <f t="shared" si="35"/>
        <v>0</v>
      </c>
      <c r="V33" s="397">
        <f t="shared" si="35"/>
        <v>0</v>
      </c>
      <c r="W33" s="397">
        <f t="shared" si="35"/>
        <v>0</v>
      </c>
      <c r="X33" s="467">
        <f t="shared" si="35"/>
        <v>0</v>
      </c>
      <c r="Y33" s="382">
        <f t="shared" si="35"/>
        <v>0</v>
      </c>
      <c r="Z33" s="397">
        <f t="shared" si="35"/>
        <v>0</v>
      </c>
      <c r="AA33" s="397">
        <f t="shared" si="35"/>
        <v>0</v>
      </c>
      <c r="AB33" s="467">
        <f t="shared" si="35"/>
        <v>0</v>
      </c>
      <c r="AC33" s="382">
        <f t="shared" si="35"/>
        <v>0</v>
      </c>
      <c r="AD33" s="397">
        <f t="shared" si="35"/>
        <v>0</v>
      </c>
      <c r="AE33" s="397">
        <f t="shared" si="35"/>
        <v>0</v>
      </c>
      <c r="AF33" s="467">
        <f t="shared" si="35"/>
        <v>0</v>
      </c>
      <c r="AG33" s="382">
        <f t="shared" si="35"/>
        <v>0</v>
      </c>
      <c r="AH33" s="397">
        <f t="shared" si="35"/>
        <v>0</v>
      </c>
      <c r="AI33" s="397">
        <f t="shared" si="35"/>
        <v>0</v>
      </c>
      <c r="AJ33" s="467">
        <f t="shared" si="35"/>
        <v>0</v>
      </c>
      <c r="AK33" s="382">
        <f t="shared" si="35"/>
        <v>0</v>
      </c>
      <c r="AL33" s="397">
        <f t="shared" si="35"/>
        <v>0</v>
      </c>
      <c r="AM33" s="397">
        <f t="shared" si="35"/>
        <v>0</v>
      </c>
      <c r="AN33" s="467">
        <f t="shared" si="35"/>
        <v>0</v>
      </c>
      <c r="AO33" s="382">
        <f t="shared" si="35"/>
        <v>0</v>
      </c>
      <c r="AP33" s="397">
        <f t="shared" si="35"/>
        <v>0</v>
      </c>
      <c r="AQ33" s="397">
        <f t="shared" si="35"/>
        <v>0</v>
      </c>
      <c r="AR33" s="467">
        <f t="shared" si="35"/>
        <v>0</v>
      </c>
      <c r="AS33" s="382">
        <f t="shared" si="35"/>
        <v>0</v>
      </c>
      <c r="AT33" s="397">
        <f t="shared" si="35"/>
        <v>0</v>
      </c>
      <c r="AU33" s="397">
        <f t="shared" si="35"/>
        <v>0</v>
      </c>
      <c r="AV33" s="467">
        <f t="shared" si="35"/>
        <v>0</v>
      </c>
      <c r="AW33" s="473"/>
    </row>
    <row r="34" spans="1:49" s="424" customFormat="1" ht="13.5" customHeight="1" outlineLevel="1">
      <c r="A34" s="1944"/>
      <c r="B34" s="1949"/>
      <c r="C34" s="461" t="s">
        <v>450</v>
      </c>
      <c r="D34" s="468">
        <f t="shared" si="31"/>
        <v>0</v>
      </c>
      <c r="E34" s="386">
        <f t="shared" si="33"/>
        <v>0</v>
      </c>
      <c r="F34" s="399">
        <f t="shared" ref="F34:AV34" si="36">SUM(F104,F174,F244,F314,F384,F454)</f>
        <v>0</v>
      </c>
      <c r="G34" s="399">
        <f t="shared" si="36"/>
        <v>0</v>
      </c>
      <c r="H34" s="404">
        <f t="shared" si="36"/>
        <v>0</v>
      </c>
      <c r="I34" s="386">
        <f t="shared" si="36"/>
        <v>0</v>
      </c>
      <c r="J34" s="399">
        <f t="shared" si="36"/>
        <v>0</v>
      </c>
      <c r="K34" s="399">
        <f t="shared" si="36"/>
        <v>0</v>
      </c>
      <c r="L34" s="404">
        <f t="shared" si="36"/>
        <v>0</v>
      </c>
      <c r="M34" s="386">
        <f t="shared" si="36"/>
        <v>0</v>
      </c>
      <c r="N34" s="399">
        <f t="shared" si="36"/>
        <v>0</v>
      </c>
      <c r="O34" s="399">
        <f t="shared" si="36"/>
        <v>0</v>
      </c>
      <c r="P34" s="404">
        <f t="shared" si="36"/>
        <v>0</v>
      </c>
      <c r="Q34" s="386">
        <f t="shared" si="36"/>
        <v>0</v>
      </c>
      <c r="R34" s="399">
        <f t="shared" si="36"/>
        <v>0</v>
      </c>
      <c r="S34" s="399">
        <f t="shared" si="36"/>
        <v>0</v>
      </c>
      <c r="T34" s="404">
        <f t="shared" si="36"/>
        <v>0</v>
      </c>
      <c r="U34" s="386">
        <f t="shared" si="36"/>
        <v>0</v>
      </c>
      <c r="V34" s="399">
        <f t="shared" si="36"/>
        <v>0</v>
      </c>
      <c r="W34" s="399">
        <f t="shared" si="36"/>
        <v>0</v>
      </c>
      <c r="X34" s="404">
        <f t="shared" si="36"/>
        <v>0</v>
      </c>
      <c r="Y34" s="386">
        <f t="shared" si="36"/>
        <v>0</v>
      </c>
      <c r="Z34" s="399">
        <f t="shared" si="36"/>
        <v>0</v>
      </c>
      <c r="AA34" s="399">
        <f t="shared" si="36"/>
        <v>0</v>
      </c>
      <c r="AB34" s="404">
        <f t="shared" si="36"/>
        <v>0</v>
      </c>
      <c r="AC34" s="386">
        <f t="shared" si="36"/>
        <v>0</v>
      </c>
      <c r="AD34" s="399">
        <f t="shared" si="36"/>
        <v>0</v>
      </c>
      <c r="AE34" s="399">
        <f t="shared" si="36"/>
        <v>0</v>
      </c>
      <c r="AF34" s="404">
        <f t="shared" si="36"/>
        <v>0</v>
      </c>
      <c r="AG34" s="386">
        <f t="shared" si="36"/>
        <v>0</v>
      </c>
      <c r="AH34" s="399">
        <f t="shared" si="36"/>
        <v>0</v>
      </c>
      <c r="AI34" s="399">
        <f t="shared" si="36"/>
        <v>0</v>
      </c>
      <c r="AJ34" s="404">
        <f t="shared" si="36"/>
        <v>0</v>
      </c>
      <c r="AK34" s="386">
        <f t="shared" si="36"/>
        <v>0</v>
      </c>
      <c r="AL34" s="399">
        <f t="shared" si="36"/>
        <v>0</v>
      </c>
      <c r="AM34" s="399">
        <f t="shared" si="36"/>
        <v>0</v>
      </c>
      <c r="AN34" s="404">
        <f t="shared" si="36"/>
        <v>0</v>
      </c>
      <c r="AO34" s="386">
        <f t="shared" si="36"/>
        <v>0</v>
      </c>
      <c r="AP34" s="399">
        <f t="shared" si="36"/>
        <v>0</v>
      </c>
      <c r="AQ34" s="399">
        <f t="shared" si="36"/>
        <v>0</v>
      </c>
      <c r="AR34" s="404">
        <f t="shared" si="36"/>
        <v>0</v>
      </c>
      <c r="AS34" s="386">
        <f t="shared" si="36"/>
        <v>0</v>
      </c>
      <c r="AT34" s="399">
        <f t="shared" si="36"/>
        <v>0</v>
      </c>
      <c r="AU34" s="399">
        <f t="shared" si="36"/>
        <v>0</v>
      </c>
      <c r="AV34" s="404">
        <f t="shared" si="36"/>
        <v>0</v>
      </c>
      <c r="AW34" s="473"/>
    </row>
    <row r="35" spans="1:49" s="424" customFormat="1" ht="13.5" customHeight="1" outlineLevel="1">
      <c r="A35" s="1944"/>
      <c r="B35" s="1949">
        <f>'8.项目规划指标表'!B9</f>
        <v>0</v>
      </c>
      <c r="C35" s="461" t="s">
        <v>880</v>
      </c>
      <c r="D35" s="457">
        <f>IFERROR(D38/D37*10000,0)</f>
        <v>0</v>
      </c>
      <c r="E35" s="458">
        <f>IFERROR(E38/E37*10000,0)</f>
        <v>0</v>
      </c>
      <c r="F35" s="459">
        <f t="shared" ref="F35:AV35" si="37">IFERROR(F38/F37*10000,0)</f>
        <v>0</v>
      </c>
      <c r="G35" s="459">
        <f t="shared" si="37"/>
        <v>0</v>
      </c>
      <c r="H35" s="460">
        <f t="shared" si="37"/>
        <v>0</v>
      </c>
      <c r="I35" s="458">
        <f t="shared" si="37"/>
        <v>0</v>
      </c>
      <c r="J35" s="459">
        <f t="shared" si="37"/>
        <v>0</v>
      </c>
      <c r="K35" s="459">
        <f t="shared" si="37"/>
        <v>0</v>
      </c>
      <c r="L35" s="460">
        <f t="shared" si="37"/>
        <v>0</v>
      </c>
      <c r="M35" s="458">
        <f t="shared" si="37"/>
        <v>0</v>
      </c>
      <c r="N35" s="459">
        <f t="shared" si="37"/>
        <v>0</v>
      </c>
      <c r="O35" s="459">
        <f t="shared" si="37"/>
        <v>0</v>
      </c>
      <c r="P35" s="460">
        <f t="shared" si="37"/>
        <v>0</v>
      </c>
      <c r="Q35" s="458">
        <f t="shared" si="37"/>
        <v>0</v>
      </c>
      <c r="R35" s="459">
        <f t="shared" si="37"/>
        <v>0</v>
      </c>
      <c r="S35" s="459">
        <f t="shared" si="37"/>
        <v>0</v>
      </c>
      <c r="T35" s="460">
        <f t="shared" si="37"/>
        <v>0</v>
      </c>
      <c r="U35" s="458">
        <f t="shared" si="37"/>
        <v>0</v>
      </c>
      <c r="V35" s="459">
        <f t="shared" si="37"/>
        <v>0</v>
      </c>
      <c r="W35" s="459">
        <f t="shared" si="37"/>
        <v>0</v>
      </c>
      <c r="X35" s="460">
        <f t="shared" si="37"/>
        <v>0</v>
      </c>
      <c r="Y35" s="458">
        <f t="shared" si="37"/>
        <v>0</v>
      </c>
      <c r="Z35" s="459">
        <f t="shared" si="37"/>
        <v>0</v>
      </c>
      <c r="AA35" s="459">
        <f t="shared" si="37"/>
        <v>0</v>
      </c>
      <c r="AB35" s="460">
        <f t="shared" si="37"/>
        <v>0</v>
      </c>
      <c r="AC35" s="458">
        <f t="shared" si="37"/>
        <v>0</v>
      </c>
      <c r="AD35" s="459">
        <f t="shared" si="37"/>
        <v>0</v>
      </c>
      <c r="AE35" s="459">
        <f t="shared" si="37"/>
        <v>0</v>
      </c>
      <c r="AF35" s="460">
        <f t="shared" si="37"/>
        <v>0</v>
      </c>
      <c r="AG35" s="458">
        <f t="shared" si="37"/>
        <v>0</v>
      </c>
      <c r="AH35" s="459">
        <f t="shared" si="37"/>
        <v>0</v>
      </c>
      <c r="AI35" s="459">
        <f t="shared" si="37"/>
        <v>0</v>
      </c>
      <c r="AJ35" s="460">
        <f t="shared" si="37"/>
        <v>0</v>
      </c>
      <c r="AK35" s="458">
        <f t="shared" si="37"/>
        <v>0</v>
      </c>
      <c r="AL35" s="459">
        <f t="shared" si="37"/>
        <v>0</v>
      </c>
      <c r="AM35" s="459">
        <f t="shared" si="37"/>
        <v>0</v>
      </c>
      <c r="AN35" s="460">
        <f t="shared" si="37"/>
        <v>0</v>
      </c>
      <c r="AO35" s="458">
        <f t="shared" si="37"/>
        <v>0</v>
      </c>
      <c r="AP35" s="459">
        <f t="shared" si="37"/>
        <v>0</v>
      </c>
      <c r="AQ35" s="459">
        <f t="shared" si="37"/>
        <v>0</v>
      </c>
      <c r="AR35" s="460">
        <f t="shared" si="37"/>
        <v>0</v>
      </c>
      <c r="AS35" s="458">
        <f t="shared" si="37"/>
        <v>0</v>
      </c>
      <c r="AT35" s="459">
        <f t="shared" si="37"/>
        <v>0</v>
      </c>
      <c r="AU35" s="459">
        <f t="shared" si="37"/>
        <v>0</v>
      </c>
      <c r="AV35" s="460">
        <f t="shared" si="37"/>
        <v>0</v>
      </c>
      <c r="AW35" s="473"/>
    </row>
    <row r="36" spans="1:49" ht="13.5" customHeight="1" outlineLevel="1">
      <c r="A36" s="1944"/>
      <c r="B36" s="1949"/>
      <c r="C36" s="461" t="s">
        <v>881</v>
      </c>
      <c r="D36" s="462">
        <f t="shared" ref="D36:D39" si="38">SUM(E36:AV36)</f>
        <v>0</v>
      </c>
      <c r="E36" s="463">
        <f t="shared" ref="E36:AV36" si="39">IFERROR(E37/$D37,0)</f>
        <v>0</v>
      </c>
      <c r="F36" s="464">
        <f t="shared" si="39"/>
        <v>0</v>
      </c>
      <c r="G36" s="464">
        <f t="shared" si="39"/>
        <v>0</v>
      </c>
      <c r="H36" s="465">
        <f t="shared" si="39"/>
        <v>0</v>
      </c>
      <c r="I36" s="463">
        <f t="shared" si="39"/>
        <v>0</v>
      </c>
      <c r="J36" s="464">
        <f t="shared" si="39"/>
        <v>0</v>
      </c>
      <c r="K36" s="464">
        <f t="shared" si="39"/>
        <v>0</v>
      </c>
      <c r="L36" s="465">
        <f t="shared" si="39"/>
        <v>0</v>
      </c>
      <c r="M36" s="463">
        <f t="shared" si="39"/>
        <v>0</v>
      </c>
      <c r="N36" s="464">
        <f t="shared" si="39"/>
        <v>0</v>
      </c>
      <c r="O36" s="464">
        <f t="shared" si="39"/>
        <v>0</v>
      </c>
      <c r="P36" s="465">
        <f t="shared" si="39"/>
        <v>0</v>
      </c>
      <c r="Q36" s="463">
        <f t="shared" si="39"/>
        <v>0</v>
      </c>
      <c r="R36" s="464">
        <f t="shared" si="39"/>
        <v>0</v>
      </c>
      <c r="S36" s="464">
        <f t="shared" si="39"/>
        <v>0</v>
      </c>
      <c r="T36" s="465">
        <f t="shared" si="39"/>
        <v>0</v>
      </c>
      <c r="U36" s="463">
        <f t="shared" si="39"/>
        <v>0</v>
      </c>
      <c r="V36" s="464">
        <f t="shared" si="39"/>
        <v>0</v>
      </c>
      <c r="W36" s="464">
        <f t="shared" si="39"/>
        <v>0</v>
      </c>
      <c r="X36" s="465">
        <f t="shared" si="39"/>
        <v>0</v>
      </c>
      <c r="Y36" s="463">
        <f t="shared" si="39"/>
        <v>0</v>
      </c>
      <c r="Z36" s="464">
        <f t="shared" si="39"/>
        <v>0</v>
      </c>
      <c r="AA36" s="464">
        <f t="shared" si="39"/>
        <v>0</v>
      </c>
      <c r="AB36" s="465">
        <f t="shared" si="39"/>
        <v>0</v>
      </c>
      <c r="AC36" s="463">
        <f t="shared" si="39"/>
        <v>0</v>
      </c>
      <c r="AD36" s="464">
        <f t="shared" si="39"/>
        <v>0</v>
      </c>
      <c r="AE36" s="464">
        <f t="shared" si="39"/>
        <v>0</v>
      </c>
      <c r="AF36" s="465">
        <f t="shared" si="39"/>
        <v>0</v>
      </c>
      <c r="AG36" s="463">
        <f t="shared" si="39"/>
        <v>0</v>
      </c>
      <c r="AH36" s="464">
        <f t="shared" si="39"/>
        <v>0</v>
      </c>
      <c r="AI36" s="464">
        <f t="shared" si="39"/>
        <v>0</v>
      </c>
      <c r="AJ36" s="465">
        <f t="shared" si="39"/>
        <v>0</v>
      </c>
      <c r="AK36" s="463">
        <f t="shared" si="39"/>
        <v>0</v>
      </c>
      <c r="AL36" s="464">
        <f t="shared" si="39"/>
        <v>0</v>
      </c>
      <c r="AM36" s="464">
        <f t="shared" si="39"/>
        <v>0</v>
      </c>
      <c r="AN36" s="465">
        <f t="shared" si="39"/>
        <v>0</v>
      </c>
      <c r="AO36" s="463">
        <f t="shared" si="39"/>
        <v>0</v>
      </c>
      <c r="AP36" s="464">
        <f t="shared" si="39"/>
        <v>0</v>
      </c>
      <c r="AQ36" s="464">
        <f t="shared" si="39"/>
        <v>0</v>
      </c>
      <c r="AR36" s="465">
        <f t="shared" si="39"/>
        <v>0</v>
      </c>
      <c r="AS36" s="463">
        <f t="shared" si="39"/>
        <v>0</v>
      </c>
      <c r="AT36" s="464">
        <f t="shared" si="39"/>
        <v>0</v>
      </c>
      <c r="AU36" s="464">
        <f t="shared" si="39"/>
        <v>0</v>
      </c>
      <c r="AV36" s="465">
        <f t="shared" si="39"/>
        <v>0</v>
      </c>
      <c r="AW36" s="78"/>
    </row>
    <row r="37" spans="1:49" s="424" customFormat="1" ht="13.5" customHeight="1" outlineLevel="1">
      <c r="A37" s="1944"/>
      <c r="B37" s="1949"/>
      <c r="C37" s="461" t="s">
        <v>682</v>
      </c>
      <c r="D37" s="466">
        <f t="shared" si="38"/>
        <v>0</v>
      </c>
      <c r="E37" s="382">
        <f t="shared" ref="E37:E39" si="40">SUM(E107,E177,E247,E317,E387,E457)</f>
        <v>0</v>
      </c>
      <c r="F37" s="397">
        <f t="shared" ref="F37:AV37" si="41">SUM(F107,F177,F247,F317,F387,F457)</f>
        <v>0</v>
      </c>
      <c r="G37" s="397">
        <f t="shared" si="41"/>
        <v>0</v>
      </c>
      <c r="H37" s="467">
        <f t="shared" si="41"/>
        <v>0</v>
      </c>
      <c r="I37" s="382">
        <f t="shared" si="41"/>
        <v>0</v>
      </c>
      <c r="J37" s="397">
        <f t="shared" si="41"/>
        <v>0</v>
      </c>
      <c r="K37" s="397">
        <f t="shared" si="41"/>
        <v>0</v>
      </c>
      <c r="L37" s="467">
        <f t="shared" si="41"/>
        <v>0</v>
      </c>
      <c r="M37" s="382">
        <f t="shared" si="41"/>
        <v>0</v>
      </c>
      <c r="N37" s="397">
        <f t="shared" si="41"/>
        <v>0</v>
      </c>
      <c r="O37" s="397">
        <f t="shared" si="41"/>
        <v>0</v>
      </c>
      <c r="P37" s="467">
        <f t="shared" si="41"/>
        <v>0</v>
      </c>
      <c r="Q37" s="382">
        <f t="shared" si="41"/>
        <v>0</v>
      </c>
      <c r="R37" s="397">
        <f t="shared" si="41"/>
        <v>0</v>
      </c>
      <c r="S37" s="397">
        <f t="shared" si="41"/>
        <v>0</v>
      </c>
      <c r="T37" s="467">
        <f t="shared" si="41"/>
        <v>0</v>
      </c>
      <c r="U37" s="382">
        <f t="shared" si="41"/>
        <v>0</v>
      </c>
      <c r="V37" s="397">
        <f t="shared" si="41"/>
        <v>0</v>
      </c>
      <c r="W37" s="397">
        <f t="shared" si="41"/>
        <v>0</v>
      </c>
      <c r="X37" s="467">
        <f t="shared" si="41"/>
        <v>0</v>
      </c>
      <c r="Y37" s="382">
        <f t="shared" si="41"/>
        <v>0</v>
      </c>
      <c r="Z37" s="397">
        <f t="shared" si="41"/>
        <v>0</v>
      </c>
      <c r="AA37" s="397">
        <f t="shared" si="41"/>
        <v>0</v>
      </c>
      <c r="AB37" s="467">
        <f t="shared" si="41"/>
        <v>0</v>
      </c>
      <c r="AC37" s="382">
        <f t="shared" si="41"/>
        <v>0</v>
      </c>
      <c r="AD37" s="397">
        <f t="shared" si="41"/>
        <v>0</v>
      </c>
      <c r="AE37" s="397">
        <f t="shared" si="41"/>
        <v>0</v>
      </c>
      <c r="AF37" s="467">
        <f t="shared" si="41"/>
        <v>0</v>
      </c>
      <c r="AG37" s="382">
        <f t="shared" si="41"/>
        <v>0</v>
      </c>
      <c r="AH37" s="397">
        <f t="shared" si="41"/>
        <v>0</v>
      </c>
      <c r="AI37" s="397">
        <f t="shared" si="41"/>
        <v>0</v>
      </c>
      <c r="AJ37" s="467">
        <f t="shared" si="41"/>
        <v>0</v>
      </c>
      <c r="AK37" s="382">
        <f t="shared" si="41"/>
        <v>0</v>
      </c>
      <c r="AL37" s="397">
        <f t="shared" si="41"/>
        <v>0</v>
      </c>
      <c r="AM37" s="397">
        <f t="shared" si="41"/>
        <v>0</v>
      </c>
      <c r="AN37" s="467">
        <f t="shared" si="41"/>
        <v>0</v>
      </c>
      <c r="AO37" s="382">
        <f t="shared" si="41"/>
        <v>0</v>
      </c>
      <c r="AP37" s="397">
        <f t="shared" si="41"/>
        <v>0</v>
      </c>
      <c r="AQ37" s="397">
        <f t="shared" si="41"/>
        <v>0</v>
      </c>
      <c r="AR37" s="467">
        <f t="shared" si="41"/>
        <v>0</v>
      </c>
      <c r="AS37" s="382">
        <f t="shared" si="41"/>
        <v>0</v>
      </c>
      <c r="AT37" s="397">
        <f t="shared" si="41"/>
        <v>0</v>
      </c>
      <c r="AU37" s="397">
        <f t="shared" si="41"/>
        <v>0</v>
      </c>
      <c r="AV37" s="467">
        <f t="shared" si="41"/>
        <v>0</v>
      </c>
      <c r="AW37" s="473"/>
    </row>
    <row r="38" spans="1:49" s="424" customFormat="1" ht="13.5" customHeight="1" outlineLevel="1">
      <c r="A38" s="1944"/>
      <c r="B38" s="1949"/>
      <c r="C38" s="461" t="s">
        <v>882</v>
      </c>
      <c r="D38" s="466">
        <f t="shared" si="38"/>
        <v>0</v>
      </c>
      <c r="E38" s="382">
        <f t="shared" si="40"/>
        <v>0</v>
      </c>
      <c r="F38" s="397">
        <f t="shared" ref="F38:AV38" si="42">SUM(F108,F178,F248,F318,F388,F458)</f>
        <v>0</v>
      </c>
      <c r="G38" s="397">
        <f t="shared" si="42"/>
        <v>0</v>
      </c>
      <c r="H38" s="467">
        <f t="shared" si="42"/>
        <v>0</v>
      </c>
      <c r="I38" s="382">
        <f t="shared" si="42"/>
        <v>0</v>
      </c>
      <c r="J38" s="397">
        <f t="shared" si="42"/>
        <v>0</v>
      </c>
      <c r="K38" s="397">
        <f t="shared" si="42"/>
        <v>0</v>
      </c>
      <c r="L38" s="467">
        <f t="shared" si="42"/>
        <v>0</v>
      </c>
      <c r="M38" s="382">
        <f t="shared" si="42"/>
        <v>0</v>
      </c>
      <c r="N38" s="397">
        <f t="shared" si="42"/>
        <v>0</v>
      </c>
      <c r="O38" s="397">
        <f t="shared" si="42"/>
        <v>0</v>
      </c>
      <c r="P38" s="467">
        <f t="shared" si="42"/>
        <v>0</v>
      </c>
      <c r="Q38" s="382">
        <f t="shared" si="42"/>
        <v>0</v>
      </c>
      <c r="R38" s="397">
        <f t="shared" si="42"/>
        <v>0</v>
      </c>
      <c r="S38" s="397">
        <f t="shared" si="42"/>
        <v>0</v>
      </c>
      <c r="T38" s="467">
        <f t="shared" si="42"/>
        <v>0</v>
      </c>
      <c r="U38" s="382">
        <f t="shared" si="42"/>
        <v>0</v>
      </c>
      <c r="V38" s="397">
        <f t="shared" si="42"/>
        <v>0</v>
      </c>
      <c r="W38" s="397">
        <f t="shared" si="42"/>
        <v>0</v>
      </c>
      <c r="X38" s="467">
        <f t="shared" si="42"/>
        <v>0</v>
      </c>
      <c r="Y38" s="382">
        <f t="shared" si="42"/>
        <v>0</v>
      </c>
      <c r="Z38" s="397">
        <f t="shared" si="42"/>
        <v>0</v>
      </c>
      <c r="AA38" s="397">
        <f t="shared" si="42"/>
        <v>0</v>
      </c>
      <c r="AB38" s="467">
        <f t="shared" si="42"/>
        <v>0</v>
      </c>
      <c r="AC38" s="382">
        <f t="shared" si="42"/>
        <v>0</v>
      </c>
      <c r="AD38" s="397">
        <f t="shared" si="42"/>
        <v>0</v>
      </c>
      <c r="AE38" s="397">
        <f t="shared" si="42"/>
        <v>0</v>
      </c>
      <c r="AF38" s="467">
        <f t="shared" si="42"/>
        <v>0</v>
      </c>
      <c r="AG38" s="382">
        <f t="shared" si="42"/>
        <v>0</v>
      </c>
      <c r="AH38" s="397">
        <f t="shared" si="42"/>
        <v>0</v>
      </c>
      <c r="AI38" s="397">
        <f t="shared" si="42"/>
        <v>0</v>
      </c>
      <c r="AJ38" s="467">
        <f t="shared" si="42"/>
        <v>0</v>
      </c>
      <c r="AK38" s="382">
        <f t="shared" si="42"/>
        <v>0</v>
      </c>
      <c r="AL38" s="397">
        <f t="shared" si="42"/>
        <v>0</v>
      </c>
      <c r="AM38" s="397">
        <f t="shared" si="42"/>
        <v>0</v>
      </c>
      <c r="AN38" s="467">
        <f t="shared" si="42"/>
        <v>0</v>
      </c>
      <c r="AO38" s="382">
        <f t="shared" si="42"/>
        <v>0</v>
      </c>
      <c r="AP38" s="397">
        <f t="shared" si="42"/>
        <v>0</v>
      </c>
      <c r="AQ38" s="397">
        <f t="shared" si="42"/>
        <v>0</v>
      </c>
      <c r="AR38" s="467">
        <f t="shared" si="42"/>
        <v>0</v>
      </c>
      <c r="AS38" s="382">
        <f t="shared" si="42"/>
        <v>0</v>
      </c>
      <c r="AT38" s="397">
        <f t="shared" si="42"/>
        <v>0</v>
      </c>
      <c r="AU38" s="397">
        <f t="shared" si="42"/>
        <v>0</v>
      </c>
      <c r="AV38" s="467">
        <f t="shared" si="42"/>
        <v>0</v>
      </c>
      <c r="AW38" s="473"/>
    </row>
    <row r="39" spans="1:49" s="424" customFormat="1" ht="13.5" customHeight="1" outlineLevel="1">
      <c r="A39" s="1944"/>
      <c r="B39" s="1949"/>
      <c r="C39" s="461" t="s">
        <v>450</v>
      </c>
      <c r="D39" s="468">
        <f t="shared" si="38"/>
        <v>0</v>
      </c>
      <c r="E39" s="386">
        <f t="shared" si="40"/>
        <v>0</v>
      </c>
      <c r="F39" s="399">
        <f t="shared" ref="F39:AV39" si="43">SUM(F109,F179,F249,F319,F389,F459)</f>
        <v>0</v>
      </c>
      <c r="G39" s="399">
        <f t="shared" si="43"/>
        <v>0</v>
      </c>
      <c r="H39" s="404">
        <f t="shared" si="43"/>
        <v>0</v>
      </c>
      <c r="I39" s="386">
        <f t="shared" si="43"/>
        <v>0</v>
      </c>
      <c r="J39" s="399">
        <f t="shared" si="43"/>
        <v>0</v>
      </c>
      <c r="K39" s="399">
        <f t="shared" si="43"/>
        <v>0</v>
      </c>
      <c r="L39" s="404">
        <f t="shared" si="43"/>
        <v>0</v>
      </c>
      <c r="M39" s="386">
        <f t="shared" si="43"/>
        <v>0</v>
      </c>
      <c r="N39" s="399">
        <f t="shared" si="43"/>
        <v>0</v>
      </c>
      <c r="O39" s="399">
        <f t="shared" si="43"/>
        <v>0</v>
      </c>
      <c r="P39" s="404">
        <f t="shared" si="43"/>
        <v>0</v>
      </c>
      <c r="Q39" s="386">
        <f t="shared" si="43"/>
        <v>0</v>
      </c>
      <c r="R39" s="399">
        <f t="shared" si="43"/>
        <v>0</v>
      </c>
      <c r="S39" s="399">
        <f t="shared" si="43"/>
        <v>0</v>
      </c>
      <c r="T39" s="404">
        <f t="shared" si="43"/>
        <v>0</v>
      </c>
      <c r="U39" s="386">
        <f t="shared" si="43"/>
        <v>0</v>
      </c>
      <c r="V39" s="399">
        <f t="shared" si="43"/>
        <v>0</v>
      </c>
      <c r="W39" s="399">
        <f t="shared" si="43"/>
        <v>0</v>
      </c>
      <c r="X39" s="404">
        <f t="shared" si="43"/>
        <v>0</v>
      </c>
      <c r="Y39" s="386">
        <f t="shared" si="43"/>
        <v>0</v>
      </c>
      <c r="Z39" s="399">
        <f t="shared" si="43"/>
        <v>0</v>
      </c>
      <c r="AA39" s="399">
        <f t="shared" si="43"/>
        <v>0</v>
      </c>
      <c r="AB39" s="404">
        <f t="shared" si="43"/>
        <v>0</v>
      </c>
      <c r="AC39" s="386">
        <f t="shared" si="43"/>
        <v>0</v>
      </c>
      <c r="AD39" s="399">
        <f t="shared" si="43"/>
        <v>0</v>
      </c>
      <c r="AE39" s="399">
        <f t="shared" si="43"/>
        <v>0</v>
      </c>
      <c r="AF39" s="404">
        <f t="shared" si="43"/>
        <v>0</v>
      </c>
      <c r="AG39" s="386">
        <f t="shared" si="43"/>
        <v>0</v>
      </c>
      <c r="AH39" s="399">
        <f t="shared" si="43"/>
        <v>0</v>
      </c>
      <c r="AI39" s="399">
        <f t="shared" si="43"/>
        <v>0</v>
      </c>
      <c r="AJ39" s="404">
        <f t="shared" si="43"/>
        <v>0</v>
      </c>
      <c r="AK39" s="386">
        <f t="shared" si="43"/>
        <v>0</v>
      </c>
      <c r="AL39" s="399">
        <f t="shared" si="43"/>
        <v>0</v>
      </c>
      <c r="AM39" s="399">
        <f t="shared" si="43"/>
        <v>0</v>
      </c>
      <c r="AN39" s="404">
        <f t="shared" si="43"/>
        <v>0</v>
      </c>
      <c r="AO39" s="386">
        <f t="shared" si="43"/>
        <v>0</v>
      </c>
      <c r="AP39" s="399">
        <f t="shared" si="43"/>
        <v>0</v>
      </c>
      <c r="AQ39" s="399">
        <f t="shared" si="43"/>
        <v>0</v>
      </c>
      <c r="AR39" s="404">
        <f t="shared" si="43"/>
        <v>0</v>
      </c>
      <c r="AS39" s="386">
        <f t="shared" si="43"/>
        <v>0</v>
      </c>
      <c r="AT39" s="399">
        <f t="shared" si="43"/>
        <v>0</v>
      </c>
      <c r="AU39" s="399">
        <f t="shared" si="43"/>
        <v>0</v>
      </c>
      <c r="AV39" s="404">
        <f t="shared" si="43"/>
        <v>0</v>
      </c>
      <c r="AW39" s="473"/>
    </row>
    <row r="40" spans="1:49" s="424" customFormat="1" ht="13.5" customHeight="1" outlineLevel="1">
      <c r="A40" s="1944"/>
      <c r="B40" s="1949">
        <f>'8.项目规划指标表'!B10</f>
        <v>0</v>
      </c>
      <c r="C40" s="461" t="s">
        <v>880</v>
      </c>
      <c r="D40" s="457">
        <f>IFERROR(D43/D42*10000,0)</f>
        <v>0</v>
      </c>
      <c r="E40" s="458">
        <f>IFERROR(E43/E42*10000,0)</f>
        <v>0</v>
      </c>
      <c r="F40" s="459">
        <f t="shared" ref="F40:AV40" si="44">IFERROR(F43/F42*10000,0)</f>
        <v>0</v>
      </c>
      <c r="G40" s="459">
        <f t="shared" si="44"/>
        <v>0</v>
      </c>
      <c r="H40" s="460">
        <f t="shared" si="44"/>
        <v>0</v>
      </c>
      <c r="I40" s="458">
        <f t="shared" si="44"/>
        <v>0</v>
      </c>
      <c r="J40" s="459">
        <f t="shared" si="44"/>
        <v>0</v>
      </c>
      <c r="K40" s="459">
        <f t="shared" si="44"/>
        <v>0</v>
      </c>
      <c r="L40" s="460">
        <f t="shared" si="44"/>
        <v>0</v>
      </c>
      <c r="M40" s="458">
        <f t="shared" si="44"/>
        <v>0</v>
      </c>
      <c r="N40" s="459">
        <f t="shared" si="44"/>
        <v>0</v>
      </c>
      <c r="O40" s="459">
        <f t="shared" si="44"/>
        <v>0</v>
      </c>
      <c r="P40" s="460">
        <f t="shared" si="44"/>
        <v>0</v>
      </c>
      <c r="Q40" s="458">
        <f t="shared" si="44"/>
        <v>0</v>
      </c>
      <c r="R40" s="459">
        <f t="shared" si="44"/>
        <v>0</v>
      </c>
      <c r="S40" s="459">
        <f t="shared" si="44"/>
        <v>0</v>
      </c>
      <c r="T40" s="460">
        <f t="shared" si="44"/>
        <v>0</v>
      </c>
      <c r="U40" s="458">
        <f t="shared" si="44"/>
        <v>0</v>
      </c>
      <c r="V40" s="459">
        <f t="shared" si="44"/>
        <v>0</v>
      </c>
      <c r="W40" s="459">
        <f t="shared" si="44"/>
        <v>0</v>
      </c>
      <c r="X40" s="460">
        <f t="shared" si="44"/>
        <v>0</v>
      </c>
      <c r="Y40" s="458">
        <f t="shared" si="44"/>
        <v>0</v>
      </c>
      <c r="Z40" s="459">
        <f t="shared" si="44"/>
        <v>0</v>
      </c>
      <c r="AA40" s="459">
        <f t="shared" si="44"/>
        <v>0</v>
      </c>
      <c r="AB40" s="460">
        <f t="shared" si="44"/>
        <v>0</v>
      </c>
      <c r="AC40" s="458">
        <f t="shared" si="44"/>
        <v>0</v>
      </c>
      <c r="AD40" s="459">
        <f t="shared" si="44"/>
        <v>0</v>
      </c>
      <c r="AE40" s="459">
        <f t="shared" si="44"/>
        <v>0</v>
      </c>
      <c r="AF40" s="460">
        <f t="shared" si="44"/>
        <v>0</v>
      </c>
      <c r="AG40" s="458">
        <f t="shared" si="44"/>
        <v>0</v>
      </c>
      <c r="AH40" s="459">
        <f t="shared" si="44"/>
        <v>0</v>
      </c>
      <c r="AI40" s="459">
        <f t="shared" si="44"/>
        <v>0</v>
      </c>
      <c r="AJ40" s="460">
        <f t="shared" si="44"/>
        <v>0</v>
      </c>
      <c r="AK40" s="458">
        <f t="shared" si="44"/>
        <v>0</v>
      </c>
      <c r="AL40" s="459">
        <f t="shared" si="44"/>
        <v>0</v>
      </c>
      <c r="AM40" s="459">
        <f t="shared" si="44"/>
        <v>0</v>
      </c>
      <c r="AN40" s="460">
        <f t="shared" si="44"/>
        <v>0</v>
      </c>
      <c r="AO40" s="458">
        <f t="shared" si="44"/>
        <v>0</v>
      </c>
      <c r="AP40" s="459">
        <f t="shared" si="44"/>
        <v>0</v>
      </c>
      <c r="AQ40" s="459">
        <f t="shared" si="44"/>
        <v>0</v>
      </c>
      <c r="AR40" s="460">
        <f t="shared" si="44"/>
        <v>0</v>
      </c>
      <c r="AS40" s="458">
        <f t="shared" si="44"/>
        <v>0</v>
      </c>
      <c r="AT40" s="459">
        <f t="shared" si="44"/>
        <v>0</v>
      </c>
      <c r="AU40" s="459">
        <f t="shared" si="44"/>
        <v>0</v>
      </c>
      <c r="AV40" s="460">
        <f t="shared" si="44"/>
        <v>0</v>
      </c>
      <c r="AW40" s="473"/>
    </row>
    <row r="41" spans="1:49" ht="13.5" customHeight="1" outlineLevel="1">
      <c r="A41" s="1944"/>
      <c r="B41" s="1949"/>
      <c r="C41" s="461" t="s">
        <v>881</v>
      </c>
      <c r="D41" s="462">
        <f t="shared" ref="D41:D44" si="45">SUM(E41:AV41)</f>
        <v>0</v>
      </c>
      <c r="E41" s="463">
        <f t="shared" ref="E41:AV41" si="46">IFERROR(E42/$D42,0)</f>
        <v>0</v>
      </c>
      <c r="F41" s="464">
        <f t="shared" si="46"/>
        <v>0</v>
      </c>
      <c r="G41" s="464">
        <f t="shared" si="46"/>
        <v>0</v>
      </c>
      <c r="H41" s="465">
        <f t="shared" si="46"/>
        <v>0</v>
      </c>
      <c r="I41" s="463">
        <f t="shared" si="46"/>
        <v>0</v>
      </c>
      <c r="J41" s="464">
        <f t="shared" si="46"/>
        <v>0</v>
      </c>
      <c r="K41" s="464">
        <f t="shared" si="46"/>
        <v>0</v>
      </c>
      <c r="L41" s="465">
        <f t="shared" si="46"/>
        <v>0</v>
      </c>
      <c r="M41" s="463">
        <f t="shared" si="46"/>
        <v>0</v>
      </c>
      <c r="N41" s="464">
        <f t="shared" si="46"/>
        <v>0</v>
      </c>
      <c r="O41" s="464">
        <f t="shared" si="46"/>
        <v>0</v>
      </c>
      <c r="P41" s="465">
        <f t="shared" si="46"/>
        <v>0</v>
      </c>
      <c r="Q41" s="463">
        <f t="shared" si="46"/>
        <v>0</v>
      </c>
      <c r="R41" s="464">
        <f t="shared" si="46"/>
        <v>0</v>
      </c>
      <c r="S41" s="464">
        <f t="shared" si="46"/>
        <v>0</v>
      </c>
      <c r="T41" s="465">
        <f t="shared" si="46"/>
        <v>0</v>
      </c>
      <c r="U41" s="463">
        <f t="shared" si="46"/>
        <v>0</v>
      </c>
      <c r="V41" s="464">
        <f t="shared" si="46"/>
        <v>0</v>
      </c>
      <c r="W41" s="464">
        <f t="shared" si="46"/>
        <v>0</v>
      </c>
      <c r="X41" s="465">
        <f t="shared" si="46"/>
        <v>0</v>
      </c>
      <c r="Y41" s="463">
        <f t="shared" si="46"/>
        <v>0</v>
      </c>
      <c r="Z41" s="464">
        <f t="shared" si="46"/>
        <v>0</v>
      </c>
      <c r="AA41" s="464">
        <f t="shared" si="46"/>
        <v>0</v>
      </c>
      <c r="AB41" s="465">
        <f t="shared" si="46"/>
        <v>0</v>
      </c>
      <c r="AC41" s="463">
        <f t="shared" si="46"/>
        <v>0</v>
      </c>
      <c r="AD41" s="464">
        <f t="shared" si="46"/>
        <v>0</v>
      </c>
      <c r="AE41" s="464">
        <f t="shared" si="46"/>
        <v>0</v>
      </c>
      <c r="AF41" s="465">
        <f t="shared" si="46"/>
        <v>0</v>
      </c>
      <c r="AG41" s="463">
        <f t="shared" si="46"/>
        <v>0</v>
      </c>
      <c r="AH41" s="464">
        <f t="shared" si="46"/>
        <v>0</v>
      </c>
      <c r="AI41" s="464">
        <f t="shared" si="46"/>
        <v>0</v>
      </c>
      <c r="AJ41" s="465">
        <f t="shared" si="46"/>
        <v>0</v>
      </c>
      <c r="AK41" s="463">
        <f t="shared" si="46"/>
        <v>0</v>
      </c>
      <c r="AL41" s="464">
        <f t="shared" si="46"/>
        <v>0</v>
      </c>
      <c r="AM41" s="464">
        <f t="shared" si="46"/>
        <v>0</v>
      </c>
      <c r="AN41" s="465">
        <f t="shared" si="46"/>
        <v>0</v>
      </c>
      <c r="AO41" s="463">
        <f t="shared" si="46"/>
        <v>0</v>
      </c>
      <c r="AP41" s="464">
        <f t="shared" si="46"/>
        <v>0</v>
      </c>
      <c r="AQ41" s="464">
        <f t="shared" si="46"/>
        <v>0</v>
      </c>
      <c r="AR41" s="465">
        <f t="shared" si="46"/>
        <v>0</v>
      </c>
      <c r="AS41" s="463">
        <f t="shared" si="46"/>
        <v>0</v>
      </c>
      <c r="AT41" s="464">
        <f t="shared" si="46"/>
        <v>0</v>
      </c>
      <c r="AU41" s="464">
        <f t="shared" si="46"/>
        <v>0</v>
      </c>
      <c r="AV41" s="465">
        <f t="shared" si="46"/>
        <v>0</v>
      </c>
      <c r="AW41" s="78"/>
    </row>
    <row r="42" spans="1:49" s="424" customFormat="1" ht="13.5" customHeight="1" outlineLevel="1">
      <c r="A42" s="1944"/>
      <c r="B42" s="1949"/>
      <c r="C42" s="461" t="s">
        <v>682</v>
      </c>
      <c r="D42" s="466">
        <f t="shared" si="45"/>
        <v>0</v>
      </c>
      <c r="E42" s="382">
        <f t="shared" ref="E42:E44" si="47">SUM(E112,E182,E252,E322,E392,E462)</f>
        <v>0</v>
      </c>
      <c r="F42" s="397">
        <f t="shared" ref="F42:AV42" si="48">SUM(F112,F182,F252,F322,F392,F462)</f>
        <v>0</v>
      </c>
      <c r="G42" s="397">
        <f t="shared" si="48"/>
        <v>0</v>
      </c>
      <c r="H42" s="467">
        <f t="shared" si="48"/>
        <v>0</v>
      </c>
      <c r="I42" s="382">
        <f t="shared" si="48"/>
        <v>0</v>
      </c>
      <c r="J42" s="397">
        <f t="shared" si="48"/>
        <v>0</v>
      </c>
      <c r="K42" s="397">
        <f t="shared" si="48"/>
        <v>0</v>
      </c>
      <c r="L42" s="467">
        <f t="shared" si="48"/>
        <v>0</v>
      </c>
      <c r="M42" s="382">
        <f t="shared" si="48"/>
        <v>0</v>
      </c>
      <c r="N42" s="397">
        <f t="shared" si="48"/>
        <v>0</v>
      </c>
      <c r="O42" s="397">
        <f t="shared" si="48"/>
        <v>0</v>
      </c>
      <c r="P42" s="467">
        <f t="shared" si="48"/>
        <v>0</v>
      </c>
      <c r="Q42" s="382">
        <f t="shared" si="48"/>
        <v>0</v>
      </c>
      <c r="R42" s="397">
        <f t="shared" si="48"/>
        <v>0</v>
      </c>
      <c r="S42" s="397">
        <f t="shared" si="48"/>
        <v>0</v>
      </c>
      <c r="T42" s="467">
        <f t="shared" si="48"/>
        <v>0</v>
      </c>
      <c r="U42" s="382">
        <f t="shared" si="48"/>
        <v>0</v>
      </c>
      <c r="V42" s="397">
        <f t="shared" si="48"/>
        <v>0</v>
      </c>
      <c r="W42" s="397">
        <f t="shared" si="48"/>
        <v>0</v>
      </c>
      <c r="X42" s="467">
        <f t="shared" si="48"/>
        <v>0</v>
      </c>
      <c r="Y42" s="382">
        <f t="shared" si="48"/>
        <v>0</v>
      </c>
      <c r="Z42" s="397">
        <f t="shared" si="48"/>
        <v>0</v>
      </c>
      <c r="AA42" s="397">
        <f t="shared" si="48"/>
        <v>0</v>
      </c>
      <c r="AB42" s="467">
        <f t="shared" si="48"/>
        <v>0</v>
      </c>
      <c r="AC42" s="382">
        <f t="shared" si="48"/>
        <v>0</v>
      </c>
      <c r="AD42" s="397">
        <f t="shared" si="48"/>
        <v>0</v>
      </c>
      <c r="AE42" s="397">
        <f t="shared" si="48"/>
        <v>0</v>
      </c>
      <c r="AF42" s="467">
        <f t="shared" si="48"/>
        <v>0</v>
      </c>
      <c r="AG42" s="382">
        <f t="shared" si="48"/>
        <v>0</v>
      </c>
      <c r="AH42" s="397">
        <f t="shared" si="48"/>
        <v>0</v>
      </c>
      <c r="AI42" s="397">
        <f t="shared" si="48"/>
        <v>0</v>
      </c>
      <c r="AJ42" s="467">
        <f t="shared" si="48"/>
        <v>0</v>
      </c>
      <c r="AK42" s="382">
        <f t="shared" si="48"/>
        <v>0</v>
      </c>
      <c r="AL42" s="397">
        <f t="shared" si="48"/>
        <v>0</v>
      </c>
      <c r="AM42" s="397">
        <f t="shared" si="48"/>
        <v>0</v>
      </c>
      <c r="AN42" s="467">
        <f t="shared" si="48"/>
        <v>0</v>
      </c>
      <c r="AO42" s="382">
        <f t="shared" si="48"/>
        <v>0</v>
      </c>
      <c r="AP42" s="397">
        <f t="shared" si="48"/>
        <v>0</v>
      </c>
      <c r="AQ42" s="397">
        <f t="shared" si="48"/>
        <v>0</v>
      </c>
      <c r="AR42" s="467">
        <f t="shared" si="48"/>
        <v>0</v>
      </c>
      <c r="AS42" s="382">
        <f t="shared" si="48"/>
        <v>0</v>
      </c>
      <c r="AT42" s="397">
        <f t="shared" si="48"/>
        <v>0</v>
      </c>
      <c r="AU42" s="397">
        <f t="shared" si="48"/>
        <v>0</v>
      </c>
      <c r="AV42" s="467">
        <f t="shared" si="48"/>
        <v>0</v>
      </c>
      <c r="AW42" s="473"/>
    </row>
    <row r="43" spans="1:49" s="424" customFormat="1" ht="13.5" customHeight="1" outlineLevel="1">
      <c r="A43" s="1944"/>
      <c r="B43" s="1949"/>
      <c r="C43" s="461" t="s">
        <v>882</v>
      </c>
      <c r="D43" s="466">
        <f t="shared" si="45"/>
        <v>0</v>
      </c>
      <c r="E43" s="382">
        <f t="shared" si="47"/>
        <v>0</v>
      </c>
      <c r="F43" s="397">
        <f t="shared" ref="F43:AV43" si="49">SUM(F113,F183,F253,F323,F393,F463)</f>
        <v>0</v>
      </c>
      <c r="G43" s="397">
        <f t="shared" si="49"/>
        <v>0</v>
      </c>
      <c r="H43" s="467">
        <f t="shared" si="49"/>
        <v>0</v>
      </c>
      <c r="I43" s="382">
        <f t="shared" si="49"/>
        <v>0</v>
      </c>
      <c r="J43" s="397">
        <f t="shared" si="49"/>
        <v>0</v>
      </c>
      <c r="K43" s="397">
        <f t="shared" si="49"/>
        <v>0</v>
      </c>
      <c r="L43" s="467">
        <f t="shared" si="49"/>
        <v>0</v>
      </c>
      <c r="M43" s="382">
        <f t="shared" si="49"/>
        <v>0</v>
      </c>
      <c r="N43" s="397">
        <f t="shared" si="49"/>
        <v>0</v>
      </c>
      <c r="O43" s="397">
        <f t="shared" si="49"/>
        <v>0</v>
      </c>
      <c r="P43" s="467">
        <f t="shared" si="49"/>
        <v>0</v>
      </c>
      <c r="Q43" s="382">
        <f t="shared" si="49"/>
        <v>0</v>
      </c>
      <c r="R43" s="397">
        <f t="shared" si="49"/>
        <v>0</v>
      </c>
      <c r="S43" s="397">
        <f t="shared" si="49"/>
        <v>0</v>
      </c>
      <c r="T43" s="467">
        <f t="shared" si="49"/>
        <v>0</v>
      </c>
      <c r="U43" s="382">
        <f t="shared" si="49"/>
        <v>0</v>
      </c>
      <c r="V43" s="397">
        <f t="shared" si="49"/>
        <v>0</v>
      </c>
      <c r="W43" s="397">
        <f t="shared" si="49"/>
        <v>0</v>
      </c>
      <c r="X43" s="467">
        <f t="shared" si="49"/>
        <v>0</v>
      </c>
      <c r="Y43" s="382">
        <f t="shared" si="49"/>
        <v>0</v>
      </c>
      <c r="Z43" s="397">
        <f t="shared" si="49"/>
        <v>0</v>
      </c>
      <c r="AA43" s="397">
        <f t="shared" si="49"/>
        <v>0</v>
      </c>
      <c r="AB43" s="467">
        <f t="shared" si="49"/>
        <v>0</v>
      </c>
      <c r="AC43" s="382">
        <f t="shared" si="49"/>
        <v>0</v>
      </c>
      <c r="AD43" s="397">
        <f t="shared" si="49"/>
        <v>0</v>
      </c>
      <c r="AE43" s="397">
        <f t="shared" si="49"/>
        <v>0</v>
      </c>
      <c r="AF43" s="467">
        <f t="shared" si="49"/>
        <v>0</v>
      </c>
      <c r="AG43" s="382">
        <f t="shared" si="49"/>
        <v>0</v>
      </c>
      <c r="AH43" s="397">
        <f t="shared" si="49"/>
        <v>0</v>
      </c>
      <c r="AI43" s="397">
        <f t="shared" si="49"/>
        <v>0</v>
      </c>
      <c r="AJ43" s="467">
        <f t="shared" si="49"/>
        <v>0</v>
      </c>
      <c r="AK43" s="382">
        <f t="shared" si="49"/>
        <v>0</v>
      </c>
      <c r="AL43" s="397">
        <f t="shared" si="49"/>
        <v>0</v>
      </c>
      <c r="AM43" s="397">
        <f t="shared" si="49"/>
        <v>0</v>
      </c>
      <c r="AN43" s="467">
        <f t="shared" si="49"/>
        <v>0</v>
      </c>
      <c r="AO43" s="382">
        <f t="shared" si="49"/>
        <v>0</v>
      </c>
      <c r="AP43" s="397">
        <f t="shared" si="49"/>
        <v>0</v>
      </c>
      <c r="AQ43" s="397">
        <f t="shared" si="49"/>
        <v>0</v>
      </c>
      <c r="AR43" s="467">
        <f t="shared" si="49"/>
        <v>0</v>
      </c>
      <c r="AS43" s="382">
        <f t="shared" si="49"/>
        <v>0</v>
      </c>
      <c r="AT43" s="397">
        <f t="shared" si="49"/>
        <v>0</v>
      </c>
      <c r="AU43" s="397">
        <f t="shared" si="49"/>
        <v>0</v>
      </c>
      <c r="AV43" s="467">
        <f t="shared" si="49"/>
        <v>0</v>
      </c>
      <c r="AW43" s="473"/>
    </row>
    <row r="44" spans="1:49" s="424" customFormat="1" ht="13.5" customHeight="1" outlineLevel="1">
      <c r="A44" s="1944"/>
      <c r="B44" s="1949"/>
      <c r="C44" s="461" t="s">
        <v>450</v>
      </c>
      <c r="D44" s="468">
        <f t="shared" si="45"/>
        <v>0</v>
      </c>
      <c r="E44" s="386">
        <f t="shared" si="47"/>
        <v>0</v>
      </c>
      <c r="F44" s="399">
        <f t="shared" ref="F44:AV44" si="50">SUM(F114,F184,F254,F324,F394,F464)</f>
        <v>0</v>
      </c>
      <c r="G44" s="399">
        <f t="shared" si="50"/>
        <v>0</v>
      </c>
      <c r="H44" s="404">
        <f t="shared" si="50"/>
        <v>0</v>
      </c>
      <c r="I44" s="386">
        <f t="shared" si="50"/>
        <v>0</v>
      </c>
      <c r="J44" s="399">
        <f t="shared" si="50"/>
        <v>0</v>
      </c>
      <c r="K44" s="399">
        <f t="shared" si="50"/>
        <v>0</v>
      </c>
      <c r="L44" s="404">
        <f t="shared" si="50"/>
        <v>0</v>
      </c>
      <c r="M44" s="386">
        <f t="shared" si="50"/>
        <v>0</v>
      </c>
      <c r="N44" s="399">
        <f t="shared" si="50"/>
        <v>0</v>
      </c>
      <c r="O44" s="399">
        <f t="shared" si="50"/>
        <v>0</v>
      </c>
      <c r="P44" s="404">
        <f t="shared" si="50"/>
        <v>0</v>
      </c>
      <c r="Q44" s="386">
        <f t="shared" si="50"/>
        <v>0</v>
      </c>
      <c r="R44" s="399">
        <f t="shared" si="50"/>
        <v>0</v>
      </c>
      <c r="S44" s="399">
        <f t="shared" si="50"/>
        <v>0</v>
      </c>
      <c r="T44" s="404">
        <f t="shared" si="50"/>
        <v>0</v>
      </c>
      <c r="U44" s="386">
        <f t="shared" si="50"/>
        <v>0</v>
      </c>
      <c r="V44" s="399">
        <f t="shared" si="50"/>
        <v>0</v>
      </c>
      <c r="W44" s="399">
        <f t="shared" si="50"/>
        <v>0</v>
      </c>
      <c r="X44" s="404">
        <f t="shared" si="50"/>
        <v>0</v>
      </c>
      <c r="Y44" s="386">
        <f t="shared" si="50"/>
        <v>0</v>
      </c>
      <c r="Z44" s="399">
        <f t="shared" si="50"/>
        <v>0</v>
      </c>
      <c r="AA44" s="399">
        <f t="shared" si="50"/>
        <v>0</v>
      </c>
      <c r="AB44" s="404">
        <f t="shared" si="50"/>
        <v>0</v>
      </c>
      <c r="AC44" s="386">
        <f t="shared" si="50"/>
        <v>0</v>
      </c>
      <c r="AD44" s="399">
        <f t="shared" si="50"/>
        <v>0</v>
      </c>
      <c r="AE44" s="399">
        <f t="shared" si="50"/>
        <v>0</v>
      </c>
      <c r="AF44" s="404">
        <f t="shared" si="50"/>
        <v>0</v>
      </c>
      <c r="AG44" s="386">
        <f t="shared" si="50"/>
        <v>0</v>
      </c>
      <c r="AH44" s="399">
        <f t="shared" si="50"/>
        <v>0</v>
      </c>
      <c r="AI44" s="399">
        <f t="shared" si="50"/>
        <v>0</v>
      </c>
      <c r="AJ44" s="404">
        <f t="shared" si="50"/>
        <v>0</v>
      </c>
      <c r="AK44" s="386">
        <f t="shared" si="50"/>
        <v>0</v>
      </c>
      <c r="AL44" s="399">
        <f t="shared" si="50"/>
        <v>0</v>
      </c>
      <c r="AM44" s="399">
        <f t="shared" si="50"/>
        <v>0</v>
      </c>
      <c r="AN44" s="404">
        <f t="shared" si="50"/>
        <v>0</v>
      </c>
      <c r="AO44" s="386">
        <f t="shared" si="50"/>
        <v>0</v>
      </c>
      <c r="AP44" s="399">
        <f t="shared" si="50"/>
        <v>0</v>
      </c>
      <c r="AQ44" s="399">
        <f t="shared" si="50"/>
        <v>0</v>
      </c>
      <c r="AR44" s="404">
        <f t="shared" si="50"/>
        <v>0</v>
      </c>
      <c r="AS44" s="386">
        <f t="shared" si="50"/>
        <v>0</v>
      </c>
      <c r="AT44" s="399">
        <f t="shared" si="50"/>
        <v>0</v>
      </c>
      <c r="AU44" s="399">
        <f t="shared" si="50"/>
        <v>0</v>
      </c>
      <c r="AV44" s="404">
        <f t="shared" si="50"/>
        <v>0</v>
      </c>
      <c r="AW44" s="473"/>
    </row>
    <row r="45" spans="1:49" s="424" customFormat="1" ht="13.5" customHeight="1" outlineLevel="1">
      <c r="A45" s="1944"/>
      <c r="B45" s="1949">
        <f>'8.项目规划指标表'!B11</f>
        <v>0</v>
      </c>
      <c r="C45" s="461" t="s">
        <v>880</v>
      </c>
      <c r="D45" s="457">
        <f>IFERROR(D48/D47*10000,0)</f>
        <v>0</v>
      </c>
      <c r="E45" s="458">
        <f>IFERROR(E48/E47*10000,0)</f>
        <v>0</v>
      </c>
      <c r="F45" s="459">
        <f t="shared" ref="F45:AV45" si="51">IFERROR(F48/F47*10000,0)</f>
        <v>0</v>
      </c>
      <c r="G45" s="459">
        <f t="shared" si="51"/>
        <v>0</v>
      </c>
      <c r="H45" s="460">
        <f t="shared" si="51"/>
        <v>0</v>
      </c>
      <c r="I45" s="458">
        <f t="shared" si="51"/>
        <v>0</v>
      </c>
      <c r="J45" s="459">
        <f t="shared" si="51"/>
        <v>0</v>
      </c>
      <c r="K45" s="459">
        <f t="shared" si="51"/>
        <v>0</v>
      </c>
      <c r="L45" s="460">
        <f t="shared" si="51"/>
        <v>0</v>
      </c>
      <c r="M45" s="458">
        <f t="shared" si="51"/>
        <v>0</v>
      </c>
      <c r="N45" s="459">
        <f t="shared" si="51"/>
        <v>0</v>
      </c>
      <c r="O45" s="459">
        <f t="shared" si="51"/>
        <v>0</v>
      </c>
      <c r="P45" s="460">
        <f t="shared" si="51"/>
        <v>0</v>
      </c>
      <c r="Q45" s="458">
        <f t="shared" si="51"/>
        <v>0</v>
      </c>
      <c r="R45" s="459">
        <f t="shared" si="51"/>
        <v>0</v>
      </c>
      <c r="S45" s="459">
        <f t="shared" si="51"/>
        <v>0</v>
      </c>
      <c r="T45" s="460">
        <f t="shared" si="51"/>
        <v>0</v>
      </c>
      <c r="U45" s="458">
        <f t="shared" si="51"/>
        <v>0</v>
      </c>
      <c r="V45" s="459">
        <f t="shared" si="51"/>
        <v>0</v>
      </c>
      <c r="W45" s="459">
        <f t="shared" si="51"/>
        <v>0</v>
      </c>
      <c r="X45" s="460">
        <f t="shared" si="51"/>
        <v>0</v>
      </c>
      <c r="Y45" s="458">
        <f t="shared" si="51"/>
        <v>0</v>
      </c>
      <c r="Z45" s="459">
        <f t="shared" si="51"/>
        <v>0</v>
      </c>
      <c r="AA45" s="459">
        <f t="shared" si="51"/>
        <v>0</v>
      </c>
      <c r="AB45" s="460">
        <f t="shared" si="51"/>
        <v>0</v>
      </c>
      <c r="AC45" s="458">
        <f t="shared" si="51"/>
        <v>0</v>
      </c>
      <c r="AD45" s="459">
        <f t="shared" si="51"/>
        <v>0</v>
      </c>
      <c r="AE45" s="459">
        <f t="shared" si="51"/>
        <v>0</v>
      </c>
      <c r="AF45" s="460">
        <f t="shared" si="51"/>
        <v>0</v>
      </c>
      <c r="AG45" s="458">
        <f t="shared" si="51"/>
        <v>0</v>
      </c>
      <c r="AH45" s="459">
        <f t="shared" si="51"/>
        <v>0</v>
      </c>
      <c r="AI45" s="459">
        <f t="shared" si="51"/>
        <v>0</v>
      </c>
      <c r="AJ45" s="460">
        <f t="shared" si="51"/>
        <v>0</v>
      </c>
      <c r="AK45" s="458">
        <f t="shared" si="51"/>
        <v>0</v>
      </c>
      <c r="AL45" s="459">
        <f t="shared" si="51"/>
        <v>0</v>
      </c>
      <c r="AM45" s="459">
        <f t="shared" si="51"/>
        <v>0</v>
      </c>
      <c r="AN45" s="460">
        <f t="shared" si="51"/>
        <v>0</v>
      </c>
      <c r="AO45" s="458">
        <f t="shared" si="51"/>
        <v>0</v>
      </c>
      <c r="AP45" s="459">
        <f t="shared" si="51"/>
        <v>0</v>
      </c>
      <c r="AQ45" s="459">
        <f t="shared" si="51"/>
        <v>0</v>
      </c>
      <c r="AR45" s="460">
        <f t="shared" si="51"/>
        <v>0</v>
      </c>
      <c r="AS45" s="458">
        <f t="shared" si="51"/>
        <v>0</v>
      </c>
      <c r="AT45" s="459">
        <f t="shared" si="51"/>
        <v>0</v>
      </c>
      <c r="AU45" s="459">
        <f t="shared" si="51"/>
        <v>0</v>
      </c>
      <c r="AV45" s="460">
        <f t="shared" si="51"/>
        <v>0</v>
      </c>
      <c r="AW45" s="473"/>
    </row>
    <row r="46" spans="1:49" ht="13.5" customHeight="1" outlineLevel="1">
      <c r="A46" s="1944"/>
      <c r="B46" s="1949"/>
      <c r="C46" s="461" t="s">
        <v>881</v>
      </c>
      <c r="D46" s="462">
        <f t="shared" ref="D46:D49" si="52">SUM(E46:AV46)</f>
        <v>0</v>
      </c>
      <c r="E46" s="463">
        <f t="shared" ref="E46:AV46" si="53">IFERROR(E47/$D47,0)</f>
        <v>0</v>
      </c>
      <c r="F46" s="464">
        <f t="shared" si="53"/>
        <v>0</v>
      </c>
      <c r="G46" s="464">
        <f t="shared" si="53"/>
        <v>0</v>
      </c>
      <c r="H46" s="465">
        <f t="shared" si="53"/>
        <v>0</v>
      </c>
      <c r="I46" s="463">
        <f t="shared" si="53"/>
        <v>0</v>
      </c>
      <c r="J46" s="464">
        <f t="shared" si="53"/>
        <v>0</v>
      </c>
      <c r="K46" s="464">
        <f t="shared" si="53"/>
        <v>0</v>
      </c>
      <c r="L46" s="465">
        <f t="shared" si="53"/>
        <v>0</v>
      </c>
      <c r="M46" s="463">
        <f t="shared" si="53"/>
        <v>0</v>
      </c>
      <c r="N46" s="464">
        <f t="shared" si="53"/>
        <v>0</v>
      </c>
      <c r="O46" s="464">
        <f t="shared" si="53"/>
        <v>0</v>
      </c>
      <c r="P46" s="465">
        <f t="shared" si="53"/>
        <v>0</v>
      </c>
      <c r="Q46" s="463">
        <f t="shared" si="53"/>
        <v>0</v>
      </c>
      <c r="R46" s="464">
        <f t="shared" si="53"/>
        <v>0</v>
      </c>
      <c r="S46" s="464">
        <f t="shared" si="53"/>
        <v>0</v>
      </c>
      <c r="T46" s="465">
        <f t="shared" si="53"/>
        <v>0</v>
      </c>
      <c r="U46" s="463">
        <f t="shared" si="53"/>
        <v>0</v>
      </c>
      <c r="V46" s="464">
        <f t="shared" si="53"/>
        <v>0</v>
      </c>
      <c r="W46" s="464">
        <f t="shared" si="53"/>
        <v>0</v>
      </c>
      <c r="X46" s="465">
        <f t="shared" si="53"/>
        <v>0</v>
      </c>
      <c r="Y46" s="463">
        <f t="shared" si="53"/>
        <v>0</v>
      </c>
      <c r="Z46" s="464">
        <f t="shared" si="53"/>
        <v>0</v>
      </c>
      <c r="AA46" s="464">
        <f t="shared" si="53"/>
        <v>0</v>
      </c>
      <c r="AB46" s="465">
        <f t="shared" si="53"/>
        <v>0</v>
      </c>
      <c r="AC46" s="463">
        <f t="shared" si="53"/>
        <v>0</v>
      </c>
      <c r="AD46" s="464">
        <f t="shared" si="53"/>
        <v>0</v>
      </c>
      <c r="AE46" s="464">
        <f t="shared" si="53"/>
        <v>0</v>
      </c>
      <c r="AF46" s="465">
        <f t="shared" si="53"/>
        <v>0</v>
      </c>
      <c r="AG46" s="463">
        <f t="shared" si="53"/>
        <v>0</v>
      </c>
      <c r="AH46" s="464">
        <f t="shared" si="53"/>
        <v>0</v>
      </c>
      <c r="AI46" s="464">
        <f t="shared" si="53"/>
        <v>0</v>
      </c>
      <c r="AJ46" s="465">
        <f t="shared" si="53"/>
        <v>0</v>
      </c>
      <c r="AK46" s="463">
        <f t="shared" si="53"/>
        <v>0</v>
      </c>
      <c r="AL46" s="464">
        <f t="shared" si="53"/>
        <v>0</v>
      </c>
      <c r="AM46" s="464">
        <f t="shared" si="53"/>
        <v>0</v>
      </c>
      <c r="AN46" s="465">
        <f t="shared" si="53"/>
        <v>0</v>
      </c>
      <c r="AO46" s="463">
        <f t="shared" si="53"/>
        <v>0</v>
      </c>
      <c r="AP46" s="464">
        <f t="shared" si="53"/>
        <v>0</v>
      </c>
      <c r="AQ46" s="464">
        <f t="shared" si="53"/>
        <v>0</v>
      </c>
      <c r="AR46" s="465">
        <f t="shared" si="53"/>
        <v>0</v>
      </c>
      <c r="AS46" s="463">
        <f t="shared" si="53"/>
        <v>0</v>
      </c>
      <c r="AT46" s="464">
        <f t="shared" si="53"/>
        <v>0</v>
      </c>
      <c r="AU46" s="464">
        <f t="shared" si="53"/>
        <v>0</v>
      </c>
      <c r="AV46" s="465">
        <f t="shared" si="53"/>
        <v>0</v>
      </c>
      <c r="AW46" s="78"/>
    </row>
    <row r="47" spans="1:49" s="424" customFormat="1" ht="13.5" customHeight="1" outlineLevel="1">
      <c r="A47" s="1944"/>
      <c r="B47" s="1949"/>
      <c r="C47" s="461" t="s">
        <v>682</v>
      </c>
      <c r="D47" s="466">
        <f t="shared" si="52"/>
        <v>0</v>
      </c>
      <c r="E47" s="382">
        <f t="shared" ref="E47:E49" si="54">SUM(E117,E187,E257,E327,E397,E467)</f>
        <v>0</v>
      </c>
      <c r="F47" s="397">
        <f t="shared" ref="F47:AV47" si="55">SUM(F117,F187,F257,F327,F397,F467)</f>
        <v>0</v>
      </c>
      <c r="G47" s="397">
        <f t="shared" si="55"/>
        <v>0</v>
      </c>
      <c r="H47" s="467">
        <f t="shared" si="55"/>
        <v>0</v>
      </c>
      <c r="I47" s="382">
        <f t="shared" si="55"/>
        <v>0</v>
      </c>
      <c r="J47" s="397">
        <f t="shared" si="55"/>
        <v>0</v>
      </c>
      <c r="K47" s="397">
        <f t="shared" si="55"/>
        <v>0</v>
      </c>
      <c r="L47" s="467">
        <f t="shared" si="55"/>
        <v>0</v>
      </c>
      <c r="M47" s="382">
        <f t="shared" si="55"/>
        <v>0</v>
      </c>
      <c r="N47" s="397">
        <f t="shared" si="55"/>
        <v>0</v>
      </c>
      <c r="O47" s="397">
        <f t="shared" si="55"/>
        <v>0</v>
      </c>
      <c r="P47" s="467">
        <f t="shared" si="55"/>
        <v>0</v>
      </c>
      <c r="Q47" s="382">
        <f t="shared" si="55"/>
        <v>0</v>
      </c>
      <c r="R47" s="397">
        <f t="shared" si="55"/>
        <v>0</v>
      </c>
      <c r="S47" s="397">
        <f t="shared" si="55"/>
        <v>0</v>
      </c>
      <c r="T47" s="467">
        <f t="shared" si="55"/>
        <v>0</v>
      </c>
      <c r="U47" s="382">
        <f t="shared" si="55"/>
        <v>0</v>
      </c>
      <c r="V47" s="397">
        <f t="shared" si="55"/>
        <v>0</v>
      </c>
      <c r="W47" s="397">
        <f t="shared" si="55"/>
        <v>0</v>
      </c>
      <c r="X47" s="467">
        <f t="shared" si="55"/>
        <v>0</v>
      </c>
      <c r="Y47" s="382">
        <f t="shared" si="55"/>
        <v>0</v>
      </c>
      <c r="Z47" s="397">
        <f t="shared" si="55"/>
        <v>0</v>
      </c>
      <c r="AA47" s="397">
        <f t="shared" si="55"/>
        <v>0</v>
      </c>
      <c r="AB47" s="467">
        <f t="shared" si="55"/>
        <v>0</v>
      </c>
      <c r="AC47" s="382">
        <f t="shared" si="55"/>
        <v>0</v>
      </c>
      <c r="AD47" s="397">
        <f t="shared" si="55"/>
        <v>0</v>
      </c>
      <c r="AE47" s="397">
        <f t="shared" si="55"/>
        <v>0</v>
      </c>
      <c r="AF47" s="467">
        <f t="shared" si="55"/>
        <v>0</v>
      </c>
      <c r="AG47" s="382">
        <f t="shared" si="55"/>
        <v>0</v>
      </c>
      <c r="AH47" s="397">
        <f t="shared" si="55"/>
        <v>0</v>
      </c>
      <c r="AI47" s="397">
        <f t="shared" si="55"/>
        <v>0</v>
      </c>
      <c r="AJ47" s="467">
        <f t="shared" si="55"/>
        <v>0</v>
      </c>
      <c r="AK47" s="382">
        <f t="shared" si="55"/>
        <v>0</v>
      </c>
      <c r="AL47" s="397">
        <f t="shared" si="55"/>
        <v>0</v>
      </c>
      <c r="AM47" s="397">
        <f t="shared" si="55"/>
        <v>0</v>
      </c>
      <c r="AN47" s="467">
        <f t="shared" si="55"/>
        <v>0</v>
      </c>
      <c r="AO47" s="382">
        <f t="shared" si="55"/>
        <v>0</v>
      </c>
      <c r="AP47" s="397">
        <f t="shared" si="55"/>
        <v>0</v>
      </c>
      <c r="AQ47" s="397">
        <f t="shared" si="55"/>
        <v>0</v>
      </c>
      <c r="AR47" s="467">
        <f t="shared" si="55"/>
        <v>0</v>
      </c>
      <c r="AS47" s="382">
        <f t="shared" si="55"/>
        <v>0</v>
      </c>
      <c r="AT47" s="397">
        <f t="shared" si="55"/>
        <v>0</v>
      </c>
      <c r="AU47" s="397">
        <f t="shared" si="55"/>
        <v>0</v>
      </c>
      <c r="AV47" s="467">
        <f t="shared" si="55"/>
        <v>0</v>
      </c>
      <c r="AW47" s="473"/>
    </row>
    <row r="48" spans="1:49" s="424" customFormat="1" ht="13.5" customHeight="1" outlineLevel="1">
      <c r="A48" s="1944"/>
      <c r="B48" s="1949"/>
      <c r="C48" s="461" t="s">
        <v>882</v>
      </c>
      <c r="D48" s="466">
        <f t="shared" si="52"/>
        <v>0</v>
      </c>
      <c r="E48" s="382">
        <f t="shared" si="54"/>
        <v>0</v>
      </c>
      <c r="F48" s="397">
        <f t="shared" ref="F48:AV48" si="56">SUM(F118,F188,F258,F328,F398,F468)</f>
        <v>0</v>
      </c>
      <c r="G48" s="397">
        <f t="shared" si="56"/>
        <v>0</v>
      </c>
      <c r="H48" s="467">
        <f t="shared" si="56"/>
        <v>0</v>
      </c>
      <c r="I48" s="382">
        <f t="shared" si="56"/>
        <v>0</v>
      </c>
      <c r="J48" s="397">
        <f t="shared" si="56"/>
        <v>0</v>
      </c>
      <c r="K48" s="397">
        <f t="shared" si="56"/>
        <v>0</v>
      </c>
      <c r="L48" s="467">
        <f t="shared" si="56"/>
        <v>0</v>
      </c>
      <c r="M48" s="382">
        <f t="shared" si="56"/>
        <v>0</v>
      </c>
      <c r="N48" s="397">
        <f t="shared" si="56"/>
        <v>0</v>
      </c>
      <c r="O48" s="397">
        <f t="shared" si="56"/>
        <v>0</v>
      </c>
      <c r="P48" s="467">
        <f t="shared" si="56"/>
        <v>0</v>
      </c>
      <c r="Q48" s="382">
        <f t="shared" si="56"/>
        <v>0</v>
      </c>
      <c r="R48" s="397">
        <f t="shared" si="56"/>
        <v>0</v>
      </c>
      <c r="S48" s="397">
        <f t="shared" si="56"/>
        <v>0</v>
      </c>
      <c r="T48" s="467">
        <f t="shared" si="56"/>
        <v>0</v>
      </c>
      <c r="U48" s="382">
        <f t="shared" si="56"/>
        <v>0</v>
      </c>
      <c r="V48" s="397">
        <f t="shared" si="56"/>
        <v>0</v>
      </c>
      <c r="W48" s="397">
        <f t="shared" si="56"/>
        <v>0</v>
      </c>
      <c r="X48" s="467">
        <f t="shared" si="56"/>
        <v>0</v>
      </c>
      <c r="Y48" s="382">
        <f t="shared" si="56"/>
        <v>0</v>
      </c>
      <c r="Z48" s="397">
        <f t="shared" si="56"/>
        <v>0</v>
      </c>
      <c r="AA48" s="397">
        <f t="shared" si="56"/>
        <v>0</v>
      </c>
      <c r="AB48" s="467">
        <f t="shared" si="56"/>
        <v>0</v>
      </c>
      <c r="AC48" s="382">
        <f t="shared" si="56"/>
        <v>0</v>
      </c>
      <c r="AD48" s="397">
        <f t="shared" si="56"/>
        <v>0</v>
      </c>
      <c r="AE48" s="397">
        <f t="shared" si="56"/>
        <v>0</v>
      </c>
      <c r="AF48" s="467">
        <f t="shared" si="56"/>
        <v>0</v>
      </c>
      <c r="AG48" s="382">
        <f t="shared" si="56"/>
        <v>0</v>
      </c>
      <c r="AH48" s="397">
        <f t="shared" si="56"/>
        <v>0</v>
      </c>
      <c r="AI48" s="397">
        <f t="shared" si="56"/>
        <v>0</v>
      </c>
      <c r="AJ48" s="467">
        <f t="shared" si="56"/>
        <v>0</v>
      </c>
      <c r="AK48" s="382">
        <f t="shared" si="56"/>
        <v>0</v>
      </c>
      <c r="AL48" s="397">
        <f t="shared" si="56"/>
        <v>0</v>
      </c>
      <c r="AM48" s="397">
        <f t="shared" si="56"/>
        <v>0</v>
      </c>
      <c r="AN48" s="467">
        <f t="shared" si="56"/>
        <v>0</v>
      </c>
      <c r="AO48" s="382">
        <f t="shared" si="56"/>
        <v>0</v>
      </c>
      <c r="AP48" s="397">
        <f t="shared" si="56"/>
        <v>0</v>
      </c>
      <c r="AQ48" s="397">
        <f t="shared" si="56"/>
        <v>0</v>
      </c>
      <c r="AR48" s="467">
        <f t="shared" si="56"/>
        <v>0</v>
      </c>
      <c r="AS48" s="382">
        <f t="shared" si="56"/>
        <v>0</v>
      </c>
      <c r="AT48" s="397">
        <f t="shared" si="56"/>
        <v>0</v>
      </c>
      <c r="AU48" s="397">
        <f t="shared" si="56"/>
        <v>0</v>
      </c>
      <c r="AV48" s="467">
        <f t="shared" si="56"/>
        <v>0</v>
      </c>
      <c r="AW48" s="473"/>
    </row>
    <row r="49" spans="1:49" s="424" customFormat="1" ht="13.5" customHeight="1" outlineLevel="1">
      <c r="A49" s="1944"/>
      <c r="B49" s="1949"/>
      <c r="C49" s="461" t="s">
        <v>450</v>
      </c>
      <c r="D49" s="468">
        <f t="shared" si="52"/>
        <v>0</v>
      </c>
      <c r="E49" s="386">
        <f t="shared" si="54"/>
        <v>0</v>
      </c>
      <c r="F49" s="399">
        <f t="shared" ref="F49:AV49" si="57">SUM(F119,F189,F259,F329,F399,F469)</f>
        <v>0</v>
      </c>
      <c r="G49" s="399">
        <f t="shared" si="57"/>
        <v>0</v>
      </c>
      <c r="H49" s="404">
        <f t="shared" si="57"/>
        <v>0</v>
      </c>
      <c r="I49" s="386">
        <f t="shared" si="57"/>
        <v>0</v>
      </c>
      <c r="J49" s="399">
        <f t="shared" si="57"/>
        <v>0</v>
      </c>
      <c r="K49" s="399">
        <f t="shared" si="57"/>
        <v>0</v>
      </c>
      <c r="L49" s="404">
        <f t="shared" si="57"/>
        <v>0</v>
      </c>
      <c r="M49" s="386">
        <f t="shared" si="57"/>
        <v>0</v>
      </c>
      <c r="N49" s="399">
        <f t="shared" si="57"/>
        <v>0</v>
      </c>
      <c r="O49" s="399">
        <f t="shared" si="57"/>
        <v>0</v>
      </c>
      <c r="P49" s="404">
        <f t="shared" si="57"/>
        <v>0</v>
      </c>
      <c r="Q49" s="386">
        <f t="shared" si="57"/>
        <v>0</v>
      </c>
      <c r="R49" s="399">
        <f t="shared" si="57"/>
        <v>0</v>
      </c>
      <c r="S49" s="399">
        <f t="shared" si="57"/>
        <v>0</v>
      </c>
      <c r="T49" s="404">
        <f t="shared" si="57"/>
        <v>0</v>
      </c>
      <c r="U49" s="386">
        <f t="shared" si="57"/>
        <v>0</v>
      </c>
      <c r="V49" s="399">
        <f t="shared" si="57"/>
        <v>0</v>
      </c>
      <c r="W49" s="399">
        <f t="shared" si="57"/>
        <v>0</v>
      </c>
      <c r="X49" s="404">
        <f t="shared" si="57"/>
        <v>0</v>
      </c>
      <c r="Y49" s="386">
        <f t="shared" si="57"/>
        <v>0</v>
      </c>
      <c r="Z49" s="399">
        <f t="shared" si="57"/>
        <v>0</v>
      </c>
      <c r="AA49" s="399">
        <f t="shared" si="57"/>
        <v>0</v>
      </c>
      <c r="AB49" s="404">
        <f t="shared" si="57"/>
        <v>0</v>
      </c>
      <c r="AC49" s="386">
        <f t="shared" si="57"/>
        <v>0</v>
      </c>
      <c r="AD49" s="399">
        <f t="shared" si="57"/>
        <v>0</v>
      </c>
      <c r="AE49" s="399">
        <f t="shared" si="57"/>
        <v>0</v>
      </c>
      <c r="AF49" s="404">
        <f t="shared" si="57"/>
        <v>0</v>
      </c>
      <c r="AG49" s="386">
        <f t="shared" si="57"/>
        <v>0</v>
      </c>
      <c r="AH49" s="399">
        <f t="shared" si="57"/>
        <v>0</v>
      </c>
      <c r="AI49" s="399">
        <f t="shared" si="57"/>
        <v>0</v>
      </c>
      <c r="AJ49" s="404">
        <f t="shared" si="57"/>
        <v>0</v>
      </c>
      <c r="AK49" s="386">
        <f t="shared" si="57"/>
        <v>0</v>
      </c>
      <c r="AL49" s="399">
        <f t="shared" si="57"/>
        <v>0</v>
      </c>
      <c r="AM49" s="399">
        <f t="shared" si="57"/>
        <v>0</v>
      </c>
      <c r="AN49" s="404">
        <f t="shared" si="57"/>
        <v>0</v>
      </c>
      <c r="AO49" s="386">
        <f t="shared" si="57"/>
        <v>0</v>
      </c>
      <c r="AP49" s="399">
        <f t="shared" si="57"/>
        <v>0</v>
      </c>
      <c r="AQ49" s="399">
        <f t="shared" si="57"/>
        <v>0</v>
      </c>
      <c r="AR49" s="404">
        <f t="shared" si="57"/>
        <v>0</v>
      </c>
      <c r="AS49" s="386">
        <f t="shared" si="57"/>
        <v>0</v>
      </c>
      <c r="AT49" s="399">
        <f t="shared" si="57"/>
        <v>0</v>
      </c>
      <c r="AU49" s="399">
        <f t="shared" si="57"/>
        <v>0</v>
      </c>
      <c r="AV49" s="404">
        <f t="shared" si="57"/>
        <v>0</v>
      </c>
      <c r="AW49" s="473"/>
    </row>
    <row r="50" spans="1:49" s="424" customFormat="1" ht="13.5" customHeight="1" outlineLevel="1">
      <c r="A50" s="1944"/>
      <c r="B50" s="1949">
        <f>'8.项目规划指标表'!B12</f>
        <v>0</v>
      </c>
      <c r="C50" s="461" t="s">
        <v>880</v>
      </c>
      <c r="D50" s="457">
        <f>IFERROR(D53/D52*10000,0)</f>
        <v>0</v>
      </c>
      <c r="E50" s="458">
        <f>IFERROR(E53/E52*10000,0)</f>
        <v>0</v>
      </c>
      <c r="F50" s="459">
        <f t="shared" ref="F50:AV50" si="58">IFERROR(F53/F52*10000,0)</f>
        <v>0</v>
      </c>
      <c r="G50" s="459">
        <f t="shared" si="58"/>
        <v>0</v>
      </c>
      <c r="H50" s="460">
        <f t="shared" si="58"/>
        <v>0</v>
      </c>
      <c r="I50" s="458">
        <f t="shared" si="58"/>
        <v>0</v>
      </c>
      <c r="J50" s="459">
        <f t="shared" si="58"/>
        <v>0</v>
      </c>
      <c r="K50" s="459">
        <f t="shared" si="58"/>
        <v>0</v>
      </c>
      <c r="L50" s="460">
        <f t="shared" si="58"/>
        <v>0</v>
      </c>
      <c r="M50" s="458">
        <f t="shared" si="58"/>
        <v>0</v>
      </c>
      <c r="N50" s="459">
        <f t="shared" si="58"/>
        <v>0</v>
      </c>
      <c r="O50" s="459">
        <f t="shared" si="58"/>
        <v>0</v>
      </c>
      <c r="P50" s="460">
        <f t="shared" si="58"/>
        <v>0</v>
      </c>
      <c r="Q50" s="458">
        <f t="shared" si="58"/>
        <v>0</v>
      </c>
      <c r="R50" s="459">
        <f t="shared" si="58"/>
        <v>0</v>
      </c>
      <c r="S50" s="459">
        <f t="shared" si="58"/>
        <v>0</v>
      </c>
      <c r="T50" s="460">
        <f t="shared" si="58"/>
        <v>0</v>
      </c>
      <c r="U50" s="458">
        <f t="shared" si="58"/>
        <v>0</v>
      </c>
      <c r="V50" s="459">
        <f t="shared" si="58"/>
        <v>0</v>
      </c>
      <c r="W50" s="459">
        <f t="shared" si="58"/>
        <v>0</v>
      </c>
      <c r="X50" s="460">
        <f t="shared" si="58"/>
        <v>0</v>
      </c>
      <c r="Y50" s="458">
        <f t="shared" si="58"/>
        <v>0</v>
      </c>
      <c r="Z50" s="459">
        <f t="shared" si="58"/>
        <v>0</v>
      </c>
      <c r="AA50" s="459">
        <f t="shared" si="58"/>
        <v>0</v>
      </c>
      <c r="AB50" s="460">
        <f t="shared" si="58"/>
        <v>0</v>
      </c>
      <c r="AC50" s="458">
        <f t="shared" si="58"/>
        <v>0</v>
      </c>
      <c r="AD50" s="459">
        <f t="shared" si="58"/>
        <v>0</v>
      </c>
      <c r="AE50" s="459">
        <f t="shared" si="58"/>
        <v>0</v>
      </c>
      <c r="AF50" s="460">
        <f t="shared" si="58"/>
        <v>0</v>
      </c>
      <c r="AG50" s="458">
        <f t="shared" si="58"/>
        <v>0</v>
      </c>
      <c r="AH50" s="459">
        <f t="shared" si="58"/>
        <v>0</v>
      </c>
      <c r="AI50" s="459">
        <f t="shared" si="58"/>
        <v>0</v>
      </c>
      <c r="AJ50" s="460">
        <f t="shared" si="58"/>
        <v>0</v>
      </c>
      <c r="AK50" s="458">
        <f t="shared" si="58"/>
        <v>0</v>
      </c>
      <c r="AL50" s="459">
        <f t="shared" si="58"/>
        <v>0</v>
      </c>
      <c r="AM50" s="459">
        <f t="shared" si="58"/>
        <v>0</v>
      </c>
      <c r="AN50" s="460">
        <f t="shared" si="58"/>
        <v>0</v>
      </c>
      <c r="AO50" s="458">
        <f t="shared" si="58"/>
        <v>0</v>
      </c>
      <c r="AP50" s="459">
        <f t="shared" si="58"/>
        <v>0</v>
      </c>
      <c r="AQ50" s="459">
        <f t="shared" si="58"/>
        <v>0</v>
      </c>
      <c r="AR50" s="460">
        <f t="shared" si="58"/>
        <v>0</v>
      </c>
      <c r="AS50" s="458">
        <f t="shared" si="58"/>
        <v>0</v>
      </c>
      <c r="AT50" s="459">
        <f t="shared" si="58"/>
        <v>0</v>
      </c>
      <c r="AU50" s="459">
        <f t="shared" si="58"/>
        <v>0</v>
      </c>
      <c r="AV50" s="460">
        <f t="shared" si="58"/>
        <v>0</v>
      </c>
      <c r="AW50" s="473"/>
    </row>
    <row r="51" spans="1:49" ht="13.5" customHeight="1" outlineLevel="1">
      <c r="A51" s="1944"/>
      <c r="B51" s="1949"/>
      <c r="C51" s="461" t="s">
        <v>881</v>
      </c>
      <c r="D51" s="462">
        <f t="shared" ref="D51:D54" si="59">SUM(E51:AV51)</f>
        <v>0</v>
      </c>
      <c r="E51" s="463">
        <f t="shared" ref="E51:AV51" si="60">IFERROR(E52/$D52,0)</f>
        <v>0</v>
      </c>
      <c r="F51" s="464">
        <f t="shared" si="60"/>
        <v>0</v>
      </c>
      <c r="G51" s="464">
        <f t="shared" si="60"/>
        <v>0</v>
      </c>
      <c r="H51" s="465">
        <f t="shared" si="60"/>
        <v>0</v>
      </c>
      <c r="I51" s="463">
        <f t="shared" si="60"/>
        <v>0</v>
      </c>
      <c r="J51" s="464">
        <f t="shared" si="60"/>
        <v>0</v>
      </c>
      <c r="K51" s="464">
        <f t="shared" si="60"/>
        <v>0</v>
      </c>
      <c r="L51" s="465">
        <f t="shared" si="60"/>
        <v>0</v>
      </c>
      <c r="M51" s="463">
        <f t="shared" si="60"/>
        <v>0</v>
      </c>
      <c r="N51" s="464">
        <f t="shared" si="60"/>
        <v>0</v>
      </c>
      <c r="O51" s="464">
        <f t="shared" si="60"/>
        <v>0</v>
      </c>
      <c r="P51" s="465">
        <f t="shared" si="60"/>
        <v>0</v>
      </c>
      <c r="Q51" s="463">
        <f t="shared" si="60"/>
        <v>0</v>
      </c>
      <c r="R51" s="464">
        <f t="shared" si="60"/>
        <v>0</v>
      </c>
      <c r="S51" s="464">
        <f t="shared" si="60"/>
        <v>0</v>
      </c>
      <c r="T51" s="465">
        <f t="shared" si="60"/>
        <v>0</v>
      </c>
      <c r="U51" s="463">
        <f t="shared" si="60"/>
        <v>0</v>
      </c>
      <c r="V51" s="464">
        <f t="shared" si="60"/>
        <v>0</v>
      </c>
      <c r="W51" s="464">
        <f t="shared" si="60"/>
        <v>0</v>
      </c>
      <c r="X51" s="465">
        <f t="shared" si="60"/>
        <v>0</v>
      </c>
      <c r="Y51" s="463">
        <f t="shared" si="60"/>
        <v>0</v>
      </c>
      <c r="Z51" s="464">
        <f t="shared" si="60"/>
        <v>0</v>
      </c>
      <c r="AA51" s="464">
        <f t="shared" si="60"/>
        <v>0</v>
      </c>
      <c r="AB51" s="465">
        <f t="shared" si="60"/>
        <v>0</v>
      </c>
      <c r="AC51" s="463">
        <f t="shared" si="60"/>
        <v>0</v>
      </c>
      <c r="AD51" s="464">
        <f t="shared" si="60"/>
        <v>0</v>
      </c>
      <c r="AE51" s="464">
        <f t="shared" si="60"/>
        <v>0</v>
      </c>
      <c r="AF51" s="465">
        <f t="shared" si="60"/>
        <v>0</v>
      </c>
      <c r="AG51" s="463">
        <f t="shared" si="60"/>
        <v>0</v>
      </c>
      <c r="AH51" s="464">
        <f t="shared" si="60"/>
        <v>0</v>
      </c>
      <c r="AI51" s="464">
        <f t="shared" si="60"/>
        <v>0</v>
      </c>
      <c r="AJ51" s="465">
        <f t="shared" si="60"/>
        <v>0</v>
      </c>
      <c r="AK51" s="463">
        <f t="shared" si="60"/>
        <v>0</v>
      </c>
      <c r="AL51" s="464">
        <f t="shared" si="60"/>
        <v>0</v>
      </c>
      <c r="AM51" s="464">
        <f t="shared" si="60"/>
        <v>0</v>
      </c>
      <c r="AN51" s="465">
        <f t="shared" si="60"/>
        <v>0</v>
      </c>
      <c r="AO51" s="463">
        <f t="shared" si="60"/>
        <v>0</v>
      </c>
      <c r="AP51" s="464">
        <f t="shared" si="60"/>
        <v>0</v>
      </c>
      <c r="AQ51" s="464">
        <f t="shared" si="60"/>
        <v>0</v>
      </c>
      <c r="AR51" s="465">
        <f t="shared" si="60"/>
        <v>0</v>
      </c>
      <c r="AS51" s="463">
        <f t="shared" si="60"/>
        <v>0</v>
      </c>
      <c r="AT51" s="464">
        <f t="shared" si="60"/>
        <v>0</v>
      </c>
      <c r="AU51" s="464">
        <f t="shared" si="60"/>
        <v>0</v>
      </c>
      <c r="AV51" s="465">
        <f t="shared" si="60"/>
        <v>0</v>
      </c>
      <c r="AW51" s="78"/>
    </row>
    <row r="52" spans="1:49" s="424" customFormat="1" ht="13.5" customHeight="1" outlineLevel="1">
      <c r="A52" s="1944"/>
      <c r="B52" s="1949"/>
      <c r="C52" s="461" t="s">
        <v>682</v>
      </c>
      <c r="D52" s="466">
        <f t="shared" si="59"/>
        <v>0</v>
      </c>
      <c r="E52" s="382">
        <f t="shared" ref="E52:E54" si="61">SUM(E122,E192,E262,E332,E402,E472)</f>
        <v>0</v>
      </c>
      <c r="F52" s="397">
        <f t="shared" ref="F52:AV52" si="62">SUM(F122,F192,F262,F332,F402,F472)</f>
        <v>0</v>
      </c>
      <c r="G52" s="397">
        <f t="shared" si="62"/>
        <v>0</v>
      </c>
      <c r="H52" s="467">
        <f t="shared" si="62"/>
        <v>0</v>
      </c>
      <c r="I52" s="382">
        <f t="shared" si="62"/>
        <v>0</v>
      </c>
      <c r="J52" s="397">
        <f t="shared" si="62"/>
        <v>0</v>
      </c>
      <c r="K52" s="397">
        <f t="shared" si="62"/>
        <v>0</v>
      </c>
      <c r="L52" s="467">
        <f t="shared" si="62"/>
        <v>0</v>
      </c>
      <c r="M52" s="382">
        <f t="shared" si="62"/>
        <v>0</v>
      </c>
      <c r="N52" s="397">
        <f t="shared" si="62"/>
        <v>0</v>
      </c>
      <c r="O52" s="397">
        <f t="shared" si="62"/>
        <v>0</v>
      </c>
      <c r="P52" s="467">
        <f t="shared" si="62"/>
        <v>0</v>
      </c>
      <c r="Q52" s="382">
        <f t="shared" si="62"/>
        <v>0</v>
      </c>
      <c r="R52" s="397">
        <f t="shared" si="62"/>
        <v>0</v>
      </c>
      <c r="S52" s="397">
        <f t="shared" si="62"/>
        <v>0</v>
      </c>
      <c r="T52" s="467">
        <f t="shared" si="62"/>
        <v>0</v>
      </c>
      <c r="U52" s="382">
        <f t="shared" si="62"/>
        <v>0</v>
      </c>
      <c r="V52" s="397">
        <f t="shared" si="62"/>
        <v>0</v>
      </c>
      <c r="W52" s="397">
        <f t="shared" si="62"/>
        <v>0</v>
      </c>
      <c r="X52" s="467">
        <f t="shared" si="62"/>
        <v>0</v>
      </c>
      <c r="Y52" s="382">
        <f t="shared" si="62"/>
        <v>0</v>
      </c>
      <c r="Z52" s="397">
        <f t="shared" si="62"/>
        <v>0</v>
      </c>
      <c r="AA52" s="397">
        <f t="shared" si="62"/>
        <v>0</v>
      </c>
      <c r="AB52" s="467">
        <f t="shared" si="62"/>
        <v>0</v>
      </c>
      <c r="AC52" s="382">
        <f t="shared" si="62"/>
        <v>0</v>
      </c>
      <c r="AD52" s="397">
        <f t="shared" si="62"/>
        <v>0</v>
      </c>
      <c r="AE52" s="397">
        <f t="shared" si="62"/>
        <v>0</v>
      </c>
      <c r="AF52" s="467">
        <f t="shared" si="62"/>
        <v>0</v>
      </c>
      <c r="AG52" s="382">
        <f t="shared" si="62"/>
        <v>0</v>
      </c>
      <c r="AH52" s="397">
        <f t="shared" si="62"/>
        <v>0</v>
      </c>
      <c r="AI52" s="397">
        <f t="shared" si="62"/>
        <v>0</v>
      </c>
      <c r="AJ52" s="467">
        <f t="shared" si="62"/>
        <v>0</v>
      </c>
      <c r="AK52" s="382">
        <f t="shared" si="62"/>
        <v>0</v>
      </c>
      <c r="AL52" s="397">
        <f t="shared" si="62"/>
        <v>0</v>
      </c>
      <c r="AM52" s="397">
        <f t="shared" si="62"/>
        <v>0</v>
      </c>
      <c r="AN52" s="467">
        <f t="shared" si="62"/>
        <v>0</v>
      </c>
      <c r="AO52" s="382">
        <f t="shared" si="62"/>
        <v>0</v>
      </c>
      <c r="AP52" s="397">
        <f t="shared" si="62"/>
        <v>0</v>
      </c>
      <c r="AQ52" s="397">
        <f t="shared" si="62"/>
        <v>0</v>
      </c>
      <c r="AR52" s="467">
        <f t="shared" si="62"/>
        <v>0</v>
      </c>
      <c r="AS52" s="382">
        <f t="shared" si="62"/>
        <v>0</v>
      </c>
      <c r="AT52" s="397">
        <f t="shared" si="62"/>
        <v>0</v>
      </c>
      <c r="AU52" s="397">
        <f t="shared" si="62"/>
        <v>0</v>
      </c>
      <c r="AV52" s="467">
        <f t="shared" si="62"/>
        <v>0</v>
      </c>
      <c r="AW52" s="473"/>
    </row>
    <row r="53" spans="1:49" s="424" customFormat="1" ht="13.5" customHeight="1" outlineLevel="1">
      <c r="A53" s="1944"/>
      <c r="B53" s="1949"/>
      <c r="C53" s="461" t="s">
        <v>882</v>
      </c>
      <c r="D53" s="466">
        <f t="shared" si="59"/>
        <v>0</v>
      </c>
      <c r="E53" s="382">
        <f t="shared" si="61"/>
        <v>0</v>
      </c>
      <c r="F53" s="397">
        <f t="shared" ref="F53:AV53" si="63">SUM(F123,F193,F263,F333,F403,F473)</f>
        <v>0</v>
      </c>
      <c r="G53" s="397">
        <f t="shared" si="63"/>
        <v>0</v>
      </c>
      <c r="H53" s="467">
        <f t="shared" si="63"/>
        <v>0</v>
      </c>
      <c r="I53" s="382">
        <f t="shared" si="63"/>
        <v>0</v>
      </c>
      <c r="J53" s="397">
        <f t="shared" si="63"/>
        <v>0</v>
      </c>
      <c r="K53" s="397">
        <f t="shared" si="63"/>
        <v>0</v>
      </c>
      <c r="L53" s="467">
        <f t="shared" si="63"/>
        <v>0</v>
      </c>
      <c r="M53" s="382">
        <f t="shared" si="63"/>
        <v>0</v>
      </c>
      <c r="N53" s="397">
        <f t="shared" si="63"/>
        <v>0</v>
      </c>
      <c r="O53" s="397">
        <f t="shared" si="63"/>
        <v>0</v>
      </c>
      <c r="P53" s="467">
        <f t="shared" si="63"/>
        <v>0</v>
      </c>
      <c r="Q53" s="382">
        <f t="shared" si="63"/>
        <v>0</v>
      </c>
      <c r="R53" s="397">
        <f t="shared" si="63"/>
        <v>0</v>
      </c>
      <c r="S53" s="397">
        <f t="shared" si="63"/>
        <v>0</v>
      </c>
      <c r="T53" s="467">
        <f t="shared" si="63"/>
        <v>0</v>
      </c>
      <c r="U53" s="382">
        <f t="shared" si="63"/>
        <v>0</v>
      </c>
      <c r="V53" s="397">
        <f t="shared" si="63"/>
        <v>0</v>
      </c>
      <c r="W53" s="397">
        <f t="shared" si="63"/>
        <v>0</v>
      </c>
      <c r="X53" s="467">
        <f t="shared" si="63"/>
        <v>0</v>
      </c>
      <c r="Y53" s="382">
        <f t="shared" si="63"/>
        <v>0</v>
      </c>
      <c r="Z53" s="397">
        <f t="shared" si="63"/>
        <v>0</v>
      </c>
      <c r="AA53" s="397">
        <f t="shared" si="63"/>
        <v>0</v>
      </c>
      <c r="AB53" s="467">
        <f t="shared" si="63"/>
        <v>0</v>
      </c>
      <c r="AC53" s="382">
        <f t="shared" si="63"/>
        <v>0</v>
      </c>
      <c r="AD53" s="397">
        <f t="shared" si="63"/>
        <v>0</v>
      </c>
      <c r="AE53" s="397">
        <f t="shared" si="63"/>
        <v>0</v>
      </c>
      <c r="AF53" s="467">
        <f t="shared" si="63"/>
        <v>0</v>
      </c>
      <c r="AG53" s="382">
        <f t="shared" si="63"/>
        <v>0</v>
      </c>
      <c r="AH53" s="397">
        <f t="shared" si="63"/>
        <v>0</v>
      </c>
      <c r="AI53" s="397">
        <f t="shared" si="63"/>
        <v>0</v>
      </c>
      <c r="AJ53" s="467">
        <f t="shared" si="63"/>
        <v>0</v>
      </c>
      <c r="AK53" s="382">
        <f t="shared" si="63"/>
        <v>0</v>
      </c>
      <c r="AL53" s="397">
        <f t="shared" si="63"/>
        <v>0</v>
      </c>
      <c r="AM53" s="397">
        <f t="shared" si="63"/>
        <v>0</v>
      </c>
      <c r="AN53" s="467">
        <f t="shared" si="63"/>
        <v>0</v>
      </c>
      <c r="AO53" s="382">
        <f t="shared" si="63"/>
        <v>0</v>
      </c>
      <c r="AP53" s="397">
        <f t="shared" si="63"/>
        <v>0</v>
      </c>
      <c r="AQ53" s="397">
        <f t="shared" si="63"/>
        <v>0</v>
      </c>
      <c r="AR53" s="467">
        <f t="shared" si="63"/>
        <v>0</v>
      </c>
      <c r="AS53" s="382">
        <f t="shared" si="63"/>
        <v>0</v>
      </c>
      <c r="AT53" s="397">
        <f t="shared" si="63"/>
        <v>0</v>
      </c>
      <c r="AU53" s="397">
        <f t="shared" si="63"/>
        <v>0</v>
      </c>
      <c r="AV53" s="467">
        <f t="shared" si="63"/>
        <v>0</v>
      </c>
      <c r="AW53" s="473"/>
    </row>
    <row r="54" spans="1:49" s="424" customFormat="1" ht="13.5" customHeight="1" outlineLevel="1">
      <c r="A54" s="1944"/>
      <c r="B54" s="1949"/>
      <c r="C54" s="461" t="s">
        <v>450</v>
      </c>
      <c r="D54" s="468">
        <f t="shared" si="59"/>
        <v>0</v>
      </c>
      <c r="E54" s="386">
        <f t="shared" si="61"/>
        <v>0</v>
      </c>
      <c r="F54" s="399">
        <f t="shared" ref="F54:AV54" si="64">SUM(F124,F194,F264,F334,F404,F474)</f>
        <v>0</v>
      </c>
      <c r="G54" s="399">
        <f t="shared" si="64"/>
        <v>0</v>
      </c>
      <c r="H54" s="404">
        <f t="shared" si="64"/>
        <v>0</v>
      </c>
      <c r="I54" s="386">
        <f t="shared" si="64"/>
        <v>0</v>
      </c>
      <c r="J54" s="399">
        <f t="shared" si="64"/>
        <v>0</v>
      </c>
      <c r="K54" s="399">
        <f t="shared" si="64"/>
        <v>0</v>
      </c>
      <c r="L54" s="404">
        <f t="shared" si="64"/>
        <v>0</v>
      </c>
      <c r="M54" s="386">
        <f t="shared" si="64"/>
        <v>0</v>
      </c>
      <c r="N54" s="399">
        <f t="shared" si="64"/>
        <v>0</v>
      </c>
      <c r="O54" s="399">
        <f t="shared" si="64"/>
        <v>0</v>
      </c>
      <c r="P54" s="404">
        <f t="shared" si="64"/>
        <v>0</v>
      </c>
      <c r="Q54" s="386">
        <f t="shared" si="64"/>
        <v>0</v>
      </c>
      <c r="R54" s="399">
        <f t="shared" si="64"/>
        <v>0</v>
      </c>
      <c r="S54" s="399">
        <f t="shared" si="64"/>
        <v>0</v>
      </c>
      <c r="T54" s="404">
        <f t="shared" si="64"/>
        <v>0</v>
      </c>
      <c r="U54" s="386">
        <f t="shared" si="64"/>
        <v>0</v>
      </c>
      <c r="V54" s="399">
        <f t="shared" si="64"/>
        <v>0</v>
      </c>
      <c r="W54" s="399">
        <f t="shared" si="64"/>
        <v>0</v>
      </c>
      <c r="X54" s="404">
        <f t="shared" si="64"/>
        <v>0</v>
      </c>
      <c r="Y54" s="386">
        <f t="shared" si="64"/>
        <v>0</v>
      </c>
      <c r="Z54" s="399">
        <f t="shared" si="64"/>
        <v>0</v>
      </c>
      <c r="AA54" s="399">
        <f t="shared" si="64"/>
        <v>0</v>
      </c>
      <c r="AB54" s="404">
        <f t="shared" si="64"/>
        <v>0</v>
      </c>
      <c r="AC54" s="386">
        <f t="shared" si="64"/>
        <v>0</v>
      </c>
      <c r="AD54" s="399">
        <f t="shared" si="64"/>
        <v>0</v>
      </c>
      <c r="AE54" s="399">
        <f t="shared" si="64"/>
        <v>0</v>
      </c>
      <c r="AF54" s="404">
        <f t="shared" si="64"/>
        <v>0</v>
      </c>
      <c r="AG54" s="386">
        <f t="shared" si="64"/>
        <v>0</v>
      </c>
      <c r="AH54" s="399">
        <f t="shared" si="64"/>
        <v>0</v>
      </c>
      <c r="AI54" s="399">
        <f t="shared" si="64"/>
        <v>0</v>
      </c>
      <c r="AJ54" s="404">
        <f t="shared" si="64"/>
        <v>0</v>
      </c>
      <c r="AK54" s="386">
        <f t="shared" si="64"/>
        <v>0</v>
      </c>
      <c r="AL54" s="399">
        <f t="shared" si="64"/>
        <v>0</v>
      </c>
      <c r="AM54" s="399">
        <f t="shared" si="64"/>
        <v>0</v>
      </c>
      <c r="AN54" s="404">
        <f t="shared" si="64"/>
        <v>0</v>
      </c>
      <c r="AO54" s="386">
        <f t="shared" si="64"/>
        <v>0</v>
      </c>
      <c r="AP54" s="399">
        <f t="shared" si="64"/>
        <v>0</v>
      </c>
      <c r="AQ54" s="399">
        <f t="shared" si="64"/>
        <v>0</v>
      </c>
      <c r="AR54" s="404">
        <f t="shared" si="64"/>
        <v>0</v>
      </c>
      <c r="AS54" s="386">
        <f t="shared" si="64"/>
        <v>0</v>
      </c>
      <c r="AT54" s="399">
        <f t="shared" si="64"/>
        <v>0</v>
      </c>
      <c r="AU54" s="399">
        <f t="shared" si="64"/>
        <v>0</v>
      </c>
      <c r="AV54" s="404">
        <f t="shared" si="64"/>
        <v>0</v>
      </c>
      <c r="AW54" s="473"/>
    </row>
    <row r="55" spans="1:49" s="424" customFormat="1" ht="13.5" customHeight="1" outlineLevel="1">
      <c r="A55" s="1944"/>
      <c r="B55" s="1949">
        <f>'8.项目规划指标表'!B13</f>
        <v>0</v>
      </c>
      <c r="C55" s="461" t="s">
        <v>880</v>
      </c>
      <c r="D55" s="457">
        <f>IFERROR(D58/D57*10000,0)</f>
        <v>0</v>
      </c>
      <c r="E55" s="458">
        <f>IFERROR(E58/E57*10000,0)</f>
        <v>0</v>
      </c>
      <c r="F55" s="459">
        <f t="shared" ref="F55:AV55" si="65">IFERROR(F58/F57*10000,0)</f>
        <v>0</v>
      </c>
      <c r="G55" s="459">
        <f t="shared" si="65"/>
        <v>0</v>
      </c>
      <c r="H55" s="460">
        <f t="shared" si="65"/>
        <v>0</v>
      </c>
      <c r="I55" s="458">
        <f t="shared" si="65"/>
        <v>0</v>
      </c>
      <c r="J55" s="459">
        <f t="shared" si="65"/>
        <v>0</v>
      </c>
      <c r="K55" s="459">
        <f t="shared" si="65"/>
        <v>0</v>
      </c>
      <c r="L55" s="460">
        <f t="shared" si="65"/>
        <v>0</v>
      </c>
      <c r="M55" s="458">
        <f t="shared" si="65"/>
        <v>0</v>
      </c>
      <c r="N55" s="459">
        <f t="shared" si="65"/>
        <v>0</v>
      </c>
      <c r="O55" s="459">
        <f t="shared" si="65"/>
        <v>0</v>
      </c>
      <c r="P55" s="460">
        <f t="shared" si="65"/>
        <v>0</v>
      </c>
      <c r="Q55" s="458">
        <f t="shared" si="65"/>
        <v>0</v>
      </c>
      <c r="R55" s="459">
        <f t="shared" si="65"/>
        <v>0</v>
      </c>
      <c r="S55" s="459">
        <f t="shared" si="65"/>
        <v>0</v>
      </c>
      <c r="T55" s="460">
        <f t="shared" si="65"/>
        <v>0</v>
      </c>
      <c r="U55" s="458">
        <f t="shared" si="65"/>
        <v>0</v>
      </c>
      <c r="V55" s="459">
        <f t="shared" si="65"/>
        <v>0</v>
      </c>
      <c r="W55" s="459">
        <f t="shared" si="65"/>
        <v>0</v>
      </c>
      <c r="X55" s="460">
        <f t="shared" si="65"/>
        <v>0</v>
      </c>
      <c r="Y55" s="458">
        <f t="shared" si="65"/>
        <v>0</v>
      </c>
      <c r="Z55" s="459">
        <f t="shared" si="65"/>
        <v>0</v>
      </c>
      <c r="AA55" s="459">
        <f t="shared" si="65"/>
        <v>0</v>
      </c>
      <c r="AB55" s="460">
        <f t="shared" si="65"/>
        <v>0</v>
      </c>
      <c r="AC55" s="458">
        <f t="shared" si="65"/>
        <v>0</v>
      </c>
      <c r="AD55" s="459">
        <f t="shared" si="65"/>
        <v>0</v>
      </c>
      <c r="AE55" s="459">
        <f t="shared" si="65"/>
        <v>0</v>
      </c>
      <c r="AF55" s="460">
        <f t="shared" si="65"/>
        <v>0</v>
      </c>
      <c r="AG55" s="458">
        <f t="shared" si="65"/>
        <v>0</v>
      </c>
      <c r="AH55" s="459">
        <f t="shared" si="65"/>
        <v>0</v>
      </c>
      <c r="AI55" s="459">
        <f t="shared" si="65"/>
        <v>0</v>
      </c>
      <c r="AJ55" s="460">
        <f t="shared" si="65"/>
        <v>0</v>
      </c>
      <c r="AK55" s="458">
        <f t="shared" si="65"/>
        <v>0</v>
      </c>
      <c r="AL55" s="459">
        <f t="shared" si="65"/>
        <v>0</v>
      </c>
      <c r="AM55" s="459">
        <f t="shared" si="65"/>
        <v>0</v>
      </c>
      <c r="AN55" s="460">
        <f t="shared" si="65"/>
        <v>0</v>
      </c>
      <c r="AO55" s="458">
        <f t="shared" si="65"/>
        <v>0</v>
      </c>
      <c r="AP55" s="459">
        <f t="shared" si="65"/>
        <v>0</v>
      </c>
      <c r="AQ55" s="459">
        <f t="shared" si="65"/>
        <v>0</v>
      </c>
      <c r="AR55" s="460">
        <f t="shared" si="65"/>
        <v>0</v>
      </c>
      <c r="AS55" s="458">
        <f t="shared" si="65"/>
        <v>0</v>
      </c>
      <c r="AT55" s="459">
        <f t="shared" si="65"/>
        <v>0</v>
      </c>
      <c r="AU55" s="459">
        <f t="shared" si="65"/>
        <v>0</v>
      </c>
      <c r="AV55" s="460">
        <f t="shared" si="65"/>
        <v>0</v>
      </c>
      <c r="AW55" s="473"/>
    </row>
    <row r="56" spans="1:49" ht="13.5" customHeight="1" outlineLevel="1">
      <c r="A56" s="1944"/>
      <c r="B56" s="1949"/>
      <c r="C56" s="461" t="s">
        <v>881</v>
      </c>
      <c r="D56" s="462">
        <f t="shared" ref="D56:D59" si="66">SUM(E56:AV56)</f>
        <v>0</v>
      </c>
      <c r="E56" s="463">
        <f t="shared" ref="E56:AV56" si="67">IFERROR(E57/$D57,0)</f>
        <v>0</v>
      </c>
      <c r="F56" s="464">
        <f t="shared" si="67"/>
        <v>0</v>
      </c>
      <c r="G56" s="464">
        <f t="shared" si="67"/>
        <v>0</v>
      </c>
      <c r="H56" s="465">
        <f t="shared" si="67"/>
        <v>0</v>
      </c>
      <c r="I56" s="463">
        <f t="shared" si="67"/>
        <v>0</v>
      </c>
      <c r="J56" s="464">
        <f t="shared" si="67"/>
        <v>0</v>
      </c>
      <c r="K56" s="464">
        <f t="shared" si="67"/>
        <v>0</v>
      </c>
      <c r="L56" s="465">
        <f t="shared" si="67"/>
        <v>0</v>
      </c>
      <c r="M56" s="463">
        <f t="shared" si="67"/>
        <v>0</v>
      </c>
      <c r="N56" s="464">
        <f t="shared" si="67"/>
        <v>0</v>
      </c>
      <c r="O56" s="464">
        <f t="shared" si="67"/>
        <v>0</v>
      </c>
      <c r="P56" s="465">
        <f t="shared" si="67"/>
        <v>0</v>
      </c>
      <c r="Q56" s="463">
        <f t="shared" si="67"/>
        <v>0</v>
      </c>
      <c r="R56" s="464">
        <f t="shared" si="67"/>
        <v>0</v>
      </c>
      <c r="S56" s="464">
        <f t="shared" si="67"/>
        <v>0</v>
      </c>
      <c r="T56" s="465">
        <f t="shared" si="67"/>
        <v>0</v>
      </c>
      <c r="U56" s="463">
        <f t="shared" si="67"/>
        <v>0</v>
      </c>
      <c r="V56" s="464">
        <f t="shared" si="67"/>
        <v>0</v>
      </c>
      <c r="W56" s="464">
        <f t="shared" si="67"/>
        <v>0</v>
      </c>
      <c r="X56" s="465">
        <f t="shared" si="67"/>
        <v>0</v>
      </c>
      <c r="Y56" s="463">
        <f t="shared" si="67"/>
        <v>0</v>
      </c>
      <c r="Z56" s="464">
        <f t="shared" si="67"/>
        <v>0</v>
      </c>
      <c r="AA56" s="464">
        <f t="shared" si="67"/>
        <v>0</v>
      </c>
      <c r="AB56" s="465">
        <f t="shared" si="67"/>
        <v>0</v>
      </c>
      <c r="AC56" s="463">
        <f t="shared" si="67"/>
        <v>0</v>
      </c>
      <c r="AD56" s="464">
        <f t="shared" si="67"/>
        <v>0</v>
      </c>
      <c r="AE56" s="464">
        <f t="shared" si="67"/>
        <v>0</v>
      </c>
      <c r="AF56" s="465">
        <f t="shared" si="67"/>
        <v>0</v>
      </c>
      <c r="AG56" s="463">
        <f t="shared" si="67"/>
        <v>0</v>
      </c>
      <c r="AH56" s="464">
        <f t="shared" si="67"/>
        <v>0</v>
      </c>
      <c r="AI56" s="464">
        <f t="shared" si="67"/>
        <v>0</v>
      </c>
      <c r="AJ56" s="465">
        <f t="shared" si="67"/>
        <v>0</v>
      </c>
      <c r="AK56" s="463">
        <f t="shared" si="67"/>
        <v>0</v>
      </c>
      <c r="AL56" s="464">
        <f t="shared" si="67"/>
        <v>0</v>
      </c>
      <c r="AM56" s="464">
        <f t="shared" si="67"/>
        <v>0</v>
      </c>
      <c r="AN56" s="465">
        <f t="shared" si="67"/>
        <v>0</v>
      </c>
      <c r="AO56" s="463">
        <f t="shared" si="67"/>
        <v>0</v>
      </c>
      <c r="AP56" s="464">
        <f t="shared" si="67"/>
        <v>0</v>
      </c>
      <c r="AQ56" s="464">
        <f t="shared" si="67"/>
        <v>0</v>
      </c>
      <c r="AR56" s="465">
        <f t="shared" si="67"/>
        <v>0</v>
      </c>
      <c r="AS56" s="463">
        <f t="shared" si="67"/>
        <v>0</v>
      </c>
      <c r="AT56" s="464">
        <f t="shared" si="67"/>
        <v>0</v>
      </c>
      <c r="AU56" s="464">
        <f t="shared" si="67"/>
        <v>0</v>
      </c>
      <c r="AV56" s="465">
        <f t="shared" si="67"/>
        <v>0</v>
      </c>
      <c r="AW56" s="78"/>
    </row>
    <row r="57" spans="1:49" s="424" customFormat="1" ht="13.5" customHeight="1" outlineLevel="1">
      <c r="A57" s="1944"/>
      <c r="B57" s="1949"/>
      <c r="C57" s="461" t="s">
        <v>682</v>
      </c>
      <c r="D57" s="466">
        <f t="shared" si="66"/>
        <v>0</v>
      </c>
      <c r="E57" s="382">
        <f t="shared" ref="E57:E59" si="68">SUM(E127,E197,E267,E337,E407,E477)</f>
        <v>0</v>
      </c>
      <c r="F57" s="397">
        <f t="shared" ref="F57:AV57" si="69">SUM(F127,F197,F267,F337,F407,F477)</f>
        <v>0</v>
      </c>
      <c r="G57" s="397">
        <f t="shared" si="69"/>
        <v>0</v>
      </c>
      <c r="H57" s="467">
        <f t="shared" si="69"/>
        <v>0</v>
      </c>
      <c r="I57" s="382">
        <f t="shared" si="69"/>
        <v>0</v>
      </c>
      <c r="J57" s="397">
        <f t="shared" si="69"/>
        <v>0</v>
      </c>
      <c r="K57" s="397">
        <f t="shared" si="69"/>
        <v>0</v>
      </c>
      <c r="L57" s="467">
        <f t="shared" si="69"/>
        <v>0</v>
      </c>
      <c r="M57" s="382">
        <f t="shared" si="69"/>
        <v>0</v>
      </c>
      <c r="N57" s="397">
        <f t="shared" si="69"/>
        <v>0</v>
      </c>
      <c r="O57" s="397">
        <f t="shared" si="69"/>
        <v>0</v>
      </c>
      <c r="P57" s="467">
        <f t="shared" si="69"/>
        <v>0</v>
      </c>
      <c r="Q57" s="382">
        <f t="shared" si="69"/>
        <v>0</v>
      </c>
      <c r="R57" s="397">
        <f t="shared" si="69"/>
        <v>0</v>
      </c>
      <c r="S57" s="397">
        <f t="shared" si="69"/>
        <v>0</v>
      </c>
      <c r="T57" s="467">
        <f t="shared" si="69"/>
        <v>0</v>
      </c>
      <c r="U57" s="382">
        <f t="shared" si="69"/>
        <v>0</v>
      </c>
      <c r="V57" s="397">
        <f t="shared" si="69"/>
        <v>0</v>
      </c>
      <c r="W57" s="397">
        <f t="shared" si="69"/>
        <v>0</v>
      </c>
      <c r="X57" s="467">
        <f t="shared" si="69"/>
        <v>0</v>
      </c>
      <c r="Y57" s="382">
        <f t="shared" si="69"/>
        <v>0</v>
      </c>
      <c r="Z57" s="397">
        <f t="shared" si="69"/>
        <v>0</v>
      </c>
      <c r="AA57" s="397">
        <f t="shared" si="69"/>
        <v>0</v>
      </c>
      <c r="AB57" s="467">
        <f t="shared" si="69"/>
        <v>0</v>
      </c>
      <c r="AC57" s="382">
        <f t="shared" si="69"/>
        <v>0</v>
      </c>
      <c r="AD57" s="397">
        <f t="shared" si="69"/>
        <v>0</v>
      </c>
      <c r="AE57" s="397">
        <f t="shared" si="69"/>
        <v>0</v>
      </c>
      <c r="AF57" s="467">
        <f t="shared" si="69"/>
        <v>0</v>
      </c>
      <c r="AG57" s="382">
        <f t="shared" si="69"/>
        <v>0</v>
      </c>
      <c r="AH57" s="397">
        <f t="shared" si="69"/>
        <v>0</v>
      </c>
      <c r="AI57" s="397">
        <f t="shared" si="69"/>
        <v>0</v>
      </c>
      <c r="AJ57" s="467">
        <f t="shared" si="69"/>
        <v>0</v>
      </c>
      <c r="AK57" s="382">
        <f t="shared" si="69"/>
        <v>0</v>
      </c>
      <c r="AL57" s="397">
        <f t="shared" si="69"/>
        <v>0</v>
      </c>
      <c r="AM57" s="397">
        <f t="shared" si="69"/>
        <v>0</v>
      </c>
      <c r="AN57" s="467">
        <f t="shared" si="69"/>
        <v>0</v>
      </c>
      <c r="AO57" s="382">
        <f t="shared" si="69"/>
        <v>0</v>
      </c>
      <c r="AP57" s="397">
        <f t="shared" si="69"/>
        <v>0</v>
      </c>
      <c r="AQ57" s="397">
        <f t="shared" si="69"/>
        <v>0</v>
      </c>
      <c r="AR57" s="467">
        <f t="shared" si="69"/>
        <v>0</v>
      </c>
      <c r="AS57" s="382">
        <f t="shared" si="69"/>
        <v>0</v>
      </c>
      <c r="AT57" s="397">
        <f t="shared" si="69"/>
        <v>0</v>
      </c>
      <c r="AU57" s="397">
        <f t="shared" si="69"/>
        <v>0</v>
      </c>
      <c r="AV57" s="467">
        <f t="shared" si="69"/>
        <v>0</v>
      </c>
      <c r="AW57" s="473"/>
    </row>
    <row r="58" spans="1:49" s="424" customFormat="1" ht="13.5" customHeight="1" outlineLevel="1">
      <c r="A58" s="1944"/>
      <c r="B58" s="1949"/>
      <c r="C58" s="461" t="s">
        <v>882</v>
      </c>
      <c r="D58" s="466">
        <f t="shared" si="66"/>
        <v>0</v>
      </c>
      <c r="E58" s="382">
        <f t="shared" si="68"/>
        <v>0</v>
      </c>
      <c r="F58" s="397">
        <f t="shared" ref="F58:AV58" si="70">SUM(F128,F198,F268,F338,F408,F478)</f>
        <v>0</v>
      </c>
      <c r="G58" s="397">
        <f t="shared" si="70"/>
        <v>0</v>
      </c>
      <c r="H58" s="467">
        <f t="shared" si="70"/>
        <v>0</v>
      </c>
      <c r="I58" s="382">
        <f t="shared" si="70"/>
        <v>0</v>
      </c>
      <c r="J58" s="397">
        <f t="shared" si="70"/>
        <v>0</v>
      </c>
      <c r="K58" s="397">
        <f t="shared" si="70"/>
        <v>0</v>
      </c>
      <c r="L58" s="467">
        <f t="shared" si="70"/>
        <v>0</v>
      </c>
      <c r="M58" s="382">
        <f t="shared" si="70"/>
        <v>0</v>
      </c>
      <c r="N58" s="397">
        <f t="shared" si="70"/>
        <v>0</v>
      </c>
      <c r="O58" s="397">
        <f t="shared" si="70"/>
        <v>0</v>
      </c>
      <c r="P58" s="467">
        <f t="shared" si="70"/>
        <v>0</v>
      </c>
      <c r="Q58" s="382">
        <f t="shared" si="70"/>
        <v>0</v>
      </c>
      <c r="R58" s="397">
        <f t="shared" si="70"/>
        <v>0</v>
      </c>
      <c r="S58" s="397">
        <f t="shared" si="70"/>
        <v>0</v>
      </c>
      <c r="T58" s="467">
        <f t="shared" si="70"/>
        <v>0</v>
      </c>
      <c r="U58" s="382">
        <f t="shared" si="70"/>
        <v>0</v>
      </c>
      <c r="V58" s="397">
        <f t="shared" si="70"/>
        <v>0</v>
      </c>
      <c r="W58" s="397">
        <f t="shared" si="70"/>
        <v>0</v>
      </c>
      <c r="X58" s="467">
        <f t="shared" si="70"/>
        <v>0</v>
      </c>
      <c r="Y58" s="382">
        <f t="shared" si="70"/>
        <v>0</v>
      </c>
      <c r="Z58" s="397">
        <f t="shared" si="70"/>
        <v>0</v>
      </c>
      <c r="AA58" s="397">
        <f t="shared" si="70"/>
        <v>0</v>
      </c>
      <c r="AB58" s="467">
        <f t="shared" si="70"/>
        <v>0</v>
      </c>
      <c r="AC58" s="382">
        <f t="shared" si="70"/>
        <v>0</v>
      </c>
      <c r="AD58" s="397">
        <f t="shared" si="70"/>
        <v>0</v>
      </c>
      <c r="AE58" s="397">
        <f t="shared" si="70"/>
        <v>0</v>
      </c>
      <c r="AF58" s="467">
        <f t="shared" si="70"/>
        <v>0</v>
      </c>
      <c r="AG58" s="382">
        <f t="shared" si="70"/>
        <v>0</v>
      </c>
      <c r="AH58" s="397">
        <f t="shared" si="70"/>
        <v>0</v>
      </c>
      <c r="AI58" s="397">
        <f t="shared" si="70"/>
        <v>0</v>
      </c>
      <c r="AJ58" s="467">
        <f t="shared" si="70"/>
        <v>0</v>
      </c>
      <c r="AK58" s="382">
        <f t="shared" si="70"/>
        <v>0</v>
      </c>
      <c r="AL58" s="397">
        <f t="shared" si="70"/>
        <v>0</v>
      </c>
      <c r="AM58" s="397">
        <f t="shared" si="70"/>
        <v>0</v>
      </c>
      <c r="AN58" s="467">
        <f t="shared" si="70"/>
        <v>0</v>
      </c>
      <c r="AO58" s="382">
        <f t="shared" si="70"/>
        <v>0</v>
      </c>
      <c r="AP58" s="397">
        <f t="shared" si="70"/>
        <v>0</v>
      </c>
      <c r="AQ58" s="397">
        <f t="shared" si="70"/>
        <v>0</v>
      </c>
      <c r="AR58" s="467">
        <f t="shared" si="70"/>
        <v>0</v>
      </c>
      <c r="AS58" s="382">
        <f t="shared" si="70"/>
        <v>0</v>
      </c>
      <c r="AT58" s="397">
        <f t="shared" si="70"/>
        <v>0</v>
      </c>
      <c r="AU58" s="397">
        <f t="shared" si="70"/>
        <v>0</v>
      </c>
      <c r="AV58" s="467">
        <f t="shared" si="70"/>
        <v>0</v>
      </c>
      <c r="AW58" s="473"/>
    </row>
    <row r="59" spans="1:49" s="424" customFormat="1" ht="13.5" customHeight="1" outlineLevel="1">
      <c r="A59" s="1944"/>
      <c r="B59" s="1949"/>
      <c r="C59" s="461" t="s">
        <v>450</v>
      </c>
      <c r="D59" s="468">
        <f t="shared" si="66"/>
        <v>0</v>
      </c>
      <c r="E59" s="386">
        <f t="shared" si="68"/>
        <v>0</v>
      </c>
      <c r="F59" s="399">
        <f t="shared" ref="F59:AV59" si="71">SUM(F129,F199,F269,F339,F409,F479)</f>
        <v>0</v>
      </c>
      <c r="G59" s="399">
        <f t="shared" si="71"/>
        <v>0</v>
      </c>
      <c r="H59" s="404">
        <f t="shared" si="71"/>
        <v>0</v>
      </c>
      <c r="I59" s="386">
        <f t="shared" si="71"/>
        <v>0</v>
      </c>
      <c r="J59" s="399">
        <f t="shared" si="71"/>
        <v>0</v>
      </c>
      <c r="K59" s="399">
        <f t="shared" si="71"/>
        <v>0</v>
      </c>
      <c r="L59" s="404">
        <f t="shared" si="71"/>
        <v>0</v>
      </c>
      <c r="M59" s="386">
        <f t="shared" si="71"/>
        <v>0</v>
      </c>
      <c r="N59" s="399">
        <f t="shared" si="71"/>
        <v>0</v>
      </c>
      <c r="O59" s="399">
        <f t="shared" si="71"/>
        <v>0</v>
      </c>
      <c r="P59" s="404">
        <f t="shared" si="71"/>
        <v>0</v>
      </c>
      <c r="Q59" s="386">
        <f t="shared" si="71"/>
        <v>0</v>
      </c>
      <c r="R59" s="399">
        <f t="shared" si="71"/>
        <v>0</v>
      </c>
      <c r="S59" s="399">
        <f t="shared" si="71"/>
        <v>0</v>
      </c>
      <c r="T59" s="404">
        <f t="shared" si="71"/>
        <v>0</v>
      </c>
      <c r="U59" s="386">
        <f t="shared" si="71"/>
        <v>0</v>
      </c>
      <c r="V59" s="399">
        <f t="shared" si="71"/>
        <v>0</v>
      </c>
      <c r="W59" s="399">
        <f t="shared" si="71"/>
        <v>0</v>
      </c>
      <c r="X59" s="404">
        <f t="shared" si="71"/>
        <v>0</v>
      </c>
      <c r="Y59" s="386">
        <f t="shared" si="71"/>
        <v>0</v>
      </c>
      <c r="Z59" s="399">
        <f t="shared" si="71"/>
        <v>0</v>
      </c>
      <c r="AA59" s="399">
        <f t="shared" si="71"/>
        <v>0</v>
      </c>
      <c r="AB59" s="404">
        <f t="shared" si="71"/>
        <v>0</v>
      </c>
      <c r="AC59" s="386">
        <f t="shared" si="71"/>
        <v>0</v>
      </c>
      <c r="AD59" s="399">
        <f t="shared" si="71"/>
        <v>0</v>
      </c>
      <c r="AE59" s="399">
        <f t="shared" si="71"/>
        <v>0</v>
      </c>
      <c r="AF59" s="404">
        <f t="shared" si="71"/>
        <v>0</v>
      </c>
      <c r="AG59" s="386">
        <f t="shared" si="71"/>
        <v>0</v>
      </c>
      <c r="AH59" s="399">
        <f t="shared" si="71"/>
        <v>0</v>
      </c>
      <c r="AI59" s="399">
        <f t="shared" si="71"/>
        <v>0</v>
      </c>
      <c r="AJ59" s="404">
        <f t="shared" si="71"/>
        <v>0</v>
      </c>
      <c r="AK59" s="386">
        <f t="shared" si="71"/>
        <v>0</v>
      </c>
      <c r="AL59" s="399">
        <f t="shared" si="71"/>
        <v>0</v>
      </c>
      <c r="AM59" s="399">
        <f t="shared" si="71"/>
        <v>0</v>
      </c>
      <c r="AN59" s="404">
        <f t="shared" si="71"/>
        <v>0</v>
      </c>
      <c r="AO59" s="386">
        <f t="shared" si="71"/>
        <v>0</v>
      </c>
      <c r="AP59" s="399">
        <f t="shared" si="71"/>
        <v>0</v>
      </c>
      <c r="AQ59" s="399">
        <f t="shared" si="71"/>
        <v>0</v>
      </c>
      <c r="AR59" s="404">
        <f t="shared" si="71"/>
        <v>0</v>
      </c>
      <c r="AS59" s="386">
        <f t="shared" si="71"/>
        <v>0</v>
      </c>
      <c r="AT59" s="399">
        <f t="shared" si="71"/>
        <v>0</v>
      </c>
      <c r="AU59" s="399">
        <f t="shared" si="71"/>
        <v>0</v>
      </c>
      <c r="AV59" s="404">
        <f t="shared" si="71"/>
        <v>0</v>
      </c>
      <c r="AW59" s="473"/>
    </row>
    <row r="60" spans="1:49" s="424" customFormat="1" ht="13.5" customHeight="1" outlineLevel="1">
      <c r="A60" s="1944"/>
      <c r="B60" s="1949" t="str">
        <f>'8.项目规划指标表'!B14</f>
        <v>自持物业</v>
      </c>
      <c r="C60" s="461" t="s">
        <v>880</v>
      </c>
      <c r="D60" s="457">
        <f>IFERROR(D63/D62*10000,0)</f>
        <v>0</v>
      </c>
      <c r="E60" s="458">
        <f>IFERROR(E63/E62*10000,0)</f>
        <v>0</v>
      </c>
      <c r="F60" s="459">
        <f t="shared" ref="F60:AV60" si="72">IFERROR(F63/F62*10000,0)</f>
        <v>0</v>
      </c>
      <c r="G60" s="459">
        <f t="shared" si="72"/>
        <v>0</v>
      </c>
      <c r="H60" s="460">
        <f t="shared" si="72"/>
        <v>0</v>
      </c>
      <c r="I60" s="458">
        <f t="shared" si="72"/>
        <v>0</v>
      </c>
      <c r="J60" s="459">
        <f t="shared" si="72"/>
        <v>0</v>
      </c>
      <c r="K60" s="459">
        <f t="shared" si="72"/>
        <v>0</v>
      </c>
      <c r="L60" s="460">
        <f t="shared" si="72"/>
        <v>0</v>
      </c>
      <c r="M60" s="458">
        <f t="shared" si="72"/>
        <v>0</v>
      </c>
      <c r="N60" s="459">
        <f t="shared" si="72"/>
        <v>0</v>
      </c>
      <c r="O60" s="459">
        <f t="shared" si="72"/>
        <v>0</v>
      </c>
      <c r="P60" s="460">
        <f t="shared" si="72"/>
        <v>0</v>
      </c>
      <c r="Q60" s="458">
        <f t="shared" si="72"/>
        <v>0</v>
      </c>
      <c r="R60" s="459">
        <f t="shared" si="72"/>
        <v>0</v>
      </c>
      <c r="S60" s="459">
        <f t="shared" si="72"/>
        <v>0</v>
      </c>
      <c r="T60" s="460">
        <f t="shared" si="72"/>
        <v>0</v>
      </c>
      <c r="U60" s="458">
        <f t="shared" si="72"/>
        <v>0</v>
      </c>
      <c r="V60" s="459">
        <f t="shared" si="72"/>
        <v>0</v>
      </c>
      <c r="W60" s="459">
        <f t="shared" si="72"/>
        <v>0</v>
      </c>
      <c r="X60" s="460">
        <f t="shared" si="72"/>
        <v>0</v>
      </c>
      <c r="Y60" s="458">
        <f t="shared" si="72"/>
        <v>0</v>
      </c>
      <c r="Z60" s="459">
        <f t="shared" si="72"/>
        <v>0</v>
      </c>
      <c r="AA60" s="459">
        <f t="shared" si="72"/>
        <v>0</v>
      </c>
      <c r="AB60" s="460">
        <f t="shared" si="72"/>
        <v>0</v>
      </c>
      <c r="AC60" s="458">
        <f t="shared" si="72"/>
        <v>0</v>
      </c>
      <c r="AD60" s="459">
        <f t="shared" si="72"/>
        <v>0</v>
      </c>
      <c r="AE60" s="459">
        <f t="shared" si="72"/>
        <v>0</v>
      </c>
      <c r="AF60" s="460">
        <f t="shared" si="72"/>
        <v>0</v>
      </c>
      <c r="AG60" s="458">
        <f t="shared" si="72"/>
        <v>0</v>
      </c>
      <c r="AH60" s="459">
        <f t="shared" si="72"/>
        <v>0</v>
      </c>
      <c r="AI60" s="459">
        <f t="shared" si="72"/>
        <v>0</v>
      </c>
      <c r="AJ60" s="460">
        <f t="shared" si="72"/>
        <v>0</v>
      </c>
      <c r="AK60" s="458">
        <f t="shared" si="72"/>
        <v>0</v>
      </c>
      <c r="AL60" s="459">
        <f t="shared" si="72"/>
        <v>0</v>
      </c>
      <c r="AM60" s="459">
        <f t="shared" si="72"/>
        <v>0</v>
      </c>
      <c r="AN60" s="460">
        <f t="shared" si="72"/>
        <v>0</v>
      </c>
      <c r="AO60" s="458">
        <f t="shared" si="72"/>
        <v>0</v>
      </c>
      <c r="AP60" s="459">
        <f t="shared" si="72"/>
        <v>0</v>
      </c>
      <c r="AQ60" s="459">
        <f t="shared" si="72"/>
        <v>0</v>
      </c>
      <c r="AR60" s="460">
        <f t="shared" si="72"/>
        <v>0</v>
      </c>
      <c r="AS60" s="458">
        <f t="shared" si="72"/>
        <v>0</v>
      </c>
      <c r="AT60" s="459">
        <f t="shared" si="72"/>
        <v>0</v>
      </c>
      <c r="AU60" s="459">
        <f t="shared" si="72"/>
        <v>0</v>
      </c>
      <c r="AV60" s="460">
        <f t="shared" si="72"/>
        <v>0</v>
      </c>
      <c r="AW60" s="473"/>
    </row>
    <row r="61" spans="1:49" ht="13.5" customHeight="1" outlineLevel="1">
      <c r="A61" s="1944"/>
      <c r="B61" s="1949"/>
      <c r="C61" s="461" t="s">
        <v>881</v>
      </c>
      <c r="D61" s="462">
        <f t="shared" ref="D61:D64" si="73">SUM(E61:AV61)</f>
        <v>0</v>
      </c>
      <c r="E61" s="463">
        <f t="shared" ref="E61:AV61" si="74">IFERROR(E62/$D62,0)</f>
        <v>0</v>
      </c>
      <c r="F61" s="464">
        <f t="shared" si="74"/>
        <v>0</v>
      </c>
      <c r="G61" s="464">
        <f t="shared" si="74"/>
        <v>0</v>
      </c>
      <c r="H61" s="465">
        <f t="shared" si="74"/>
        <v>0</v>
      </c>
      <c r="I61" s="463">
        <f t="shared" si="74"/>
        <v>0</v>
      </c>
      <c r="J61" s="464">
        <f t="shared" si="74"/>
        <v>0</v>
      </c>
      <c r="K61" s="464">
        <f t="shared" si="74"/>
        <v>0</v>
      </c>
      <c r="L61" s="465">
        <f t="shared" si="74"/>
        <v>0</v>
      </c>
      <c r="M61" s="463">
        <f t="shared" si="74"/>
        <v>0</v>
      </c>
      <c r="N61" s="464">
        <f t="shared" si="74"/>
        <v>0</v>
      </c>
      <c r="O61" s="464">
        <f t="shared" si="74"/>
        <v>0</v>
      </c>
      <c r="P61" s="465">
        <f t="shared" si="74"/>
        <v>0</v>
      </c>
      <c r="Q61" s="463">
        <f t="shared" si="74"/>
        <v>0</v>
      </c>
      <c r="R61" s="464">
        <f t="shared" si="74"/>
        <v>0</v>
      </c>
      <c r="S61" s="464">
        <f t="shared" si="74"/>
        <v>0</v>
      </c>
      <c r="T61" s="465">
        <f t="shared" si="74"/>
        <v>0</v>
      </c>
      <c r="U61" s="463">
        <f t="shared" si="74"/>
        <v>0</v>
      </c>
      <c r="V61" s="464">
        <f t="shared" si="74"/>
        <v>0</v>
      </c>
      <c r="W61" s="464">
        <f t="shared" si="74"/>
        <v>0</v>
      </c>
      <c r="X61" s="465">
        <f t="shared" si="74"/>
        <v>0</v>
      </c>
      <c r="Y61" s="463">
        <f t="shared" si="74"/>
        <v>0</v>
      </c>
      <c r="Z61" s="464">
        <f t="shared" si="74"/>
        <v>0</v>
      </c>
      <c r="AA61" s="464">
        <f t="shared" si="74"/>
        <v>0</v>
      </c>
      <c r="AB61" s="465">
        <f t="shared" si="74"/>
        <v>0</v>
      </c>
      <c r="AC61" s="463">
        <f t="shared" si="74"/>
        <v>0</v>
      </c>
      <c r="AD61" s="464">
        <f t="shared" si="74"/>
        <v>0</v>
      </c>
      <c r="AE61" s="464">
        <f t="shared" si="74"/>
        <v>0</v>
      </c>
      <c r="AF61" s="465">
        <f t="shared" si="74"/>
        <v>0</v>
      </c>
      <c r="AG61" s="463">
        <f t="shared" si="74"/>
        <v>0</v>
      </c>
      <c r="AH61" s="464">
        <f t="shared" si="74"/>
        <v>0</v>
      </c>
      <c r="AI61" s="464">
        <f t="shared" si="74"/>
        <v>0</v>
      </c>
      <c r="AJ61" s="465">
        <f t="shared" si="74"/>
        <v>0</v>
      </c>
      <c r="AK61" s="463">
        <f t="shared" si="74"/>
        <v>0</v>
      </c>
      <c r="AL61" s="464">
        <f t="shared" si="74"/>
        <v>0</v>
      </c>
      <c r="AM61" s="464">
        <f t="shared" si="74"/>
        <v>0</v>
      </c>
      <c r="AN61" s="465">
        <f t="shared" si="74"/>
        <v>0</v>
      </c>
      <c r="AO61" s="463">
        <f t="shared" si="74"/>
        <v>0</v>
      </c>
      <c r="AP61" s="464">
        <f t="shared" si="74"/>
        <v>0</v>
      </c>
      <c r="AQ61" s="464">
        <f t="shared" si="74"/>
        <v>0</v>
      </c>
      <c r="AR61" s="465">
        <f t="shared" si="74"/>
        <v>0</v>
      </c>
      <c r="AS61" s="463">
        <f t="shared" si="74"/>
        <v>0</v>
      </c>
      <c r="AT61" s="464">
        <f t="shared" si="74"/>
        <v>0</v>
      </c>
      <c r="AU61" s="464">
        <f t="shared" si="74"/>
        <v>0</v>
      </c>
      <c r="AV61" s="465">
        <f t="shared" si="74"/>
        <v>0</v>
      </c>
      <c r="AW61" s="78"/>
    </row>
    <row r="62" spans="1:49" s="424" customFormat="1" ht="13.5" customHeight="1" outlineLevel="1">
      <c r="A62" s="1944"/>
      <c r="B62" s="1949"/>
      <c r="C62" s="461" t="s">
        <v>682</v>
      </c>
      <c r="D62" s="466">
        <f t="shared" si="73"/>
        <v>0</v>
      </c>
      <c r="E62" s="382">
        <f t="shared" ref="E62:E64" si="75">SUM(E132,E202,E272,E342,E412,E482)</f>
        <v>0</v>
      </c>
      <c r="F62" s="397">
        <f t="shared" ref="F62:AV62" si="76">SUM(F132,F202,F272,F342,F412,F482)</f>
        <v>0</v>
      </c>
      <c r="G62" s="397">
        <f t="shared" si="76"/>
        <v>0</v>
      </c>
      <c r="H62" s="467">
        <f t="shared" si="76"/>
        <v>0</v>
      </c>
      <c r="I62" s="382">
        <f t="shared" si="76"/>
        <v>0</v>
      </c>
      <c r="J62" s="397">
        <f t="shared" si="76"/>
        <v>0</v>
      </c>
      <c r="K62" s="397">
        <f t="shared" si="76"/>
        <v>0</v>
      </c>
      <c r="L62" s="467">
        <f t="shared" si="76"/>
        <v>0</v>
      </c>
      <c r="M62" s="382">
        <f t="shared" si="76"/>
        <v>0</v>
      </c>
      <c r="N62" s="397">
        <f t="shared" si="76"/>
        <v>0</v>
      </c>
      <c r="O62" s="397">
        <f t="shared" si="76"/>
        <v>0</v>
      </c>
      <c r="P62" s="467">
        <f t="shared" si="76"/>
        <v>0</v>
      </c>
      <c r="Q62" s="382">
        <f t="shared" si="76"/>
        <v>0</v>
      </c>
      <c r="R62" s="397">
        <f t="shared" si="76"/>
        <v>0</v>
      </c>
      <c r="S62" s="397">
        <f t="shared" si="76"/>
        <v>0</v>
      </c>
      <c r="T62" s="467">
        <f t="shared" si="76"/>
        <v>0</v>
      </c>
      <c r="U62" s="382">
        <f t="shared" si="76"/>
        <v>0</v>
      </c>
      <c r="V62" s="397">
        <f t="shared" si="76"/>
        <v>0</v>
      </c>
      <c r="W62" s="397">
        <f t="shared" si="76"/>
        <v>0</v>
      </c>
      <c r="X62" s="467">
        <f t="shared" si="76"/>
        <v>0</v>
      </c>
      <c r="Y62" s="382">
        <f t="shared" si="76"/>
        <v>0</v>
      </c>
      <c r="Z62" s="397">
        <f t="shared" si="76"/>
        <v>0</v>
      </c>
      <c r="AA62" s="397">
        <f t="shared" si="76"/>
        <v>0</v>
      </c>
      <c r="AB62" s="467">
        <f t="shared" si="76"/>
        <v>0</v>
      </c>
      <c r="AC62" s="382">
        <f t="shared" si="76"/>
        <v>0</v>
      </c>
      <c r="AD62" s="397">
        <f t="shared" si="76"/>
        <v>0</v>
      </c>
      <c r="AE62" s="397">
        <f t="shared" si="76"/>
        <v>0</v>
      </c>
      <c r="AF62" s="467">
        <f t="shared" si="76"/>
        <v>0</v>
      </c>
      <c r="AG62" s="382">
        <f t="shared" si="76"/>
        <v>0</v>
      </c>
      <c r="AH62" s="397">
        <f t="shared" si="76"/>
        <v>0</v>
      </c>
      <c r="AI62" s="397">
        <f t="shared" si="76"/>
        <v>0</v>
      </c>
      <c r="AJ62" s="467">
        <f t="shared" si="76"/>
        <v>0</v>
      </c>
      <c r="AK62" s="382">
        <f t="shared" si="76"/>
        <v>0</v>
      </c>
      <c r="AL62" s="397">
        <f t="shared" si="76"/>
        <v>0</v>
      </c>
      <c r="AM62" s="397">
        <f t="shared" si="76"/>
        <v>0</v>
      </c>
      <c r="AN62" s="467">
        <f t="shared" si="76"/>
        <v>0</v>
      </c>
      <c r="AO62" s="382">
        <f t="shared" si="76"/>
        <v>0</v>
      </c>
      <c r="AP62" s="397">
        <f t="shared" si="76"/>
        <v>0</v>
      </c>
      <c r="AQ62" s="397">
        <f t="shared" si="76"/>
        <v>0</v>
      </c>
      <c r="AR62" s="467">
        <f t="shared" si="76"/>
        <v>0</v>
      </c>
      <c r="AS62" s="382">
        <f t="shared" si="76"/>
        <v>0</v>
      </c>
      <c r="AT62" s="397">
        <f t="shared" si="76"/>
        <v>0</v>
      </c>
      <c r="AU62" s="397">
        <f t="shared" si="76"/>
        <v>0</v>
      </c>
      <c r="AV62" s="467">
        <f t="shared" si="76"/>
        <v>0</v>
      </c>
      <c r="AW62" s="473"/>
    </row>
    <row r="63" spans="1:49" s="424" customFormat="1" ht="13.5" customHeight="1" outlineLevel="1">
      <c r="A63" s="1944"/>
      <c r="B63" s="1949"/>
      <c r="C63" s="461" t="s">
        <v>882</v>
      </c>
      <c r="D63" s="466">
        <f t="shared" si="73"/>
        <v>0</v>
      </c>
      <c r="E63" s="382">
        <f t="shared" si="75"/>
        <v>0</v>
      </c>
      <c r="F63" s="397">
        <f t="shared" ref="F63:AV63" si="77">SUM(F133,F203,F273,F343,F413,F483)</f>
        <v>0</v>
      </c>
      <c r="G63" s="397">
        <f t="shared" si="77"/>
        <v>0</v>
      </c>
      <c r="H63" s="467">
        <f t="shared" si="77"/>
        <v>0</v>
      </c>
      <c r="I63" s="382">
        <f t="shared" si="77"/>
        <v>0</v>
      </c>
      <c r="J63" s="397">
        <f t="shared" si="77"/>
        <v>0</v>
      </c>
      <c r="K63" s="397">
        <f t="shared" si="77"/>
        <v>0</v>
      </c>
      <c r="L63" s="467">
        <f t="shared" si="77"/>
        <v>0</v>
      </c>
      <c r="M63" s="382">
        <f t="shared" si="77"/>
        <v>0</v>
      </c>
      <c r="N63" s="397">
        <f t="shared" si="77"/>
        <v>0</v>
      </c>
      <c r="O63" s="397">
        <f t="shared" si="77"/>
        <v>0</v>
      </c>
      <c r="P63" s="467">
        <f t="shared" si="77"/>
        <v>0</v>
      </c>
      <c r="Q63" s="382">
        <f t="shared" si="77"/>
        <v>0</v>
      </c>
      <c r="R63" s="397">
        <f t="shared" si="77"/>
        <v>0</v>
      </c>
      <c r="S63" s="397">
        <f t="shared" si="77"/>
        <v>0</v>
      </c>
      <c r="T63" s="467">
        <f t="shared" si="77"/>
        <v>0</v>
      </c>
      <c r="U63" s="382">
        <f t="shared" si="77"/>
        <v>0</v>
      </c>
      <c r="V63" s="397">
        <f t="shared" si="77"/>
        <v>0</v>
      </c>
      <c r="W63" s="397">
        <f t="shared" si="77"/>
        <v>0</v>
      </c>
      <c r="X63" s="467">
        <f t="shared" si="77"/>
        <v>0</v>
      </c>
      <c r="Y63" s="382">
        <f t="shared" si="77"/>
        <v>0</v>
      </c>
      <c r="Z63" s="397">
        <f t="shared" si="77"/>
        <v>0</v>
      </c>
      <c r="AA63" s="397">
        <f t="shared" si="77"/>
        <v>0</v>
      </c>
      <c r="AB63" s="467">
        <f t="shared" si="77"/>
        <v>0</v>
      </c>
      <c r="AC63" s="382">
        <f t="shared" si="77"/>
        <v>0</v>
      </c>
      <c r="AD63" s="397">
        <f t="shared" si="77"/>
        <v>0</v>
      </c>
      <c r="AE63" s="397">
        <f t="shared" si="77"/>
        <v>0</v>
      </c>
      <c r="AF63" s="467">
        <f t="shared" si="77"/>
        <v>0</v>
      </c>
      <c r="AG63" s="382">
        <f t="shared" si="77"/>
        <v>0</v>
      </c>
      <c r="AH63" s="397">
        <f t="shared" si="77"/>
        <v>0</v>
      </c>
      <c r="AI63" s="397">
        <f t="shared" si="77"/>
        <v>0</v>
      </c>
      <c r="AJ63" s="467">
        <f t="shared" si="77"/>
        <v>0</v>
      </c>
      <c r="AK63" s="382">
        <f t="shared" si="77"/>
        <v>0</v>
      </c>
      <c r="AL63" s="397">
        <f t="shared" si="77"/>
        <v>0</v>
      </c>
      <c r="AM63" s="397">
        <f t="shared" si="77"/>
        <v>0</v>
      </c>
      <c r="AN63" s="467">
        <f t="shared" si="77"/>
        <v>0</v>
      </c>
      <c r="AO63" s="382">
        <f t="shared" si="77"/>
        <v>0</v>
      </c>
      <c r="AP63" s="397">
        <f t="shared" si="77"/>
        <v>0</v>
      </c>
      <c r="AQ63" s="397">
        <f t="shared" si="77"/>
        <v>0</v>
      </c>
      <c r="AR63" s="467">
        <f t="shared" si="77"/>
        <v>0</v>
      </c>
      <c r="AS63" s="382">
        <f t="shared" si="77"/>
        <v>0</v>
      </c>
      <c r="AT63" s="397">
        <f t="shared" si="77"/>
        <v>0</v>
      </c>
      <c r="AU63" s="397">
        <f t="shared" si="77"/>
        <v>0</v>
      </c>
      <c r="AV63" s="467">
        <f t="shared" si="77"/>
        <v>0</v>
      </c>
      <c r="AW63" s="473"/>
    </row>
    <row r="64" spans="1:49" s="424" customFormat="1" ht="13.5" customHeight="1" outlineLevel="1">
      <c r="A64" s="1944"/>
      <c r="B64" s="1949"/>
      <c r="C64" s="461" t="s">
        <v>450</v>
      </c>
      <c r="D64" s="468">
        <f t="shared" si="73"/>
        <v>0</v>
      </c>
      <c r="E64" s="386">
        <f t="shared" si="75"/>
        <v>0</v>
      </c>
      <c r="F64" s="399">
        <f t="shared" ref="F64:AV64" si="78">SUM(F134,F204,F274,F344,F414,F484)</f>
        <v>0</v>
      </c>
      <c r="G64" s="399">
        <f t="shared" si="78"/>
        <v>0</v>
      </c>
      <c r="H64" s="404">
        <f t="shared" si="78"/>
        <v>0</v>
      </c>
      <c r="I64" s="386">
        <f t="shared" si="78"/>
        <v>0</v>
      </c>
      <c r="J64" s="399">
        <f t="shared" si="78"/>
        <v>0</v>
      </c>
      <c r="K64" s="399">
        <f t="shared" si="78"/>
        <v>0</v>
      </c>
      <c r="L64" s="404">
        <f t="shared" si="78"/>
        <v>0</v>
      </c>
      <c r="M64" s="386">
        <f t="shared" si="78"/>
        <v>0</v>
      </c>
      <c r="N64" s="399">
        <f t="shared" si="78"/>
        <v>0</v>
      </c>
      <c r="O64" s="399">
        <f t="shared" si="78"/>
        <v>0</v>
      </c>
      <c r="P64" s="404">
        <f t="shared" si="78"/>
        <v>0</v>
      </c>
      <c r="Q64" s="386">
        <f t="shared" si="78"/>
        <v>0</v>
      </c>
      <c r="R64" s="399">
        <f t="shared" si="78"/>
        <v>0</v>
      </c>
      <c r="S64" s="399">
        <f t="shared" si="78"/>
        <v>0</v>
      </c>
      <c r="T64" s="404">
        <f t="shared" si="78"/>
        <v>0</v>
      </c>
      <c r="U64" s="386">
        <f t="shared" si="78"/>
        <v>0</v>
      </c>
      <c r="V64" s="399">
        <f t="shared" si="78"/>
        <v>0</v>
      </c>
      <c r="W64" s="399">
        <f t="shared" si="78"/>
        <v>0</v>
      </c>
      <c r="X64" s="404">
        <f t="shared" si="78"/>
        <v>0</v>
      </c>
      <c r="Y64" s="386">
        <f t="shared" si="78"/>
        <v>0</v>
      </c>
      <c r="Z64" s="399">
        <f t="shared" si="78"/>
        <v>0</v>
      </c>
      <c r="AA64" s="399">
        <f t="shared" si="78"/>
        <v>0</v>
      </c>
      <c r="AB64" s="404">
        <f t="shared" si="78"/>
        <v>0</v>
      </c>
      <c r="AC64" s="386">
        <f t="shared" si="78"/>
        <v>0</v>
      </c>
      <c r="AD64" s="399">
        <f t="shared" si="78"/>
        <v>0</v>
      </c>
      <c r="AE64" s="399">
        <f t="shared" si="78"/>
        <v>0</v>
      </c>
      <c r="AF64" s="404">
        <f t="shared" si="78"/>
        <v>0</v>
      </c>
      <c r="AG64" s="386">
        <f t="shared" si="78"/>
        <v>0</v>
      </c>
      <c r="AH64" s="399">
        <f t="shared" si="78"/>
        <v>0</v>
      </c>
      <c r="AI64" s="399">
        <f t="shared" si="78"/>
        <v>0</v>
      </c>
      <c r="AJ64" s="404">
        <f t="shared" si="78"/>
        <v>0</v>
      </c>
      <c r="AK64" s="386">
        <f t="shared" si="78"/>
        <v>0</v>
      </c>
      <c r="AL64" s="399">
        <f t="shared" si="78"/>
        <v>0</v>
      </c>
      <c r="AM64" s="399">
        <f t="shared" si="78"/>
        <v>0</v>
      </c>
      <c r="AN64" s="404">
        <f t="shared" si="78"/>
        <v>0</v>
      </c>
      <c r="AO64" s="386">
        <f t="shared" si="78"/>
        <v>0</v>
      </c>
      <c r="AP64" s="399">
        <f t="shared" si="78"/>
        <v>0</v>
      </c>
      <c r="AQ64" s="399">
        <f t="shared" si="78"/>
        <v>0</v>
      </c>
      <c r="AR64" s="404">
        <f t="shared" si="78"/>
        <v>0</v>
      </c>
      <c r="AS64" s="386">
        <f t="shared" si="78"/>
        <v>0</v>
      </c>
      <c r="AT64" s="399">
        <f t="shared" si="78"/>
        <v>0</v>
      </c>
      <c r="AU64" s="399">
        <f t="shared" si="78"/>
        <v>0</v>
      </c>
      <c r="AV64" s="404">
        <f t="shared" si="78"/>
        <v>0</v>
      </c>
      <c r="AW64" s="473"/>
    </row>
    <row r="65" spans="1:49" s="424" customFormat="1" ht="13.5" customHeight="1" outlineLevel="1">
      <c r="A65" s="1944"/>
      <c r="B65" s="1949" t="str">
        <f>'8.项目规划指标表'!B18</f>
        <v>有产权车库(个)</v>
      </c>
      <c r="C65" s="461" t="s">
        <v>880</v>
      </c>
      <c r="D65" s="457">
        <f>IFERROR(D68/D67*10000,0)</f>
        <v>112000</v>
      </c>
      <c r="E65" s="458">
        <f>IFERROR(E68/E67*10000,0)</f>
        <v>0</v>
      </c>
      <c r="F65" s="459">
        <f t="shared" ref="F65:AV65" si="79">IFERROR(F68/F67*10000,0)</f>
        <v>0</v>
      </c>
      <c r="G65" s="459">
        <f t="shared" si="79"/>
        <v>0</v>
      </c>
      <c r="H65" s="460">
        <f t="shared" si="79"/>
        <v>0</v>
      </c>
      <c r="I65" s="458">
        <f t="shared" si="79"/>
        <v>0</v>
      </c>
      <c r="J65" s="459">
        <f t="shared" si="79"/>
        <v>0</v>
      </c>
      <c r="K65" s="459">
        <f t="shared" si="79"/>
        <v>0</v>
      </c>
      <c r="L65" s="460">
        <f t="shared" si="79"/>
        <v>0</v>
      </c>
      <c r="M65" s="458">
        <f t="shared" si="79"/>
        <v>0</v>
      </c>
      <c r="N65" s="459">
        <f t="shared" si="79"/>
        <v>0</v>
      </c>
      <c r="O65" s="459">
        <f t="shared" si="79"/>
        <v>140000.00000000003</v>
      </c>
      <c r="P65" s="460">
        <f t="shared" si="79"/>
        <v>140000.00000000003</v>
      </c>
      <c r="Q65" s="458">
        <f t="shared" si="79"/>
        <v>139999.99999999997</v>
      </c>
      <c r="R65" s="459">
        <f t="shared" si="79"/>
        <v>0</v>
      </c>
      <c r="S65" s="459">
        <f t="shared" si="79"/>
        <v>0</v>
      </c>
      <c r="T65" s="460">
        <f t="shared" si="79"/>
        <v>0</v>
      </c>
      <c r="U65" s="458">
        <f t="shared" si="79"/>
        <v>0</v>
      </c>
      <c r="V65" s="459">
        <f t="shared" si="79"/>
        <v>0</v>
      </c>
      <c r="W65" s="459">
        <f t="shared" si="79"/>
        <v>0</v>
      </c>
      <c r="X65" s="460">
        <f t="shared" si="79"/>
        <v>0</v>
      </c>
      <c r="Y65" s="458">
        <f t="shared" si="79"/>
        <v>0</v>
      </c>
      <c r="Z65" s="459">
        <f t="shared" si="79"/>
        <v>0</v>
      </c>
      <c r="AA65" s="459">
        <f t="shared" si="79"/>
        <v>0</v>
      </c>
      <c r="AB65" s="460">
        <f t="shared" si="79"/>
        <v>0</v>
      </c>
      <c r="AC65" s="458">
        <f t="shared" si="79"/>
        <v>0</v>
      </c>
      <c r="AD65" s="459">
        <f t="shared" si="79"/>
        <v>0</v>
      </c>
      <c r="AE65" s="459">
        <f t="shared" si="79"/>
        <v>0</v>
      </c>
      <c r="AF65" s="460">
        <f t="shared" si="79"/>
        <v>0</v>
      </c>
      <c r="AG65" s="458">
        <f t="shared" si="79"/>
        <v>0</v>
      </c>
      <c r="AH65" s="459">
        <f t="shared" si="79"/>
        <v>0</v>
      </c>
      <c r="AI65" s="459">
        <f t="shared" si="79"/>
        <v>0</v>
      </c>
      <c r="AJ65" s="460">
        <f t="shared" si="79"/>
        <v>0</v>
      </c>
      <c r="AK65" s="458">
        <f t="shared" si="79"/>
        <v>0</v>
      </c>
      <c r="AL65" s="459">
        <f t="shared" si="79"/>
        <v>0</v>
      </c>
      <c r="AM65" s="459">
        <f t="shared" si="79"/>
        <v>0</v>
      </c>
      <c r="AN65" s="460">
        <f t="shared" si="79"/>
        <v>0</v>
      </c>
      <c r="AO65" s="458">
        <f t="shared" si="79"/>
        <v>0</v>
      </c>
      <c r="AP65" s="459">
        <f t="shared" si="79"/>
        <v>0</v>
      </c>
      <c r="AQ65" s="459">
        <f t="shared" si="79"/>
        <v>0</v>
      </c>
      <c r="AR65" s="460">
        <f t="shared" si="79"/>
        <v>0</v>
      </c>
      <c r="AS65" s="458">
        <f t="shared" si="79"/>
        <v>0</v>
      </c>
      <c r="AT65" s="459">
        <f t="shared" si="79"/>
        <v>0</v>
      </c>
      <c r="AU65" s="459">
        <f t="shared" si="79"/>
        <v>0</v>
      </c>
      <c r="AV65" s="460">
        <f t="shared" si="79"/>
        <v>0</v>
      </c>
      <c r="AW65" s="473"/>
    </row>
    <row r="66" spans="1:49" ht="13.5" customHeight="1" outlineLevel="1">
      <c r="A66" s="1944"/>
      <c r="B66" s="1949"/>
      <c r="C66" s="461" t="s">
        <v>881</v>
      </c>
      <c r="D66" s="462">
        <f t="shared" ref="D66:D69" si="80">SUM(E66:AV66)</f>
        <v>1</v>
      </c>
      <c r="E66" s="463">
        <f t="shared" ref="E66:AV66" si="81">IFERROR(E67/$D67,0)</f>
        <v>0</v>
      </c>
      <c r="F66" s="464">
        <f t="shared" si="81"/>
        <v>0</v>
      </c>
      <c r="G66" s="464">
        <f t="shared" si="81"/>
        <v>0</v>
      </c>
      <c r="H66" s="465">
        <f t="shared" si="81"/>
        <v>0</v>
      </c>
      <c r="I66" s="463">
        <f t="shared" si="81"/>
        <v>0</v>
      </c>
      <c r="J66" s="464">
        <f t="shared" si="81"/>
        <v>0</v>
      </c>
      <c r="K66" s="464">
        <f t="shared" si="81"/>
        <v>0</v>
      </c>
      <c r="L66" s="465">
        <f t="shared" si="81"/>
        <v>0</v>
      </c>
      <c r="M66" s="463">
        <f t="shared" si="81"/>
        <v>0</v>
      </c>
      <c r="N66" s="464">
        <f t="shared" si="81"/>
        <v>0</v>
      </c>
      <c r="O66" s="464">
        <f t="shared" si="81"/>
        <v>0.3</v>
      </c>
      <c r="P66" s="465">
        <f t="shared" si="81"/>
        <v>0.3</v>
      </c>
      <c r="Q66" s="463">
        <f t="shared" si="81"/>
        <v>0.2</v>
      </c>
      <c r="R66" s="464">
        <f t="shared" si="81"/>
        <v>0.2</v>
      </c>
      <c r="S66" s="464">
        <f t="shared" si="81"/>
        <v>0</v>
      </c>
      <c r="T66" s="465">
        <f t="shared" si="81"/>
        <v>0</v>
      </c>
      <c r="U66" s="463">
        <f t="shared" si="81"/>
        <v>0</v>
      </c>
      <c r="V66" s="464">
        <f t="shared" si="81"/>
        <v>0</v>
      </c>
      <c r="W66" s="464">
        <f t="shared" si="81"/>
        <v>0</v>
      </c>
      <c r="X66" s="465">
        <f t="shared" si="81"/>
        <v>0</v>
      </c>
      <c r="Y66" s="463">
        <f t="shared" si="81"/>
        <v>0</v>
      </c>
      <c r="Z66" s="464">
        <f t="shared" si="81"/>
        <v>0</v>
      </c>
      <c r="AA66" s="464">
        <f t="shared" si="81"/>
        <v>0</v>
      </c>
      <c r="AB66" s="465">
        <f t="shared" si="81"/>
        <v>0</v>
      </c>
      <c r="AC66" s="463">
        <f t="shared" si="81"/>
        <v>0</v>
      </c>
      <c r="AD66" s="464">
        <f t="shared" si="81"/>
        <v>0</v>
      </c>
      <c r="AE66" s="464">
        <f t="shared" si="81"/>
        <v>0</v>
      </c>
      <c r="AF66" s="465">
        <f t="shared" si="81"/>
        <v>0</v>
      </c>
      <c r="AG66" s="463">
        <f t="shared" si="81"/>
        <v>0</v>
      </c>
      <c r="AH66" s="464">
        <f t="shared" si="81"/>
        <v>0</v>
      </c>
      <c r="AI66" s="464">
        <f t="shared" si="81"/>
        <v>0</v>
      </c>
      <c r="AJ66" s="465">
        <f t="shared" si="81"/>
        <v>0</v>
      </c>
      <c r="AK66" s="463">
        <f t="shared" si="81"/>
        <v>0</v>
      </c>
      <c r="AL66" s="464">
        <f t="shared" si="81"/>
        <v>0</v>
      </c>
      <c r="AM66" s="464">
        <f t="shared" si="81"/>
        <v>0</v>
      </c>
      <c r="AN66" s="465">
        <f t="shared" si="81"/>
        <v>0</v>
      </c>
      <c r="AO66" s="463">
        <f t="shared" si="81"/>
        <v>0</v>
      </c>
      <c r="AP66" s="464">
        <f t="shared" si="81"/>
        <v>0</v>
      </c>
      <c r="AQ66" s="464">
        <f t="shared" si="81"/>
        <v>0</v>
      </c>
      <c r="AR66" s="465">
        <f t="shared" si="81"/>
        <v>0</v>
      </c>
      <c r="AS66" s="463">
        <f t="shared" si="81"/>
        <v>0</v>
      </c>
      <c r="AT66" s="464">
        <f t="shared" si="81"/>
        <v>0</v>
      </c>
      <c r="AU66" s="464">
        <f t="shared" si="81"/>
        <v>0</v>
      </c>
      <c r="AV66" s="465">
        <f t="shared" si="81"/>
        <v>0</v>
      </c>
      <c r="AW66" s="78"/>
    </row>
    <row r="67" spans="1:49" s="424" customFormat="1" ht="13.5" customHeight="1" outlineLevel="1">
      <c r="A67" s="1944"/>
      <c r="B67" s="1949"/>
      <c r="C67" s="461" t="s">
        <v>682</v>
      </c>
      <c r="D67" s="466">
        <f t="shared" si="80"/>
        <v>422</v>
      </c>
      <c r="E67" s="382">
        <f t="shared" ref="E67:E69" si="82">SUM(E137,E207,E277,E347,E417,E487)</f>
        <v>0</v>
      </c>
      <c r="F67" s="397">
        <f t="shared" ref="F67:AV67" si="83">SUM(F137,F207,F277,F347,F417,F487)</f>
        <v>0</v>
      </c>
      <c r="G67" s="397">
        <f t="shared" si="83"/>
        <v>0</v>
      </c>
      <c r="H67" s="467">
        <f t="shared" si="83"/>
        <v>0</v>
      </c>
      <c r="I67" s="382">
        <f t="shared" si="83"/>
        <v>0</v>
      </c>
      <c r="J67" s="397">
        <f t="shared" si="83"/>
        <v>0</v>
      </c>
      <c r="K67" s="397">
        <f t="shared" si="83"/>
        <v>0</v>
      </c>
      <c r="L67" s="467">
        <f t="shared" si="83"/>
        <v>0</v>
      </c>
      <c r="M67" s="382">
        <f t="shared" si="83"/>
        <v>0</v>
      </c>
      <c r="N67" s="397">
        <f t="shared" si="83"/>
        <v>0</v>
      </c>
      <c r="O67" s="397">
        <f t="shared" si="83"/>
        <v>126.6</v>
      </c>
      <c r="P67" s="467">
        <f t="shared" si="83"/>
        <v>126.6</v>
      </c>
      <c r="Q67" s="382">
        <f t="shared" si="83"/>
        <v>84.4</v>
      </c>
      <c r="R67" s="397">
        <f t="shared" si="83"/>
        <v>84.4</v>
      </c>
      <c r="S67" s="397">
        <f t="shared" si="83"/>
        <v>0</v>
      </c>
      <c r="T67" s="467">
        <f t="shared" si="83"/>
        <v>0</v>
      </c>
      <c r="U67" s="382">
        <f t="shared" si="83"/>
        <v>0</v>
      </c>
      <c r="V67" s="397">
        <f t="shared" si="83"/>
        <v>0</v>
      </c>
      <c r="W67" s="397">
        <f t="shared" si="83"/>
        <v>0</v>
      </c>
      <c r="X67" s="467">
        <f t="shared" si="83"/>
        <v>0</v>
      </c>
      <c r="Y67" s="382">
        <f t="shared" si="83"/>
        <v>0</v>
      </c>
      <c r="Z67" s="397">
        <f t="shared" si="83"/>
        <v>0</v>
      </c>
      <c r="AA67" s="397">
        <f t="shared" si="83"/>
        <v>0</v>
      </c>
      <c r="AB67" s="467">
        <f t="shared" si="83"/>
        <v>0</v>
      </c>
      <c r="AC67" s="382">
        <f t="shared" si="83"/>
        <v>0</v>
      </c>
      <c r="AD67" s="397">
        <f t="shared" si="83"/>
        <v>0</v>
      </c>
      <c r="AE67" s="397">
        <f t="shared" si="83"/>
        <v>0</v>
      </c>
      <c r="AF67" s="467">
        <f t="shared" si="83"/>
        <v>0</v>
      </c>
      <c r="AG67" s="382">
        <f t="shared" si="83"/>
        <v>0</v>
      </c>
      <c r="AH67" s="397">
        <f t="shared" si="83"/>
        <v>0</v>
      </c>
      <c r="AI67" s="397">
        <f t="shared" si="83"/>
        <v>0</v>
      </c>
      <c r="AJ67" s="467">
        <f t="shared" si="83"/>
        <v>0</v>
      </c>
      <c r="AK67" s="382">
        <f t="shared" si="83"/>
        <v>0</v>
      </c>
      <c r="AL67" s="397">
        <f t="shared" si="83"/>
        <v>0</v>
      </c>
      <c r="AM67" s="397">
        <f t="shared" si="83"/>
        <v>0</v>
      </c>
      <c r="AN67" s="467">
        <f t="shared" si="83"/>
        <v>0</v>
      </c>
      <c r="AO67" s="382">
        <f t="shared" si="83"/>
        <v>0</v>
      </c>
      <c r="AP67" s="397">
        <f t="shared" si="83"/>
        <v>0</v>
      </c>
      <c r="AQ67" s="397">
        <f t="shared" si="83"/>
        <v>0</v>
      </c>
      <c r="AR67" s="467">
        <f t="shared" si="83"/>
        <v>0</v>
      </c>
      <c r="AS67" s="382">
        <f t="shared" si="83"/>
        <v>0</v>
      </c>
      <c r="AT67" s="397">
        <f t="shared" si="83"/>
        <v>0</v>
      </c>
      <c r="AU67" s="397">
        <f t="shared" si="83"/>
        <v>0</v>
      </c>
      <c r="AV67" s="467">
        <f t="shared" si="83"/>
        <v>0</v>
      </c>
      <c r="AW67" s="473"/>
    </row>
    <row r="68" spans="1:49" s="424" customFormat="1" ht="13.5" customHeight="1" outlineLevel="1">
      <c r="A68" s="1944"/>
      <c r="B68" s="1949"/>
      <c r="C68" s="461" t="s">
        <v>882</v>
      </c>
      <c r="D68" s="466">
        <f t="shared" si="80"/>
        <v>4726.3999999999996</v>
      </c>
      <c r="E68" s="382">
        <f t="shared" si="82"/>
        <v>0</v>
      </c>
      <c r="F68" s="397">
        <f t="shared" ref="F68:AV68" si="84">SUM(F138,F208,F278,F348,F418,F488)</f>
        <v>0</v>
      </c>
      <c r="G68" s="397">
        <f t="shared" si="84"/>
        <v>0</v>
      </c>
      <c r="H68" s="467">
        <f t="shared" si="84"/>
        <v>0</v>
      </c>
      <c r="I68" s="382">
        <f t="shared" si="84"/>
        <v>0</v>
      </c>
      <c r="J68" s="397">
        <f t="shared" si="84"/>
        <v>0</v>
      </c>
      <c r="K68" s="397">
        <f t="shared" si="84"/>
        <v>0</v>
      </c>
      <c r="L68" s="467">
        <f t="shared" si="84"/>
        <v>0</v>
      </c>
      <c r="M68" s="382">
        <f t="shared" si="84"/>
        <v>0</v>
      </c>
      <c r="N68" s="397">
        <f t="shared" si="84"/>
        <v>0</v>
      </c>
      <c r="O68" s="397">
        <f t="shared" si="84"/>
        <v>1772.4</v>
      </c>
      <c r="P68" s="467">
        <f t="shared" si="84"/>
        <v>1772.4</v>
      </c>
      <c r="Q68" s="382">
        <f t="shared" si="84"/>
        <v>1181.5999999999999</v>
      </c>
      <c r="R68" s="397">
        <f t="shared" si="84"/>
        <v>0</v>
      </c>
      <c r="S68" s="397">
        <f t="shared" si="84"/>
        <v>0</v>
      </c>
      <c r="T68" s="467">
        <f t="shared" si="84"/>
        <v>0</v>
      </c>
      <c r="U68" s="382">
        <f t="shared" si="84"/>
        <v>0</v>
      </c>
      <c r="V68" s="397">
        <f t="shared" si="84"/>
        <v>0</v>
      </c>
      <c r="W68" s="397">
        <f t="shared" si="84"/>
        <v>0</v>
      </c>
      <c r="X68" s="467">
        <f t="shared" si="84"/>
        <v>0</v>
      </c>
      <c r="Y68" s="382">
        <f t="shared" si="84"/>
        <v>0</v>
      </c>
      <c r="Z68" s="397">
        <f t="shared" si="84"/>
        <v>0</v>
      </c>
      <c r="AA68" s="397">
        <f t="shared" si="84"/>
        <v>0</v>
      </c>
      <c r="AB68" s="467">
        <f t="shared" si="84"/>
        <v>0</v>
      </c>
      <c r="AC68" s="382">
        <f t="shared" si="84"/>
        <v>0</v>
      </c>
      <c r="AD68" s="397">
        <f t="shared" si="84"/>
        <v>0</v>
      </c>
      <c r="AE68" s="397">
        <f t="shared" si="84"/>
        <v>0</v>
      </c>
      <c r="AF68" s="467">
        <f t="shared" si="84"/>
        <v>0</v>
      </c>
      <c r="AG68" s="382">
        <f t="shared" si="84"/>
        <v>0</v>
      </c>
      <c r="AH68" s="397">
        <f t="shared" si="84"/>
        <v>0</v>
      </c>
      <c r="AI68" s="397">
        <f t="shared" si="84"/>
        <v>0</v>
      </c>
      <c r="AJ68" s="467">
        <f t="shared" si="84"/>
        <v>0</v>
      </c>
      <c r="AK68" s="382">
        <f t="shared" si="84"/>
        <v>0</v>
      </c>
      <c r="AL68" s="397">
        <f t="shared" si="84"/>
        <v>0</v>
      </c>
      <c r="AM68" s="397">
        <f t="shared" si="84"/>
        <v>0</v>
      </c>
      <c r="AN68" s="467">
        <f t="shared" si="84"/>
        <v>0</v>
      </c>
      <c r="AO68" s="382">
        <f t="shared" si="84"/>
        <v>0</v>
      </c>
      <c r="AP68" s="397">
        <f t="shared" si="84"/>
        <v>0</v>
      </c>
      <c r="AQ68" s="397">
        <f t="shared" si="84"/>
        <v>0</v>
      </c>
      <c r="AR68" s="467">
        <f t="shared" si="84"/>
        <v>0</v>
      </c>
      <c r="AS68" s="382">
        <f t="shared" si="84"/>
        <v>0</v>
      </c>
      <c r="AT68" s="397">
        <f t="shared" si="84"/>
        <v>0</v>
      </c>
      <c r="AU68" s="397">
        <f t="shared" si="84"/>
        <v>0</v>
      </c>
      <c r="AV68" s="467">
        <f t="shared" si="84"/>
        <v>0</v>
      </c>
      <c r="AW68" s="473"/>
    </row>
    <row r="69" spans="1:49" s="424" customFormat="1" ht="13.5" customHeight="1" outlineLevel="1">
      <c r="A69" s="1944"/>
      <c r="B69" s="1949"/>
      <c r="C69" s="461" t="s">
        <v>450</v>
      </c>
      <c r="D69" s="468">
        <f t="shared" si="80"/>
        <v>4726.3999999999996</v>
      </c>
      <c r="E69" s="386">
        <f t="shared" si="82"/>
        <v>0</v>
      </c>
      <c r="F69" s="399">
        <f t="shared" ref="F69:AV69" si="85">SUM(F139,F209,F279,F349,F419,F489)</f>
        <v>0</v>
      </c>
      <c r="G69" s="399">
        <f t="shared" si="85"/>
        <v>0</v>
      </c>
      <c r="H69" s="404">
        <f t="shared" si="85"/>
        <v>0</v>
      </c>
      <c r="I69" s="386">
        <f t="shared" si="85"/>
        <v>0</v>
      </c>
      <c r="J69" s="399">
        <f t="shared" si="85"/>
        <v>0</v>
      </c>
      <c r="K69" s="399">
        <f t="shared" si="85"/>
        <v>0</v>
      </c>
      <c r="L69" s="404">
        <f t="shared" si="85"/>
        <v>0</v>
      </c>
      <c r="M69" s="386">
        <f t="shared" si="85"/>
        <v>0</v>
      </c>
      <c r="N69" s="399">
        <f t="shared" si="85"/>
        <v>0</v>
      </c>
      <c r="O69" s="399">
        <f t="shared" si="85"/>
        <v>1772.4</v>
      </c>
      <c r="P69" s="404">
        <f t="shared" si="85"/>
        <v>1772.4</v>
      </c>
      <c r="Q69" s="386">
        <f t="shared" si="85"/>
        <v>1181.5999999999999</v>
      </c>
      <c r="R69" s="399">
        <f t="shared" si="85"/>
        <v>0</v>
      </c>
      <c r="S69" s="399">
        <f t="shared" si="85"/>
        <v>0</v>
      </c>
      <c r="T69" s="404">
        <f t="shared" si="85"/>
        <v>0</v>
      </c>
      <c r="U69" s="386">
        <f t="shared" si="85"/>
        <v>0</v>
      </c>
      <c r="V69" s="399">
        <f t="shared" si="85"/>
        <v>0</v>
      </c>
      <c r="W69" s="399">
        <f t="shared" si="85"/>
        <v>0</v>
      </c>
      <c r="X69" s="404">
        <f t="shared" si="85"/>
        <v>0</v>
      </c>
      <c r="Y69" s="386">
        <f t="shared" si="85"/>
        <v>0</v>
      </c>
      <c r="Z69" s="399">
        <f t="shared" si="85"/>
        <v>0</v>
      </c>
      <c r="AA69" s="399">
        <f t="shared" si="85"/>
        <v>0</v>
      </c>
      <c r="AB69" s="404">
        <f t="shared" si="85"/>
        <v>0</v>
      </c>
      <c r="AC69" s="386">
        <f t="shared" si="85"/>
        <v>0</v>
      </c>
      <c r="AD69" s="399">
        <f t="shared" si="85"/>
        <v>0</v>
      </c>
      <c r="AE69" s="399">
        <f t="shared" si="85"/>
        <v>0</v>
      </c>
      <c r="AF69" s="404">
        <f t="shared" si="85"/>
        <v>0</v>
      </c>
      <c r="AG69" s="386">
        <f t="shared" si="85"/>
        <v>0</v>
      </c>
      <c r="AH69" s="399">
        <f t="shared" si="85"/>
        <v>0</v>
      </c>
      <c r="AI69" s="399">
        <f t="shared" si="85"/>
        <v>0</v>
      </c>
      <c r="AJ69" s="404">
        <f t="shared" si="85"/>
        <v>0</v>
      </c>
      <c r="AK69" s="386">
        <f t="shared" si="85"/>
        <v>0</v>
      </c>
      <c r="AL69" s="399">
        <f t="shared" si="85"/>
        <v>0</v>
      </c>
      <c r="AM69" s="399">
        <f t="shared" si="85"/>
        <v>0</v>
      </c>
      <c r="AN69" s="404">
        <f t="shared" si="85"/>
        <v>0</v>
      </c>
      <c r="AO69" s="386">
        <f t="shared" si="85"/>
        <v>0</v>
      </c>
      <c r="AP69" s="399">
        <f t="shared" si="85"/>
        <v>0</v>
      </c>
      <c r="AQ69" s="399">
        <f t="shared" si="85"/>
        <v>0</v>
      </c>
      <c r="AR69" s="404">
        <f t="shared" si="85"/>
        <v>0</v>
      </c>
      <c r="AS69" s="386">
        <f t="shared" si="85"/>
        <v>0</v>
      </c>
      <c r="AT69" s="399">
        <f t="shared" si="85"/>
        <v>0</v>
      </c>
      <c r="AU69" s="399">
        <f t="shared" si="85"/>
        <v>0</v>
      </c>
      <c r="AV69" s="404">
        <f t="shared" si="85"/>
        <v>0</v>
      </c>
      <c r="AW69" s="473"/>
    </row>
    <row r="70" spans="1:49" s="424" customFormat="1" ht="13.5" customHeight="1" outlineLevel="1">
      <c r="A70" s="1944"/>
      <c r="B70" s="1949" t="str">
        <f>'8.项目规划指标表'!B19</f>
        <v>无产权车库(个)</v>
      </c>
      <c r="C70" s="461" t="s">
        <v>880</v>
      </c>
      <c r="D70" s="457">
        <f>IFERROR(D73/D72*10000,0)</f>
        <v>0</v>
      </c>
      <c r="E70" s="458">
        <f>IFERROR(E73/E72*10000,0)</f>
        <v>0</v>
      </c>
      <c r="F70" s="459">
        <f t="shared" ref="F70:AV70" si="86">IFERROR(F73/F72*10000,0)</f>
        <v>0</v>
      </c>
      <c r="G70" s="459">
        <f t="shared" si="86"/>
        <v>0</v>
      </c>
      <c r="H70" s="460">
        <f t="shared" si="86"/>
        <v>0</v>
      </c>
      <c r="I70" s="458">
        <f t="shared" si="86"/>
        <v>0</v>
      </c>
      <c r="J70" s="459">
        <f t="shared" si="86"/>
        <v>0</v>
      </c>
      <c r="K70" s="459">
        <f t="shared" si="86"/>
        <v>0</v>
      </c>
      <c r="L70" s="460">
        <f t="shared" si="86"/>
        <v>0</v>
      </c>
      <c r="M70" s="458">
        <f t="shared" si="86"/>
        <v>0</v>
      </c>
      <c r="N70" s="459">
        <f t="shared" si="86"/>
        <v>0</v>
      </c>
      <c r="O70" s="459">
        <f t="shared" si="86"/>
        <v>0</v>
      </c>
      <c r="P70" s="460">
        <f t="shared" si="86"/>
        <v>0</v>
      </c>
      <c r="Q70" s="458">
        <f t="shared" si="86"/>
        <v>0</v>
      </c>
      <c r="R70" s="459">
        <f t="shared" si="86"/>
        <v>0</v>
      </c>
      <c r="S70" s="459">
        <f t="shared" si="86"/>
        <v>0</v>
      </c>
      <c r="T70" s="460">
        <f t="shared" si="86"/>
        <v>0</v>
      </c>
      <c r="U70" s="458">
        <f t="shared" si="86"/>
        <v>0</v>
      </c>
      <c r="V70" s="459">
        <f t="shared" si="86"/>
        <v>0</v>
      </c>
      <c r="W70" s="459">
        <f t="shared" si="86"/>
        <v>0</v>
      </c>
      <c r="X70" s="460">
        <f t="shared" si="86"/>
        <v>0</v>
      </c>
      <c r="Y70" s="458">
        <f t="shared" si="86"/>
        <v>0</v>
      </c>
      <c r="Z70" s="459">
        <f t="shared" si="86"/>
        <v>0</v>
      </c>
      <c r="AA70" s="459">
        <f t="shared" si="86"/>
        <v>0</v>
      </c>
      <c r="AB70" s="460">
        <f t="shared" si="86"/>
        <v>0</v>
      </c>
      <c r="AC70" s="458">
        <f t="shared" si="86"/>
        <v>0</v>
      </c>
      <c r="AD70" s="459">
        <f t="shared" si="86"/>
        <v>0</v>
      </c>
      <c r="AE70" s="459">
        <f t="shared" si="86"/>
        <v>0</v>
      </c>
      <c r="AF70" s="460">
        <f t="shared" si="86"/>
        <v>0</v>
      </c>
      <c r="AG70" s="458">
        <f t="shared" si="86"/>
        <v>0</v>
      </c>
      <c r="AH70" s="459">
        <f t="shared" si="86"/>
        <v>0</v>
      </c>
      <c r="AI70" s="459">
        <f t="shared" si="86"/>
        <v>0</v>
      </c>
      <c r="AJ70" s="460">
        <f t="shared" si="86"/>
        <v>0</v>
      </c>
      <c r="AK70" s="458">
        <f t="shared" si="86"/>
        <v>0</v>
      </c>
      <c r="AL70" s="459">
        <f t="shared" si="86"/>
        <v>0</v>
      </c>
      <c r="AM70" s="459">
        <f t="shared" si="86"/>
        <v>0</v>
      </c>
      <c r="AN70" s="460">
        <f t="shared" si="86"/>
        <v>0</v>
      </c>
      <c r="AO70" s="458">
        <f t="shared" si="86"/>
        <v>0</v>
      </c>
      <c r="AP70" s="459">
        <f t="shared" si="86"/>
        <v>0</v>
      </c>
      <c r="AQ70" s="459">
        <f t="shared" si="86"/>
        <v>0</v>
      </c>
      <c r="AR70" s="460">
        <f t="shared" si="86"/>
        <v>0</v>
      </c>
      <c r="AS70" s="458">
        <f t="shared" si="86"/>
        <v>0</v>
      </c>
      <c r="AT70" s="459">
        <f t="shared" si="86"/>
        <v>0</v>
      </c>
      <c r="AU70" s="459">
        <f t="shared" si="86"/>
        <v>0</v>
      </c>
      <c r="AV70" s="460">
        <f t="shared" si="86"/>
        <v>0</v>
      </c>
      <c r="AW70" s="473"/>
    </row>
    <row r="71" spans="1:49" ht="13.5" customHeight="1" outlineLevel="1">
      <c r="A71" s="1944"/>
      <c r="B71" s="1949"/>
      <c r="C71" s="461" t="s">
        <v>881</v>
      </c>
      <c r="D71" s="462">
        <f t="shared" ref="D71:D74" si="87">SUM(E71:AV71)</f>
        <v>0</v>
      </c>
      <c r="E71" s="463">
        <f t="shared" ref="E71:AV71" si="88">IFERROR(E72/$D72,0)</f>
        <v>0</v>
      </c>
      <c r="F71" s="464">
        <f t="shared" si="88"/>
        <v>0</v>
      </c>
      <c r="G71" s="464">
        <f t="shared" si="88"/>
        <v>0</v>
      </c>
      <c r="H71" s="465">
        <f t="shared" si="88"/>
        <v>0</v>
      </c>
      <c r="I71" s="463">
        <f t="shared" si="88"/>
        <v>0</v>
      </c>
      <c r="J71" s="464">
        <f t="shared" si="88"/>
        <v>0</v>
      </c>
      <c r="K71" s="464">
        <f t="shared" si="88"/>
        <v>0</v>
      </c>
      <c r="L71" s="465">
        <f t="shared" si="88"/>
        <v>0</v>
      </c>
      <c r="M71" s="463">
        <f t="shared" si="88"/>
        <v>0</v>
      </c>
      <c r="N71" s="464">
        <f t="shared" si="88"/>
        <v>0</v>
      </c>
      <c r="O71" s="464">
        <f t="shared" si="88"/>
        <v>0</v>
      </c>
      <c r="P71" s="465">
        <f t="shared" si="88"/>
        <v>0</v>
      </c>
      <c r="Q71" s="463">
        <f t="shared" si="88"/>
        <v>0</v>
      </c>
      <c r="R71" s="464">
        <f t="shared" si="88"/>
        <v>0</v>
      </c>
      <c r="S71" s="464">
        <f t="shared" si="88"/>
        <v>0</v>
      </c>
      <c r="T71" s="465">
        <f t="shared" si="88"/>
        <v>0</v>
      </c>
      <c r="U71" s="463">
        <f t="shared" si="88"/>
        <v>0</v>
      </c>
      <c r="V71" s="464">
        <f t="shared" si="88"/>
        <v>0</v>
      </c>
      <c r="W71" s="464">
        <f t="shared" si="88"/>
        <v>0</v>
      </c>
      <c r="X71" s="465">
        <f t="shared" si="88"/>
        <v>0</v>
      </c>
      <c r="Y71" s="463">
        <f t="shared" si="88"/>
        <v>0</v>
      </c>
      <c r="Z71" s="464">
        <f t="shared" si="88"/>
        <v>0</v>
      </c>
      <c r="AA71" s="464">
        <f t="shared" si="88"/>
        <v>0</v>
      </c>
      <c r="AB71" s="465">
        <f t="shared" si="88"/>
        <v>0</v>
      </c>
      <c r="AC71" s="463">
        <f t="shared" si="88"/>
        <v>0</v>
      </c>
      <c r="AD71" s="464">
        <f t="shared" si="88"/>
        <v>0</v>
      </c>
      <c r="AE71" s="464">
        <f t="shared" si="88"/>
        <v>0</v>
      </c>
      <c r="AF71" s="465">
        <f t="shared" si="88"/>
        <v>0</v>
      </c>
      <c r="AG71" s="463">
        <f t="shared" si="88"/>
        <v>0</v>
      </c>
      <c r="AH71" s="464">
        <f t="shared" si="88"/>
        <v>0</v>
      </c>
      <c r="AI71" s="464">
        <f t="shared" si="88"/>
        <v>0</v>
      </c>
      <c r="AJ71" s="465">
        <f t="shared" si="88"/>
        <v>0</v>
      </c>
      <c r="AK71" s="463">
        <f t="shared" si="88"/>
        <v>0</v>
      </c>
      <c r="AL71" s="464">
        <f t="shared" si="88"/>
        <v>0</v>
      </c>
      <c r="AM71" s="464">
        <f t="shared" si="88"/>
        <v>0</v>
      </c>
      <c r="AN71" s="465">
        <f t="shared" si="88"/>
        <v>0</v>
      </c>
      <c r="AO71" s="463">
        <f t="shared" si="88"/>
        <v>0</v>
      </c>
      <c r="AP71" s="464">
        <f t="shared" si="88"/>
        <v>0</v>
      </c>
      <c r="AQ71" s="464">
        <f t="shared" si="88"/>
        <v>0</v>
      </c>
      <c r="AR71" s="465">
        <f t="shared" si="88"/>
        <v>0</v>
      </c>
      <c r="AS71" s="463">
        <f t="shared" si="88"/>
        <v>0</v>
      </c>
      <c r="AT71" s="464">
        <f t="shared" si="88"/>
        <v>0</v>
      </c>
      <c r="AU71" s="464">
        <f t="shared" si="88"/>
        <v>0</v>
      </c>
      <c r="AV71" s="465">
        <f t="shared" si="88"/>
        <v>0</v>
      </c>
      <c r="AW71" s="78"/>
    </row>
    <row r="72" spans="1:49" s="424" customFormat="1" ht="13.5" customHeight="1" outlineLevel="1">
      <c r="A72" s="1944"/>
      <c r="B72" s="1949"/>
      <c r="C72" s="461" t="s">
        <v>682</v>
      </c>
      <c r="D72" s="466">
        <f t="shared" si="87"/>
        <v>0</v>
      </c>
      <c r="E72" s="382">
        <f t="shared" ref="E72:E74" si="89">SUM(E142,E212,E282,E352,E422,E492)</f>
        <v>0</v>
      </c>
      <c r="F72" s="397">
        <f t="shared" ref="F72:AV72" si="90">SUM(F142,F212,F282,F352,F422,F492)</f>
        <v>0</v>
      </c>
      <c r="G72" s="397">
        <f t="shared" si="90"/>
        <v>0</v>
      </c>
      <c r="H72" s="467">
        <f t="shared" si="90"/>
        <v>0</v>
      </c>
      <c r="I72" s="382">
        <f t="shared" si="90"/>
        <v>0</v>
      </c>
      <c r="J72" s="397">
        <f t="shared" si="90"/>
        <v>0</v>
      </c>
      <c r="K72" s="397">
        <f t="shared" si="90"/>
        <v>0</v>
      </c>
      <c r="L72" s="467">
        <f t="shared" si="90"/>
        <v>0</v>
      </c>
      <c r="M72" s="382">
        <f t="shared" si="90"/>
        <v>0</v>
      </c>
      <c r="N72" s="397">
        <f t="shared" si="90"/>
        <v>0</v>
      </c>
      <c r="O72" s="397">
        <f t="shared" si="90"/>
        <v>0</v>
      </c>
      <c r="P72" s="467">
        <f t="shared" si="90"/>
        <v>0</v>
      </c>
      <c r="Q72" s="382">
        <f t="shared" si="90"/>
        <v>0</v>
      </c>
      <c r="R72" s="397">
        <f t="shared" si="90"/>
        <v>0</v>
      </c>
      <c r="S72" s="397">
        <f t="shared" si="90"/>
        <v>0</v>
      </c>
      <c r="T72" s="467">
        <f t="shared" si="90"/>
        <v>0</v>
      </c>
      <c r="U72" s="382">
        <f t="shared" si="90"/>
        <v>0</v>
      </c>
      <c r="V72" s="397">
        <f t="shared" si="90"/>
        <v>0</v>
      </c>
      <c r="W72" s="397">
        <f t="shared" si="90"/>
        <v>0</v>
      </c>
      <c r="X72" s="467">
        <f t="shared" si="90"/>
        <v>0</v>
      </c>
      <c r="Y72" s="382">
        <f t="shared" si="90"/>
        <v>0</v>
      </c>
      <c r="Z72" s="397">
        <f t="shared" si="90"/>
        <v>0</v>
      </c>
      <c r="AA72" s="397">
        <f t="shared" si="90"/>
        <v>0</v>
      </c>
      <c r="AB72" s="467">
        <f t="shared" si="90"/>
        <v>0</v>
      </c>
      <c r="AC72" s="382">
        <f t="shared" si="90"/>
        <v>0</v>
      </c>
      <c r="AD72" s="397">
        <f t="shared" si="90"/>
        <v>0</v>
      </c>
      <c r="AE72" s="397">
        <f t="shared" si="90"/>
        <v>0</v>
      </c>
      <c r="AF72" s="467">
        <f t="shared" si="90"/>
        <v>0</v>
      </c>
      <c r="AG72" s="382">
        <f t="shared" si="90"/>
        <v>0</v>
      </c>
      <c r="AH72" s="397">
        <f t="shared" si="90"/>
        <v>0</v>
      </c>
      <c r="AI72" s="397">
        <f t="shared" si="90"/>
        <v>0</v>
      </c>
      <c r="AJ72" s="467">
        <f t="shared" si="90"/>
        <v>0</v>
      </c>
      <c r="AK72" s="382">
        <f t="shared" si="90"/>
        <v>0</v>
      </c>
      <c r="AL72" s="397">
        <f t="shared" si="90"/>
        <v>0</v>
      </c>
      <c r="AM72" s="397">
        <f t="shared" si="90"/>
        <v>0</v>
      </c>
      <c r="AN72" s="467">
        <f t="shared" si="90"/>
        <v>0</v>
      </c>
      <c r="AO72" s="382">
        <f t="shared" si="90"/>
        <v>0</v>
      </c>
      <c r="AP72" s="397">
        <f t="shared" si="90"/>
        <v>0</v>
      </c>
      <c r="AQ72" s="397">
        <f t="shared" si="90"/>
        <v>0</v>
      </c>
      <c r="AR72" s="467">
        <f t="shared" si="90"/>
        <v>0</v>
      </c>
      <c r="AS72" s="382">
        <f t="shared" si="90"/>
        <v>0</v>
      </c>
      <c r="AT72" s="397">
        <f t="shared" si="90"/>
        <v>0</v>
      </c>
      <c r="AU72" s="397">
        <f t="shared" si="90"/>
        <v>0</v>
      </c>
      <c r="AV72" s="467">
        <f t="shared" si="90"/>
        <v>0</v>
      </c>
      <c r="AW72" s="473"/>
    </row>
    <row r="73" spans="1:49" s="424" customFormat="1" ht="13.5" customHeight="1" outlineLevel="1">
      <c r="A73" s="1944"/>
      <c r="B73" s="1949"/>
      <c r="C73" s="461" t="s">
        <v>882</v>
      </c>
      <c r="D73" s="466">
        <f t="shared" si="87"/>
        <v>0</v>
      </c>
      <c r="E73" s="382">
        <f t="shared" si="89"/>
        <v>0</v>
      </c>
      <c r="F73" s="397">
        <f t="shared" ref="F73:AV73" si="91">SUM(F143,F213,F283,F353,F423,F493)</f>
        <v>0</v>
      </c>
      <c r="G73" s="397">
        <f t="shared" si="91"/>
        <v>0</v>
      </c>
      <c r="H73" s="467">
        <f t="shared" si="91"/>
        <v>0</v>
      </c>
      <c r="I73" s="382">
        <f t="shared" si="91"/>
        <v>0</v>
      </c>
      <c r="J73" s="397">
        <f t="shared" si="91"/>
        <v>0</v>
      </c>
      <c r="K73" s="397">
        <f t="shared" si="91"/>
        <v>0</v>
      </c>
      <c r="L73" s="467">
        <f t="shared" si="91"/>
        <v>0</v>
      </c>
      <c r="M73" s="382">
        <f t="shared" si="91"/>
        <v>0</v>
      </c>
      <c r="N73" s="397">
        <f t="shared" si="91"/>
        <v>0</v>
      </c>
      <c r="O73" s="397">
        <f t="shared" si="91"/>
        <v>0</v>
      </c>
      <c r="P73" s="467">
        <f t="shared" si="91"/>
        <v>0</v>
      </c>
      <c r="Q73" s="382">
        <f t="shared" si="91"/>
        <v>0</v>
      </c>
      <c r="R73" s="397">
        <f t="shared" si="91"/>
        <v>0</v>
      </c>
      <c r="S73" s="397">
        <f t="shared" si="91"/>
        <v>0</v>
      </c>
      <c r="T73" s="467">
        <f t="shared" si="91"/>
        <v>0</v>
      </c>
      <c r="U73" s="382">
        <f t="shared" si="91"/>
        <v>0</v>
      </c>
      <c r="V73" s="397">
        <f t="shared" si="91"/>
        <v>0</v>
      </c>
      <c r="W73" s="397">
        <f t="shared" si="91"/>
        <v>0</v>
      </c>
      <c r="X73" s="467">
        <f t="shared" si="91"/>
        <v>0</v>
      </c>
      <c r="Y73" s="382">
        <f t="shared" si="91"/>
        <v>0</v>
      </c>
      <c r="Z73" s="397">
        <f t="shared" si="91"/>
        <v>0</v>
      </c>
      <c r="AA73" s="397">
        <f t="shared" si="91"/>
        <v>0</v>
      </c>
      <c r="AB73" s="467">
        <f t="shared" si="91"/>
        <v>0</v>
      </c>
      <c r="AC73" s="382">
        <f t="shared" si="91"/>
        <v>0</v>
      </c>
      <c r="AD73" s="397">
        <f t="shared" si="91"/>
        <v>0</v>
      </c>
      <c r="AE73" s="397">
        <f t="shared" si="91"/>
        <v>0</v>
      </c>
      <c r="AF73" s="467">
        <f t="shared" si="91"/>
        <v>0</v>
      </c>
      <c r="AG73" s="382">
        <f t="shared" si="91"/>
        <v>0</v>
      </c>
      <c r="AH73" s="397">
        <f t="shared" si="91"/>
        <v>0</v>
      </c>
      <c r="AI73" s="397">
        <f t="shared" si="91"/>
        <v>0</v>
      </c>
      <c r="AJ73" s="467">
        <f t="shared" si="91"/>
        <v>0</v>
      </c>
      <c r="AK73" s="382">
        <f t="shared" si="91"/>
        <v>0</v>
      </c>
      <c r="AL73" s="397">
        <f t="shared" si="91"/>
        <v>0</v>
      </c>
      <c r="AM73" s="397">
        <f t="shared" si="91"/>
        <v>0</v>
      </c>
      <c r="AN73" s="467">
        <f t="shared" si="91"/>
        <v>0</v>
      </c>
      <c r="AO73" s="382">
        <f t="shared" si="91"/>
        <v>0</v>
      </c>
      <c r="AP73" s="397">
        <f t="shared" si="91"/>
        <v>0</v>
      </c>
      <c r="AQ73" s="397">
        <f t="shared" si="91"/>
        <v>0</v>
      </c>
      <c r="AR73" s="467">
        <f t="shared" si="91"/>
        <v>0</v>
      </c>
      <c r="AS73" s="382">
        <f t="shared" si="91"/>
        <v>0</v>
      </c>
      <c r="AT73" s="397">
        <f t="shared" si="91"/>
        <v>0</v>
      </c>
      <c r="AU73" s="397">
        <f t="shared" si="91"/>
        <v>0</v>
      </c>
      <c r="AV73" s="467">
        <f t="shared" si="91"/>
        <v>0</v>
      </c>
      <c r="AW73" s="473"/>
    </row>
    <row r="74" spans="1:49" s="424" customFormat="1" ht="13.5" customHeight="1" outlineLevel="1">
      <c r="A74" s="1944"/>
      <c r="B74" s="1949"/>
      <c r="C74" s="474" t="s">
        <v>450</v>
      </c>
      <c r="D74" s="468">
        <f t="shared" si="87"/>
        <v>0</v>
      </c>
      <c r="E74" s="386">
        <f t="shared" si="89"/>
        <v>0</v>
      </c>
      <c r="F74" s="399">
        <f t="shared" ref="F74:AV74" si="92">SUM(F144,F214,F284,F354,F424,F494)</f>
        <v>0</v>
      </c>
      <c r="G74" s="399">
        <f t="shared" si="92"/>
        <v>0</v>
      </c>
      <c r="H74" s="404">
        <f t="shared" si="92"/>
        <v>0</v>
      </c>
      <c r="I74" s="386">
        <f t="shared" si="92"/>
        <v>0</v>
      </c>
      <c r="J74" s="399">
        <f t="shared" si="92"/>
        <v>0</v>
      </c>
      <c r="K74" s="399">
        <f t="shared" si="92"/>
        <v>0</v>
      </c>
      <c r="L74" s="404">
        <f t="shared" si="92"/>
        <v>0</v>
      </c>
      <c r="M74" s="386">
        <f t="shared" si="92"/>
        <v>0</v>
      </c>
      <c r="N74" s="399">
        <f t="shared" si="92"/>
        <v>0</v>
      </c>
      <c r="O74" s="399">
        <f t="shared" si="92"/>
        <v>0</v>
      </c>
      <c r="P74" s="404">
        <f t="shared" si="92"/>
        <v>0</v>
      </c>
      <c r="Q74" s="386">
        <f t="shared" si="92"/>
        <v>0</v>
      </c>
      <c r="R74" s="399">
        <f t="shared" si="92"/>
        <v>0</v>
      </c>
      <c r="S74" s="399">
        <f t="shared" si="92"/>
        <v>0</v>
      </c>
      <c r="T74" s="404">
        <f t="shared" si="92"/>
        <v>0</v>
      </c>
      <c r="U74" s="386">
        <f t="shared" si="92"/>
        <v>0</v>
      </c>
      <c r="V74" s="399">
        <f t="shared" si="92"/>
        <v>0</v>
      </c>
      <c r="W74" s="399">
        <f t="shared" si="92"/>
        <v>0</v>
      </c>
      <c r="X74" s="404">
        <f t="shared" si="92"/>
        <v>0</v>
      </c>
      <c r="Y74" s="386">
        <f t="shared" si="92"/>
        <v>0</v>
      </c>
      <c r="Z74" s="399">
        <f t="shared" si="92"/>
        <v>0</v>
      </c>
      <c r="AA74" s="399">
        <f t="shared" si="92"/>
        <v>0</v>
      </c>
      <c r="AB74" s="404">
        <f t="shared" si="92"/>
        <v>0</v>
      </c>
      <c r="AC74" s="386">
        <f t="shared" si="92"/>
        <v>0</v>
      </c>
      <c r="AD74" s="399">
        <f t="shared" si="92"/>
        <v>0</v>
      </c>
      <c r="AE74" s="399">
        <f t="shared" si="92"/>
        <v>0</v>
      </c>
      <c r="AF74" s="404">
        <f t="shared" si="92"/>
        <v>0</v>
      </c>
      <c r="AG74" s="386">
        <f t="shared" si="92"/>
        <v>0</v>
      </c>
      <c r="AH74" s="399">
        <f t="shared" si="92"/>
        <v>0</v>
      </c>
      <c r="AI74" s="399">
        <f t="shared" si="92"/>
        <v>0</v>
      </c>
      <c r="AJ74" s="404">
        <f t="shared" si="92"/>
        <v>0</v>
      </c>
      <c r="AK74" s="386">
        <f t="shared" si="92"/>
        <v>0</v>
      </c>
      <c r="AL74" s="399">
        <f t="shared" si="92"/>
        <v>0</v>
      </c>
      <c r="AM74" s="399">
        <f t="shared" si="92"/>
        <v>0</v>
      </c>
      <c r="AN74" s="404">
        <f t="shared" si="92"/>
        <v>0</v>
      </c>
      <c r="AO74" s="386">
        <f t="shared" si="92"/>
        <v>0</v>
      </c>
      <c r="AP74" s="399">
        <f t="shared" si="92"/>
        <v>0</v>
      </c>
      <c r="AQ74" s="399">
        <f t="shared" si="92"/>
        <v>0</v>
      </c>
      <c r="AR74" s="404">
        <f t="shared" si="92"/>
        <v>0</v>
      </c>
      <c r="AS74" s="386">
        <f t="shared" si="92"/>
        <v>0</v>
      </c>
      <c r="AT74" s="399">
        <f t="shared" si="92"/>
        <v>0</v>
      </c>
      <c r="AU74" s="399">
        <f t="shared" si="92"/>
        <v>0</v>
      </c>
      <c r="AV74" s="404">
        <f t="shared" si="92"/>
        <v>0</v>
      </c>
      <c r="AW74" s="473"/>
    </row>
    <row r="75" spans="1:49" s="424" customFormat="1" ht="13.5" customHeight="1">
      <c r="A75" s="1943" t="s">
        <v>19</v>
      </c>
      <c r="B75" s="1957" t="s">
        <v>887</v>
      </c>
      <c r="C75" s="433" t="s">
        <v>880</v>
      </c>
      <c r="D75" s="434">
        <f>IF(D77=0,0,D78/D77*10000)</f>
        <v>16047.337623033145</v>
      </c>
      <c r="E75" s="435">
        <f t="shared" ref="E75:AV75" si="93">IF(E77=0,0,E78/E77*10000)</f>
        <v>0</v>
      </c>
      <c r="F75" s="436">
        <f t="shared" si="93"/>
        <v>0</v>
      </c>
      <c r="G75" s="436">
        <f t="shared" si="93"/>
        <v>0</v>
      </c>
      <c r="H75" s="437">
        <f t="shared" si="93"/>
        <v>0</v>
      </c>
      <c r="I75" s="435">
        <f t="shared" si="93"/>
        <v>0</v>
      </c>
      <c r="J75" s="436">
        <f t="shared" si="93"/>
        <v>15000</v>
      </c>
      <c r="K75" s="436">
        <f t="shared" si="93"/>
        <v>15599.999999999998</v>
      </c>
      <c r="L75" s="437">
        <f t="shared" si="93"/>
        <v>15912</v>
      </c>
      <c r="M75" s="435">
        <f t="shared" si="93"/>
        <v>16230.239999999998</v>
      </c>
      <c r="N75" s="436">
        <f t="shared" si="93"/>
        <v>24000</v>
      </c>
      <c r="O75" s="436">
        <f t="shared" si="93"/>
        <v>24000</v>
      </c>
      <c r="P75" s="437">
        <f t="shared" si="93"/>
        <v>0</v>
      </c>
      <c r="Q75" s="435">
        <f t="shared" si="93"/>
        <v>0</v>
      </c>
      <c r="R75" s="436">
        <f t="shared" si="93"/>
        <v>0</v>
      </c>
      <c r="S75" s="436">
        <f t="shared" si="93"/>
        <v>0</v>
      </c>
      <c r="T75" s="437">
        <f t="shared" si="93"/>
        <v>0</v>
      </c>
      <c r="U75" s="435">
        <f t="shared" si="93"/>
        <v>0</v>
      </c>
      <c r="V75" s="436">
        <f t="shared" si="93"/>
        <v>0</v>
      </c>
      <c r="W75" s="436">
        <f t="shared" si="93"/>
        <v>0</v>
      </c>
      <c r="X75" s="437">
        <f t="shared" si="93"/>
        <v>0</v>
      </c>
      <c r="Y75" s="435">
        <f t="shared" si="93"/>
        <v>0</v>
      </c>
      <c r="Z75" s="436">
        <f t="shared" si="93"/>
        <v>0</v>
      </c>
      <c r="AA75" s="436">
        <f t="shared" si="93"/>
        <v>0</v>
      </c>
      <c r="AB75" s="437">
        <f t="shared" si="93"/>
        <v>0</v>
      </c>
      <c r="AC75" s="435">
        <f t="shared" si="93"/>
        <v>0</v>
      </c>
      <c r="AD75" s="436">
        <f t="shared" si="93"/>
        <v>0</v>
      </c>
      <c r="AE75" s="436">
        <f t="shared" si="93"/>
        <v>0</v>
      </c>
      <c r="AF75" s="437">
        <f t="shared" si="93"/>
        <v>0</v>
      </c>
      <c r="AG75" s="435">
        <f t="shared" si="93"/>
        <v>0</v>
      </c>
      <c r="AH75" s="436">
        <f t="shared" si="93"/>
        <v>0</v>
      </c>
      <c r="AI75" s="436">
        <f t="shared" si="93"/>
        <v>0</v>
      </c>
      <c r="AJ75" s="437">
        <f t="shared" si="93"/>
        <v>0</v>
      </c>
      <c r="AK75" s="435">
        <f t="shared" si="93"/>
        <v>0</v>
      </c>
      <c r="AL75" s="436">
        <f t="shared" si="93"/>
        <v>0</v>
      </c>
      <c r="AM75" s="436">
        <f t="shared" si="93"/>
        <v>0</v>
      </c>
      <c r="AN75" s="437">
        <f t="shared" si="93"/>
        <v>0</v>
      </c>
      <c r="AO75" s="435">
        <f t="shared" si="93"/>
        <v>0</v>
      </c>
      <c r="AP75" s="436">
        <f t="shared" si="93"/>
        <v>0</v>
      </c>
      <c r="AQ75" s="436">
        <f t="shared" si="93"/>
        <v>0</v>
      </c>
      <c r="AR75" s="437">
        <f t="shared" si="93"/>
        <v>0</v>
      </c>
      <c r="AS75" s="435">
        <f t="shared" si="93"/>
        <v>0</v>
      </c>
      <c r="AT75" s="436">
        <f t="shared" si="93"/>
        <v>0</v>
      </c>
      <c r="AU75" s="436">
        <f t="shared" si="93"/>
        <v>0</v>
      </c>
      <c r="AV75" s="437">
        <f t="shared" si="93"/>
        <v>0</v>
      </c>
      <c r="AW75" s="473"/>
    </row>
    <row r="76" spans="1:49" ht="13.5" customHeight="1">
      <c r="A76" s="1944"/>
      <c r="B76" s="1957"/>
      <c r="C76" s="438" t="s">
        <v>881</v>
      </c>
      <c r="D76" s="439">
        <f>SUM(E76:AV76)</f>
        <v>1.0000000000000002</v>
      </c>
      <c r="E76" s="440">
        <f>IFERROR(E77/$D$77,0)</f>
        <v>0</v>
      </c>
      <c r="F76" s="441">
        <f t="shared" ref="F76:AV76" si="94">IFERROR(F77/$D$77,0)</f>
        <v>0</v>
      </c>
      <c r="G76" s="441">
        <f t="shared" si="94"/>
        <v>0</v>
      </c>
      <c r="H76" s="442">
        <f t="shared" si="94"/>
        <v>0</v>
      </c>
      <c r="I76" s="440">
        <f t="shared" si="94"/>
        <v>0</v>
      </c>
      <c r="J76" s="441">
        <f t="shared" si="94"/>
        <v>0.328674255105457</v>
      </c>
      <c r="K76" s="441">
        <f t="shared" si="94"/>
        <v>0.328674255105457</v>
      </c>
      <c r="L76" s="442">
        <f t="shared" si="94"/>
        <v>0.14086039504519585</v>
      </c>
      <c r="M76" s="440">
        <f t="shared" si="94"/>
        <v>0.14086039504519585</v>
      </c>
      <c r="N76" s="441">
        <f t="shared" si="94"/>
        <v>4.8744559758955475E-2</v>
      </c>
      <c r="O76" s="441">
        <f t="shared" si="94"/>
        <v>1.2186139939738869E-2</v>
      </c>
      <c r="P76" s="442">
        <f t="shared" si="94"/>
        <v>0</v>
      </c>
      <c r="Q76" s="440">
        <f t="shared" si="94"/>
        <v>0</v>
      </c>
      <c r="R76" s="441">
        <f t="shared" si="94"/>
        <v>0</v>
      </c>
      <c r="S76" s="441">
        <f t="shared" si="94"/>
        <v>0</v>
      </c>
      <c r="T76" s="442">
        <f t="shared" si="94"/>
        <v>0</v>
      </c>
      <c r="U76" s="440">
        <f t="shared" si="94"/>
        <v>0</v>
      </c>
      <c r="V76" s="441">
        <f t="shared" si="94"/>
        <v>0</v>
      </c>
      <c r="W76" s="441">
        <f t="shared" si="94"/>
        <v>0</v>
      </c>
      <c r="X76" s="442">
        <f t="shared" si="94"/>
        <v>0</v>
      </c>
      <c r="Y76" s="440">
        <f t="shared" si="94"/>
        <v>0</v>
      </c>
      <c r="Z76" s="441">
        <f t="shared" si="94"/>
        <v>0</v>
      </c>
      <c r="AA76" s="441">
        <f t="shared" si="94"/>
        <v>0</v>
      </c>
      <c r="AB76" s="442">
        <f t="shared" si="94"/>
        <v>0</v>
      </c>
      <c r="AC76" s="440">
        <f t="shared" si="94"/>
        <v>0</v>
      </c>
      <c r="AD76" s="441">
        <f t="shared" si="94"/>
        <v>0</v>
      </c>
      <c r="AE76" s="441">
        <f t="shared" si="94"/>
        <v>0</v>
      </c>
      <c r="AF76" s="442">
        <f t="shared" si="94"/>
        <v>0</v>
      </c>
      <c r="AG76" s="440">
        <f t="shared" si="94"/>
        <v>0</v>
      </c>
      <c r="AH76" s="441">
        <f t="shared" si="94"/>
        <v>0</v>
      </c>
      <c r="AI76" s="441">
        <f t="shared" si="94"/>
        <v>0</v>
      </c>
      <c r="AJ76" s="442">
        <f t="shared" si="94"/>
        <v>0</v>
      </c>
      <c r="AK76" s="440">
        <f t="shared" si="94"/>
        <v>0</v>
      </c>
      <c r="AL76" s="441">
        <f t="shared" si="94"/>
        <v>0</v>
      </c>
      <c r="AM76" s="441">
        <f t="shared" si="94"/>
        <v>0</v>
      </c>
      <c r="AN76" s="442">
        <f t="shared" si="94"/>
        <v>0</v>
      </c>
      <c r="AO76" s="440">
        <f t="shared" si="94"/>
        <v>0</v>
      </c>
      <c r="AP76" s="441">
        <f t="shared" si="94"/>
        <v>0</v>
      </c>
      <c r="AQ76" s="441">
        <f t="shared" si="94"/>
        <v>0</v>
      </c>
      <c r="AR76" s="442">
        <f t="shared" si="94"/>
        <v>0</v>
      </c>
      <c r="AS76" s="440">
        <f t="shared" si="94"/>
        <v>0</v>
      </c>
      <c r="AT76" s="441">
        <f t="shared" si="94"/>
        <v>0</v>
      </c>
      <c r="AU76" s="441">
        <f t="shared" si="94"/>
        <v>0</v>
      </c>
      <c r="AV76" s="442">
        <f t="shared" si="94"/>
        <v>0</v>
      </c>
      <c r="AW76" s="78"/>
    </row>
    <row r="77" spans="1:49" s="424" customFormat="1" ht="13.5" customHeight="1">
      <c r="A77" s="1944"/>
      <c r="B77" s="1957"/>
      <c r="C77" s="438" t="s">
        <v>682</v>
      </c>
      <c r="D77" s="443">
        <f t="shared" ref="D77:AV77" si="95">SUM(D87,D92,D97,D102,D107,D112,D117,D122,D127,D132)</f>
        <v>59740</v>
      </c>
      <c r="E77" s="444">
        <f t="shared" si="95"/>
        <v>0</v>
      </c>
      <c r="F77" s="445">
        <f t="shared" si="95"/>
        <v>0</v>
      </c>
      <c r="G77" s="445">
        <f t="shared" si="95"/>
        <v>0</v>
      </c>
      <c r="H77" s="446">
        <f t="shared" si="95"/>
        <v>0</v>
      </c>
      <c r="I77" s="444">
        <f t="shared" si="95"/>
        <v>0</v>
      </c>
      <c r="J77" s="445">
        <f t="shared" si="95"/>
        <v>19635</v>
      </c>
      <c r="K77" s="445">
        <f t="shared" si="95"/>
        <v>19635</v>
      </c>
      <c r="L77" s="446">
        <f t="shared" si="95"/>
        <v>8415</v>
      </c>
      <c r="M77" s="444">
        <f t="shared" si="95"/>
        <v>8415</v>
      </c>
      <c r="N77" s="445">
        <f t="shared" si="95"/>
        <v>2912</v>
      </c>
      <c r="O77" s="445">
        <f t="shared" si="95"/>
        <v>728</v>
      </c>
      <c r="P77" s="446">
        <f t="shared" si="95"/>
        <v>0</v>
      </c>
      <c r="Q77" s="444">
        <f t="shared" si="95"/>
        <v>0</v>
      </c>
      <c r="R77" s="445">
        <f t="shared" si="95"/>
        <v>0</v>
      </c>
      <c r="S77" s="445">
        <f t="shared" si="95"/>
        <v>0</v>
      </c>
      <c r="T77" s="446">
        <f t="shared" si="95"/>
        <v>0</v>
      </c>
      <c r="U77" s="444">
        <f t="shared" si="95"/>
        <v>0</v>
      </c>
      <c r="V77" s="445">
        <f t="shared" si="95"/>
        <v>0</v>
      </c>
      <c r="W77" s="445">
        <f t="shared" si="95"/>
        <v>0</v>
      </c>
      <c r="X77" s="446">
        <f t="shared" si="95"/>
        <v>0</v>
      </c>
      <c r="Y77" s="444">
        <f t="shared" si="95"/>
        <v>0</v>
      </c>
      <c r="Z77" s="445">
        <f t="shared" si="95"/>
        <v>0</v>
      </c>
      <c r="AA77" s="445">
        <f t="shared" si="95"/>
        <v>0</v>
      </c>
      <c r="AB77" s="446">
        <f t="shared" si="95"/>
        <v>0</v>
      </c>
      <c r="AC77" s="444">
        <f t="shared" si="95"/>
        <v>0</v>
      </c>
      <c r="AD77" s="445">
        <f t="shared" si="95"/>
        <v>0</v>
      </c>
      <c r="AE77" s="445">
        <f t="shared" si="95"/>
        <v>0</v>
      </c>
      <c r="AF77" s="446">
        <f t="shared" si="95"/>
        <v>0</v>
      </c>
      <c r="AG77" s="444">
        <f t="shared" si="95"/>
        <v>0</v>
      </c>
      <c r="AH77" s="445">
        <f t="shared" si="95"/>
        <v>0</v>
      </c>
      <c r="AI77" s="445">
        <f t="shared" si="95"/>
        <v>0</v>
      </c>
      <c r="AJ77" s="446">
        <f t="shared" si="95"/>
        <v>0</v>
      </c>
      <c r="AK77" s="444">
        <f t="shared" si="95"/>
        <v>0</v>
      </c>
      <c r="AL77" s="445">
        <f t="shared" si="95"/>
        <v>0</v>
      </c>
      <c r="AM77" s="445">
        <f t="shared" si="95"/>
        <v>0</v>
      </c>
      <c r="AN77" s="446">
        <f t="shared" si="95"/>
        <v>0</v>
      </c>
      <c r="AO77" s="444">
        <f t="shared" si="95"/>
        <v>0</v>
      </c>
      <c r="AP77" s="445">
        <f t="shared" si="95"/>
        <v>0</v>
      </c>
      <c r="AQ77" s="445">
        <f t="shared" si="95"/>
        <v>0</v>
      </c>
      <c r="AR77" s="446">
        <f t="shared" si="95"/>
        <v>0</v>
      </c>
      <c r="AS77" s="444">
        <f t="shared" si="95"/>
        <v>0</v>
      </c>
      <c r="AT77" s="445">
        <f t="shared" si="95"/>
        <v>0</v>
      </c>
      <c r="AU77" s="445">
        <f t="shared" si="95"/>
        <v>0</v>
      </c>
      <c r="AV77" s="446">
        <f t="shared" si="95"/>
        <v>0</v>
      </c>
      <c r="AW77" s="473"/>
    </row>
    <row r="78" spans="1:49" s="424" customFormat="1" ht="13.5" customHeight="1">
      <c r="A78" s="1944"/>
      <c r="B78" s="1957"/>
      <c r="C78" s="438" t="s">
        <v>882</v>
      </c>
      <c r="D78" s="443">
        <f t="shared" ref="D78:AV78" si="96">SUM(D88,D93,D98,D103,D108,D113,D118,D123,D128,D133)</f>
        <v>95866.794959999999</v>
      </c>
      <c r="E78" s="444">
        <f t="shared" si="96"/>
        <v>0</v>
      </c>
      <c r="F78" s="445">
        <f t="shared" si="96"/>
        <v>0</v>
      </c>
      <c r="G78" s="445">
        <f t="shared" si="96"/>
        <v>0</v>
      </c>
      <c r="H78" s="446">
        <f t="shared" si="96"/>
        <v>0</v>
      </c>
      <c r="I78" s="444">
        <f t="shared" si="96"/>
        <v>0</v>
      </c>
      <c r="J78" s="445">
        <f t="shared" si="96"/>
        <v>29452.5</v>
      </c>
      <c r="K78" s="445">
        <f t="shared" si="96"/>
        <v>30630.6</v>
      </c>
      <c r="L78" s="446">
        <f t="shared" si="96"/>
        <v>13389.948</v>
      </c>
      <c r="M78" s="444">
        <f t="shared" si="96"/>
        <v>13657.746959999999</v>
      </c>
      <c r="N78" s="445">
        <f t="shared" si="96"/>
        <v>6988.8</v>
      </c>
      <c r="O78" s="445">
        <f t="shared" si="96"/>
        <v>1747.2</v>
      </c>
      <c r="P78" s="446">
        <f t="shared" si="96"/>
        <v>0</v>
      </c>
      <c r="Q78" s="444">
        <f t="shared" si="96"/>
        <v>0</v>
      </c>
      <c r="R78" s="445">
        <f t="shared" si="96"/>
        <v>0</v>
      </c>
      <c r="S78" s="445">
        <f t="shared" si="96"/>
        <v>0</v>
      </c>
      <c r="T78" s="446">
        <f t="shared" si="96"/>
        <v>0</v>
      </c>
      <c r="U78" s="444">
        <f t="shared" si="96"/>
        <v>0</v>
      </c>
      <c r="V78" s="445">
        <f t="shared" si="96"/>
        <v>0</v>
      </c>
      <c r="W78" s="445">
        <f t="shared" si="96"/>
        <v>0</v>
      </c>
      <c r="X78" s="446">
        <f t="shared" si="96"/>
        <v>0</v>
      </c>
      <c r="Y78" s="444">
        <f t="shared" si="96"/>
        <v>0</v>
      </c>
      <c r="Z78" s="445">
        <f t="shared" si="96"/>
        <v>0</v>
      </c>
      <c r="AA78" s="445">
        <f t="shared" si="96"/>
        <v>0</v>
      </c>
      <c r="AB78" s="446">
        <f t="shared" si="96"/>
        <v>0</v>
      </c>
      <c r="AC78" s="444">
        <f t="shared" si="96"/>
        <v>0</v>
      </c>
      <c r="AD78" s="445">
        <f t="shared" si="96"/>
        <v>0</v>
      </c>
      <c r="AE78" s="445">
        <f t="shared" si="96"/>
        <v>0</v>
      </c>
      <c r="AF78" s="446">
        <f t="shared" si="96"/>
        <v>0</v>
      </c>
      <c r="AG78" s="444">
        <f t="shared" si="96"/>
        <v>0</v>
      </c>
      <c r="AH78" s="445">
        <f t="shared" si="96"/>
        <v>0</v>
      </c>
      <c r="AI78" s="445">
        <f t="shared" si="96"/>
        <v>0</v>
      </c>
      <c r="AJ78" s="446">
        <f t="shared" si="96"/>
        <v>0</v>
      </c>
      <c r="AK78" s="444">
        <f t="shared" si="96"/>
        <v>0</v>
      </c>
      <c r="AL78" s="445">
        <f t="shared" si="96"/>
        <v>0</v>
      </c>
      <c r="AM78" s="445">
        <f t="shared" si="96"/>
        <v>0</v>
      </c>
      <c r="AN78" s="446">
        <f t="shared" si="96"/>
        <v>0</v>
      </c>
      <c r="AO78" s="444">
        <f t="shared" si="96"/>
        <v>0</v>
      </c>
      <c r="AP78" s="445">
        <f t="shared" si="96"/>
        <v>0</v>
      </c>
      <c r="AQ78" s="445">
        <f t="shared" si="96"/>
        <v>0</v>
      </c>
      <c r="AR78" s="446">
        <f t="shared" si="96"/>
        <v>0</v>
      </c>
      <c r="AS78" s="444">
        <f t="shared" si="96"/>
        <v>0</v>
      </c>
      <c r="AT78" s="445">
        <f t="shared" si="96"/>
        <v>0</v>
      </c>
      <c r="AU78" s="445">
        <f t="shared" si="96"/>
        <v>0</v>
      </c>
      <c r="AV78" s="446">
        <f t="shared" si="96"/>
        <v>0</v>
      </c>
      <c r="AW78" s="473"/>
    </row>
    <row r="79" spans="1:49" s="424" customFormat="1" ht="13.5" customHeight="1">
      <c r="A79" s="1944"/>
      <c r="B79" s="1957"/>
      <c r="C79" s="447" t="s">
        <v>450</v>
      </c>
      <c r="D79" s="448">
        <f t="shared" ref="D79:AV79" si="97">SUM(D89,D94,D99,D104,D109,D114,D119,D124,D129,D134)</f>
        <v>95866.794959999985</v>
      </c>
      <c r="E79" s="453">
        <f t="shared" si="97"/>
        <v>0</v>
      </c>
      <c r="F79" s="454">
        <f t="shared" si="97"/>
        <v>0</v>
      </c>
      <c r="G79" s="454">
        <f t="shared" si="97"/>
        <v>0</v>
      </c>
      <c r="H79" s="455">
        <f t="shared" si="97"/>
        <v>0</v>
      </c>
      <c r="I79" s="453">
        <f t="shared" si="97"/>
        <v>0</v>
      </c>
      <c r="J79" s="454">
        <f t="shared" si="97"/>
        <v>20616.75</v>
      </c>
      <c r="K79" s="454">
        <f t="shared" si="97"/>
        <v>30277.17</v>
      </c>
      <c r="L79" s="455">
        <f t="shared" si="97"/>
        <v>18562.143599999999</v>
      </c>
      <c r="M79" s="453">
        <f t="shared" si="97"/>
        <v>13577.407272</v>
      </c>
      <c r="N79" s="454">
        <f t="shared" si="97"/>
        <v>8989.4840880000011</v>
      </c>
      <c r="O79" s="454">
        <f t="shared" si="97"/>
        <v>3319.6800000000003</v>
      </c>
      <c r="P79" s="455">
        <f t="shared" si="97"/>
        <v>524.16000000000008</v>
      </c>
      <c r="Q79" s="453">
        <f t="shared" si="97"/>
        <v>0</v>
      </c>
      <c r="R79" s="454">
        <f t="shared" si="97"/>
        <v>0</v>
      </c>
      <c r="S79" s="454">
        <f t="shared" si="97"/>
        <v>0</v>
      </c>
      <c r="T79" s="455">
        <f t="shared" si="97"/>
        <v>0</v>
      </c>
      <c r="U79" s="453">
        <f t="shared" si="97"/>
        <v>0</v>
      </c>
      <c r="V79" s="454">
        <f t="shared" si="97"/>
        <v>0</v>
      </c>
      <c r="W79" s="454">
        <f t="shared" si="97"/>
        <v>0</v>
      </c>
      <c r="X79" s="455">
        <f t="shared" si="97"/>
        <v>0</v>
      </c>
      <c r="Y79" s="453">
        <f t="shared" si="97"/>
        <v>0</v>
      </c>
      <c r="Z79" s="454">
        <f t="shared" si="97"/>
        <v>0</v>
      </c>
      <c r="AA79" s="454">
        <f t="shared" si="97"/>
        <v>0</v>
      </c>
      <c r="AB79" s="455">
        <f t="shared" si="97"/>
        <v>0</v>
      </c>
      <c r="AC79" s="453">
        <f t="shared" si="97"/>
        <v>0</v>
      </c>
      <c r="AD79" s="454">
        <f t="shared" si="97"/>
        <v>0</v>
      </c>
      <c r="AE79" s="454">
        <f t="shared" si="97"/>
        <v>0</v>
      </c>
      <c r="AF79" s="455">
        <f t="shared" si="97"/>
        <v>0</v>
      </c>
      <c r="AG79" s="453">
        <f t="shared" si="97"/>
        <v>0</v>
      </c>
      <c r="AH79" s="454">
        <f t="shared" si="97"/>
        <v>0</v>
      </c>
      <c r="AI79" s="454">
        <f t="shared" si="97"/>
        <v>0</v>
      </c>
      <c r="AJ79" s="455">
        <f t="shared" si="97"/>
        <v>0</v>
      </c>
      <c r="AK79" s="453">
        <f t="shared" si="97"/>
        <v>0</v>
      </c>
      <c r="AL79" s="454">
        <f t="shared" si="97"/>
        <v>0</v>
      </c>
      <c r="AM79" s="454">
        <f t="shared" si="97"/>
        <v>0</v>
      </c>
      <c r="AN79" s="455">
        <f t="shared" si="97"/>
        <v>0</v>
      </c>
      <c r="AO79" s="453">
        <f t="shared" si="97"/>
        <v>0</v>
      </c>
      <c r="AP79" s="454">
        <f t="shared" si="97"/>
        <v>0</v>
      </c>
      <c r="AQ79" s="454">
        <f t="shared" si="97"/>
        <v>0</v>
      </c>
      <c r="AR79" s="455">
        <f t="shared" si="97"/>
        <v>0</v>
      </c>
      <c r="AS79" s="453">
        <f t="shared" si="97"/>
        <v>0</v>
      </c>
      <c r="AT79" s="454">
        <f t="shared" si="97"/>
        <v>0</v>
      </c>
      <c r="AU79" s="454">
        <f t="shared" si="97"/>
        <v>0</v>
      </c>
      <c r="AV79" s="455">
        <f t="shared" si="97"/>
        <v>0</v>
      </c>
      <c r="AW79" s="473"/>
    </row>
    <row r="80" spans="1:49" s="424" customFormat="1" ht="13.5" customHeight="1">
      <c r="A80" s="1944"/>
      <c r="B80" s="1957" t="s">
        <v>888</v>
      </c>
      <c r="C80" s="449" t="s">
        <v>884</v>
      </c>
      <c r="D80" s="434">
        <f>IF(D82=0,0,D83/D82*10000)</f>
        <v>112000</v>
      </c>
      <c r="E80" s="435">
        <f t="shared" ref="E80:AV80" si="98">IF(E82=0,0,E83/E82*10000)</f>
        <v>0</v>
      </c>
      <c r="F80" s="436">
        <f t="shared" si="98"/>
        <v>0</v>
      </c>
      <c r="G80" s="436">
        <f t="shared" si="98"/>
        <v>0</v>
      </c>
      <c r="H80" s="437">
        <f t="shared" si="98"/>
        <v>0</v>
      </c>
      <c r="I80" s="435">
        <f t="shared" si="98"/>
        <v>0</v>
      </c>
      <c r="J80" s="436">
        <f t="shared" si="98"/>
        <v>0</v>
      </c>
      <c r="K80" s="436">
        <f t="shared" si="98"/>
        <v>0</v>
      </c>
      <c r="L80" s="437">
        <f t="shared" si="98"/>
        <v>0</v>
      </c>
      <c r="M80" s="435">
        <f t="shared" si="98"/>
        <v>0</v>
      </c>
      <c r="N80" s="436">
        <f t="shared" si="98"/>
        <v>0</v>
      </c>
      <c r="O80" s="436">
        <f t="shared" si="98"/>
        <v>140000.00000000003</v>
      </c>
      <c r="P80" s="437">
        <f t="shared" si="98"/>
        <v>140000.00000000003</v>
      </c>
      <c r="Q80" s="435">
        <f t="shared" si="98"/>
        <v>139999.99999999997</v>
      </c>
      <c r="R80" s="436">
        <f t="shared" si="98"/>
        <v>0</v>
      </c>
      <c r="S80" s="436">
        <f t="shared" si="98"/>
        <v>0</v>
      </c>
      <c r="T80" s="437">
        <f t="shared" si="98"/>
        <v>0</v>
      </c>
      <c r="U80" s="435">
        <f t="shared" si="98"/>
        <v>0</v>
      </c>
      <c r="V80" s="436">
        <f t="shared" si="98"/>
        <v>0</v>
      </c>
      <c r="W80" s="436">
        <f t="shared" si="98"/>
        <v>0</v>
      </c>
      <c r="X80" s="437">
        <f t="shared" si="98"/>
        <v>0</v>
      </c>
      <c r="Y80" s="435">
        <f t="shared" si="98"/>
        <v>0</v>
      </c>
      <c r="Z80" s="436">
        <f t="shared" si="98"/>
        <v>0</v>
      </c>
      <c r="AA80" s="436">
        <f t="shared" si="98"/>
        <v>0</v>
      </c>
      <c r="AB80" s="437">
        <f t="shared" si="98"/>
        <v>0</v>
      </c>
      <c r="AC80" s="435">
        <f t="shared" si="98"/>
        <v>0</v>
      </c>
      <c r="AD80" s="436">
        <f t="shared" si="98"/>
        <v>0</v>
      </c>
      <c r="AE80" s="436">
        <f t="shared" si="98"/>
        <v>0</v>
      </c>
      <c r="AF80" s="437">
        <f t="shared" si="98"/>
        <v>0</v>
      </c>
      <c r="AG80" s="435">
        <f t="shared" si="98"/>
        <v>0</v>
      </c>
      <c r="AH80" s="436">
        <f t="shared" si="98"/>
        <v>0</v>
      </c>
      <c r="AI80" s="436">
        <f t="shared" si="98"/>
        <v>0</v>
      </c>
      <c r="AJ80" s="437">
        <f t="shared" si="98"/>
        <v>0</v>
      </c>
      <c r="AK80" s="435">
        <f t="shared" si="98"/>
        <v>0</v>
      </c>
      <c r="AL80" s="436">
        <f t="shared" si="98"/>
        <v>0</v>
      </c>
      <c r="AM80" s="436">
        <f t="shared" si="98"/>
        <v>0</v>
      </c>
      <c r="AN80" s="437">
        <f t="shared" si="98"/>
        <v>0</v>
      </c>
      <c r="AO80" s="435">
        <f t="shared" si="98"/>
        <v>0</v>
      </c>
      <c r="AP80" s="436">
        <f t="shared" si="98"/>
        <v>0</v>
      </c>
      <c r="AQ80" s="436">
        <f t="shared" si="98"/>
        <v>0</v>
      </c>
      <c r="AR80" s="437">
        <f t="shared" si="98"/>
        <v>0</v>
      </c>
      <c r="AS80" s="435">
        <f t="shared" si="98"/>
        <v>0</v>
      </c>
      <c r="AT80" s="436">
        <f t="shared" si="98"/>
        <v>0</v>
      </c>
      <c r="AU80" s="436">
        <f t="shared" si="98"/>
        <v>0</v>
      </c>
      <c r="AV80" s="437">
        <f t="shared" si="98"/>
        <v>0</v>
      </c>
      <c r="AW80" s="473"/>
    </row>
    <row r="81" spans="1:49" ht="13.5" customHeight="1">
      <c r="A81" s="1944"/>
      <c r="B81" s="1957"/>
      <c r="C81" s="438" t="s">
        <v>881</v>
      </c>
      <c r="D81" s="439">
        <f>SUM(E81:AV81)</f>
        <v>1</v>
      </c>
      <c r="E81" s="440">
        <f>IFERROR(E82/$D$82,0)</f>
        <v>0</v>
      </c>
      <c r="F81" s="441">
        <f t="shared" ref="F81:AV81" si="99">IFERROR(F82/$D$82,0)</f>
        <v>0</v>
      </c>
      <c r="G81" s="441">
        <f t="shared" si="99"/>
        <v>0</v>
      </c>
      <c r="H81" s="442">
        <f t="shared" si="99"/>
        <v>0</v>
      </c>
      <c r="I81" s="440">
        <f t="shared" si="99"/>
        <v>0</v>
      </c>
      <c r="J81" s="441">
        <f t="shared" si="99"/>
        <v>0</v>
      </c>
      <c r="K81" s="441">
        <f t="shared" si="99"/>
        <v>0</v>
      </c>
      <c r="L81" s="442">
        <f t="shared" si="99"/>
        <v>0</v>
      </c>
      <c r="M81" s="440">
        <f t="shared" si="99"/>
        <v>0</v>
      </c>
      <c r="N81" s="441">
        <f t="shared" si="99"/>
        <v>0</v>
      </c>
      <c r="O81" s="441">
        <f t="shared" si="99"/>
        <v>0.3</v>
      </c>
      <c r="P81" s="442">
        <f t="shared" si="99"/>
        <v>0.3</v>
      </c>
      <c r="Q81" s="440">
        <f t="shared" si="99"/>
        <v>0.2</v>
      </c>
      <c r="R81" s="441">
        <f t="shared" si="99"/>
        <v>0.2</v>
      </c>
      <c r="S81" s="441">
        <f t="shared" si="99"/>
        <v>0</v>
      </c>
      <c r="T81" s="442">
        <f t="shared" si="99"/>
        <v>0</v>
      </c>
      <c r="U81" s="440">
        <f t="shared" si="99"/>
        <v>0</v>
      </c>
      <c r="V81" s="441">
        <f t="shared" si="99"/>
        <v>0</v>
      </c>
      <c r="W81" s="441">
        <f t="shared" si="99"/>
        <v>0</v>
      </c>
      <c r="X81" s="442">
        <f t="shared" si="99"/>
        <v>0</v>
      </c>
      <c r="Y81" s="440">
        <f t="shared" si="99"/>
        <v>0</v>
      </c>
      <c r="Z81" s="441">
        <f t="shared" si="99"/>
        <v>0</v>
      </c>
      <c r="AA81" s="441">
        <f t="shared" si="99"/>
        <v>0</v>
      </c>
      <c r="AB81" s="442">
        <f t="shared" si="99"/>
        <v>0</v>
      </c>
      <c r="AC81" s="440">
        <f t="shared" si="99"/>
        <v>0</v>
      </c>
      <c r="AD81" s="441">
        <f t="shared" si="99"/>
        <v>0</v>
      </c>
      <c r="AE81" s="441">
        <f t="shared" si="99"/>
        <v>0</v>
      </c>
      <c r="AF81" s="442">
        <f t="shared" si="99"/>
        <v>0</v>
      </c>
      <c r="AG81" s="440">
        <f t="shared" si="99"/>
        <v>0</v>
      </c>
      <c r="AH81" s="441">
        <f t="shared" si="99"/>
        <v>0</v>
      </c>
      <c r="AI81" s="441">
        <f t="shared" si="99"/>
        <v>0</v>
      </c>
      <c r="AJ81" s="442">
        <f t="shared" si="99"/>
        <v>0</v>
      </c>
      <c r="AK81" s="440">
        <f t="shared" si="99"/>
        <v>0</v>
      </c>
      <c r="AL81" s="441">
        <f t="shared" si="99"/>
        <v>0</v>
      </c>
      <c r="AM81" s="441">
        <f t="shared" si="99"/>
        <v>0</v>
      </c>
      <c r="AN81" s="442">
        <f t="shared" si="99"/>
        <v>0</v>
      </c>
      <c r="AO81" s="440">
        <f t="shared" si="99"/>
        <v>0</v>
      </c>
      <c r="AP81" s="441">
        <f t="shared" si="99"/>
        <v>0</v>
      </c>
      <c r="AQ81" s="441">
        <f t="shared" si="99"/>
        <v>0</v>
      </c>
      <c r="AR81" s="442">
        <f t="shared" si="99"/>
        <v>0</v>
      </c>
      <c r="AS81" s="440">
        <f t="shared" si="99"/>
        <v>0</v>
      </c>
      <c r="AT81" s="441">
        <f t="shared" si="99"/>
        <v>0</v>
      </c>
      <c r="AU81" s="441">
        <f t="shared" si="99"/>
        <v>0</v>
      </c>
      <c r="AV81" s="442">
        <f t="shared" si="99"/>
        <v>0</v>
      </c>
      <c r="AW81" s="78"/>
    </row>
    <row r="82" spans="1:49" s="424" customFormat="1" ht="13.5" customHeight="1">
      <c r="A82" s="1944"/>
      <c r="B82" s="1957"/>
      <c r="C82" s="438" t="s">
        <v>783</v>
      </c>
      <c r="D82" s="443">
        <f t="shared" ref="D82:AV82" si="100">SUM(D137,D142)</f>
        <v>422</v>
      </c>
      <c r="E82" s="444">
        <f t="shared" si="100"/>
        <v>0</v>
      </c>
      <c r="F82" s="445">
        <f t="shared" si="100"/>
        <v>0</v>
      </c>
      <c r="G82" s="445">
        <f t="shared" si="100"/>
        <v>0</v>
      </c>
      <c r="H82" s="446">
        <f t="shared" si="100"/>
        <v>0</v>
      </c>
      <c r="I82" s="444">
        <f t="shared" si="100"/>
        <v>0</v>
      </c>
      <c r="J82" s="445">
        <f t="shared" si="100"/>
        <v>0</v>
      </c>
      <c r="K82" s="445">
        <f t="shared" si="100"/>
        <v>0</v>
      </c>
      <c r="L82" s="446">
        <f t="shared" si="100"/>
        <v>0</v>
      </c>
      <c r="M82" s="444">
        <f t="shared" si="100"/>
        <v>0</v>
      </c>
      <c r="N82" s="445">
        <f t="shared" si="100"/>
        <v>0</v>
      </c>
      <c r="O82" s="445">
        <f t="shared" si="100"/>
        <v>126.6</v>
      </c>
      <c r="P82" s="446">
        <f t="shared" si="100"/>
        <v>126.6</v>
      </c>
      <c r="Q82" s="444">
        <f t="shared" si="100"/>
        <v>84.4</v>
      </c>
      <c r="R82" s="445">
        <f t="shared" si="100"/>
        <v>84.4</v>
      </c>
      <c r="S82" s="445">
        <f t="shared" si="100"/>
        <v>0</v>
      </c>
      <c r="T82" s="446">
        <f t="shared" si="100"/>
        <v>0</v>
      </c>
      <c r="U82" s="444">
        <f t="shared" si="100"/>
        <v>0</v>
      </c>
      <c r="V82" s="445">
        <f t="shared" si="100"/>
        <v>0</v>
      </c>
      <c r="W82" s="445">
        <f t="shared" si="100"/>
        <v>0</v>
      </c>
      <c r="X82" s="446">
        <f t="shared" si="100"/>
        <v>0</v>
      </c>
      <c r="Y82" s="444">
        <f t="shared" si="100"/>
        <v>0</v>
      </c>
      <c r="Z82" s="445">
        <f t="shared" si="100"/>
        <v>0</v>
      </c>
      <c r="AA82" s="445">
        <f t="shared" si="100"/>
        <v>0</v>
      </c>
      <c r="AB82" s="446">
        <f t="shared" si="100"/>
        <v>0</v>
      </c>
      <c r="AC82" s="444">
        <f t="shared" si="100"/>
        <v>0</v>
      </c>
      <c r="AD82" s="445">
        <f t="shared" si="100"/>
        <v>0</v>
      </c>
      <c r="AE82" s="445">
        <f t="shared" si="100"/>
        <v>0</v>
      </c>
      <c r="AF82" s="446">
        <f t="shared" si="100"/>
        <v>0</v>
      </c>
      <c r="AG82" s="444">
        <f t="shared" si="100"/>
        <v>0</v>
      </c>
      <c r="AH82" s="445">
        <f t="shared" si="100"/>
        <v>0</v>
      </c>
      <c r="AI82" s="445">
        <f t="shared" si="100"/>
        <v>0</v>
      </c>
      <c r="AJ82" s="446">
        <f t="shared" si="100"/>
        <v>0</v>
      </c>
      <c r="AK82" s="444">
        <f t="shared" si="100"/>
        <v>0</v>
      </c>
      <c r="AL82" s="445">
        <f t="shared" si="100"/>
        <v>0</v>
      </c>
      <c r="AM82" s="445">
        <f t="shared" si="100"/>
        <v>0</v>
      </c>
      <c r="AN82" s="446">
        <f t="shared" si="100"/>
        <v>0</v>
      </c>
      <c r="AO82" s="444">
        <f t="shared" si="100"/>
        <v>0</v>
      </c>
      <c r="AP82" s="445">
        <f t="shared" si="100"/>
        <v>0</v>
      </c>
      <c r="AQ82" s="445">
        <f t="shared" si="100"/>
        <v>0</v>
      </c>
      <c r="AR82" s="446">
        <f t="shared" si="100"/>
        <v>0</v>
      </c>
      <c r="AS82" s="444">
        <f t="shared" si="100"/>
        <v>0</v>
      </c>
      <c r="AT82" s="445">
        <f t="shared" si="100"/>
        <v>0</v>
      </c>
      <c r="AU82" s="445">
        <f t="shared" si="100"/>
        <v>0</v>
      </c>
      <c r="AV82" s="446">
        <f t="shared" si="100"/>
        <v>0</v>
      </c>
      <c r="AW82" s="473"/>
    </row>
    <row r="83" spans="1:49" s="424" customFormat="1" ht="13.5" customHeight="1">
      <c r="A83" s="1944"/>
      <c r="B83" s="1957"/>
      <c r="C83" s="438" t="s">
        <v>885</v>
      </c>
      <c r="D83" s="443">
        <f t="shared" ref="D83:AV83" si="101">SUM(D138,D143)</f>
        <v>4726.3999999999996</v>
      </c>
      <c r="E83" s="444">
        <f t="shared" si="101"/>
        <v>0</v>
      </c>
      <c r="F83" s="445">
        <f t="shared" si="101"/>
        <v>0</v>
      </c>
      <c r="G83" s="445">
        <f t="shared" si="101"/>
        <v>0</v>
      </c>
      <c r="H83" s="446">
        <f t="shared" si="101"/>
        <v>0</v>
      </c>
      <c r="I83" s="444">
        <f t="shared" si="101"/>
        <v>0</v>
      </c>
      <c r="J83" s="445">
        <f t="shared" si="101"/>
        <v>0</v>
      </c>
      <c r="K83" s="445">
        <f t="shared" si="101"/>
        <v>0</v>
      </c>
      <c r="L83" s="446">
        <f t="shared" si="101"/>
        <v>0</v>
      </c>
      <c r="M83" s="444">
        <f t="shared" si="101"/>
        <v>0</v>
      </c>
      <c r="N83" s="445">
        <f t="shared" si="101"/>
        <v>0</v>
      </c>
      <c r="O83" s="445">
        <f t="shared" si="101"/>
        <v>1772.4</v>
      </c>
      <c r="P83" s="446">
        <f t="shared" si="101"/>
        <v>1772.4</v>
      </c>
      <c r="Q83" s="444">
        <f t="shared" si="101"/>
        <v>1181.5999999999999</v>
      </c>
      <c r="R83" s="445">
        <f t="shared" si="101"/>
        <v>0</v>
      </c>
      <c r="S83" s="445">
        <f t="shared" si="101"/>
        <v>0</v>
      </c>
      <c r="T83" s="446">
        <f t="shared" si="101"/>
        <v>0</v>
      </c>
      <c r="U83" s="444">
        <f t="shared" si="101"/>
        <v>0</v>
      </c>
      <c r="V83" s="445">
        <f t="shared" si="101"/>
        <v>0</v>
      </c>
      <c r="W83" s="445">
        <f t="shared" si="101"/>
        <v>0</v>
      </c>
      <c r="X83" s="446">
        <f t="shared" si="101"/>
        <v>0</v>
      </c>
      <c r="Y83" s="444">
        <f t="shared" si="101"/>
        <v>0</v>
      </c>
      <c r="Z83" s="445">
        <f t="shared" si="101"/>
        <v>0</v>
      </c>
      <c r="AA83" s="445">
        <f t="shared" si="101"/>
        <v>0</v>
      </c>
      <c r="AB83" s="446">
        <f t="shared" si="101"/>
        <v>0</v>
      </c>
      <c r="AC83" s="444">
        <f t="shared" si="101"/>
        <v>0</v>
      </c>
      <c r="AD83" s="445">
        <f t="shared" si="101"/>
        <v>0</v>
      </c>
      <c r="AE83" s="445">
        <f t="shared" si="101"/>
        <v>0</v>
      </c>
      <c r="AF83" s="446">
        <f t="shared" si="101"/>
        <v>0</v>
      </c>
      <c r="AG83" s="444">
        <f t="shared" si="101"/>
        <v>0</v>
      </c>
      <c r="AH83" s="445">
        <f t="shared" si="101"/>
        <v>0</v>
      </c>
      <c r="AI83" s="445">
        <f t="shared" si="101"/>
        <v>0</v>
      </c>
      <c r="AJ83" s="446">
        <f t="shared" si="101"/>
        <v>0</v>
      </c>
      <c r="AK83" s="444">
        <f t="shared" si="101"/>
        <v>0</v>
      </c>
      <c r="AL83" s="445">
        <f t="shared" si="101"/>
        <v>0</v>
      </c>
      <c r="AM83" s="445">
        <f t="shared" si="101"/>
        <v>0</v>
      </c>
      <c r="AN83" s="446">
        <f t="shared" si="101"/>
        <v>0</v>
      </c>
      <c r="AO83" s="444">
        <f t="shared" si="101"/>
        <v>0</v>
      </c>
      <c r="AP83" s="445">
        <f t="shared" si="101"/>
        <v>0</v>
      </c>
      <c r="AQ83" s="445">
        <f t="shared" si="101"/>
        <v>0</v>
      </c>
      <c r="AR83" s="446">
        <f t="shared" si="101"/>
        <v>0</v>
      </c>
      <c r="AS83" s="444">
        <f t="shared" si="101"/>
        <v>0</v>
      </c>
      <c r="AT83" s="445">
        <f t="shared" si="101"/>
        <v>0</v>
      </c>
      <c r="AU83" s="445">
        <f t="shared" si="101"/>
        <v>0</v>
      </c>
      <c r="AV83" s="446">
        <f t="shared" si="101"/>
        <v>0</v>
      </c>
      <c r="AW83" s="473"/>
    </row>
    <row r="84" spans="1:49" s="424" customFormat="1" ht="13.5" customHeight="1">
      <c r="A84" s="1944"/>
      <c r="B84" s="1957"/>
      <c r="C84" s="447" t="s">
        <v>886</v>
      </c>
      <c r="D84" s="448">
        <f t="shared" ref="D84:AV84" si="102">SUM(D139,D144)</f>
        <v>4726.3999999999996</v>
      </c>
      <c r="E84" s="453">
        <f t="shared" si="102"/>
        <v>0</v>
      </c>
      <c r="F84" s="454">
        <f t="shared" si="102"/>
        <v>0</v>
      </c>
      <c r="G84" s="454">
        <f t="shared" si="102"/>
        <v>0</v>
      </c>
      <c r="H84" s="455">
        <f t="shared" si="102"/>
        <v>0</v>
      </c>
      <c r="I84" s="453">
        <f t="shared" si="102"/>
        <v>0</v>
      </c>
      <c r="J84" s="454">
        <f t="shared" si="102"/>
        <v>0</v>
      </c>
      <c r="K84" s="454">
        <f t="shared" si="102"/>
        <v>0</v>
      </c>
      <c r="L84" s="455">
        <f t="shared" si="102"/>
        <v>0</v>
      </c>
      <c r="M84" s="453">
        <f t="shared" si="102"/>
        <v>0</v>
      </c>
      <c r="N84" s="454">
        <f t="shared" si="102"/>
        <v>0</v>
      </c>
      <c r="O84" s="454">
        <f t="shared" si="102"/>
        <v>1772.4</v>
      </c>
      <c r="P84" s="455">
        <f t="shared" si="102"/>
        <v>1772.4</v>
      </c>
      <c r="Q84" s="453">
        <f t="shared" si="102"/>
        <v>1181.5999999999999</v>
      </c>
      <c r="R84" s="454">
        <f t="shared" si="102"/>
        <v>0</v>
      </c>
      <c r="S84" s="454">
        <f t="shared" si="102"/>
        <v>0</v>
      </c>
      <c r="T84" s="455">
        <f t="shared" si="102"/>
        <v>0</v>
      </c>
      <c r="U84" s="453">
        <f t="shared" si="102"/>
        <v>0</v>
      </c>
      <c r="V84" s="454">
        <f t="shared" si="102"/>
        <v>0</v>
      </c>
      <c r="W84" s="454">
        <f t="shared" si="102"/>
        <v>0</v>
      </c>
      <c r="X84" s="455">
        <f t="shared" si="102"/>
        <v>0</v>
      </c>
      <c r="Y84" s="453">
        <f t="shared" si="102"/>
        <v>0</v>
      </c>
      <c r="Z84" s="454">
        <f t="shared" si="102"/>
        <v>0</v>
      </c>
      <c r="AA84" s="454">
        <f t="shared" si="102"/>
        <v>0</v>
      </c>
      <c r="AB84" s="455">
        <f t="shared" si="102"/>
        <v>0</v>
      </c>
      <c r="AC84" s="453">
        <f t="shared" si="102"/>
        <v>0</v>
      </c>
      <c r="AD84" s="454">
        <f t="shared" si="102"/>
        <v>0</v>
      </c>
      <c r="AE84" s="454">
        <f t="shared" si="102"/>
        <v>0</v>
      </c>
      <c r="AF84" s="455">
        <f t="shared" si="102"/>
        <v>0</v>
      </c>
      <c r="AG84" s="453">
        <f t="shared" si="102"/>
        <v>0</v>
      </c>
      <c r="AH84" s="454">
        <f t="shared" si="102"/>
        <v>0</v>
      </c>
      <c r="AI84" s="454">
        <f t="shared" si="102"/>
        <v>0</v>
      </c>
      <c r="AJ84" s="455">
        <f t="shared" si="102"/>
        <v>0</v>
      </c>
      <c r="AK84" s="453">
        <f t="shared" si="102"/>
        <v>0</v>
      </c>
      <c r="AL84" s="454">
        <f t="shared" si="102"/>
        <v>0</v>
      </c>
      <c r="AM84" s="454">
        <f t="shared" si="102"/>
        <v>0</v>
      </c>
      <c r="AN84" s="455">
        <f t="shared" si="102"/>
        <v>0</v>
      </c>
      <c r="AO84" s="453">
        <f t="shared" si="102"/>
        <v>0</v>
      </c>
      <c r="AP84" s="454">
        <f t="shared" si="102"/>
        <v>0</v>
      </c>
      <c r="AQ84" s="454">
        <f t="shared" si="102"/>
        <v>0</v>
      </c>
      <c r="AR84" s="455">
        <f t="shared" si="102"/>
        <v>0</v>
      </c>
      <c r="AS84" s="453">
        <f t="shared" si="102"/>
        <v>0</v>
      </c>
      <c r="AT84" s="454">
        <f t="shared" si="102"/>
        <v>0</v>
      </c>
      <c r="AU84" s="454">
        <f t="shared" si="102"/>
        <v>0</v>
      </c>
      <c r="AV84" s="455">
        <f t="shared" si="102"/>
        <v>0</v>
      </c>
      <c r="AW84" s="473"/>
    </row>
    <row r="85" spans="1:49" s="424" customFormat="1" ht="13.5" customHeight="1" outlineLevel="1">
      <c r="A85" s="1944"/>
      <c r="B85" s="1949" t="str">
        <f>'9.项目开发计划表'!C5</f>
        <v>高层</v>
      </c>
      <c r="C85" s="456" t="s">
        <v>880</v>
      </c>
      <c r="D85" s="457">
        <f>IF(D87=0,0,D88/D87*10000)</f>
        <v>15531.335999999999</v>
      </c>
      <c r="E85" s="475"/>
      <c r="F85" s="476"/>
      <c r="G85" s="476"/>
      <c r="H85" s="477"/>
      <c r="I85" s="475"/>
      <c r="J85" s="476">
        <v>15000</v>
      </c>
      <c r="K85" s="476">
        <f>J85*(1+4%)</f>
        <v>15600</v>
      </c>
      <c r="L85" s="476">
        <f>K85*(1+2%)</f>
        <v>15912</v>
      </c>
      <c r="M85" s="476">
        <f>L85*(1+2%)</f>
        <v>16230.24</v>
      </c>
      <c r="N85" s="477"/>
      <c r="O85" s="477"/>
      <c r="P85" s="476"/>
      <c r="Q85" s="475"/>
      <c r="R85" s="475"/>
      <c r="S85" s="477"/>
      <c r="T85" s="477"/>
      <c r="U85" s="489"/>
      <c r="V85" s="476"/>
      <c r="W85" s="476"/>
      <c r="X85" s="489"/>
      <c r="Y85" s="489"/>
      <c r="Z85" s="489"/>
      <c r="AA85" s="489"/>
      <c r="AB85" s="489"/>
      <c r="AC85" s="489"/>
      <c r="AD85" s="489"/>
      <c r="AE85" s="489"/>
      <c r="AF85" s="489"/>
      <c r="AG85" s="489"/>
      <c r="AH85" s="476"/>
      <c r="AI85" s="476"/>
      <c r="AJ85" s="477"/>
      <c r="AK85" s="475"/>
      <c r="AL85" s="476"/>
      <c r="AM85" s="476"/>
      <c r="AN85" s="477"/>
      <c r="AO85" s="475"/>
      <c r="AP85" s="476"/>
      <c r="AQ85" s="476"/>
      <c r="AR85" s="477"/>
      <c r="AS85" s="475"/>
      <c r="AT85" s="476"/>
      <c r="AU85" s="476"/>
      <c r="AV85" s="477"/>
      <c r="AW85" s="424" t="str">
        <f>B85</f>
        <v>高层</v>
      </c>
    </row>
    <row r="86" spans="1:49" ht="13.5" customHeight="1" outlineLevel="1">
      <c r="A86" s="1944"/>
      <c r="B86" s="1949"/>
      <c r="C86" s="461" t="s">
        <v>881</v>
      </c>
      <c r="D86" s="462">
        <f t="shared" ref="D86:D89" si="103">SUM(E86:AV86)</f>
        <v>1</v>
      </c>
      <c r="E86" s="478"/>
      <c r="F86" s="479"/>
      <c r="G86" s="479"/>
      <c r="H86" s="480"/>
      <c r="I86" s="478"/>
      <c r="J86" s="479">
        <v>0.35</v>
      </c>
      <c r="K86" s="485">
        <v>0.35</v>
      </c>
      <c r="L86" s="486">
        <v>0.15</v>
      </c>
      <c r="M86" s="486">
        <v>0.15</v>
      </c>
      <c r="N86" s="486"/>
      <c r="O86" s="480"/>
      <c r="P86" s="480"/>
      <c r="Q86" s="478"/>
      <c r="R86" s="479"/>
      <c r="S86" s="482"/>
      <c r="T86" s="480"/>
      <c r="U86" s="490"/>
      <c r="V86" s="491"/>
      <c r="W86" s="491"/>
      <c r="X86" s="492"/>
      <c r="Y86" s="492"/>
      <c r="Z86" s="492"/>
      <c r="AA86" s="492"/>
      <c r="AB86" s="492"/>
      <c r="AC86" s="492"/>
      <c r="AD86" s="492"/>
      <c r="AE86" s="492"/>
      <c r="AF86" s="492"/>
      <c r="AG86" s="492"/>
      <c r="AH86" s="491"/>
      <c r="AI86" s="491"/>
      <c r="AJ86" s="493"/>
      <c r="AK86" s="494"/>
      <c r="AL86" s="491"/>
      <c r="AM86" s="491"/>
      <c r="AN86" s="493"/>
      <c r="AO86" s="494"/>
      <c r="AP86" s="491"/>
      <c r="AQ86" s="491"/>
      <c r="AR86" s="493"/>
      <c r="AS86" s="494"/>
      <c r="AT86" s="491"/>
      <c r="AU86" s="491"/>
      <c r="AV86" s="493"/>
      <c r="AW86" s="424" t="str">
        <f t="shared" ref="AW86:AW89" si="104">AW85</f>
        <v>高层</v>
      </c>
    </row>
    <row r="87" spans="1:49" s="424" customFormat="1" ht="13.5" customHeight="1" outlineLevel="1">
      <c r="A87" s="1944"/>
      <c r="B87" s="1949"/>
      <c r="C87" s="461" t="s">
        <v>682</v>
      </c>
      <c r="D87" s="466">
        <f t="shared" si="103"/>
        <v>56100</v>
      </c>
      <c r="E87" s="382">
        <f>E86*'9.项目开发计划表'!$G$5</f>
        <v>0</v>
      </c>
      <c r="F87" s="397">
        <f>F86*'9.项目开发计划表'!$G$5</f>
        <v>0</v>
      </c>
      <c r="G87" s="397">
        <f>G86*'9.项目开发计划表'!$G$5</f>
        <v>0</v>
      </c>
      <c r="H87" s="467">
        <f>H86*'9.项目开发计划表'!$G$5</f>
        <v>0</v>
      </c>
      <c r="I87" s="382">
        <f>I86*'9.项目开发计划表'!$G$5</f>
        <v>0</v>
      </c>
      <c r="J87" s="397">
        <f>J86*'9.项目开发计划表'!$G$5</f>
        <v>19635</v>
      </c>
      <c r="K87" s="397">
        <f>K86*'9.项目开发计划表'!$G$5</f>
        <v>19635</v>
      </c>
      <c r="L87" s="467">
        <f>L86*'9.项目开发计划表'!$G$5</f>
        <v>8415</v>
      </c>
      <c r="M87" s="382">
        <f>M86*'9.项目开发计划表'!$G$5</f>
        <v>8415</v>
      </c>
      <c r="N87" s="397">
        <f>N86*'9.项目开发计划表'!$G$5</f>
        <v>0</v>
      </c>
      <c r="O87" s="397">
        <f>O86*'9.项目开发计划表'!$G$5</f>
        <v>0</v>
      </c>
      <c r="P87" s="467">
        <f>P86*'9.项目开发计划表'!$G$5</f>
        <v>0</v>
      </c>
      <c r="Q87" s="382">
        <f>Q86*'9.项目开发计划表'!$G$5</f>
        <v>0</v>
      </c>
      <c r="R87" s="397">
        <f>R86*'9.项目开发计划表'!$G$5</f>
        <v>0</v>
      </c>
      <c r="S87" s="397">
        <f>S86*'9.项目开发计划表'!$G$5</f>
        <v>0</v>
      </c>
      <c r="T87" s="467">
        <f>T86*'9.项目开发计划表'!$G$5</f>
        <v>0</v>
      </c>
      <c r="U87" s="382">
        <f>U86*'9.项目开发计划表'!$G$5</f>
        <v>0</v>
      </c>
      <c r="V87" s="397">
        <f>V86*'9.项目开发计划表'!$G$5</f>
        <v>0</v>
      </c>
      <c r="W87" s="397">
        <f>W86*'9.项目开发计划表'!$G$5</f>
        <v>0</v>
      </c>
      <c r="X87" s="467">
        <f>X86*'9.项目开发计划表'!$G$5</f>
        <v>0</v>
      </c>
      <c r="Y87" s="382">
        <f>Y86*'9.项目开发计划表'!$G$5</f>
        <v>0</v>
      </c>
      <c r="Z87" s="397">
        <f>Z86*'9.项目开发计划表'!$G$5</f>
        <v>0</v>
      </c>
      <c r="AA87" s="397">
        <f>AA86*'9.项目开发计划表'!$G$5</f>
        <v>0</v>
      </c>
      <c r="AB87" s="467">
        <f>AB86*'9.项目开发计划表'!$G$5</f>
        <v>0</v>
      </c>
      <c r="AC87" s="382">
        <f>AC86*'9.项目开发计划表'!$G$5</f>
        <v>0</v>
      </c>
      <c r="AD87" s="397">
        <f>AD86*'9.项目开发计划表'!$G$5</f>
        <v>0</v>
      </c>
      <c r="AE87" s="397">
        <f>AE86*'9.项目开发计划表'!$G$5</f>
        <v>0</v>
      </c>
      <c r="AF87" s="467">
        <f>AF86*'9.项目开发计划表'!$G$5</f>
        <v>0</v>
      </c>
      <c r="AG87" s="382">
        <f>AG86*'9.项目开发计划表'!$G$5</f>
        <v>0</v>
      </c>
      <c r="AH87" s="397">
        <f>AH86*'9.项目开发计划表'!$G$5</f>
        <v>0</v>
      </c>
      <c r="AI87" s="397">
        <f>AI86*'9.项目开发计划表'!$G$5</f>
        <v>0</v>
      </c>
      <c r="AJ87" s="467">
        <f>AJ86*'9.项目开发计划表'!$G$5</f>
        <v>0</v>
      </c>
      <c r="AK87" s="382">
        <f>AK86*'9.项目开发计划表'!$G$5</f>
        <v>0</v>
      </c>
      <c r="AL87" s="397">
        <f>AL86*'9.项目开发计划表'!$G$5</f>
        <v>0</v>
      </c>
      <c r="AM87" s="397">
        <f>AM86*'9.项目开发计划表'!$G$5</f>
        <v>0</v>
      </c>
      <c r="AN87" s="467">
        <f>AN86*'9.项目开发计划表'!$G$5</f>
        <v>0</v>
      </c>
      <c r="AO87" s="382">
        <f>AO86*'9.项目开发计划表'!$G$5</f>
        <v>0</v>
      </c>
      <c r="AP87" s="397">
        <f>AP86*'9.项目开发计划表'!$G$5</f>
        <v>0</v>
      </c>
      <c r="AQ87" s="397">
        <f>AQ86*'9.项目开发计划表'!$G$5</f>
        <v>0</v>
      </c>
      <c r="AR87" s="467">
        <f>AR86*'9.项目开发计划表'!$G$5</f>
        <v>0</v>
      </c>
      <c r="AS87" s="382">
        <f>AS86*'9.项目开发计划表'!$G$5</f>
        <v>0</v>
      </c>
      <c r="AT87" s="397">
        <f>AT86*'9.项目开发计划表'!$G$5</f>
        <v>0</v>
      </c>
      <c r="AU87" s="397">
        <f>AU86*'9.项目开发计划表'!$G$5</f>
        <v>0</v>
      </c>
      <c r="AV87" s="467">
        <f>AV86*'9.项目开发计划表'!$G$5</f>
        <v>0</v>
      </c>
      <c r="AW87" s="424" t="str">
        <f t="shared" si="104"/>
        <v>高层</v>
      </c>
    </row>
    <row r="88" spans="1:49" s="424" customFormat="1" ht="13.5" customHeight="1" outlineLevel="1">
      <c r="A88" s="1944"/>
      <c r="B88" s="1949"/>
      <c r="C88" s="461" t="s">
        <v>882</v>
      </c>
      <c r="D88" s="466">
        <f t="shared" si="103"/>
        <v>87130.794959999999</v>
      </c>
      <c r="E88" s="382">
        <f>E85*E87/10000</f>
        <v>0</v>
      </c>
      <c r="F88" s="397">
        <f t="shared" ref="F88:AV88" si="105">F85*F87/10000</f>
        <v>0</v>
      </c>
      <c r="G88" s="397">
        <f t="shared" si="105"/>
        <v>0</v>
      </c>
      <c r="H88" s="467">
        <f t="shared" si="105"/>
        <v>0</v>
      </c>
      <c r="I88" s="382">
        <f t="shared" si="105"/>
        <v>0</v>
      </c>
      <c r="J88" s="397">
        <f t="shared" si="105"/>
        <v>29452.5</v>
      </c>
      <c r="K88" s="397">
        <f t="shared" si="105"/>
        <v>30630.6</v>
      </c>
      <c r="L88" s="467">
        <f t="shared" si="105"/>
        <v>13389.948</v>
      </c>
      <c r="M88" s="382">
        <f t="shared" si="105"/>
        <v>13657.746959999999</v>
      </c>
      <c r="N88" s="397">
        <f t="shared" si="105"/>
        <v>0</v>
      </c>
      <c r="O88" s="397">
        <f t="shared" si="105"/>
        <v>0</v>
      </c>
      <c r="P88" s="467">
        <f t="shared" si="105"/>
        <v>0</v>
      </c>
      <c r="Q88" s="382">
        <f t="shared" si="105"/>
        <v>0</v>
      </c>
      <c r="R88" s="397">
        <f t="shared" si="105"/>
        <v>0</v>
      </c>
      <c r="S88" s="397">
        <f t="shared" si="105"/>
        <v>0</v>
      </c>
      <c r="T88" s="467">
        <f t="shared" si="105"/>
        <v>0</v>
      </c>
      <c r="U88" s="382">
        <f t="shared" si="105"/>
        <v>0</v>
      </c>
      <c r="V88" s="397">
        <f t="shared" si="105"/>
        <v>0</v>
      </c>
      <c r="W88" s="397">
        <f t="shared" si="105"/>
        <v>0</v>
      </c>
      <c r="X88" s="467">
        <f t="shared" si="105"/>
        <v>0</v>
      </c>
      <c r="Y88" s="382">
        <f t="shared" si="105"/>
        <v>0</v>
      </c>
      <c r="Z88" s="397">
        <f t="shared" si="105"/>
        <v>0</v>
      </c>
      <c r="AA88" s="397">
        <f t="shared" si="105"/>
        <v>0</v>
      </c>
      <c r="AB88" s="467">
        <f t="shared" si="105"/>
        <v>0</v>
      </c>
      <c r="AC88" s="382">
        <f t="shared" si="105"/>
        <v>0</v>
      </c>
      <c r="AD88" s="397">
        <f t="shared" si="105"/>
        <v>0</v>
      </c>
      <c r="AE88" s="397">
        <f t="shared" si="105"/>
        <v>0</v>
      </c>
      <c r="AF88" s="467">
        <f t="shared" si="105"/>
        <v>0</v>
      </c>
      <c r="AG88" s="382">
        <f t="shared" si="105"/>
        <v>0</v>
      </c>
      <c r="AH88" s="397">
        <f t="shared" si="105"/>
        <v>0</v>
      </c>
      <c r="AI88" s="397">
        <f t="shared" si="105"/>
        <v>0</v>
      </c>
      <c r="AJ88" s="467">
        <f t="shared" si="105"/>
        <v>0</v>
      </c>
      <c r="AK88" s="382">
        <f t="shared" si="105"/>
        <v>0</v>
      </c>
      <c r="AL88" s="397">
        <f t="shared" si="105"/>
        <v>0</v>
      </c>
      <c r="AM88" s="397">
        <f t="shared" si="105"/>
        <v>0</v>
      </c>
      <c r="AN88" s="467">
        <f t="shared" si="105"/>
        <v>0</v>
      </c>
      <c r="AO88" s="382">
        <f t="shared" si="105"/>
        <v>0</v>
      </c>
      <c r="AP88" s="397">
        <f t="shared" si="105"/>
        <v>0</v>
      </c>
      <c r="AQ88" s="397">
        <f t="shared" si="105"/>
        <v>0</v>
      </c>
      <c r="AR88" s="467">
        <f t="shared" si="105"/>
        <v>0</v>
      </c>
      <c r="AS88" s="382">
        <f t="shared" si="105"/>
        <v>0</v>
      </c>
      <c r="AT88" s="397">
        <f t="shared" si="105"/>
        <v>0</v>
      </c>
      <c r="AU88" s="397">
        <f t="shared" si="105"/>
        <v>0</v>
      </c>
      <c r="AV88" s="467">
        <f t="shared" si="105"/>
        <v>0</v>
      </c>
      <c r="AW88" s="424" t="str">
        <f t="shared" si="104"/>
        <v>高层</v>
      </c>
    </row>
    <row r="89" spans="1:49" s="424" customFormat="1" ht="13.5" customHeight="1" outlineLevel="1">
      <c r="A89" s="1944"/>
      <c r="B89" s="1949"/>
      <c r="C89" s="461" t="s">
        <v>450</v>
      </c>
      <c r="D89" s="468">
        <f t="shared" si="103"/>
        <v>87130.794959999985</v>
      </c>
      <c r="E89" s="386">
        <f>SUMIF($I$1:$T$1,B85,$I$2:$T$2)*E88</f>
        <v>0</v>
      </c>
      <c r="F89" s="399">
        <f>(1-SUMIF($I$1:$T$1,B85,$I$2:$T$2))*E88+SUMIF($I$1:$T$1,B85,$I$2:$T$2)*F88</f>
        <v>0</v>
      </c>
      <c r="G89" s="399">
        <f>(1-SUMIF($I$1:$T$1,B85,$I$2:$T$2))*F88+SUMIF($I$1:$T$1,B85,$I$2:$T$2)*G88</f>
        <v>0</v>
      </c>
      <c r="H89" s="404">
        <f>(1-SUMIF($I$1:$T$1,B85,$I$2:$T$2))*G88+SUMIF($I$1:$T$1,B85,$I$2:$T$2)*H88</f>
        <v>0</v>
      </c>
      <c r="I89" s="386">
        <f>(1-SUMIF($I$1:$T$1,B85,$I$2:$T$2))*H88+SUMIF($I$1:$T$1,B85,$I$2:$T$2)*I88</f>
        <v>0</v>
      </c>
      <c r="J89" s="399">
        <f>(1-SUMIF($I$1:$T$1,B85,$I$2:$T$2))*I88+SUMIF($I$1:$T$1,B85,$I$2:$T$2)*J88</f>
        <v>20616.75</v>
      </c>
      <c r="K89" s="399">
        <f>(1-SUMIF($I$1:$T$1,B85,$I$2:$T$2))*J88+SUMIF($I$1:$T$1,B85,$I$2:$T$2)*K88</f>
        <v>30277.17</v>
      </c>
      <c r="L89" s="487">
        <f>(1-SUMIF($I$1:$T$1,B85,$I$2:$T$2))*K88+SUMIF($I$1:$T$1,B85,$I$2:$T$2)*L88</f>
        <v>18562.143599999999</v>
      </c>
      <c r="M89" s="386">
        <f>(1-SUMIF($I$1:$T$1,B85,$I$2:$T$2))*L88+SUMIF($I$1:$T$1,B85,$I$2:$T$2)*M88</f>
        <v>13577.407272</v>
      </c>
      <c r="N89" s="399">
        <f>(1-SUMIF($I$1:$T$1,B85,$I$2:$T$2))*M88+SUMIF($I$1:$T$1,B85,$I$2:$T$2)*N88</f>
        <v>4097.3240880000003</v>
      </c>
      <c r="O89" s="399">
        <f>(1-SUMIF($I$1:$T$1,B85,$I$2:$T$2))*N88+SUMIF($I$1:$T$1,B85,$I$2:$T$2)*O88</f>
        <v>0</v>
      </c>
      <c r="P89" s="404">
        <f>(1-SUMIF($I$1:$T$1,B85,$I$2:$T$2))*O88+SUMIF($I$1:$T$1,B85,$I$2:$T$2)*P88</f>
        <v>0</v>
      </c>
      <c r="Q89" s="386">
        <f>(1-SUMIF($I$1:$T$1,B85,$I$2:$T$2))*P88+SUMIF($I$1:$T$1,B85,$I$2:$T$2)*Q88</f>
        <v>0</v>
      </c>
      <c r="R89" s="399">
        <f>(1-SUMIF($I$1:$T$1,B85,$I$2:$T$2))*Q88+SUMIF($I$1:$T$1,B85,$I$2:$T$2)*R88</f>
        <v>0</v>
      </c>
      <c r="S89" s="399">
        <f>(1-SUMIF($I$1:$T$1,B85,$I$2:$T$2))*R88+SUMIF($I$1:$T$1,B85,$I$2:$T$2)*S88</f>
        <v>0</v>
      </c>
      <c r="T89" s="404">
        <f>(1-SUMIF($I$1:$T$1,B85,$I$2:$T$2))*S88+SUMIF($I$1:$T$1,B85,$I$2:$T$2)*T88</f>
        <v>0</v>
      </c>
      <c r="U89" s="386">
        <f>(1-SUMIF($I$1:$T$1,B85,$I$2:$T$2))*T88+SUMIF($I$1:$T$1,B85,$I$2:$T$2)*U88</f>
        <v>0</v>
      </c>
      <c r="V89" s="399">
        <f>(1-SUMIF($I$1:$T$1,B85,$I$2:$T$2))*U88+SUMIF($I$1:$T$1,B85,$I$2:$T$2)*V88</f>
        <v>0</v>
      </c>
      <c r="W89" s="399">
        <f>(1-SUMIF($I$1:$T$1,B85,$I$2:$T$2))*V88+SUMIF($I$1:$T$1,B85,$I$2:$T$2)*W88</f>
        <v>0</v>
      </c>
      <c r="X89" s="404">
        <f>(1-SUMIF($I$1:$T$1,B85,$I$2:$T$2))*W88+SUMIF($I$1:$T$1,B85,$I$2:$T$2)*X88</f>
        <v>0</v>
      </c>
      <c r="Y89" s="386">
        <f>(1-SUMIF($I$1:$T$1,B85,$I$2:$T$2))*X88+SUMIF($I$1:$T$1,B85,$I$2:$T$2)*Y88</f>
        <v>0</v>
      </c>
      <c r="Z89" s="399">
        <f>(1-SUMIF($I$1:$T$1,B85,$I$2:$T$2))*Y88+SUMIF($I$1:$T$1,B85,$I$2:$T$2)*Z88</f>
        <v>0</v>
      </c>
      <c r="AA89" s="399">
        <f>(1-SUMIF($I$1:$T$1,B85,$I$2:$T$2))*Z88+SUMIF($I$1:$T$1,B85,$I$2:$T$2)*AA88</f>
        <v>0</v>
      </c>
      <c r="AB89" s="404">
        <f>(1-SUMIF($I$1:$T$1,B85,$I$2:$T$2))*AA88+SUMIF($I$1:$T$1,B85,$I$2:$T$2)*AB88</f>
        <v>0</v>
      </c>
      <c r="AC89" s="386">
        <f>(1-SUMIF($I$1:$T$1,B85,$I$2:$T$2))*AB88+SUMIF($I$1:$T$1,B85,$I$2:$T$2)*AC88</f>
        <v>0</v>
      </c>
      <c r="AD89" s="399">
        <f>(1-SUMIF($I$1:$T$1,B85,$I$2:$T$2))*AC88+SUMIF($I$1:$T$1,B85,$I$2:$T$2)*AD88</f>
        <v>0</v>
      </c>
      <c r="AE89" s="399">
        <f>(1-SUMIF($I$1:$T$1,B85,$I$2:$T$2))*AD88+SUMIF($I$1:$T$1,B85,$I$2:$T$2)*AE88</f>
        <v>0</v>
      </c>
      <c r="AF89" s="404">
        <f>(1-SUMIF($I$1:$T$1,B85,$I$2:$T$2))*AE88+SUMIF($I$1:$T$1,B85,$I$2:$T$2)*AF88</f>
        <v>0</v>
      </c>
      <c r="AG89" s="386">
        <f>(1-SUMIF($I$1:$T$1,B85,$I$2:$T$2))*AF88+SUMIF($I$1:$T$1,B85,$I$2:$T$2)*AG88</f>
        <v>0</v>
      </c>
      <c r="AH89" s="399">
        <f>(1-SUMIF($I$1:$T$1,B85,$I$2:$T$2))*AG88+SUMIF($I$1:$T$1,B85,$I$2:$T$2)*AH88</f>
        <v>0</v>
      </c>
      <c r="AI89" s="399">
        <f>(1-SUMIF($I$1:$T$1,B85,$I$2:$T$2))*AH88+SUMIF($I$1:$T$1,B85,$I$2:$T$2)*AI88</f>
        <v>0</v>
      </c>
      <c r="AJ89" s="404">
        <f>(1-SUMIF($I$1:$T$1,B85,$I$2:$T$2))*AI88+SUMIF($I$1:$T$1,B85,$I$2:$T$2)*AJ88</f>
        <v>0</v>
      </c>
      <c r="AK89" s="386">
        <f>(1-SUMIF($I$1:$T$1,B85,$I$2:$T$2))*AJ88+SUMIF($I$1:$T$1,B85,$I$2:$T$2)*AK88</f>
        <v>0</v>
      </c>
      <c r="AL89" s="399">
        <f>(1-SUMIF($I$1:$T$1,B85,$I$2:$T$2))*AK88+SUMIF($I$1:$T$1,B85,$I$2:$T$2)*AL88</f>
        <v>0</v>
      </c>
      <c r="AM89" s="399">
        <f>(1-SUMIF($I$1:$T$1,B85,$I$2:$T$2))*AL88+SUMIF($I$1:$T$1,B85,$I$2:$T$2)*AM88</f>
        <v>0</v>
      </c>
      <c r="AN89" s="404">
        <f>(1-SUMIF($I$1:$T$1,B85,$I$2:$T$2))*AM88+SUMIF($I$1:$T$1,B85,$I$2:$T$2)*AN88</f>
        <v>0</v>
      </c>
      <c r="AO89" s="386">
        <f>(1-SUMIF($I$1:$T$1,B85,$I$2:$T$2))*AN88+SUMIF($I$1:$T$1,B85,$I$2:$T$2)*AO88</f>
        <v>0</v>
      </c>
      <c r="AP89" s="399">
        <f>(1-SUMIF($I$1:$T$1,B85,$I$2:$T$2))*AO88+SUMIF($I$1:$T$1,B85,$I$2:$T$2)*AP88</f>
        <v>0</v>
      </c>
      <c r="AQ89" s="399">
        <f>(1-SUMIF($I$1:$T$1,B85,$I$2:$T$2))*AP88+SUMIF($I$1:$T$1,B85,$I$2:$T$2)*AQ88</f>
        <v>0</v>
      </c>
      <c r="AR89" s="404">
        <f>(1-SUMIF($I$1:$T$1,B85,$I$2:$T$2))*AQ88+SUMIF($I$1:$T$1,B85,$I$2:$T$2)*AR88</f>
        <v>0</v>
      </c>
      <c r="AS89" s="386">
        <f>(1-SUMIF($I$1:$T$1,B85,$I$2:$T$2))*AR88+SUMIF($I$1:$T$1,B85,$I$2:$T$2)*AS88</f>
        <v>0</v>
      </c>
      <c r="AT89" s="399">
        <f>(1-SUMIF($I$1:$T$1,B85,$I$2:$T$2))*AS88+SUMIF($I$1:$T$1,B85,$I$2:$T$2)*AT88</f>
        <v>0</v>
      </c>
      <c r="AU89" s="399">
        <f>(1-SUMIF($I$1:$T$1,B85,$I$2:$T$2))*AT88+SUMIF($I$1:$T$1,B85,$I$2:$T$2)*AU88</f>
        <v>0</v>
      </c>
      <c r="AV89" s="404">
        <f>(1-SUMIF($I$1:$T$1,B85,$I$2:$T$2))*AU88+SUMIF($I$1:$T$1,B85,$I$2:$T$2)*AV88</f>
        <v>0</v>
      </c>
      <c r="AW89" s="424" t="str">
        <f t="shared" si="104"/>
        <v>高层</v>
      </c>
    </row>
    <row r="90" spans="1:49" s="424" customFormat="1" ht="13.5" customHeight="1" outlineLevel="1">
      <c r="A90" s="1944"/>
      <c r="B90" s="1949" t="str">
        <f>'9.项目开发计划表'!C6</f>
        <v>商铺</v>
      </c>
      <c r="C90" s="461" t="s">
        <v>880</v>
      </c>
      <c r="D90" s="457">
        <f>IF(D92=0,0,D93/D92*10000)</f>
        <v>24000</v>
      </c>
      <c r="E90" s="475"/>
      <c r="F90" s="475"/>
      <c r="G90" s="475"/>
      <c r="H90" s="475"/>
      <c r="I90" s="475"/>
      <c r="J90" s="475"/>
      <c r="K90" s="475"/>
      <c r="L90" s="475"/>
      <c r="M90" s="475"/>
      <c r="N90" s="475">
        <v>24000</v>
      </c>
      <c r="O90" s="475">
        <v>24000</v>
      </c>
      <c r="P90" s="475"/>
      <c r="Q90" s="475"/>
      <c r="R90" s="475"/>
      <c r="S90" s="475"/>
      <c r="T90" s="475"/>
      <c r="U90" s="477"/>
      <c r="V90" s="476"/>
      <c r="W90" s="476"/>
      <c r="X90" s="477"/>
      <c r="Y90" s="475"/>
      <c r="Z90" s="476"/>
      <c r="AA90" s="476"/>
      <c r="AB90" s="477"/>
      <c r="AC90" s="475"/>
      <c r="AD90" s="476"/>
      <c r="AE90" s="476"/>
      <c r="AF90" s="477"/>
      <c r="AG90" s="475"/>
      <c r="AH90" s="476"/>
      <c r="AI90" s="476"/>
      <c r="AJ90" s="477"/>
      <c r="AK90" s="475"/>
      <c r="AL90" s="476"/>
      <c r="AM90" s="476"/>
      <c r="AN90" s="477"/>
      <c r="AO90" s="475"/>
      <c r="AP90" s="476"/>
      <c r="AQ90" s="476"/>
      <c r="AR90" s="477"/>
      <c r="AS90" s="475"/>
      <c r="AT90" s="476"/>
      <c r="AU90" s="476"/>
      <c r="AV90" s="477"/>
      <c r="AW90" s="424" t="str">
        <f>B90</f>
        <v>商铺</v>
      </c>
    </row>
    <row r="91" spans="1:49" ht="13.5" customHeight="1" outlineLevel="1">
      <c r="A91" s="1944"/>
      <c r="B91" s="1949"/>
      <c r="C91" s="461" t="s">
        <v>881</v>
      </c>
      <c r="D91" s="481">
        <f t="shared" ref="D91:D94" si="106">SUM(E91:AV91)</f>
        <v>1</v>
      </c>
      <c r="E91" s="482"/>
      <c r="F91" s="482"/>
      <c r="G91" s="482"/>
      <c r="H91" s="482"/>
      <c r="I91" s="482"/>
      <c r="J91" s="482"/>
      <c r="K91" s="482"/>
      <c r="L91" s="482"/>
      <c r="M91" s="488"/>
      <c r="N91" s="488">
        <v>0.8</v>
      </c>
      <c r="O91" s="488">
        <v>0.2</v>
      </c>
      <c r="P91" s="482"/>
      <c r="Q91" s="482"/>
      <c r="R91" s="482"/>
      <c r="S91" s="482"/>
      <c r="T91" s="482"/>
      <c r="U91" s="482"/>
      <c r="V91" s="483"/>
      <c r="W91" s="483"/>
      <c r="X91" s="484"/>
      <c r="Y91" s="482"/>
      <c r="Z91" s="483"/>
      <c r="AA91" s="483"/>
      <c r="AB91" s="484"/>
      <c r="AC91" s="482"/>
      <c r="AD91" s="483"/>
      <c r="AE91" s="483"/>
      <c r="AF91" s="484"/>
      <c r="AG91" s="482"/>
      <c r="AH91" s="483"/>
      <c r="AI91" s="483"/>
      <c r="AJ91" s="484"/>
      <c r="AK91" s="482"/>
      <c r="AL91" s="483"/>
      <c r="AM91" s="483"/>
      <c r="AN91" s="484"/>
      <c r="AO91" s="482"/>
      <c r="AP91" s="483"/>
      <c r="AQ91" s="483"/>
      <c r="AR91" s="484"/>
      <c r="AS91" s="482"/>
      <c r="AT91" s="483"/>
      <c r="AU91" s="483"/>
      <c r="AV91" s="484"/>
      <c r="AW91" s="424" t="str">
        <f t="shared" ref="AW91:AW144" si="107">AW90</f>
        <v>商铺</v>
      </c>
    </row>
    <row r="92" spans="1:49" s="424" customFormat="1" ht="13.5" customHeight="1" outlineLevel="1">
      <c r="A92" s="1944"/>
      <c r="B92" s="1949"/>
      <c r="C92" s="461" t="s">
        <v>682</v>
      </c>
      <c r="D92" s="466">
        <f t="shared" si="106"/>
        <v>3640</v>
      </c>
      <c r="E92" s="382">
        <f>E91*'9.项目开发计划表'!$G$6</f>
        <v>0</v>
      </c>
      <c r="F92" s="397">
        <f>F91*'9.项目开发计划表'!$G$6</f>
        <v>0</v>
      </c>
      <c r="G92" s="397">
        <f>G91*'9.项目开发计划表'!$G$6</f>
        <v>0</v>
      </c>
      <c r="H92" s="467">
        <f>H91*'9.项目开发计划表'!$G$6</f>
        <v>0</v>
      </c>
      <c r="I92" s="382">
        <f>I91*'9.项目开发计划表'!$G$6</f>
        <v>0</v>
      </c>
      <c r="J92" s="397">
        <f>J91*'9.项目开发计划表'!$G$6</f>
        <v>0</v>
      </c>
      <c r="K92" s="397">
        <f>K91*'9.项目开发计划表'!$G$6</f>
        <v>0</v>
      </c>
      <c r="L92" s="467">
        <f>L91*'9.项目开发计划表'!$G$6</f>
        <v>0</v>
      </c>
      <c r="M92" s="382">
        <f>M91*'9.项目开发计划表'!$G$6</f>
        <v>0</v>
      </c>
      <c r="N92" s="397">
        <f>N91*'9.项目开发计划表'!$G$6</f>
        <v>2912</v>
      </c>
      <c r="O92" s="397">
        <f>O91*'9.项目开发计划表'!$G$6</f>
        <v>728</v>
      </c>
      <c r="P92" s="467">
        <f>P91*'9.项目开发计划表'!$G$6</f>
        <v>0</v>
      </c>
      <c r="Q92" s="382">
        <f>Q91*'9.项目开发计划表'!$G$6</f>
        <v>0</v>
      </c>
      <c r="R92" s="397">
        <f>R91*'9.项目开发计划表'!$G$6</f>
        <v>0</v>
      </c>
      <c r="S92" s="397">
        <f>S91*'9.项目开发计划表'!$G$6</f>
        <v>0</v>
      </c>
      <c r="T92" s="467">
        <f>T91*'9.项目开发计划表'!$G$6</f>
        <v>0</v>
      </c>
      <c r="U92" s="382">
        <f>U91*'9.项目开发计划表'!$G$6</f>
        <v>0</v>
      </c>
      <c r="V92" s="397">
        <f>V91*'9.项目开发计划表'!$G$6</f>
        <v>0</v>
      </c>
      <c r="W92" s="397">
        <f>W91*'9.项目开发计划表'!$G$6</f>
        <v>0</v>
      </c>
      <c r="X92" s="467">
        <f>X91*'9.项目开发计划表'!$G$6</f>
        <v>0</v>
      </c>
      <c r="Y92" s="382">
        <f>Y91*'9.项目开发计划表'!$G$6</f>
        <v>0</v>
      </c>
      <c r="Z92" s="397">
        <f>Z91*'9.项目开发计划表'!$G$6</f>
        <v>0</v>
      </c>
      <c r="AA92" s="397">
        <f>AA91*'9.项目开发计划表'!$G$6</f>
        <v>0</v>
      </c>
      <c r="AB92" s="467">
        <f>AB91*'9.项目开发计划表'!$G$6</f>
        <v>0</v>
      </c>
      <c r="AC92" s="382">
        <f>AC91*'9.项目开发计划表'!$G$6</f>
        <v>0</v>
      </c>
      <c r="AD92" s="397">
        <f>AD91*'9.项目开发计划表'!$G$6</f>
        <v>0</v>
      </c>
      <c r="AE92" s="397">
        <f>AE91*'9.项目开发计划表'!$G$6</f>
        <v>0</v>
      </c>
      <c r="AF92" s="467">
        <f>AF91*'9.项目开发计划表'!$G$6</f>
        <v>0</v>
      </c>
      <c r="AG92" s="382">
        <f>AG91*'9.项目开发计划表'!$G$6</f>
        <v>0</v>
      </c>
      <c r="AH92" s="397">
        <f>AH91*'9.项目开发计划表'!$G$6</f>
        <v>0</v>
      </c>
      <c r="AI92" s="397">
        <f>AI91*'9.项目开发计划表'!$G$6</f>
        <v>0</v>
      </c>
      <c r="AJ92" s="467">
        <f>AJ91*'9.项目开发计划表'!$G$6</f>
        <v>0</v>
      </c>
      <c r="AK92" s="382">
        <f>AK91*'9.项目开发计划表'!$G$6</f>
        <v>0</v>
      </c>
      <c r="AL92" s="397">
        <f>AL91*'9.项目开发计划表'!$G$6</f>
        <v>0</v>
      </c>
      <c r="AM92" s="397">
        <f>AM91*'9.项目开发计划表'!$G$6</f>
        <v>0</v>
      </c>
      <c r="AN92" s="467">
        <f>AN91*'9.项目开发计划表'!$G$6</f>
        <v>0</v>
      </c>
      <c r="AO92" s="382">
        <f>AO91*'9.项目开发计划表'!$G$6</f>
        <v>0</v>
      </c>
      <c r="AP92" s="397">
        <f>AP91*'9.项目开发计划表'!$G$6</f>
        <v>0</v>
      </c>
      <c r="AQ92" s="397">
        <f>AQ91*'9.项目开发计划表'!$G$6</f>
        <v>0</v>
      </c>
      <c r="AR92" s="467">
        <f>AR91*'9.项目开发计划表'!$G$6</f>
        <v>0</v>
      </c>
      <c r="AS92" s="382">
        <f>AS91*'9.项目开发计划表'!$G$6</f>
        <v>0</v>
      </c>
      <c r="AT92" s="397">
        <f>AT91*'9.项目开发计划表'!$G$6</f>
        <v>0</v>
      </c>
      <c r="AU92" s="397">
        <f>AU91*'9.项目开发计划表'!$G$6</f>
        <v>0</v>
      </c>
      <c r="AV92" s="467">
        <f>AV91*'9.项目开发计划表'!$G$6</f>
        <v>0</v>
      </c>
      <c r="AW92" s="424" t="str">
        <f t="shared" si="107"/>
        <v>商铺</v>
      </c>
    </row>
    <row r="93" spans="1:49" s="424" customFormat="1" ht="13.5" customHeight="1" outlineLevel="1">
      <c r="A93" s="1944"/>
      <c r="B93" s="1949"/>
      <c r="C93" s="461" t="s">
        <v>882</v>
      </c>
      <c r="D93" s="466">
        <f t="shared" si="106"/>
        <v>8736</v>
      </c>
      <c r="E93" s="382">
        <f t="shared" ref="E93:AV93" si="108">E90*E92/10000</f>
        <v>0</v>
      </c>
      <c r="F93" s="397">
        <f t="shared" si="108"/>
        <v>0</v>
      </c>
      <c r="G93" s="397">
        <f t="shared" si="108"/>
        <v>0</v>
      </c>
      <c r="H93" s="467">
        <f t="shared" si="108"/>
        <v>0</v>
      </c>
      <c r="I93" s="382">
        <f t="shared" si="108"/>
        <v>0</v>
      </c>
      <c r="J93" s="397">
        <f t="shared" si="108"/>
        <v>0</v>
      </c>
      <c r="K93" s="397">
        <f t="shared" si="108"/>
        <v>0</v>
      </c>
      <c r="L93" s="467">
        <f t="shared" si="108"/>
        <v>0</v>
      </c>
      <c r="M93" s="382">
        <f t="shared" si="108"/>
        <v>0</v>
      </c>
      <c r="N93" s="397">
        <f t="shared" si="108"/>
        <v>6988.8</v>
      </c>
      <c r="O93" s="397">
        <f t="shared" si="108"/>
        <v>1747.2</v>
      </c>
      <c r="P93" s="467">
        <f t="shared" si="108"/>
        <v>0</v>
      </c>
      <c r="Q93" s="382">
        <f t="shared" si="108"/>
        <v>0</v>
      </c>
      <c r="R93" s="397">
        <f t="shared" si="108"/>
        <v>0</v>
      </c>
      <c r="S93" s="397">
        <f t="shared" si="108"/>
        <v>0</v>
      </c>
      <c r="T93" s="467">
        <f t="shared" si="108"/>
        <v>0</v>
      </c>
      <c r="U93" s="382">
        <f t="shared" si="108"/>
        <v>0</v>
      </c>
      <c r="V93" s="397">
        <f t="shared" si="108"/>
        <v>0</v>
      </c>
      <c r="W93" s="397">
        <f t="shared" si="108"/>
        <v>0</v>
      </c>
      <c r="X93" s="467">
        <f t="shared" si="108"/>
        <v>0</v>
      </c>
      <c r="Y93" s="382">
        <f t="shared" si="108"/>
        <v>0</v>
      </c>
      <c r="Z93" s="397">
        <f t="shared" si="108"/>
        <v>0</v>
      </c>
      <c r="AA93" s="397">
        <f t="shared" si="108"/>
        <v>0</v>
      </c>
      <c r="AB93" s="467">
        <f t="shared" si="108"/>
        <v>0</v>
      </c>
      <c r="AC93" s="382">
        <f t="shared" si="108"/>
        <v>0</v>
      </c>
      <c r="AD93" s="397">
        <f t="shared" si="108"/>
        <v>0</v>
      </c>
      <c r="AE93" s="397">
        <f t="shared" si="108"/>
        <v>0</v>
      </c>
      <c r="AF93" s="467">
        <f t="shared" si="108"/>
        <v>0</v>
      </c>
      <c r="AG93" s="382">
        <f t="shared" si="108"/>
        <v>0</v>
      </c>
      <c r="AH93" s="397">
        <f t="shared" si="108"/>
        <v>0</v>
      </c>
      <c r="AI93" s="397">
        <f t="shared" si="108"/>
        <v>0</v>
      </c>
      <c r="AJ93" s="467">
        <f t="shared" si="108"/>
        <v>0</v>
      </c>
      <c r="AK93" s="382">
        <f t="shared" si="108"/>
        <v>0</v>
      </c>
      <c r="AL93" s="397">
        <f t="shared" si="108"/>
        <v>0</v>
      </c>
      <c r="AM93" s="397">
        <f t="shared" si="108"/>
        <v>0</v>
      </c>
      <c r="AN93" s="467">
        <f t="shared" si="108"/>
        <v>0</v>
      </c>
      <c r="AO93" s="382">
        <f t="shared" si="108"/>
        <v>0</v>
      </c>
      <c r="AP93" s="397">
        <f t="shared" si="108"/>
        <v>0</v>
      </c>
      <c r="AQ93" s="397">
        <f t="shared" si="108"/>
        <v>0</v>
      </c>
      <c r="AR93" s="467">
        <f t="shared" si="108"/>
        <v>0</v>
      </c>
      <c r="AS93" s="382">
        <f t="shared" si="108"/>
        <v>0</v>
      </c>
      <c r="AT93" s="397">
        <f t="shared" si="108"/>
        <v>0</v>
      </c>
      <c r="AU93" s="397">
        <f t="shared" si="108"/>
        <v>0</v>
      </c>
      <c r="AV93" s="467">
        <f t="shared" si="108"/>
        <v>0</v>
      </c>
      <c r="AW93" s="424" t="str">
        <f t="shared" si="107"/>
        <v>商铺</v>
      </c>
    </row>
    <row r="94" spans="1:49" s="424" customFormat="1" ht="13.5" customHeight="1" outlineLevel="1">
      <c r="A94" s="1944"/>
      <c r="B94" s="1949"/>
      <c r="C94" s="461" t="s">
        <v>450</v>
      </c>
      <c r="D94" s="468">
        <f t="shared" si="106"/>
        <v>8736</v>
      </c>
      <c r="E94" s="386">
        <f>SUMIF($I$1:$T$1,B90,$I$2:$T$2)*E93</f>
        <v>0</v>
      </c>
      <c r="F94" s="399">
        <f>(1-SUMIF($I$1:$T$1,B90,$I$2:$T$2))*E93+SUMIF($I$1:$T$1,B90,$I$2:$T$2)*F93</f>
        <v>0</v>
      </c>
      <c r="G94" s="399">
        <f>(1-SUMIF($I$1:$T$1,B90,$I$2:$T$2))*F93+SUMIF($I$1:$T$1,B90,$I$2:$T$2)*G93</f>
        <v>0</v>
      </c>
      <c r="H94" s="404">
        <f>(1-SUMIF($I$1:$T$1,B90,$I$2:$T$2))*G93+SUMIF($I$1:$T$1,B90,$I$2:$T$2)*H93</f>
        <v>0</v>
      </c>
      <c r="I94" s="386">
        <f>(1-SUMIF($I$1:$T$1,B90,$I$2:$T$2))*H93+SUMIF($I$1:$T$1,B90,$I$2:$T$2)*I93</f>
        <v>0</v>
      </c>
      <c r="J94" s="399">
        <f>(1-SUMIF($I$1:$T$1,B90,$I$2:$T$2))*I93+SUMIF($I$1:$T$1,B90,$I$2:$T$2)*J93</f>
        <v>0</v>
      </c>
      <c r="K94" s="399">
        <f>(1-SUMIF($I$1:$T$1,B90,$I$2:$T$2))*J93+SUMIF($I$1:$T$1,B90,$I$2:$T$2)*K93</f>
        <v>0</v>
      </c>
      <c r="L94" s="404">
        <f>(1-SUMIF($I$1:$T$1,B90,$I$2:$T$2))*K93+SUMIF($I$1:$T$1,B90,$I$2:$T$2)*L93</f>
        <v>0</v>
      </c>
      <c r="M94" s="386">
        <f>(1-SUMIF($I$1:$T$1,B90,$I$2:$T$2))*L93+SUMIF($I$1:$T$1,B90,$I$2:$T$2)*M93</f>
        <v>0</v>
      </c>
      <c r="N94" s="399">
        <f>(1-SUMIF($I$1:$T$1,B90,$I$2:$T$2))*M93+SUMIF($I$1:$T$1,B90,$I$2:$T$2)*N93</f>
        <v>4892.16</v>
      </c>
      <c r="O94" s="399">
        <f>(1-SUMIF($I$1:$T$1,B90,$I$2:$T$2))*N93+SUMIF($I$1:$T$1,B90,$I$2:$T$2)*O93</f>
        <v>3319.6800000000003</v>
      </c>
      <c r="P94" s="404">
        <f>(1-SUMIF($I$1:$T$1,B90,$I$2:$T$2))*O93+SUMIF($I$1:$T$1,B90,$I$2:$T$2)*P93</f>
        <v>524.16000000000008</v>
      </c>
      <c r="Q94" s="386">
        <f>(1-SUMIF($I$1:$T$1,B90,$I$2:$T$2))*P93+SUMIF($I$1:$T$1,B90,$I$2:$T$2)*Q93</f>
        <v>0</v>
      </c>
      <c r="R94" s="399">
        <f>(1-SUMIF($I$1:$T$1,B90,$I$2:$T$2))*Q93+SUMIF($I$1:$T$1,B90,$I$2:$T$2)*R93</f>
        <v>0</v>
      </c>
      <c r="S94" s="399">
        <f>(1-SUMIF($I$1:$T$1,B90,$I$2:$T$2))*R93+SUMIF($I$1:$T$1,B90,$I$2:$T$2)*S93</f>
        <v>0</v>
      </c>
      <c r="T94" s="404">
        <f>(1-SUMIF($I$1:$T$1,B90,$I$2:$T$2))*S93+SUMIF($I$1:$T$1,B90,$I$2:$T$2)*T93</f>
        <v>0</v>
      </c>
      <c r="U94" s="386">
        <f>(1-SUMIF($I$1:$T$1,B90,$I$2:$T$2))*T93+SUMIF($I$1:$T$1,B90,$I$2:$T$2)*U93</f>
        <v>0</v>
      </c>
      <c r="V94" s="399">
        <f>(1-SUMIF($I$1:$T$1,B90,$I$2:$T$2))*U93+SUMIF($I$1:$T$1,B90,$I$2:$T$2)*V93</f>
        <v>0</v>
      </c>
      <c r="W94" s="399">
        <f>(1-SUMIF($I$1:$T$1,B90,$I$2:$T$2))*V93+SUMIF($I$1:$T$1,B90,$I$2:$T$2)*W93</f>
        <v>0</v>
      </c>
      <c r="X94" s="404">
        <f>(1-SUMIF($I$1:$T$1,B90,$I$2:$T$2))*W93+SUMIF($I$1:$T$1,B90,$I$2:$T$2)*X93</f>
        <v>0</v>
      </c>
      <c r="Y94" s="386">
        <f>(1-SUMIF($I$1:$T$1,B90,$I$2:$T$2))*X93+SUMIF($I$1:$T$1,B90,$I$2:$T$2)*Y93</f>
        <v>0</v>
      </c>
      <c r="Z94" s="399">
        <f>(1-SUMIF($I$1:$T$1,B90,$I$2:$T$2))*Y93+SUMIF($I$1:$T$1,B90,$I$2:$T$2)*Z93</f>
        <v>0</v>
      </c>
      <c r="AA94" s="399">
        <f>(1-SUMIF($I$1:$T$1,B90,$I$2:$T$2))*Z93+SUMIF($I$1:$T$1,B90,$I$2:$T$2)*AA93</f>
        <v>0</v>
      </c>
      <c r="AB94" s="404">
        <f>(1-SUMIF($I$1:$T$1,B90,$I$2:$T$2))*AA93+SUMIF($I$1:$T$1,B90,$I$2:$T$2)*AB93</f>
        <v>0</v>
      </c>
      <c r="AC94" s="386">
        <f>(1-SUMIF($I$1:$T$1,B90,$I$2:$T$2))*AB93+SUMIF($I$1:$T$1,B90,$I$2:$T$2)*AC93</f>
        <v>0</v>
      </c>
      <c r="AD94" s="399">
        <f>(1-SUMIF($I$1:$T$1,B90,$I$2:$T$2))*AC93+SUMIF($I$1:$T$1,B90,$I$2:$T$2)*AD93</f>
        <v>0</v>
      </c>
      <c r="AE94" s="399">
        <f>(1-SUMIF($I$1:$T$1,B90,$I$2:$T$2))*AD93+SUMIF($I$1:$T$1,B90,$I$2:$T$2)*AE93</f>
        <v>0</v>
      </c>
      <c r="AF94" s="404">
        <f>(1-SUMIF($I$1:$T$1,B90,$I$2:$T$2))*AE93+SUMIF($I$1:$T$1,B90,$I$2:$T$2)*AF93</f>
        <v>0</v>
      </c>
      <c r="AG94" s="386">
        <f>(1-SUMIF($I$1:$T$1,B90,$I$2:$T$2))*AF93+SUMIF($I$1:$T$1,B90,$I$2:$T$2)*AG93</f>
        <v>0</v>
      </c>
      <c r="AH94" s="399">
        <f>(1-SUMIF($I$1:$T$1,B90,$I$2:$T$2))*AG93+SUMIF($I$1:$T$1,B90,$I$2:$T$2)*AH93</f>
        <v>0</v>
      </c>
      <c r="AI94" s="399">
        <f>(1-SUMIF($I$1:$T$1,B90,$I$2:$T$2))*AH93+SUMIF($I$1:$T$1,B90,$I$2:$T$2)*AI93</f>
        <v>0</v>
      </c>
      <c r="AJ94" s="404">
        <f>(1-SUMIF($I$1:$T$1,B90,$I$2:$T$2))*AI93+SUMIF($I$1:$T$1,B90,$I$2:$T$2)*AJ93</f>
        <v>0</v>
      </c>
      <c r="AK94" s="386">
        <f>(1-SUMIF($I$1:$T$1,B90,$I$2:$T$2))*AJ93+SUMIF($I$1:$T$1,B90,$I$2:$T$2)*AK93</f>
        <v>0</v>
      </c>
      <c r="AL94" s="399">
        <f>(1-SUMIF($I$1:$T$1,B90,$I$2:$T$2))*AK93+SUMIF($I$1:$T$1,B90,$I$2:$T$2)*AL93</f>
        <v>0</v>
      </c>
      <c r="AM94" s="399">
        <f>(1-SUMIF($I$1:$T$1,B90,$I$2:$T$2))*AL93+SUMIF($I$1:$T$1,B90,$I$2:$T$2)*AM93</f>
        <v>0</v>
      </c>
      <c r="AN94" s="404">
        <f>(1-SUMIF($I$1:$T$1,B90,$I$2:$T$2))*AM93+SUMIF($I$1:$T$1,B90,$I$2:$T$2)*AN93</f>
        <v>0</v>
      </c>
      <c r="AO94" s="386">
        <f>(1-SUMIF($I$1:$T$1,B90,$I$2:$T$2))*AN93+SUMIF($I$1:$T$1,B90,$I$2:$T$2)*AO93</f>
        <v>0</v>
      </c>
      <c r="AP94" s="399">
        <f>(1-SUMIF($I$1:$T$1,B90,$I$2:$T$2))*AO93+SUMIF($I$1:$T$1,B90,$I$2:$T$2)*AP93</f>
        <v>0</v>
      </c>
      <c r="AQ94" s="399">
        <f>(1-SUMIF($I$1:$T$1,B90,$I$2:$T$2))*AP93+SUMIF($I$1:$T$1,B90,$I$2:$T$2)*AQ93</f>
        <v>0</v>
      </c>
      <c r="AR94" s="404">
        <f>(1-SUMIF($I$1:$T$1,B90,$I$2:$T$2))*AQ93+SUMIF($I$1:$T$1,B90,$I$2:$T$2)*AR93</f>
        <v>0</v>
      </c>
      <c r="AS94" s="386">
        <f>(1-SUMIF($I$1:$T$1,B90,$I$2:$T$2))*AR93+SUMIF($I$1:$T$1,B90,$I$2:$T$2)*AS93</f>
        <v>0</v>
      </c>
      <c r="AT94" s="399">
        <f>(1-SUMIF($I$1:$T$1,B90,$I$2:$T$2))*AS93+SUMIF($I$1:$T$1,B90,$I$2:$T$2)*AT93</f>
        <v>0</v>
      </c>
      <c r="AU94" s="399">
        <f>(1-SUMIF($I$1:$T$1,B90,$I$2:$T$2))*AT93+SUMIF($I$1:$T$1,B90,$I$2:$T$2)*AU93</f>
        <v>0</v>
      </c>
      <c r="AV94" s="404">
        <f>(1-SUMIF($I$1:$T$1,B90,$I$2:$T$2))*AU93+SUMIF($I$1:$T$1,B90,$I$2:$T$2)*AV93</f>
        <v>0</v>
      </c>
      <c r="AW94" s="424" t="str">
        <f t="shared" si="107"/>
        <v>商铺</v>
      </c>
    </row>
    <row r="95" spans="1:49" s="424" customFormat="1" ht="13.5" customHeight="1" outlineLevel="1">
      <c r="A95" s="1944"/>
      <c r="B95" s="1949" t="str">
        <f>'9.项目开发计划表'!C7</f>
        <v>回迁商业</v>
      </c>
      <c r="C95" s="461" t="s">
        <v>880</v>
      </c>
      <c r="D95" s="457">
        <f>IF(D97=0,0,D98/D97*10000)</f>
        <v>0</v>
      </c>
      <c r="E95" s="475"/>
      <c r="F95" s="475"/>
      <c r="G95" s="475"/>
      <c r="H95" s="475"/>
      <c r="I95" s="475"/>
      <c r="J95" s="475"/>
      <c r="K95" s="475"/>
      <c r="L95" s="475"/>
      <c r="M95" s="475"/>
      <c r="N95" s="475"/>
      <c r="O95" s="475"/>
      <c r="P95" s="475"/>
      <c r="Q95" s="475"/>
      <c r="R95" s="475"/>
      <c r="S95" s="475"/>
      <c r="T95" s="475"/>
      <c r="U95" s="475"/>
      <c r="V95" s="475"/>
      <c r="W95" s="475"/>
      <c r="X95" s="475"/>
      <c r="Y95" s="475"/>
      <c r="Z95" s="475"/>
      <c r="AA95" s="475"/>
      <c r="AB95" s="475"/>
      <c r="AC95" s="475"/>
      <c r="AD95" s="475"/>
      <c r="AE95" s="475"/>
      <c r="AF95" s="476"/>
      <c r="AG95" s="489"/>
      <c r="AH95" s="476"/>
      <c r="AI95" s="476"/>
      <c r="AJ95" s="477"/>
      <c r="AK95" s="475"/>
      <c r="AL95" s="476"/>
      <c r="AM95" s="476"/>
      <c r="AN95" s="477"/>
      <c r="AO95" s="475"/>
      <c r="AP95" s="476"/>
      <c r="AQ95" s="476"/>
      <c r="AR95" s="477"/>
      <c r="AS95" s="475"/>
      <c r="AT95" s="476"/>
      <c r="AU95" s="476"/>
      <c r="AV95" s="477"/>
      <c r="AW95" s="424" t="str">
        <f>B95</f>
        <v>回迁商业</v>
      </c>
    </row>
    <row r="96" spans="1:49" ht="13.5" customHeight="1" outlineLevel="1">
      <c r="A96" s="1944"/>
      <c r="B96" s="1949"/>
      <c r="C96" s="461" t="s">
        <v>881</v>
      </c>
      <c r="D96" s="481">
        <f t="shared" ref="D96:D99" si="109">SUM(E96:AV96)</f>
        <v>0</v>
      </c>
      <c r="E96" s="482"/>
      <c r="F96" s="483"/>
      <c r="G96" s="482"/>
      <c r="H96" s="482"/>
      <c r="I96" s="482"/>
      <c r="J96" s="482"/>
      <c r="K96" s="482"/>
      <c r="L96" s="482"/>
      <c r="M96" s="482"/>
      <c r="N96" s="482"/>
      <c r="O96" s="482"/>
      <c r="P96" s="482"/>
      <c r="Q96" s="482"/>
      <c r="R96" s="482"/>
      <c r="S96" s="482"/>
      <c r="T96" s="482"/>
      <c r="U96" s="482"/>
      <c r="V96" s="482"/>
      <c r="W96" s="482"/>
      <c r="X96" s="482"/>
      <c r="Y96" s="482"/>
      <c r="Z96" s="482"/>
      <c r="AA96" s="482"/>
      <c r="AB96" s="482"/>
      <c r="AC96" s="482"/>
      <c r="AD96" s="482"/>
      <c r="AE96" s="482"/>
      <c r="AF96" s="483"/>
      <c r="AG96" s="490"/>
      <c r="AH96" s="483"/>
      <c r="AI96" s="483"/>
      <c r="AJ96" s="484"/>
      <c r="AK96" s="482"/>
      <c r="AL96" s="483"/>
      <c r="AM96" s="483"/>
      <c r="AN96" s="484"/>
      <c r="AO96" s="482"/>
      <c r="AP96" s="483"/>
      <c r="AQ96" s="483"/>
      <c r="AR96" s="484"/>
      <c r="AS96" s="482"/>
      <c r="AT96" s="483"/>
      <c r="AU96" s="483"/>
      <c r="AV96" s="484"/>
      <c r="AW96" s="424" t="str">
        <f>AW95</f>
        <v>回迁商业</v>
      </c>
    </row>
    <row r="97" spans="1:49" s="424" customFormat="1" ht="13.5" customHeight="1" outlineLevel="1">
      <c r="A97" s="1944"/>
      <c r="B97" s="1949"/>
      <c r="C97" s="461" t="s">
        <v>682</v>
      </c>
      <c r="D97" s="466">
        <f t="shared" si="109"/>
        <v>0</v>
      </c>
      <c r="E97" s="382">
        <f>E96*'9.项目开发计划表'!$G$7</f>
        <v>0</v>
      </c>
      <c r="F97" s="397">
        <f>F96*'9.项目开发计划表'!$G$7</f>
        <v>0</v>
      </c>
      <c r="G97" s="397">
        <f>G96*'9.项目开发计划表'!$G$7</f>
        <v>0</v>
      </c>
      <c r="H97" s="467">
        <f>H96*'9.项目开发计划表'!$G$7</f>
        <v>0</v>
      </c>
      <c r="I97" s="382">
        <f>I96*'9.项目开发计划表'!$G$7</f>
        <v>0</v>
      </c>
      <c r="J97" s="397">
        <f>J96*'9.项目开发计划表'!$G$7</f>
        <v>0</v>
      </c>
      <c r="K97" s="397">
        <f>K96*'9.项目开发计划表'!$G$7</f>
        <v>0</v>
      </c>
      <c r="L97" s="467">
        <f>L96*'9.项目开发计划表'!$G$7</f>
        <v>0</v>
      </c>
      <c r="M97" s="382">
        <f>M96*'9.项目开发计划表'!$G$7</f>
        <v>0</v>
      </c>
      <c r="N97" s="397">
        <f>N96*'9.项目开发计划表'!$G$7</f>
        <v>0</v>
      </c>
      <c r="O97" s="397">
        <f>O96*'9.项目开发计划表'!$G$7</f>
        <v>0</v>
      </c>
      <c r="P97" s="467">
        <f>P96*'9.项目开发计划表'!$G$7</f>
        <v>0</v>
      </c>
      <c r="Q97" s="382">
        <f>Q96*'9.项目开发计划表'!$G$7</f>
        <v>0</v>
      </c>
      <c r="R97" s="397">
        <f>R96*'9.项目开发计划表'!$G$7</f>
        <v>0</v>
      </c>
      <c r="S97" s="397">
        <f>S96*'9.项目开发计划表'!$G$7</f>
        <v>0</v>
      </c>
      <c r="T97" s="467">
        <f>T96*'9.项目开发计划表'!$G$7</f>
        <v>0</v>
      </c>
      <c r="U97" s="382">
        <f>U96*'9.项目开发计划表'!$G$7</f>
        <v>0</v>
      </c>
      <c r="V97" s="397">
        <f>V96*'9.项目开发计划表'!$G$7</f>
        <v>0</v>
      </c>
      <c r="W97" s="397">
        <f>W96*'9.项目开发计划表'!$G$7</f>
        <v>0</v>
      </c>
      <c r="X97" s="467">
        <f>X96*'9.项目开发计划表'!$G$7</f>
        <v>0</v>
      </c>
      <c r="Y97" s="382">
        <f>Y96*'9.项目开发计划表'!$G$7</f>
        <v>0</v>
      </c>
      <c r="Z97" s="397">
        <f>Z96*'9.项目开发计划表'!$G$7</f>
        <v>0</v>
      </c>
      <c r="AA97" s="397">
        <f>AA96*'9.项目开发计划表'!$G$7</f>
        <v>0</v>
      </c>
      <c r="AB97" s="467">
        <f>AB96*'9.项目开发计划表'!$G$7</f>
        <v>0</v>
      </c>
      <c r="AC97" s="382">
        <f>AC96*'9.项目开发计划表'!$G$7</f>
        <v>0</v>
      </c>
      <c r="AD97" s="397">
        <f>AD96*'9.项目开发计划表'!$G$7</f>
        <v>0</v>
      </c>
      <c r="AE97" s="397">
        <f>AE96*'9.项目开发计划表'!$G$7</f>
        <v>0</v>
      </c>
      <c r="AF97" s="467">
        <f>AF96*'9.项目开发计划表'!$G$7</f>
        <v>0</v>
      </c>
      <c r="AG97" s="382">
        <f>AG96*'9.项目开发计划表'!$G$7</f>
        <v>0</v>
      </c>
      <c r="AH97" s="397">
        <f>AH96*'9.项目开发计划表'!$G$7</f>
        <v>0</v>
      </c>
      <c r="AI97" s="397">
        <f>AI96*'9.项目开发计划表'!$G$7</f>
        <v>0</v>
      </c>
      <c r="AJ97" s="467">
        <f>AJ96*'9.项目开发计划表'!$G$7</f>
        <v>0</v>
      </c>
      <c r="AK97" s="382">
        <f>AK96*'9.项目开发计划表'!$G$7</f>
        <v>0</v>
      </c>
      <c r="AL97" s="397">
        <f>AL96*'9.项目开发计划表'!$G$7</f>
        <v>0</v>
      </c>
      <c r="AM97" s="397">
        <f>AM96*'9.项目开发计划表'!$G$7</f>
        <v>0</v>
      </c>
      <c r="AN97" s="467">
        <f>AN96*'9.项目开发计划表'!$G$7</f>
        <v>0</v>
      </c>
      <c r="AO97" s="382">
        <f>AO96*'9.项目开发计划表'!$G$7</f>
        <v>0</v>
      </c>
      <c r="AP97" s="397">
        <f>AP96*'9.项目开发计划表'!$G$7</f>
        <v>0</v>
      </c>
      <c r="AQ97" s="397">
        <f>AQ96*'9.项目开发计划表'!$G$7</f>
        <v>0</v>
      </c>
      <c r="AR97" s="467">
        <f>AR96*'9.项目开发计划表'!$G$7</f>
        <v>0</v>
      </c>
      <c r="AS97" s="382">
        <f>AS96*'9.项目开发计划表'!$G$7</f>
        <v>0</v>
      </c>
      <c r="AT97" s="397">
        <f>AT96*'9.项目开发计划表'!$G$7</f>
        <v>0</v>
      </c>
      <c r="AU97" s="397">
        <f>AU96*'9.项目开发计划表'!$G$7</f>
        <v>0</v>
      </c>
      <c r="AV97" s="467">
        <f>AV96*'9.项目开发计划表'!$G$7</f>
        <v>0</v>
      </c>
      <c r="AW97" s="424" t="str">
        <f t="shared" si="107"/>
        <v>回迁商业</v>
      </c>
    </row>
    <row r="98" spans="1:49" s="424" customFormat="1" ht="13.5" customHeight="1" outlineLevel="1">
      <c r="A98" s="1944"/>
      <c r="B98" s="1949"/>
      <c r="C98" s="461" t="s">
        <v>882</v>
      </c>
      <c r="D98" s="466">
        <f t="shared" si="109"/>
        <v>0</v>
      </c>
      <c r="E98" s="382">
        <f t="shared" ref="E98:AV98" si="110">E95*E97/10000</f>
        <v>0</v>
      </c>
      <c r="F98" s="397">
        <f t="shared" si="110"/>
        <v>0</v>
      </c>
      <c r="G98" s="397">
        <f t="shared" si="110"/>
        <v>0</v>
      </c>
      <c r="H98" s="467">
        <f t="shared" si="110"/>
        <v>0</v>
      </c>
      <c r="I98" s="382">
        <f t="shared" si="110"/>
        <v>0</v>
      </c>
      <c r="J98" s="397">
        <f t="shared" si="110"/>
        <v>0</v>
      </c>
      <c r="K98" s="397">
        <f t="shared" si="110"/>
        <v>0</v>
      </c>
      <c r="L98" s="467">
        <f t="shared" si="110"/>
        <v>0</v>
      </c>
      <c r="M98" s="382">
        <f t="shared" si="110"/>
        <v>0</v>
      </c>
      <c r="N98" s="397">
        <f t="shared" si="110"/>
        <v>0</v>
      </c>
      <c r="O98" s="397">
        <f t="shared" si="110"/>
        <v>0</v>
      </c>
      <c r="P98" s="467">
        <f t="shared" si="110"/>
        <v>0</v>
      </c>
      <c r="Q98" s="382">
        <f t="shared" si="110"/>
        <v>0</v>
      </c>
      <c r="R98" s="397">
        <f t="shared" si="110"/>
        <v>0</v>
      </c>
      <c r="S98" s="397">
        <f t="shared" si="110"/>
        <v>0</v>
      </c>
      <c r="T98" s="467">
        <f t="shared" si="110"/>
        <v>0</v>
      </c>
      <c r="U98" s="382">
        <f t="shared" si="110"/>
        <v>0</v>
      </c>
      <c r="V98" s="397">
        <f t="shared" si="110"/>
        <v>0</v>
      </c>
      <c r="W98" s="397">
        <f t="shared" si="110"/>
        <v>0</v>
      </c>
      <c r="X98" s="467">
        <f t="shared" si="110"/>
        <v>0</v>
      </c>
      <c r="Y98" s="382">
        <f t="shared" si="110"/>
        <v>0</v>
      </c>
      <c r="Z98" s="397">
        <f t="shared" si="110"/>
        <v>0</v>
      </c>
      <c r="AA98" s="397">
        <f t="shared" si="110"/>
        <v>0</v>
      </c>
      <c r="AB98" s="467">
        <f t="shared" si="110"/>
        <v>0</v>
      </c>
      <c r="AC98" s="382">
        <f t="shared" si="110"/>
        <v>0</v>
      </c>
      <c r="AD98" s="397">
        <f t="shared" si="110"/>
        <v>0</v>
      </c>
      <c r="AE98" s="397">
        <f t="shared" si="110"/>
        <v>0</v>
      </c>
      <c r="AF98" s="467">
        <f t="shared" si="110"/>
        <v>0</v>
      </c>
      <c r="AG98" s="382">
        <f t="shared" si="110"/>
        <v>0</v>
      </c>
      <c r="AH98" s="397">
        <f t="shared" si="110"/>
        <v>0</v>
      </c>
      <c r="AI98" s="397">
        <f t="shared" si="110"/>
        <v>0</v>
      </c>
      <c r="AJ98" s="467">
        <f t="shared" si="110"/>
        <v>0</v>
      </c>
      <c r="AK98" s="382">
        <f t="shared" si="110"/>
        <v>0</v>
      </c>
      <c r="AL98" s="397">
        <f t="shared" si="110"/>
        <v>0</v>
      </c>
      <c r="AM98" s="397">
        <f t="shared" si="110"/>
        <v>0</v>
      </c>
      <c r="AN98" s="467">
        <f t="shared" si="110"/>
        <v>0</v>
      </c>
      <c r="AO98" s="382">
        <f t="shared" si="110"/>
        <v>0</v>
      </c>
      <c r="AP98" s="397">
        <f t="shared" si="110"/>
        <v>0</v>
      </c>
      <c r="AQ98" s="397">
        <f t="shared" si="110"/>
        <v>0</v>
      </c>
      <c r="AR98" s="467">
        <f t="shared" si="110"/>
        <v>0</v>
      </c>
      <c r="AS98" s="382">
        <f t="shared" si="110"/>
        <v>0</v>
      </c>
      <c r="AT98" s="397">
        <f t="shared" si="110"/>
        <v>0</v>
      </c>
      <c r="AU98" s="397">
        <f t="shared" si="110"/>
        <v>0</v>
      </c>
      <c r="AV98" s="467">
        <f t="shared" si="110"/>
        <v>0</v>
      </c>
      <c r="AW98" s="424" t="str">
        <f t="shared" si="107"/>
        <v>回迁商业</v>
      </c>
    </row>
    <row r="99" spans="1:49" s="424" customFormat="1" ht="13.5" customHeight="1" outlineLevel="1">
      <c r="A99" s="1944"/>
      <c r="B99" s="1949"/>
      <c r="C99" s="461" t="s">
        <v>450</v>
      </c>
      <c r="D99" s="468">
        <f t="shared" si="109"/>
        <v>0</v>
      </c>
      <c r="E99" s="386">
        <f>SUMIF($I$1:$T$1,B95,$I$2:$T$2)*E98</f>
        <v>0</v>
      </c>
      <c r="F99" s="399">
        <f>(1-SUMIF($I$1:$T$1,B95,$I$2:$T$2))*E98+SUMIF($I$1:$T$1,B95,$I$2:$T$2)*F98</f>
        <v>0</v>
      </c>
      <c r="G99" s="399">
        <f>(1-SUMIF($I$1:$T$1,B95,$I$2:$T$2))*F98+SUMIF($I$1:$T$1,B95,$I$2:$T$2)*G98</f>
        <v>0</v>
      </c>
      <c r="H99" s="404">
        <f>(1-SUMIF($I$1:$T$1,B95,$I$2:$T$2))*G98+SUMIF($I$1:$T$1,B95,$I$2:$T$2)*H98</f>
        <v>0</v>
      </c>
      <c r="I99" s="386">
        <f>(1-SUMIF($I$1:$T$1,B95,$I$2:$T$2))*H98+SUMIF($I$1:$T$1,B95,$I$2:$T$2)*I98</f>
        <v>0</v>
      </c>
      <c r="J99" s="399">
        <f>(1-SUMIF($I$1:$T$1,B95,$I$2:$T$2))*I98+SUMIF($I$1:$T$1,B95,$I$2:$T$2)*J98</f>
        <v>0</v>
      </c>
      <c r="K99" s="399">
        <f>(1-SUMIF($I$1:$T$1,B95,$I$2:$T$2))*J98+SUMIF($I$1:$T$1,B95,$I$2:$T$2)*K98</f>
        <v>0</v>
      </c>
      <c r="L99" s="404">
        <f>(1-SUMIF($I$1:$T$1,B95,$I$2:$T$2))*K98+SUMIF($I$1:$T$1,B95,$I$2:$T$2)*L98</f>
        <v>0</v>
      </c>
      <c r="M99" s="386">
        <f>(1-SUMIF($I$1:$T$1,B95,$I$2:$T$2))*L98+SUMIF($I$1:$T$1,B95,$I$2:$T$2)*M98</f>
        <v>0</v>
      </c>
      <c r="N99" s="399">
        <f>(1-SUMIF($I$1:$T$1,B95,$I$2:$T$2))*M98+SUMIF($I$1:$T$1,B95,$I$2:$T$2)*N98</f>
        <v>0</v>
      </c>
      <c r="O99" s="399">
        <f>(1-SUMIF($I$1:$T$1,B95,$I$2:$T$2))*N98+SUMIF($I$1:$T$1,B95,$I$2:$T$2)*O98</f>
        <v>0</v>
      </c>
      <c r="P99" s="404">
        <f>(1-SUMIF($I$1:$T$1,B95,$I$2:$T$2))*O98+SUMIF($I$1:$T$1,B95,$I$2:$T$2)*P98</f>
        <v>0</v>
      </c>
      <c r="Q99" s="386">
        <f>(1-SUMIF($I$1:$T$1,B95,$I$2:$T$2))*P98+SUMIF($I$1:$T$1,B95,$I$2:$T$2)*Q98</f>
        <v>0</v>
      </c>
      <c r="R99" s="399">
        <f>(1-SUMIF($I$1:$T$1,B95,$I$2:$T$2))*Q98+SUMIF($I$1:$T$1,B95,$I$2:$T$2)*R98</f>
        <v>0</v>
      </c>
      <c r="S99" s="399">
        <f>(1-SUMIF($I$1:$T$1,B95,$I$2:$T$2))*R98+SUMIF($I$1:$T$1,B95,$I$2:$T$2)*S98</f>
        <v>0</v>
      </c>
      <c r="T99" s="404">
        <f>(1-SUMIF($I$1:$T$1,B95,$I$2:$T$2))*S98+SUMIF($I$1:$T$1,B95,$I$2:$T$2)*T98</f>
        <v>0</v>
      </c>
      <c r="U99" s="386">
        <f>(1-SUMIF($I$1:$T$1,B95,$I$2:$T$2))*T98+SUMIF($I$1:$T$1,B95,$I$2:$T$2)*U98</f>
        <v>0</v>
      </c>
      <c r="V99" s="399">
        <f>(1-SUMIF($I$1:$T$1,B95,$I$2:$T$2))*U98+SUMIF($I$1:$T$1,B95,$I$2:$T$2)*V98</f>
        <v>0</v>
      </c>
      <c r="W99" s="399">
        <f>(1-SUMIF($I$1:$T$1,B95,$I$2:$T$2))*V98+SUMIF($I$1:$T$1,B95,$I$2:$T$2)*W98</f>
        <v>0</v>
      </c>
      <c r="X99" s="404">
        <f>(1-SUMIF($I$1:$T$1,B95,$I$2:$T$2))*W98+SUMIF($I$1:$T$1,B95,$I$2:$T$2)*X98</f>
        <v>0</v>
      </c>
      <c r="Y99" s="386">
        <f>(1-SUMIF($I$1:$T$1,B95,$I$2:$T$2))*X98+SUMIF($I$1:$T$1,B95,$I$2:$T$2)*Y98</f>
        <v>0</v>
      </c>
      <c r="Z99" s="399">
        <f>(1-SUMIF($I$1:$T$1,B95,$I$2:$T$2))*Y98+SUMIF($I$1:$T$1,B95,$I$2:$T$2)*Z98</f>
        <v>0</v>
      </c>
      <c r="AA99" s="399">
        <f>(1-SUMIF($I$1:$T$1,B95,$I$2:$T$2))*Z98+SUMIF($I$1:$T$1,B95,$I$2:$T$2)*AA98</f>
        <v>0</v>
      </c>
      <c r="AB99" s="404">
        <f>(1-SUMIF($I$1:$T$1,B95,$I$2:$T$2))*AA98+SUMIF($I$1:$T$1,B95,$I$2:$T$2)*AB98</f>
        <v>0</v>
      </c>
      <c r="AC99" s="386">
        <f>(1-SUMIF($I$1:$T$1,B95,$I$2:$T$2))*AB98+SUMIF($I$1:$T$1,B95,$I$2:$T$2)*AC98</f>
        <v>0</v>
      </c>
      <c r="AD99" s="399">
        <f>(1-SUMIF($I$1:$T$1,B95,$I$2:$T$2))*AC98+SUMIF($I$1:$T$1,B95,$I$2:$T$2)*AD98</f>
        <v>0</v>
      </c>
      <c r="AE99" s="399">
        <f>(1-SUMIF($I$1:$T$1,B95,$I$2:$T$2))*AD98+SUMIF($I$1:$T$1,B95,$I$2:$T$2)*AE98</f>
        <v>0</v>
      </c>
      <c r="AF99" s="404">
        <f>(1-SUMIF($I$1:$T$1,B95,$I$2:$T$2))*AE98+SUMIF($I$1:$T$1,B95,$I$2:$T$2)*AF98</f>
        <v>0</v>
      </c>
      <c r="AG99" s="386">
        <f>(1-SUMIF($I$1:$T$1,B95,$I$2:$T$2))*AF98+SUMIF($I$1:$T$1,B95,$I$2:$T$2)*AG98</f>
        <v>0</v>
      </c>
      <c r="AH99" s="399">
        <f>(1-SUMIF($I$1:$T$1,B95,$I$2:$T$2))*AG98+SUMIF($I$1:$T$1,B95,$I$2:$T$2)*AH98</f>
        <v>0</v>
      </c>
      <c r="AI99" s="399">
        <f>(1-SUMIF($I$1:$T$1,B95,$I$2:$T$2))*AH98+SUMIF($I$1:$T$1,B95,$I$2:$T$2)*AI98</f>
        <v>0</v>
      </c>
      <c r="AJ99" s="404">
        <f>(1-SUMIF($I$1:$T$1,B95,$I$2:$T$2))*AI98+SUMIF($I$1:$T$1,B95,$I$2:$T$2)*AJ98</f>
        <v>0</v>
      </c>
      <c r="AK99" s="386">
        <f>(1-SUMIF($I$1:$T$1,B95,$I$2:$T$2))*AJ98+SUMIF($I$1:$T$1,B95,$I$2:$T$2)*AK98</f>
        <v>0</v>
      </c>
      <c r="AL99" s="399">
        <f>(1-SUMIF($I$1:$T$1,B95,$I$2:$T$2))*AK98+SUMIF($I$1:$T$1,B95,$I$2:$T$2)*AL98</f>
        <v>0</v>
      </c>
      <c r="AM99" s="399">
        <f>(1-SUMIF($I$1:$T$1,B95,$I$2:$T$2))*AL98+SUMIF($I$1:$T$1,B95,$I$2:$T$2)*AM98</f>
        <v>0</v>
      </c>
      <c r="AN99" s="404">
        <f>(1-SUMIF($I$1:$T$1,B95,$I$2:$T$2))*AM98+SUMIF($I$1:$T$1,B95,$I$2:$T$2)*AN98</f>
        <v>0</v>
      </c>
      <c r="AO99" s="386">
        <f>(1-SUMIF($I$1:$T$1,B95,$I$2:$T$2))*AN98+SUMIF($I$1:$T$1,B95,$I$2:$T$2)*AO98</f>
        <v>0</v>
      </c>
      <c r="AP99" s="399">
        <f>(1-SUMIF($I$1:$T$1,B95,$I$2:$T$2))*AO98+SUMIF($I$1:$T$1,B95,$I$2:$T$2)*AP98</f>
        <v>0</v>
      </c>
      <c r="AQ99" s="399">
        <f>(1-SUMIF($I$1:$T$1,B95,$I$2:$T$2))*AP98+SUMIF($I$1:$T$1,B95,$I$2:$T$2)*AQ98</f>
        <v>0</v>
      </c>
      <c r="AR99" s="404">
        <f>(1-SUMIF($I$1:$T$1,B95,$I$2:$T$2))*AQ98+SUMIF($I$1:$T$1,B95,$I$2:$T$2)*AR98</f>
        <v>0</v>
      </c>
      <c r="AS99" s="386">
        <f>(1-SUMIF($I$1:$T$1,B95,$I$2:$T$2))*AR98+SUMIF($I$1:$T$1,B95,$I$2:$T$2)*AS98</f>
        <v>0</v>
      </c>
      <c r="AT99" s="399">
        <f>(1-SUMIF($I$1:$T$1,B95,$I$2:$T$2))*AS98+SUMIF($I$1:$T$1,B95,$I$2:$T$2)*AT98</f>
        <v>0</v>
      </c>
      <c r="AU99" s="399">
        <f>(1-SUMIF($I$1:$T$1,B95,$I$2:$T$2))*AT98+SUMIF($I$1:$T$1,B95,$I$2:$T$2)*AU98</f>
        <v>0</v>
      </c>
      <c r="AV99" s="404">
        <f>(1-SUMIF($I$1:$T$1,B95,$I$2:$T$2))*AU98+SUMIF($I$1:$T$1,B95,$I$2:$T$2)*AV98</f>
        <v>0</v>
      </c>
      <c r="AW99" s="424" t="str">
        <f t="shared" si="107"/>
        <v>回迁商业</v>
      </c>
    </row>
    <row r="100" spans="1:49" s="424" customFormat="1" ht="13.5" customHeight="1" outlineLevel="1">
      <c r="A100" s="1944"/>
      <c r="B100" s="1949">
        <f>'9.项目开发计划表'!C8</f>
        <v>0</v>
      </c>
      <c r="C100" s="461" t="s">
        <v>880</v>
      </c>
      <c r="D100" s="457">
        <f>IF(D102=0,0,D103/D102*10000)</f>
        <v>0</v>
      </c>
      <c r="E100" s="475"/>
      <c r="F100" s="475"/>
      <c r="G100" s="476"/>
      <c r="H100" s="476"/>
      <c r="I100" s="477"/>
      <c r="J100" s="477"/>
      <c r="K100" s="477"/>
      <c r="L100" s="477"/>
      <c r="M100" s="477"/>
      <c r="N100" s="477"/>
      <c r="O100" s="477"/>
      <c r="P100" s="477"/>
      <c r="Q100" s="477"/>
      <c r="R100" s="477"/>
      <c r="S100" s="477"/>
      <c r="T100" s="477"/>
      <c r="U100" s="477"/>
      <c r="V100" s="477"/>
      <c r="W100" s="476"/>
      <c r="X100" s="476"/>
      <c r="Y100" s="477"/>
      <c r="Z100" s="475"/>
      <c r="AA100" s="476"/>
      <c r="AB100" s="476"/>
      <c r="AC100" s="477"/>
      <c r="AD100" s="475"/>
      <c r="AE100" s="476"/>
      <c r="AF100" s="476"/>
      <c r="AG100" s="477"/>
      <c r="AH100" s="475"/>
      <c r="AI100" s="476"/>
      <c r="AJ100" s="477"/>
      <c r="AK100" s="475"/>
      <c r="AL100" s="476"/>
      <c r="AM100" s="476"/>
      <c r="AN100" s="477"/>
      <c r="AO100" s="475"/>
      <c r="AP100" s="476"/>
      <c r="AQ100" s="476"/>
      <c r="AR100" s="477"/>
      <c r="AS100" s="475"/>
      <c r="AT100" s="476"/>
      <c r="AU100" s="476"/>
      <c r="AV100" s="477"/>
      <c r="AW100" s="424">
        <f>B100</f>
        <v>0</v>
      </c>
    </row>
    <row r="101" spans="1:49" ht="13.5" customHeight="1" outlineLevel="1">
      <c r="A101" s="1944"/>
      <c r="B101" s="1949"/>
      <c r="C101" s="461" t="s">
        <v>881</v>
      </c>
      <c r="D101" s="462">
        <f t="shared" ref="D101:D104" si="111">SUM(E101:AV101)</f>
        <v>0</v>
      </c>
      <c r="E101" s="478"/>
      <c r="F101" s="482"/>
      <c r="G101" s="483"/>
      <c r="H101" s="483"/>
      <c r="I101" s="484"/>
      <c r="J101" s="484"/>
      <c r="K101" s="484"/>
      <c r="L101" s="484"/>
      <c r="M101" s="484"/>
      <c r="N101" s="484"/>
      <c r="O101" s="484"/>
      <c r="P101" s="484"/>
      <c r="Q101" s="484"/>
      <c r="R101" s="484"/>
      <c r="S101" s="484"/>
      <c r="T101" s="484"/>
      <c r="U101" s="484"/>
      <c r="V101" s="484"/>
      <c r="W101" s="483"/>
      <c r="X101" s="483"/>
      <c r="Y101" s="484"/>
      <c r="Z101" s="482"/>
      <c r="AA101" s="483"/>
      <c r="AB101" s="483"/>
      <c r="AC101" s="484"/>
      <c r="AD101" s="482"/>
      <c r="AE101" s="483"/>
      <c r="AF101" s="483"/>
      <c r="AG101" s="484"/>
      <c r="AH101" s="482"/>
      <c r="AI101" s="483"/>
      <c r="AJ101" s="484"/>
      <c r="AK101" s="482"/>
      <c r="AL101" s="483"/>
      <c r="AM101" s="483"/>
      <c r="AN101" s="484"/>
      <c r="AO101" s="482"/>
      <c r="AP101" s="483"/>
      <c r="AQ101" s="483"/>
      <c r="AR101" s="484"/>
      <c r="AS101" s="482"/>
      <c r="AT101" s="483"/>
      <c r="AU101" s="483"/>
      <c r="AV101" s="484"/>
      <c r="AW101" s="424">
        <f>AW100</f>
        <v>0</v>
      </c>
    </row>
    <row r="102" spans="1:49" s="424" customFormat="1" ht="13.5" customHeight="1" outlineLevel="1">
      <c r="A102" s="1944"/>
      <c r="B102" s="1949"/>
      <c r="C102" s="461" t="s">
        <v>682</v>
      </c>
      <c r="D102" s="466">
        <f t="shared" si="111"/>
        <v>0</v>
      </c>
      <c r="E102" s="382">
        <f>E101*'9.项目开发计划表'!$G$8</f>
        <v>0</v>
      </c>
      <c r="F102" s="397">
        <f>F101*'9.项目开发计划表'!$G$8</f>
        <v>0</v>
      </c>
      <c r="G102" s="397">
        <f>G101*'9.项目开发计划表'!$G$8</f>
        <v>0</v>
      </c>
      <c r="H102" s="467">
        <f>H101*'9.项目开发计划表'!$G$8</f>
        <v>0</v>
      </c>
      <c r="I102" s="382">
        <f>I101*'9.项目开发计划表'!$G$8</f>
        <v>0</v>
      </c>
      <c r="J102" s="397">
        <f>J101*'9.项目开发计划表'!$G$8</f>
        <v>0</v>
      </c>
      <c r="K102" s="397">
        <f>K101*'9.项目开发计划表'!$G$8</f>
        <v>0</v>
      </c>
      <c r="L102" s="467">
        <f>L101*'9.项目开发计划表'!$G$8</f>
        <v>0</v>
      </c>
      <c r="M102" s="382">
        <f>M101*'9.项目开发计划表'!$G$8</f>
        <v>0</v>
      </c>
      <c r="N102" s="397">
        <f>N101*'9.项目开发计划表'!$G$8</f>
        <v>0</v>
      </c>
      <c r="O102" s="397">
        <f>O101*'9.项目开发计划表'!$G$8</f>
        <v>0</v>
      </c>
      <c r="P102" s="467">
        <f>P101*'9.项目开发计划表'!$G$8</f>
        <v>0</v>
      </c>
      <c r="Q102" s="382">
        <f>Q101*'9.项目开发计划表'!$G$8</f>
        <v>0</v>
      </c>
      <c r="R102" s="397">
        <f>R101*'9.项目开发计划表'!$G$8</f>
        <v>0</v>
      </c>
      <c r="S102" s="397">
        <f>S101*'9.项目开发计划表'!$G$8</f>
        <v>0</v>
      </c>
      <c r="T102" s="467">
        <f>T101*'9.项目开发计划表'!$G$8</f>
        <v>0</v>
      </c>
      <c r="U102" s="382">
        <f>U101*'9.项目开发计划表'!$G$8</f>
        <v>0</v>
      </c>
      <c r="V102" s="397">
        <f>V101*'9.项目开发计划表'!$G$8</f>
        <v>0</v>
      </c>
      <c r="W102" s="397">
        <f>W101*'9.项目开发计划表'!$G$8</f>
        <v>0</v>
      </c>
      <c r="X102" s="467">
        <f>X101*'9.项目开发计划表'!$G$8</f>
        <v>0</v>
      </c>
      <c r="Y102" s="382">
        <f>Y101*'9.项目开发计划表'!$G$8</f>
        <v>0</v>
      </c>
      <c r="Z102" s="397">
        <f>Z101*'9.项目开发计划表'!$G$8</f>
        <v>0</v>
      </c>
      <c r="AA102" s="397">
        <f>AA101*'9.项目开发计划表'!$G$8</f>
        <v>0</v>
      </c>
      <c r="AB102" s="467">
        <f>AB101*'9.项目开发计划表'!$G$8</f>
        <v>0</v>
      </c>
      <c r="AC102" s="382">
        <f>AC101*'9.项目开发计划表'!$G$8</f>
        <v>0</v>
      </c>
      <c r="AD102" s="397">
        <f>AD101*'9.项目开发计划表'!$G$8</f>
        <v>0</v>
      </c>
      <c r="AE102" s="397">
        <f>AE101*'9.项目开发计划表'!$G$8</f>
        <v>0</v>
      </c>
      <c r="AF102" s="467">
        <f>AF101*'9.项目开发计划表'!$G$8</f>
        <v>0</v>
      </c>
      <c r="AG102" s="382">
        <f>AG101*'9.项目开发计划表'!$G$8</f>
        <v>0</v>
      </c>
      <c r="AH102" s="397">
        <f>AH101*'9.项目开发计划表'!$G$8</f>
        <v>0</v>
      </c>
      <c r="AI102" s="397">
        <f>AI101*'9.项目开发计划表'!$G$8</f>
        <v>0</v>
      </c>
      <c r="AJ102" s="467">
        <f>AJ101*'9.项目开发计划表'!$G$8</f>
        <v>0</v>
      </c>
      <c r="AK102" s="382">
        <f>AK101*'9.项目开发计划表'!$G$8</f>
        <v>0</v>
      </c>
      <c r="AL102" s="397">
        <f>AL101*'9.项目开发计划表'!$G$8</f>
        <v>0</v>
      </c>
      <c r="AM102" s="397">
        <f>AM101*'9.项目开发计划表'!$G$8</f>
        <v>0</v>
      </c>
      <c r="AN102" s="467">
        <f>AN101*'9.项目开发计划表'!$G$8</f>
        <v>0</v>
      </c>
      <c r="AO102" s="382">
        <f>AO101*'9.项目开发计划表'!$G$8</f>
        <v>0</v>
      </c>
      <c r="AP102" s="397">
        <f>AP101*'9.项目开发计划表'!$G$8</f>
        <v>0</v>
      </c>
      <c r="AQ102" s="397">
        <f>AQ101*'9.项目开发计划表'!$G$8</f>
        <v>0</v>
      </c>
      <c r="AR102" s="467">
        <f>AR101*'9.项目开发计划表'!$G$8</f>
        <v>0</v>
      </c>
      <c r="AS102" s="382">
        <f>AS101*'9.项目开发计划表'!$G$8</f>
        <v>0</v>
      </c>
      <c r="AT102" s="397">
        <f>AT101*'9.项目开发计划表'!$G$8</f>
        <v>0</v>
      </c>
      <c r="AU102" s="397">
        <f>AU101*'9.项目开发计划表'!$G$8</f>
        <v>0</v>
      </c>
      <c r="AV102" s="467">
        <f>AV101*'9.项目开发计划表'!$G$8</f>
        <v>0</v>
      </c>
      <c r="AW102" s="424">
        <f t="shared" si="107"/>
        <v>0</v>
      </c>
    </row>
    <row r="103" spans="1:49" s="424" customFormat="1" ht="13.5" customHeight="1" outlineLevel="1">
      <c r="A103" s="1944"/>
      <c r="B103" s="1949"/>
      <c r="C103" s="461" t="s">
        <v>882</v>
      </c>
      <c r="D103" s="466">
        <f t="shared" si="111"/>
        <v>0</v>
      </c>
      <c r="E103" s="382">
        <f t="shared" ref="E103:AV103" si="112">E100*E102/10000</f>
        <v>0</v>
      </c>
      <c r="F103" s="397">
        <f t="shared" si="112"/>
        <v>0</v>
      </c>
      <c r="G103" s="397">
        <f t="shared" si="112"/>
        <v>0</v>
      </c>
      <c r="H103" s="467">
        <f t="shared" si="112"/>
        <v>0</v>
      </c>
      <c r="I103" s="382">
        <f t="shared" si="112"/>
        <v>0</v>
      </c>
      <c r="J103" s="397">
        <f t="shared" si="112"/>
        <v>0</v>
      </c>
      <c r="K103" s="397">
        <f t="shared" si="112"/>
        <v>0</v>
      </c>
      <c r="L103" s="467">
        <f t="shared" si="112"/>
        <v>0</v>
      </c>
      <c r="M103" s="382">
        <f t="shared" si="112"/>
        <v>0</v>
      </c>
      <c r="N103" s="397">
        <f t="shared" si="112"/>
        <v>0</v>
      </c>
      <c r="O103" s="397">
        <f t="shared" si="112"/>
        <v>0</v>
      </c>
      <c r="P103" s="467">
        <f t="shared" si="112"/>
        <v>0</v>
      </c>
      <c r="Q103" s="382">
        <f t="shared" si="112"/>
        <v>0</v>
      </c>
      <c r="R103" s="397">
        <f t="shared" si="112"/>
        <v>0</v>
      </c>
      <c r="S103" s="397">
        <f t="shared" si="112"/>
        <v>0</v>
      </c>
      <c r="T103" s="467">
        <f t="shared" si="112"/>
        <v>0</v>
      </c>
      <c r="U103" s="382">
        <f t="shared" si="112"/>
        <v>0</v>
      </c>
      <c r="V103" s="397">
        <f t="shared" si="112"/>
        <v>0</v>
      </c>
      <c r="W103" s="397">
        <f t="shared" si="112"/>
        <v>0</v>
      </c>
      <c r="X103" s="467">
        <f t="shared" si="112"/>
        <v>0</v>
      </c>
      <c r="Y103" s="382">
        <f t="shared" si="112"/>
        <v>0</v>
      </c>
      <c r="Z103" s="397">
        <f t="shared" si="112"/>
        <v>0</v>
      </c>
      <c r="AA103" s="397">
        <f t="shared" si="112"/>
        <v>0</v>
      </c>
      <c r="AB103" s="467">
        <f t="shared" si="112"/>
        <v>0</v>
      </c>
      <c r="AC103" s="382">
        <f t="shared" si="112"/>
        <v>0</v>
      </c>
      <c r="AD103" s="397">
        <f t="shared" si="112"/>
        <v>0</v>
      </c>
      <c r="AE103" s="397">
        <f t="shared" si="112"/>
        <v>0</v>
      </c>
      <c r="AF103" s="467">
        <f t="shared" si="112"/>
        <v>0</v>
      </c>
      <c r="AG103" s="382">
        <f t="shared" si="112"/>
        <v>0</v>
      </c>
      <c r="AH103" s="397">
        <f t="shared" si="112"/>
        <v>0</v>
      </c>
      <c r="AI103" s="397">
        <f t="shared" si="112"/>
        <v>0</v>
      </c>
      <c r="AJ103" s="467">
        <f t="shared" si="112"/>
        <v>0</v>
      </c>
      <c r="AK103" s="382">
        <f t="shared" si="112"/>
        <v>0</v>
      </c>
      <c r="AL103" s="397">
        <f t="shared" si="112"/>
        <v>0</v>
      </c>
      <c r="AM103" s="397">
        <f t="shared" si="112"/>
        <v>0</v>
      </c>
      <c r="AN103" s="467">
        <f t="shared" si="112"/>
        <v>0</v>
      </c>
      <c r="AO103" s="382">
        <f t="shared" si="112"/>
        <v>0</v>
      </c>
      <c r="AP103" s="397">
        <f t="shared" si="112"/>
        <v>0</v>
      </c>
      <c r="AQ103" s="397">
        <f t="shared" si="112"/>
        <v>0</v>
      </c>
      <c r="AR103" s="467">
        <f t="shared" si="112"/>
        <v>0</v>
      </c>
      <c r="AS103" s="382">
        <f t="shared" si="112"/>
        <v>0</v>
      </c>
      <c r="AT103" s="397">
        <f t="shared" si="112"/>
        <v>0</v>
      </c>
      <c r="AU103" s="397">
        <f t="shared" si="112"/>
        <v>0</v>
      </c>
      <c r="AV103" s="467">
        <f t="shared" si="112"/>
        <v>0</v>
      </c>
      <c r="AW103" s="424">
        <f t="shared" si="107"/>
        <v>0</v>
      </c>
    </row>
    <row r="104" spans="1:49" s="424" customFormat="1" ht="13.5" customHeight="1" outlineLevel="1">
      <c r="A104" s="1944"/>
      <c r="B104" s="1949"/>
      <c r="C104" s="461" t="s">
        <v>450</v>
      </c>
      <c r="D104" s="468">
        <f t="shared" si="111"/>
        <v>0</v>
      </c>
      <c r="E104" s="386">
        <f>SUMIF($I$1:$T$1,B100,$I$2:$T$2)*E103</f>
        <v>0</v>
      </c>
      <c r="F104" s="399">
        <f>(1-SUMIF($I$1:$T$1,B100,$I$2:$T$2))*E103+SUMIF($I$1:$T$1,B100,$I$2:$T$2)*F103</f>
        <v>0</v>
      </c>
      <c r="G104" s="399">
        <f>(1-SUMIF($I$1:$T$1,B100,$I$2:$T$2))*F103+SUMIF($I$1:$T$1,B100,$I$2:$T$2)*G103</f>
        <v>0</v>
      </c>
      <c r="H104" s="404">
        <f>(1-SUMIF($I$1:$T$1,B100,$I$2:$T$2))*G103+SUMIF($I$1:$T$1,B100,$I$2:$T$2)*H103</f>
        <v>0</v>
      </c>
      <c r="I104" s="386">
        <f>(1-SUMIF($I$1:$T$1,B100,$I$2:$T$2))*H103+SUMIF($I$1:$T$1,B100,$I$2:$T$2)*I103</f>
        <v>0</v>
      </c>
      <c r="J104" s="399">
        <f>(1-SUMIF($I$1:$T$1,B100,$I$2:$T$2))*I103+SUMIF($I$1:$T$1,B100,$I$2:$T$2)*J103</f>
        <v>0</v>
      </c>
      <c r="K104" s="399">
        <f>(1-SUMIF($I$1:$T$1,B100,$I$2:$T$2))*J103+SUMIF($I$1:$T$1,B100,$I$2:$T$2)*K103</f>
        <v>0</v>
      </c>
      <c r="L104" s="404">
        <f>(1-SUMIF($I$1:$T$1,B100,$I$2:$T$2))*K103+SUMIF($I$1:$T$1,B100,$I$2:$T$2)*L103</f>
        <v>0</v>
      </c>
      <c r="M104" s="386">
        <f>(1-SUMIF($I$1:$T$1,B100,$I$2:$T$2))*L103+SUMIF($I$1:$T$1,B100,$I$2:$T$2)*M103</f>
        <v>0</v>
      </c>
      <c r="N104" s="399">
        <f>(1-SUMIF($I$1:$T$1,B100,$I$2:$T$2))*M103+SUMIF($I$1:$T$1,B100,$I$2:$T$2)*N103</f>
        <v>0</v>
      </c>
      <c r="O104" s="399">
        <f>(1-SUMIF($I$1:$T$1,B100,$I$2:$T$2))*N103+SUMIF($I$1:$T$1,B100,$I$2:$T$2)*O103</f>
        <v>0</v>
      </c>
      <c r="P104" s="404">
        <f>(1-SUMIF($I$1:$T$1,B100,$I$2:$T$2))*O103+SUMIF($I$1:$T$1,B100,$I$2:$T$2)*P103</f>
        <v>0</v>
      </c>
      <c r="Q104" s="386">
        <f>(1-SUMIF($I$1:$T$1,B100,$I$2:$T$2))*P103+SUMIF($I$1:$T$1,B100,$I$2:$T$2)*Q103</f>
        <v>0</v>
      </c>
      <c r="R104" s="399">
        <f>(1-SUMIF($I$1:$T$1,B100,$I$2:$T$2))*Q103+SUMIF($I$1:$T$1,B100,$I$2:$T$2)*R103</f>
        <v>0</v>
      </c>
      <c r="S104" s="399">
        <f>(1-SUMIF($I$1:$T$1,B100,$I$2:$T$2))*R103+SUMIF($I$1:$T$1,B100,$I$2:$T$2)*S103</f>
        <v>0</v>
      </c>
      <c r="T104" s="404">
        <f>(1-SUMIF($I$1:$T$1,B100,$I$2:$T$2))*S103+SUMIF($I$1:$T$1,B100,$I$2:$T$2)*T103</f>
        <v>0</v>
      </c>
      <c r="U104" s="386">
        <f>(1-SUMIF($I$1:$T$1,B100,$I$2:$T$2))*T103+SUMIF($I$1:$T$1,B100,$I$2:$T$2)*U103</f>
        <v>0</v>
      </c>
      <c r="V104" s="399">
        <f>(1-SUMIF($I$1:$T$1,B100,$I$2:$T$2))*U103+SUMIF($I$1:$T$1,B100,$I$2:$T$2)*V103</f>
        <v>0</v>
      </c>
      <c r="W104" s="399">
        <f>(1-SUMIF($I$1:$T$1,B100,$I$2:$T$2))*V103+SUMIF($I$1:$T$1,B100,$I$2:$T$2)*W103</f>
        <v>0</v>
      </c>
      <c r="X104" s="404">
        <f>(1-SUMIF($I$1:$T$1,B100,$I$2:$T$2))*W103+SUMIF($I$1:$T$1,B100,$I$2:$T$2)*X103</f>
        <v>0</v>
      </c>
      <c r="Y104" s="386">
        <f>(1-SUMIF($I$1:$T$1,B100,$I$2:$T$2))*X103+SUMIF($I$1:$T$1,B100,$I$2:$T$2)*Y103</f>
        <v>0</v>
      </c>
      <c r="Z104" s="399">
        <f>(1-SUMIF($I$1:$T$1,B100,$I$2:$T$2))*Y103+SUMIF($I$1:$T$1,B100,$I$2:$T$2)*Z103</f>
        <v>0</v>
      </c>
      <c r="AA104" s="399">
        <f>(1-SUMIF($I$1:$T$1,B100,$I$2:$T$2))*Z103+SUMIF($I$1:$T$1,B100,$I$2:$T$2)*AA103</f>
        <v>0</v>
      </c>
      <c r="AB104" s="404">
        <f>(1-SUMIF($I$1:$T$1,B100,$I$2:$T$2))*AA103+SUMIF($I$1:$T$1,B100,$I$2:$T$2)*AB103</f>
        <v>0</v>
      </c>
      <c r="AC104" s="386">
        <f>(1-SUMIF($I$1:$T$1,B100,$I$2:$T$2))*AB103+SUMIF($I$1:$T$1,B100,$I$2:$T$2)*AC103</f>
        <v>0</v>
      </c>
      <c r="AD104" s="399">
        <f>(1-SUMIF($I$1:$T$1,B100,$I$2:$T$2))*AC103+SUMIF($I$1:$T$1,B100,$I$2:$T$2)*AD103</f>
        <v>0</v>
      </c>
      <c r="AE104" s="399">
        <f>(1-SUMIF($I$1:$T$1,B100,$I$2:$T$2))*AD103+SUMIF($I$1:$T$1,B100,$I$2:$T$2)*AE103</f>
        <v>0</v>
      </c>
      <c r="AF104" s="404">
        <f>(1-SUMIF($I$1:$T$1,B100,$I$2:$T$2))*AE103+SUMIF($I$1:$T$1,B100,$I$2:$T$2)*AF103</f>
        <v>0</v>
      </c>
      <c r="AG104" s="386">
        <f>(1-SUMIF($I$1:$T$1,B100,$I$2:$T$2))*AF103+SUMIF($I$1:$T$1,B100,$I$2:$T$2)*AG103</f>
        <v>0</v>
      </c>
      <c r="AH104" s="399">
        <f>(1-SUMIF($I$1:$T$1,B100,$I$2:$T$2))*AG103+SUMIF($I$1:$T$1,B100,$I$2:$T$2)*AH103</f>
        <v>0</v>
      </c>
      <c r="AI104" s="399">
        <f>(1-SUMIF($I$1:$T$1,B100,$I$2:$T$2))*AH103+SUMIF($I$1:$T$1,B100,$I$2:$T$2)*AI103</f>
        <v>0</v>
      </c>
      <c r="AJ104" s="404">
        <f>(1-SUMIF($I$1:$T$1,B100,$I$2:$T$2))*AI103+SUMIF($I$1:$T$1,B100,$I$2:$T$2)*AJ103</f>
        <v>0</v>
      </c>
      <c r="AK104" s="386">
        <f>(1-SUMIF($I$1:$T$1,B100,$I$2:$T$2))*AJ103+SUMIF($I$1:$T$1,B100,$I$2:$T$2)*AK103</f>
        <v>0</v>
      </c>
      <c r="AL104" s="399">
        <f>(1-SUMIF($I$1:$T$1,B100,$I$2:$T$2))*AK103+SUMIF($I$1:$T$1,B100,$I$2:$T$2)*AL103</f>
        <v>0</v>
      </c>
      <c r="AM104" s="399">
        <f>(1-SUMIF($I$1:$T$1,B100,$I$2:$T$2))*AL103+SUMIF($I$1:$T$1,B100,$I$2:$T$2)*AM103</f>
        <v>0</v>
      </c>
      <c r="AN104" s="404">
        <f>(1-SUMIF($I$1:$T$1,B100,$I$2:$T$2))*AM103+SUMIF($I$1:$T$1,B100,$I$2:$T$2)*AN103</f>
        <v>0</v>
      </c>
      <c r="AO104" s="386">
        <f>(1-SUMIF($I$1:$T$1,B100,$I$2:$T$2))*AN103+SUMIF($I$1:$T$1,B100,$I$2:$T$2)*AO103</f>
        <v>0</v>
      </c>
      <c r="AP104" s="399">
        <f>(1-SUMIF($I$1:$T$1,B100,$I$2:$T$2))*AO103+SUMIF($I$1:$T$1,B100,$I$2:$T$2)*AP103</f>
        <v>0</v>
      </c>
      <c r="AQ104" s="399">
        <f>(1-SUMIF($I$1:$T$1,B100,$I$2:$T$2))*AP103+SUMIF($I$1:$T$1,B100,$I$2:$T$2)*AQ103</f>
        <v>0</v>
      </c>
      <c r="AR104" s="404">
        <f>(1-SUMIF($I$1:$T$1,B100,$I$2:$T$2))*AQ103+SUMIF($I$1:$T$1,B100,$I$2:$T$2)*AR103</f>
        <v>0</v>
      </c>
      <c r="AS104" s="386">
        <f>(1-SUMIF($I$1:$T$1,B100,$I$2:$T$2))*AR103+SUMIF($I$1:$T$1,B100,$I$2:$T$2)*AS103</f>
        <v>0</v>
      </c>
      <c r="AT104" s="399">
        <f>(1-SUMIF($I$1:$T$1,B100,$I$2:$T$2))*AS103+SUMIF($I$1:$T$1,B100,$I$2:$T$2)*AT103</f>
        <v>0</v>
      </c>
      <c r="AU104" s="399">
        <f>(1-SUMIF($I$1:$T$1,B100,$I$2:$T$2))*AT103+SUMIF($I$1:$T$1,B100,$I$2:$T$2)*AU103</f>
        <v>0</v>
      </c>
      <c r="AV104" s="404">
        <f>(1-SUMIF($I$1:$T$1,B100,$I$2:$T$2))*AU103+SUMIF($I$1:$T$1,B100,$I$2:$T$2)*AV103</f>
        <v>0</v>
      </c>
      <c r="AW104" s="424">
        <f t="shared" si="107"/>
        <v>0</v>
      </c>
    </row>
    <row r="105" spans="1:49" s="424" customFormat="1" ht="13.5" customHeight="1" outlineLevel="1">
      <c r="A105" s="1944"/>
      <c r="B105" s="1949">
        <f>'9.项目开发计划表'!C9</f>
        <v>0</v>
      </c>
      <c r="C105" s="461" t="s">
        <v>880</v>
      </c>
      <c r="D105" s="457">
        <f>IF(D107=0,0,D108/D107*10000)</f>
        <v>0</v>
      </c>
      <c r="E105" s="475"/>
      <c r="F105" s="476"/>
      <c r="G105" s="476"/>
      <c r="H105" s="477"/>
      <c r="I105" s="475"/>
      <c r="J105" s="476"/>
      <c r="K105" s="476"/>
      <c r="L105" s="477"/>
      <c r="M105" s="475"/>
      <c r="N105" s="476"/>
      <c r="O105" s="476"/>
      <c r="P105" s="477"/>
      <c r="Q105" s="475"/>
      <c r="R105" s="476"/>
      <c r="S105" s="476"/>
      <c r="T105" s="477"/>
      <c r="U105" s="475"/>
      <c r="V105" s="476"/>
      <c r="W105" s="476"/>
      <c r="X105" s="477"/>
      <c r="Y105" s="475"/>
      <c r="Z105" s="476"/>
      <c r="AA105" s="476"/>
      <c r="AB105" s="477"/>
      <c r="AC105" s="475"/>
      <c r="AD105" s="476"/>
      <c r="AE105" s="476"/>
      <c r="AF105" s="477"/>
      <c r="AG105" s="475"/>
      <c r="AH105" s="476"/>
      <c r="AI105" s="476"/>
      <c r="AJ105" s="477"/>
      <c r="AK105" s="475"/>
      <c r="AL105" s="476"/>
      <c r="AM105" s="476"/>
      <c r="AN105" s="477"/>
      <c r="AO105" s="475"/>
      <c r="AP105" s="476"/>
      <c r="AQ105" s="476"/>
      <c r="AR105" s="477"/>
      <c r="AS105" s="475"/>
      <c r="AT105" s="476"/>
      <c r="AU105" s="476"/>
      <c r="AV105" s="477"/>
      <c r="AW105" s="424">
        <f>B105</f>
        <v>0</v>
      </c>
    </row>
    <row r="106" spans="1:49" ht="13.5" customHeight="1" outlineLevel="1">
      <c r="A106" s="1944"/>
      <c r="B106" s="1949"/>
      <c r="C106" s="461" t="s">
        <v>881</v>
      </c>
      <c r="D106" s="462">
        <f t="shared" ref="D106:D109" si="113">SUM(E106:AV106)</f>
        <v>0</v>
      </c>
      <c r="E106" s="482"/>
      <c r="F106" s="483"/>
      <c r="G106" s="483"/>
      <c r="H106" s="484"/>
      <c r="I106" s="482"/>
      <c r="J106" s="483"/>
      <c r="K106" s="483"/>
      <c r="L106" s="484"/>
      <c r="M106" s="482"/>
      <c r="N106" s="483"/>
      <c r="O106" s="483"/>
      <c r="P106" s="484"/>
      <c r="Q106" s="482"/>
      <c r="R106" s="483"/>
      <c r="S106" s="483"/>
      <c r="T106" s="484"/>
      <c r="U106" s="482"/>
      <c r="V106" s="483"/>
      <c r="W106" s="483"/>
      <c r="X106" s="484"/>
      <c r="Y106" s="482"/>
      <c r="Z106" s="483"/>
      <c r="AA106" s="483"/>
      <c r="AB106" s="484"/>
      <c r="AC106" s="482"/>
      <c r="AD106" s="483"/>
      <c r="AE106" s="483"/>
      <c r="AF106" s="484"/>
      <c r="AG106" s="482"/>
      <c r="AH106" s="483"/>
      <c r="AI106" s="483"/>
      <c r="AJ106" s="484"/>
      <c r="AK106" s="482"/>
      <c r="AL106" s="483"/>
      <c r="AM106" s="483"/>
      <c r="AN106" s="484"/>
      <c r="AO106" s="482"/>
      <c r="AP106" s="483"/>
      <c r="AQ106" s="483"/>
      <c r="AR106" s="484"/>
      <c r="AS106" s="482"/>
      <c r="AT106" s="483"/>
      <c r="AU106" s="483"/>
      <c r="AV106" s="484"/>
      <c r="AW106" s="424">
        <f>AW105</f>
        <v>0</v>
      </c>
    </row>
    <row r="107" spans="1:49" s="424" customFormat="1" ht="13.5" customHeight="1" outlineLevel="1">
      <c r="A107" s="1944"/>
      <c r="B107" s="1949"/>
      <c r="C107" s="461" t="s">
        <v>682</v>
      </c>
      <c r="D107" s="466">
        <f t="shared" si="113"/>
        <v>0</v>
      </c>
      <c r="E107" s="382">
        <f>E106*'9.项目开发计划表'!$G$9</f>
        <v>0</v>
      </c>
      <c r="F107" s="397">
        <f>F106*'9.项目开发计划表'!$G$9</f>
        <v>0</v>
      </c>
      <c r="G107" s="397">
        <f>G106*'9.项目开发计划表'!$G$9</f>
        <v>0</v>
      </c>
      <c r="H107" s="467">
        <f>H106*'9.项目开发计划表'!$G$9</f>
        <v>0</v>
      </c>
      <c r="I107" s="382">
        <f>I106*'9.项目开发计划表'!$G$9</f>
        <v>0</v>
      </c>
      <c r="J107" s="397">
        <f>J106*'9.项目开发计划表'!$G$9</f>
        <v>0</v>
      </c>
      <c r="K107" s="397">
        <f>K106*'9.项目开发计划表'!$G$9</f>
        <v>0</v>
      </c>
      <c r="L107" s="467">
        <f>L106*'9.项目开发计划表'!$G$9</f>
        <v>0</v>
      </c>
      <c r="M107" s="382">
        <f>M106*'9.项目开发计划表'!$G$9</f>
        <v>0</v>
      </c>
      <c r="N107" s="397">
        <f>N106*'9.项目开发计划表'!$G$9</f>
        <v>0</v>
      </c>
      <c r="O107" s="397">
        <f>O106*'9.项目开发计划表'!$G$9</f>
        <v>0</v>
      </c>
      <c r="P107" s="467">
        <f>P106*'9.项目开发计划表'!$G$9</f>
        <v>0</v>
      </c>
      <c r="Q107" s="382">
        <f>Q106*'9.项目开发计划表'!$G$9</f>
        <v>0</v>
      </c>
      <c r="R107" s="397">
        <f>R106*'9.项目开发计划表'!$G$9</f>
        <v>0</v>
      </c>
      <c r="S107" s="397">
        <f>S106*'9.项目开发计划表'!$G$9</f>
        <v>0</v>
      </c>
      <c r="T107" s="467">
        <f>T106*'9.项目开发计划表'!$G$9</f>
        <v>0</v>
      </c>
      <c r="U107" s="382">
        <f>U106*'9.项目开发计划表'!$G$9</f>
        <v>0</v>
      </c>
      <c r="V107" s="397">
        <f>V106*'9.项目开发计划表'!$G$9</f>
        <v>0</v>
      </c>
      <c r="W107" s="397">
        <f>W106*'9.项目开发计划表'!$G$9</f>
        <v>0</v>
      </c>
      <c r="X107" s="467">
        <f>X106*'9.项目开发计划表'!$G$9</f>
        <v>0</v>
      </c>
      <c r="Y107" s="382">
        <f>Y106*'9.项目开发计划表'!$G$9</f>
        <v>0</v>
      </c>
      <c r="Z107" s="397">
        <f>Z106*'9.项目开发计划表'!$G$9</f>
        <v>0</v>
      </c>
      <c r="AA107" s="397">
        <f>AA106*'9.项目开发计划表'!$G$9</f>
        <v>0</v>
      </c>
      <c r="AB107" s="467">
        <f>AB106*'9.项目开发计划表'!$G$9</f>
        <v>0</v>
      </c>
      <c r="AC107" s="382">
        <f>AC106*'9.项目开发计划表'!$G$9</f>
        <v>0</v>
      </c>
      <c r="AD107" s="397">
        <f>AD106*'9.项目开发计划表'!$G$9</f>
        <v>0</v>
      </c>
      <c r="AE107" s="397">
        <f>AE106*'9.项目开发计划表'!$G$9</f>
        <v>0</v>
      </c>
      <c r="AF107" s="467">
        <f>AF106*'9.项目开发计划表'!$G$9</f>
        <v>0</v>
      </c>
      <c r="AG107" s="382">
        <f>AG106*'9.项目开发计划表'!$G$9</f>
        <v>0</v>
      </c>
      <c r="AH107" s="397">
        <f>AH106*'9.项目开发计划表'!$G$9</f>
        <v>0</v>
      </c>
      <c r="AI107" s="397">
        <f>AI106*'9.项目开发计划表'!$G$9</f>
        <v>0</v>
      </c>
      <c r="AJ107" s="467">
        <f>AJ106*'9.项目开发计划表'!$G$9</f>
        <v>0</v>
      </c>
      <c r="AK107" s="382">
        <f>AK106*'9.项目开发计划表'!$G$9</f>
        <v>0</v>
      </c>
      <c r="AL107" s="397">
        <f>AL106*'9.项目开发计划表'!$G$9</f>
        <v>0</v>
      </c>
      <c r="AM107" s="397">
        <f>AM106*'9.项目开发计划表'!$G$9</f>
        <v>0</v>
      </c>
      <c r="AN107" s="467">
        <f>AN106*'9.项目开发计划表'!$G$9</f>
        <v>0</v>
      </c>
      <c r="AO107" s="382">
        <f>AO106*'9.项目开发计划表'!$G$9</f>
        <v>0</v>
      </c>
      <c r="AP107" s="397">
        <f>AP106*'9.项目开发计划表'!$G$9</f>
        <v>0</v>
      </c>
      <c r="AQ107" s="397">
        <f>AQ106*'9.项目开发计划表'!$G$9</f>
        <v>0</v>
      </c>
      <c r="AR107" s="467">
        <f>AR106*'9.项目开发计划表'!$G$9</f>
        <v>0</v>
      </c>
      <c r="AS107" s="382">
        <f>AS106*'9.项目开发计划表'!$G$9</f>
        <v>0</v>
      </c>
      <c r="AT107" s="397">
        <f>AT106*'9.项目开发计划表'!$G$9</f>
        <v>0</v>
      </c>
      <c r="AU107" s="397">
        <f>AU106*'9.项目开发计划表'!$G$9</f>
        <v>0</v>
      </c>
      <c r="AV107" s="467">
        <f>AV106*'9.项目开发计划表'!$G$9</f>
        <v>0</v>
      </c>
      <c r="AW107" s="424">
        <f t="shared" si="107"/>
        <v>0</v>
      </c>
    </row>
    <row r="108" spans="1:49" s="424" customFormat="1" ht="13.5" customHeight="1" outlineLevel="1">
      <c r="A108" s="1944"/>
      <c r="B108" s="1949"/>
      <c r="C108" s="461" t="s">
        <v>882</v>
      </c>
      <c r="D108" s="466">
        <f t="shared" si="113"/>
        <v>0</v>
      </c>
      <c r="E108" s="382">
        <f t="shared" ref="E108:AV108" si="114">E105*E107/10000</f>
        <v>0</v>
      </c>
      <c r="F108" s="397">
        <f t="shared" si="114"/>
        <v>0</v>
      </c>
      <c r="G108" s="397">
        <f t="shared" si="114"/>
        <v>0</v>
      </c>
      <c r="H108" s="467">
        <f t="shared" si="114"/>
        <v>0</v>
      </c>
      <c r="I108" s="382">
        <f t="shared" si="114"/>
        <v>0</v>
      </c>
      <c r="J108" s="397">
        <f t="shared" si="114"/>
        <v>0</v>
      </c>
      <c r="K108" s="397">
        <f t="shared" si="114"/>
        <v>0</v>
      </c>
      <c r="L108" s="467">
        <f t="shared" si="114"/>
        <v>0</v>
      </c>
      <c r="M108" s="382">
        <f t="shared" si="114"/>
        <v>0</v>
      </c>
      <c r="N108" s="397">
        <f t="shared" si="114"/>
        <v>0</v>
      </c>
      <c r="O108" s="397">
        <f t="shared" si="114"/>
        <v>0</v>
      </c>
      <c r="P108" s="467">
        <f t="shared" si="114"/>
        <v>0</v>
      </c>
      <c r="Q108" s="382">
        <f t="shared" si="114"/>
        <v>0</v>
      </c>
      <c r="R108" s="397">
        <f t="shared" si="114"/>
        <v>0</v>
      </c>
      <c r="S108" s="397">
        <f t="shared" si="114"/>
        <v>0</v>
      </c>
      <c r="T108" s="467">
        <f t="shared" si="114"/>
        <v>0</v>
      </c>
      <c r="U108" s="382">
        <f t="shared" si="114"/>
        <v>0</v>
      </c>
      <c r="V108" s="397">
        <f t="shared" si="114"/>
        <v>0</v>
      </c>
      <c r="W108" s="397">
        <f t="shared" si="114"/>
        <v>0</v>
      </c>
      <c r="X108" s="467">
        <f t="shared" si="114"/>
        <v>0</v>
      </c>
      <c r="Y108" s="382">
        <f t="shared" si="114"/>
        <v>0</v>
      </c>
      <c r="Z108" s="397">
        <f t="shared" si="114"/>
        <v>0</v>
      </c>
      <c r="AA108" s="397">
        <f t="shared" si="114"/>
        <v>0</v>
      </c>
      <c r="AB108" s="467">
        <f t="shared" si="114"/>
        <v>0</v>
      </c>
      <c r="AC108" s="382">
        <f t="shared" si="114"/>
        <v>0</v>
      </c>
      <c r="AD108" s="397">
        <f t="shared" si="114"/>
        <v>0</v>
      </c>
      <c r="AE108" s="397">
        <f t="shared" si="114"/>
        <v>0</v>
      </c>
      <c r="AF108" s="467">
        <f t="shared" si="114"/>
        <v>0</v>
      </c>
      <c r="AG108" s="382">
        <f t="shared" si="114"/>
        <v>0</v>
      </c>
      <c r="AH108" s="397">
        <f t="shared" si="114"/>
        <v>0</v>
      </c>
      <c r="AI108" s="397">
        <f t="shared" si="114"/>
        <v>0</v>
      </c>
      <c r="AJ108" s="467">
        <f t="shared" si="114"/>
        <v>0</v>
      </c>
      <c r="AK108" s="382">
        <f t="shared" si="114"/>
        <v>0</v>
      </c>
      <c r="AL108" s="397">
        <f t="shared" si="114"/>
        <v>0</v>
      </c>
      <c r="AM108" s="397">
        <f t="shared" si="114"/>
        <v>0</v>
      </c>
      <c r="AN108" s="467">
        <f t="shared" si="114"/>
        <v>0</v>
      </c>
      <c r="AO108" s="382">
        <f t="shared" si="114"/>
        <v>0</v>
      </c>
      <c r="AP108" s="397">
        <f t="shared" si="114"/>
        <v>0</v>
      </c>
      <c r="AQ108" s="397">
        <f t="shared" si="114"/>
        <v>0</v>
      </c>
      <c r="AR108" s="467">
        <f t="shared" si="114"/>
        <v>0</v>
      </c>
      <c r="AS108" s="382">
        <f t="shared" si="114"/>
        <v>0</v>
      </c>
      <c r="AT108" s="397">
        <f t="shared" si="114"/>
        <v>0</v>
      </c>
      <c r="AU108" s="397">
        <f t="shared" si="114"/>
        <v>0</v>
      </c>
      <c r="AV108" s="467">
        <f t="shared" si="114"/>
        <v>0</v>
      </c>
      <c r="AW108" s="424">
        <f t="shared" si="107"/>
        <v>0</v>
      </c>
    </row>
    <row r="109" spans="1:49" s="424" customFormat="1" ht="13.5" customHeight="1" outlineLevel="1">
      <c r="A109" s="1944"/>
      <c r="B109" s="1949"/>
      <c r="C109" s="461" t="s">
        <v>450</v>
      </c>
      <c r="D109" s="468">
        <f t="shared" si="113"/>
        <v>0</v>
      </c>
      <c r="E109" s="386">
        <f>SUMIF($I$1:$T$1,B105,$I$2:$T$2)*E108</f>
        <v>0</v>
      </c>
      <c r="F109" s="399">
        <f>(1-SUMIF($I$1:$T$1,B105,$I$2:$T$2))*E108+SUMIF($I$1:$T$1,B105,$I$2:$T$2)*F108</f>
        <v>0</v>
      </c>
      <c r="G109" s="399">
        <f>(1-SUMIF($I$1:$T$1,B105,$I$2:$T$2))*F108+SUMIF($I$1:$T$1,B105,$I$2:$T$2)*G108</f>
        <v>0</v>
      </c>
      <c r="H109" s="404">
        <f>(1-SUMIF($I$1:$T$1,B105,$I$2:$T$2))*G108+SUMIF($I$1:$T$1,B105,$I$2:$T$2)*H108</f>
        <v>0</v>
      </c>
      <c r="I109" s="386">
        <f>(1-SUMIF($I$1:$T$1,B105,$I$2:$T$2))*H108+SUMIF($I$1:$T$1,B105,$I$2:$T$2)*I108</f>
        <v>0</v>
      </c>
      <c r="J109" s="399">
        <f>(1-SUMIF($I$1:$T$1,B105,$I$2:$T$2))*I108+SUMIF($I$1:$T$1,B105,$I$2:$T$2)*J108</f>
        <v>0</v>
      </c>
      <c r="K109" s="399">
        <f>(1-SUMIF($I$1:$T$1,B105,$I$2:$T$2))*J108+SUMIF($I$1:$T$1,B105,$I$2:$T$2)*K108</f>
        <v>0</v>
      </c>
      <c r="L109" s="404">
        <f>(1-SUMIF($I$1:$T$1,B105,$I$2:$T$2))*K108+SUMIF($I$1:$T$1,B105,$I$2:$T$2)*L108</f>
        <v>0</v>
      </c>
      <c r="M109" s="386">
        <f>(1-SUMIF($I$1:$T$1,B105,$I$2:$T$2))*L108+SUMIF($I$1:$T$1,B105,$I$2:$T$2)*M108</f>
        <v>0</v>
      </c>
      <c r="N109" s="399">
        <f>(1-SUMIF($I$1:$T$1,B105,$I$2:$T$2))*M108+SUMIF($I$1:$T$1,B105,$I$2:$T$2)*N108</f>
        <v>0</v>
      </c>
      <c r="O109" s="399">
        <f>(1-SUMIF($I$1:$T$1,B105,$I$2:$T$2))*N108+SUMIF($I$1:$T$1,B105,$I$2:$T$2)*O108</f>
        <v>0</v>
      </c>
      <c r="P109" s="404">
        <f>(1-SUMIF($I$1:$T$1,B105,$I$2:$T$2))*O108+SUMIF($I$1:$T$1,B105,$I$2:$T$2)*P108</f>
        <v>0</v>
      </c>
      <c r="Q109" s="386">
        <f>(1-SUMIF($I$1:$T$1,B105,$I$2:$T$2))*P108+SUMIF($I$1:$T$1,B105,$I$2:$T$2)*Q108</f>
        <v>0</v>
      </c>
      <c r="R109" s="399">
        <f>(1-SUMIF($I$1:$T$1,B105,$I$2:$T$2))*Q108+SUMIF($I$1:$T$1,B105,$I$2:$T$2)*R108</f>
        <v>0</v>
      </c>
      <c r="S109" s="399">
        <f>(1-SUMIF($I$1:$T$1,B105,$I$2:$T$2))*R108+SUMIF($I$1:$T$1,B105,$I$2:$T$2)*S108</f>
        <v>0</v>
      </c>
      <c r="T109" s="404">
        <f>(1-SUMIF($I$1:$T$1,B105,$I$2:$T$2))*S108+SUMIF($I$1:$T$1,B105,$I$2:$T$2)*T108</f>
        <v>0</v>
      </c>
      <c r="U109" s="386">
        <f>(1-SUMIF($I$1:$T$1,B105,$I$2:$T$2))*T108+SUMIF($I$1:$T$1,B105,$I$2:$T$2)*U108</f>
        <v>0</v>
      </c>
      <c r="V109" s="399">
        <f>(1-SUMIF($I$1:$T$1,B105,$I$2:$T$2))*U108+SUMIF($I$1:$T$1,B105,$I$2:$T$2)*V108</f>
        <v>0</v>
      </c>
      <c r="W109" s="399">
        <f>(1-SUMIF($I$1:$T$1,B105,$I$2:$T$2))*V108+SUMIF($I$1:$T$1,B105,$I$2:$T$2)*W108</f>
        <v>0</v>
      </c>
      <c r="X109" s="404">
        <f>(1-SUMIF($I$1:$T$1,B105,$I$2:$T$2))*W108+SUMIF($I$1:$T$1,B105,$I$2:$T$2)*X108</f>
        <v>0</v>
      </c>
      <c r="Y109" s="386">
        <f>(1-SUMIF($I$1:$T$1,B105,$I$2:$T$2))*X108+SUMIF($I$1:$T$1,B105,$I$2:$T$2)*Y108</f>
        <v>0</v>
      </c>
      <c r="Z109" s="399">
        <f>(1-SUMIF($I$1:$T$1,B105,$I$2:$T$2))*Y108+SUMIF($I$1:$T$1,B105,$I$2:$T$2)*Z108</f>
        <v>0</v>
      </c>
      <c r="AA109" s="399">
        <f>(1-SUMIF($I$1:$T$1,B105,$I$2:$T$2))*Z108+SUMIF($I$1:$T$1,B105,$I$2:$T$2)*AA108</f>
        <v>0</v>
      </c>
      <c r="AB109" s="404">
        <f>(1-SUMIF($I$1:$T$1,B105,$I$2:$T$2))*AA108+SUMIF($I$1:$T$1,B105,$I$2:$T$2)*AB108</f>
        <v>0</v>
      </c>
      <c r="AC109" s="386">
        <f>(1-SUMIF($I$1:$T$1,B105,$I$2:$T$2))*AB108+SUMIF($I$1:$T$1,B105,$I$2:$T$2)*AC108</f>
        <v>0</v>
      </c>
      <c r="AD109" s="399">
        <f>(1-SUMIF($I$1:$T$1,B105,$I$2:$T$2))*AC108+SUMIF($I$1:$T$1,B105,$I$2:$T$2)*AD108</f>
        <v>0</v>
      </c>
      <c r="AE109" s="399">
        <f>(1-SUMIF($I$1:$T$1,B105,$I$2:$T$2))*AD108+SUMIF($I$1:$T$1,B105,$I$2:$T$2)*AE108</f>
        <v>0</v>
      </c>
      <c r="AF109" s="404">
        <f>(1-SUMIF($I$1:$T$1,B105,$I$2:$T$2))*AE108+SUMIF($I$1:$T$1,B105,$I$2:$T$2)*AF108</f>
        <v>0</v>
      </c>
      <c r="AG109" s="386">
        <f>(1-SUMIF($I$1:$T$1,B105,$I$2:$T$2))*AF108+SUMIF($I$1:$T$1,B105,$I$2:$T$2)*AG108</f>
        <v>0</v>
      </c>
      <c r="AH109" s="399">
        <f>(1-SUMIF($I$1:$T$1,B105,$I$2:$T$2))*AG108+SUMIF($I$1:$T$1,B105,$I$2:$T$2)*AH108</f>
        <v>0</v>
      </c>
      <c r="AI109" s="399">
        <f>(1-SUMIF($I$1:$T$1,B105,$I$2:$T$2))*AH108+SUMIF($I$1:$T$1,B105,$I$2:$T$2)*AI108</f>
        <v>0</v>
      </c>
      <c r="AJ109" s="404">
        <f>(1-SUMIF($I$1:$T$1,B105,$I$2:$T$2))*AI108+SUMIF($I$1:$T$1,B105,$I$2:$T$2)*AJ108</f>
        <v>0</v>
      </c>
      <c r="AK109" s="386">
        <f>(1-SUMIF($I$1:$T$1,B105,$I$2:$T$2))*AJ108+SUMIF($I$1:$T$1,B105,$I$2:$T$2)*AK108</f>
        <v>0</v>
      </c>
      <c r="AL109" s="399">
        <f>(1-SUMIF($I$1:$T$1,B105,$I$2:$T$2))*AK108+SUMIF($I$1:$T$1,B105,$I$2:$T$2)*AL108</f>
        <v>0</v>
      </c>
      <c r="AM109" s="399">
        <f>(1-SUMIF($I$1:$T$1,B105,$I$2:$T$2))*AL108+SUMIF($I$1:$T$1,B105,$I$2:$T$2)*AM108</f>
        <v>0</v>
      </c>
      <c r="AN109" s="404">
        <f>(1-SUMIF($I$1:$T$1,B105,$I$2:$T$2))*AM108+SUMIF($I$1:$T$1,B105,$I$2:$T$2)*AN108</f>
        <v>0</v>
      </c>
      <c r="AO109" s="386">
        <f>(1-SUMIF($I$1:$T$1,B105,$I$2:$T$2))*AN108+SUMIF($I$1:$T$1,B105,$I$2:$T$2)*AO108</f>
        <v>0</v>
      </c>
      <c r="AP109" s="399">
        <f>(1-SUMIF($I$1:$T$1,B105,$I$2:$T$2))*AO108+SUMIF($I$1:$T$1,B105,$I$2:$T$2)*AP108</f>
        <v>0</v>
      </c>
      <c r="AQ109" s="399">
        <f>(1-SUMIF($I$1:$T$1,B105,$I$2:$T$2))*AP108+SUMIF($I$1:$T$1,B105,$I$2:$T$2)*AQ108</f>
        <v>0</v>
      </c>
      <c r="AR109" s="404">
        <f>(1-SUMIF($I$1:$T$1,B105,$I$2:$T$2))*AQ108+SUMIF($I$1:$T$1,B105,$I$2:$T$2)*AR108</f>
        <v>0</v>
      </c>
      <c r="AS109" s="386">
        <f>(1-SUMIF($I$1:$T$1,B105,$I$2:$T$2))*AR108+SUMIF($I$1:$T$1,B105,$I$2:$T$2)*AS108</f>
        <v>0</v>
      </c>
      <c r="AT109" s="399">
        <f>(1-SUMIF($I$1:$T$1,B105,$I$2:$T$2))*AS108+SUMIF($I$1:$T$1,B105,$I$2:$T$2)*AT108</f>
        <v>0</v>
      </c>
      <c r="AU109" s="399">
        <f>(1-SUMIF($I$1:$T$1,B105,$I$2:$T$2))*AT108+SUMIF($I$1:$T$1,B105,$I$2:$T$2)*AU108</f>
        <v>0</v>
      </c>
      <c r="AV109" s="404">
        <f>(1-SUMIF($I$1:$T$1,B105,$I$2:$T$2))*AU108+SUMIF($I$1:$T$1,B105,$I$2:$T$2)*AV108</f>
        <v>0</v>
      </c>
      <c r="AW109" s="424">
        <f t="shared" si="107"/>
        <v>0</v>
      </c>
    </row>
    <row r="110" spans="1:49" s="424" customFormat="1" ht="13.5" customHeight="1" outlineLevel="1">
      <c r="A110" s="1944"/>
      <c r="B110" s="1949">
        <f>'9.项目开发计划表'!C10</f>
        <v>0</v>
      </c>
      <c r="C110" s="461" t="s">
        <v>880</v>
      </c>
      <c r="D110" s="457">
        <f>IF(D112=0,0,D113/D112*10000)</f>
        <v>0</v>
      </c>
      <c r="E110" s="475"/>
      <c r="F110" s="476"/>
      <c r="G110" s="476"/>
      <c r="H110" s="477"/>
      <c r="I110" s="475"/>
      <c r="J110" s="475"/>
      <c r="K110" s="475"/>
      <c r="L110" s="475"/>
      <c r="M110" s="475"/>
      <c r="N110" s="475"/>
      <c r="O110" s="475"/>
      <c r="P110" s="475"/>
      <c r="Q110" s="475"/>
      <c r="R110" s="475"/>
      <c r="S110" s="475"/>
      <c r="T110" s="475"/>
      <c r="U110" s="475"/>
      <c r="V110" s="475"/>
      <c r="W110" s="475"/>
      <c r="X110" s="475"/>
      <c r="Y110" s="475"/>
      <c r="Z110" s="475"/>
      <c r="AA110" s="475"/>
      <c r="AB110" s="475"/>
      <c r="AC110" s="475"/>
      <c r="AD110" s="475"/>
      <c r="AE110" s="475"/>
      <c r="AF110" s="475"/>
      <c r="AG110" s="475"/>
      <c r="AH110" s="475"/>
      <c r="AI110" s="475"/>
      <c r="AJ110" s="475"/>
      <c r="AK110" s="475"/>
      <c r="AL110" s="475"/>
      <c r="AM110" s="475"/>
      <c r="AN110" s="475"/>
      <c r="AO110" s="475"/>
      <c r="AP110" s="475"/>
      <c r="AQ110" s="475"/>
      <c r="AR110" s="475"/>
      <c r="AS110" s="475"/>
      <c r="AT110" s="475"/>
      <c r="AU110" s="475"/>
      <c r="AV110" s="475"/>
      <c r="AW110" s="424">
        <f>B110</f>
        <v>0</v>
      </c>
    </row>
    <row r="111" spans="1:49" ht="13.5" customHeight="1" outlineLevel="1">
      <c r="A111" s="1944"/>
      <c r="B111" s="1949"/>
      <c r="C111" s="461" t="s">
        <v>881</v>
      </c>
      <c r="D111" s="462">
        <f t="shared" ref="D111:D114" si="115">SUM(E111:AV111)</f>
        <v>0</v>
      </c>
      <c r="E111" s="482"/>
      <c r="F111" s="483"/>
      <c r="G111" s="483"/>
      <c r="H111" s="484"/>
      <c r="I111" s="482"/>
      <c r="J111" s="482"/>
      <c r="K111" s="482"/>
      <c r="L111" s="482"/>
      <c r="M111" s="482"/>
      <c r="N111" s="482"/>
      <c r="O111" s="482"/>
      <c r="P111" s="482"/>
      <c r="Q111" s="482"/>
      <c r="R111" s="482"/>
      <c r="S111" s="482"/>
      <c r="T111" s="482"/>
      <c r="U111" s="482"/>
      <c r="V111" s="482"/>
      <c r="W111" s="482"/>
      <c r="X111" s="482"/>
      <c r="Y111" s="482"/>
      <c r="Z111" s="482"/>
      <c r="AA111" s="482"/>
      <c r="AB111" s="482"/>
      <c r="AC111" s="482"/>
      <c r="AD111" s="482"/>
      <c r="AE111" s="482"/>
      <c r="AF111" s="482"/>
      <c r="AG111" s="482"/>
      <c r="AH111" s="482"/>
      <c r="AI111" s="482"/>
      <c r="AJ111" s="482"/>
      <c r="AK111" s="482"/>
      <c r="AL111" s="482"/>
      <c r="AM111" s="482"/>
      <c r="AN111" s="482"/>
      <c r="AO111" s="482"/>
      <c r="AP111" s="482"/>
      <c r="AQ111" s="482"/>
      <c r="AR111" s="482"/>
      <c r="AS111" s="482"/>
      <c r="AT111" s="482"/>
      <c r="AU111" s="482"/>
      <c r="AV111" s="482"/>
      <c r="AW111" s="424">
        <f>AW110</f>
        <v>0</v>
      </c>
    </row>
    <row r="112" spans="1:49" s="424" customFormat="1" ht="13.5" customHeight="1" outlineLevel="1">
      <c r="A112" s="1944"/>
      <c r="B112" s="1949"/>
      <c r="C112" s="461" t="s">
        <v>682</v>
      </c>
      <c r="D112" s="466">
        <f t="shared" si="115"/>
        <v>0</v>
      </c>
      <c r="E112" s="382">
        <f>E111*'9.项目开发计划表'!$G$10</f>
        <v>0</v>
      </c>
      <c r="F112" s="397">
        <f>F111*'9.项目开发计划表'!$G$10</f>
        <v>0</v>
      </c>
      <c r="G112" s="397">
        <f>G111*'9.项目开发计划表'!$G$10</f>
        <v>0</v>
      </c>
      <c r="H112" s="467">
        <f>H111*'9.项目开发计划表'!$G$10</f>
        <v>0</v>
      </c>
      <c r="I112" s="382">
        <f>I111*'9.项目开发计划表'!$G$10</f>
        <v>0</v>
      </c>
      <c r="J112" s="397">
        <f>J111*'9.项目开发计划表'!$G$10</f>
        <v>0</v>
      </c>
      <c r="K112" s="397">
        <f>K111*'9.项目开发计划表'!$G$10</f>
        <v>0</v>
      </c>
      <c r="L112" s="467">
        <f>L111*'9.项目开发计划表'!$G$10</f>
        <v>0</v>
      </c>
      <c r="M112" s="382">
        <f>M111*'9.项目开发计划表'!$G$10</f>
        <v>0</v>
      </c>
      <c r="N112" s="397">
        <f>N111*'9.项目开发计划表'!$G$10</f>
        <v>0</v>
      </c>
      <c r="O112" s="397">
        <f>O111*'9.项目开发计划表'!$G$10</f>
        <v>0</v>
      </c>
      <c r="P112" s="467">
        <f>P111*'9.项目开发计划表'!$G$10</f>
        <v>0</v>
      </c>
      <c r="Q112" s="382">
        <f>Q111*'9.项目开发计划表'!$G$10</f>
        <v>0</v>
      </c>
      <c r="R112" s="397">
        <f>R111*'9.项目开发计划表'!$G$10</f>
        <v>0</v>
      </c>
      <c r="S112" s="397">
        <f>S111*'9.项目开发计划表'!$G$10</f>
        <v>0</v>
      </c>
      <c r="T112" s="467">
        <f>T111*'9.项目开发计划表'!$G$10</f>
        <v>0</v>
      </c>
      <c r="U112" s="382">
        <f>U111*'9.项目开发计划表'!$G$10</f>
        <v>0</v>
      </c>
      <c r="V112" s="397">
        <f>V111*'9.项目开发计划表'!$G$10</f>
        <v>0</v>
      </c>
      <c r="W112" s="397">
        <f>W111*'9.项目开发计划表'!$G$10</f>
        <v>0</v>
      </c>
      <c r="X112" s="467">
        <f>X111*'9.项目开发计划表'!$G$10</f>
        <v>0</v>
      </c>
      <c r="Y112" s="382">
        <f>Y111*'9.项目开发计划表'!$G$10</f>
        <v>0</v>
      </c>
      <c r="Z112" s="397">
        <f>Z111*'9.项目开发计划表'!$G$10</f>
        <v>0</v>
      </c>
      <c r="AA112" s="397">
        <f>AA111*'9.项目开发计划表'!$G$10</f>
        <v>0</v>
      </c>
      <c r="AB112" s="467">
        <f>AB111*'9.项目开发计划表'!$G$10</f>
        <v>0</v>
      </c>
      <c r="AC112" s="382">
        <f>AC111*'9.项目开发计划表'!$G$10</f>
        <v>0</v>
      </c>
      <c r="AD112" s="397">
        <f>AD111*'9.项目开发计划表'!$G$10</f>
        <v>0</v>
      </c>
      <c r="AE112" s="397">
        <f>AE111*'9.项目开发计划表'!$G$10</f>
        <v>0</v>
      </c>
      <c r="AF112" s="467">
        <f>AF111*'9.项目开发计划表'!$G$10</f>
        <v>0</v>
      </c>
      <c r="AG112" s="382">
        <f>AG111*'9.项目开发计划表'!$G$10</f>
        <v>0</v>
      </c>
      <c r="AH112" s="397">
        <f>AH111*'9.项目开发计划表'!$G$10</f>
        <v>0</v>
      </c>
      <c r="AI112" s="397">
        <f>AI111*'9.项目开发计划表'!$G$10</f>
        <v>0</v>
      </c>
      <c r="AJ112" s="467">
        <f>AJ111*'9.项目开发计划表'!$G$10</f>
        <v>0</v>
      </c>
      <c r="AK112" s="382">
        <f>AK111*'9.项目开发计划表'!$G$10</f>
        <v>0</v>
      </c>
      <c r="AL112" s="397">
        <f>AL111*'9.项目开发计划表'!$G$10</f>
        <v>0</v>
      </c>
      <c r="AM112" s="397">
        <f>AM111*'9.项目开发计划表'!$G$10</f>
        <v>0</v>
      </c>
      <c r="AN112" s="467">
        <f>AN111*'9.项目开发计划表'!$G$10</f>
        <v>0</v>
      </c>
      <c r="AO112" s="382">
        <f>AO111*'9.项目开发计划表'!$G$10</f>
        <v>0</v>
      </c>
      <c r="AP112" s="397">
        <f>AP111*'9.项目开发计划表'!$G$10</f>
        <v>0</v>
      </c>
      <c r="AQ112" s="397">
        <f>AQ111*'9.项目开发计划表'!$G$10</f>
        <v>0</v>
      </c>
      <c r="AR112" s="467">
        <f>AR111*'9.项目开发计划表'!$G$10</f>
        <v>0</v>
      </c>
      <c r="AS112" s="382">
        <f>AS111*'9.项目开发计划表'!$G$10</f>
        <v>0</v>
      </c>
      <c r="AT112" s="397">
        <f>AT111*'9.项目开发计划表'!$G$10</f>
        <v>0</v>
      </c>
      <c r="AU112" s="397">
        <f>AU111*'9.项目开发计划表'!$G$10</f>
        <v>0</v>
      </c>
      <c r="AV112" s="467">
        <f>AV111*'9.项目开发计划表'!$G$10</f>
        <v>0</v>
      </c>
      <c r="AW112" s="424">
        <f t="shared" si="107"/>
        <v>0</v>
      </c>
    </row>
    <row r="113" spans="1:49" s="424" customFormat="1" ht="13.5" customHeight="1" outlineLevel="1">
      <c r="A113" s="1944"/>
      <c r="B113" s="1949"/>
      <c r="C113" s="461" t="s">
        <v>882</v>
      </c>
      <c r="D113" s="466">
        <f t="shared" si="115"/>
        <v>0</v>
      </c>
      <c r="E113" s="382">
        <f t="shared" ref="E113:AV113" si="116">E110*E112/10000</f>
        <v>0</v>
      </c>
      <c r="F113" s="397">
        <f t="shared" si="116"/>
        <v>0</v>
      </c>
      <c r="G113" s="397">
        <f t="shared" si="116"/>
        <v>0</v>
      </c>
      <c r="H113" s="467">
        <f t="shared" si="116"/>
        <v>0</v>
      </c>
      <c r="I113" s="382">
        <f t="shared" si="116"/>
        <v>0</v>
      </c>
      <c r="J113" s="397">
        <f t="shared" si="116"/>
        <v>0</v>
      </c>
      <c r="K113" s="397">
        <f t="shared" si="116"/>
        <v>0</v>
      </c>
      <c r="L113" s="467">
        <f t="shared" si="116"/>
        <v>0</v>
      </c>
      <c r="M113" s="382">
        <f t="shared" si="116"/>
        <v>0</v>
      </c>
      <c r="N113" s="397">
        <f t="shared" si="116"/>
        <v>0</v>
      </c>
      <c r="O113" s="397">
        <f t="shared" si="116"/>
        <v>0</v>
      </c>
      <c r="P113" s="467">
        <f t="shared" si="116"/>
        <v>0</v>
      </c>
      <c r="Q113" s="382">
        <f t="shared" si="116"/>
        <v>0</v>
      </c>
      <c r="R113" s="397">
        <f t="shared" si="116"/>
        <v>0</v>
      </c>
      <c r="S113" s="397">
        <f t="shared" si="116"/>
        <v>0</v>
      </c>
      <c r="T113" s="467">
        <f t="shared" si="116"/>
        <v>0</v>
      </c>
      <c r="U113" s="382">
        <f t="shared" si="116"/>
        <v>0</v>
      </c>
      <c r="V113" s="397">
        <f t="shared" si="116"/>
        <v>0</v>
      </c>
      <c r="W113" s="397">
        <f t="shared" si="116"/>
        <v>0</v>
      </c>
      <c r="X113" s="467">
        <f t="shared" si="116"/>
        <v>0</v>
      </c>
      <c r="Y113" s="382">
        <f t="shared" si="116"/>
        <v>0</v>
      </c>
      <c r="Z113" s="397">
        <f t="shared" si="116"/>
        <v>0</v>
      </c>
      <c r="AA113" s="397">
        <f t="shared" si="116"/>
        <v>0</v>
      </c>
      <c r="AB113" s="467">
        <f t="shared" si="116"/>
        <v>0</v>
      </c>
      <c r="AC113" s="382">
        <f t="shared" si="116"/>
        <v>0</v>
      </c>
      <c r="AD113" s="397">
        <f t="shared" si="116"/>
        <v>0</v>
      </c>
      <c r="AE113" s="397">
        <f t="shared" si="116"/>
        <v>0</v>
      </c>
      <c r="AF113" s="467">
        <f t="shared" si="116"/>
        <v>0</v>
      </c>
      <c r="AG113" s="382">
        <f t="shared" si="116"/>
        <v>0</v>
      </c>
      <c r="AH113" s="397">
        <f t="shared" si="116"/>
        <v>0</v>
      </c>
      <c r="AI113" s="397">
        <f t="shared" si="116"/>
        <v>0</v>
      </c>
      <c r="AJ113" s="467">
        <f t="shared" si="116"/>
        <v>0</v>
      </c>
      <c r="AK113" s="382">
        <f t="shared" si="116"/>
        <v>0</v>
      </c>
      <c r="AL113" s="397">
        <f t="shared" si="116"/>
        <v>0</v>
      </c>
      <c r="AM113" s="397">
        <f t="shared" si="116"/>
        <v>0</v>
      </c>
      <c r="AN113" s="467">
        <f t="shared" si="116"/>
        <v>0</v>
      </c>
      <c r="AO113" s="382">
        <f t="shared" si="116"/>
        <v>0</v>
      </c>
      <c r="AP113" s="397">
        <f t="shared" si="116"/>
        <v>0</v>
      </c>
      <c r="AQ113" s="397">
        <f t="shared" si="116"/>
        <v>0</v>
      </c>
      <c r="AR113" s="467">
        <f t="shared" si="116"/>
        <v>0</v>
      </c>
      <c r="AS113" s="382">
        <f t="shared" si="116"/>
        <v>0</v>
      </c>
      <c r="AT113" s="397">
        <f t="shared" si="116"/>
        <v>0</v>
      </c>
      <c r="AU113" s="397">
        <f t="shared" si="116"/>
        <v>0</v>
      </c>
      <c r="AV113" s="467">
        <f t="shared" si="116"/>
        <v>0</v>
      </c>
      <c r="AW113" s="424">
        <f t="shared" si="107"/>
        <v>0</v>
      </c>
    </row>
    <row r="114" spans="1:49" s="424" customFormat="1" ht="13.5" customHeight="1" outlineLevel="1">
      <c r="A114" s="1944"/>
      <c r="B114" s="1949"/>
      <c r="C114" s="461" t="s">
        <v>450</v>
      </c>
      <c r="D114" s="468">
        <f t="shared" si="115"/>
        <v>0</v>
      </c>
      <c r="E114" s="386">
        <f>SUMIF($I$1:$T$1,B110,$I$2:$T$2)*E113</f>
        <v>0</v>
      </c>
      <c r="F114" s="399">
        <f>(1-SUMIF($I$1:$T$1,B110,$I$2:$T$2))*E113+SUMIF($I$1:$T$1,B110,$I$2:$T$2)*F113</f>
        <v>0</v>
      </c>
      <c r="G114" s="399">
        <f>(1-SUMIF($I$1:$T$1,B110,$I$2:$T$2))*F113+SUMIF($I$1:$T$1,B110,$I$2:$T$2)*G113</f>
        <v>0</v>
      </c>
      <c r="H114" s="404">
        <f>(1-SUMIF($I$1:$T$1,B110,$I$2:$T$2))*G113+SUMIF($I$1:$T$1,B110,$I$2:$T$2)*H113</f>
        <v>0</v>
      </c>
      <c r="I114" s="386">
        <f>(1-SUMIF($I$1:$T$1,B110,$I$2:$T$2))*H113+SUMIF($I$1:$T$1,B110,$I$2:$T$2)*I113</f>
        <v>0</v>
      </c>
      <c r="J114" s="399">
        <f>(1-SUMIF($I$1:$T$1,B110,$I$2:$T$2))*I113+SUMIF($I$1:$T$1,B110,$I$2:$T$2)*J113</f>
        <v>0</v>
      </c>
      <c r="K114" s="399">
        <f>(1-SUMIF($I$1:$T$1,B110,$I$2:$T$2))*J113+SUMIF($I$1:$T$1,B110,$I$2:$T$2)*K113</f>
        <v>0</v>
      </c>
      <c r="L114" s="404">
        <f>(1-SUMIF($I$1:$T$1,B110,$I$2:$T$2))*K113+SUMIF($I$1:$T$1,B110,$I$2:$T$2)*L113</f>
        <v>0</v>
      </c>
      <c r="M114" s="386">
        <f>(1-SUMIF($I$1:$T$1,B110,$I$2:$T$2))*L113+SUMIF($I$1:$T$1,B110,$I$2:$T$2)*M113</f>
        <v>0</v>
      </c>
      <c r="N114" s="399">
        <f>(1-SUMIF($I$1:$T$1,B110,$I$2:$T$2))*M113+SUMIF($I$1:$T$1,B110,$I$2:$T$2)*N113</f>
        <v>0</v>
      </c>
      <c r="O114" s="399">
        <f>(1-SUMIF($I$1:$T$1,B110,$I$2:$T$2))*N113+SUMIF($I$1:$T$1,B110,$I$2:$T$2)*O113</f>
        <v>0</v>
      </c>
      <c r="P114" s="404">
        <f>(1-SUMIF($I$1:$T$1,B110,$I$2:$T$2))*O113+SUMIF($I$1:$T$1,B110,$I$2:$T$2)*P113</f>
        <v>0</v>
      </c>
      <c r="Q114" s="386">
        <f>(1-SUMIF($I$1:$T$1,B110,$I$2:$T$2))*P113+SUMIF($I$1:$T$1,B110,$I$2:$T$2)*Q113</f>
        <v>0</v>
      </c>
      <c r="R114" s="399">
        <f>(1-SUMIF($I$1:$T$1,B110,$I$2:$T$2))*Q113+SUMIF($I$1:$T$1,B110,$I$2:$T$2)*R113</f>
        <v>0</v>
      </c>
      <c r="S114" s="399">
        <f>(1-SUMIF($I$1:$T$1,B110,$I$2:$T$2))*R113+SUMIF($I$1:$T$1,B110,$I$2:$T$2)*S113</f>
        <v>0</v>
      </c>
      <c r="T114" s="404">
        <f>(1-SUMIF($I$1:$T$1,B110,$I$2:$T$2))*S113+SUMIF($I$1:$T$1,B110,$I$2:$T$2)*T113</f>
        <v>0</v>
      </c>
      <c r="U114" s="386">
        <f>(1-SUMIF($I$1:$T$1,B110,$I$2:$T$2))*T113+SUMIF($I$1:$T$1,B110,$I$2:$T$2)*U113</f>
        <v>0</v>
      </c>
      <c r="V114" s="399">
        <f>(1-SUMIF($I$1:$T$1,B110,$I$2:$T$2))*U113+SUMIF($I$1:$T$1,B110,$I$2:$T$2)*V113</f>
        <v>0</v>
      </c>
      <c r="W114" s="399">
        <f>(1-SUMIF($I$1:$T$1,B110,$I$2:$T$2))*V113+SUMIF($I$1:$T$1,B110,$I$2:$T$2)*W113</f>
        <v>0</v>
      </c>
      <c r="X114" s="404">
        <f>(1-SUMIF($I$1:$T$1,B110,$I$2:$T$2))*W113+SUMIF($I$1:$T$1,B110,$I$2:$T$2)*X113</f>
        <v>0</v>
      </c>
      <c r="Y114" s="386">
        <f>(1-SUMIF($I$1:$T$1,B110,$I$2:$T$2))*X113+SUMIF($I$1:$T$1,B110,$I$2:$T$2)*Y113</f>
        <v>0</v>
      </c>
      <c r="Z114" s="399">
        <f>(1-SUMIF($I$1:$T$1,B110,$I$2:$T$2))*Y113+SUMIF($I$1:$T$1,B110,$I$2:$T$2)*Z113</f>
        <v>0</v>
      </c>
      <c r="AA114" s="399">
        <f>(1-SUMIF($I$1:$T$1,B110,$I$2:$T$2))*Z113+SUMIF($I$1:$T$1,B110,$I$2:$T$2)*AA113</f>
        <v>0</v>
      </c>
      <c r="AB114" s="404">
        <f>(1-SUMIF($I$1:$T$1,B110,$I$2:$T$2))*AA113+SUMIF($I$1:$T$1,B110,$I$2:$T$2)*AB113</f>
        <v>0</v>
      </c>
      <c r="AC114" s="386">
        <f>(1-SUMIF($I$1:$T$1,B110,$I$2:$T$2))*AB113+SUMIF($I$1:$T$1,B110,$I$2:$T$2)*AC113</f>
        <v>0</v>
      </c>
      <c r="AD114" s="399">
        <f>(1-SUMIF($I$1:$T$1,B110,$I$2:$T$2))*AC113+SUMIF($I$1:$T$1,B110,$I$2:$T$2)*AD113</f>
        <v>0</v>
      </c>
      <c r="AE114" s="399">
        <f>(1-SUMIF($I$1:$T$1,B110,$I$2:$T$2))*AD113+SUMIF($I$1:$T$1,B110,$I$2:$T$2)*AE113</f>
        <v>0</v>
      </c>
      <c r="AF114" s="404">
        <f>(1-SUMIF($I$1:$T$1,B110,$I$2:$T$2))*AE113+SUMIF($I$1:$T$1,B110,$I$2:$T$2)*AF113</f>
        <v>0</v>
      </c>
      <c r="AG114" s="386">
        <f>(1-SUMIF($I$1:$T$1,B110,$I$2:$T$2))*AF113+SUMIF($I$1:$T$1,B110,$I$2:$T$2)*AG113</f>
        <v>0</v>
      </c>
      <c r="AH114" s="399">
        <f>(1-SUMIF($I$1:$T$1,B110,$I$2:$T$2))*AG113+SUMIF($I$1:$T$1,B110,$I$2:$T$2)*AH113</f>
        <v>0</v>
      </c>
      <c r="AI114" s="399">
        <f>(1-SUMIF($I$1:$T$1,B110,$I$2:$T$2))*AH113+SUMIF($I$1:$T$1,B110,$I$2:$T$2)*AI113</f>
        <v>0</v>
      </c>
      <c r="AJ114" s="404">
        <f>(1-SUMIF($I$1:$T$1,B110,$I$2:$T$2))*AI113+SUMIF($I$1:$T$1,B110,$I$2:$T$2)*AJ113</f>
        <v>0</v>
      </c>
      <c r="AK114" s="386">
        <f>(1-SUMIF($I$1:$T$1,B110,$I$2:$T$2))*AJ113+SUMIF($I$1:$T$1,B110,$I$2:$T$2)*AK113</f>
        <v>0</v>
      </c>
      <c r="AL114" s="399">
        <f>(1-SUMIF($I$1:$T$1,B110,$I$2:$T$2))*AK113+SUMIF($I$1:$T$1,B110,$I$2:$T$2)*AL113</f>
        <v>0</v>
      </c>
      <c r="AM114" s="399">
        <f>(1-SUMIF($I$1:$T$1,B110,$I$2:$T$2))*AL113+SUMIF($I$1:$T$1,B110,$I$2:$T$2)*AM113</f>
        <v>0</v>
      </c>
      <c r="AN114" s="404">
        <f>(1-SUMIF($I$1:$T$1,B110,$I$2:$T$2))*AM113+SUMIF($I$1:$T$1,B110,$I$2:$T$2)*AN113</f>
        <v>0</v>
      </c>
      <c r="AO114" s="386">
        <f>(1-SUMIF($I$1:$T$1,B110,$I$2:$T$2))*AN113+SUMIF($I$1:$T$1,B110,$I$2:$T$2)*AO113</f>
        <v>0</v>
      </c>
      <c r="AP114" s="399">
        <f>(1-SUMIF($I$1:$T$1,B110,$I$2:$T$2))*AO113+SUMIF($I$1:$T$1,B110,$I$2:$T$2)*AP113</f>
        <v>0</v>
      </c>
      <c r="AQ114" s="399">
        <f>(1-SUMIF($I$1:$T$1,B110,$I$2:$T$2))*AP113+SUMIF($I$1:$T$1,B110,$I$2:$T$2)*AQ113</f>
        <v>0</v>
      </c>
      <c r="AR114" s="404">
        <f>(1-SUMIF($I$1:$T$1,B110,$I$2:$T$2))*AQ113+SUMIF($I$1:$T$1,B110,$I$2:$T$2)*AR113</f>
        <v>0</v>
      </c>
      <c r="AS114" s="386">
        <f>(1-SUMIF($I$1:$T$1,B110,$I$2:$T$2))*AR113+SUMIF($I$1:$T$1,B110,$I$2:$T$2)*AS113</f>
        <v>0</v>
      </c>
      <c r="AT114" s="399">
        <f>(1-SUMIF($I$1:$T$1,B110,$I$2:$T$2))*AS113+SUMIF($I$1:$T$1,B110,$I$2:$T$2)*AT113</f>
        <v>0</v>
      </c>
      <c r="AU114" s="399">
        <f>(1-SUMIF($I$1:$T$1,B110,$I$2:$T$2))*AT113+SUMIF($I$1:$T$1,B110,$I$2:$T$2)*AU113</f>
        <v>0</v>
      </c>
      <c r="AV114" s="404">
        <f>(1-SUMIF($I$1:$T$1,B110,$I$2:$T$2))*AU113+SUMIF($I$1:$T$1,B110,$I$2:$T$2)*AV113</f>
        <v>0</v>
      </c>
      <c r="AW114" s="424">
        <f t="shared" si="107"/>
        <v>0</v>
      </c>
    </row>
    <row r="115" spans="1:49" s="424" customFormat="1" ht="13.5" customHeight="1" outlineLevel="1">
      <c r="A115" s="1944"/>
      <c r="B115" s="1949">
        <f>'9.项目开发计划表'!C11</f>
        <v>0</v>
      </c>
      <c r="C115" s="461" t="s">
        <v>880</v>
      </c>
      <c r="D115" s="457">
        <f>IF(D117=0,0,D118/D117*10000)</f>
        <v>0</v>
      </c>
      <c r="E115" s="475"/>
      <c r="F115" s="476"/>
      <c r="G115" s="476"/>
      <c r="H115" s="477"/>
      <c r="I115" s="475"/>
      <c r="J115" s="476"/>
      <c r="K115" s="476"/>
      <c r="L115" s="477"/>
      <c r="M115" s="475"/>
      <c r="N115" s="476"/>
      <c r="O115" s="476"/>
      <c r="P115" s="477"/>
      <c r="Q115" s="475"/>
      <c r="R115" s="476"/>
      <c r="S115" s="476"/>
      <c r="T115" s="477"/>
      <c r="U115" s="475"/>
      <c r="V115" s="476"/>
      <c r="W115" s="476"/>
      <c r="X115" s="477"/>
      <c r="Y115" s="475"/>
      <c r="Z115" s="476"/>
      <c r="AA115" s="476"/>
      <c r="AB115" s="477"/>
      <c r="AC115" s="475"/>
      <c r="AD115" s="476"/>
      <c r="AE115" s="476"/>
      <c r="AF115" s="477"/>
      <c r="AG115" s="475"/>
      <c r="AH115" s="476"/>
      <c r="AI115" s="476"/>
      <c r="AJ115" s="477"/>
      <c r="AK115" s="475"/>
      <c r="AL115" s="476"/>
      <c r="AM115" s="476"/>
      <c r="AN115" s="477"/>
      <c r="AO115" s="475"/>
      <c r="AP115" s="476"/>
      <c r="AQ115" s="476"/>
      <c r="AR115" s="477"/>
      <c r="AS115" s="475"/>
      <c r="AT115" s="476"/>
      <c r="AU115" s="476"/>
      <c r="AV115" s="477"/>
      <c r="AW115" s="424">
        <f>B115</f>
        <v>0</v>
      </c>
    </row>
    <row r="116" spans="1:49" ht="13.5" customHeight="1" outlineLevel="1">
      <c r="A116" s="1944"/>
      <c r="B116" s="1949"/>
      <c r="C116" s="461" t="s">
        <v>881</v>
      </c>
      <c r="D116" s="462">
        <f t="shared" ref="D116:D119" si="117">SUM(E116:AV116)</f>
        <v>0</v>
      </c>
      <c r="E116" s="482"/>
      <c r="F116" s="483"/>
      <c r="G116" s="483"/>
      <c r="H116" s="484"/>
      <c r="I116" s="482"/>
      <c r="J116" s="483"/>
      <c r="K116" s="483"/>
      <c r="L116" s="484"/>
      <c r="M116" s="482"/>
      <c r="N116" s="483"/>
      <c r="O116" s="483"/>
      <c r="P116" s="484"/>
      <c r="Q116" s="482"/>
      <c r="R116" s="483"/>
      <c r="S116" s="483"/>
      <c r="T116" s="484"/>
      <c r="U116" s="482"/>
      <c r="V116" s="483"/>
      <c r="W116" s="483"/>
      <c r="X116" s="484"/>
      <c r="Y116" s="482"/>
      <c r="Z116" s="483"/>
      <c r="AA116" s="483"/>
      <c r="AB116" s="484"/>
      <c r="AC116" s="482"/>
      <c r="AD116" s="483"/>
      <c r="AE116" s="483"/>
      <c r="AF116" s="484"/>
      <c r="AG116" s="482"/>
      <c r="AH116" s="483"/>
      <c r="AI116" s="483"/>
      <c r="AJ116" s="484"/>
      <c r="AK116" s="482"/>
      <c r="AL116" s="483"/>
      <c r="AM116" s="483"/>
      <c r="AN116" s="484"/>
      <c r="AO116" s="482"/>
      <c r="AP116" s="483"/>
      <c r="AQ116" s="483"/>
      <c r="AR116" s="484"/>
      <c r="AS116" s="482"/>
      <c r="AT116" s="483"/>
      <c r="AU116" s="483"/>
      <c r="AV116" s="484"/>
      <c r="AW116" s="424">
        <f>AW115</f>
        <v>0</v>
      </c>
    </row>
    <row r="117" spans="1:49" s="424" customFormat="1" ht="13.5" customHeight="1" outlineLevel="1">
      <c r="A117" s="1944"/>
      <c r="B117" s="1949"/>
      <c r="C117" s="461" t="s">
        <v>682</v>
      </c>
      <c r="D117" s="466">
        <f t="shared" si="117"/>
        <v>0</v>
      </c>
      <c r="E117" s="382">
        <f>E116*'9.项目开发计划表'!$G$11</f>
        <v>0</v>
      </c>
      <c r="F117" s="397">
        <f>F116*'9.项目开发计划表'!$G$11</f>
        <v>0</v>
      </c>
      <c r="G117" s="397">
        <f>G116*'9.项目开发计划表'!$G$11</f>
        <v>0</v>
      </c>
      <c r="H117" s="467">
        <f>H116*'9.项目开发计划表'!$G$11</f>
        <v>0</v>
      </c>
      <c r="I117" s="382">
        <f>I116*'9.项目开发计划表'!$G$11</f>
        <v>0</v>
      </c>
      <c r="J117" s="397">
        <f>J116*'9.项目开发计划表'!$G$11</f>
        <v>0</v>
      </c>
      <c r="K117" s="397">
        <f>K116*'9.项目开发计划表'!$G$11</f>
        <v>0</v>
      </c>
      <c r="L117" s="467">
        <f>L116*'9.项目开发计划表'!$G$11</f>
        <v>0</v>
      </c>
      <c r="M117" s="382">
        <f>M116*'9.项目开发计划表'!$G$11</f>
        <v>0</v>
      </c>
      <c r="N117" s="397">
        <f>N116*'9.项目开发计划表'!$G$11</f>
        <v>0</v>
      </c>
      <c r="O117" s="397">
        <f>O116*'9.项目开发计划表'!$G$11</f>
        <v>0</v>
      </c>
      <c r="P117" s="467">
        <f>P116*'9.项目开发计划表'!$G$11</f>
        <v>0</v>
      </c>
      <c r="Q117" s="382">
        <f>Q116*'9.项目开发计划表'!$G$11</f>
        <v>0</v>
      </c>
      <c r="R117" s="397">
        <f>R116*'9.项目开发计划表'!$G$11</f>
        <v>0</v>
      </c>
      <c r="S117" s="397">
        <f>S116*'9.项目开发计划表'!$G$11</f>
        <v>0</v>
      </c>
      <c r="T117" s="467">
        <f>T116*'9.项目开发计划表'!$G$11</f>
        <v>0</v>
      </c>
      <c r="U117" s="382">
        <f>U116*'9.项目开发计划表'!$G$11</f>
        <v>0</v>
      </c>
      <c r="V117" s="397">
        <f>V116*'9.项目开发计划表'!$G$11</f>
        <v>0</v>
      </c>
      <c r="W117" s="397">
        <f>W116*'9.项目开发计划表'!$G$11</f>
        <v>0</v>
      </c>
      <c r="X117" s="467">
        <f>X116*'9.项目开发计划表'!$G$11</f>
        <v>0</v>
      </c>
      <c r="Y117" s="382">
        <f>Y116*'9.项目开发计划表'!$G$11</f>
        <v>0</v>
      </c>
      <c r="Z117" s="397">
        <f>Z116*'9.项目开发计划表'!$G$11</f>
        <v>0</v>
      </c>
      <c r="AA117" s="397">
        <f>AA116*'9.项目开发计划表'!$G$11</f>
        <v>0</v>
      </c>
      <c r="AB117" s="467">
        <f>AB116*'9.项目开发计划表'!$G$11</f>
        <v>0</v>
      </c>
      <c r="AC117" s="382">
        <f>AC116*'9.项目开发计划表'!$G$11</f>
        <v>0</v>
      </c>
      <c r="AD117" s="397">
        <f>AD116*'9.项目开发计划表'!$G$11</f>
        <v>0</v>
      </c>
      <c r="AE117" s="397">
        <f>AE116*'9.项目开发计划表'!$G$11</f>
        <v>0</v>
      </c>
      <c r="AF117" s="467">
        <f>AF116*'9.项目开发计划表'!$G$11</f>
        <v>0</v>
      </c>
      <c r="AG117" s="382">
        <f>AG116*'9.项目开发计划表'!$G$11</f>
        <v>0</v>
      </c>
      <c r="AH117" s="397">
        <f>AH116*'9.项目开发计划表'!$G$11</f>
        <v>0</v>
      </c>
      <c r="AI117" s="397">
        <f>AI116*'9.项目开发计划表'!$G$11</f>
        <v>0</v>
      </c>
      <c r="AJ117" s="467">
        <f>AJ116*'9.项目开发计划表'!$G$11</f>
        <v>0</v>
      </c>
      <c r="AK117" s="382">
        <f>AK116*'9.项目开发计划表'!$G$11</f>
        <v>0</v>
      </c>
      <c r="AL117" s="397">
        <f>AL116*'9.项目开发计划表'!$G$11</f>
        <v>0</v>
      </c>
      <c r="AM117" s="397">
        <f>AM116*'9.项目开发计划表'!$G$11</f>
        <v>0</v>
      </c>
      <c r="AN117" s="467">
        <f>AN116*'9.项目开发计划表'!$G$11</f>
        <v>0</v>
      </c>
      <c r="AO117" s="382">
        <f>AO116*'9.项目开发计划表'!$G$11</f>
        <v>0</v>
      </c>
      <c r="AP117" s="397">
        <f>AP116*'9.项目开发计划表'!$G$11</f>
        <v>0</v>
      </c>
      <c r="AQ117" s="397">
        <f>AQ116*'9.项目开发计划表'!$G$11</f>
        <v>0</v>
      </c>
      <c r="AR117" s="467">
        <f>AR116*'9.项目开发计划表'!$G$11</f>
        <v>0</v>
      </c>
      <c r="AS117" s="382">
        <f>AS116*'9.项目开发计划表'!$G$11</f>
        <v>0</v>
      </c>
      <c r="AT117" s="397">
        <f>AT116*'9.项目开发计划表'!$G$11</f>
        <v>0</v>
      </c>
      <c r="AU117" s="397">
        <f>AU116*'9.项目开发计划表'!$G$11</f>
        <v>0</v>
      </c>
      <c r="AV117" s="467">
        <f>AV116*'9.项目开发计划表'!$G$11</f>
        <v>0</v>
      </c>
      <c r="AW117" s="424">
        <f t="shared" si="107"/>
        <v>0</v>
      </c>
    </row>
    <row r="118" spans="1:49" s="424" customFormat="1" ht="13.5" customHeight="1" outlineLevel="1">
      <c r="A118" s="1944"/>
      <c r="B118" s="1949"/>
      <c r="C118" s="461" t="s">
        <v>882</v>
      </c>
      <c r="D118" s="466">
        <f t="shared" si="117"/>
        <v>0</v>
      </c>
      <c r="E118" s="382">
        <f t="shared" ref="E118:AV118" si="118">E115*E117/10000</f>
        <v>0</v>
      </c>
      <c r="F118" s="397">
        <f t="shared" si="118"/>
        <v>0</v>
      </c>
      <c r="G118" s="397">
        <f t="shared" si="118"/>
        <v>0</v>
      </c>
      <c r="H118" s="467">
        <f t="shared" si="118"/>
        <v>0</v>
      </c>
      <c r="I118" s="382">
        <f t="shared" si="118"/>
        <v>0</v>
      </c>
      <c r="J118" s="397">
        <f t="shared" si="118"/>
        <v>0</v>
      </c>
      <c r="K118" s="397">
        <f t="shared" si="118"/>
        <v>0</v>
      </c>
      <c r="L118" s="467">
        <f t="shared" si="118"/>
        <v>0</v>
      </c>
      <c r="M118" s="382">
        <f t="shared" si="118"/>
        <v>0</v>
      </c>
      <c r="N118" s="397">
        <f t="shared" si="118"/>
        <v>0</v>
      </c>
      <c r="O118" s="397">
        <f t="shared" si="118"/>
        <v>0</v>
      </c>
      <c r="P118" s="467">
        <f t="shared" si="118"/>
        <v>0</v>
      </c>
      <c r="Q118" s="382">
        <f t="shared" si="118"/>
        <v>0</v>
      </c>
      <c r="R118" s="397">
        <f t="shared" si="118"/>
        <v>0</v>
      </c>
      <c r="S118" s="397">
        <f t="shared" si="118"/>
        <v>0</v>
      </c>
      <c r="T118" s="467">
        <f t="shared" si="118"/>
        <v>0</v>
      </c>
      <c r="U118" s="382">
        <f t="shared" si="118"/>
        <v>0</v>
      </c>
      <c r="V118" s="397">
        <f t="shared" si="118"/>
        <v>0</v>
      </c>
      <c r="W118" s="397">
        <f t="shared" si="118"/>
        <v>0</v>
      </c>
      <c r="X118" s="467">
        <f t="shared" si="118"/>
        <v>0</v>
      </c>
      <c r="Y118" s="382">
        <f t="shared" si="118"/>
        <v>0</v>
      </c>
      <c r="Z118" s="397">
        <f t="shared" si="118"/>
        <v>0</v>
      </c>
      <c r="AA118" s="397">
        <f t="shared" si="118"/>
        <v>0</v>
      </c>
      <c r="AB118" s="467">
        <f t="shared" si="118"/>
        <v>0</v>
      </c>
      <c r="AC118" s="382">
        <f t="shared" si="118"/>
        <v>0</v>
      </c>
      <c r="AD118" s="397">
        <f t="shared" si="118"/>
        <v>0</v>
      </c>
      <c r="AE118" s="397">
        <f t="shared" si="118"/>
        <v>0</v>
      </c>
      <c r="AF118" s="467">
        <f t="shared" si="118"/>
        <v>0</v>
      </c>
      <c r="AG118" s="382">
        <f t="shared" si="118"/>
        <v>0</v>
      </c>
      <c r="AH118" s="397">
        <f t="shared" si="118"/>
        <v>0</v>
      </c>
      <c r="AI118" s="397">
        <f t="shared" si="118"/>
        <v>0</v>
      </c>
      <c r="AJ118" s="467">
        <f t="shared" si="118"/>
        <v>0</v>
      </c>
      <c r="AK118" s="382">
        <f t="shared" si="118"/>
        <v>0</v>
      </c>
      <c r="AL118" s="397">
        <f t="shared" si="118"/>
        <v>0</v>
      </c>
      <c r="AM118" s="397">
        <f t="shared" si="118"/>
        <v>0</v>
      </c>
      <c r="AN118" s="467">
        <f t="shared" si="118"/>
        <v>0</v>
      </c>
      <c r="AO118" s="382">
        <f t="shared" si="118"/>
        <v>0</v>
      </c>
      <c r="AP118" s="397">
        <f t="shared" si="118"/>
        <v>0</v>
      </c>
      <c r="AQ118" s="397">
        <f t="shared" si="118"/>
        <v>0</v>
      </c>
      <c r="AR118" s="467">
        <f t="shared" si="118"/>
        <v>0</v>
      </c>
      <c r="AS118" s="382">
        <f t="shared" si="118"/>
        <v>0</v>
      </c>
      <c r="AT118" s="397">
        <f t="shared" si="118"/>
        <v>0</v>
      </c>
      <c r="AU118" s="397">
        <f t="shared" si="118"/>
        <v>0</v>
      </c>
      <c r="AV118" s="467">
        <f t="shared" si="118"/>
        <v>0</v>
      </c>
      <c r="AW118" s="424">
        <f t="shared" si="107"/>
        <v>0</v>
      </c>
    </row>
    <row r="119" spans="1:49" s="424" customFormat="1" ht="13.5" customHeight="1" outlineLevel="1">
      <c r="A119" s="1944"/>
      <c r="B119" s="1949"/>
      <c r="C119" s="461" t="s">
        <v>450</v>
      </c>
      <c r="D119" s="468">
        <f t="shared" si="117"/>
        <v>0</v>
      </c>
      <c r="E119" s="386">
        <f>SUMIF($I$1:$T$1,B115,$I$2:$T$2)*E118</f>
        <v>0</v>
      </c>
      <c r="F119" s="399">
        <f>(1-SUMIF($I$1:$T$1,B115,$I$2:$T$2))*E118+SUMIF($I$1:$T$1,B115,$I$2:$T$2)*F118</f>
        <v>0</v>
      </c>
      <c r="G119" s="399">
        <f>(1-SUMIF($I$1:$T$1,B115,$I$2:$T$2))*F118+SUMIF($I$1:$T$1,B115,$I$2:$T$2)*G118</f>
        <v>0</v>
      </c>
      <c r="H119" s="404">
        <f>(1-SUMIF($I$1:$T$1,B115,$I$2:$T$2))*G118+SUMIF($I$1:$T$1,B115,$I$2:$T$2)*H118</f>
        <v>0</v>
      </c>
      <c r="I119" s="386">
        <f>(1-SUMIF($I$1:$T$1,B115,$I$2:$T$2))*H118+SUMIF($I$1:$T$1,B115,$I$2:$T$2)*I118</f>
        <v>0</v>
      </c>
      <c r="J119" s="399">
        <f>(1-SUMIF($I$1:$T$1,B115,$I$2:$T$2))*I118+SUMIF($I$1:$T$1,B115,$I$2:$T$2)*J118</f>
        <v>0</v>
      </c>
      <c r="K119" s="399">
        <f>(1-SUMIF($I$1:$T$1,B115,$I$2:$T$2))*J118+SUMIF($I$1:$T$1,B115,$I$2:$T$2)*K118</f>
        <v>0</v>
      </c>
      <c r="L119" s="404">
        <f>(1-SUMIF($I$1:$T$1,B115,$I$2:$T$2))*K118+SUMIF($I$1:$T$1,B115,$I$2:$T$2)*L118</f>
        <v>0</v>
      </c>
      <c r="M119" s="386">
        <f>(1-SUMIF($I$1:$T$1,B115,$I$2:$T$2))*L118+SUMIF($I$1:$T$1,B115,$I$2:$T$2)*M118</f>
        <v>0</v>
      </c>
      <c r="N119" s="399">
        <f>(1-SUMIF($I$1:$T$1,B115,$I$2:$T$2))*M118+SUMIF($I$1:$T$1,B115,$I$2:$T$2)*N118</f>
        <v>0</v>
      </c>
      <c r="O119" s="399">
        <f>(1-SUMIF($I$1:$T$1,B115,$I$2:$T$2))*N118+SUMIF($I$1:$T$1,B115,$I$2:$T$2)*O118</f>
        <v>0</v>
      </c>
      <c r="P119" s="404">
        <f>(1-SUMIF($I$1:$T$1,B115,$I$2:$T$2))*O118+SUMIF($I$1:$T$1,B115,$I$2:$T$2)*P118</f>
        <v>0</v>
      </c>
      <c r="Q119" s="386">
        <f>(1-SUMIF($I$1:$T$1,B115,$I$2:$T$2))*P118+SUMIF($I$1:$T$1,B115,$I$2:$T$2)*Q118</f>
        <v>0</v>
      </c>
      <c r="R119" s="399">
        <f>(1-SUMIF($I$1:$T$1,B115,$I$2:$T$2))*Q118+SUMIF($I$1:$T$1,B115,$I$2:$T$2)*R118</f>
        <v>0</v>
      </c>
      <c r="S119" s="399">
        <f>(1-SUMIF($I$1:$T$1,B115,$I$2:$T$2))*R118+SUMIF($I$1:$T$1,B115,$I$2:$T$2)*S118</f>
        <v>0</v>
      </c>
      <c r="T119" s="404">
        <f>(1-SUMIF($I$1:$T$1,B115,$I$2:$T$2))*S118+SUMIF($I$1:$T$1,B115,$I$2:$T$2)*T118</f>
        <v>0</v>
      </c>
      <c r="U119" s="386">
        <f>(1-SUMIF($I$1:$T$1,B115,$I$2:$T$2))*T118+SUMIF($I$1:$T$1,B115,$I$2:$T$2)*U118</f>
        <v>0</v>
      </c>
      <c r="V119" s="399">
        <f>(1-SUMIF($I$1:$T$1,B115,$I$2:$T$2))*U118+SUMIF($I$1:$T$1,B115,$I$2:$T$2)*V118</f>
        <v>0</v>
      </c>
      <c r="W119" s="399">
        <f>(1-SUMIF($I$1:$T$1,B115,$I$2:$T$2))*V118+SUMIF($I$1:$T$1,B115,$I$2:$T$2)*W118</f>
        <v>0</v>
      </c>
      <c r="X119" s="404">
        <f>(1-SUMIF($I$1:$T$1,B115,$I$2:$T$2))*W118+SUMIF($I$1:$T$1,B115,$I$2:$T$2)*X118</f>
        <v>0</v>
      </c>
      <c r="Y119" s="386">
        <f>(1-SUMIF($I$1:$T$1,B115,$I$2:$T$2))*X118+SUMIF($I$1:$T$1,B115,$I$2:$T$2)*Y118</f>
        <v>0</v>
      </c>
      <c r="Z119" s="399">
        <f>(1-SUMIF($I$1:$T$1,B115,$I$2:$T$2))*Y118+SUMIF($I$1:$T$1,B115,$I$2:$T$2)*Z118</f>
        <v>0</v>
      </c>
      <c r="AA119" s="399">
        <f>(1-SUMIF($I$1:$T$1,B115,$I$2:$T$2))*Z118+SUMIF($I$1:$T$1,B115,$I$2:$T$2)*AA118</f>
        <v>0</v>
      </c>
      <c r="AB119" s="404">
        <f>(1-SUMIF($I$1:$T$1,B115,$I$2:$T$2))*AA118+SUMIF($I$1:$T$1,B115,$I$2:$T$2)*AB118</f>
        <v>0</v>
      </c>
      <c r="AC119" s="386">
        <f>(1-SUMIF($I$1:$T$1,B115,$I$2:$T$2))*AB118+SUMIF($I$1:$T$1,B115,$I$2:$T$2)*AC118</f>
        <v>0</v>
      </c>
      <c r="AD119" s="399">
        <f>(1-SUMIF($I$1:$T$1,B115,$I$2:$T$2))*AC118+SUMIF($I$1:$T$1,B115,$I$2:$T$2)*AD118</f>
        <v>0</v>
      </c>
      <c r="AE119" s="399">
        <f>(1-SUMIF($I$1:$T$1,B115,$I$2:$T$2))*AD118+SUMIF($I$1:$T$1,B115,$I$2:$T$2)*AE118</f>
        <v>0</v>
      </c>
      <c r="AF119" s="404">
        <f>(1-SUMIF($I$1:$T$1,B115,$I$2:$T$2))*AE118+SUMIF($I$1:$T$1,B115,$I$2:$T$2)*AF118</f>
        <v>0</v>
      </c>
      <c r="AG119" s="386">
        <f>(1-SUMIF($I$1:$T$1,B115,$I$2:$T$2))*AF118+SUMIF($I$1:$T$1,B115,$I$2:$T$2)*AG118</f>
        <v>0</v>
      </c>
      <c r="AH119" s="399">
        <f>(1-SUMIF($I$1:$T$1,B115,$I$2:$T$2))*AG118+SUMIF($I$1:$T$1,B115,$I$2:$T$2)*AH118</f>
        <v>0</v>
      </c>
      <c r="AI119" s="399">
        <f>(1-SUMIF($I$1:$T$1,B115,$I$2:$T$2))*AH118+SUMIF($I$1:$T$1,B115,$I$2:$T$2)*AI118</f>
        <v>0</v>
      </c>
      <c r="AJ119" s="404">
        <f>(1-SUMIF($I$1:$T$1,B115,$I$2:$T$2))*AI118+SUMIF($I$1:$T$1,B115,$I$2:$T$2)*AJ118</f>
        <v>0</v>
      </c>
      <c r="AK119" s="386">
        <f>(1-SUMIF($I$1:$T$1,B115,$I$2:$T$2))*AJ118+SUMIF($I$1:$T$1,B115,$I$2:$T$2)*AK118</f>
        <v>0</v>
      </c>
      <c r="AL119" s="399">
        <f>(1-SUMIF($I$1:$T$1,B115,$I$2:$T$2))*AK118+SUMIF($I$1:$T$1,B115,$I$2:$T$2)*AL118</f>
        <v>0</v>
      </c>
      <c r="AM119" s="399">
        <f>(1-SUMIF($I$1:$T$1,B115,$I$2:$T$2))*AL118+SUMIF($I$1:$T$1,B115,$I$2:$T$2)*AM118</f>
        <v>0</v>
      </c>
      <c r="AN119" s="404">
        <f>(1-SUMIF($I$1:$T$1,B115,$I$2:$T$2))*AM118+SUMIF($I$1:$T$1,B115,$I$2:$T$2)*AN118</f>
        <v>0</v>
      </c>
      <c r="AO119" s="386">
        <f>(1-SUMIF($I$1:$T$1,B115,$I$2:$T$2))*AN118+SUMIF($I$1:$T$1,B115,$I$2:$T$2)*AO118</f>
        <v>0</v>
      </c>
      <c r="AP119" s="399">
        <f>(1-SUMIF($I$1:$T$1,B115,$I$2:$T$2))*AO118+SUMIF($I$1:$T$1,B115,$I$2:$T$2)*AP118</f>
        <v>0</v>
      </c>
      <c r="AQ119" s="399">
        <f>(1-SUMIF($I$1:$T$1,B115,$I$2:$T$2))*AP118+SUMIF($I$1:$T$1,B115,$I$2:$T$2)*AQ118</f>
        <v>0</v>
      </c>
      <c r="AR119" s="404">
        <f>(1-SUMIF($I$1:$T$1,B115,$I$2:$T$2))*AQ118+SUMIF($I$1:$T$1,B115,$I$2:$T$2)*AR118</f>
        <v>0</v>
      </c>
      <c r="AS119" s="386">
        <f>(1-SUMIF($I$1:$T$1,B115,$I$2:$T$2))*AR118+SUMIF($I$1:$T$1,B115,$I$2:$T$2)*AS118</f>
        <v>0</v>
      </c>
      <c r="AT119" s="399">
        <f>(1-SUMIF($I$1:$T$1,B115,$I$2:$T$2))*AS118+SUMIF($I$1:$T$1,B115,$I$2:$T$2)*AT118</f>
        <v>0</v>
      </c>
      <c r="AU119" s="399">
        <f>(1-SUMIF($I$1:$T$1,B115,$I$2:$T$2))*AT118+SUMIF($I$1:$T$1,B115,$I$2:$T$2)*AU118</f>
        <v>0</v>
      </c>
      <c r="AV119" s="404">
        <f>(1-SUMIF($I$1:$T$1,B115,$I$2:$T$2))*AU118+SUMIF($I$1:$T$1,B115,$I$2:$T$2)*AV118</f>
        <v>0</v>
      </c>
      <c r="AW119" s="424">
        <f t="shared" si="107"/>
        <v>0</v>
      </c>
    </row>
    <row r="120" spans="1:49" s="424" customFormat="1" ht="13.5" customHeight="1" outlineLevel="1">
      <c r="A120" s="1944"/>
      <c r="B120" s="1949">
        <f>'9.项目开发计划表'!C12</f>
        <v>0</v>
      </c>
      <c r="C120" s="461" t="s">
        <v>880</v>
      </c>
      <c r="D120" s="457">
        <f>IF(D122=0,0,D123/D122*10000)</f>
        <v>0</v>
      </c>
      <c r="E120" s="475"/>
      <c r="F120" s="476"/>
      <c r="G120" s="476"/>
      <c r="H120" s="477"/>
      <c r="I120" s="475"/>
      <c r="J120" s="476"/>
      <c r="K120" s="476"/>
      <c r="L120" s="477"/>
      <c r="M120" s="475"/>
      <c r="N120" s="476"/>
      <c r="O120" s="476"/>
      <c r="P120" s="477"/>
      <c r="Q120" s="475"/>
      <c r="R120" s="476"/>
      <c r="S120" s="476"/>
      <c r="T120" s="477"/>
      <c r="U120" s="475"/>
      <c r="V120" s="476"/>
      <c r="W120" s="476"/>
      <c r="X120" s="477"/>
      <c r="Y120" s="475"/>
      <c r="Z120" s="476"/>
      <c r="AA120" s="476"/>
      <c r="AB120" s="477"/>
      <c r="AC120" s="475"/>
      <c r="AD120" s="476"/>
      <c r="AE120" s="476"/>
      <c r="AF120" s="477"/>
      <c r="AG120" s="475"/>
      <c r="AH120" s="476"/>
      <c r="AI120" s="476"/>
      <c r="AJ120" s="477"/>
      <c r="AK120" s="475"/>
      <c r="AL120" s="476"/>
      <c r="AM120" s="476"/>
      <c r="AN120" s="477"/>
      <c r="AO120" s="475"/>
      <c r="AP120" s="476"/>
      <c r="AQ120" s="476"/>
      <c r="AR120" s="477"/>
      <c r="AS120" s="475"/>
      <c r="AT120" s="476"/>
      <c r="AU120" s="476"/>
      <c r="AV120" s="477"/>
      <c r="AW120" s="424">
        <f>B120</f>
        <v>0</v>
      </c>
    </row>
    <row r="121" spans="1:49" ht="13.5" customHeight="1" outlineLevel="1">
      <c r="A121" s="1944"/>
      <c r="B121" s="1949"/>
      <c r="C121" s="461" t="s">
        <v>881</v>
      </c>
      <c r="D121" s="462">
        <f t="shared" ref="D121:D124" si="119">SUM(E121:AV121)</f>
        <v>0</v>
      </c>
      <c r="E121" s="482"/>
      <c r="F121" s="483"/>
      <c r="G121" s="483"/>
      <c r="H121" s="484"/>
      <c r="I121" s="482"/>
      <c r="J121" s="483"/>
      <c r="K121" s="483"/>
      <c r="L121" s="484"/>
      <c r="M121" s="482"/>
      <c r="N121" s="483"/>
      <c r="O121" s="483"/>
      <c r="P121" s="484"/>
      <c r="Q121" s="482"/>
      <c r="R121" s="483"/>
      <c r="S121" s="483"/>
      <c r="T121" s="484"/>
      <c r="U121" s="482"/>
      <c r="V121" s="483"/>
      <c r="W121" s="483"/>
      <c r="X121" s="484"/>
      <c r="Y121" s="482"/>
      <c r="Z121" s="483"/>
      <c r="AA121" s="483"/>
      <c r="AB121" s="484"/>
      <c r="AC121" s="482"/>
      <c r="AD121" s="483"/>
      <c r="AE121" s="483"/>
      <c r="AF121" s="484"/>
      <c r="AG121" s="482"/>
      <c r="AH121" s="483"/>
      <c r="AI121" s="483"/>
      <c r="AJ121" s="484"/>
      <c r="AK121" s="482"/>
      <c r="AL121" s="483"/>
      <c r="AM121" s="483"/>
      <c r="AN121" s="484"/>
      <c r="AO121" s="482"/>
      <c r="AP121" s="483"/>
      <c r="AQ121" s="483"/>
      <c r="AR121" s="484"/>
      <c r="AS121" s="482"/>
      <c r="AT121" s="483"/>
      <c r="AU121" s="483"/>
      <c r="AV121" s="484"/>
      <c r="AW121" s="424">
        <f>AW120</f>
        <v>0</v>
      </c>
    </row>
    <row r="122" spans="1:49" s="424" customFormat="1" ht="13.5" customHeight="1" outlineLevel="1">
      <c r="A122" s="1944"/>
      <c r="B122" s="1949"/>
      <c r="C122" s="461" t="s">
        <v>682</v>
      </c>
      <c r="D122" s="466">
        <f t="shared" si="119"/>
        <v>0</v>
      </c>
      <c r="E122" s="382">
        <f>E121*'9.项目开发计划表'!$G$12</f>
        <v>0</v>
      </c>
      <c r="F122" s="397">
        <f>F121*'9.项目开发计划表'!$G$12</f>
        <v>0</v>
      </c>
      <c r="G122" s="397">
        <f>G121*'9.项目开发计划表'!$G$12</f>
        <v>0</v>
      </c>
      <c r="H122" s="467">
        <f>H121*'9.项目开发计划表'!$G$12</f>
        <v>0</v>
      </c>
      <c r="I122" s="382">
        <f>I121*'9.项目开发计划表'!$G$12</f>
        <v>0</v>
      </c>
      <c r="J122" s="397">
        <f>J121*'9.项目开发计划表'!$G$12</f>
        <v>0</v>
      </c>
      <c r="K122" s="397">
        <f>K121*'9.项目开发计划表'!$G$12</f>
        <v>0</v>
      </c>
      <c r="L122" s="467">
        <f>L121*'9.项目开发计划表'!$G$12</f>
        <v>0</v>
      </c>
      <c r="M122" s="382">
        <f>M121*'9.项目开发计划表'!$G$12</f>
        <v>0</v>
      </c>
      <c r="N122" s="397">
        <f>N121*'9.项目开发计划表'!$G$12</f>
        <v>0</v>
      </c>
      <c r="O122" s="397">
        <f>O121*'9.项目开发计划表'!$G$12</f>
        <v>0</v>
      </c>
      <c r="P122" s="467">
        <f>P121*'9.项目开发计划表'!$G$12</f>
        <v>0</v>
      </c>
      <c r="Q122" s="382">
        <f>Q121*'9.项目开发计划表'!$G$12</f>
        <v>0</v>
      </c>
      <c r="R122" s="397">
        <f>R121*'9.项目开发计划表'!$G$12</f>
        <v>0</v>
      </c>
      <c r="S122" s="397">
        <f>S121*'9.项目开发计划表'!$G$12</f>
        <v>0</v>
      </c>
      <c r="T122" s="467">
        <f>T121*'9.项目开发计划表'!$G$12</f>
        <v>0</v>
      </c>
      <c r="U122" s="382">
        <f>U121*'9.项目开发计划表'!$G$12</f>
        <v>0</v>
      </c>
      <c r="V122" s="397">
        <f>V121*'9.项目开发计划表'!$G$12</f>
        <v>0</v>
      </c>
      <c r="W122" s="397">
        <f>W121*'9.项目开发计划表'!$G$12</f>
        <v>0</v>
      </c>
      <c r="X122" s="467">
        <f>X121*'9.项目开发计划表'!$G$12</f>
        <v>0</v>
      </c>
      <c r="Y122" s="382">
        <f>Y121*'9.项目开发计划表'!$G$12</f>
        <v>0</v>
      </c>
      <c r="Z122" s="397">
        <f>Z121*'9.项目开发计划表'!$G$12</f>
        <v>0</v>
      </c>
      <c r="AA122" s="397">
        <f>AA121*'9.项目开发计划表'!$G$12</f>
        <v>0</v>
      </c>
      <c r="AB122" s="467">
        <f>AB121*'9.项目开发计划表'!$G$12</f>
        <v>0</v>
      </c>
      <c r="AC122" s="382">
        <f>AC121*'9.项目开发计划表'!$G$12</f>
        <v>0</v>
      </c>
      <c r="AD122" s="397">
        <f>AD121*'9.项目开发计划表'!$G$12</f>
        <v>0</v>
      </c>
      <c r="AE122" s="397">
        <f>AE121*'9.项目开发计划表'!$G$12</f>
        <v>0</v>
      </c>
      <c r="AF122" s="467">
        <f>AF121*'9.项目开发计划表'!$G$12</f>
        <v>0</v>
      </c>
      <c r="AG122" s="382">
        <f>AG121*'9.项目开发计划表'!$G$12</f>
        <v>0</v>
      </c>
      <c r="AH122" s="397">
        <f>AH121*'9.项目开发计划表'!$G$12</f>
        <v>0</v>
      </c>
      <c r="AI122" s="397">
        <f>AI121*'9.项目开发计划表'!$G$12</f>
        <v>0</v>
      </c>
      <c r="AJ122" s="467">
        <f>AJ121*'9.项目开发计划表'!$G$12</f>
        <v>0</v>
      </c>
      <c r="AK122" s="382">
        <f>AK121*'9.项目开发计划表'!$G$12</f>
        <v>0</v>
      </c>
      <c r="AL122" s="397">
        <f>AL121*'9.项目开发计划表'!$G$12</f>
        <v>0</v>
      </c>
      <c r="AM122" s="397">
        <f>AM121*'9.项目开发计划表'!$G$12</f>
        <v>0</v>
      </c>
      <c r="AN122" s="467">
        <f>AN121*'9.项目开发计划表'!$G$12</f>
        <v>0</v>
      </c>
      <c r="AO122" s="382">
        <f>AO121*'9.项目开发计划表'!$G$12</f>
        <v>0</v>
      </c>
      <c r="AP122" s="397">
        <f>AP121*'9.项目开发计划表'!$G$12</f>
        <v>0</v>
      </c>
      <c r="AQ122" s="397">
        <f>AQ121*'9.项目开发计划表'!$G$12</f>
        <v>0</v>
      </c>
      <c r="AR122" s="467">
        <f>AR121*'9.项目开发计划表'!$G$12</f>
        <v>0</v>
      </c>
      <c r="AS122" s="382">
        <f>AS121*'9.项目开发计划表'!$G$12</f>
        <v>0</v>
      </c>
      <c r="AT122" s="397">
        <f>AT121*'9.项目开发计划表'!$G$12</f>
        <v>0</v>
      </c>
      <c r="AU122" s="397">
        <f>AU121*'9.项目开发计划表'!$G$12</f>
        <v>0</v>
      </c>
      <c r="AV122" s="467">
        <f>AV121*'9.项目开发计划表'!$G$12</f>
        <v>0</v>
      </c>
      <c r="AW122" s="424">
        <f t="shared" si="107"/>
        <v>0</v>
      </c>
    </row>
    <row r="123" spans="1:49" s="424" customFormat="1" ht="13.5" customHeight="1" outlineLevel="1">
      <c r="A123" s="1944"/>
      <c r="B123" s="1949"/>
      <c r="C123" s="461" t="s">
        <v>882</v>
      </c>
      <c r="D123" s="466">
        <f t="shared" si="119"/>
        <v>0</v>
      </c>
      <c r="E123" s="382">
        <f t="shared" ref="E123:AV123" si="120">E120*E122/10000</f>
        <v>0</v>
      </c>
      <c r="F123" s="397">
        <f t="shared" si="120"/>
        <v>0</v>
      </c>
      <c r="G123" s="397">
        <f t="shared" si="120"/>
        <v>0</v>
      </c>
      <c r="H123" s="467">
        <f t="shared" si="120"/>
        <v>0</v>
      </c>
      <c r="I123" s="382">
        <f t="shared" si="120"/>
        <v>0</v>
      </c>
      <c r="J123" s="397">
        <f t="shared" si="120"/>
        <v>0</v>
      </c>
      <c r="K123" s="397">
        <f t="shared" si="120"/>
        <v>0</v>
      </c>
      <c r="L123" s="467">
        <f t="shared" si="120"/>
        <v>0</v>
      </c>
      <c r="M123" s="382">
        <f t="shared" si="120"/>
        <v>0</v>
      </c>
      <c r="N123" s="397">
        <f t="shared" si="120"/>
        <v>0</v>
      </c>
      <c r="O123" s="397">
        <f t="shared" si="120"/>
        <v>0</v>
      </c>
      <c r="P123" s="467">
        <f t="shared" si="120"/>
        <v>0</v>
      </c>
      <c r="Q123" s="382">
        <f t="shared" si="120"/>
        <v>0</v>
      </c>
      <c r="R123" s="397">
        <f t="shared" si="120"/>
        <v>0</v>
      </c>
      <c r="S123" s="397">
        <f t="shared" si="120"/>
        <v>0</v>
      </c>
      <c r="T123" s="467">
        <f t="shared" si="120"/>
        <v>0</v>
      </c>
      <c r="U123" s="382">
        <f t="shared" si="120"/>
        <v>0</v>
      </c>
      <c r="V123" s="397">
        <f t="shared" si="120"/>
        <v>0</v>
      </c>
      <c r="W123" s="397">
        <f t="shared" si="120"/>
        <v>0</v>
      </c>
      <c r="X123" s="467">
        <f t="shared" si="120"/>
        <v>0</v>
      </c>
      <c r="Y123" s="382">
        <f t="shared" si="120"/>
        <v>0</v>
      </c>
      <c r="Z123" s="397">
        <f t="shared" si="120"/>
        <v>0</v>
      </c>
      <c r="AA123" s="397">
        <f t="shared" si="120"/>
        <v>0</v>
      </c>
      <c r="AB123" s="467">
        <f t="shared" si="120"/>
        <v>0</v>
      </c>
      <c r="AC123" s="382">
        <f t="shared" si="120"/>
        <v>0</v>
      </c>
      <c r="AD123" s="397">
        <f t="shared" si="120"/>
        <v>0</v>
      </c>
      <c r="AE123" s="397">
        <f t="shared" si="120"/>
        <v>0</v>
      </c>
      <c r="AF123" s="467">
        <f t="shared" si="120"/>
        <v>0</v>
      </c>
      <c r="AG123" s="382">
        <f t="shared" si="120"/>
        <v>0</v>
      </c>
      <c r="AH123" s="397">
        <f t="shared" si="120"/>
        <v>0</v>
      </c>
      <c r="AI123" s="397">
        <f t="shared" si="120"/>
        <v>0</v>
      </c>
      <c r="AJ123" s="467">
        <f t="shared" si="120"/>
        <v>0</v>
      </c>
      <c r="AK123" s="382">
        <f t="shared" si="120"/>
        <v>0</v>
      </c>
      <c r="AL123" s="397">
        <f t="shared" si="120"/>
        <v>0</v>
      </c>
      <c r="AM123" s="397">
        <f t="shared" si="120"/>
        <v>0</v>
      </c>
      <c r="AN123" s="467">
        <f t="shared" si="120"/>
        <v>0</v>
      </c>
      <c r="AO123" s="382">
        <f t="shared" si="120"/>
        <v>0</v>
      </c>
      <c r="AP123" s="397">
        <f t="shared" si="120"/>
        <v>0</v>
      </c>
      <c r="AQ123" s="397">
        <f t="shared" si="120"/>
        <v>0</v>
      </c>
      <c r="AR123" s="467">
        <f t="shared" si="120"/>
        <v>0</v>
      </c>
      <c r="AS123" s="382">
        <f t="shared" si="120"/>
        <v>0</v>
      </c>
      <c r="AT123" s="397">
        <f t="shared" si="120"/>
        <v>0</v>
      </c>
      <c r="AU123" s="397">
        <f t="shared" si="120"/>
        <v>0</v>
      </c>
      <c r="AV123" s="467">
        <f t="shared" si="120"/>
        <v>0</v>
      </c>
      <c r="AW123" s="424">
        <f t="shared" si="107"/>
        <v>0</v>
      </c>
    </row>
    <row r="124" spans="1:49" s="424" customFormat="1" ht="13.5" customHeight="1" outlineLevel="1">
      <c r="A124" s="1944"/>
      <c r="B124" s="1949"/>
      <c r="C124" s="461" t="s">
        <v>450</v>
      </c>
      <c r="D124" s="468">
        <f t="shared" si="119"/>
        <v>0</v>
      </c>
      <c r="E124" s="386">
        <f>SUMIF($I$1:$T$1,B120,$I$2:$T$2)*E123</f>
        <v>0</v>
      </c>
      <c r="F124" s="399">
        <f>(1-SUMIF($I$1:$T$1,B120,$I$2:$T$2))*E123+SUMIF($I$1:$T$1,B120,$I$2:$T$2)*F123</f>
        <v>0</v>
      </c>
      <c r="G124" s="399">
        <f>(1-SUMIF($I$1:$T$1,B120,$I$2:$T$2))*F123+SUMIF($I$1:$T$1,B120,$I$2:$T$2)*G123</f>
        <v>0</v>
      </c>
      <c r="H124" s="404">
        <f>(1-SUMIF($I$1:$T$1,B120,$I$2:$T$2))*G123+SUMIF($I$1:$T$1,B120,$I$2:$T$2)*H123</f>
        <v>0</v>
      </c>
      <c r="I124" s="386">
        <f>(1-SUMIF($I$1:$T$1,B120,$I$2:$T$2))*H123+SUMIF($I$1:$T$1,B120,$I$2:$T$2)*I123</f>
        <v>0</v>
      </c>
      <c r="J124" s="399">
        <f>(1-SUMIF($I$1:$T$1,B120,$I$2:$T$2))*I123+SUMIF($I$1:$T$1,B120,$I$2:$T$2)*J123</f>
        <v>0</v>
      </c>
      <c r="K124" s="399">
        <f>(1-SUMIF($I$1:$T$1,B120,$I$2:$T$2))*J123+SUMIF($I$1:$T$1,B120,$I$2:$T$2)*K123</f>
        <v>0</v>
      </c>
      <c r="L124" s="404">
        <f>(1-SUMIF($I$1:$T$1,B120,$I$2:$T$2))*K123+SUMIF($I$1:$T$1,B120,$I$2:$T$2)*L123</f>
        <v>0</v>
      </c>
      <c r="M124" s="386">
        <f>(1-SUMIF($I$1:$T$1,B120,$I$2:$T$2))*L123+SUMIF($I$1:$T$1,B120,$I$2:$T$2)*M123</f>
        <v>0</v>
      </c>
      <c r="N124" s="399">
        <f>(1-SUMIF($I$1:$T$1,B120,$I$2:$T$2))*M123+SUMIF($I$1:$T$1,B120,$I$2:$T$2)*N123</f>
        <v>0</v>
      </c>
      <c r="O124" s="399">
        <f>(1-SUMIF($I$1:$T$1,B120,$I$2:$T$2))*N123+SUMIF($I$1:$T$1,B120,$I$2:$T$2)*O123</f>
        <v>0</v>
      </c>
      <c r="P124" s="404">
        <f>(1-SUMIF($I$1:$T$1,B120,$I$2:$T$2))*O123+SUMIF($I$1:$T$1,B120,$I$2:$T$2)*P123</f>
        <v>0</v>
      </c>
      <c r="Q124" s="386">
        <f>(1-SUMIF($I$1:$T$1,B120,$I$2:$T$2))*P123+SUMIF($I$1:$T$1,B120,$I$2:$T$2)*Q123</f>
        <v>0</v>
      </c>
      <c r="R124" s="399">
        <f>(1-SUMIF($I$1:$T$1,B120,$I$2:$T$2))*Q123+SUMIF($I$1:$T$1,B120,$I$2:$T$2)*R123</f>
        <v>0</v>
      </c>
      <c r="S124" s="399">
        <f>(1-SUMIF($I$1:$T$1,B120,$I$2:$T$2))*R123+SUMIF($I$1:$T$1,B120,$I$2:$T$2)*S123</f>
        <v>0</v>
      </c>
      <c r="T124" s="404">
        <f>(1-SUMIF($I$1:$T$1,B120,$I$2:$T$2))*S123+SUMIF($I$1:$T$1,B120,$I$2:$T$2)*T123</f>
        <v>0</v>
      </c>
      <c r="U124" s="386">
        <f>(1-SUMIF($I$1:$T$1,B120,$I$2:$T$2))*T123+SUMIF($I$1:$T$1,B120,$I$2:$T$2)*U123</f>
        <v>0</v>
      </c>
      <c r="V124" s="399">
        <f>(1-SUMIF($I$1:$T$1,B120,$I$2:$T$2))*U123+SUMIF($I$1:$T$1,B120,$I$2:$T$2)*V123</f>
        <v>0</v>
      </c>
      <c r="W124" s="399">
        <f>(1-SUMIF($I$1:$T$1,B120,$I$2:$T$2))*V123+SUMIF($I$1:$T$1,B120,$I$2:$T$2)*W123</f>
        <v>0</v>
      </c>
      <c r="X124" s="404">
        <f>(1-SUMIF($I$1:$T$1,B120,$I$2:$T$2))*W123+SUMIF($I$1:$T$1,B120,$I$2:$T$2)*X123</f>
        <v>0</v>
      </c>
      <c r="Y124" s="386">
        <f>(1-SUMIF($I$1:$T$1,B120,$I$2:$T$2))*X123+SUMIF($I$1:$T$1,B120,$I$2:$T$2)*Y123</f>
        <v>0</v>
      </c>
      <c r="Z124" s="399">
        <f>(1-SUMIF($I$1:$T$1,B120,$I$2:$T$2))*Y123+SUMIF($I$1:$T$1,B120,$I$2:$T$2)*Z123</f>
        <v>0</v>
      </c>
      <c r="AA124" s="399">
        <f>(1-SUMIF($I$1:$T$1,B120,$I$2:$T$2))*Z123+SUMIF($I$1:$T$1,B120,$I$2:$T$2)*AA123</f>
        <v>0</v>
      </c>
      <c r="AB124" s="404">
        <f>(1-SUMIF($I$1:$T$1,B120,$I$2:$T$2))*AA123+SUMIF($I$1:$T$1,B120,$I$2:$T$2)*AB123</f>
        <v>0</v>
      </c>
      <c r="AC124" s="386">
        <f>(1-SUMIF($I$1:$T$1,B120,$I$2:$T$2))*AB123+SUMIF($I$1:$T$1,B120,$I$2:$T$2)*AC123</f>
        <v>0</v>
      </c>
      <c r="AD124" s="399">
        <f>(1-SUMIF($I$1:$T$1,B120,$I$2:$T$2))*AC123+SUMIF($I$1:$T$1,B120,$I$2:$T$2)*AD123</f>
        <v>0</v>
      </c>
      <c r="AE124" s="399">
        <f>(1-SUMIF($I$1:$T$1,B120,$I$2:$T$2))*AD123+SUMIF($I$1:$T$1,B120,$I$2:$T$2)*AE123</f>
        <v>0</v>
      </c>
      <c r="AF124" s="404">
        <f>(1-SUMIF($I$1:$T$1,B120,$I$2:$T$2))*AE123+SUMIF($I$1:$T$1,B120,$I$2:$T$2)*AF123</f>
        <v>0</v>
      </c>
      <c r="AG124" s="386">
        <f>(1-SUMIF($I$1:$T$1,B120,$I$2:$T$2))*AF123+SUMIF($I$1:$T$1,B120,$I$2:$T$2)*AG123</f>
        <v>0</v>
      </c>
      <c r="AH124" s="399">
        <f>(1-SUMIF($I$1:$T$1,B120,$I$2:$T$2))*AG123+SUMIF($I$1:$T$1,B120,$I$2:$T$2)*AH123</f>
        <v>0</v>
      </c>
      <c r="AI124" s="399">
        <f>(1-SUMIF($I$1:$T$1,B120,$I$2:$T$2))*AH123+SUMIF($I$1:$T$1,B120,$I$2:$T$2)*AI123</f>
        <v>0</v>
      </c>
      <c r="AJ124" s="404">
        <f>(1-SUMIF($I$1:$T$1,B120,$I$2:$T$2))*AI123+SUMIF($I$1:$T$1,B120,$I$2:$T$2)*AJ123</f>
        <v>0</v>
      </c>
      <c r="AK124" s="386">
        <f>(1-SUMIF($I$1:$T$1,B120,$I$2:$T$2))*AJ123+SUMIF($I$1:$T$1,B120,$I$2:$T$2)*AK123</f>
        <v>0</v>
      </c>
      <c r="AL124" s="399">
        <f>(1-SUMIF($I$1:$T$1,B120,$I$2:$T$2))*AK123+SUMIF($I$1:$T$1,B120,$I$2:$T$2)*AL123</f>
        <v>0</v>
      </c>
      <c r="AM124" s="399">
        <f>(1-SUMIF($I$1:$T$1,B120,$I$2:$T$2))*AL123+SUMIF($I$1:$T$1,B120,$I$2:$T$2)*AM123</f>
        <v>0</v>
      </c>
      <c r="AN124" s="404">
        <f>(1-SUMIF($I$1:$T$1,B120,$I$2:$T$2))*AM123+SUMIF($I$1:$T$1,B120,$I$2:$T$2)*AN123</f>
        <v>0</v>
      </c>
      <c r="AO124" s="386">
        <f>(1-SUMIF($I$1:$T$1,B120,$I$2:$T$2))*AN123+SUMIF($I$1:$T$1,B120,$I$2:$T$2)*AO123</f>
        <v>0</v>
      </c>
      <c r="AP124" s="399">
        <f>(1-SUMIF($I$1:$T$1,B120,$I$2:$T$2))*AO123+SUMIF($I$1:$T$1,B120,$I$2:$T$2)*AP123</f>
        <v>0</v>
      </c>
      <c r="AQ124" s="399">
        <f>(1-SUMIF($I$1:$T$1,B120,$I$2:$T$2))*AP123+SUMIF($I$1:$T$1,B120,$I$2:$T$2)*AQ123</f>
        <v>0</v>
      </c>
      <c r="AR124" s="404">
        <f>(1-SUMIF($I$1:$T$1,B120,$I$2:$T$2))*AQ123+SUMIF($I$1:$T$1,B120,$I$2:$T$2)*AR123</f>
        <v>0</v>
      </c>
      <c r="AS124" s="386">
        <f>(1-SUMIF($I$1:$T$1,B120,$I$2:$T$2))*AR123+SUMIF($I$1:$T$1,B120,$I$2:$T$2)*AS123</f>
        <v>0</v>
      </c>
      <c r="AT124" s="399">
        <f>(1-SUMIF($I$1:$T$1,B120,$I$2:$T$2))*AS123+SUMIF($I$1:$T$1,B120,$I$2:$T$2)*AT123</f>
        <v>0</v>
      </c>
      <c r="AU124" s="399">
        <f>(1-SUMIF($I$1:$T$1,B120,$I$2:$T$2))*AT123+SUMIF($I$1:$T$1,B120,$I$2:$T$2)*AU123</f>
        <v>0</v>
      </c>
      <c r="AV124" s="404">
        <f>(1-SUMIF($I$1:$T$1,B120,$I$2:$T$2))*AU123+SUMIF($I$1:$T$1,B120,$I$2:$T$2)*AV123</f>
        <v>0</v>
      </c>
      <c r="AW124" s="424">
        <f t="shared" si="107"/>
        <v>0</v>
      </c>
    </row>
    <row r="125" spans="1:49" s="424" customFormat="1" ht="13.5" customHeight="1" outlineLevel="1">
      <c r="A125" s="1944"/>
      <c r="B125" s="1949">
        <f>'9.项目开发计划表'!C13</f>
        <v>0</v>
      </c>
      <c r="C125" s="461" t="s">
        <v>880</v>
      </c>
      <c r="D125" s="457">
        <f>IF(D127=0,0,D128/D127*10000)</f>
        <v>0</v>
      </c>
      <c r="E125" s="475"/>
      <c r="F125" s="476"/>
      <c r="G125" s="476"/>
      <c r="H125" s="477"/>
      <c r="I125" s="475"/>
      <c r="J125" s="476"/>
      <c r="K125" s="476"/>
      <c r="L125" s="477"/>
      <c r="M125" s="475"/>
      <c r="N125" s="476"/>
      <c r="O125" s="476"/>
      <c r="P125" s="477"/>
      <c r="Q125" s="475"/>
      <c r="R125" s="476"/>
      <c r="S125" s="476"/>
      <c r="T125" s="477"/>
      <c r="U125" s="475"/>
      <c r="V125" s="476"/>
      <c r="W125" s="476"/>
      <c r="X125" s="477"/>
      <c r="Y125" s="475"/>
      <c r="Z125" s="476"/>
      <c r="AA125" s="476"/>
      <c r="AB125" s="477"/>
      <c r="AC125" s="475"/>
      <c r="AD125" s="476"/>
      <c r="AE125" s="476"/>
      <c r="AF125" s="477"/>
      <c r="AG125" s="475"/>
      <c r="AH125" s="476"/>
      <c r="AI125" s="476"/>
      <c r="AJ125" s="477"/>
      <c r="AK125" s="475"/>
      <c r="AL125" s="476"/>
      <c r="AM125" s="476"/>
      <c r="AN125" s="477"/>
      <c r="AO125" s="475"/>
      <c r="AP125" s="476"/>
      <c r="AQ125" s="476"/>
      <c r="AR125" s="477"/>
      <c r="AS125" s="475"/>
      <c r="AT125" s="476"/>
      <c r="AU125" s="476"/>
      <c r="AV125" s="477"/>
      <c r="AW125" s="424">
        <f>B125</f>
        <v>0</v>
      </c>
    </row>
    <row r="126" spans="1:49" ht="13.5" customHeight="1" outlineLevel="1">
      <c r="A126" s="1944"/>
      <c r="B126" s="1949"/>
      <c r="C126" s="461" t="s">
        <v>881</v>
      </c>
      <c r="D126" s="462">
        <f t="shared" ref="D126:D129" si="121">SUM(E126:AV126)</f>
        <v>0</v>
      </c>
      <c r="E126" s="482"/>
      <c r="F126" s="483"/>
      <c r="G126" s="483"/>
      <c r="H126" s="484"/>
      <c r="I126" s="482"/>
      <c r="J126" s="483"/>
      <c r="K126" s="483"/>
      <c r="L126" s="484"/>
      <c r="M126" s="482"/>
      <c r="N126" s="483"/>
      <c r="O126" s="483"/>
      <c r="P126" s="484"/>
      <c r="Q126" s="482"/>
      <c r="R126" s="483"/>
      <c r="S126" s="483"/>
      <c r="T126" s="484"/>
      <c r="U126" s="482"/>
      <c r="V126" s="483"/>
      <c r="W126" s="483"/>
      <c r="X126" s="484"/>
      <c r="Y126" s="482"/>
      <c r="Z126" s="483"/>
      <c r="AA126" s="483"/>
      <c r="AB126" s="484"/>
      <c r="AC126" s="482"/>
      <c r="AD126" s="483"/>
      <c r="AE126" s="483"/>
      <c r="AF126" s="484"/>
      <c r="AG126" s="482"/>
      <c r="AH126" s="483"/>
      <c r="AI126" s="483"/>
      <c r="AJ126" s="484"/>
      <c r="AK126" s="482"/>
      <c r="AL126" s="483"/>
      <c r="AM126" s="483"/>
      <c r="AN126" s="484"/>
      <c r="AO126" s="482"/>
      <c r="AP126" s="483"/>
      <c r="AQ126" s="483"/>
      <c r="AR126" s="484"/>
      <c r="AS126" s="482"/>
      <c r="AT126" s="483"/>
      <c r="AU126" s="483"/>
      <c r="AV126" s="484"/>
      <c r="AW126" s="424">
        <f>AW125</f>
        <v>0</v>
      </c>
    </row>
    <row r="127" spans="1:49" s="424" customFormat="1" ht="13.5" customHeight="1" outlineLevel="1">
      <c r="A127" s="1944"/>
      <c r="B127" s="1949"/>
      <c r="C127" s="461" t="s">
        <v>682</v>
      </c>
      <c r="D127" s="466">
        <f t="shared" si="121"/>
        <v>0</v>
      </c>
      <c r="E127" s="382">
        <f>E126*'9.项目开发计划表'!$G$13</f>
        <v>0</v>
      </c>
      <c r="F127" s="397">
        <f>F126*'9.项目开发计划表'!$G$13</f>
        <v>0</v>
      </c>
      <c r="G127" s="397">
        <f>G126*'9.项目开发计划表'!$G$13</f>
        <v>0</v>
      </c>
      <c r="H127" s="467">
        <f>H126*'9.项目开发计划表'!$G$13</f>
        <v>0</v>
      </c>
      <c r="I127" s="382">
        <f>I126*'9.项目开发计划表'!$G$13</f>
        <v>0</v>
      </c>
      <c r="J127" s="397">
        <f>J126*'9.项目开发计划表'!$G$13</f>
        <v>0</v>
      </c>
      <c r="K127" s="397">
        <f>K126*'9.项目开发计划表'!$G$13</f>
        <v>0</v>
      </c>
      <c r="L127" s="467">
        <f>L126*'9.项目开发计划表'!$G$13</f>
        <v>0</v>
      </c>
      <c r="M127" s="382">
        <f>M126*'9.项目开发计划表'!$G$13</f>
        <v>0</v>
      </c>
      <c r="N127" s="397">
        <f>N126*'9.项目开发计划表'!$G$13</f>
        <v>0</v>
      </c>
      <c r="O127" s="397">
        <f>O126*'9.项目开发计划表'!$G$13</f>
        <v>0</v>
      </c>
      <c r="P127" s="467">
        <f>P126*'9.项目开发计划表'!$G$13</f>
        <v>0</v>
      </c>
      <c r="Q127" s="382">
        <f>Q126*'9.项目开发计划表'!$G$13</f>
        <v>0</v>
      </c>
      <c r="R127" s="397">
        <f>R126*'9.项目开发计划表'!$G$13</f>
        <v>0</v>
      </c>
      <c r="S127" s="397">
        <f>S126*'9.项目开发计划表'!$G$13</f>
        <v>0</v>
      </c>
      <c r="T127" s="467">
        <f>T126*'9.项目开发计划表'!$G$13</f>
        <v>0</v>
      </c>
      <c r="U127" s="382">
        <f>U126*'9.项目开发计划表'!$G$13</f>
        <v>0</v>
      </c>
      <c r="V127" s="397">
        <f>V126*'9.项目开发计划表'!$G$13</f>
        <v>0</v>
      </c>
      <c r="W127" s="397">
        <f>W126*'9.项目开发计划表'!$G$13</f>
        <v>0</v>
      </c>
      <c r="X127" s="467">
        <f>X126*'9.项目开发计划表'!$G$13</f>
        <v>0</v>
      </c>
      <c r="Y127" s="382">
        <f>Y126*'9.项目开发计划表'!$G$13</f>
        <v>0</v>
      </c>
      <c r="Z127" s="397">
        <f>Z126*'9.项目开发计划表'!$G$13</f>
        <v>0</v>
      </c>
      <c r="AA127" s="397">
        <f>AA126*'9.项目开发计划表'!$G$13</f>
        <v>0</v>
      </c>
      <c r="AB127" s="467">
        <f>AB126*'9.项目开发计划表'!$G$13</f>
        <v>0</v>
      </c>
      <c r="AC127" s="382">
        <f>AC126*'9.项目开发计划表'!$G$13</f>
        <v>0</v>
      </c>
      <c r="AD127" s="397">
        <f>AD126*'9.项目开发计划表'!$G$13</f>
        <v>0</v>
      </c>
      <c r="AE127" s="397">
        <f>AE126*'9.项目开发计划表'!$G$13</f>
        <v>0</v>
      </c>
      <c r="AF127" s="467">
        <f>AF126*'9.项目开发计划表'!$G$13</f>
        <v>0</v>
      </c>
      <c r="AG127" s="382">
        <f>AG126*'9.项目开发计划表'!$G$13</f>
        <v>0</v>
      </c>
      <c r="AH127" s="397">
        <f>AH126*'9.项目开发计划表'!$G$13</f>
        <v>0</v>
      </c>
      <c r="AI127" s="397">
        <f>AI126*'9.项目开发计划表'!$G$13</f>
        <v>0</v>
      </c>
      <c r="AJ127" s="467">
        <f>AJ126*'9.项目开发计划表'!$G$13</f>
        <v>0</v>
      </c>
      <c r="AK127" s="382">
        <f>AK126*'9.项目开发计划表'!$G$13</f>
        <v>0</v>
      </c>
      <c r="AL127" s="397">
        <f>AL126*'9.项目开发计划表'!$G$13</f>
        <v>0</v>
      </c>
      <c r="AM127" s="397">
        <f>AM126*'9.项目开发计划表'!$G$13</f>
        <v>0</v>
      </c>
      <c r="AN127" s="467">
        <f>AN126*'9.项目开发计划表'!$G$13</f>
        <v>0</v>
      </c>
      <c r="AO127" s="382">
        <f>AO126*'9.项目开发计划表'!$G$13</f>
        <v>0</v>
      </c>
      <c r="AP127" s="397">
        <f>AP126*'9.项目开发计划表'!$G$13</f>
        <v>0</v>
      </c>
      <c r="AQ127" s="397">
        <f>AQ126*'9.项目开发计划表'!$G$13</f>
        <v>0</v>
      </c>
      <c r="AR127" s="467">
        <f>AR126*'9.项目开发计划表'!$G$13</f>
        <v>0</v>
      </c>
      <c r="AS127" s="382">
        <f>AS126*'9.项目开发计划表'!$G$13</f>
        <v>0</v>
      </c>
      <c r="AT127" s="397">
        <f>AT126*'9.项目开发计划表'!$G$13</f>
        <v>0</v>
      </c>
      <c r="AU127" s="397">
        <f>AU126*'9.项目开发计划表'!$G$13</f>
        <v>0</v>
      </c>
      <c r="AV127" s="467">
        <f>AV126*'9.项目开发计划表'!$G$13</f>
        <v>0</v>
      </c>
      <c r="AW127" s="424">
        <f t="shared" si="107"/>
        <v>0</v>
      </c>
    </row>
    <row r="128" spans="1:49" s="424" customFormat="1" ht="13.5" customHeight="1" outlineLevel="1">
      <c r="A128" s="1944"/>
      <c r="B128" s="1949"/>
      <c r="C128" s="461" t="s">
        <v>882</v>
      </c>
      <c r="D128" s="466">
        <f t="shared" si="121"/>
        <v>0</v>
      </c>
      <c r="E128" s="382">
        <f t="shared" ref="E128:AV128" si="122">E125*E127/10000</f>
        <v>0</v>
      </c>
      <c r="F128" s="397">
        <f t="shared" si="122"/>
        <v>0</v>
      </c>
      <c r="G128" s="397">
        <f t="shared" si="122"/>
        <v>0</v>
      </c>
      <c r="H128" s="467">
        <f t="shared" si="122"/>
        <v>0</v>
      </c>
      <c r="I128" s="382">
        <f t="shared" si="122"/>
        <v>0</v>
      </c>
      <c r="J128" s="397">
        <f t="shared" si="122"/>
        <v>0</v>
      </c>
      <c r="K128" s="397">
        <f t="shared" si="122"/>
        <v>0</v>
      </c>
      <c r="L128" s="467">
        <f t="shared" si="122"/>
        <v>0</v>
      </c>
      <c r="M128" s="382">
        <f t="shared" si="122"/>
        <v>0</v>
      </c>
      <c r="N128" s="397">
        <f t="shared" si="122"/>
        <v>0</v>
      </c>
      <c r="O128" s="397">
        <f t="shared" si="122"/>
        <v>0</v>
      </c>
      <c r="P128" s="467">
        <f t="shared" si="122"/>
        <v>0</v>
      </c>
      <c r="Q128" s="382">
        <f t="shared" si="122"/>
        <v>0</v>
      </c>
      <c r="R128" s="397">
        <f t="shared" si="122"/>
        <v>0</v>
      </c>
      <c r="S128" s="397">
        <f t="shared" si="122"/>
        <v>0</v>
      </c>
      <c r="T128" s="467">
        <f t="shared" si="122"/>
        <v>0</v>
      </c>
      <c r="U128" s="382">
        <f t="shared" si="122"/>
        <v>0</v>
      </c>
      <c r="V128" s="397">
        <f t="shared" si="122"/>
        <v>0</v>
      </c>
      <c r="W128" s="397">
        <f t="shared" si="122"/>
        <v>0</v>
      </c>
      <c r="X128" s="467">
        <f t="shared" si="122"/>
        <v>0</v>
      </c>
      <c r="Y128" s="382">
        <f t="shared" si="122"/>
        <v>0</v>
      </c>
      <c r="Z128" s="397">
        <f t="shared" si="122"/>
        <v>0</v>
      </c>
      <c r="AA128" s="397">
        <f t="shared" si="122"/>
        <v>0</v>
      </c>
      <c r="AB128" s="467">
        <f t="shared" si="122"/>
        <v>0</v>
      </c>
      <c r="AC128" s="382">
        <f t="shared" si="122"/>
        <v>0</v>
      </c>
      <c r="AD128" s="397">
        <f t="shared" si="122"/>
        <v>0</v>
      </c>
      <c r="AE128" s="397">
        <f t="shared" si="122"/>
        <v>0</v>
      </c>
      <c r="AF128" s="467">
        <f t="shared" si="122"/>
        <v>0</v>
      </c>
      <c r="AG128" s="382">
        <f t="shared" si="122"/>
        <v>0</v>
      </c>
      <c r="AH128" s="397">
        <f t="shared" si="122"/>
        <v>0</v>
      </c>
      <c r="AI128" s="397">
        <f t="shared" si="122"/>
        <v>0</v>
      </c>
      <c r="AJ128" s="467">
        <f t="shared" si="122"/>
        <v>0</v>
      </c>
      <c r="AK128" s="382">
        <f t="shared" si="122"/>
        <v>0</v>
      </c>
      <c r="AL128" s="397">
        <f t="shared" si="122"/>
        <v>0</v>
      </c>
      <c r="AM128" s="397">
        <f t="shared" si="122"/>
        <v>0</v>
      </c>
      <c r="AN128" s="467">
        <f t="shared" si="122"/>
        <v>0</v>
      </c>
      <c r="AO128" s="382">
        <f t="shared" si="122"/>
        <v>0</v>
      </c>
      <c r="AP128" s="397">
        <f t="shared" si="122"/>
        <v>0</v>
      </c>
      <c r="AQ128" s="397">
        <f t="shared" si="122"/>
        <v>0</v>
      </c>
      <c r="AR128" s="467">
        <f t="shared" si="122"/>
        <v>0</v>
      </c>
      <c r="AS128" s="382">
        <f t="shared" si="122"/>
        <v>0</v>
      </c>
      <c r="AT128" s="397">
        <f t="shared" si="122"/>
        <v>0</v>
      </c>
      <c r="AU128" s="397">
        <f t="shared" si="122"/>
        <v>0</v>
      </c>
      <c r="AV128" s="467">
        <f t="shared" si="122"/>
        <v>0</v>
      </c>
      <c r="AW128" s="424">
        <f t="shared" si="107"/>
        <v>0</v>
      </c>
    </row>
    <row r="129" spans="1:49" s="424" customFormat="1" ht="13.5" customHeight="1" outlineLevel="1">
      <c r="A129" s="1944"/>
      <c r="B129" s="1949"/>
      <c r="C129" s="461" t="s">
        <v>450</v>
      </c>
      <c r="D129" s="468">
        <f t="shared" si="121"/>
        <v>0</v>
      </c>
      <c r="E129" s="386">
        <f>SUMIF($I$1:$T$1,B125,$I$2:$T$2)*E128</f>
        <v>0</v>
      </c>
      <c r="F129" s="399">
        <f>(1-SUMIF($I$1:$T$1,B125,$I$2:$T$2))*E128+SUMIF($I$1:$T$1,B125,$I$2:$T$2)*F128</f>
        <v>0</v>
      </c>
      <c r="G129" s="399">
        <f>(1-SUMIF($I$1:$T$1,B125,$I$2:$T$2))*F128+SUMIF($I$1:$T$1,B125,$I$2:$T$2)*G128</f>
        <v>0</v>
      </c>
      <c r="H129" s="404">
        <f>(1-SUMIF($I$1:$T$1,B125,$I$2:$T$2))*G128+SUMIF($I$1:$T$1,B125,$I$2:$T$2)*H128</f>
        <v>0</v>
      </c>
      <c r="I129" s="386">
        <f>(1-SUMIF($I$1:$T$1,B125,$I$2:$T$2))*H128+SUMIF($I$1:$T$1,B125,$I$2:$T$2)*I128</f>
        <v>0</v>
      </c>
      <c r="J129" s="399">
        <f>(1-SUMIF($I$1:$T$1,B125,$I$2:$T$2))*I128+SUMIF($I$1:$T$1,B125,$I$2:$T$2)*J128</f>
        <v>0</v>
      </c>
      <c r="K129" s="399">
        <f>(1-SUMIF($I$1:$T$1,B125,$I$2:$T$2))*J128+SUMIF($I$1:$T$1,B125,$I$2:$T$2)*K128</f>
        <v>0</v>
      </c>
      <c r="L129" s="404">
        <f>(1-SUMIF($I$1:$T$1,B125,$I$2:$T$2))*K128+SUMIF($I$1:$T$1,B125,$I$2:$T$2)*L128</f>
        <v>0</v>
      </c>
      <c r="M129" s="386">
        <f>(1-SUMIF($I$1:$T$1,B125,$I$2:$T$2))*L128+SUMIF($I$1:$T$1,B125,$I$2:$T$2)*M128</f>
        <v>0</v>
      </c>
      <c r="N129" s="399">
        <f>(1-SUMIF($I$1:$T$1,B125,$I$2:$T$2))*M128+SUMIF($I$1:$T$1,B125,$I$2:$T$2)*N128</f>
        <v>0</v>
      </c>
      <c r="O129" s="399">
        <f>(1-SUMIF($I$1:$T$1,B125,$I$2:$T$2))*N128+SUMIF($I$1:$T$1,B125,$I$2:$T$2)*O128</f>
        <v>0</v>
      </c>
      <c r="P129" s="404">
        <f>(1-SUMIF($I$1:$T$1,B125,$I$2:$T$2))*O128+SUMIF($I$1:$T$1,B125,$I$2:$T$2)*P128</f>
        <v>0</v>
      </c>
      <c r="Q129" s="386">
        <f>(1-SUMIF($I$1:$T$1,B125,$I$2:$T$2))*P128+SUMIF($I$1:$T$1,B125,$I$2:$T$2)*Q128</f>
        <v>0</v>
      </c>
      <c r="R129" s="399">
        <f>(1-SUMIF($I$1:$T$1,B125,$I$2:$T$2))*Q128+SUMIF($I$1:$T$1,B125,$I$2:$T$2)*R128</f>
        <v>0</v>
      </c>
      <c r="S129" s="399">
        <f>(1-SUMIF($I$1:$T$1,B125,$I$2:$T$2))*R128+SUMIF($I$1:$T$1,B125,$I$2:$T$2)*S128</f>
        <v>0</v>
      </c>
      <c r="T129" s="404">
        <f>(1-SUMIF($I$1:$T$1,B125,$I$2:$T$2))*S128+SUMIF($I$1:$T$1,B125,$I$2:$T$2)*T128</f>
        <v>0</v>
      </c>
      <c r="U129" s="386">
        <f>(1-SUMIF($I$1:$T$1,B125,$I$2:$T$2))*T128+SUMIF($I$1:$T$1,B125,$I$2:$T$2)*U128</f>
        <v>0</v>
      </c>
      <c r="V129" s="399">
        <f>(1-SUMIF($I$1:$T$1,B125,$I$2:$T$2))*U128+SUMIF($I$1:$T$1,B125,$I$2:$T$2)*V128</f>
        <v>0</v>
      </c>
      <c r="W129" s="399">
        <f>(1-SUMIF($I$1:$T$1,B125,$I$2:$T$2))*V128+SUMIF($I$1:$T$1,B125,$I$2:$T$2)*W128</f>
        <v>0</v>
      </c>
      <c r="X129" s="404">
        <f>(1-SUMIF($I$1:$T$1,B125,$I$2:$T$2))*W128+SUMIF($I$1:$T$1,B125,$I$2:$T$2)*X128</f>
        <v>0</v>
      </c>
      <c r="Y129" s="386">
        <f>(1-SUMIF($I$1:$T$1,B125,$I$2:$T$2))*X128+SUMIF($I$1:$T$1,B125,$I$2:$T$2)*Y128</f>
        <v>0</v>
      </c>
      <c r="Z129" s="399">
        <f>(1-SUMIF($I$1:$T$1,B125,$I$2:$T$2))*Y128+SUMIF($I$1:$T$1,B125,$I$2:$T$2)*Z128</f>
        <v>0</v>
      </c>
      <c r="AA129" s="399">
        <f>(1-SUMIF($I$1:$T$1,B125,$I$2:$T$2))*Z128+SUMIF($I$1:$T$1,B125,$I$2:$T$2)*AA128</f>
        <v>0</v>
      </c>
      <c r="AB129" s="404">
        <f>(1-SUMIF($I$1:$T$1,B125,$I$2:$T$2))*AA128+SUMIF($I$1:$T$1,B125,$I$2:$T$2)*AB128</f>
        <v>0</v>
      </c>
      <c r="AC129" s="386">
        <f>(1-SUMIF($I$1:$T$1,B125,$I$2:$T$2))*AB128+SUMIF($I$1:$T$1,B125,$I$2:$T$2)*AC128</f>
        <v>0</v>
      </c>
      <c r="AD129" s="399">
        <f>(1-SUMIF($I$1:$T$1,B125,$I$2:$T$2))*AC128+SUMIF($I$1:$T$1,B125,$I$2:$T$2)*AD128</f>
        <v>0</v>
      </c>
      <c r="AE129" s="399">
        <f>(1-SUMIF($I$1:$T$1,B125,$I$2:$T$2))*AD128+SUMIF($I$1:$T$1,B125,$I$2:$T$2)*AE128</f>
        <v>0</v>
      </c>
      <c r="AF129" s="404">
        <f>(1-SUMIF($I$1:$T$1,B125,$I$2:$T$2))*AE128+SUMIF($I$1:$T$1,B125,$I$2:$T$2)*AF128</f>
        <v>0</v>
      </c>
      <c r="AG129" s="386">
        <f>(1-SUMIF($I$1:$T$1,B125,$I$2:$T$2))*AF128+SUMIF($I$1:$T$1,B125,$I$2:$T$2)*AG128</f>
        <v>0</v>
      </c>
      <c r="AH129" s="399">
        <f>(1-SUMIF($I$1:$T$1,B125,$I$2:$T$2))*AG128+SUMIF($I$1:$T$1,B125,$I$2:$T$2)*AH128</f>
        <v>0</v>
      </c>
      <c r="AI129" s="399">
        <f>(1-SUMIF($I$1:$T$1,B125,$I$2:$T$2))*AH128+SUMIF($I$1:$T$1,B125,$I$2:$T$2)*AI128</f>
        <v>0</v>
      </c>
      <c r="AJ129" s="404">
        <f>(1-SUMIF($I$1:$T$1,B125,$I$2:$T$2))*AI128+SUMIF($I$1:$T$1,B125,$I$2:$T$2)*AJ128</f>
        <v>0</v>
      </c>
      <c r="AK129" s="386">
        <f>(1-SUMIF($I$1:$T$1,B125,$I$2:$T$2))*AJ128+SUMIF($I$1:$T$1,B125,$I$2:$T$2)*AK128</f>
        <v>0</v>
      </c>
      <c r="AL129" s="399">
        <f>(1-SUMIF($I$1:$T$1,B125,$I$2:$T$2))*AK128+SUMIF($I$1:$T$1,B125,$I$2:$T$2)*AL128</f>
        <v>0</v>
      </c>
      <c r="AM129" s="399">
        <f>(1-SUMIF($I$1:$T$1,B125,$I$2:$T$2))*AL128+SUMIF($I$1:$T$1,B125,$I$2:$T$2)*AM128</f>
        <v>0</v>
      </c>
      <c r="AN129" s="404">
        <f>(1-SUMIF($I$1:$T$1,B125,$I$2:$T$2))*AM128+SUMIF($I$1:$T$1,B125,$I$2:$T$2)*AN128</f>
        <v>0</v>
      </c>
      <c r="AO129" s="386">
        <f>(1-SUMIF($I$1:$T$1,B125,$I$2:$T$2))*AN128+SUMIF($I$1:$T$1,B125,$I$2:$T$2)*AO128</f>
        <v>0</v>
      </c>
      <c r="AP129" s="399">
        <f>(1-SUMIF($I$1:$T$1,B125,$I$2:$T$2))*AO128+SUMIF($I$1:$T$1,B125,$I$2:$T$2)*AP128</f>
        <v>0</v>
      </c>
      <c r="AQ129" s="399">
        <f>(1-SUMIF($I$1:$T$1,B125,$I$2:$T$2))*AP128+SUMIF($I$1:$T$1,B125,$I$2:$T$2)*AQ128</f>
        <v>0</v>
      </c>
      <c r="AR129" s="404">
        <f>(1-SUMIF($I$1:$T$1,B125,$I$2:$T$2))*AQ128+SUMIF($I$1:$T$1,B125,$I$2:$T$2)*AR128</f>
        <v>0</v>
      </c>
      <c r="AS129" s="386">
        <f>(1-SUMIF($I$1:$T$1,B125,$I$2:$T$2))*AR128+SUMIF($I$1:$T$1,B125,$I$2:$T$2)*AS128</f>
        <v>0</v>
      </c>
      <c r="AT129" s="399">
        <f>(1-SUMIF($I$1:$T$1,B125,$I$2:$T$2))*AS128+SUMIF($I$1:$T$1,B125,$I$2:$T$2)*AT128</f>
        <v>0</v>
      </c>
      <c r="AU129" s="399">
        <f>(1-SUMIF($I$1:$T$1,B125,$I$2:$T$2))*AT128+SUMIF($I$1:$T$1,B125,$I$2:$T$2)*AU128</f>
        <v>0</v>
      </c>
      <c r="AV129" s="404">
        <f>(1-SUMIF($I$1:$T$1,B125,$I$2:$T$2))*AU128+SUMIF($I$1:$T$1,B125,$I$2:$T$2)*AV128</f>
        <v>0</v>
      </c>
      <c r="AW129" s="424">
        <f t="shared" si="107"/>
        <v>0</v>
      </c>
    </row>
    <row r="130" spans="1:49" s="424" customFormat="1" ht="13.5" customHeight="1" outlineLevel="1">
      <c r="A130" s="1944"/>
      <c r="B130" s="1949" t="str">
        <f>'9.项目开发计划表'!C14</f>
        <v>自持物业</v>
      </c>
      <c r="C130" s="461" t="s">
        <v>880</v>
      </c>
      <c r="D130" s="457">
        <f>IF(D132=0,0,D133/D132*10000)</f>
        <v>0</v>
      </c>
      <c r="E130" s="475"/>
      <c r="F130" s="476"/>
      <c r="G130" s="476"/>
      <c r="H130" s="477"/>
      <c r="I130" s="475"/>
      <c r="J130" s="476"/>
      <c r="K130" s="476"/>
      <c r="L130" s="477"/>
      <c r="M130" s="475"/>
      <c r="N130" s="476"/>
      <c r="O130" s="476"/>
      <c r="P130" s="477"/>
      <c r="Q130" s="475"/>
      <c r="R130" s="476"/>
      <c r="S130" s="476"/>
      <c r="T130" s="477"/>
      <c r="U130" s="475"/>
      <c r="V130" s="476"/>
      <c r="W130" s="476"/>
      <c r="X130" s="477"/>
      <c r="Y130" s="475"/>
      <c r="Z130" s="476"/>
      <c r="AA130" s="476"/>
      <c r="AB130" s="477"/>
      <c r="AC130" s="475"/>
      <c r="AD130" s="476"/>
      <c r="AE130" s="476"/>
      <c r="AF130" s="477"/>
      <c r="AG130" s="475"/>
      <c r="AH130" s="476"/>
      <c r="AI130" s="476"/>
      <c r="AJ130" s="477"/>
      <c r="AK130" s="475"/>
      <c r="AL130" s="476"/>
      <c r="AM130" s="476"/>
      <c r="AN130" s="477"/>
      <c r="AO130" s="475"/>
      <c r="AP130" s="476"/>
      <c r="AQ130" s="476"/>
      <c r="AR130" s="477"/>
      <c r="AS130" s="475"/>
      <c r="AT130" s="476"/>
      <c r="AU130" s="476"/>
      <c r="AV130" s="477"/>
      <c r="AW130" s="424" t="str">
        <f>B130</f>
        <v>自持物业</v>
      </c>
    </row>
    <row r="131" spans="1:49" ht="13.5" customHeight="1" outlineLevel="1">
      <c r="A131" s="1944"/>
      <c r="B131" s="1949"/>
      <c r="C131" s="461" t="s">
        <v>881</v>
      </c>
      <c r="D131" s="462">
        <f t="shared" ref="D131:D134" si="123">SUM(E131:AV131)</f>
        <v>0</v>
      </c>
      <c r="E131" s="482"/>
      <c r="F131" s="483"/>
      <c r="G131" s="483"/>
      <c r="H131" s="484"/>
      <c r="I131" s="482"/>
      <c r="J131" s="483"/>
      <c r="K131" s="483"/>
      <c r="L131" s="484"/>
      <c r="M131" s="482"/>
      <c r="N131" s="483"/>
      <c r="O131" s="483"/>
      <c r="P131" s="484"/>
      <c r="Q131" s="482"/>
      <c r="R131" s="483"/>
      <c r="S131" s="483"/>
      <c r="T131" s="484"/>
      <c r="U131" s="482"/>
      <c r="V131" s="483"/>
      <c r="W131" s="483"/>
      <c r="X131" s="484"/>
      <c r="Y131" s="482"/>
      <c r="Z131" s="483"/>
      <c r="AA131" s="483"/>
      <c r="AB131" s="484"/>
      <c r="AC131" s="482"/>
      <c r="AD131" s="483"/>
      <c r="AE131" s="483"/>
      <c r="AF131" s="484"/>
      <c r="AG131" s="482"/>
      <c r="AH131" s="483"/>
      <c r="AI131" s="483"/>
      <c r="AJ131" s="484"/>
      <c r="AK131" s="482"/>
      <c r="AL131" s="483"/>
      <c r="AM131" s="483"/>
      <c r="AN131" s="484"/>
      <c r="AO131" s="482"/>
      <c r="AP131" s="483"/>
      <c r="AQ131" s="483"/>
      <c r="AR131" s="484"/>
      <c r="AS131" s="482"/>
      <c r="AT131" s="483"/>
      <c r="AU131" s="483"/>
      <c r="AV131" s="484"/>
      <c r="AW131" s="424" t="str">
        <f>AW130</f>
        <v>自持物业</v>
      </c>
    </row>
    <row r="132" spans="1:49" s="424" customFormat="1" ht="13.5" customHeight="1" outlineLevel="1">
      <c r="A132" s="1944"/>
      <c r="B132" s="1949"/>
      <c r="C132" s="461" t="s">
        <v>682</v>
      </c>
      <c r="D132" s="466">
        <f t="shared" si="123"/>
        <v>0</v>
      </c>
      <c r="E132" s="382">
        <f>E131*'9.项目开发计划表'!$G$14</f>
        <v>0</v>
      </c>
      <c r="F132" s="397">
        <f>F131*'9.项目开发计划表'!$G$14</f>
        <v>0</v>
      </c>
      <c r="G132" s="397">
        <f>G131*'9.项目开发计划表'!$G$14</f>
        <v>0</v>
      </c>
      <c r="H132" s="467">
        <f>H131*'9.项目开发计划表'!$G$14</f>
        <v>0</v>
      </c>
      <c r="I132" s="382">
        <f>I131*'9.项目开发计划表'!$G$14</f>
        <v>0</v>
      </c>
      <c r="J132" s="397">
        <f>J131*'9.项目开发计划表'!$G$14</f>
        <v>0</v>
      </c>
      <c r="K132" s="397">
        <f>K131*'9.项目开发计划表'!$G$14</f>
        <v>0</v>
      </c>
      <c r="L132" s="467">
        <f>L131*'9.项目开发计划表'!$G$14</f>
        <v>0</v>
      </c>
      <c r="M132" s="382">
        <f>M131*'9.项目开发计划表'!$G$14</f>
        <v>0</v>
      </c>
      <c r="N132" s="397">
        <f>N131*'9.项目开发计划表'!$G$14</f>
        <v>0</v>
      </c>
      <c r="O132" s="397">
        <f>O131*'9.项目开发计划表'!$G$14</f>
        <v>0</v>
      </c>
      <c r="P132" s="467">
        <f>P131*'9.项目开发计划表'!$G$14</f>
        <v>0</v>
      </c>
      <c r="Q132" s="382">
        <f>Q131*'9.项目开发计划表'!$G$14</f>
        <v>0</v>
      </c>
      <c r="R132" s="397">
        <f>R131*'9.项目开发计划表'!$G$14</f>
        <v>0</v>
      </c>
      <c r="S132" s="397">
        <f>S131*'9.项目开发计划表'!$G$14</f>
        <v>0</v>
      </c>
      <c r="T132" s="467">
        <f>T131*'9.项目开发计划表'!$G$14</f>
        <v>0</v>
      </c>
      <c r="U132" s="382">
        <f>U131*'9.项目开发计划表'!$G$14</f>
        <v>0</v>
      </c>
      <c r="V132" s="397">
        <f>V131*'9.项目开发计划表'!$G$14</f>
        <v>0</v>
      </c>
      <c r="W132" s="397">
        <f>W131*'9.项目开发计划表'!$G$14</f>
        <v>0</v>
      </c>
      <c r="X132" s="467">
        <f>X131*'9.项目开发计划表'!$G$14</f>
        <v>0</v>
      </c>
      <c r="Y132" s="382">
        <f>Y131*'9.项目开发计划表'!$G$14</f>
        <v>0</v>
      </c>
      <c r="Z132" s="397">
        <f>Z131*'9.项目开发计划表'!$G$14</f>
        <v>0</v>
      </c>
      <c r="AA132" s="397">
        <f>AA131*'9.项目开发计划表'!$G$14</f>
        <v>0</v>
      </c>
      <c r="AB132" s="467">
        <f>AB131*'9.项目开发计划表'!$G$14</f>
        <v>0</v>
      </c>
      <c r="AC132" s="382">
        <f>AC131*'9.项目开发计划表'!$G$14</f>
        <v>0</v>
      </c>
      <c r="AD132" s="397">
        <f>AD131*'9.项目开发计划表'!$G$14</f>
        <v>0</v>
      </c>
      <c r="AE132" s="397">
        <f>AE131*'9.项目开发计划表'!$G$14</f>
        <v>0</v>
      </c>
      <c r="AF132" s="467">
        <f>AF131*'9.项目开发计划表'!$G$14</f>
        <v>0</v>
      </c>
      <c r="AG132" s="382">
        <f>AG131*'9.项目开发计划表'!$G$14</f>
        <v>0</v>
      </c>
      <c r="AH132" s="397">
        <f>AH131*'9.项目开发计划表'!$G$14</f>
        <v>0</v>
      </c>
      <c r="AI132" s="397">
        <f>AI131*'9.项目开发计划表'!$G$14</f>
        <v>0</v>
      </c>
      <c r="AJ132" s="467">
        <f>AJ131*'9.项目开发计划表'!$G$14</f>
        <v>0</v>
      </c>
      <c r="AK132" s="382">
        <f>AK131*'9.项目开发计划表'!$G$14</f>
        <v>0</v>
      </c>
      <c r="AL132" s="397">
        <f>AL131*'9.项目开发计划表'!$G$14</f>
        <v>0</v>
      </c>
      <c r="AM132" s="397">
        <f>AM131*'9.项目开发计划表'!$G$14</f>
        <v>0</v>
      </c>
      <c r="AN132" s="467">
        <f>AN131*'9.项目开发计划表'!$G$14</f>
        <v>0</v>
      </c>
      <c r="AO132" s="382">
        <f>AO131*'9.项目开发计划表'!$G$14</f>
        <v>0</v>
      </c>
      <c r="AP132" s="397">
        <f>AP131*'9.项目开发计划表'!$G$14</f>
        <v>0</v>
      </c>
      <c r="AQ132" s="397">
        <f>AQ131*'9.项目开发计划表'!$G$14</f>
        <v>0</v>
      </c>
      <c r="AR132" s="467">
        <f>AR131*'9.项目开发计划表'!$G$14</f>
        <v>0</v>
      </c>
      <c r="AS132" s="382">
        <f>AS131*'9.项目开发计划表'!$G$14</f>
        <v>0</v>
      </c>
      <c r="AT132" s="397">
        <f>AT131*'9.项目开发计划表'!$G$14</f>
        <v>0</v>
      </c>
      <c r="AU132" s="397">
        <f>AU131*'9.项目开发计划表'!$G$14</f>
        <v>0</v>
      </c>
      <c r="AV132" s="467">
        <f>AV131*'9.项目开发计划表'!$G$14</f>
        <v>0</v>
      </c>
      <c r="AW132" s="424" t="str">
        <f t="shared" si="107"/>
        <v>自持物业</v>
      </c>
    </row>
    <row r="133" spans="1:49" s="424" customFormat="1" ht="13.5" customHeight="1" outlineLevel="1">
      <c r="A133" s="1944"/>
      <c r="B133" s="1949"/>
      <c r="C133" s="461" t="s">
        <v>882</v>
      </c>
      <c r="D133" s="466">
        <f t="shared" si="123"/>
        <v>0</v>
      </c>
      <c r="E133" s="382">
        <f t="shared" ref="E133:AV133" si="124">E130*E132/10000</f>
        <v>0</v>
      </c>
      <c r="F133" s="397">
        <f t="shared" si="124"/>
        <v>0</v>
      </c>
      <c r="G133" s="397">
        <f t="shared" si="124"/>
        <v>0</v>
      </c>
      <c r="H133" s="467">
        <f t="shared" si="124"/>
        <v>0</v>
      </c>
      <c r="I133" s="382">
        <f t="shared" si="124"/>
        <v>0</v>
      </c>
      <c r="J133" s="397">
        <f t="shared" si="124"/>
        <v>0</v>
      </c>
      <c r="K133" s="397">
        <f t="shared" si="124"/>
        <v>0</v>
      </c>
      <c r="L133" s="467">
        <f t="shared" si="124"/>
        <v>0</v>
      </c>
      <c r="M133" s="382">
        <f t="shared" si="124"/>
        <v>0</v>
      </c>
      <c r="N133" s="397">
        <f t="shared" si="124"/>
        <v>0</v>
      </c>
      <c r="O133" s="397">
        <f t="shared" si="124"/>
        <v>0</v>
      </c>
      <c r="P133" s="467">
        <f t="shared" si="124"/>
        <v>0</v>
      </c>
      <c r="Q133" s="382">
        <f t="shared" si="124"/>
        <v>0</v>
      </c>
      <c r="R133" s="397">
        <f t="shared" si="124"/>
        <v>0</v>
      </c>
      <c r="S133" s="397">
        <f t="shared" si="124"/>
        <v>0</v>
      </c>
      <c r="T133" s="467">
        <f t="shared" si="124"/>
        <v>0</v>
      </c>
      <c r="U133" s="382">
        <f t="shared" si="124"/>
        <v>0</v>
      </c>
      <c r="V133" s="397">
        <f t="shared" si="124"/>
        <v>0</v>
      </c>
      <c r="W133" s="397">
        <f t="shared" si="124"/>
        <v>0</v>
      </c>
      <c r="X133" s="467">
        <f t="shared" si="124"/>
        <v>0</v>
      </c>
      <c r="Y133" s="382">
        <f t="shared" si="124"/>
        <v>0</v>
      </c>
      <c r="Z133" s="397">
        <f t="shared" si="124"/>
        <v>0</v>
      </c>
      <c r="AA133" s="397">
        <f t="shared" si="124"/>
        <v>0</v>
      </c>
      <c r="AB133" s="467">
        <f t="shared" si="124"/>
        <v>0</v>
      </c>
      <c r="AC133" s="382">
        <f t="shared" si="124"/>
        <v>0</v>
      </c>
      <c r="AD133" s="397">
        <f t="shared" si="124"/>
        <v>0</v>
      </c>
      <c r="AE133" s="397">
        <f t="shared" si="124"/>
        <v>0</v>
      </c>
      <c r="AF133" s="467">
        <f t="shared" si="124"/>
        <v>0</v>
      </c>
      <c r="AG133" s="382">
        <f t="shared" si="124"/>
        <v>0</v>
      </c>
      <c r="AH133" s="397">
        <f t="shared" si="124"/>
        <v>0</v>
      </c>
      <c r="AI133" s="397">
        <f t="shared" si="124"/>
        <v>0</v>
      </c>
      <c r="AJ133" s="467">
        <f t="shared" si="124"/>
        <v>0</v>
      </c>
      <c r="AK133" s="382">
        <f t="shared" si="124"/>
        <v>0</v>
      </c>
      <c r="AL133" s="397">
        <f t="shared" si="124"/>
        <v>0</v>
      </c>
      <c r="AM133" s="397">
        <f t="shared" si="124"/>
        <v>0</v>
      </c>
      <c r="AN133" s="467">
        <f t="shared" si="124"/>
        <v>0</v>
      </c>
      <c r="AO133" s="382">
        <f t="shared" si="124"/>
        <v>0</v>
      </c>
      <c r="AP133" s="397">
        <f t="shared" si="124"/>
        <v>0</v>
      </c>
      <c r="AQ133" s="397">
        <f t="shared" si="124"/>
        <v>0</v>
      </c>
      <c r="AR133" s="467">
        <f t="shared" si="124"/>
        <v>0</v>
      </c>
      <c r="AS133" s="382">
        <f t="shared" si="124"/>
        <v>0</v>
      </c>
      <c r="AT133" s="397">
        <f t="shared" si="124"/>
        <v>0</v>
      </c>
      <c r="AU133" s="397">
        <f t="shared" si="124"/>
        <v>0</v>
      </c>
      <c r="AV133" s="467">
        <f t="shared" si="124"/>
        <v>0</v>
      </c>
      <c r="AW133" s="424" t="str">
        <f t="shared" si="107"/>
        <v>自持物业</v>
      </c>
    </row>
    <row r="134" spans="1:49" s="424" customFormat="1" ht="13.5" customHeight="1" outlineLevel="1">
      <c r="A134" s="1944"/>
      <c r="B134" s="1949"/>
      <c r="C134" s="461" t="s">
        <v>450</v>
      </c>
      <c r="D134" s="468">
        <f t="shared" si="123"/>
        <v>0</v>
      </c>
      <c r="E134" s="386">
        <f>SUMIF($I$1:$T$1,B130,$I$2:$T$2)*E133</f>
        <v>0</v>
      </c>
      <c r="F134" s="399">
        <f>(1-SUMIF($I$1:$T$1,B130,$I$2:$T$2))*E133+SUMIF($I$1:$T$1,B130,$I$2:$T$2)*F133</f>
        <v>0</v>
      </c>
      <c r="G134" s="399">
        <f>(1-SUMIF($I$1:$T$1,B130,$I$2:$T$2))*F133+SUMIF($I$1:$T$1,B130,$I$2:$T$2)*G133</f>
        <v>0</v>
      </c>
      <c r="H134" s="404">
        <f>(1-SUMIF($I$1:$T$1,B130,$I$2:$T$2))*G133+SUMIF($I$1:$T$1,B130,$I$2:$T$2)*H133</f>
        <v>0</v>
      </c>
      <c r="I134" s="386">
        <f>(1-SUMIF($I$1:$T$1,B130,$I$2:$T$2))*H133+SUMIF($I$1:$T$1,B130,$I$2:$T$2)*I133</f>
        <v>0</v>
      </c>
      <c r="J134" s="399">
        <f>(1-SUMIF($I$1:$T$1,B130,$I$2:$T$2))*I133+SUMIF($I$1:$T$1,B130,$I$2:$T$2)*J133</f>
        <v>0</v>
      </c>
      <c r="K134" s="399">
        <f>(1-SUMIF($I$1:$T$1,B130,$I$2:$T$2))*J133+SUMIF($I$1:$T$1,B130,$I$2:$T$2)*K133</f>
        <v>0</v>
      </c>
      <c r="L134" s="404">
        <f>(1-SUMIF($I$1:$T$1,B130,$I$2:$T$2))*K133+SUMIF($I$1:$T$1,B130,$I$2:$T$2)*L133</f>
        <v>0</v>
      </c>
      <c r="M134" s="386">
        <f>(1-SUMIF($I$1:$T$1,B130,$I$2:$T$2))*L133+SUMIF($I$1:$T$1,B130,$I$2:$T$2)*M133</f>
        <v>0</v>
      </c>
      <c r="N134" s="399">
        <f>(1-SUMIF($I$1:$T$1,B130,$I$2:$T$2))*M133+SUMIF($I$1:$T$1,B130,$I$2:$T$2)*N133</f>
        <v>0</v>
      </c>
      <c r="O134" s="399">
        <f>(1-SUMIF($I$1:$T$1,B130,$I$2:$T$2))*N133+SUMIF($I$1:$T$1,B130,$I$2:$T$2)*O133</f>
        <v>0</v>
      </c>
      <c r="P134" s="404">
        <f>(1-SUMIF($I$1:$T$1,B130,$I$2:$T$2))*O133+SUMIF($I$1:$T$1,B130,$I$2:$T$2)*P133</f>
        <v>0</v>
      </c>
      <c r="Q134" s="386">
        <f>(1-SUMIF($I$1:$T$1,B130,$I$2:$T$2))*P133+SUMIF($I$1:$T$1,B130,$I$2:$T$2)*Q133</f>
        <v>0</v>
      </c>
      <c r="R134" s="399">
        <f>(1-SUMIF($I$1:$T$1,B130,$I$2:$T$2))*Q133+SUMIF($I$1:$T$1,B130,$I$2:$T$2)*R133</f>
        <v>0</v>
      </c>
      <c r="S134" s="399">
        <f>(1-SUMIF($I$1:$T$1,B130,$I$2:$T$2))*R133+SUMIF($I$1:$T$1,B130,$I$2:$T$2)*S133</f>
        <v>0</v>
      </c>
      <c r="T134" s="404">
        <f>(1-SUMIF($I$1:$T$1,B130,$I$2:$T$2))*S133+SUMIF($I$1:$T$1,B130,$I$2:$T$2)*T133</f>
        <v>0</v>
      </c>
      <c r="U134" s="386">
        <f>(1-SUMIF($I$1:$T$1,B130,$I$2:$T$2))*T133+SUMIF($I$1:$T$1,B130,$I$2:$T$2)*U133</f>
        <v>0</v>
      </c>
      <c r="V134" s="399">
        <f>(1-SUMIF($I$1:$T$1,B130,$I$2:$T$2))*U133+SUMIF($I$1:$T$1,B130,$I$2:$T$2)*V133</f>
        <v>0</v>
      </c>
      <c r="W134" s="399">
        <f>(1-SUMIF($I$1:$T$1,B130,$I$2:$T$2))*V133+SUMIF($I$1:$T$1,B130,$I$2:$T$2)*W133</f>
        <v>0</v>
      </c>
      <c r="X134" s="404">
        <f>(1-SUMIF($I$1:$T$1,B130,$I$2:$T$2))*W133+SUMIF($I$1:$T$1,B130,$I$2:$T$2)*X133</f>
        <v>0</v>
      </c>
      <c r="Y134" s="386">
        <f>(1-SUMIF($I$1:$T$1,B130,$I$2:$T$2))*X133+SUMIF($I$1:$T$1,B130,$I$2:$T$2)*Y133</f>
        <v>0</v>
      </c>
      <c r="Z134" s="399">
        <f>(1-SUMIF($I$1:$T$1,B130,$I$2:$T$2))*Y133+SUMIF($I$1:$T$1,B130,$I$2:$T$2)*Z133</f>
        <v>0</v>
      </c>
      <c r="AA134" s="399">
        <f>(1-SUMIF($I$1:$T$1,B130,$I$2:$T$2))*Z133+SUMIF($I$1:$T$1,B130,$I$2:$T$2)*AA133</f>
        <v>0</v>
      </c>
      <c r="AB134" s="404">
        <f>(1-SUMIF($I$1:$T$1,B130,$I$2:$T$2))*AA133+SUMIF($I$1:$T$1,B130,$I$2:$T$2)*AB133</f>
        <v>0</v>
      </c>
      <c r="AC134" s="386">
        <f>(1-SUMIF($I$1:$T$1,B130,$I$2:$T$2))*AB133+SUMIF($I$1:$T$1,B130,$I$2:$T$2)*AC133</f>
        <v>0</v>
      </c>
      <c r="AD134" s="399">
        <f>(1-SUMIF($I$1:$T$1,B130,$I$2:$T$2))*AC133+SUMIF($I$1:$T$1,B130,$I$2:$T$2)*AD133</f>
        <v>0</v>
      </c>
      <c r="AE134" s="399">
        <f>(1-SUMIF($I$1:$T$1,B130,$I$2:$T$2))*AD133+SUMIF($I$1:$T$1,B130,$I$2:$T$2)*AE133</f>
        <v>0</v>
      </c>
      <c r="AF134" s="404">
        <f>(1-SUMIF($I$1:$T$1,B130,$I$2:$T$2))*AE133+SUMIF($I$1:$T$1,B130,$I$2:$T$2)*AF133</f>
        <v>0</v>
      </c>
      <c r="AG134" s="386">
        <f>(1-SUMIF($I$1:$T$1,B130,$I$2:$T$2))*AF133+SUMIF($I$1:$T$1,B130,$I$2:$T$2)*AG133</f>
        <v>0</v>
      </c>
      <c r="AH134" s="399">
        <f>(1-SUMIF($I$1:$T$1,B130,$I$2:$T$2))*AG133+SUMIF($I$1:$T$1,B130,$I$2:$T$2)*AH133</f>
        <v>0</v>
      </c>
      <c r="AI134" s="399">
        <f>(1-SUMIF($I$1:$T$1,B130,$I$2:$T$2))*AH133+SUMIF($I$1:$T$1,B130,$I$2:$T$2)*AI133</f>
        <v>0</v>
      </c>
      <c r="AJ134" s="404">
        <f>(1-SUMIF($I$1:$T$1,B130,$I$2:$T$2))*AI133+SUMIF($I$1:$T$1,B130,$I$2:$T$2)*AJ133</f>
        <v>0</v>
      </c>
      <c r="AK134" s="386">
        <f>(1-SUMIF($I$1:$T$1,B130,$I$2:$T$2))*AJ133+SUMIF($I$1:$T$1,B130,$I$2:$T$2)*AK133</f>
        <v>0</v>
      </c>
      <c r="AL134" s="399">
        <f>(1-SUMIF($I$1:$T$1,B130,$I$2:$T$2))*AK133+SUMIF($I$1:$T$1,B130,$I$2:$T$2)*AL133</f>
        <v>0</v>
      </c>
      <c r="AM134" s="399">
        <f>(1-SUMIF($I$1:$T$1,B130,$I$2:$T$2))*AL133+SUMIF($I$1:$T$1,B130,$I$2:$T$2)*AM133</f>
        <v>0</v>
      </c>
      <c r="AN134" s="404">
        <f>(1-SUMIF($I$1:$T$1,B130,$I$2:$T$2))*AM133+SUMIF($I$1:$T$1,B130,$I$2:$T$2)*AN133</f>
        <v>0</v>
      </c>
      <c r="AO134" s="386">
        <f>(1-SUMIF($I$1:$T$1,B130,$I$2:$T$2))*AN133+SUMIF($I$1:$T$1,B130,$I$2:$T$2)*AO133</f>
        <v>0</v>
      </c>
      <c r="AP134" s="399">
        <f>(1-SUMIF($I$1:$T$1,B130,$I$2:$T$2))*AO133+SUMIF($I$1:$T$1,B130,$I$2:$T$2)*AP133</f>
        <v>0</v>
      </c>
      <c r="AQ134" s="399">
        <f>(1-SUMIF($I$1:$T$1,B130,$I$2:$T$2))*AP133+SUMIF($I$1:$T$1,B130,$I$2:$T$2)*AQ133</f>
        <v>0</v>
      </c>
      <c r="AR134" s="404">
        <f>(1-SUMIF($I$1:$T$1,B130,$I$2:$T$2))*AQ133+SUMIF($I$1:$T$1,B130,$I$2:$T$2)*AR133</f>
        <v>0</v>
      </c>
      <c r="AS134" s="386">
        <f>(1-SUMIF($I$1:$T$1,B130,$I$2:$T$2))*AR133+SUMIF($I$1:$T$1,B130,$I$2:$T$2)*AS133</f>
        <v>0</v>
      </c>
      <c r="AT134" s="399">
        <f>(1-SUMIF($I$1:$T$1,B130,$I$2:$T$2))*AS133+SUMIF($I$1:$T$1,B130,$I$2:$T$2)*AT133</f>
        <v>0</v>
      </c>
      <c r="AU134" s="399">
        <f>(1-SUMIF($I$1:$T$1,B130,$I$2:$T$2))*AT133+SUMIF($I$1:$T$1,B130,$I$2:$T$2)*AU133</f>
        <v>0</v>
      </c>
      <c r="AV134" s="404">
        <f>(1-SUMIF($I$1:$T$1,B130,$I$2:$T$2))*AU133+SUMIF($I$1:$T$1,B130,$I$2:$T$2)*AV133</f>
        <v>0</v>
      </c>
      <c r="AW134" s="424" t="str">
        <f t="shared" si="107"/>
        <v>自持物业</v>
      </c>
    </row>
    <row r="135" spans="1:49" s="424" customFormat="1" ht="13.5" customHeight="1" outlineLevel="1">
      <c r="A135" s="1944"/>
      <c r="B135" s="1949" t="str">
        <f>'9.项目开发计划表'!C15</f>
        <v>有产权车库(个)</v>
      </c>
      <c r="C135" s="461" t="s">
        <v>880</v>
      </c>
      <c r="D135" s="457">
        <f>IF(D137=0,0,D138/D137*10000)</f>
        <v>112000</v>
      </c>
      <c r="E135" s="475"/>
      <c r="F135" s="476"/>
      <c r="G135" s="476"/>
      <c r="H135" s="477"/>
      <c r="I135" s="476"/>
      <c r="J135" s="476"/>
      <c r="K135" s="476"/>
      <c r="L135" s="476"/>
      <c r="M135" s="475"/>
      <c r="N135" s="475"/>
      <c r="O135" s="475">
        <v>140000</v>
      </c>
      <c r="P135" s="475">
        <v>140000</v>
      </c>
      <c r="Q135" s="475">
        <v>140000</v>
      </c>
      <c r="R135" s="475"/>
      <c r="S135" s="475"/>
      <c r="T135" s="475"/>
      <c r="U135" s="475"/>
      <c r="V135" s="475"/>
      <c r="W135" s="475"/>
      <c r="X135" s="475"/>
      <c r="Y135" s="475"/>
      <c r="Z135" s="475"/>
      <c r="AA135" s="475"/>
      <c r="AB135" s="475"/>
      <c r="AC135" s="475"/>
      <c r="AD135" s="475"/>
      <c r="AE135" s="475"/>
      <c r="AF135" s="475"/>
      <c r="AG135" s="475"/>
      <c r="AH135" s="475"/>
      <c r="AI135" s="475"/>
      <c r="AJ135" s="475"/>
      <c r="AK135" s="475"/>
      <c r="AL135" s="475"/>
      <c r="AM135" s="475"/>
      <c r="AN135" s="475"/>
      <c r="AO135" s="475"/>
      <c r="AP135" s="475"/>
      <c r="AQ135" s="475"/>
      <c r="AR135" s="475"/>
      <c r="AS135" s="475"/>
      <c r="AT135" s="475"/>
      <c r="AU135" s="475"/>
      <c r="AV135" s="475"/>
      <c r="AW135" s="424" t="str">
        <f>B135</f>
        <v>有产权车库(个)</v>
      </c>
    </row>
    <row r="136" spans="1:49" ht="13.5" customHeight="1" outlineLevel="1">
      <c r="A136" s="1944"/>
      <c r="B136" s="1949"/>
      <c r="C136" s="461" t="s">
        <v>881</v>
      </c>
      <c r="D136" s="462">
        <f t="shared" ref="D136:D139" si="125">SUM(E136:AV136)</f>
        <v>1</v>
      </c>
      <c r="E136" s="495"/>
      <c r="F136" s="496"/>
      <c r="G136" s="496"/>
      <c r="H136" s="497"/>
      <c r="I136" s="496"/>
      <c r="J136" s="496"/>
      <c r="K136" s="496"/>
      <c r="L136" s="496"/>
      <c r="M136" s="482"/>
      <c r="N136" s="482"/>
      <c r="O136" s="488">
        <v>0.3</v>
      </c>
      <c r="P136" s="488">
        <v>0.3</v>
      </c>
      <c r="Q136" s="488">
        <v>0.2</v>
      </c>
      <c r="R136" s="488">
        <v>0.2</v>
      </c>
      <c r="S136" s="482"/>
      <c r="T136" s="482"/>
      <c r="U136" s="482"/>
      <c r="V136" s="482"/>
      <c r="W136" s="482"/>
      <c r="X136" s="482"/>
      <c r="Y136" s="482"/>
      <c r="Z136" s="482"/>
      <c r="AA136" s="482"/>
      <c r="AB136" s="482"/>
      <c r="AC136" s="482"/>
      <c r="AD136" s="482"/>
      <c r="AE136" s="482"/>
      <c r="AF136" s="482"/>
      <c r="AG136" s="482"/>
      <c r="AH136" s="482"/>
      <c r="AI136" s="482"/>
      <c r="AJ136" s="482"/>
      <c r="AK136" s="482"/>
      <c r="AL136" s="482"/>
      <c r="AM136" s="482"/>
      <c r="AN136" s="482"/>
      <c r="AO136" s="482"/>
      <c r="AP136" s="482"/>
      <c r="AQ136" s="482"/>
      <c r="AR136" s="482"/>
      <c r="AS136" s="482"/>
      <c r="AT136" s="482"/>
      <c r="AU136" s="482"/>
      <c r="AV136" s="482"/>
      <c r="AW136" s="424" t="str">
        <f>AW135</f>
        <v>有产权车库(个)</v>
      </c>
    </row>
    <row r="137" spans="1:49" s="424" customFormat="1" ht="13.5" customHeight="1" outlineLevel="1">
      <c r="A137" s="1944"/>
      <c r="B137" s="1949"/>
      <c r="C137" s="461" t="s">
        <v>682</v>
      </c>
      <c r="D137" s="466">
        <f t="shared" si="125"/>
        <v>422</v>
      </c>
      <c r="E137" s="382">
        <f>E136*'9.项目开发计划表'!$G$15</f>
        <v>0</v>
      </c>
      <c r="F137" s="397">
        <f>F136*'9.项目开发计划表'!$G$15</f>
        <v>0</v>
      </c>
      <c r="G137" s="397">
        <f>G136*'9.项目开发计划表'!$G$15</f>
        <v>0</v>
      </c>
      <c r="H137" s="467">
        <f>H136*'9.项目开发计划表'!$G$15</f>
        <v>0</v>
      </c>
      <c r="I137" s="382">
        <f>I136*'9.项目开发计划表'!$G$15</f>
        <v>0</v>
      </c>
      <c r="J137" s="397">
        <f>J136*'9.项目开发计划表'!$G$15</f>
        <v>0</v>
      </c>
      <c r="K137" s="397">
        <f>K136*'9.项目开发计划表'!$G$15</f>
        <v>0</v>
      </c>
      <c r="L137" s="467">
        <f>L136*'9.项目开发计划表'!$G$15</f>
        <v>0</v>
      </c>
      <c r="M137" s="382">
        <f>M136*'9.项目开发计划表'!$G$15</f>
        <v>0</v>
      </c>
      <c r="N137" s="397">
        <f>N136*'9.项目开发计划表'!$G$15</f>
        <v>0</v>
      </c>
      <c r="O137" s="397">
        <f>O136*'9.项目开发计划表'!$G$15</f>
        <v>126.6</v>
      </c>
      <c r="P137" s="467">
        <f>P136*'9.项目开发计划表'!$G$15</f>
        <v>126.6</v>
      </c>
      <c r="Q137" s="382">
        <f>Q136*'9.项目开发计划表'!$G$15</f>
        <v>84.4</v>
      </c>
      <c r="R137" s="397">
        <f>R136*'9.项目开发计划表'!$G$15</f>
        <v>84.4</v>
      </c>
      <c r="S137" s="397">
        <f>S136*'9.项目开发计划表'!$G$15</f>
        <v>0</v>
      </c>
      <c r="T137" s="467">
        <f>T136*'9.项目开发计划表'!$G$15</f>
        <v>0</v>
      </c>
      <c r="U137" s="382">
        <f>U136*'9.项目开发计划表'!$G$15</f>
        <v>0</v>
      </c>
      <c r="V137" s="397">
        <f>V136*'9.项目开发计划表'!$G$15</f>
        <v>0</v>
      </c>
      <c r="W137" s="397">
        <f>W136*'9.项目开发计划表'!$G$15</f>
        <v>0</v>
      </c>
      <c r="X137" s="467">
        <f>X136*'9.项目开发计划表'!$G$15</f>
        <v>0</v>
      </c>
      <c r="Y137" s="382">
        <f>Y136*'9.项目开发计划表'!$G$15</f>
        <v>0</v>
      </c>
      <c r="Z137" s="397">
        <f>Z136*'9.项目开发计划表'!$G$15</f>
        <v>0</v>
      </c>
      <c r="AA137" s="397">
        <f>AA136*'9.项目开发计划表'!$G$15</f>
        <v>0</v>
      </c>
      <c r="AB137" s="467">
        <f>AB136*'9.项目开发计划表'!$G$15</f>
        <v>0</v>
      </c>
      <c r="AC137" s="382">
        <f>AC136*'9.项目开发计划表'!$G$15</f>
        <v>0</v>
      </c>
      <c r="AD137" s="397">
        <f>AD136*'9.项目开发计划表'!$G$15</f>
        <v>0</v>
      </c>
      <c r="AE137" s="397">
        <f>AE136*'9.项目开发计划表'!$G$15</f>
        <v>0</v>
      </c>
      <c r="AF137" s="467">
        <f>AF136*'9.项目开发计划表'!$G$15</f>
        <v>0</v>
      </c>
      <c r="AG137" s="382">
        <f>AG136*'9.项目开发计划表'!$G$15</f>
        <v>0</v>
      </c>
      <c r="AH137" s="397">
        <f>AH136*'9.项目开发计划表'!$G$15</f>
        <v>0</v>
      </c>
      <c r="AI137" s="397">
        <f>AI136*'9.项目开发计划表'!$G$15</f>
        <v>0</v>
      </c>
      <c r="AJ137" s="467">
        <f>AJ136*'9.项目开发计划表'!$G$15</f>
        <v>0</v>
      </c>
      <c r="AK137" s="382">
        <f>AK136*'9.项目开发计划表'!$G$15</f>
        <v>0</v>
      </c>
      <c r="AL137" s="397">
        <f>AL136*'9.项目开发计划表'!$G$15</f>
        <v>0</v>
      </c>
      <c r="AM137" s="397">
        <f>AM136*'9.项目开发计划表'!$G$15</f>
        <v>0</v>
      </c>
      <c r="AN137" s="467">
        <f>AN136*'9.项目开发计划表'!$G$15</f>
        <v>0</v>
      </c>
      <c r="AO137" s="382">
        <f>AO136*'9.项目开发计划表'!$G$15</f>
        <v>0</v>
      </c>
      <c r="AP137" s="397">
        <f>AP136*'9.项目开发计划表'!$G$15</f>
        <v>0</v>
      </c>
      <c r="AQ137" s="397">
        <f>AQ136*'9.项目开发计划表'!$G$15</f>
        <v>0</v>
      </c>
      <c r="AR137" s="467">
        <f>AR136*'9.项目开发计划表'!$G$15</f>
        <v>0</v>
      </c>
      <c r="AS137" s="382">
        <f>AS136*'9.项目开发计划表'!$G$15</f>
        <v>0</v>
      </c>
      <c r="AT137" s="397">
        <f>AT136*'9.项目开发计划表'!$G$15</f>
        <v>0</v>
      </c>
      <c r="AU137" s="397">
        <f>AU136*'9.项目开发计划表'!$G$15</f>
        <v>0</v>
      </c>
      <c r="AV137" s="467">
        <f>AV136*'9.项目开发计划表'!$G$15</f>
        <v>0</v>
      </c>
      <c r="AW137" s="424" t="str">
        <f t="shared" si="107"/>
        <v>有产权车库(个)</v>
      </c>
    </row>
    <row r="138" spans="1:49" s="424" customFormat="1" ht="13.5" customHeight="1" outlineLevel="1">
      <c r="A138" s="1944"/>
      <c r="B138" s="1949"/>
      <c r="C138" s="461" t="s">
        <v>882</v>
      </c>
      <c r="D138" s="466">
        <f t="shared" si="125"/>
        <v>4726.3999999999996</v>
      </c>
      <c r="E138" s="382">
        <f t="shared" ref="E138:AV138" si="126">E135*E137/10000</f>
        <v>0</v>
      </c>
      <c r="F138" s="397">
        <f t="shared" si="126"/>
        <v>0</v>
      </c>
      <c r="G138" s="397">
        <f t="shared" si="126"/>
        <v>0</v>
      </c>
      <c r="H138" s="467">
        <f t="shared" si="126"/>
        <v>0</v>
      </c>
      <c r="I138" s="382">
        <f t="shared" si="126"/>
        <v>0</v>
      </c>
      <c r="J138" s="397">
        <f t="shared" si="126"/>
        <v>0</v>
      </c>
      <c r="K138" s="397">
        <f t="shared" si="126"/>
        <v>0</v>
      </c>
      <c r="L138" s="467">
        <f t="shared" si="126"/>
        <v>0</v>
      </c>
      <c r="M138" s="382">
        <f t="shared" si="126"/>
        <v>0</v>
      </c>
      <c r="N138" s="397">
        <f t="shared" si="126"/>
        <v>0</v>
      </c>
      <c r="O138" s="397">
        <f t="shared" si="126"/>
        <v>1772.4</v>
      </c>
      <c r="P138" s="467">
        <f t="shared" si="126"/>
        <v>1772.4</v>
      </c>
      <c r="Q138" s="382">
        <f t="shared" si="126"/>
        <v>1181.5999999999999</v>
      </c>
      <c r="R138" s="397">
        <f t="shared" si="126"/>
        <v>0</v>
      </c>
      <c r="S138" s="397">
        <f t="shared" si="126"/>
        <v>0</v>
      </c>
      <c r="T138" s="467">
        <f t="shared" si="126"/>
        <v>0</v>
      </c>
      <c r="U138" s="382">
        <f t="shared" si="126"/>
        <v>0</v>
      </c>
      <c r="V138" s="397">
        <f t="shared" si="126"/>
        <v>0</v>
      </c>
      <c r="W138" s="397">
        <f t="shared" si="126"/>
        <v>0</v>
      </c>
      <c r="X138" s="467">
        <f t="shared" si="126"/>
        <v>0</v>
      </c>
      <c r="Y138" s="382">
        <f t="shared" si="126"/>
        <v>0</v>
      </c>
      <c r="Z138" s="397">
        <f t="shared" si="126"/>
        <v>0</v>
      </c>
      <c r="AA138" s="397">
        <f t="shared" si="126"/>
        <v>0</v>
      </c>
      <c r="AB138" s="467">
        <f t="shared" si="126"/>
        <v>0</v>
      </c>
      <c r="AC138" s="382">
        <f t="shared" si="126"/>
        <v>0</v>
      </c>
      <c r="AD138" s="397">
        <f t="shared" si="126"/>
        <v>0</v>
      </c>
      <c r="AE138" s="397">
        <f t="shared" si="126"/>
        <v>0</v>
      </c>
      <c r="AF138" s="467">
        <f t="shared" si="126"/>
        <v>0</v>
      </c>
      <c r="AG138" s="382">
        <f t="shared" si="126"/>
        <v>0</v>
      </c>
      <c r="AH138" s="397">
        <f t="shared" si="126"/>
        <v>0</v>
      </c>
      <c r="AI138" s="397">
        <f t="shared" si="126"/>
        <v>0</v>
      </c>
      <c r="AJ138" s="467">
        <f t="shared" si="126"/>
        <v>0</v>
      </c>
      <c r="AK138" s="382">
        <f t="shared" si="126"/>
        <v>0</v>
      </c>
      <c r="AL138" s="397">
        <f t="shared" si="126"/>
        <v>0</v>
      </c>
      <c r="AM138" s="397">
        <f t="shared" si="126"/>
        <v>0</v>
      </c>
      <c r="AN138" s="467">
        <f t="shared" si="126"/>
        <v>0</v>
      </c>
      <c r="AO138" s="382">
        <f t="shared" si="126"/>
        <v>0</v>
      </c>
      <c r="AP138" s="397">
        <f t="shared" si="126"/>
        <v>0</v>
      </c>
      <c r="AQ138" s="397">
        <f t="shared" si="126"/>
        <v>0</v>
      </c>
      <c r="AR138" s="467">
        <f t="shared" si="126"/>
        <v>0</v>
      </c>
      <c r="AS138" s="382">
        <f t="shared" si="126"/>
        <v>0</v>
      </c>
      <c r="AT138" s="397">
        <f t="shared" si="126"/>
        <v>0</v>
      </c>
      <c r="AU138" s="397">
        <f t="shared" si="126"/>
        <v>0</v>
      </c>
      <c r="AV138" s="467">
        <f t="shared" si="126"/>
        <v>0</v>
      </c>
      <c r="AW138" s="424" t="str">
        <f t="shared" si="107"/>
        <v>有产权车库(个)</v>
      </c>
    </row>
    <row r="139" spans="1:49" s="424" customFormat="1" ht="13.5" customHeight="1" outlineLevel="1">
      <c r="A139" s="1944"/>
      <c r="B139" s="1949"/>
      <c r="C139" s="461" t="s">
        <v>450</v>
      </c>
      <c r="D139" s="468">
        <f t="shared" si="125"/>
        <v>4726.3999999999996</v>
      </c>
      <c r="E139" s="386">
        <f>SUMIF($I$1:$T$1,B135,$I$2:$T$2)*E138</f>
        <v>0</v>
      </c>
      <c r="F139" s="399">
        <f>(1-SUMIF($I$1:$T$1,B135,$I$2:$T$2))*E138+SUMIF($I$1:$T$1,B135,$I$2:$T$2)*F138</f>
        <v>0</v>
      </c>
      <c r="G139" s="399">
        <f>(1-SUMIF($I$1:$T$1,B135,$I$2:$T$2))*F138+SUMIF($I$1:$T$1,B135,$I$2:$T$2)*G138</f>
        <v>0</v>
      </c>
      <c r="H139" s="404">
        <f>(1-SUMIF($I$1:$T$1,B135,$I$2:$T$2))*G138+SUMIF($I$1:$T$1,B135,$I$2:$T$2)*H138</f>
        <v>0</v>
      </c>
      <c r="I139" s="386">
        <f>(1-SUMIF($I$1:$T$1,B135,$I$2:$T$2))*H138+SUMIF($I$1:$T$1,B135,$I$2:$T$2)*I138</f>
        <v>0</v>
      </c>
      <c r="J139" s="399">
        <f>(1-SUMIF($I$1:$T$1,B135,$I$2:$T$2))*I138+SUMIF($I$1:$T$1,B135,$I$2:$T$2)*J138</f>
        <v>0</v>
      </c>
      <c r="K139" s="399">
        <f>(1-SUMIF($I$1:$T$1,B135,$I$2:$T$2))*J138+SUMIF($I$1:$T$1,B135,$I$2:$T$2)*K138</f>
        <v>0</v>
      </c>
      <c r="L139" s="404">
        <f>(1-SUMIF($I$1:$T$1,B135,$I$2:$T$2))*K138+SUMIF($I$1:$T$1,B135,$I$2:$T$2)*L138</f>
        <v>0</v>
      </c>
      <c r="M139" s="386">
        <f>(1-SUMIF($I$1:$T$1,B135,$I$2:$T$2))*L138+SUMIF($I$1:$T$1,B135,$I$2:$T$2)*M138</f>
        <v>0</v>
      </c>
      <c r="N139" s="399">
        <f>(1-SUMIF($I$1:$T$1,B135,$I$2:$T$2))*M138+SUMIF($I$1:$T$1,B135,$I$2:$T$2)*N138</f>
        <v>0</v>
      </c>
      <c r="O139" s="399">
        <f>(1-SUMIF($I$1:$T$1,B135,$I$2:$T$2))*N138+SUMIF($I$1:$T$1,B135,$I$2:$T$2)*O138</f>
        <v>1772.4</v>
      </c>
      <c r="P139" s="404">
        <f>(1-SUMIF($I$1:$T$1,B135,$I$2:$T$2))*O138+SUMIF($I$1:$T$1,B135,$I$2:$T$2)*P138</f>
        <v>1772.4</v>
      </c>
      <c r="Q139" s="386">
        <f>(1-SUMIF($I$1:$T$1,B135,$I$2:$T$2))*P138+SUMIF($I$1:$T$1,B135,$I$2:$T$2)*Q138</f>
        <v>1181.5999999999999</v>
      </c>
      <c r="R139" s="399">
        <f>(1-SUMIF($I$1:$T$1,B135,$I$2:$T$2))*Q138+SUMIF($I$1:$T$1,B135,$I$2:$T$2)*R138</f>
        <v>0</v>
      </c>
      <c r="S139" s="399">
        <f>(1-SUMIF($I$1:$T$1,B135,$I$2:$T$2))*R138+SUMIF($I$1:$T$1,B135,$I$2:$T$2)*S138</f>
        <v>0</v>
      </c>
      <c r="T139" s="404">
        <f>(1-SUMIF($I$1:$T$1,B135,$I$2:$T$2))*S138+SUMIF($I$1:$T$1,B135,$I$2:$T$2)*T138</f>
        <v>0</v>
      </c>
      <c r="U139" s="386">
        <f>(1-SUMIF($I$1:$T$1,B135,$I$2:$T$2))*T138+SUMIF($I$1:$T$1,B135,$I$2:$T$2)*U138</f>
        <v>0</v>
      </c>
      <c r="V139" s="399">
        <f>(1-SUMIF($I$1:$T$1,B135,$I$2:$T$2))*U138+SUMIF($I$1:$T$1,B135,$I$2:$T$2)*V138</f>
        <v>0</v>
      </c>
      <c r="W139" s="399">
        <f>(1-SUMIF($I$1:$T$1,B135,$I$2:$T$2))*V138+SUMIF($I$1:$T$1,B135,$I$2:$T$2)*W138</f>
        <v>0</v>
      </c>
      <c r="X139" s="404">
        <f>(1-SUMIF($I$1:$T$1,B135,$I$2:$T$2))*W138+SUMIF($I$1:$T$1,B135,$I$2:$T$2)*X138</f>
        <v>0</v>
      </c>
      <c r="Y139" s="386">
        <f>(1-SUMIF($I$1:$T$1,B135,$I$2:$T$2))*X138+SUMIF($I$1:$T$1,B135,$I$2:$T$2)*Y138</f>
        <v>0</v>
      </c>
      <c r="Z139" s="399">
        <f>(1-SUMIF($I$1:$T$1,B135,$I$2:$T$2))*Y138+SUMIF($I$1:$T$1,B135,$I$2:$T$2)*Z138</f>
        <v>0</v>
      </c>
      <c r="AA139" s="399">
        <f>(1-SUMIF($I$1:$T$1,B135,$I$2:$T$2))*Z138+SUMIF($I$1:$T$1,B135,$I$2:$T$2)*AA138</f>
        <v>0</v>
      </c>
      <c r="AB139" s="404">
        <f>(1-SUMIF($I$1:$T$1,B135,$I$2:$T$2))*AA138+SUMIF($I$1:$T$1,B135,$I$2:$T$2)*AB138</f>
        <v>0</v>
      </c>
      <c r="AC139" s="386">
        <f>(1-SUMIF($I$1:$T$1,B135,$I$2:$T$2))*AB138+SUMIF($I$1:$T$1,B135,$I$2:$T$2)*AC138</f>
        <v>0</v>
      </c>
      <c r="AD139" s="399">
        <f>(1-SUMIF($I$1:$T$1,B135,$I$2:$T$2))*AC138+SUMIF($I$1:$T$1,B135,$I$2:$T$2)*AD138</f>
        <v>0</v>
      </c>
      <c r="AE139" s="399">
        <f>(1-SUMIF($I$1:$T$1,B135,$I$2:$T$2))*AD138+SUMIF($I$1:$T$1,B135,$I$2:$T$2)*AE138</f>
        <v>0</v>
      </c>
      <c r="AF139" s="404">
        <f>(1-SUMIF($I$1:$T$1,B135,$I$2:$T$2))*AE138+SUMIF($I$1:$T$1,B135,$I$2:$T$2)*AF138</f>
        <v>0</v>
      </c>
      <c r="AG139" s="386">
        <f>(1-SUMIF($I$1:$T$1,B135,$I$2:$T$2))*AF138+SUMIF($I$1:$T$1,B135,$I$2:$T$2)*AG138</f>
        <v>0</v>
      </c>
      <c r="AH139" s="399">
        <f>(1-SUMIF($I$1:$T$1,B135,$I$2:$T$2))*AG138+SUMIF($I$1:$T$1,B135,$I$2:$T$2)*AH138</f>
        <v>0</v>
      </c>
      <c r="AI139" s="399">
        <f>(1-SUMIF($I$1:$T$1,B135,$I$2:$T$2))*AH138+SUMIF($I$1:$T$1,B135,$I$2:$T$2)*AI138</f>
        <v>0</v>
      </c>
      <c r="AJ139" s="404">
        <f>(1-SUMIF($I$1:$T$1,B135,$I$2:$T$2))*AI138+SUMIF($I$1:$T$1,B135,$I$2:$T$2)*AJ138</f>
        <v>0</v>
      </c>
      <c r="AK139" s="386">
        <f>(1-SUMIF($I$1:$T$1,B135,$I$2:$T$2))*AJ138+SUMIF($I$1:$T$1,B135,$I$2:$T$2)*AK138</f>
        <v>0</v>
      </c>
      <c r="AL139" s="399">
        <f>(1-SUMIF($I$1:$T$1,B135,$I$2:$T$2))*AK138+SUMIF($I$1:$T$1,B135,$I$2:$T$2)*AL138</f>
        <v>0</v>
      </c>
      <c r="AM139" s="399">
        <f>(1-SUMIF($I$1:$T$1,B135,$I$2:$T$2))*AL138+SUMIF($I$1:$T$1,B135,$I$2:$T$2)*AM138</f>
        <v>0</v>
      </c>
      <c r="AN139" s="404">
        <f>(1-SUMIF($I$1:$T$1,B135,$I$2:$T$2))*AM138+SUMIF($I$1:$T$1,B135,$I$2:$T$2)*AN138</f>
        <v>0</v>
      </c>
      <c r="AO139" s="386">
        <f>(1-SUMIF($I$1:$T$1,B135,$I$2:$T$2))*AN138+SUMIF($I$1:$T$1,B135,$I$2:$T$2)*AO138</f>
        <v>0</v>
      </c>
      <c r="AP139" s="399">
        <f>(1-SUMIF($I$1:$T$1,B135,$I$2:$T$2))*AO138+SUMIF($I$1:$T$1,B135,$I$2:$T$2)*AP138</f>
        <v>0</v>
      </c>
      <c r="AQ139" s="399">
        <f>(1-SUMIF($I$1:$T$1,B135,$I$2:$T$2))*AP138+SUMIF($I$1:$T$1,B135,$I$2:$T$2)*AQ138</f>
        <v>0</v>
      </c>
      <c r="AR139" s="404">
        <f>(1-SUMIF($I$1:$T$1,B135,$I$2:$T$2))*AQ138+SUMIF($I$1:$T$1,B135,$I$2:$T$2)*AR138</f>
        <v>0</v>
      </c>
      <c r="AS139" s="386">
        <f>(1-SUMIF($I$1:$T$1,B135,$I$2:$T$2))*AR138+SUMIF($I$1:$T$1,B135,$I$2:$T$2)*AS138</f>
        <v>0</v>
      </c>
      <c r="AT139" s="399">
        <f>(1-SUMIF($I$1:$T$1,B135,$I$2:$T$2))*AS138+SUMIF($I$1:$T$1,B135,$I$2:$T$2)*AT138</f>
        <v>0</v>
      </c>
      <c r="AU139" s="399">
        <f>(1-SUMIF($I$1:$T$1,B135,$I$2:$T$2))*AT138+SUMIF($I$1:$T$1,B135,$I$2:$T$2)*AU138</f>
        <v>0</v>
      </c>
      <c r="AV139" s="404">
        <f>(1-SUMIF($I$1:$T$1,B135,$I$2:$T$2))*AU138+SUMIF($I$1:$T$1,B135,$I$2:$T$2)*AV138</f>
        <v>0</v>
      </c>
      <c r="AW139" s="424" t="str">
        <f t="shared" si="107"/>
        <v>有产权车库(个)</v>
      </c>
    </row>
    <row r="140" spans="1:49" s="424" customFormat="1" ht="13.5" customHeight="1" outlineLevel="1">
      <c r="A140" s="1944"/>
      <c r="B140" s="1949" t="str">
        <f>'9.项目开发计划表'!C16</f>
        <v>无产权车库(个)</v>
      </c>
      <c r="C140" s="461" t="s">
        <v>880</v>
      </c>
      <c r="D140" s="457">
        <f>IF(D142=0,0,D143/D142*10000)</f>
        <v>0</v>
      </c>
      <c r="E140" s="475"/>
      <c r="F140" s="476"/>
      <c r="G140" s="476"/>
      <c r="H140" s="477"/>
      <c r="I140" s="475"/>
      <c r="J140" s="476"/>
      <c r="K140" s="476"/>
      <c r="L140" s="477"/>
      <c r="M140" s="475"/>
      <c r="N140" s="476"/>
      <c r="O140" s="476"/>
      <c r="P140" s="477"/>
      <c r="Q140" s="475"/>
      <c r="R140" s="476"/>
      <c r="S140" s="476"/>
      <c r="T140" s="477"/>
      <c r="U140" s="475"/>
      <c r="V140" s="476"/>
      <c r="W140" s="476"/>
      <c r="X140" s="477"/>
      <c r="Y140" s="475"/>
      <c r="Z140" s="476"/>
      <c r="AA140" s="476"/>
      <c r="AB140" s="477"/>
      <c r="AC140" s="475"/>
      <c r="AD140" s="476"/>
      <c r="AE140" s="476"/>
      <c r="AF140" s="477"/>
      <c r="AG140" s="475"/>
      <c r="AH140" s="476"/>
      <c r="AI140" s="476"/>
      <c r="AJ140" s="477"/>
      <c r="AK140" s="475"/>
      <c r="AL140" s="476"/>
      <c r="AM140" s="476"/>
      <c r="AN140" s="477"/>
      <c r="AO140" s="475"/>
      <c r="AP140" s="476"/>
      <c r="AQ140" s="476"/>
      <c r="AR140" s="477"/>
      <c r="AS140" s="475"/>
      <c r="AT140" s="476"/>
      <c r="AU140" s="476"/>
      <c r="AV140" s="477"/>
      <c r="AW140" s="424" t="str">
        <f>B140</f>
        <v>无产权车库(个)</v>
      </c>
    </row>
    <row r="141" spans="1:49" ht="13.5" customHeight="1" outlineLevel="1">
      <c r="A141" s="1944"/>
      <c r="B141" s="1949"/>
      <c r="C141" s="461" t="s">
        <v>881</v>
      </c>
      <c r="D141" s="462">
        <f t="shared" ref="D141:D144" si="127">SUM(E141:AV141)</f>
        <v>0</v>
      </c>
      <c r="E141" s="482"/>
      <c r="F141" s="483"/>
      <c r="G141" s="483"/>
      <c r="H141" s="484"/>
      <c r="I141" s="482"/>
      <c r="J141" s="483"/>
      <c r="K141" s="483"/>
      <c r="L141" s="484"/>
      <c r="M141" s="482"/>
      <c r="N141" s="483"/>
      <c r="O141" s="483"/>
      <c r="P141" s="484"/>
      <c r="Q141" s="482"/>
      <c r="R141" s="483"/>
      <c r="S141" s="483"/>
      <c r="T141" s="484"/>
      <c r="U141" s="482"/>
      <c r="V141" s="483"/>
      <c r="W141" s="483"/>
      <c r="X141" s="484"/>
      <c r="Y141" s="482"/>
      <c r="Z141" s="483"/>
      <c r="AA141" s="483"/>
      <c r="AB141" s="484"/>
      <c r="AC141" s="482"/>
      <c r="AD141" s="483"/>
      <c r="AE141" s="483"/>
      <c r="AF141" s="484"/>
      <c r="AG141" s="482"/>
      <c r="AH141" s="483"/>
      <c r="AI141" s="483"/>
      <c r="AJ141" s="484"/>
      <c r="AK141" s="482"/>
      <c r="AL141" s="483"/>
      <c r="AM141" s="483"/>
      <c r="AN141" s="484"/>
      <c r="AO141" s="482"/>
      <c r="AP141" s="483"/>
      <c r="AQ141" s="483"/>
      <c r="AR141" s="484"/>
      <c r="AS141" s="482"/>
      <c r="AT141" s="483"/>
      <c r="AU141" s="483"/>
      <c r="AV141" s="484"/>
      <c r="AW141" s="424" t="str">
        <f>AW140</f>
        <v>无产权车库(个)</v>
      </c>
    </row>
    <row r="142" spans="1:49" s="424" customFormat="1" ht="13.5" customHeight="1" outlineLevel="1">
      <c r="A142" s="1944"/>
      <c r="B142" s="1949"/>
      <c r="C142" s="461" t="s">
        <v>682</v>
      </c>
      <c r="D142" s="466">
        <f t="shared" si="127"/>
        <v>0</v>
      </c>
      <c r="E142" s="382">
        <f>E141*'9.项目开发计划表'!$G$16</f>
        <v>0</v>
      </c>
      <c r="F142" s="397">
        <f>F141*'9.项目开发计划表'!$G$16</f>
        <v>0</v>
      </c>
      <c r="G142" s="397">
        <f>G141*'9.项目开发计划表'!$G$16</f>
        <v>0</v>
      </c>
      <c r="H142" s="467">
        <f>H141*'9.项目开发计划表'!$G$16</f>
        <v>0</v>
      </c>
      <c r="I142" s="382">
        <f>I141*'9.项目开发计划表'!$G$16</f>
        <v>0</v>
      </c>
      <c r="J142" s="397">
        <f>J141*'9.项目开发计划表'!$G$16</f>
        <v>0</v>
      </c>
      <c r="K142" s="397">
        <f>K141*'9.项目开发计划表'!$G$16</f>
        <v>0</v>
      </c>
      <c r="L142" s="467">
        <f>L141*'9.项目开发计划表'!$G$16</f>
        <v>0</v>
      </c>
      <c r="M142" s="382">
        <f>M141*'9.项目开发计划表'!$G$16</f>
        <v>0</v>
      </c>
      <c r="N142" s="397">
        <f>N141*'9.项目开发计划表'!$G$16</f>
        <v>0</v>
      </c>
      <c r="O142" s="397">
        <f>O141*'9.项目开发计划表'!$G$16</f>
        <v>0</v>
      </c>
      <c r="P142" s="467">
        <f>P141*'9.项目开发计划表'!$G$16</f>
        <v>0</v>
      </c>
      <c r="Q142" s="382">
        <f>Q141*'9.项目开发计划表'!$G$16</f>
        <v>0</v>
      </c>
      <c r="R142" s="397">
        <f>R141*'9.项目开发计划表'!$G$16</f>
        <v>0</v>
      </c>
      <c r="S142" s="397">
        <f>S141*'9.项目开发计划表'!$G$16</f>
        <v>0</v>
      </c>
      <c r="T142" s="467">
        <f>T141*'9.项目开发计划表'!$G$16</f>
        <v>0</v>
      </c>
      <c r="U142" s="382">
        <f>U141*'9.项目开发计划表'!$G$16</f>
        <v>0</v>
      </c>
      <c r="V142" s="397">
        <f>V141*'9.项目开发计划表'!$G$16</f>
        <v>0</v>
      </c>
      <c r="W142" s="397">
        <f>W141*'9.项目开发计划表'!$G$16</f>
        <v>0</v>
      </c>
      <c r="X142" s="467">
        <f>X141*'9.项目开发计划表'!$G$16</f>
        <v>0</v>
      </c>
      <c r="Y142" s="382">
        <f>Y141*'9.项目开发计划表'!$G$16</f>
        <v>0</v>
      </c>
      <c r="Z142" s="397">
        <f>Z141*'9.项目开发计划表'!$G$16</f>
        <v>0</v>
      </c>
      <c r="AA142" s="397">
        <f>AA141*'9.项目开发计划表'!$G$16</f>
        <v>0</v>
      </c>
      <c r="AB142" s="467">
        <f>AB141*'9.项目开发计划表'!$G$16</f>
        <v>0</v>
      </c>
      <c r="AC142" s="382">
        <f>AC141*'9.项目开发计划表'!$G$16</f>
        <v>0</v>
      </c>
      <c r="AD142" s="397">
        <f>AD141*'9.项目开发计划表'!$G$16</f>
        <v>0</v>
      </c>
      <c r="AE142" s="397">
        <f>AE141*'9.项目开发计划表'!$G$16</f>
        <v>0</v>
      </c>
      <c r="AF142" s="467">
        <f>AF141*'9.项目开发计划表'!$G$16</f>
        <v>0</v>
      </c>
      <c r="AG142" s="382">
        <f>AG141*'9.项目开发计划表'!$G$16</f>
        <v>0</v>
      </c>
      <c r="AH142" s="397">
        <f>AH141*'9.项目开发计划表'!$G$16</f>
        <v>0</v>
      </c>
      <c r="AI142" s="397">
        <f>AI141*'9.项目开发计划表'!$G$16</f>
        <v>0</v>
      </c>
      <c r="AJ142" s="467">
        <f>AJ141*'9.项目开发计划表'!$G$16</f>
        <v>0</v>
      </c>
      <c r="AK142" s="382">
        <f>AK141*'9.项目开发计划表'!$G$16</f>
        <v>0</v>
      </c>
      <c r="AL142" s="397">
        <f>AL141*'9.项目开发计划表'!$G$16</f>
        <v>0</v>
      </c>
      <c r="AM142" s="397">
        <f>AM141*'9.项目开发计划表'!$G$16</f>
        <v>0</v>
      </c>
      <c r="AN142" s="467">
        <f>AN141*'9.项目开发计划表'!$G$16</f>
        <v>0</v>
      </c>
      <c r="AO142" s="382">
        <f>AO141*'9.项目开发计划表'!$G$16</f>
        <v>0</v>
      </c>
      <c r="AP142" s="397">
        <f>AP141*'9.项目开发计划表'!$G$16</f>
        <v>0</v>
      </c>
      <c r="AQ142" s="397">
        <f>AQ141*'9.项目开发计划表'!$G$16</f>
        <v>0</v>
      </c>
      <c r="AR142" s="467">
        <f>AR141*'9.项目开发计划表'!$G$16</f>
        <v>0</v>
      </c>
      <c r="AS142" s="382">
        <f>AS141*'9.项目开发计划表'!$G$16</f>
        <v>0</v>
      </c>
      <c r="AT142" s="397">
        <f>AT141*'9.项目开发计划表'!$G$16</f>
        <v>0</v>
      </c>
      <c r="AU142" s="397">
        <f>AU141*'9.项目开发计划表'!$G$16</f>
        <v>0</v>
      </c>
      <c r="AV142" s="467">
        <f>AV141*'9.项目开发计划表'!$G$16</f>
        <v>0</v>
      </c>
      <c r="AW142" s="424" t="str">
        <f t="shared" si="107"/>
        <v>无产权车库(个)</v>
      </c>
    </row>
    <row r="143" spans="1:49" s="424" customFormat="1" ht="13.5" customHeight="1" outlineLevel="1">
      <c r="A143" s="1944"/>
      <c r="B143" s="1949"/>
      <c r="C143" s="461" t="s">
        <v>882</v>
      </c>
      <c r="D143" s="466">
        <f t="shared" si="127"/>
        <v>0</v>
      </c>
      <c r="E143" s="382">
        <f t="shared" ref="E143:AV143" si="128">E140*E142/10000</f>
        <v>0</v>
      </c>
      <c r="F143" s="397">
        <f t="shared" si="128"/>
        <v>0</v>
      </c>
      <c r="G143" s="397">
        <f t="shared" si="128"/>
        <v>0</v>
      </c>
      <c r="H143" s="467">
        <f t="shared" si="128"/>
        <v>0</v>
      </c>
      <c r="I143" s="382">
        <f t="shared" si="128"/>
        <v>0</v>
      </c>
      <c r="J143" s="397">
        <f t="shared" si="128"/>
        <v>0</v>
      </c>
      <c r="K143" s="397">
        <f t="shared" si="128"/>
        <v>0</v>
      </c>
      <c r="L143" s="467">
        <f t="shared" si="128"/>
        <v>0</v>
      </c>
      <c r="M143" s="382">
        <f t="shared" si="128"/>
        <v>0</v>
      </c>
      <c r="N143" s="397">
        <f t="shared" si="128"/>
        <v>0</v>
      </c>
      <c r="O143" s="397">
        <f t="shared" si="128"/>
        <v>0</v>
      </c>
      <c r="P143" s="467">
        <f t="shared" si="128"/>
        <v>0</v>
      </c>
      <c r="Q143" s="382">
        <f t="shared" si="128"/>
        <v>0</v>
      </c>
      <c r="R143" s="397">
        <f t="shared" si="128"/>
        <v>0</v>
      </c>
      <c r="S143" s="397">
        <f t="shared" si="128"/>
        <v>0</v>
      </c>
      <c r="T143" s="467">
        <f t="shared" si="128"/>
        <v>0</v>
      </c>
      <c r="U143" s="382">
        <f t="shared" si="128"/>
        <v>0</v>
      </c>
      <c r="V143" s="397">
        <f t="shared" si="128"/>
        <v>0</v>
      </c>
      <c r="W143" s="397">
        <f t="shared" si="128"/>
        <v>0</v>
      </c>
      <c r="X143" s="467">
        <f t="shared" si="128"/>
        <v>0</v>
      </c>
      <c r="Y143" s="382">
        <f t="shared" si="128"/>
        <v>0</v>
      </c>
      <c r="Z143" s="397">
        <f t="shared" si="128"/>
        <v>0</v>
      </c>
      <c r="AA143" s="397">
        <f t="shared" si="128"/>
        <v>0</v>
      </c>
      <c r="AB143" s="467">
        <f t="shared" si="128"/>
        <v>0</v>
      </c>
      <c r="AC143" s="382">
        <f t="shared" si="128"/>
        <v>0</v>
      </c>
      <c r="AD143" s="397">
        <f t="shared" si="128"/>
        <v>0</v>
      </c>
      <c r="AE143" s="397">
        <f t="shared" si="128"/>
        <v>0</v>
      </c>
      <c r="AF143" s="467">
        <f t="shared" si="128"/>
        <v>0</v>
      </c>
      <c r="AG143" s="382">
        <f t="shared" si="128"/>
        <v>0</v>
      </c>
      <c r="AH143" s="397">
        <f t="shared" si="128"/>
        <v>0</v>
      </c>
      <c r="AI143" s="397">
        <f t="shared" si="128"/>
        <v>0</v>
      </c>
      <c r="AJ143" s="467">
        <f t="shared" si="128"/>
        <v>0</v>
      </c>
      <c r="AK143" s="382">
        <f t="shared" si="128"/>
        <v>0</v>
      </c>
      <c r="AL143" s="397">
        <f t="shared" si="128"/>
        <v>0</v>
      </c>
      <c r="AM143" s="397">
        <f t="shared" si="128"/>
        <v>0</v>
      </c>
      <c r="AN143" s="467">
        <f t="shared" si="128"/>
        <v>0</v>
      </c>
      <c r="AO143" s="382">
        <f t="shared" si="128"/>
        <v>0</v>
      </c>
      <c r="AP143" s="397">
        <f t="shared" si="128"/>
        <v>0</v>
      </c>
      <c r="AQ143" s="397">
        <f t="shared" si="128"/>
        <v>0</v>
      </c>
      <c r="AR143" s="467">
        <f t="shared" si="128"/>
        <v>0</v>
      </c>
      <c r="AS143" s="382">
        <f t="shared" si="128"/>
        <v>0</v>
      </c>
      <c r="AT143" s="397">
        <f t="shared" si="128"/>
        <v>0</v>
      </c>
      <c r="AU143" s="397">
        <f t="shared" si="128"/>
        <v>0</v>
      </c>
      <c r="AV143" s="467">
        <f t="shared" si="128"/>
        <v>0</v>
      </c>
      <c r="AW143" s="424" t="str">
        <f t="shared" si="107"/>
        <v>无产权车库(个)</v>
      </c>
    </row>
    <row r="144" spans="1:49" s="424" customFormat="1" ht="13.5" customHeight="1" outlineLevel="1">
      <c r="A144" s="1945"/>
      <c r="B144" s="1950"/>
      <c r="C144" s="498" t="s">
        <v>450</v>
      </c>
      <c r="D144" s="499">
        <f t="shared" si="127"/>
        <v>0</v>
      </c>
      <c r="E144" s="386">
        <f>SUMIF($I$1:$T$1,B140,$I$2:$T$2)*E143</f>
        <v>0</v>
      </c>
      <c r="F144" s="399">
        <f>(1-SUMIF($I$1:$T$1,B140,$I$2:$T$2))*E143+SUMIF($I$1:$T$1,B140,$I$2:$T$2)*F143</f>
        <v>0</v>
      </c>
      <c r="G144" s="399">
        <f>(1-SUMIF($I$1:$T$1,B140,$I$2:$T$2))*F143+SUMIF($I$1:$T$1,B140,$I$2:$T$2)*G143</f>
        <v>0</v>
      </c>
      <c r="H144" s="404">
        <f>(1-SUMIF($I$1:$T$1,B140,$I$2:$T$2))*G143+SUMIF($I$1:$T$1,B140,$I$2:$T$2)*H143</f>
        <v>0</v>
      </c>
      <c r="I144" s="386">
        <f>(1-SUMIF($I$1:$T$1,B140,$I$2:$T$2))*H143+SUMIF($I$1:$T$1,B140,$I$2:$T$2)*I143</f>
        <v>0</v>
      </c>
      <c r="J144" s="399">
        <f>(1-SUMIF($I$1:$T$1,B140,$I$2:$T$2))*I143+SUMIF($I$1:$T$1,B140,$I$2:$T$2)*J143</f>
        <v>0</v>
      </c>
      <c r="K144" s="399">
        <f>(1-SUMIF($I$1:$T$1,B140,$I$2:$T$2))*J143+SUMIF($I$1:$T$1,B140,$I$2:$T$2)*K143</f>
        <v>0</v>
      </c>
      <c r="L144" s="404">
        <f>(1-SUMIF($I$1:$T$1,B140,$I$2:$T$2))*K143+SUMIF($I$1:$T$1,B140,$I$2:$T$2)*L143</f>
        <v>0</v>
      </c>
      <c r="M144" s="386">
        <f>(1-SUMIF($I$1:$T$1,B140,$I$2:$T$2))*L143+SUMIF($I$1:$T$1,B140,$I$2:$T$2)*M143</f>
        <v>0</v>
      </c>
      <c r="N144" s="399">
        <f>(1-SUMIF($I$1:$T$1,B140,$I$2:$T$2))*M143+SUMIF($I$1:$T$1,B140,$I$2:$T$2)*N143</f>
        <v>0</v>
      </c>
      <c r="O144" s="399">
        <f>(1-SUMIF($I$1:$T$1,B140,$I$2:$T$2))*N143+SUMIF($I$1:$T$1,B140,$I$2:$T$2)*O143</f>
        <v>0</v>
      </c>
      <c r="P144" s="404">
        <f>(1-SUMIF($I$1:$T$1,B140,$I$2:$T$2))*O143+SUMIF($I$1:$T$1,B140,$I$2:$T$2)*P143</f>
        <v>0</v>
      </c>
      <c r="Q144" s="386">
        <f>(1-SUMIF($I$1:$T$1,B140,$I$2:$T$2))*P143+SUMIF($I$1:$T$1,B140,$I$2:$T$2)*Q143</f>
        <v>0</v>
      </c>
      <c r="R144" s="399">
        <f>(1-SUMIF($I$1:$T$1,B140,$I$2:$T$2))*Q143+SUMIF($I$1:$T$1,B140,$I$2:$T$2)*R143</f>
        <v>0</v>
      </c>
      <c r="S144" s="399">
        <f>(1-SUMIF($I$1:$T$1,B140,$I$2:$T$2))*R143+SUMIF($I$1:$T$1,B140,$I$2:$T$2)*S143</f>
        <v>0</v>
      </c>
      <c r="T144" s="404">
        <f>(1-SUMIF($I$1:$T$1,B140,$I$2:$T$2))*S143+SUMIF($I$1:$T$1,B140,$I$2:$T$2)*T143</f>
        <v>0</v>
      </c>
      <c r="U144" s="386">
        <f>(1-SUMIF($I$1:$T$1,B140,$I$2:$T$2))*T143+SUMIF($I$1:$T$1,B140,$I$2:$T$2)*U143</f>
        <v>0</v>
      </c>
      <c r="V144" s="399">
        <f>(1-SUMIF($I$1:$T$1,B140,$I$2:$T$2))*U143+SUMIF($I$1:$T$1,B140,$I$2:$T$2)*V143</f>
        <v>0</v>
      </c>
      <c r="W144" s="399">
        <f>(1-SUMIF($I$1:$T$1,B140,$I$2:$T$2))*V143+SUMIF($I$1:$T$1,B140,$I$2:$T$2)*W143</f>
        <v>0</v>
      </c>
      <c r="X144" s="404">
        <f>(1-SUMIF($I$1:$T$1,B140,$I$2:$T$2))*W143+SUMIF($I$1:$T$1,B140,$I$2:$T$2)*X143</f>
        <v>0</v>
      </c>
      <c r="Y144" s="386">
        <f>(1-SUMIF($I$1:$T$1,B140,$I$2:$T$2))*X143+SUMIF($I$1:$T$1,B140,$I$2:$T$2)*Y143</f>
        <v>0</v>
      </c>
      <c r="Z144" s="399">
        <f>(1-SUMIF($I$1:$T$1,B140,$I$2:$T$2))*Y143+SUMIF($I$1:$T$1,B140,$I$2:$T$2)*Z143</f>
        <v>0</v>
      </c>
      <c r="AA144" s="399">
        <f>(1-SUMIF($I$1:$T$1,B140,$I$2:$T$2))*Z143+SUMIF($I$1:$T$1,B140,$I$2:$T$2)*AA143</f>
        <v>0</v>
      </c>
      <c r="AB144" s="404">
        <f>(1-SUMIF($I$1:$T$1,B140,$I$2:$T$2))*AA143+SUMIF($I$1:$T$1,B140,$I$2:$T$2)*AB143</f>
        <v>0</v>
      </c>
      <c r="AC144" s="386">
        <f>(1-SUMIF($I$1:$T$1,B140,$I$2:$T$2))*AB143+SUMIF($I$1:$T$1,B140,$I$2:$T$2)*AC143</f>
        <v>0</v>
      </c>
      <c r="AD144" s="399">
        <f>(1-SUMIF($I$1:$T$1,B140,$I$2:$T$2))*AC143+SUMIF($I$1:$T$1,B140,$I$2:$T$2)*AD143</f>
        <v>0</v>
      </c>
      <c r="AE144" s="399">
        <f>(1-SUMIF($I$1:$T$1,B140,$I$2:$T$2))*AD143+SUMIF($I$1:$T$1,B140,$I$2:$T$2)*AE143</f>
        <v>0</v>
      </c>
      <c r="AF144" s="404">
        <f>(1-SUMIF($I$1:$T$1,B140,$I$2:$T$2))*AE143+SUMIF($I$1:$T$1,B140,$I$2:$T$2)*AF143</f>
        <v>0</v>
      </c>
      <c r="AG144" s="386">
        <f>(1-SUMIF($I$1:$T$1,B140,$I$2:$T$2))*AF143+SUMIF($I$1:$T$1,B140,$I$2:$T$2)*AG143</f>
        <v>0</v>
      </c>
      <c r="AH144" s="399">
        <f>(1-SUMIF($I$1:$T$1,B140,$I$2:$T$2))*AG143+SUMIF($I$1:$T$1,B140,$I$2:$T$2)*AH143</f>
        <v>0</v>
      </c>
      <c r="AI144" s="399">
        <f>(1-SUMIF($I$1:$T$1,B140,$I$2:$T$2))*AH143+SUMIF($I$1:$T$1,B140,$I$2:$T$2)*AI143</f>
        <v>0</v>
      </c>
      <c r="AJ144" s="404">
        <f>(1-SUMIF($I$1:$T$1,B140,$I$2:$T$2))*AI143+SUMIF($I$1:$T$1,B140,$I$2:$T$2)*AJ143</f>
        <v>0</v>
      </c>
      <c r="AK144" s="386">
        <f>(1-SUMIF($I$1:$T$1,B140,$I$2:$T$2))*AJ143+SUMIF($I$1:$T$1,B140,$I$2:$T$2)*AK143</f>
        <v>0</v>
      </c>
      <c r="AL144" s="399">
        <f>(1-SUMIF($I$1:$T$1,B140,$I$2:$T$2))*AK143+SUMIF($I$1:$T$1,B140,$I$2:$T$2)*AL143</f>
        <v>0</v>
      </c>
      <c r="AM144" s="399">
        <f>(1-SUMIF($I$1:$T$1,B140,$I$2:$T$2))*AL143+SUMIF($I$1:$T$1,B140,$I$2:$T$2)*AM143</f>
        <v>0</v>
      </c>
      <c r="AN144" s="404">
        <f>(1-SUMIF($I$1:$T$1,B140,$I$2:$T$2))*AM143+SUMIF($I$1:$T$1,B140,$I$2:$T$2)*AN143</f>
        <v>0</v>
      </c>
      <c r="AO144" s="386">
        <f>(1-SUMIF($I$1:$T$1,B140,$I$2:$T$2))*AN143+SUMIF($I$1:$T$1,B140,$I$2:$T$2)*AO143</f>
        <v>0</v>
      </c>
      <c r="AP144" s="399">
        <f>(1-SUMIF($I$1:$T$1,B140,$I$2:$T$2))*AO143+SUMIF($I$1:$T$1,B140,$I$2:$T$2)*AP143</f>
        <v>0</v>
      </c>
      <c r="AQ144" s="399">
        <f>(1-SUMIF($I$1:$T$1,B140,$I$2:$T$2))*AP143+SUMIF($I$1:$T$1,B140,$I$2:$T$2)*AQ143</f>
        <v>0</v>
      </c>
      <c r="AR144" s="404">
        <f>(1-SUMIF($I$1:$T$1,B140,$I$2:$T$2))*AQ143+SUMIF($I$1:$T$1,B140,$I$2:$T$2)*AR143</f>
        <v>0</v>
      </c>
      <c r="AS144" s="386">
        <f>(1-SUMIF($I$1:$T$1,B140,$I$2:$T$2))*AR143+SUMIF($I$1:$T$1,B140,$I$2:$T$2)*AS143</f>
        <v>0</v>
      </c>
      <c r="AT144" s="399">
        <f>(1-SUMIF($I$1:$T$1,B140,$I$2:$T$2))*AS143+SUMIF($I$1:$T$1,B140,$I$2:$T$2)*AT143</f>
        <v>0</v>
      </c>
      <c r="AU144" s="399">
        <f>(1-SUMIF($I$1:$T$1,B140,$I$2:$T$2))*AT143+SUMIF($I$1:$T$1,B140,$I$2:$T$2)*AU143</f>
        <v>0</v>
      </c>
      <c r="AV144" s="404">
        <f>(1-SUMIF($I$1:$T$1,B140,$I$2:$T$2))*AU143+SUMIF($I$1:$T$1,B140,$I$2:$T$2)*AV143</f>
        <v>0</v>
      </c>
      <c r="AW144" s="424" t="str">
        <f t="shared" si="107"/>
        <v>无产权车库(个)</v>
      </c>
    </row>
    <row r="145" spans="1:49" s="424" customFormat="1" ht="13.5" customHeight="1">
      <c r="A145" s="1946" t="s">
        <v>20</v>
      </c>
      <c r="B145" s="1951" t="s">
        <v>889</v>
      </c>
      <c r="C145" s="500" t="s">
        <v>880</v>
      </c>
      <c r="D145" s="501">
        <f>IF(D147=0,0,D148/D147*10000)</f>
        <v>0</v>
      </c>
      <c r="E145" s="502">
        <f t="shared" ref="E145:AV145" si="129">IF(E147=0,0,E148/E147*10000)</f>
        <v>0</v>
      </c>
      <c r="F145" s="503">
        <f t="shared" si="129"/>
        <v>0</v>
      </c>
      <c r="G145" s="503">
        <f t="shared" si="129"/>
        <v>0</v>
      </c>
      <c r="H145" s="504">
        <f t="shared" si="129"/>
        <v>0</v>
      </c>
      <c r="I145" s="502">
        <f t="shared" si="129"/>
        <v>0</v>
      </c>
      <c r="J145" s="503">
        <f t="shared" si="129"/>
        <v>0</v>
      </c>
      <c r="K145" s="503">
        <f t="shared" si="129"/>
        <v>0</v>
      </c>
      <c r="L145" s="504">
        <f t="shared" si="129"/>
        <v>0</v>
      </c>
      <c r="M145" s="502">
        <f t="shared" si="129"/>
        <v>0</v>
      </c>
      <c r="N145" s="503">
        <f t="shared" si="129"/>
        <v>0</v>
      </c>
      <c r="O145" s="503">
        <f t="shared" si="129"/>
        <v>0</v>
      </c>
      <c r="P145" s="504">
        <f t="shared" si="129"/>
        <v>0</v>
      </c>
      <c r="Q145" s="502">
        <f t="shared" si="129"/>
        <v>0</v>
      </c>
      <c r="R145" s="503">
        <f t="shared" si="129"/>
        <v>0</v>
      </c>
      <c r="S145" s="503">
        <f t="shared" si="129"/>
        <v>0</v>
      </c>
      <c r="T145" s="504">
        <f t="shared" si="129"/>
        <v>0</v>
      </c>
      <c r="U145" s="502">
        <f t="shared" si="129"/>
        <v>0</v>
      </c>
      <c r="V145" s="503">
        <f t="shared" si="129"/>
        <v>0</v>
      </c>
      <c r="W145" s="503">
        <f t="shared" si="129"/>
        <v>0</v>
      </c>
      <c r="X145" s="504">
        <f t="shared" si="129"/>
        <v>0</v>
      </c>
      <c r="Y145" s="502">
        <f t="shared" si="129"/>
        <v>0</v>
      </c>
      <c r="Z145" s="503">
        <f t="shared" si="129"/>
        <v>0</v>
      </c>
      <c r="AA145" s="503">
        <f t="shared" si="129"/>
        <v>0</v>
      </c>
      <c r="AB145" s="504">
        <f t="shared" si="129"/>
        <v>0</v>
      </c>
      <c r="AC145" s="502">
        <f t="shared" si="129"/>
        <v>0</v>
      </c>
      <c r="AD145" s="503">
        <f t="shared" si="129"/>
        <v>0</v>
      </c>
      <c r="AE145" s="503">
        <f t="shared" si="129"/>
        <v>0</v>
      </c>
      <c r="AF145" s="504">
        <f t="shared" si="129"/>
        <v>0</v>
      </c>
      <c r="AG145" s="502">
        <f t="shared" si="129"/>
        <v>0</v>
      </c>
      <c r="AH145" s="503">
        <f t="shared" si="129"/>
        <v>0</v>
      </c>
      <c r="AI145" s="503">
        <f t="shared" si="129"/>
        <v>0</v>
      </c>
      <c r="AJ145" s="504">
        <f t="shared" si="129"/>
        <v>0</v>
      </c>
      <c r="AK145" s="502">
        <f t="shared" si="129"/>
        <v>0</v>
      </c>
      <c r="AL145" s="503">
        <f t="shared" si="129"/>
        <v>0</v>
      </c>
      <c r="AM145" s="503">
        <f t="shared" si="129"/>
        <v>0</v>
      </c>
      <c r="AN145" s="504">
        <f t="shared" si="129"/>
        <v>0</v>
      </c>
      <c r="AO145" s="502">
        <f t="shared" si="129"/>
        <v>0</v>
      </c>
      <c r="AP145" s="503">
        <f t="shared" si="129"/>
        <v>0</v>
      </c>
      <c r="AQ145" s="503">
        <f t="shared" si="129"/>
        <v>0</v>
      </c>
      <c r="AR145" s="504">
        <f t="shared" si="129"/>
        <v>0</v>
      </c>
      <c r="AS145" s="502">
        <f t="shared" si="129"/>
        <v>0</v>
      </c>
      <c r="AT145" s="503">
        <f t="shared" si="129"/>
        <v>0</v>
      </c>
      <c r="AU145" s="503">
        <f t="shared" si="129"/>
        <v>0</v>
      </c>
      <c r="AV145" s="504">
        <f t="shared" si="129"/>
        <v>0</v>
      </c>
      <c r="AW145" s="473"/>
    </row>
    <row r="146" spans="1:49" ht="13.5" customHeight="1">
      <c r="A146" s="1947"/>
      <c r="B146" s="1952"/>
      <c r="C146" s="438" t="s">
        <v>881</v>
      </c>
      <c r="D146" s="439">
        <f>SUM(E146:AV146)</f>
        <v>0</v>
      </c>
      <c r="E146" s="440">
        <f>IFERROR(E147/$D147,0)</f>
        <v>0</v>
      </c>
      <c r="F146" s="441">
        <f t="shared" ref="F146:AV146" si="130">IFERROR(F147/$D147,0)</f>
        <v>0</v>
      </c>
      <c r="G146" s="441">
        <f t="shared" si="130"/>
        <v>0</v>
      </c>
      <c r="H146" s="442">
        <f t="shared" si="130"/>
        <v>0</v>
      </c>
      <c r="I146" s="440">
        <f t="shared" si="130"/>
        <v>0</v>
      </c>
      <c r="J146" s="441">
        <f t="shared" si="130"/>
        <v>0</v>
      </c>
      <c r="K146" s="441">
        <f t="shared" si="130"/>
        <v>0</v>
      </c>
      <c r="L146" s="442">
        <f t="shared" si="130"/>
        <v>0</v>
      </c>
      <c r="M146" s="440">
        <f t="shared" si="130"/>
        <v>0</v>
      </c>
      <c r="N146" s="441">
        <f t="shared" si="130"/>
        <v>0</v>
      </c>
      <c r="O146" s="441">
        <f t="shared" si="130"/>
        <v>0</v>
      </c>
      <c r="P146" s="442">
        <f t="shared" si="130"/>
        <v>0</v>
      </c>
      <c r="Q146" s="440">
        <f t="shared" si="130"/>
        <v>0</v>
      </c>
      <c r="R146" s="441">
        <f t="shared" si="130"/>
        <v>0</v>
      </c>
      <c r="S146" s="441">
        <f t="shared" si="130"/>
        <v>0</v>
      </c>
      <c r="T146" s="442">
        <f t="shared" si="130"/>
        <v>0</v>
      </c>
      <c r="U146" s="440">
        <f t="shared" si="130"/>
        <v>0</v>
      </c>
      <c r="V146" s="441">
        <f t="shared" si="130"/>
        <v>0</v>
      </c>
      <c r="W146" s="441">
        <f t="shared" si="130"/>
        <v>0</v>
      </c>
      <c r="X146" s="442">
        <f t="shared" si="130"/>
        <v>0</v>
      </c>
      <c r="Y146" s="440">
        <f t="shared" si="130"/>
        <v>0</v>
      </c>
      <c r="Z146" s="441">
        <f t="shared" si="130"/>
        <v>0</v>
      </c>
      <c r="AA146" s="441">
        <f t="shared" si="130"/>
        <v>0</v>
      </c>
      <c r="AB146" s="442">
        <f t="shared" si="130"/>
        <v>0</v>
      </c>
      <c r="AC146" s="440">
        <f t="shared" si="130"/>
        <v>0</v>
      </c>
      <c r="AD146" s="441">
        <f t="shared" si="130"/>
        <v>0</v>
      </c>
      <c r="AE146" s="441">
        <f t="shared" si="130"/>
        <v>0</v>
      </c>
      <c r="AF146" s="442">
        <f t="shared" si="130"/>
        <v>0</v>
      </c>
      <c r="AG146" s="440">
        <f t="shared" si="130"/>
        <v>0</v>
      </c>
      <c r="AH146" s="441">
        <f t="shared" si="130"/>
        <v>0</v>
      </c>
      <c r="AI146" s="441">
        <f t="shared" si="130"/>
        <v>0</v>
      </c>
      <c r="AJ146" s="442">
        <f t="shared" si="130"/>
        <v>0</v>
      </c>
      <c r="AK146" s="440">
        <f t="shared" si="130"/>
        <v>0</v>
      </c>
      <c r="AL146" s="441">
        <f t="shared" si="130"/>
        <v>0</v>
      </c>
      <c r="AM146" s="441">
        <f t="shared" si="130"/>
        <v>0</v>
      </c>
      <c r="AN146" s="442">
        <f t="shared" si="130"/>
        <v>0</v>
      </c>
      <c r="AO146" s="440">
        <f t="shared" si="130"/>
        <v>0</v>
      </c>
      <c r="AP146" s="441">
        <f t="shared" si="130"/>
        <v>0</v>
      </c>
      <c r="AQ146" s="441">
        <f t="shared" si="130"/>
        <v>0</v>
      </c>
      <c r="AR146" s="442">
        <f t="shared" si="130"/>
        <v>0</v>
      </c>
      <c r="AS146" s="440">
        <f t="shared" si="130"/>
        <v>0</v>
      </c>
      <c r="AT146" s="441">
        <f t="shared" si="130"/>
        <v>0</v>
      </c>
      <c r="AU146" s="441">
        <f t="shared" si="130"/>
        <v>0</v>
      </c>
      <c r="AV146" s="442">
        <f t="shared" si="130"/>
        <v>0</v>
      </c>
      <c r="AW146" s="78"/>
    </row>
    <row r="147" spans="1:49" s="424" customFormat="1" ht="13.5" customHeight="1">
      <c r="A147" s="1947"/>
      <c r="B147" s="1952"/>
      <c r="C147" s="438" t="s">
        <v>682</v>
      </c>
      <c r="D147" s="443">
        <f t="shared" ref="D147:AV147" si="131">SUM(D157,D162,D167,D172,D177,D182,D187,D192,D197,D202)</f>
        <v>0</v>
      </c>
      <c r="E147" s="444">
        <f t="shared" si="131"/>
        <v>0</v>
      </c>
      <c r="F147" s="445">
        <f t="shared" si="131"/>
        <v>0</v>
      </c>
      <c r="G147" s="445">
        <f t="shared" si="131"/>
        <v>0</v>
      </c>
      <c r="H147" s="446">
        <f t="shared" si="131"/>
        <v>0</v>
      </c>
      <c r="I147" s="444">
        <f t="shared" si="131"/>
        <v>0</v>
      </c>
      <c r="J147" s="445">
        <f t="shared" si="131"/>
        <v>0</v>
      </c>
      <c r="K147" s="445">
        <f t="shared" si="131"/>
        <v>0</v>
      </c>
      <c r="L147" s="446">
        <f t="shared" si="131"/>
        <v>0</v>
      </c>
      <c r="M147" s="444">
        <f t="shared" si="131"/>
        <v>0</v>
      </c>
      <c r="N147" s="445">
        <f t="shared" si="131"/>
        <v>0</v>
      </c>
      <c r="O147" s="445">
        <f t="shared" si="131"/>
        <v>0</v>
      </c>
      <c r="P147" s="446">
        <f t="shared" si="131"/>
        <v>0</v>
      </c>
      <c r="Q147" s="444">
        <f t="shared" si="131"/>
        <v>0</v>
      </c>
      <c r="R147" s="445">
        <f t="shared" si="131"/>
        <v>0</v>
      </c>
      <c r="S147" s="445">
        <f t="shared" si="131"/>
        <v>0</v>
      </c>
      <c r="T147" s="446">
        <f t="shared" si="131"/>
        <v>0</v>
      </c>
      <c r="U147" s="444">
        <f t="shared" si="131"/>
        <v>0</v>
      </c>
      <c r="V147" s="445">
        <f t="shared" si="131"/>
        <v>0</v>
      </c>
      <c r="W147" s="445">
        <f t="shared" si="131"/>
        <v>0</v>
      </c>
      <c r="X147" s="446">
        <f t="shared" si="131"/>
        <v>0</v>
      </c>
      <c r="Y147" s="444">
        <f t="shared" si="131"/>
        <v>0</v>
      </c>
      <c r="Z147" s="445">
        <f t="shared" si="131"/>
        <v>0</v>
      </c>
      <c r="AA147" s="445">
        <f t="shared" si="131"/>
        <v>0</v>
      </c>
      <c r="AB147" s="446">
        <f t="shared" si="131"/>
        <v>0</v>
      </c>
      <c r="AC147" s="444">
        <f t="shared" si="131"/>
        <v>0</v>
      </c>
      <c r="AD147" s="445">
        <f t="shared" si="131"/>
        <v>0</v>
      </c>
      <c r="AE147" s="445">
        <f t="shared" si="131"/>
        <v>0</v>
      </c>
      <c r="AF147" s="446">
        <f t="shared" si="131"/>
        <v>0</v>
      </c>
      <c r="AG147" s="444">
        <f t="shared" si="131"/>
        <v>0</v>
      </c>
      <c r="AH147" s="445">
        <f t="shared" si="131"/>
        <v>0</v>
      </c>
      <c r="AI147" s="445">
        <f t="shared" si="131"/>
        <v>0</v>
      </c>
      <c r="AJ147" s="446">
        <f t="shared" si="131"/>
        <v>0</v>
      </c>
      <c r="AK147" s="444">
        <f t="shared" si="131"/>
        <v>0</v>
      </c>
      <c r="AL147" s="445">
        <f t="shared" si="131"/>
        <v>0</v>
      </c>
      <c r="AM147" s="445">
        <f t="shared" si="131"/>
        <v>0</v>
      </c>
      <c r="AN147" s="446">
        <f t="shared" si="131"/>
        <v>0</v>
      </c>
      <c r="AO147" s="444">
        <f t="shared" si="131"/>
        <v>0</v>
      </c>
      <c r="AP147" s="445">
        <f t="shared" si="131"/>
        <v>0</v>
      </c>
      <c r="AQ147" s="445">
        <f t="shared" si="131"/>
        <v>0</v>
      </c>
      <c r="AR147" s="446">
        <f t="shared" si="131"/>
        <v>0</v>
      </c>
      <c r="AS147" s="444">
        <f t="shared" si="131"/>
        <v>0</v>
      </c>
      <c r="AT147" s="445">
        <f t="shared" si="131"/>
        <v>0</v>
      </c>
      <c r="AU147" s="445">
        <f t="shared" si="131"/>
        <v>0</v>
      </c>
      <c r="AV147" s="446">
        <f t="shared" si="131"/>
        <v>0</v>
      </c>
      <c r="AW147" s="473"/>
    </row>
    <row r="148" spans="1:49" s="424" customFormat="1" ht="13.5" customHeight="1">
      <c r="A148" s="1947"/>
      <c r="B148" s="1952"/>
      <c r="C148" s="438" t="s">
        <v>882</v>
      </c>
      <c r="D148" s="443">
        <f t="shared" ref="D148:AV148" si="132">SUM(D158,D163,D168,D173,D178,D183,D188,D193,D198,D203)</f>
        <v>0</v>
      </c>
      <c r="E148" s="444">
        <f t="shared" si="132"/>
        <v>0</v>
      </c>
      <c r="F148" s="445">
        <f t="shared" si="132"/>
        <v>0</v>
      </c>
      <c r="G148" s="445">
        <f t="shared" si="132"/>
        <v>0</v>
      </c>
      <c r="H148" s="446">
        <f t="shared" si="132"/>
        <v>0</v>
      </c>
      <c r="I148" s="444">
        <f t="shared" si="132"/>
        <v>0</v>
      </c>
      <c r="J148" s="445">
        <f t="shared" si="132"/>
        <v>0</v>
      </c>
      <c r="K148" s="445">
        <f t="shared" si="132"/>
        <v>0</v>
      </c>
      <c r="L148" s="446">
        <f t="shared" si="132"/>
        <v>0</v>
      </c>
      <c r="M148" s="444">
        <f t="shared" si="132"/>
        <v>0</v>
      </c>
      <c r="N148" s="445">
        <f t="shared" si="132"/>
        <v>0</v>
      </c>
      <c r="O148" s="445">
        <f t="shared" si="132"/>
        <v>0</v>
      </c>
      <c r="P148" s="446">
        <f t="shared" si="132"/>
        <v>0</v>
      </c>
      <c r="Q148" s="444">
        <f t="shared" si="132"/>
        <v>0</v>
      </c>
      <c r="R148" s="445">
        <f t="shared" si="132"/>
        <v>0</v>
      </c>
      <c r="S148" s="445">
        <f t="shared" si="132"/>
        <v>0</v>
      </c>
      <c r="T148" s="446">
        <f t="shared" si="132"/>
        <v>0</v>
      </c>
      <c r="U148" s="444">
        <f t="shared" si="132"/>
        <v>0</v>
      </c>
      <c r="V148" s="445">
        <f t="shared" si="132"/>
        <v>0</v>
      </c>
      <c r="W148" s="445">
        <f t="shared" si="132"/>
        <v>0</v>
      </c>
      <c r="X148" s="446">
        <f t="shared" si="132"/>
        <v>0</v>
      </c>
      <c r="Y148" s="444">
        <f t="shared" si="132"/>
        <v>0</v>
      </c>
      <c r="Z148" s="445">
        <f t="shared" si="132"/>
        <v>0</v>
      </c>
      <c r="AA148" s="445">
        <f t="shared" si="132"/>
        <v>0</v>
      </c>
      <c r="AB148" s="446">
        <f t="shared" si="132"/>
        <v>0</v>
      </c>
      <c r="AC148" s="444">
        <f t="shared" si="132"/>
        <v>0</v>
      </c>
      <c r="AD148" s="445">
        <f t="shared" si="132"/>
        <v>0</v>
      </c>
      <c r="AE148" s="445">
        <f t="shared" si="132"/>
        <v>0</v>
      </c>
      <c r="AF148" s="446">
        <f t="shared" si="132"/>
        <v>0</v>
      </c>
      <c r="AG148" s="444">
        <f t="shared" si="132"/>
        <v>0</v>
      </c>
      <c r="AH148" s="445">
        <f t="shared" si="132"/>
        <v>0</v>
      </c>
      <c r="AI148" s="445">
        <f t="shared" si="132"/>
        <v>0</v>
      </c>
      <c r="AJ148" s="446">
        <f t="shared" si="132"/>
        <v>0</v>
      </c>
      <c r="AK148" s="444">
        <f t="shared" si="132"/>
        <v>0</v>
      </c>
      <c r="AL148" s="445">
        <f t="shared" si="132"/>
        <v>0</v>
      </c>
      <c r="AM148" s="445">
        <f t="shared" si="132"/>
        <v>0</v>
      </c>
      <c r="AN148" s="446">
        <f t="shared" si="132"/>
        <v>0</v>
      </c>
      <c r="AO148" s="444">
        <f t="shared" si="132"/>
        <v>0</v>
      </c>
      <c r="AP148" s="445">
        <f t="shared" si="132"/>
        <v>0</v>
      </c>
      <c r="AQ148" s="445">
        <f t="shared" si="132"/>
        <v>0</v>
      </c>
      <c r="AR148" s="446">
        <f t="shared" si="132"/>
        <v>0</v>
      </c>
      <c r="AS148" s="444">
        <f t="shared" si="132"/>
        <v>0</v>
      </c>
      <c r="AT148" s="445">
        <f t="shared" si="132"/>
        <v>0</v>
      </c>
      <c r="AU148" s="445">
        <f t="shared" si="132"/>
        <v>0</v>
      </c>
      <c r="AV148" s="446">
        <f t="shared" si="132"/>
        <v>0</v>
      </c>
      <c r="AW148" s="473"/>
    </row>
    <row r="149" spans="1:49" s="424" customFormat="1" ht="13.5" customHeight="1">
      <c r="A149" s="1947"/>
      <c r="B149" s="1953"/>
      <c r="C149" s="447" t="s">
        <v>450</v>
      </c>
      <c r="D149" s="448">
        <f t="shared" ref="D149:AV149" si="133">SUM(D159,D164,D169,D174,D179,D184,D189,D194,D199,D204)</f>
        <v>0</v>
      </c>
      <c r="E149" s="453">
        <f t="shared" si="133"/>
        <v>0</v>
      </c>
      <c r="F149" s="454">
        <f t="shared" si="133"/>
        <v>0</v>
      </c>
      <c r="G149" s="454">
        <f t="shared" si="133"/>
        <v>0</v>
      </c>
      <c r="H149" s="455">
        <f t="shared" si="133"/>
        <v>0</v>
      </c>
      <c r="I149" s="453">
        <f t="shared" si="133"/>
        <v>0</v>
      </c>
      <c r="J149" s="454">
        <f t="shared" si="133"/>
        <v>0</v>
      </c>
      <c r="K149" s="454">
        <f t="shared" si="133"/>
        <v>0</v>
      </c>
      <c r="L149" s="455">
        <f t="shared" si="133"/>
        <v>0</v>
      </c>
      <c r="M149" s="453">
        <f t="shared" si="133"/>
        <v>0</v>
      </c>
      <c r="N149" s="454">
        <f t="shared" si="133"/>
        <v>0</v>
      </c>
      <c r="O149" s="454">
        <f t="shared" si="133"/>
        <v>0</v>
      </c>
      <c r="P149" s="455">
        <f t="shared" si="133"/>
        <v>0</v>
      </c>
      <c r="Q149" s="453">
        <f t="shared" si="133"/>
        <v>0</v>
      </c>
      <c r="R149" s="454">
        <f t="shared" si="133"/>
        <v>0</v>
      </c>
      <c r="S149" s="454">
        <f t="shared" si="133"/>
        <v>0</v>
      </c>
      <c r="T149" s="455">
        <f t="shared" si="133"/>
        <v>0</v>
      </c>
      <c r="U149" s="453">
        <f t="shared" si="133"/>
        <v>0</v>
      </c>
      <c r="V149" s="454">
        <f t="shared" si="133"/>
        <v>0</v>
      </c>
      <c r="W149" s="454">
        <f t="shared" si="133"/>
        <v>0</v>
      </c>
      <c r="X149" s="455">
        <f t="shared" si="133"/>
        <v>0</v>
      </c>
      <c r="Y149" s="453">
        <f t="shared" si="133"/>
        <v>0</v>
      </c>
      <c r="Z149" s="454">
        <f t="shared" si="133"/>
        <v>0</v>
      </c>
      <c r="AA149" s="454">
        <f t="shared" si="133"/>
        <v>0</v>
      </c>
      <c r="AB149" s="455">
        <f t="shared" si="133"/>
        <v>0</v>
      </c>
      <c r="AC149" s="453">
        <f t="shared" si="133"/>
        <v>0</v>
      </c>
      <c r="AD149" s="454">
        <f t="shared" si="133"/>
        <v>0</v>
      </c>
      <c r="AE149" s="454">
        <f t="shared" si="133"/>
        <v>0</v>
      </c>
      <c r="AF149" s="455">
        <f t="shared" si="133"/>
        <v>0</v>
      </c>
      <c r="AG149" s="453">
        <f t="shared" si="133"/>
        <v>0</v>
      </c>
      <c r="AH149" s="454">
        <f t="shared" si="133"/>
        <v>0</v>
      </c>
      <c r="AI149" s="454">
        <f t="shared" si="133"/>
        <v>0</v>
      </c>
      <c r="AJ149" s="455">
        <f t="shared" si="133"/>
        <v>0</v>
      </c>
      <c r="AK149" s="453">
        <f t="shared" si="133"/>
        <v>0</v>
      </c>
      <c r="AL149" s="454">
        <f t="shared" si="133"/>
        <v>0</v>
      </c>
      <c r="AM149" s="454">
        <f t="shared" si="133"/>
        <v>0</v>
      </c>
      <c r="AN149" s="455">
        <f t="shared" si="133"/>
        <v>0</v>
      </c>
      <c r="AO149" s="453">
        <f t="shared" si="133"/>
        <v>0</v>
      </c>
      <c r="AP149" s="454">
        <f t="shared" si="133"/>
        <v>0</v>
      </c>
      <c r="AQ149" s="454">
        <f t="shared" si="133"/>
        <v>0</v>
      </c>
      <c r="AR149" s="455">
        <f t="shared" si="133"/>
        <v>0</v>
      </c>
      <c r="AS149" s="453">
        <f t="shared" si="133"/>
        <v>0</v>
      </c>
      <c r="AT149" s="454">
        <f t="shared" si="133"/>
        <v>0</v>
      </c>
      <c r="AU149" s="454">
        <f t="shared" si="133"/>
        <v>0</v>
      </c>
      <c r="AV149" s="455">
        <f t="shared" si="133"/>
        <v>0</v>
      </c>
      <c r="AW149" s="473"/>
    </row>
    <row r="150" spans="1:49" s="424" customFormat="1" ht="13.5" customHeight="1">
      <c r="A150" s="1947"/>
      <c r="B150" s="1954" t="s">
        <v>890</v>
      </c>
      <c r="C150" s="449" t="s">
        <v>884</v>
      </c>
      <c r="D150" s="434">
        <f>IF(D152=0,0,D153/D152*10000)</f>
        <v>0</v>
      </c>
      <c r="E150" s="435">
        <f t="shared" ref="E150:AV150" si="134">IF(E152=0,0,E153/E152*10000)</f>
        <v>0</v>
      </c>
      <c r="F150" s="436">
        <f t="shared" si="134"/>
        <v>0</v>
      </c>
      <c r="G150" s="436">
        <f t="shared" si="134"/>
        <v>0</v>
      </c>
      <c r="H150" s="437">
        <f t="shared" si="134"/>
        <v>0</v>
      </c>
      <c r="I150" s="435">
        <f t="shared" si="134"/>
        <v>0</v>
      </c>
      <c r="J150" s="436">
        <f t="shared" si="134"/>
        <v>0</v>
      </c>
      <c r="K150" s="436">
        <f t="shared" si="134"/>
        <v>0</v>
      </c>
      <c r="L150" s="437">
        <f t="shared" si="134"/>
        <v>0</v>
      </c>
      <c r="M150" s="435">
        <f t="shared" si="134"/>
        <v>0</v>
      </c>
      <c r="N150" s="436">
        <f t="shared" si="134"/>
        <v>0</v>
      </c>
      <c r="O150" s="436">
        <f t="shared" si="134"/>
        <v>0</v>
      </c>
      <c r="P150" s="437">
        <f t="shared" si="134"/>
        <v>0</v>
      </c>
      <c r="Q150" s="435">
        <f t="shared" si="134"/>
        <v>0</v>
      </c>
      <c r="R150" s="436">
        <f t="shared" si="134"/>
        <v>0</v>
      </c>
      <c r="S150" s="436">
        <f t="shared" si="134"/>
        <v>0</v>
      </c>
      <c r="T150" s="437">
        <f t="shared" si="134"/>
        <v>0</v>
      </c>
      <c r="U150" s="435">
        <f t="shared" si="134"/>
        <v>0</v>
      </c>
      <c r="V150" s="436">
        <f t="shared" si="134"/>
        <v>0</v>
      </c>
      <c r="W150" s="436">
        <f t="shared" si="134"/>
        <v>0</v>
      </c>
      <c r="X150" s="437">
        <f t="shared" si="134"/>
        <v>0</v>
      </c>
      <c r="Y150" s="435">
        <f t="shared" si="134"/>
        <v>0</v>
      </c>
      <c r="Z150" s="436">
        <f t="shared" si="134"/>
        <v>0</v>
      </c>
      <c r="AA150" s="436">
        <f t="shared" si="134"/>
        <v>0</v>
      </c>
      <c r="AB150" s="437">
        <f t="shared" si="134"/>
        <v>0</v>
      </c>
      <c r="AC150" s="435">
        <f t="shared" si="134"/>
        <v>0</v>
      </c>
      <c r="AD150" s="436">
        <f t="shared" si="134"/>
        <v>0</v>
      </c>
      <c r="AE150" s="436">
        <f t="shared" si="134"/>
        <v>0</v>
      </c>
      <c r="AF150" s="437">
        <f t="shared" si="134"/>
        <v>0</v>
      </c>
      <c r="AG150" s="435">
        <f t="shared" si="134"/>
        <v>0</v>
      </c>
      <c r="AH150" s="436">
        <f t="shared" si="134"/>
        <v>0</v>
      </c>
      <c r="AI150" s="436">
        <f t="shared" si="134"/>
        <v>0</v>
      </c>
      <c r="AJ150" s="437">
        <f t="shared" si="134"/>
        <v>0</v>
      </c>
      <c r="AK150" s="435">
        <f t="shared" si="134"/>
        <v>0</v>
      </c>
      <c r="AL150" s="436">
        <f t="shared" si="134"/>
        <v>0</v>
      </c>
      <c r="AM150" s="436">
        <f t="shared" si="134"/>
        <v>0</v>
      </c>
      <c r="AN150" s="437">
        <f t="shared" si="134"/>
        <v>0</v>
      </c>
      <c r="AO150" s="435">
        <f t="shared" si="134"/>
        <v>0</v>
      </c>
      <c r="AP150" s="436">
        <f t="shared" si="134"/>
        <v>0</v>
      </c>
      <c r="AQ150" s="436">
        <f t="shared" si="134"/>
        <v>0</v>
      </c>
      <c r="AR150" s="437">
        <f t="shared" si="134"/>
        <v>0</v>
      </c>
      <c r="AS150" s="435">
        <f t="shared" si="134"/>
        <v>0</v>
      </c>
      <c r="AT150" s="436">
        <f t="shared" si="134"/>
        <v>0</v>
      </c>
      <c r="AU150" s="436">
        <f t="shared" si="134"/>
        <v>0</v>
      </c>
      <c r="AV150" s="437">
        <f t="shared" si="134"/>
        <v>0</v>
      </c>
      <c r="AW150" s="473"/>
    </row>
    <row r="151" spans="1:49" ht="13.5" customHeight="1">
      <c r="A151" s="1947"/>
      <c r="B151" s="1952"/>
      <c r="C151" s="438" t="s">
        <v>881</v>
      </c>
      <c r="D151" s="439">
        <f>SUM(E151:AV151)</f>
        <v>0</v>
      </c>
      <c r="E151" s="440">
        <f t="shared" ref="E151:AV151" si="135">IFERROR(E152/$D152,0)</f>
        <v>0</v>
      </c>
      <c r="F151" s="441">
        <f t="shared" si="135"/>
        <v>0</v>
      </c>
      <c r="G151" s="441">
        <f t="shared" si="135"/>
        <v>0</v>
      </c>
      <c r="H151" s="442">
        <f t="shared" si="135"/>
        <v>0</v>
      </c>
      <c r="I151" s="440">
        <f t="shared" si="135"/>
        <v>0</v>
      </c>
      <c r="J151" s="441">
        <f t="shared" si="135"/>
        <v>0</v>
      </c>
      <c r="K151" s="441">
        <f t="shared" si="135"/>
        <v>0</v>
      </c>
      <c r="L151" s="442">
        <f t="shared" si="135"/>
        <v>0</v>
      </c>
      <c r="M151" s="440">
        <f t="shared" si="135"/>
        <v>0</v>
      </c>
      <c r="N151" s="441">
        <f t="shared" si="135"/>
        <v>0</v>
      </c>
      <c r="O151" s="441">
        <f t="shared" si="135"/>
        <v>0</v>
      </c>
      <c r="P151" s="442">
        <f t="shared" si="135"/>
        <v>0</v>
      </c>
      <c r="Q151" s="440">
        <f t="shared" si="135"/>
        <v>0</v>
      </c>
      <c r="R151" s="441">
        <f t="shared" si="135"/>
        <v>0</v>
      </c>
      <c r="S151" s="441">
        <f t="shared" si="135"/>
        <v>0</v>
      </c>
      <c r="T151" s="442">
        <f t="shared" si="135"/>
        <v>0</v>
      </c>
      <c r="U151" s="440">
        <f t="shared" si="135"/>
        <v>0</v>
      </c>
      <c r="V151" s="441">
        <f t="shared" si="135"/>
        <v>0</v>
      </c>
      <c r="W151" s="441">
        <f t="shared" si="135"/>
        <v>0</v>
      </c>
      <c r="X151" s="442">
        <f t="shared" si="135"/>
        <v>0</v>
      </c>
      <c r="Y151" s="440">
        <f t="shared" si="135"/>
        <v>0</v>
      </c>
      <c r="Z151" s="441">
        <f t="shared" si="135"/>
        <v>0</v>
      </c>
      <c r="AA151" s="441">
        <f t="shared" si="135"/>
        <v>0</v>
      </c>
      <c r="AB151" s="442">
        <f t="shared" si="135"/>
        <v>0</v>
      </c>
      <c r="AC151" s="440">
        <f t="shared" si="135"/>
        <v>0</v>
      </c>
      <c r="AD151" s="441">
        <f t="shared" si="135"/>
        <v>0</v>
      </c>
      <c r="AE151" s="441">
        <f t="shared" si="135"/>
        <v>0</v>
      </c>
      <c r="AF151" s="442">
        <f t="shared" si="135"/>
        <v>0</v>
      </c>
      <c r="AG151" s="440">
        <f t="shared" si="135"/>
        <v>0</v>
      </c>
      <c r="AH151" s="441">
        <f t="shared" si="135"/>
        <v>0</v>
      </c>
      <c r="AI151" s="441">
        <f t="shared" si="135"/>
        <v>0</v>
      </c>
      <c r="AJ151" s="442">
        <f t="shared" si="135"/>
        <v>0</v>
      </c>
      <c r="AK151" s="440">
        <f t="shared" si="135"/>
        <v>0</v>
      </c>
      <c r="AL151" s="441">
        <f t="shared" si="135"/>
        <v>0</v>
      </c>
      <c r="AM151" s="441">
        <f t="shared" si="135"/>
        <v>0</v>
      </c>
      <c r="AN151" s="442">
        <f t="shared" si="135"/>
        <v>0</v>
      </c>
      <c r="AO151" s="440">
        <f t="shared" si="135"/>
        <v>0</v>
      </c>
      <c r="AP151" s="441">
        <f t="shared" si="135"/>
        <v>0</v>
      </c>
      <c r="AQ151" s="441">
        <f t="shared" si="135"/>
        <v>0</v>
      </c>
      <c r="AR151" s="442">
        <f t="shared" si="135"/>
        <v>0</v>
      </c>
      <c r="AS151" s="440">
        <f t="shared" si="135"/>
        <v>0</v>
      </c>
      <c r="AT151" s="441">
        <f t="shared" si="135"/>
        <v>0</v>
      </c>
      <c r="AU151" s="441">
        <f t="shared" si="135"/>
        <v>0</v>
      </c>
      <c r="AV151" s="442">
        <f t="shared" si="135"/>
        <v>0</v>
      </c>
      <c r="AW151" s="78"/>
    </row>
    <row r="152" spans="1:49" s="424" customFormat="1" ht="13.5" customHeight="1">
      <c r="A152" s="1947"/>
      <c r="B152" s="1952"/>
      <c r="C152" s="438" t="s">
        <v>783</v>
      </c>
      <c r="D152" s="443">
        <f t="shared" ref="D152:AV152" si="136">SUM(D207,D212)</f>
        <v>0</v>
      </c>
      <c r="E152" s="444">
        <f t="shared" si="136"/>
        <v>0</v>
      </c>
      <c r="F152" s="445">
        <f t="shared" si="136"/>
        <v>0</v>
      </c>
      <c r="G152" s="445">
        <f t="shared" si="136"/>
        <v>0</v>
      </c>
      <c r="H152" s="446">
        <f t="shared" si="136"/>
        <v>0</v>
      </c>
      <c r="I152" s="444">
        <f t="shared" si="136"/>
        <v>0</v>
      </c>
      <c r="J152" s="445">
        <f t="shared" si="136"/>
        <v>0</v>
      </c>
      <c r="K152" s="445">
        <f t="shared" si="136"/>
        <v>0</v>
      </c>
      <c r="L152" s="446">
        <f t="shared" si="136"/>
        <v>0</v>
      </c>
      <c r="M152" s="444">
        <f t="shared" si="136"/>
        <v>0</v>
      </c>
      <c r="N152" s="445">
        <f t="shared" si="136"/>
        <v>0</v>
      </c>
      <c r="O152" s="445">
        <f t="shared" si="136"/>
        <v>0</v>
      </c>
      <c r="P152" s="446">
        <f t="shared" si="136"/>
        <v>0</v>
      </c>
      <c r="Q152" s="444">
        <f t="shared" si="136"/>
        <v>0</v>
      </c>
      <c r="R152" s="445">
        <f t="shared" si="136"/>
        <v>0</v>
      </c>
      <c r="S152" s="445">
        <f t="shared" si="136"/>
        <v>0</v>
      </c>
      <c r="T152" s="446">
        <f t="shared" si="136"/>
        <v>0</v>
      </c>
      <c r="U152" s="444">
        <f t="shared" si="136"/>
        <v>0</v>
      </c>
      <c r="V152" s="445">
        <f t="shared" si="136"/>
        <v>0</v>
      </c>
      <c r="W152" s="445">
        <f t="shared" si="136"/>
        <v>0</v>
      </c>
      <c r="X152" s="446">
        <f t="shared" si="136"/>
        <v>0</v>
      </c>
      <c r="Y152" s="444">
        <f t="shared" si="136"/>
        <v>0</v>
      </c>
      <c r="Z152" s="445">
        <f t="shared" si="136"/>
        <v>0</v>
      </c>
      <c r="AA152" s="445">
        <f t="shared" si="136"/>
        <v>0</v>
      </c>
      <c r="AB152" s="446">
        <f t="shared" si="136"/>
        <v>0</v>
      </c>
      <c r="AC152" s="444">
        <f t="shared" si="136"/>
        <v>0</v>
      </c>
      <c r="AD152" s="445">
        <f t="shared" si="136"/>
        <v>0</v>
      </c>
      <c r="AE152" s="445">
        <f t="shared" si="136"/>
        <v>0</v>
      </c>
      <c r="AF152" s="446">
        <f t="shared" si="136"/>
        <v>0</v>
      </c>
      <c r="AG152" s="444">
        <f t="shared" si="136"/>
        <v>0</v>
      </c>
      <c r="AH152" s="445">
        <f t="shared" si="136"/>
        <v>0</v>
      </c>
      <c r="AI152" s="445">
        <f t="shared" si="136"/>
        <v>0</v>
      </c>
      <c r="AJ152" s="446">
        <f t="shared" si="136"/>
        <v>0</v>
      </c>
      <c r="AK152" s="444">
        <f t="shared" si="136"/>
        <v>0</v>
      </c>
      <c r="AL152" s="445">
        <f t="shared" si="136"/>
        <v>0</v>
      </c>
      <c r="AM152" s="445">
        <f t="shared" si="136"/>
        <v>0</v>
      </c>
      <c r="AN152" s="446">
        <f t="shared" si="136"/>
        <v>0</v>
      </c>
      <c r="AO152" s="444">
        <f t="shared" si="136"/>
        <v>0</v>
      </c>
      <c r="AP152" s="445">
        <f t="shared" si="136"/>
        <v>0</v>
      </c>
      <c r="AQ152" s="445">
        <f t="shared" si="136"/>
        <v>0</v>
      </c>
      <c r="AR152" s="446">
        <f t="shared" si="136"/>
        <v>0</v>
      </c>
      <c r="AS152" s="444">
        <f t="shared" si="136"/>
        <v>0</v>
      </c>
      <c r="AT152" s="445">
        <f t="shared" si="136"/>
        <v>0</v>
      </c>
      <c r="AU152" s="445">
        <f t="shared" si="136"/>
        <v>0</v>
      </c>
      <c r="AV152" s="446">
        <f t="shared" si="136"/>
        <v>0</v>
      </c>
      <c r="AW152" s="473"/>
    </row>
    <row r="153" spans="1:49" s="424" customFormat="1" ht="13.5" customHeight="1">
      <c r="A153" s="1947"/>
      <c r="B153" s="1952"/>
      <c r="C153" s="438" t="s">
        <v>885</v>
      </c>
      <c r="D153" s="443">
        <f t="shared" ref="D153:AV153" si="137">SUM(D208,D213)</f>
        <v>0</v>
      </c>
      <c r="E153" s="444">
        <f t="shared" si="137"/>
        <v>0</v>
      </c>
      <c r="F153" s="445">
        <f t="shared" si="137"/>
        <v>0</v>
      </c>
      <c r="G153" s="445">
        <f t="shared" si="137"/>
        <v>0</v>
      </c>
      <c r="H153" s="446">
        <f t="shared" si="137"/>
        <v>0</v>
      </c>
      <c r="I153" s="444">
        <f t="shared" si="137"/>
        <v>0</v>
      </c>
      <c r="J153" s="445">
        <f t="shared" si="137"/>
        <v>0</v>
      </c>
      <c r="K153" s="445">
        <f t="shared" si="137"/>
        <v>0</v>
      </c>
      <c r="L153" s="446">
        <f t="shared" si="137"/>
        <v>0</v>
      </c>
      <c r="M153" s="444">
        <f t="shared" si="137"/>
        <v>0</v>
      </c>
      <c r="N153" s="445">
        <f t="shared" si="137"/>
        <v>0</v>
      </c>
      <c r="O153" s="445">
        <f t="shared" si="137"/>
        <v>0</v>
      </c>
      <c r="P153" s="446">
        <f t="shared" si="137"/>
        <v>0</v>
      </c>
      <c r="Q153" s="444">
        <f t="shared" si="137"/>
        <v>0</v>
      </c>
      <c r="R153" s="445">
        <f t="shared" si="137"/>
        <v>0</v>
      </c>
      <c r="S153" s="445">
        <f t="shared" si="137"/>
        <v>0</v>
      </c>
      <c r="T153" s="446">
        <f t="shared" si="137"/>
        <v>0</v>
      </c>
      <c r="U153" s="444">
        <f t="shared" si="137"/>
        <v>0</v>
      </c>
      <c r="V153" s="445">
        <f t="shared" si="137"/>
        <v>0</v>
      </c>
      <c r="W153" s="445">
        <f t="shared" si="137"/>
        <v>0</v>
      </c>
      <c r="X153" s="446">
        <f t="shared" si="137"/>
        <v>0</v>
      </c>
      <c r="Y153" s="444">
        <f t="shared" si="137"/>
        <v>0</v>
      </c>
      <c r="Z153" s="445">
        <f t="shared" si="137"/>
        <v>0</v>
      </c>
      <c r="AA153" s="445">
        <f t="shared" si="137"/>
        <v>0</v>
      </c>
      <c r="AB153" s="446">
        <f t="shared" si="137"/>
        <v>0</v>
      </c>
      <c r="AC153" s="444">
        <f t="shared" si="137"/>
        <v>0</v>
      </c>
      <c r="AD153" s="445">
        <f t="shared" si="137"/>
        <v>0</v>
      </c>
      <c r="AE153" s="445">
        <f t="shared" si="137"/>
        <v>0</v>
      </c>
      <c r="AF153" s="446">
        <f t="shared" si="137"/>
        <v>0</v>
      </c>
      <c r="AG153" s="444">
        <f t="shared" si="137"/>
        <v>0</v>
      </c>
      <c r="AH153" s="445">
        <f t="shared" si="137"/>
        <v>0</v>
      </c>
      <c r="AI153" s="445">
        <f t="shared" si="137"/>
        <v>0</v>
      </c>
      <c r="AJ153" s="446">
        <f t="shared" si="137"/>
        <v>0</v>
      </c>
      <c r="AK153" s="444">
        <f t="shared" si="137"/>
        <v>0</v>
      </c>
      <c r="AL153" s="445">
        <f t="shared" si="137"/>
        <v>0</v>
      </c>
      <c r="AM153" s="445">
        <f t="shared" si="137"/>
        <v>0</v>
      </c>
      <c r="AN153" s="446">
        <f t="shared" si="137"/>
        <v>0</v>
      </c>
      <c r="AO153" s="444">
        <f t="shared" si="137"/>
        <v>0</v>
      </c>
      <c r="AP153" s="445">
        <f t="shared" si="137"/>
        <v>0</v>
      </c>
      <c r="AQ153" s="445">
        <f t="shared" si="137"/>
        <v>0</v>
      </c>
      <c r="AR153" s="446">
        <f t="shared" si="137"/>
        <v>0</v>
      </c>
      <c r="AS153" s="444">
        <f t="shared" si="137"/>
        <v>0</v>
      </c>
      <c r="AT153" s="445">
        <f t="shared" si="137"/>
        <v>0</v>
      </c>
      <c r="AU153" s="445">
        <f t="shared" si="137"/>
        <v>0</v>
      </c>
      <c r="AV153" s="446">
        <f t="shared" si="137"/>
        <v>0</v>
      </c>
      <c r="AW153" s="473"/>
    </row>
    <row r="154" spans="1:49" s="424" customFormat="1" ht="13.5" customHeight="1">
      <c r="A154" s="1947"/>
      <c r="B154" s="1953"/>
      <c r="C154" s="447" t="s">
        <v>886</v>
      </c>
      <c r="D154" s="448">
        <f t="shared" ref="D154:AV154" si="138">SUM(D209,D214)</f>
        <v>0</v>
      </c>
      <c r="E154" s="453">
        <f t="shared" si="138"/>
        <v>0</v>
      </c>
      <c r="F154" s="454">
        <f t="shared" si="138"/>
        <v>0</v>
      </c>
      <c r="G154" s="454">
        <f t="shared" si="138"/>
        <v>0</v>
      </c>
      <c r="H154" s="455">
        <f t="shared" si="138"/>
        <v>0</v>
      </c>
      <c r="I154" s="453">
        <f t="shared" si="138"/>
        <v>0</v>
      </c>
      <c r="J154" s="454">
        <f t="shared" si="138"/>
        <v>0</v>
      </c>
      <c r="K154" s="454">
        <f t="shared" si="138"/>
        <v>0</v>
      </c>
      <c r="L154" s="455">
        <f t="shared" si="138"/>
        <v>0</v>
      </c>
      <c r="M154" s="453">
        <f t="shared" si="138"/>
        <v>0</v>
      </c>
      <c r="N154" s="454">
        <f t="shared" si="138"/>
        <v>0</v>
      </c>
      <c r="O154" s="454">
        <f t="shared" si="138"/>
        <v>0</v>
      </c>
      <c r="P154" s="455">
        <f t="shared" si="138"/>
        <v>0</v>
      </c>
      <c r="Q154" s="453">
        <f t="shared" si="138"/>
        <v>0</v>
      </c>
      <c r="R154" s="454">
        <f t="shared" si="138"/>
        <v>0</v>
      </c>
      <c r="S154" s="454">
        <f t="shared" si="138"/>
        <v>0</v>
      </c>
      <c r="T154" s="455">
        <f t="shared" si="138"/>
        <v>0</v>
      </c>
      <c r="U154" s="453">
        <f t="shared" si="138"/>
        <v>0</v>
      </c>
      <c r="V154" s="454">
        <f t="shared" si="138"/>
        <v>0</v>
      </c>
      <c r="W154" s="454">
        <f t="shared" si="138"/>
        <v>0</v>
      </c>
      <c r="X154" s="455">
        <f t="shared" si="138"/>
        <v>0</v>
      </c>
      <c r="Y154" s="453">
        <f t="shared" si="138"/>
        <v>0</v>
      </c>
      <c r="Z154" s="454">
        <f t="shared" si="138"/>
        <v>0</v>
      </c>
      <c r="AA154" s="454">
        <f t="shared" si="138"/>
        <v>0</v>
      </c>
      <c r="AB154" s="455">
        <f t="shared" si="138"/>
        <v>0</v>
      </c>
      <c r="AC154" s="453">
        <f t="shared" si="138"/>
        <v>0</v>
      </c>
      <c r="AD154" s="454">
        <f t="shared" si="138"/>
        <v>0</v>
      </c>
      <c r="AE154" s="454">
        <f t="shared" si="138"/>
        <v>0</v>
      </c>
      <c r="AF154" s="455">
        <f t="shared" si="138"/>
        <v>0</v>
      </c>
      <c r="AG154" s="453">
        <f t="shared" si="138"/>
        <v>0</v>
      </c>
      <c r="AH154" s="454">
        <f t="shared" si="138"/>
        <v>0</v>
      </c>
      <c r="AI154" s="454">
        <f t="shared" si="138"/>
        <v>0</v>
      </c>
      <c r="AJ154" s="455">
        <f t="shared" si="138"/>
        <v>0</v>
      </c>
      <c r="AK154" s="453">
        <f t="shared" si="138"/>
        <v>0</v>
      </c>
      <c r="AL154" s="454">
        <f t="shared" si="138"/>
        <v>0</v>
      </c>
      <c r="AM154" s="454">
        <f t="shared" si="138"/>
        <v>0</v>
      </c>
      <c r="AN154" s="455">
        <f t="shared" si="138"/>
        <v>0</v>
      </c>
      <c r="AO154" s="453">
        <f t="shared" si="138"/>
        <v>0</v>
      </c>
      <c r="AP154" s="454">
        <f t="shared" si="138"/>
        <v>0</v>
      </c>
      <c r="AQ154" s="454">
        <f t="shared" si="138"/>
        <v>0</v>
      </c>
      <c r="AR154" s="455">
        <f t="shared" si="138"/>
        <v>0</v>
      </c>
      <c r="AS154" s="453">
        <f t="shared" si="138"/>
        <v>0</v>
      </c>
      <c r="AT154" s="454">
        <f t="shared" si="138"/>
        <v>0</v>
      </c>
      <c r="AU154" s="454">
        <f t="shared" si="138"/>
        <v>0</v>
      </c>
      <c r="AV154" s="455">
        <f t="shared" si="138"/>
        <v>0</v>
      </c>
      <c r="AW154" s="473"/>
    </row>
    <row r="155" spans="1:49" s="424" customFormat="1" ht="13.5" customHeight="1" outlineLevel="1">
      <c r="A155" s="1947"/>
      <c r="B155" s="1949" t="str">
        <f>'9.项目开发计划表'!C18</f>
        <v>高层</v>
      </c>
      <c r="C155" s="456" t="s">
        <v>880</v>
      </c>
      <c r="D155" s="457">
        <f>IF(D157=0,0,D158/D157*10000)</f>
        <v>0</v>
      </c>
      <c r="E155" s="505"/>
      <c r="F155" s="506"/>
      <c r="G155" s="506"/>
      <c r="H155" s="507"/>
      <c r="I155" s="505"/>
      <c r="J155" s="505"/>
      <c r="K155" s="505"/>
      <c r="L155" s="507"/>
      <c r="M155" s="505"/>
      <c r="N155" s="505"/>
      <c r="O155" s="507"/>
      <c r="P155" s="505"/>
      <c r="Q155" s="505"/>
      <c r="R155" s="505"/>
      <c r="S155" s="505"/>
      <c r="T155" s="505"/>
      <c r="U155" s="505"/>
      <c r="V155" s="505"/>
      <c r="W155" s="506"/>
      <c r="X155" s="507"/>
      <c r="Y155" s="505"/>
      <c r="Z155" s="506"/>
      <c r="AA155" s="506"/>
      <c r="AB155" s="507"/>
      <c r="AC155" s="505"/>
      <c r="AD155" s="505"/>
      <c r="AE155" s="505"/>
      <c r="AF155" s="505"/>
      <c r="AG155" s="505"/>
      <c r="AH155" s="505"/>
      <c r="AI155" s="506"/>
      <c r="AJ155" s="507"/>
      <c r="AK155" s="505"/>
      <c r="AL155" s="506"/>
      <c r="AM155" s="506"/>
      <c r="AN155" s="507"/>
      <c r="AO155" s="505"/>
      <c r="AP155" s="506"/>
      <c r="AQ155" s="506"/>
      <c r="AR155" s="507"/>
      <c r="AS155" s="505"/>
      <c r="AT155" s="506"/>
      <c r="AU155" s="506"/>
      <c r="AV155" s="507"/>
      <c r="AW155" s="424" t="str">
        <f>B155</f>
        <v>高层</v>
      </c>
    </row>
    <row r="156" spans="1:49" ht="13.5" customHeight="1" outlineLevel="1">
      <c r="A156" s="1947"/>
      <c r="B156" s="1949"/>
      <c r="C156" s="461" t="s">
        <v>881</v>
      </c>
      <c r="D156" s="462">
        <f t="shared" ref="D156:D159" si="139">SUM(E156:AV156)</f>
        <v>0</v>
      </c>
      <c r="E156" s="494"/>
      <c r="F156" s="491"/>
      <c r="G156" s="491"/>
      <c r="H156" s="493"/>
      <c r="I156" s="493"/>
      <c r="J156" s="493"/>
      <c r="K156" s="493"/>
      <c r="L156" s="493"/>
      <c r="M156" s="493"/>
      <c r="N156" s="493"/>
      <c r="O156" s="493"/>
      <c r="P156" s="493"/>
      <c r="Q156" s="493"/>
      <c r="R156" s="493"/>
      <c r="S156" s="493"/>
      <c r="T156" s="493"/>
      <c r="U156" s="493"/>
      <c r="V156" s="493"/>
      <c r="W156" s="491"/>
      <c r="X156" s="493"/>
      <c r="Y156" s="494"/>
      <c r="Z156" s="491"/>
      <c r="AA156" s="491"/>
      <c r="AB156" s="493"/>
      <c r="AC156" s="494"/>
      <c r="AD156" s="493"/>
      <c r="AE156" s="494"/>
      <c r="AF156" s="491"/>
      <c r="AG156" s="491"/>
      <c r="AH156" s="493"/>
      <c r="AI156" s="491"/>
      <c r="AJ156" s="493"/>
      <c r="AK156" s="494"/>
      <c r="AL156" s="491"/>
      <c r="AM156" s="491"/>
      <c r="AN156" s="493"/>
      <c r="AO156" s="494"/>
      <c r="AP156" s="491"/>
      <c r="AQ156" s="491"/>
      <c r="AR156" s="493"/>
      <c r="AS156" s="494"/>
      <c r="AT156" s="491"/>
      <c r="AU156" s="491"/>
      <c r="AV156" s="493"/>
      <c r="AW156" s="424" t="str">
        <f t="shared" ref="AW156:AW159" si="140">AW155</f>
        <v>高层</v>
      </c>
    </row>
    <row r="157" spans="1:49" s="424" customFormat="1" ht="13.5" customHeight="1" outlineLevel="1">
      <c r="A157" s="1947"/>
      <c r="B157" s="1949"/>
      <c r="C157" s="461" t="s">
        <v>682</v>
      </c>
      <c r="D157" s="466">
        <f t="shared" si="139"/>
        <v>0</v>
      </c>
      <c r="E157" s="382">
        <f>E156*'9.项目开发计划表'!$G$18</f>
        <v>0</v>
      </c>
      <c r="F157" s="397">
        <f>F156*'9.项目开发计划表'!$G$18</f>
        <v>0</v>
      </c>
      <c r="G157" s="397">
        <f>G156*'9.项目开发计划表'!$G$18</f>
        <v>0</v>
      </c>
      <c r="H157" s="467">
        <f>H156*'9.项目开发计划表'!$G$18</f>
        <v>0</v>
      </c>
      <c r="I157" s="382">
        <f>I156*'9.项目开发计划表'!$G$18</f>
        <v>0</v>
      </c>
      <c r="J157" s="397">
        <f>J156*'9.项目开发计划表'!$G$18</f>
        <v>0</v>
      </c>
      <c r="K157" s="397">
        <f>K156*'9.项目开发计划表'!$G$18</f>
        <v>0</v>
      </c>
      <c r="L157" s="467">
        <f>L156*'9.项目开发计划表'!$G$18</f>
        <v>0</v>
      </c>
      <c r="M157" s="382">
        <f>M156*'9.项目开发计划表'!$G$18</f>
        <v>0</v>
      </c>
      <c r="N157" s="397">
        <f>N156*'9.项目开发计划表'!$G$18</f>
        <v>0</v>
      </c>
      <c r="O157" s="397">
        <f>O156*'9.项目开发计划表'!$G$18</f>
        <v>0</v>
      </c>
      <c r="P157" s="382">
        <f>P156*'9.项目开发计划表'!$G$18</f>
        <v>0</v>
      </c>
      <c r="Q157" s="382">
        <f>Q156*'9.项目开发计划表'!$G$18</f>
        <v>0</v>
      </c>
      <c r="R157" s="397">
        <f>R156*'9.项目开发计划表'!$G$18</f>
        <v>0</v>
      </c>
      <c r="S157" s="397">
        <f>S156*'9.项目开发计划表'!$G$18</f>
        <v>0</v>
      </c>
      <c r="T157" s="467">
        <f>T156*'9.项目开发计划表'!$G$18</f>
        <v>0</v>
      </c>
      <c r="U157" s="382">
        <f>U156*'9.项目开发计划表'!$G$18</f>
        <v>0</v>
      </c>
      <c r="V157" s="397">
        <f>V156*'9.项目开发计划表'!$G$18</f>
        <v>0</v>
      </c>
      <c r="W157" s="397">
        <f>W156*'9.项目开发计划表'!$G$18</f>
        <v>0</v>
      </c>
      <c r="X157" s="467">
        <f>X156*'9.项目开发计划表'!$G$18</f>
        <v>0</v>
      </c>
      <c r="Y157" s="382">
        <f>Y156*'9.项目开发计划表'!$G$18</f>
        <v>0</v>
      </c>
      <c r="Z157" s="397">
        <f>Z156*'9.项目开发计划表'!$G$18</f>
        <v>0</v>
      </c>
      <c r="AA157" s="397">
        <f>AA156*'9.项目开发计划表'!$G$18</f>
        <v>0</v>
      </c>
      <c r="AB157" s="467">
        <f>AB156*'9.项目开发计划表'!$G$18</f>
        <v>0</v>
      </c>
      <c r="AC157" s="382">
        <f>AC156*'9.项目开发计划表'!$G$18</f>
        <v>0</v>
      </c>
      <c r="AD157" s="397">
        <f>AD156*'9.项目开发计划表'!$G$18</f>
        <v>0</v>
      </c>
      <c r="AE157" s="397">
        <f>AE156*'9.项目开发计划表'!$G$18</f>
        <v>0</v>
      </c>
      <c r="AF157" s="467">
        <f>AF156*'9.项目开发计划表'!$G$18</f>
        <v>0</v>
      </c>
      <c r="AG157" s="382">
        <f>AG156*'9.项目开发计划表'!$G$18</f>
        <v>0</v>
      </c>
      <c r="AH157" s="397">
        <f>AH156*'9.项目开发计划表'!$G$18</f>
        <v>0</v>
      </c>
      <c r="AI157" s="397">
        <f>AI156*'9.项目开发计划表'!$G$18</f>
        <v>0</v>
      </c>
      <c r="AJ157" s="467">
        <f>AJ156*'9.项目开发计划表'!$G$18</f>
        <v>0</v>
      </c>
      <c r="AK157" s="382">
        <f>AK156*'9.项目开发计划表'!$G$18</f>
        <v>0</v>
      </c>
      <c r="AL157" s="397">
        <f>AL156*'9.项目开发计划表'!$G$18</f>
        <v>0</v>
      </c>
      <c r="AM157" s="397">
        <f>AM156*'9.项目开发计划表'!$G$18</f>
        <v>0</v>
      </c>
      <c r="AN157" s="467">
        <f>AN156*'9.项目开发计划表'!$G$18</f>
        <v>0</v>
      </c>
      <c r="AO157" s="382">
        <f>AO156*'9.项目开发计划表'!$G$18</f>
        <v>0</v>
      </c>
      <c r="AP157" s="397">
        <f>AP156*'9.项目开发计划表'!$G$18</f>
        <v>0</v>
      </c>
      <c r="AQ157" s="397">
        <f>AQ156*'9.项目开发计划表'!$G$18</f>
        <v>0</v>
      </c>
      <c r="AR157" s="467">
        <f>AR156*'9.项目开发计划表'!$G$18</f>
        <v>0</v>
      </c>
      <c r="AS157" s="382">
        <f>AS156*'9.项目开发计划表'!$G$18</f>
        <v>0</v>
      </c>
      <c r="AT157" s="397">
        <f>AT156*'9.项目开发计划表'!$G$18</f>
        <v>0</v>
      </c>
      <c r="AU157" s="397">
        <f>AU156*'9.项目开发计划表'!$G$18</f>
        <v>0</v>
      </c>
      <c r="AV157" s="467">
        <f>AV156*'9.项目开发计划表'!$G$18</f>
        <v>0</v>
      </c>
      <c r="AW157" s="424" t="str">
        <f t="shared" si="140"/>
        <v>高层</v>
      </c>
    </row>
    <row r="158" spans="1:49" s="424" customFormat="1" ht="13.5" customHeight="1" outlineLevel="1">
      <c r="A158" s="1947"/>
      <c r="B158" s="1949"/>
      <c r="C158" s="461" t="s">
        <v>882</v>
      </c>
      <c r="D158" s="466">
        <f t="shared" si="139"/>
        <v>0</v>
      </c>
      <c r="E158" s="382">
        <f t="shared" ref="E158:AV158" si="141">E155*E157/10000</f>
        <v>0</v>
      </c>
      <c r="F158" s="397">
        <f t="shared" si="141"/>
        <v>0</v>
      </c>
      <c r="G158" s="397">
        <f t="shared" si="141"/>
        <v>0</v>
      </c>
      <c r="H158" s="467">
        <f t="shared" si="141"/>
        <v>0</v>
      </c>
      <c r="I158" s="382">
        <f t="shared" si="141"/>
        <v>0</v>
      </c>
      <c r="J158" s="397">
        <f t="shared" si="141"/>
        <v>0</v>
      </c>
      <c r="K158" s="397">
        <f t="shared" si="141"/>
        <v>0</v>
      </c>
      <c r="L158" s="467">
        <f t="shared" si="141"/>
        <v>0</v>
      </c>
      <c r="M158" s="382">
        <f t="shared" si="141"/>
        <v>0</v>
      </c>
      <c r="N158" s="397">
        <f t="shared" si="141"/>
        <v>0</v>
      </c>
      <c r="O158" s="397">
        <f t="shared" si="141"/>
        <v>0</v>
      </c>
      <c r="P158" s="467">
        <f t="shared" si="141"/>
        <v>0</v>
      </c>
      <c r="Q158" s="382">
        <f t="shared" si="141"/>
        <v>0</v>
      </c>
      <c r="R158" s="397">
        <f t="shared" si="141"/>
        <v>0</v>
      </c>
      <c r="S158" s="397">
        <f t="shared" si="141"/>
        <v>0</v>
      </c>
      <c r="T158" s="467">
        <f t="shared" si="141"/>
        <v>0</v>
      </c>
      <c r="U158" s="382">
        <f t="shared" si="141"/>
        <v>0</v>
      </c>
      <c r="V158" s="397">
        <f t="shared" si="141"/>
        <v>0</v>
      </c>
      <c r="W158" s="397">
        <f t="shared" si="141"/>
        <v>0</v>
      </c>
      <c r="X158" s="467">
        <f t="shared" si="141"/>
        <v>0</v>
      </c>
      <c r="Y158" s="382">
        <f t="shared" si="141"/>
        <v>0</v>
      </c>
      <c r="Z158" s="397">
        <f t="shared" si="141"/>
        <v>0</v>
      </c>
      <c r="AA158" s="397">
        <f t="shared" si="141"/>
        <v>0</v>
      </c>
      <c r="AB158" s="467">
        <f t="shared" si="141"/>
        <v>0</v>
      </c>
      <c r="AC158" s="382">
        <f t="shared" si="141"/>
        <v>0</v>
      </c>
      <c r="AD158" s="397">
        <f t="shared" si="141"/>
        <v>0</v>
      </c>
      <c r="AE158" s="397">
        <f t="shared" si="141"/>
        <v>0</v>
      </c>
      <c r="AF158" s="467">
        <f t="shared" si="141"/>
        <v>0</v>
      </c>
      <c r="AG158" s="382">
        <f t="shared" si="141"/>
        <v>0</v>
      </c>
      <c r="AH158" s="397">
        <f t="shared" si="141"/>
        <v>0</v>
      </c>
      <c r="AI158" s="397">
        <f t="shared" si="141"/>
        <v>0</v>
      </c>
      <c r="AJ158" s="467">
        <f t="shared" si="141"/>
        <v>0</v>
      </c>
      <c r="AK158" s="382">
        <f t="shared" si="141"/>
        <v>0</v>
      </c>
      <c r="AL158" s="397">
        <f t="shared" si="141"/>
        <v>0</v>
      </c>
      <c r="AM158" s="397">
        <f t="shared" si="141"/>
        <v>0</v>
      </c>
      <c r="AN158" s="467">
        <f t="shared" si="141"/>
        <v>0</v>
      </c>
      <c r="AO158" s="382">
        <f t="shared" si="141"/>
        <v>0</v>
      </c>
      <c r="AP158" s="397">
        <f t="shared" si="141"/>
        <v>0</v>
      </c>
      <c r="AQ158" s="397">
        <f t="shared" si="141"/>
        <v>0</v>
      </c>
      <c r="AR158" s="467">
        <f t="shared" si="141"/>
        <v>0</v>
      </c>
      <c r="AS158" s="382">
        <f t="shared" si="141"/>
        <v>0</v>
      </c>
      <c r="AT158" s="397">
        <f t="shared" si="141"/>
        <v>0</v>
      </c>
      <c r="AU158" s="397">
        <f t="shared" si="141"/>
        <v>0</v>
      </c>
      <c r="AV158" s="467">
        <f t="shared" si="141"/>
        <v>0</v>
      </c>
      <c r="AW158" s="424" t="str">
        <f t="shared" si="140"/>
        <v>高层</v>
      </c>
    </row>
    <row r="159" spans="1:49" s="424" customFormat="1" ht="13.5" customHeight="1" outlineLevel="1">
      <c r="A159" s="1947"/>
      <c r="B159" s="1949"/>
      <c r="C159" s="508" t="s">
        <v>450</v>
      </c>
      <c r="D159" s="468">
        <f t="shared" si="139"/>
        <v>0</v>
      </c>
      <c r="E159" s="386">
        <f>SUMIF($I$1:$T$1,B155,$I$2:$T$2)*E158</f>
        <v>0</v>
      </c>
      <c r="F159" s="399">
        <f>(1-SUMIF($I$1:$T$1,B155,$I$2:$T$2))*E158+SUMIF($I$1:$T$1,B155,$I$2:$T$2)*F158</f>
        <v>0</v>
      </c>
      <c r="G159" s="399">
        <f>(1-SUMIF($I$1:$T$1,B155,$I$2:$T$2))*F158+SUMIF($I$1:$T$1,B155,$I$2:$T$2)*G158</f>
        <v>0</v>
      </c>
      <c r="H159" s="404">
        <f>(1-SUMIF($I$1:$T$1,B155,$I$2:$T$2))*G158+SUMIF($I$1:$T$1,B155,$I$2:$T$2)*H158</f>
        <v>0</v>
      </c>
      <c r="I159" s="386">
        <f>(1-SUMIF($I$1:$T$1,B155,$I$2:$T$2))*H158+SUMIF($I$1:$T$1,B155,$I$2:$T$2)*I158</f>
        <v>0</v>
      </c>
      <c r="J159" s="399">
        <f>(1-SUMIF($I$1:$T$1,B155,$I$2:$T$2))*I158+SUMIF($I$1:$T$1,B155,$I$2:$T$2)*J158</f>
        <v>0</v>
      </c>
      <c r="K159" s="399">
        <f>(1-SUMIF($I$1:$T$1,B155,$I$2:$T$2))*J158+SUMIF($I$1:$T$1,B155,$I$2:$T$2)*K158</f>
        <v>0</v>
      </c>
      <c r="L159" s="404">
        <f>(1-SUMIF($I$1:$T$1,B155,$I$2:$T$2))*K158+SUMIF($I$1:$T$1,B155,$I$2:$T$2)*L158</f>
        <v>0</v>
      </c>
      <c r="M159" s="386">
        <f>(1-SUMIF($I$1:$T$1,B155,$I$2:$T$2))*L158+SUMIF($I$1:$T$1,B155,$I$2:$T$2)*M158</f>
        <v>0</v>
      </c>
      <c r="N159" s="399">
        <f>(1-SUMIF($I$1:$T$1,B155,$I$2:$T$2))*M158+SUMIF($I$1:$T$1,B155,$I$2:$T$2)*N158</f>
        <v>0</v>
      </c>
      <c r="O159" s="399">
        <f>(1-SUMIF($I$1:$T$1,B155,$I$2:$T$2))*N158+SUMIF($I$1:$T$1,B155,$I$2:$T$2)*O158</f>
        <v>0</v>
      </c>
      <c r="P159" s="404">
        <f>(1-SUMIF($I$1:$T$1,B155,$I$2:$T$2))*O158+SUMIF($I$1:$T$1,B155,$I$2:$T$2)*P158</f>
        <v>0</v>
      </c>
      <c r="Q159" s="386">
        <f>(1-SUMIF($I$1:$T$1,B155,$I$2:$T$2))*P158+SUMIF($I$1:$T$1,B155,$I$2:$T$2)*Q158</f>
        <v>0</v>
      </c>
      <c r="R159" s="399">
        <f>(1-SUMIF($I$1:$T$1,B155,$I$2:$T$2))*Q158+SUMIF($I$1:$T$1,B155,$I$2:$T$2)*R158</f>
        <v>0</v>
      </c>
      <c r="S159" s="399">
        <f>(1-SUMIF($I$1:$T$1,B155,$I$2:$T$2))*R158+SUMIF($I$1:$T$1,B155,$I$2:$T$2)*S158</f>
        <v>0</v>
      </c>
      <c r="T159" s="404">
        <f>(1-SUMIF($I$1:$T$1,B155,$I$2:$T$2))*S158+SUMIF($I$1:$T$1,B155,$I$2:$T$2)*T158</f>
        <v>0</v>
      </c>
      <c r="U159" s="386">
        <f>(1-SUMIF($I$1:$T$1,B155,$I$2:$T$2))*T158+SUMIF($I$1:$T$1,B155,$I$2:$T$2)*U158</f>
        <v>0</v>
      </c>
      <c r="V159" s="399">
        <f>(1-SUMIF($I$1:$T$1,B155,$I$2:$T$2))*U158+SUMIF($I$1:$T$1,B155,$I$2:$T$2)*V158</f>
        <v>0</v>
      </c>
      <c r="W159" s="399">
        <f>(1-SUMIF($I$1:$T$1,B155,$I$2:$T$2))*V158+SUMIF($I$1:$T$1,B155,$I$2:$T$2)*W158</f>
        <v>0</v>
      </c>
      <c r="X159" s="404">
        <f>(1-SUMIF($I$1:$T$1,B155,$I$2:$T$2))*W158+SUMIF($I$1:$T$1,B155,$I$2:$T$2)*X158</f>
        <v>0</v>
      </c>
      <c r="Y159" s="386">
        <f>(1-SUMIF($I$1:$T$1,B155,$I$2:$T$2))*X158+SUMIF($I$1:$T$1,B155,$I$2:$T$2)*Y158</f>
        <v>0</v>
      </c>
      <c r="Z159" s="399">
        <f>(1-SUMIF($I$1:$T$1,B155,$I$2:$T$2))*Y158+SUMIF($I$1:$T$1,B155,$I$2:$T$2)*Z158</f>
        <v>0</v>
      </c>
      <c r="AA159" s="399">
        <f>(1-SUMIF($I$1:$T$1,B155,$I$2:$T$2))*Z158+SUMIF($I$1:$T$1,B155,$I$2:$T$2)*AA158</f>
        <v>0</v>
      </c>
      <c r="AB159" s="404">
        <f>(1-SUMIF($I$1:$T$1,B155,$I$2:$T$2))*AA158+SUMIF($I$1:$T$1,B155,$I$2:$T$2)*AB158</f>
        <v>0</v>
      </c>
      <c r="AC159" s="386">
        <f>(1-SUMIF($I$1:$T$1,B155,$I$2:$T$2))*AB158+SUMIF($I$1:$T$1,B155,$I$2:$T$2)*AC158</f>
        <v>0</v>
      </c>
      <c r="AD159" s="399">
        <f>(1-SUMIF($I$1:$T$1,B155,$I$2:$T$2))*AC158+SUMIF($I$1:$T$1,B155,$I$2:$T$2)*AD158</f>
        <v>0</v>
      </c>
      <c r="AE159" s="399">
        <f>(1-SUMIF($I$1:$T$1,B155,$I$2:$T$2))*AD158+SUMIF($I$1:$T$1,B155,$I$2:$T$2)*AE158</f>
        <v>0</v>
      </c>
      <c r="AF159" s="404">
        <f>(1-SUMIF($I$1:$T$1,B155,$I$2:$T$2))*AE158+SUMIF($I$1:$T$1,B155,$I$2:$T$2)*AF158</f>
        <v>0</v>
      </c>
      <c r="AG159" s="386">
        <f>(1-SUMIF($I$1:$T$1,B155,$I$2:$T$2))*AF158+SUMIF($I$1:$T$1,B155,$I$2:$T$2)*AG158</f>
        <v>0</v>
      </c>
      <c r="AH159" s="399">
        <f>(1-SUMIF($I$1:$T$1,B155,$I$2:$T$2))*AG158+SUMIF($I$1:$T$1,B155,$I$2:$T$2)*AH158</f>
        <v>0</v>
      </c>
      <c r="AI159" s="399">
        <f>(1-SUMIF($I$1:$T$1,B155,$I$2:$T$2))*AH158+SUMIF($I$1:$T$1,B155,$I$2:$T$2)*AI158</f>
        <v>0</v>
      </c>
      <c r="AJ159" s="404">
        <f>(1-SUMIF($I$1:$T$1,B155,$I$2:$T$2))*AI158+SUMIF($I$1:$T$1,B155,$I$2:$T$2)*AJ158</f>
        <v>0</v>
      </c>
      <c r="AK159" s="386">
        <f>(1-SUMIF($I$1:$T$1,B155,$I$2:$T$2))*AJ158+SUMIF($I$1:$T$1,B155,$I$2:$T$2)*AK158</f>
        <v>0</v>
      </c>
      <c r="AL159" s="399">
        <f>(1-SUMIF($I$1:$T$1,B155,$I$2:$T$2))*AK158+SUMIF($I$1:$T$1,B155,$I$2:$T$2)*AL158</f>
        <v>0</v>
      </c>
      <c r="AM159" s="399">
        <f>(1-SUMIF($I$1:$T$1,B155,$I$2:$T$2))*AL158+SUMIF($I$1:$T$1,B155,$I$2:$T$2)*AM158</f>
        <v>0</v>
      </c>
      <c r="AN159" s="404">
        <f>(1-SUMIF($I$1:$T$1,B155,$I$2:$T$2))*AM158+SUMIF($I$1:$T$1,B155,$I$2:$T$2)*AN158</f>
        <v>0</v>
      </c>
      <c r="AO159" s="386">
        <f>(1-SUMIF($I$1:$T$1,B155,$I$2:$T$2))*AN158+SUMIF($I$1:$T$1,B155,$I$2:$T$2)*AO158</f>
        <v>0</v>
      </c>
      <c r="AP159" s="399">
        <f>(1-SUMIF($I$1:$T$1,B155,$I$2:$T$2))*AO158+SUMIF($I$1:$T$1,B155,$I$2:$T$2)*AP158</f>
        <v>0</v>
      </c>
      <c r="AQ159" s="399">
        <f>(1-SUMIF($I$1:$T$1,B155,$I$2:$T$2))*AP158+SUMIF($I$1:$T$1,B155,$I$2:$T$2)*AQ158</f>
        <v>0</v>
      </c>
      <c r="AR159" s="404">
        <f>(1-SUMIF($I$1:$T$1,B155,$I$2:$T$2))*AQ158+SUMIF($I$1:$T$1,B155,$I$2:$T$2)*AR158</f>
        <v>0</v>
      </c>
      <c r="AS159" s="386">
        <f>(1-SUMIF($I$1:$T$1,B155,$I$2:$T$2))*AR158+SUMIF($I$1:$T$1,B155,$I$2:$T$2)*AS158</f>
        <v>0</v>
      </c>
      <c r="AT159" s="399">
        <f>(1-SUMIF($I$1:$T$1,B155,$I$2:$T$2))*AS158+SUMIF($I$1:$T$1,B155,$I$2:$T$2)*AT158</f>
        <v>0</v>
      </c>
      <c r="AU159" s="399">
        <f>(1-SUMIF($I$1:$T$1,B155,$I$2:$T$2))*AT158+SUMIF($I$1:$T$1,B155,$I$2:$T$2)*AU158</f>
        <v>0</v>
      </c>
      <c r="AV159" s="404">
        <f>(1-SUMIF($I$1:$T$1,B155,$I$2:$T$2))*AU158+SUMIF($I$1:$T$1,B155,$I$2:$T$2)*AV158</f>
        <v>0</v>
      </c>
      <c r="AW159" s="424" t="str">
        <f t="shared" si="140"/>
        <v>高层</v>
      </c>
    </row>
    <row r="160" spans="1:49" s="424" customFormat="1" ht="13.5" customHeight="1" outlineLevel="1">
      <c r="A160" s="1947"/>
      <c r="B160" s="1949" t="str">
        <f>'9.项目开发计划表'!C19</f>
        <v>商铺</v>
      </c>
      <c r="C160" s="456" t="s">
        <v>880</v>
      </c>
      <c r="D160" s="457">
        <f>IF(D162=0,0,D163/D162*10000)</f>
        <v>0</v>
      </c>
      <c r="E160" s="505"/>
      <c r="F160" s="506"/>
      <c r="G160" s="506"/>
      <c r="H160" s="507"/>
      <c r="I160" s="505"/>
      <c r="J160" s="506"/>
      <c r="K160" s="506"/>
      <c r="L160" s="507"/>
      <c r="M160" s="505"/>
      <c r="N160" s="506"/>
      <c r="O160" s="506"/>
      <c r="P160" s="509"/>
      <c r="Q160" s="505"/>
      <c r="R160" s="506"/>
      <c r="S160" s="506"/>
      <c r="T160" s="507"/>
      <c r="U160" s="505"/>
      <c r="V160" s="506"/>
      <c r="W160" s="506"/>
      <c r="X160" s="507"/>
      <c r="Y160" s="505"/>
      <c r="Z160" s="506"/>
      <c r="AA160" s="506"/>
      <c r="AB160" s="507"/>
      <c r="AC160" s="505"/>
      <c r="AD160" s="506"/>
      <c r="AE160" s="506"/>
      <c r="AF160" s="507"/>
      <c r="AG160" s="505"/>
      <c r="AH160" s="506"/>
      <c r="AI160" s="506"/>
      <c r="AJ160" s="507"/>
      <c r="AK160" s="505"/>
      <c r="AL160" s="506"/>
      <c r="AM160" s="506"/>
      <c r="AN160" s="507"/>
      <c r="AO160" s="505"/>
      <c r="AP160" s="506"/>
      <c r="AQ160" s="506"/>
      <c r="AR160" s="507"/>
      <c r="AS160" s="505"/>
      <c r="AT160" s="506"/>
      <c r="AU160" s="506"/>
      <c r="AV160" s="507"/>
      <c r="AW160" s="424" t="str">
        <f>B160</f>
        <v>商铺</v>
      </c>
    </row>
    <row r="161" spans="1:49" ht="13.5" customHeight="1" outlineLevel="1">
      <c r="A161" s="1947"/>
      <c r="B161" s="1949"/>
      <c r="C161" s="461" t="s">
        <v>881</v>
      </c>
      <c r="D161" s="462">
        <f t="shared" ref="D161:D164" si="142">SUM(E161:AV161)</f>
        <v>0</v>
      </c>
      <c r="E161" s="494"/>
      <c r="F161" s="491"/>
      <c r="G161" s="491"/>
      <c r="H161" s="493"/>
      <c r="I161" s="494"/>
      <c r="J161" s="491"/>
      <c r="K161" s="491"/>
      <c r="L161" s="493"/>
      <c r="M161" s="494"/>
      <c r="N161" s="491"/>
      <c r="O161" s="491"/>
      <c r="P161" s="493"/>
      <c r="Q161" s="494"/>
      <c r="R161" s="491"/>
      <c r="S161" s="491"/>
      <c r="T161" s="493"/>
      <c r="U161" s="494"/>
      <c r="V161" s="491"/>
      <c r="W161" s="491"/>
      <c r="X161" s="493"/>
      <c r="Y161" s="494"/>
      <c r="Z161" s="491"/>
      <c r="AA161" s="491"/>
      <c r="AB161" s="493"/>
      <c r="AC161" s="494"/>
      <c r="AD161" s="491"/>
      <c r="AE161" s="491"/>
      <c r="AF161" s="493"/>
      <c r="AG161" s="494"/>
      <c r="AH161" s="491"/>
      <c r="AI161" s="491"/>
      <c r="AJ161" s="493"/>
      <c r="AK161" s="494"/>
      <c r="AL161" s="491"/>
      <c r="AM161" s="491"/>
      <c r="AN161" s="493"/>
      <c r="AO161" s="494"/>
      <c r="AP161" s="491"/>
      <c r="AQ161" s="491"/>
      <c r="AR161" s="493"/>
      <c r="AS161" s="494"/>
      <c r="AT161" s="491"/>
      <c r="AU161" s="491"/>
      <c r="AV161" s="493"/>
      <c r="AW161" s="424" t="str">
        <f t="shared" ref="AW161:AW214" si="143">AW160</f>
        <v>商铺</v>
      </c>
    </row>
    <row r="162" spans="1:49" s="424" customFormat="1" ht="13.5" customHeight="1" outlineLevel="1">
      <c r="A162" s="1947"/>
      <c r="B162" s="1949"/>
      <c r="C162" s="461" t="s">
        <v>682</v>
      </c>
      <c r="D162" s="466">
        <f t="shared" si="142"/>
        <v>0</v>
      </c>
      <c r="E162" s="382">
        <f>E161*'9.项目开发计划表'!$G$19</f>
        <v>0</v>
      </c>
      <c r="F162" s="397">
        <f>F161*'9.项目开发计划表'!$G$19</f>
        <v>0</v>
      </c>
      <c r="G162" s="397">
        <f>G161*'9.项目开发计划表'!$G$19</f>
        <v>0</v>
      </c>
      <c r="H162" s="467">
        <f>H161*'9.项目开发计划表'!$G$19</f>
        <v>0</v>
      </c>
      <c r="I162" s="382">
        <f>I161*'9.项目开发计划表'!$G$19</f>
        <v>0</v>
      </c>
      <c r="J162" s="397">
        <f>J161*'9.项目开发计划表'!$G$19</f>
        <v>0</v>
      </c>
      <c r="K162" s="397">
        <f>K161*'9.项目开发计划表'!$G$19</f>
        <v>0</v>
      </c>
      <c r="L162" s="467">
        <f>L161*'9.项目开发计划表'!$G$19</f>
        <v>0</v>
      </c>
      <c r="M162" s="382">
        <f>M161*'9.项目开发计划表'!$G$19</f>
        <v>0</v>
      </c>
      <c r="N162" s="397">
        <f>N161*'9.项目开发计划表'!$G$19</f>
        <v>0</v>
      </c>
      <c r="O162" s="397">
        <f>O161*'9.项目开发计划表'!$G$19</f>
        <v>0</v>
      </c>
      <c r="P162" s="467">
        <f>P161*'9.项目开发计划表'!$G$19</f>
        <v>0</v>
      </c>
      <c r="Q162" s="382">
        <f>Q161*'9.项目开发计划表'!$G$19</f>
        <v>0</v>
      </c>
      <c r="R162" s="397">
        <f>R161*'9.项目开发计划表'!$G$19</f>
        <v>0</v>
      </c>
      <c r="S162" s="397">
        <f>S161*'9.项目开发计划表'!$G$19</f>
        <v>0</v>
      </c>
      <c r="T162" s="467">
        <f>T161*'9.项目开发计划表'!$G$19</f>
        <v>0</v>
      </c>
      <c r="U162" s="382">
        <f>U161*'9.项目开发计划表'!$G$19</f>
        <v>0</v>
      </c>
      <c r="V162" s="397">
        <f>V161*'9.项目开发计划表'!$G$19</f>
        <v>0</v>
      </c>
      <c r="W162" s="397">
        <f>W161*'9.项目开发计划表'!$G$19</f>
        <v>0</v>
      </c>
      <c r="X162" s="467">
        <f>X161*'9.项目开发计划表'!$G$19</f>
        <v>0</v>
      </c>
      <c r="Y162" s="382">
        <f>Y161*'9.项目开发计划表'!$G$19</f>
        <v>0</v>
      </c>
      <c r="Z162" s="397">
        <f>Z161*'9.项目开发计划表'!$G$19</f>
        <v>0</v>
      </c>
      <c r="AA162" s="397">
        <f>AA161*'9.项目开发计划表'!$G$19</f>
        <v>0</v>
      </c>
      <c r="AB162" s="467">
        <f>AB161*'9.项目开发计划表'!$G$19</f>
        <v>0</v>
      </c>
      <c r="AC162" s="382">
        <f>AC161*'9.项目开发计划表'!$G$19</f>
        <v>0</v>
      </c>
      <c r="AD162" s="397">
        <f>AD161*'9.项目开发计划表'!$G$19</f>
        <v>0</v>
      </c>
      <c r="AE162" s="397">
        <f>AE161*'9.项目开发计划表'!$G$19</f>
        <v>0</v>
      </c>
      <c r="AF162" s="467">
        <f>AF161*'9.项目开发计划表'!$G$19</f>
        <v>0</v>
      </c>
      <c r="AG162" s="382">
        <f>AG161*'9.项目开发计划表'!$G$19</f>
        <v>0</v>
      </c>
      <c r="AH162" s="397">
        <f>AH161*'9.项目开发计划表'!$G$19</f>
        <v>0</v>
      </c>
      <c r="AI162" s="397">
        <f>AI161*'9.项目开发计划表'!$G$19</f>
        <v>0</v>
      </c>
      <c r="AJ162" s="467">
        <f>AJ161*'9.项目开发计划表'!$G$19</f>
        <v>0</v>
      </c>
      <c r="AK162" s="382">
        <f>AK161*'9.项目开发计划表'!$G$19</f>
        <v>0</v>
      </c>
      <c r="AL162" s="397">
        <f>AL161*'9.项目开发计划表'!$G$19</f>
        <v>0</v>
      </c>
      <c r="AM162" s="397">
        <f>AM161*'9.项目开发计划表'!$G$19</f>
        <v>0</v>
      </c>
      <c r="AN162" s="467">
        <f>AN161*'9.项目开发计划表'!$G$19</f>
        <v>0</v>
      </c>
      <c r="AO162" s="382">
        <f>AO161*'9.项目开发计划表'!$G$19</f>
        <v>0</v>
      </c>
      <c r="AP162" s="397">
        <f>AP161*'9.项目开发计划表'!$G$19</f>
        <v>0</v>
      </c>
      <c r="AQ162" s="397">
        <f>AQ161*'9.项目开发计划表'!$G$19</f>
        <v>0</v>
      </c>
      <c r="AR162" s="467">
        <f>AR161*'9.项目开发计划表'!$G$19</f>
        <v>0</v>
      </c>
      <c r="AS162" s="382">
        <f>AS161*'9.项目开发计划表'!$G$19</f>
        <v>0</v>
      </c>
      <c r="AT162" s="397">
        <f>AT161*'9.项目开发计划表'!$G$19</f>
        <v>0</v>
      </c>
      <c r="AU162" s="397">
        <f>AU161*'9.项目开发计划表'!$G$19</f>
        <v>0</v>
      </c>
      <c r="AV162" s="467">
        <f>AV161*'9.项目开发计划表'!$G$19</f>
        <v>0</v>
      </c>
      <c r="AW162" s="424" t="str">
        <f t="shared" si="143"/>
        <v>商铺</v>
      </c>
    </row>
    <row r="163" spans="1:49" s="424" customFormat="1" ht="13.5" customHeight="1" outlineLevel="1">
      <c r="A163" s="1947"/>
      <c r="B163" s="1949"/>
      <c r="C163" s="461" t="s">
        <v>882</v>
      </c>
      <c r="D163" s="466">
        <f t="shared" si="142"/>
        <v>0</v>
      </c>
      <c r="E163" s="382">
        <f t="shared" ref="E163:AV163" si="144">E160*E162/10000</f>
        <v>0</v>
      </c>
      <c r="F163" s="397">
        <f t="shared" si="144"/>
        <v>0</v>
      </c>
      <c r="G163" s="397">
        <f t="shared" si="144"/>
        <v>0</v>
      </c>
      <c r="H163" s="467">
        <f t="shared" si="144"/>
        <v>0</v>
      </c>
      <c r="I163" s="382">
        <f t="shared" si="144"/>
        <v>0</v>
      </c>
      <c r="J163" s="397">
        <f t="shared" si="144"/>
        <v>0</v>
      </c>
      <c r="K163" s="397">
        <f t="shared" si="144"/>
        <v>0</v>
      </c>
      <c r="L163" s="467">
        <f t="shared" si="144"/>
        <v>0</v>
      </c>
      <c r="M163" s="382">
        <f t="shared" si="144"/>
        <v>0</v>
      </c>
      <c r="N163" s="397">
        <f t="shared" si="144"/>
        <v>0</v>
      </c>
      <c r="O163" s="397">
        <f t="shared" si="144"/>
        <v>0</v>
      </c>
      <c r="P163" s="467">
        <f t="shared" si="144"/>
        <v>0</v>
      </c>
      <c r="Q163" s="382">
        <f t="shared" si="144"/>
        <v>0</v>
      </c>
      <c r="R163" s="397">
        <f t="shared" si="144"/>
        <v>0</v>
      </c>
      <c r="S163" s="397">
        <f t="shared" si="144"/>
        <v>0</v>
      </c>
      <c r="T163" s="467">
        <f t="shared" si="144"/>
        <v>0</v>
      </c>
      <c r="U163" s="382">
        <f t="shared" si="144"/>
        <v>0</v>
      </c>
      <c r="V163" s="397">
        <f t="shared" si="144"/>
        <v>0</v>
      </c>
      <c r="W163" s="397">
        <f t="shared" si="144"/>
        <v>0</v>
      </c>
      <c r="X163" s="467">
        <f t="shared" si="144"/>
        <v>0</v>
      </c>
      <c r="Y163" s="382">
        <f t="shared" si="144"/>
        <v>0</v>
      </c>
      <c r="Z163" s="397">
        <f t="shared" si="144"/>
        <v>0</v>
      </c>
      <c r="AA163" s="397">
        <f t="shared" si="144"/>
        <v>0</v>
      </c>
      <c r="AB163" s="467">
        <f t="shared" si="144"/>
        <v>0</v>
      </c>
      <c r="AC163" s="382">
        <f t="shared" si="144"/>
        <v>0</v>
      </c>
      <c r="AD163" s="397">
        <f t="shared" si="144"/>
        <v>0</v>
      </c>
      <c r="AE163" s="397">
        <f t="shared" si="144"/>
        <v>0</v>
      </c>
      <c r="AF163" s="467">
        <f t="shared" si="144"/>
        <v>0</v>
      </c>
      <c r="AG163" s="382">
        <f t="shared" si="144"/>
        <v>0</v>
      </c>
      <c r="AH163" s="397">
        <f t="shared" si="144"/>
        <v>0</v>
      </c>
      <c r="AI163" s="397">
        <f t="shared" si="144"/>
        <v>0</v>
      </c>
      <c r="AJ163" s="467">
        <f t="shared" si="144"/>
        <v>0</v>
      </c>
      <c r="AK163" s="382">
        <f t="shared" si="144"/>
        <v>0</v>
      </c>
      <c r="AL163" s="397">
        <f t="shared" si="144"/>
        <v>0</v>
      </c>
      <c r="AM163" s="397">
        <f t="shared" si="144"/>
        <v>0</v>
      </c>
      <c r="AN163" s="467">
        <f t="shared" si="144"/>
        <v>0</v>
      </c>
      <c r="AO163" s="382">
        <f t="shared" si="144"/>
        <v>0</v>
      </c>
      <c r="AP163" s="397">
        <f t="shared" si="144"/>
        <v>0</v>
      </c>
      <c r="AQ163" s="397">
        <f t="shared" si="144"/>
        <v>0</v>
      </c>
      <c r="AR163" s="467">
        <f t="shared" si="144"/>
        <v>0</v>
      </c>
      <c r="AS163" s="382">
        <f t="shared" si="144"/>
        <v>0</v>
      </c>
      <c r="AT163" s="397">
        <f t="shared" si="144"/>
        <v>0</v>
      </c>
      <c r="AU163" s="397">
        <f t="shared" si="144"/>
        <v>0</v>
      </c>
      <c r="AV163" s="467">
        <f t="shared" si="144"/>
        <v>0</v>
      </c>
      <c r="AW163" s="424" t="str">
        <f t="shared" si="143"/>
        <v>商铺</v>
      </c>
    </row>
    <row r="164" spans="1:49" s="424" customFormat="1" ht="13.5" customHeight="1" outlineLevel="1">
      <c r="A164" s="1947"/>
      <c r="B164" s="1949"/>
      <c r="C164" s="508" t="s">
        <v>450</v>
      </c>
      <c r="D164" s="468">
        <f t="shared" si="142"/>
        <v>0</v>
      </c>
      <c r="E164" s="386">
        <f>SUMIF($I$1:$T$1,B160,$I$2:$T$2)*E163</f>
        <v>0</v>
      </c>
      <c r="F164" s="399">
        <f>(1-SUMIF($I$1:$T$1,B160,$I$2:$T$2))*E163+SUMIF($I$1:$T$1,B160,$I$2:$T$2)*F163</f>
        <v>0</v>
      </c>
      <c r="G164" s="399">
        <f>(1-SUMIF($I$1:$T$1,B160,$I$2:$T$2))*F163+SUMIF($I$1:$T$1,B160,$I$2:$T$2)*G163</f>
        <v>0</v>
      </c>
      <c r="H164" s="404">
        <f>(1-SUMIF($I$1:$T$1,B160,$I$2:$T$2))*G163+SUMIF($I$1:$T$1,B160,$I$2:$T$2)*H163</f>
        <v>0</v>
      </c>
      <c r="I164" s="386">
        <f>(1-SUMIF($I$1:$T$1,B160,$I$2:$T$2))*H163+SUMIF($I$1:$T$1,B160,$I$2:$T$2)*I163</f>
        <v>0</v>
      </c>
      <c r="J164" s="399">
        <f>(1-SUMIF($I$1:$T$1,B160,$I$2:$T$2))*I163+SUMIF($I$1:$T$1,B160,$I$2:$T$2)*J163</f>
        <v>0</v>
      </c>
      <c r="K164" s="399">
        <f>(1-SUMIF($I$1:$T$1,B160,$I$2:$T$2))*J163+SUMIF($I$1:$T$1,B160,$I$2:$T$2)*K163</f>
        <v>0</v>
      </c>
      <c r="L164" s="404">
        <f>(1-SUMIF($I$1:$T$1,B160,$I$2:$T$2))*K163+SUMIF($I$1:$T$1,B160,$I$2:$T$2)*L163</f>
        <v>0</v>
      </c>
      <c r="M164" s="386">
        <f>(1-SUMIF($I$1:$T$1,B160,$I$2:$T$2))*L163+SUMIF($I$1:$T$1,B160,$I$2:$T$2)*M163</f>
        <v>0</v>
      </c>
      <c r="N164" s="399">
        <f>(1-SUMIF($I$1:$T$1,B160,$I$2:$T$2))*M163+SUMIF($I$1:$T$1,B160,$I$2:$T$2)*N163</f>
        <v>0</v>
      </c>
      <c r="O164" s="399">
        <f>(1-SUMIF($I$1:$T$1,B160,$I$2:$T$2))*N163+SUMIF($I$1:$T$1,B160,$I$2:$T$2)*O163</f>
        <v>0</v>
      </c>
      <c r="P164" s="404">
        <f>(1-SUMIF($I$1:$T$1,B160,$I$2:$T$2))*O163+SUMIF($I$1:$T$1,B160,$I$2:$T$2)*P163</f>
        <v>0</v>
      </c>
      <c r="Q164" s="386">
        <f>(1-SUMIF($I$1:$T$1,B160,$I$2:$T$2))*P163+SUMIF($I$1:$T$1,B160,$I$2:$T$2)*Q163</f>
        <v>0</v>
      </c>
      <c r="R164" s="399">
        <f>(1-SUMIF($I$1:$T$1,B160,$I$2:$T$2))*Q163+SUMIF($I$1:$T$1,B160,$I$2:$T$2)*R163</f>
        <v>0</v>
      </c>
      <c r="S164" s="399">
        <f>(1-SUMIF($I$1:$T$1,B160,$I$2:$T$2))*R163+SUMIF($I$1:$T$1,B160,$I$2:$T$2)*S163</f>
        <v>0</v>
      </c>
      <c r="T164" s="404">
        <f>(1-SUMIF($I$1:$T$1,B160,$I$2:$T$2))*S163+SUMIF($I$1:$T$1,B160,$I$2:$T$2)*T163</f>
        <v>0</v>
      </c>
      <c r="U164" s="386">
        <f>(1-SUMIF($I$1:$T$1,B160,$I$2:$T$2))*T163+SUMIF($I$1:$T$1,B160,$I$2:$T$2)*U163</f>
        <v>0</v>
      </c>
      <c r="V164" s="399">
        <f>(1-SUMIF($I$1:$T$1,B160,$I$2:$T$2))*U163+SUMIF($I$1:$T$1,B160,$I$2:$T$2)*V163</f>
        <v>0</v>
      </c>
      <c r="W164" s="399">
        <f>(1-SUMIF($I$1:$T$1,B160,$I$2:$T$2))*V163+SUMIF($I$1:$T$1,B160,$I$2:$T$2)*W163</f>
        <v>0</v>
      </c>
      <c r="X164" s="404">
        <f>(1-SUMIF($I$1:$T$1,B160,$I$2:$T$2))*W163+SUMIF($I$1:$T$1,B160,$I$2:$T$2)*X163</f>
        <v>0</v>
      </c>
      <c r="Y164" s="386">
        <f>(1-SUMIF($I$1:$T$1,B160,$I$2:$T$2))*X163+SUMIF($I$1:$T$1,B160,$I$2:$T$2)*Y163</f>
        <v>0</v>
      </c>
      <c r="Z164" s="399">
        <f>(1-SUMIF($I$1:$T$1,B160,$I$2:$T$2))*Y163+SUMIF($I$1:$T$1,B160,$I$2:$T$2)*Z163</f>
        <v>0</v>
      </c>
      <c r="AA164" s="399">
        <f>(1-SUMIF($I$1:$T$1,B160,$I$2:$T$2))*Z163+SUMIF($I$1:$T$1,B160,$I$2:$T$2)*AA163</f>
        <v>0</v>
      </c>
      <c r="AB164" s="404">
        <f>(1-SUMIF($I$1:$T$1,B160,$I$2:$T$2))*AA163+SUMIF($I$1:$T$1,B160,$I$2:$T$2)*AB163</f>
        <v>0</v>
      </c>
      <c r="AC164" s="386">
        <f>(1-SUMIF($I$1:$T$1,B160,$I$2:$T$2))*AB163+SUMIF($I$1:$T$1,B160,$I$2:$T$2)*AC163</f>
        <v>0</v>
      </c>
      <c r="AD164" s="399">
        <f>(1-SUMIF($I$1:$T$1,B160,$I$2:$T$2))*AC163+SUMIF($I$1:$T$1,B160,$I$2:$T$2)*AD163</f>
        <v>0</v>
      </c>
      <c r="AE164" s="399">
        <f>(1-SUMIF($I$1:$T$1,B160,$I$2:$T$2))*AD163+SUMIF($I$1:$T$1,B160,$I$2:$T$2)*AE163</f>
        <v>0</v>
      </c>
      <c r="AF164" s="404">
        <f>(1-SUMIF($I$1:$T$1,B160,$I$2:$T$2))*AE163+SUMIF($I$1:$T$1,B160,$I$2:$T$2)*AF163</f>
        <v>0</v>
      </c>
      <c r="AG164" s="386">
        <f>(1-SUMIF($I$1:$T$1,B160,$I$2:$T$2))*AF163+SUMIF($I$1:$T$1,B160,$I$2:$T$2)*AG163</f>
        <v>0</v>
      </c>
      <c r="AH164" s="399">
        <f>(1-SUMIF($I$1:$T$1,B160,$I$2:$T$2))*AG163+SUMIF($I$1:$T$1,B160,$I$2:$T$2)*AH163</f>
        <v>0</v>
      </c>
      <c r="AI164" s="399">
        <f>(1-SUMIF($I$1:$T$1,B160,$I$2:$T$2))*AH163+SUMIF($I$1:$T$1,B160,$I$2:$T$2)*AI163</f>
        <v>0</v>
      </c>
      <c r="AJ164" s="404">
        <f>(1-SUMIF($I$1:$T$1,B160,$I$2:$T$2))*AI163+SUMIF($I$1:$T$1,B160,$I$2:$T$2)*AJ163</f>
        <v>0</v>
      </c>
      <c r="AK164" s="386">
        <f>(1-SUMIF($I$1:$T$1,B160,$I$2:$T$2))*AJ163+SUMIF($I$1:$T$1,B160,$I$2:$T$2)*AK163</f>
        <v>0</v>
      </c>
      <c r="AL164" s="399">
        <f>(1-SUMIF($I$1:$T$1,B160,$I$2:$T$2))*AK163+SUMIF($I$1:$T$1,B160,$I$2:$T$2)*AL163</f>
        <v>0</v>
      </c>
      <c r="AM164" s="399">
        <f>(1-SUMIF($I$1:$T$1,B160,$I$2:$T$2))*AL163+SUMIF($I$1:$T$1,B160,$I$2:$T$2)*AM163</f>
        <v>0</v>
      </c>
      <c r="AN164" s="404">
        <f>(1-SUMIF($I$1:$T$1,B160,$I$2:$T$2))*AM163+SUMIF($I$1:$T$1,B160,$I$2:$T$2)*AN163</f>
        <v>0</v>
      </c>
      <c r="AO164" s="386">
        <f>(1-SUMIF($I$1:$T$1,B160,$I$2:$T$2))*AN163+SUMIF($I$1:$T$1,B160,$I$2:$T$2)*AO163</f>
        <v>0</v>
      </c>
      <c r="AP164" s="399">
        <f>(1-SUMIF($I$1:$T$1,B160,$I$2:$T$2))*AO163+SUMIF($I$1:$T$1,B160,$I$2:$T$2)*AP163</f>
        <v>0</v>
      </c>
      <c r="AQ164" s="399">
        <f>(1-SUMIF($I$1:$T$1,B160,$I$2:$T$2))*AP163+SUMIF($I$1:$T$1,B160,$I$2:$T$2)*AQ163</f>
        <v>0</v>
      </c>
      <c r="AR164" s="404">
        <f>(1-SUMIF($I$1:$T$1,B160,$I$2:$T$2))*AQ163+SUMIF($I$1:$T$1,B160,$I$2:$T$2)*AR163</f>
        <v>0</v>
      </c>
      <c r="AS164" s="386">
        <f>(1-SUMIF($I$1:$T$1,B160,$I$2:$T$2))*AR163+SUMIF($I$1:$T$1,B160,$I$2:$T$2)*AS163</f>
        <v>0</v>
      </c>
      <c r="AT164" s="399">
        <f>(1-SUMIF($I$1:$T$1,B160,$I$2:$T$2))*AS163+SUMIF($I$1:$T$1,B160,$I$2:$T$2)*AT163</f>
        <v>0</v>
      </c>
      <c r="AU164" s="399">
        <f>(1-SUMIF($I$1:$T$1,B160,$I$2:$T$2))*AT163+SUMIF($I$1:$T$1,B160,$I$2:$T$2)*AU163</f>
        <v>0</v>
      </c>
      <c r="AV164" s="404">
        <f>(1-SUMIF($I$1:$T$1,B160,$I$2:$T$2))*AU163+SUMIF($I$1:$T$1,B160,$I$2:$T$2)*AV163</f>
        <v>0</v>
      </c>
      <c r="AW164" s="424" t="str">
        <f t="shared" si="143"/>
        <v>商铺</v>
      </c>
    </row>
    <row r="165" spans="1:49" s="424" customFormat="1" ht="13.5" customHeight="1" outlineLevel="1">
      <c r="A165" s="1947"/>
      <c r="B165" s="1949" t="str">
        <f>'9.项目开发计划表'!C20</f>
        <v>回迁商业</v>
      </c>
      <c r="C165" s="456" t="s">
        <v>880</v>
      </c>
      <c r="D165" s="457">
        <f>IF(D167=0,0,D168/D167*10000)</f>
        <v>0</v>
      </c>
      <c r="E165" s="505"/>
      <c r="F165" s="506"/>
      <c r="G165" s="506"/>
      <c r="H165" s="507"/>
      <c r="I165" s="505"/>
      <c r="J165" s="506"/>
      <c r="K165" s="506"/>
      <c r="L165" s="489"/>
      <c r="M165" s="489"/>
      <c r="N165" s="489"/>
      <c r="O165" s="489"/>
      <c r="P165" s="489"/>
      <c r="Q165" s="489"/>
      <c r="R165" s="489"/>
      <c r="S165" s="489"/>
      <c r="T165" s="507"/>
      <c r="U165" s="505"/>
      <c r="V165" s="506"/>
      <c r="W165" s="506"/>
      <c r="X165" s="507"/>
      <c r="Y165" s="505"/>
      <c r="Z165" s="506"/>
      <c r="AA165" s="506"/>
      <c r="AB165" s="507"/>
      <c r="AC165" s="505"/>
      <c r="AD165" s="506"/>
      <c r="AE165" s="506"/>
      <c r="AF165" s="507"/>
      <c r="AG165" s="505"/>
      <c r="AH165" s="506"/>
      <c r="AI165" s="506"/>
      <c r="AJ165" s="507"/>
      <c r="AK165" s="505"/>
      <c r="AL165" s="506"/>
      <c r="AM165" s="506"/>
      <c r="AN165" s="507"/>
      <c r="AO165" s="505"/>
      <c r="AP165" s="506"/>
      <c r="AQ165" s="506"/>
      <c r="AR165" s="507"/>
      <c r="AS165" s="505"/>
      <c r="AT165" s="506"/>
      <c r="AU165" s="506"/>
      <c r="AV165" s="507"/>
      <c r="AW165" s="424" t="str">
        <f>B165</f>
        <v>回迁商业</v>
      </c>
    </row>
    <row r="166" spans="1:49" ht="13.5" customHeight="1" outlineLevel="1">
      <c r="A166" s="1947"/>
      <c r="B166" s="1949"/>
      <c r="C166" s="461" t="s">
        <v>881</v>
      </c>
      <c r="D166" s="462">
        <f t="shared" ref="D166:D169" si="145">SUM(E166:AV166)</f>
        <v>0</v>
      </c>
      <c r="E166" s="494"/>
      <c r="F166" s="491"/>
      <c r="G166" s="491"/>
      <c r="H166" s="493"/>
      <c r="I166" s="494"/>
      <c r="J166" s="491"/>
      <c r="K166" s="491"/>
      <c r="L166" s="490"/>
      <c r="M166" s="490"/>
      <c r="N166" s="490"/>
      <c r="O166" s="490"/>
      <c r="P166" s="490"/>
      <c r="Q166" s="490"/>
      <c r="R166" s="490"/>
      <c r="S166" s="490"/>
      <c r="T166" s="493"/>
      <c r="U166" s="494"/>
      <c r="V166" s="491"/>
      <c r="W166" s="491"/>
      <c r="X166" s="493"/>
      <c r="Y166" s="494"/>
      <c r="Z166" s="491"/>
      <c r="AA166" s="491"/>
      <c r="AB166" s="493"/>
      <c r="AC166" s="494"/>
      <c r="AD166" s="491"/>
      <c r="AE166" s="491"/>
      <c r="AF166" s="493"/>
      <c r="AG166" s="494"/>
      <c r="AH166" s="491"/>
      <c r="AI166" s="491"/>
      <c r="AJ166" s="493"/>
      <c r="AK166" s="494"/>
      <c r="AL166" s="491"/>
      <c r="AM166" s="491"/>
      <c r="AN166" s="493"/>
      <c r="AO166" s="494"/>
      <c r="AP166" s="491"/>
      <c r="AQ166" s="491"/>
      <c r="AR166" s="493"/>
      <c r="AS166" s="494"/>
      <c r="AT166" s="491"/>
      <c r="AU166" s="491"/>
      <c r="AV166" s="493"/>
      <c r="AW166" s="424" t="str">
        <f>AW165</f>
        <v>回迁商业</v>
      </c>
    </row>
    <row r="167" spans="1:49" s="424" customFormat="1" ht="13.5" customHeight="1" outlineLevel="1">
      <c r="A167" s="1947"/>
      <c r="B167" s="1949"/>
      <c r="C167" s="461" t="s">
        <v>682</v>
      </c>
      <c r="D167" s="466">
        <f t="shared" si="145"/>
        <v>0</v>
      </c>
      <c r="E167" s="382">
        <f>E166*'9.项目开发计划表'!$G$20</f>
        <v>0</v>
      </c>
      <c r="F167" s="397">
        <f>F166*'9.项目开发计划表'!$G$20</f>
        <v>0</v>
      </c>
      <c r="G167" s="397">
        <f>G166*'9.项目开发计划表'!$G$20</f>
        <v>0</v>
      </c>
      <c r="H167" s="467">
        <f>H166*'9.项目开发计划表'!$G$20</f>
        <v>0</v>
      </c>
      <c r="I167" s="382">
        <f>I166*'9.项目开发计划表'!$G$20</f>
        <v>0</v>
      </c>
      <c r="J167" s="397">
        <f>J166*'9.项目开发计划表'!$G$20</f>
        <v>0</v>
      </c>
      <c r="K167" s="397">
        <f>K166*'9.项目开发计划表'!$G$20</f>
        <v>0</v>
      </c>
      <c r="L167" s="467">
        <f>L166*'9.项目开发计划表'!$G$20</f>
        <v>0</v>
      </c>
      <c r="M167" s="382">
        <f>M166*'9.项目开发计划表'!$G$20</f>
        <v>0</v>
      </c>
      <c r="N167" s="397">
        <f>N166*'9.项目开发计划表'!$G$20</f>
        <v>0</v>
      </c>
      <c r="O167" s="397">
        <f>O166*'9.项目开发计划表'!$G$20</f>
        <v>0</v>
      </c>
      <c r="P167" s="467">
        <f>P166*'9.项目开发计划表'!$G$20</f>
        <v>0</v>
      </c>
      <c r="Q167" s="382">
        <f>Q166*'9.项目开发计划表'!$G$20</f>
        <v>0</v>
      </c>
      <c r="R167" s="397">
        <f>R166*'9.项目开发计划表'!$G$20</f>
        <v>0</v>
      </c>
      <c r="S167" s="397">
        <f>S166*'9.项目开发计划表'!$G$20</f>
        <v>0</v>
      </c>
      <c r="T167" s="467">
        <f>T166*'9.项目开发计划表'!$G$20</f>
        <v>0</v>
      </c>
      <c r="U167" s="382">
        <f>U166*'9.项目开发计划表'!$G$20</f>
        <v>0</v>
      </c>
      <c r="V167" s="397">
        <f>V166*'9.项目开发计划表'!$G$20</f>
        <v>0</v>
      </c>
      <c r="W167" s="397">
        <f>W166*'9.项目开发计划表'!$G$20</f>
        <v>0</v>
      </c>
      <c r="X167" s="467">
        <f>X166*'9.项目开发计划表'!$G$20</f>
        <v>0</v>
      </c>
      <c r="Y167" s="382">
        <f>Y166*'9.项目开发计划表'!$G$20</f>
        <v>0</v>
      </c>
      <c r="Z167" s="397">
        <f>Z166*'9.项目开发计划表'!$G$20</f>
        <v>0</v>
      </c>
      <c r="AA167" s="397">
        <f>AA166*'9.项目开发计划表'!$G$20</f>
        <v>0</v>
      </c>
      <c r="AB167" s="467">
        <f>AB166*'9.项目开发计划表'!$G$20</f>
        <v>0</v>
      </c>
      <c r="AC167" s="382">
        <f>AC166*'9.项目开发计划表'!$G$20</f>
        <v>0</v>
      </c>
      <c r="AD167" s="397">
        <f>AD166*'9.项目开发计划表'!$G$20</f>
        <v>0</v>
      </c>
      <c r="AE167" s="397">
        <f>AE166*'9.项目开发计划表'!$G$20</f>
        <v>0</v>
      </c>
      <c r="AF167" s="467">
        <f>AF166*'9.项目开发计划表'!$G$20</f>
        <v>0</v>
      </c>
      <c r="AG167" s="382">
        <f>AG166*'9.项目开发计划表'!$G$20</f>
        <v>0</v>
      </c>
      <c r="AH167" s="397">
        <f>AH166*'9.项目开发计划表'!$G$20</f>
        <v>0</v>
      </c>
      <c r="AI167" s="397">
        <f>AI166*'9.项目开发计划表'!$G$20</f>
        <v>0</v>
      </c>
      <c r="AJ167" s="467">
        <f>AJ166*'9.项目开发计划表'!$G$20</f>
        <v>0</v>
      </c>
      <c r="AK167" s="382">
        <f>AK166*'9.项目开发计划表'!$G$20</f>
        <v>0</v>
      </c>
      <c r="AL167" s="397">
        <f>AL166*'9.项目开发计划表'!$G$20</f>
        <v>0</v>
      </c>
      <c r="AM167" s="397">
        <f>AM166*'9.项目开发计划表'!$G$20</f>
        <v>0</v>
      </c>
      <c r="AN167" s="467">
        <f>AN166*'9.项目开发计划表'!$G$20</f>
        <v>0</v>
      </c>
      <c r="AO167" s="382">
        <f>AO166*'9.项目开发计划表'!$G$20</f>
        <v>0</v>
      </c>
      <c r="AP167" s="397">
        <f>AP166*'9.项目开发计划表'!$G$20</f>
        <v>0</v>
      </c>
      <c r="AQ167" s="397">
        <f>AQ166*'9.项目开发计划表'!$G$20</f>
        <v>0</v>
      </c>
      <c r="AR167" s="467">
        <f>AR166*'9.项目开发计划表'!$G$20</f>
        <v>0</v>
      </c>
      <c r="AS167" s="382">
        <f>AS166*'9.项目开发计划表'!$G$20</f>
        <v>0</v>
      </c>
      <c r="AT167" s="397">
        <f>AT166*'9.项目开发计划表'!$G$20</f>
        <v>0</v>
      </c>
      <c r="AU167" s="397">
        <f>AU166*'9.项目开发计划表'!$G$20</f>
        <v>0</v>
      </c>
      <c r="AV167" s="467">
        <f>AV166*'9.项目开发计划表'!$G$20</f>
        <v>0</v>
      </c>
      <c r="AW167" s="424" t="str">
        <f t="shared" si="143"/>
        <v>回迁商业</v>
      </c>
    </row>
    <row r="168" spans="1:49" s="424" customFormat="1" ht="13.5" customHeight="1" outlineLevel="1">
      <c r="A168" s="1947"/>
      <c r="B168" s="1949"/>
      <c r="C168" s="461" t="s">
        <v>882</v>
      </c>
      <c r="D168" s="466">
        <f t="shared" si="145"/>
        <v>0</v>
      </c>
      <c r="E168" s="382">
        <f t="shared" ref="E168:AV168" si="146">E165*E167/10000</f>
        <v>0</v>
      </c>
      <c r="F168" s="397">
        <f t="shared" si="146"/>
        <v>0</v>
      </c>
      <c r="G168" s="397">
        <f t="shared" si="146"/>
        <v>0</v>
      </c>
      <c r="H168" s="467">
        <f t="shared" si="146"/>
        <v>0</v>
      </c>
      <c r="I168" s="382">
        <f t="shared" si="146"/>
        <v>0</v>
      </c>
      <c r="J168" s="397">
        <f t="shared" si="146"/>
        <v>0</v>
      </c>
      <c r="K168" s="397">
        <f t="shared" si="146"/>
        <v>0</v>
      </c>
      <c r="L168" s="467">
        <f t="shared" si="146"/>
        <v>0</v>
      </c>
      <c r="M168" s="382">
        <f t="shared" si="146"/>
        <v>0</v>
      </c>
      <c r="N168" s="397">
        <f t="shared" si="146"/>
        <v>0</v>
      </c>
      <c r="O168" s="397">
        <f t="shared" si="146"/>
        <v>0</v>
      </c>
      <c r="P168" s="467">
        <f t="shared" si="146"/>
        <v>0</v>
      </c>
      <c r="Q168" s="382">
        <f t="shared" si="146"/>
        <v>0</v>
      </c>
      <c r="R168" s="397">
        <f t="shared" si="146"/>
        <v>0</v>
      </c>
      <c r="S168" s="397">
        <f t="shared" si="146"/>
        <v>0</v>
      </c>
      <c r="T168" s="467">
        <f t="shared" si="146"/>
        <v>0</v>
      </c>
      <c r="U168" s="382">
        <f t="shared" si="146"/>
        <v>0</v>
      </c>
      <c r="V168" s="397">
        <f t="shared" si="146"/>
        <v>0</v>
      </c>
      <c r="W168" s="397">
        <f t="shared" si="146"/>
        <v>0</v>
      </c>
      <c r="X168" s="467">
        <f t="shared" si="146"/>
        <v>0</v>
      </c>
      <c r="Y168" s="382">
        <f t="shared" si="146"/>
        <v>0</v>
      </c>
      <c r="Z168" s="397">
        <f t="shared" si="146"/>
        <v>0</v>
      </c>
      <c r="AA168" s="397">
        <f t="shared" si="146"/>
        <v>0</v>
      </c>
      <c r="AB168" s="467">
        <f t="shared" si="146"/>
        <v>0</v>
      </c>
      <c r="AC168" s="382">
        <f t="shared" si="146"/>
        <v>0</v>
      </c>
      <c r="AD168" s="397">
        <f t="shared" si="146"/>
        <v>0</v>
      </c>
      <c r="AE168" s="397">
        <f t="shared" si="146"/>
        <v>0</v>
      </c>
      <c r="AF168" s="467">
        <f t="shared" si="146"/>
        <v>0</v>
      </c>
      <c r="AG168" s="382">
        <f t="shared" si="146"/>
        <v>0</v>
      </c>
      <c r="AH168" s="397">
        <f t="shared" si="146"/>
        <v>0</v>
      </c>
      <c r="AI168" s="397">
        <f t="shared" si="146"/>
        <v>0</v>
      </c>
      <c r="AJ168" s="467">
        <f t="shared" si="146"/>
        <v>0</v>
      </c>
      <c r="AK168" s="382">
        <f t="shared" si="146"/>
        <v>0</v>
      </c>
      <c r="AL168" s="397">
        <f t="shared" si="146"/>
        <v>0</v>
      </c>
      <c r="AM168" s="397">
        <f t="shared" si="146"/>
        <v>0</v>
      </c>
      <c r="AN168" s="467">
        <f t="shared" si="146"/>
        <v>0</v>
      </c>
      <c r="AO168" s="382">
        <f t="shared" si="146"/>
        <v>0</v>
      </c>
      <c r="AP168" s="397">
        <f t="shared" si="146"/>
        <v>0</v>
      </c>
      <c r="AQ168" s="397">
        <f t="shared" si="146"/>
        <v>0</v>
      </c>
      <c r="AR168" s="467">
        <f t="shared" si="146"/>
        <v>0</v>
      </c>
      <c r="AS168" s="382">
        <f t="shared" si="146"/>
        <v>0</v>
      </c>
      <c r="AT168" s="397">
        <f t="shared" si="146"/>
        <v>0</v>
      </c>
      <c r="AU168" s="397">
        <f t="shared" si="146"/>
        <v>0</v>
      </c>
      <c r="AV168" s="467">
        <f t="shared" si="146"/>
        <v>0</v>
      </c>
      <c r="AW168" s="424" t="str">
        <f t="shared" si="143"/>
        <v>回迁商业</v>
      </c>
    </row>
    <row r="169" spans="1:49" s="424" customFormat="1" ht="13.5" customHeight="1" outlineLevel="1">
      <c r="A169" s="1947"/>
      <c r="B169" s="1949"/>
      <c r="C169" s="508" t="s">
        <v>450</v>
      </c>
      <c r="D169" s="468">
        <f t="shared" si="145"/>
        <v>0</v>
      </c>
      <c r="E169" s="386">
        <f>SUMIF($I$1:$T$1,B165,$I$2:$T$2)*E168</f>
        <v>0</v>
      </c>
      <c r="F169" s="399">
        <f>(1-SUMIF($I$1:$T$1,B165,$I$2:$T$2))*E168+SUMIF($I$1:$T$1,B165,$I$2:$T$2)*F168</f>
        <v>0</v>
      </c>
      <c r="G169" s="399">
        <f>(1-SUMIF($I$1:$T$1,B165,$I$2:$T$2))*F168+SUMIF($I$1:$T$1,B165,$I$2:$T$2)*G168</f>
        <v>0</v>
      </c>
      <c r="H169" s="404">
        <f>(1-SUMIF($I$1:$T$1,B165,$I$2:$T$2))*G168+SUMIF($I$1:$T$1,B165,$I$2:$T$2)*H168</f>
        <v>0</v>
      </c>
      <c r="I169" s="386">
        <f>(1-SUMIF($I$1:$T$1,B165,$I$2:$T$2))*H168+SUMIF($I$1:$T$1,B165,$I$2:$T$2)*I168</f>
        <v>0</v>
      </c>
      <c r="J169" s="399">
        <f>(1-SUMIF($I$1:$T$1,B165,$I$2:$T$2))*I168+SUMIF($I$1:$T$1,B165,$I$2:$T$2)*J168</f>
        <v>0</v>
      </c>
      <c r="K169" s="399">
        <f>(1-SUMIF($I$1:$T$1,B165,$I$2:$T$2))*J168+SUMIF($I$1:$T$1,B165,$I$2:$T$2)*K168</f>
        <v>0</v>
      </c>
      <c r="L169" s="404">
        <f>(1-SUMIF($I$1:$T$1,B165,$I$2:$T$2))*K168+SUMIF($I$1:$T$1,B165,$I$2:$T$2)*L168</f>
        <v>0</v>
      </c>
      <c r="M169" s="386">
        <f>(1-SUMIF($I$1:$T$1,B165,$I$2:$T$2))*L168+SUMIF($I$1:$T$1,B165,$I$2:$T$2)*M168</f>
        <v>0</v>
      </c>
      <c r="N169" s="399">
        <f>(1-SUMIF($I$1:$T$1,B165,$I$2:$T$2))*M168+SUMIF($I$1:$T$1,B165,$I$2:$T$2)*N168</f>
        <v>0</v>
      </c>
      <c r="O169" s="399">
        <f>(1-SUMIF($I$1:$T$1,B165,$I$2:$T$2))*N168+SUMIF($I$1:$T$1,B165,$I$2:$T$2)*O168</f>
        <v>0</v>
      </c>
      <c r="P169" s="404">
        <f>(1-SUMIF($I$1:$T$1,B165,$I$2:$T$2))*O168+SUMIF($I$1:$T$1,B165,$I$2:$T$2)*P168</f>
        <v>0</v>
      </c>
      <c r="Q169" s="386">
        <f>(1-SUMIF($I$1:$T$1,B165,$I$2:$T$2))*P168+SUMIF($I$1:$T$1,B165,$I$2:$T$2)*Q168</f>
        <v>0</v>
      </c>
      <c r="R169" s="399">
        <f>(1-SUMIF($I$1:$T$1,B165,$I$2:$T$2))*Q168+SUMIF($I$1:$T$1,B165,$I$2:$T$2)*R168</f>
        <v>0</v>
      </c>
      <c r="S169" s="399">
        <f>(1-SUMIF($I$1:$T$1,B165,$I$2:$T$2))*R168+SUMIF($I$1:$T$1,B165,$I$2:$T$2)*S168</f>
        <v>0</v>
      </c>
      <c r="T169" s="404">
        <f>(1-SUMIF($I$1:$T$1,B165,$I$2:$T$2))*S168+SUMIF($I$1:$T$1,B165,$I$2:$T$2)*T168</f>
        <v>0</v>
      </c>
      <c r="U169" s="386">
        <f>(1-SUMIF($I$1:$T$1,B165,$I$2:$T$2))*T168+SUMIF($I$1:$T$1,B165,$I$2:$T$2)*U168</f>
        <v>0</v>
      </c>
      <c r="V169" s="399">
        <f>(1-SUMIF($I$1:$T$1,B165,$I$2:$T$2))*U168+SUMIF($I$1:$T$1,B165,$I$2:$T$2)*V168</f>
        <v>0</v>
      </c>
      <c r="W169" s="399">
        <f>(1-SUMIF($I$1:$T$1,B165,$I$2:$T$2))*V168+SUMIF($I$1:$T$1,B165,$I$2:$T$2)*W168</f>
        <v>0</v>
      </c>
      <c r="X169" s="404">
        <f>(1-SUMIF($I$1:$T$1,B165,$I$2:$T$2))*W168+SUMIF($I$1:$T$1,B165,$I$2:$T$2)*X168</f>
        <v>0</v>
      </c>
      <c r="Y169" s="386">
        <f>(1-SUMIF($I$1:$T$1,B165,$I$2:$T$2))*X168+SUMIF($I$1:$T$1,B165,$I$2:$T$2)*Y168</f>
        <v>0</v>
      </c>
      <c r="Z169" s="399">
        <f>(1-SUMIF($I$1:$T$1,B165,$I$2:$T$2))*Y168+SUMIF($I$1:$T$1,B165,$I$2:$T$2)*Z168</f>
        <v>0</v>
      </c>
      <c r="AA169" s="399">
        <f>(1-SUMIF($I$1:$T$1,B165,$I$2:$T$2))*Z168+SUMIF($I$1:$T$1,B165,$I$2:$T$2)*AA168</f>
        <v>0</v>
      </c>
      <c r="AB169" s="404">
        <f>(1-SUMIF($I$1:$T$1,B165,$I$2:$T$2))*AA168+SUMIF($I$1:$T$1,B165,$I$2:$T$2)*AB168</f>
        <v>0</v>
      </c>
      <c r="AC169" s="386">
        <f>(1-SUMIF($I$1:$T$1,B165,$I$2:$T$2))*AB168+SUMIF($I$1:$T$1,B165,$I$2:$T$2)*AC168</f>
        <v>0</v>
      </c>
      <c r="AD169" s="399">
        <f>(1-SUMIF($I$1:$T$1,B165,$I$2:$T$2))*AC168+SUMIF($I$1:$T$1,B165,$I$2:$T$2)*AD168</f>
        <v>0</v>
      </c>
      <c r="AE169" s="399">
        <f>(1-SUMIF($I$1:$T$1,B165,$I$2:$T$2))*AD168+SUMIF($I$1:$T$1,B165,$I$2:$T$2)*AE168</f>
        <v>0</v>
      </c>
      <c r="AF169" s="404">
        <f>(1-SUMIF($I$1:$T$1,B165,$I$2:$T$2))*AE168+SUMIF($I$1:$T$1,B165,$I$2:$T$2)*AF168</f>
        <v>0</v>
      </c>
      <c r="AG169" s="386">
        <f>(1-SUMIF($I$1:$T$1,B165,$I$2:$T$2))*AF168+SUMIF($I$1:$T$1,B165,$I$2:$T$2)*AG168</f>
        <v>0</v>
      </c>
      <c r="AH169" s="399">
        <f>(1-SUMIF($I$1:$T$1,B165,$I$2:$T$2))*AG168+SUMIF($I$1:$T$1,B165,$I$2:$T$2)*AH168</f>
        <v>0</v>
      </c>
      <c r="AI169" s="399">
        <f>(1-SUMIF($I$1:$T$1,B165,$I$2:$T$2))*AH168+SUMIF($I$1:$T$1,B165,$I$2:$T$2)*AI168</f>
        <v>0</v>
      </c>
      <c r="AJ169" s="404">
        <f>(1-SUMIF($I$1:$T$1,B165,$I$2:$T$2))*AI168+SUMIF($I$1:$T$1,B165,$I$2:$T$2)*AJ168</f>
        <v>0</v>
      </c>
      <c r="AK169" s="386">
        <f>(1-SUMIF($I$1:$T$1,B165,$I$2:$T$2))*AJ168+SUMIF($I$1:$T$1,B165,$I$2:$T$2)*AK168</f>
        <v>0</v>
      </c>
      <c r="AL169" s="399">
        <f>(1-SUMIF($I$1:$T$1,B165,$I$2:$T$2))*AK168+SUMIF($I$1:$T$1,B165,$I$2:$T$2)*AL168</f>
        <v>0</v>
      </c>
      <c r="AM169" s="399">
        <f>(1-SUMIF($I$1:$T$1,B165,$I$2:$T$2))*AL168+SUMIF($I$1:$T$1,B165,$I$2:$T$2)*AM168</f>
        <v>0</v>
      </c>
      <c r="AN169" s="404">
        <f>(1-SUMIF($I$1:$T$1,B165,$I$2:$T$2))*AM168+SUMIF($I$1:$T$1,B165,$I$2:$T$2)*AN168</f>
        <v>0</v>
      </c>
      <c r="AO169" s="386">
        <f>(1-SUMIF($I$1:$T$1,B165,$I$2:$T$2))*AN168+SUMIF($I$1:$T$1,B165,$I$2:$T$2)*AO168</f>
        <v>0</v>
      </c>
      <c r="AP169" s="399">
        <f>(1-SUMIF($I$1:$T$1,B165,$I$2:$T$2))*AO168+SUMIF($I$1:$T$1,B165,$I$2:$T$2)*AP168</f>
        <v>0</v>
      </c>
      <c r="AQ169" s="399">
        <f>(1-SUMIF($I$1:$T$1,B165,$I$2:$T$2))*AP168+SUMIF($I$1:$T$1,B165,$I$2:$T$2)*AQ168</f>
        <v>0</v>
      </c>
      <c r="AR169" s="404">
        <f>(1-SUMIF($I$1:$T$1,B165,$I$2:$T$2))*AQ168+SUMIF($I$1:$T$1,B165,$I$2:$T$2)*AR168</f>
        <v>0</v>
      </c>
      <c r="AS169" s="386">
        <f>(1-SUMIF($I$1:$T$1,B165,$I$2:$T$2))*AR168+SUMIF($I$1:$T$1,B165,$I$2:$T$2)*AS168</f>
        <v>0</v>
      </c>
      <c r="AT169" s="399">
        <f>(1-SUMIF($I$1:$T$1,B165,$I$2:$T$2))*AS168+SUMIF($I$1:$T$1,B165,$I$2:$T$2)*AT168</f>
        <v>0</v>
      </c>
      <c r="AU169" s="399">
        <f>(1-SUMIF($I$1:$T$1,B165,$I$2:$T$2))*AT168+SUMIF($I$1:$T$1,B165,$I$2:$T$2)*AU168</f>
        <v>0</v>
      </c>
      <c r="AV169" s="404">
        <f>(1-SUMIF($I$1:$T$1,B165,$I$2:$T$2))*AU168+SUMIF($I$1:$T$1,B165,$I$2:$T$2)*AV168</f>
        <v>0</v>
      </c>
      <c r="AW169" s="424" t="str">
        <f t="shared" si="143"/>
        <v>回迁商业</v>
      </c>
    </row>
    <row r="170" spans="1:49" s="424" customFormat="1" ht="13.5" customHeight="1" outlineLevel="1">
      <c r="A170" s="1947"/>
      <c r="B170" s="1949">
        <f>'9.项目开发计划表'!C21</f>
        <v>0</v>
      </c>
      <c r="C170" s="456" t="s">
        <v>880</v>
      </c>
      <c r="D170" s="457">
        <f>IF(D172=0,0,D173/D172*10000)</f>
        <v>0</v>
      </c>
      <c r="E170" s="505"/>
      <c r="F170" s="506"/>
      <c r="G170" s="506"/>
      <c r="H170" s="507"/>
      <c r="I170" s="505"/>
      <c r="J170" s="506"/>
      <c r="K170" s="506"/>
      <c r="L170" s="506"/>
      <c r="M170" s="506"/>
      <c r="N170" s="506"/>
      <c r="O170" s="506"/>
      <c r="P170" s="506"/>
      <c r="Q170" s="506"/>
      <c r="R170" s="506"/>
      <c r="S170" s="506"/>
      <c r="T170" s="506"/>
      <c r="U170" s="506"/>
      <c r="V170" s="506"/>
      <c r="W170" s="506"/>
      <c r="X170" s="506"/>
      <c r="Y170" s="506"/>
      <c r="Z170" s="506"/>
      <c r="AA170" s="506"/>
      <c r="AB170" s="506"/>
      <c r="AC170" s="505"/>
      <c r="AD170" s="506"/>
      <c r="AE170" s="506"/>
      <c r="AF170" s="506"/>
      <c r="AG170" s="506"/>
      <c r="AH170" s="505"/>
      <c r="AI170" s="506"/>
      <c r="AJ170" s="506"/>
      <c r="AK170" s="507"/>
      <c r="AL170" s="505"/>
      <c r="AM170" s="506"/>
      <c r="AN170" s="506"/>
      <c r="AO170" s="506"/>
      <c r="AP170" s="506"/>
      <c r="AQ170" s="506"/>
      <c r="AR170" s="506"/>
      <c r="AS170" s="506"/>
      <c r="AT170" s="506"/>
      <c r="AU170" s="506"/>
      <c r="AV170" s="506"/>
      <c r="AW170" s="424">
        <f>B170</f>
        <v>0</v>
      </c>
    </row>
    <row r="171" spans="1:49" ht="13.5" customHeight="1" outlineLevel="1">
      <c r="A171" s="1947"/>
      <c r="B171" s="1949"/>
      <c r="C171" s="461" t="s">
        <v>881</v>
      </c>
      <c r="D171" s="462">
        <f t="shared" ref="D171:D174" si="147">SUM(E171:AV171)</f>
        <v>0</v>
      </c>
      <c r="E171" s="494"/>
      <c r="F171" s="491"/>
      <c r="G171" s="491"/>
      <c r="H171" s="493"/>
      <c r="I171" s="494"/>
      <c r="J171" s="491"/>
      <c r="K171" s="491"/>
      <c r="L171" s="491"/>
      <c r="M171" s="491"/>
      <c r="N171" s="491"/>
      <c r="O171" s="491"/>
      <c r="P171" s="491"/>
      <c r="Q171" s="491"/>
      <c r="R171" s="491"/>
      <c r="S171" s="491"/>
      <c r="T171" s="491"/>
      <c r="U171" s="491"/>
      <c r="V171" s="491"/>
      <c r="W171" s="491"/>
      <c r="X171" s="491"/>
      <c r="Y171" s="491"/>
      <c r="Z171" s="491"/>
      <c r="AA171" s="491"/>
      <c r="AB171" s="491"/>
      <c r="AC171" s="494"/>
      <c r="AD171" s="491"/>
      <c r="AE171" s="491"/>
      <c r="AF171" s="491"/>
      <c r="AG171" s="491"/>
      <c r="AH171" s="491"/>
      <c r="AI171" s="491"/>
      <c r="AJ171" s="493"/>
      <c r="AK171" s="494"/>
      <c r="AL171" s="491"/>
      <c r="AM171" s="491"/>
      <c r="AN171" s="491"/>
      <c r="AO171" s="491"/>
      <c r="AP171" s="491"/>
      <c r="AQ171" s="491"/>
      <c r="AR171" s="491"/>
      <c r="AS171" s="491"/>
      <c r="AT171" s="491"/>
      <c r="AU171" s="491"/>
      <c r="AV171" s="491"/>
      <c r="AW171" s="424">
        <f>AW170</f>
        <v>0</v>
      </c>
    </row>
    <row r="172" spans="1:49" s="424" customFormat="1" ht="13.5" customHeight="1" outlineLevel="1">
      <c r="A172" s="1947"/>
      <c r="B172" s="1949"/>
      <c r="C172" s="461" t="s">
        <v>682</v>
      </c>
      <c r="D172" s="466">
        <f t="shared" si="147"/>
        <v>0</v>
      </c>
      <c r="E172" s="382">
        <f>E171*'9.项目开发计划表'!$G$21</f>
        <v>0</v>
      </c>
      <c r="F172" s="397">
        <f>F171*'9.项目开发计划表'!$G$21</f>
        <v>0</v>
      </c>
      <c r="G172" s="397">
        <f>G171*'9.项目开发计划表'!$G$21</f>
        <v>0</v>
      </c>
      <c r="H172" s="467">
        <f>H171*'9.项目开发计划表'!$G$21</f>
        <v>0</v>
      </c>
      <c r="I172" s="382">
        <f>I171*'9.项目开发计划表'!$G$21</f>
        <v>0</v>
      </c>
      <c r="J172" s="397">
        <f>J171*'9.项目开发计划表'!$G$21</f>
        <v>0</v>
      </c>
      <c r="K172" s="397">
        <f>K171*'9.项目开发计划表'!$G$21</f>
        <v>0</v>
      </c>
      <c r="L172" s="467">
        <f>L171*'9.项目开发计划表'!$G$21</f>
        <v>0</v>
      </c>
      <c r="M172" s="382">
        <f>M171*'9.项目开发计划表'!$G$21</f>
        <v>0</v>
      </c>
      <c r="N172" s="397">
        <f>N171*'9.项目开发计划表'!$G$21</f>
        <v>0</v>
      </c>
      <c r="O172" s="397">
        <f>O171*'9.项目开发计划表'!$G$21</f>
        <v>0</v>
      </c>
      <c r="P172" s="467">
        <f>P171*'9.项目开发计划表'!$G$21</f>
        <v>0</v>
      </c>
      <c r="Q172" s="382">
        <f>Q171*'9.项目开发计划表'!$G$21</f>
        <v>0</v>
      </c>
      <c r="R172" s="397">
        <f>R171*'9.项目开发计划表'!$G$21</f>
        <v>0</v>
      </c>
      <c r="S172" s="397">
        <f>S171*'9.项目开发计划表'!$G$21</f>
        <v>0</v>
      </c>
      <c r="T172" s="467">
        <f>T171*'9.项目开发计划表'!$G$21</f>
        <v>0</v>
      </c>
      <c r="U172" s="382">
        <f>U171*'9.项目开发计划表'!$G$21</f>
        <v>0</v>
      </c>
      <c r="V172" s="397">
        <f>V171*'9.项目开发计划表'!$G$21</f>
        <v>0</v>
      </c>
      <c r="W172" s="397">
        <f>W171*'9.项目开发计划表'!$G$21</f>
        <v>0</v>
      </c>
      <c r="X172" s="467">
        <f>X171*'9.项目开发计划表'!$G$21</f>
        <v>0</v>
      </c>
      <c r="Y172" s="382">
        <f>Y171*'9.项目开发计划表'!$G$21</f>
        <v>0</v>
      </c>
      <c r="Z172" s="397">
        <f>Z171*'9.项目开发计划表'!$G$21</f>
        <v>0</v>
      </c>
      <c r="AA172" s="397">
        <f>AA171*'9.项目开发计划表'!$G$21</f>
        <v>0</v>
      </c>
      <c r="AB172" s="467">
        <f>AB171*'9.项目开发计划表'!$G$21</f>
        <v>0</v>
      </c>
      <c r="AC172" s="382">
        <f>AC171*'9.项目开发计划表'!$G$21</f>
        <v>0</v>
      </c>
      <c r="AD172" s="397">
        <f>AD171*'9.项目开发计划表'!$G$21</f>
        <v>0</v>
      </c>
      <c r="AE172" s="397">
        <f>AE171*'9.项目开发计划表'!$G$21</f>
        <v>0</v>
      </c>
      <c r="AF172" s="467">
        <f>AF171*'9.项目开发计划表'!$G$21</f>
        <v>0</v>
      </c>
      <c r="AG172" s="382">
        <f>AG171*'9.项目开发计划表'!$G$21</f>
        <v>0</v>
      </c>
      <c r="AH172" s="397">
        <f>AH171*'9.项目开发计划表'!$G$21</f>
        <v>0</v>
      </c>
      <c r="AI172" s="397">
        <f>AI171*'9.项目开发计划表'!$G$21</f>
        <v>0</v>
      </c>
      <c r="AJ172" s="467">
        <f>AJ171*'9.项目开发计划表'!$G$21</f>
        <v>0</v>
      </c>
      <c r="AK172" s="382">
        <f>AK171*'9.项目开发计划表'!$G$21</f>
        <v>0</v>
      </c>
      <c r="AL172" s="397">
        <f>AL171*'9.项目开发计划表'!$G$21</f>
        <v>0</v>
      </c>
      <c r="AM172" s="397">
        <f>AM171*'9.项目开发计划表'!$G$21</f>
        <v>0</v>
      </c>
      <c r="AN172" s="467">
        <f>AN171*'9.项目开发计划表'!$G$21</f>
        <v>0</v>
      </c>
      <c r="AO172" s="382">
        <f>AO171*'9.项目开发计划表'!$G$21</f>
        <v>0</v>
      </c>
      <c r="AP172" s="397">
        <f>AP171*'9.项目开发计划表'!$G$21</f>
        <v>0</v>
      </c>
      <c r="AQ172" s="397">
        <f>AQ171*'9.项目开发计划表'!$G$21</f>
        <v>0</v>
      </c>
      <c r="AR172" s="467">
        <f>AR171*'9.项目开发计划表'!$G$21</f>
        <v>0</v>
      </c>
      <c r="AS172" s="382">
        <f>AS171*'9.项目开发计划表'!$G$21</f>
        <v>0</v>
      </c>
      <c r="AT172" s="397">
        <f>AT171*'9.项目开发计划表'!$G$21</f>
        <v>0</v>
      </c>
      <c r="AU172" s="397">
        <f>AU171*'9.项目开发计划表'!$G$21</f>
        <v>0</v>
      </c>
      <c r="AV172" s="467">
        <f>AV171*'9.项目开发计划表'!$G$21</f>
        <v>0</v>
      </c>
      <c r="AW172" s="424">
        <f t="shared" si="143"/>
        <v>0</v>
      </c>
    </row>
    <row r="173" spans="1:49" s="424" customFormat="1" ht="13.5" customHeight="1" outlineLevel="1">
      <c r="A173" s="1947"/>
      <c r="B173" s="1949"/>
      <c r="C173" s="461" t="s">
        <v>882</v>
      </c>
      <c r="D173" s="466">
        <f t="shared" si="147"/>
        <v>0</v>
      </c>
      <c r="E173" s="382">
        <f t="shared" ref="E173:AV173" si="148">E170*E172/10000</f>
        <v>0</v>
      </c>
      <c r="F173" s="397">
        <f t="shared" si="148"/>
        <v>0</v>
      </c>
      <c r="G173" s="397">
        <f t="shared" si="148"/>
        <v>0</v>
      </c>
      <c r="H173" s="467">
        <f t="shared" si="148"/>
        <v>0</v>
      </c>
      <c r="I173" s="382">
        <f t="shared" si="148"/>
        <v>0</v>
      </c>
      <c r="J173" s="397">
        <f t="shared" si="148"/>
        <v>0</v>
      </c>
      <c r="K173" s="397">
        <f t="shared" si="148"/>
        <v>0</v>
      </c>
      <c r="L173" s="467">
        <f t="shared" si="148"/>
        <v>0</v>
      </c>
      <c r="M173" s="382">
        <f t="shared" si="148"/>
        <v>0</v>
      </c>
      <c r="N173" s="397">
        <f t="shared" si="148"/>
        <v>0</v>
      </c>
      <c r="O173" s="397">
        <f t="shared" si="148"/>
        <v>0</v>
      </c>
      <c r="P173" s="467">
        <f t="shared" si="148"/>
        <v>0</v>
      </c>
      <c r="Q173" s="382">
        <f t="shared" si="148"/>
        <v>0</v>
      </c>
      <c r="R173" s="397">
        <f t="shared" si="148"/>
        <v>0</v>
      </c>
      <c r="S173" s="397">
        <f t="shared" si="148"/>
        <v>0</v>
      </c>
      <c r="T173" s="467">
        <f t="shared" si="148"/>
        <v>0</v>
      </c>
      <c r="U173" s="382">
        <f t="shared" si="148"/>
        <v>0</v>
      </c>
      <c r="V173" s="397">
        <f t="shared" si="148"/>
        <v>0</v>
      </c>
      <c r="W173" s="397">
        <f t="shared" si="148"/>
        <v>0</v>
      </c>
      <c r="X173" s="467">
        <f t="shared" si="148"/>
        <v>0</v>
      </c>
      <c r="Y173" s="382">
        <f t="shared" si="148"/>
        <v>0</v>
      </c>
      <c r="Z173" s="397">
        <f t="shared" si="148"/>
        <v>0</v>
      </c>
      <c r="AA173" s="397">
        <f t="shared" si="148"/>
        <v>0</v>
      </c>
      <c r="AB173" s="467">
        <f t="shared" si="148"/>
        <v>0</v>
      </c>
      <c r="AC173" s="382">
        <f t="shared" si="148"/>
        <v>0</v>
      </c>
      <c r="AD173" s="397">
        <f t="shared" si="148"/>
        <v>0</v>
      </c>
      <c r="AE173" s="397">
        <f t="shared" si="148"/>
        <v>0</v>
      </c>
      <c r="AF173" s="467">
        <f t="shared" si="148"/>
        <v>0</v>
      </c>
      <c r="AG173" s="382">
        <f t="shared" si="148"/>
        <v>0</v>
      </c>
      <c r="AH173" s="397">
        <f t="shared" si="148"/>
        <v>0</v>
      </c>
      <c r="AI173" s="397">
        <f t="shared" si="148"/>
        <v>0</v>
      </c>
      <c r="AJ173" s="467">
        <f t="shared" si="148"/>
        <v>0</v>
      </c>
      <c r="AK173" s="382">
        <f t="shared" si="148"/>
        <v>0</v>
      </c>
      <c r="AL173" s="397">
        <f t="shared" si="148"/>
        <v>0</v>
      </c>
      <c r="AM173" s="397">
        <f t="shared" si="148"/>
        <v>0</v>
      </c>
      <c r="AN173" s="467">
        <f t="shared" si="148"/>
        <v>0</v>
      </c>
      <c r="AO173" s="382">
        <f t="shared" si="148"/>
        <v>0</v>
      </c>
      <c r="AP173" s="397">
        <f t="shared" si="148"/>
        <v>0</v>
      </c>
      <c r="AQ173" s="397">
        <f t="shared" si="148"/>
        <v>0</v>
      </c>
      <c r="AR173" s="467">
        <f t="shared" si="148"/>
        <v>0</v>
      </c>
      <c r="AS173" s="382">
        <f t="shared" si="148"/>
        <v>0</v>
      </c>
      <c r="AT173" s="397">
        <f t="shared" si="148"/>
        <v>0</v>
      </c>
      <c r="AU173" s="397">
        <f t="shared" si="148"/>
        <v>0</v>
      </c>
      <c r="AV173" s="467">
        <f t="shared" si="148"/>
        <v>0</v>
      </c>
      <c r="AW173" s="424">
        <f t="shared" si="143"/>
        <v>0</v>
      </c>
    </row>
    <row r="174" spans="1:49" s="424" customFormat="1" ht="13.5" customHeight="1" outlineLevel="1">
      <c r="A174" s="1947"/>
      <c r="B174" s="1949"/>
      <c r="C174" s="508" t="s">
        <v>450</v>
      </c>
      <c r="D174" s="468">
        <f t="shared" si="147"/>
        <v>0</v>
      </c>
      <c r="E174" s="386">
        <f>SUMIF($I$1:$T$1,B170,$I$2:$T$2)*E173</f>
        <v>0</v>
      </c>
      <c r="F174" s="399">
        <f>(1-SUMIF($I$1:$T$1,B170,$I$2:$T$2))*E173+SUMIF($I$1:$T$1,B170,$I$2:$T$2)*F173</f>
        <v>0</v>
      </c>
      <c r="G174" s="399">
        <f>(1-SUMIF($I$1:$T$1,B170,$I$2:$T$2))*F173+SUMIF($I$1:$T$1,B170,$I$2:$T$2)*G173</f>
        <v>0</v>
      </c>
      <c r="H174" s="404">
        <f>(1-SUMIF($I$1:$T$1,B170,$I$2:$T$2))*G173+SUMIF($I$1:$T$1,B170,$I$2:$T$2)*H173</f>
        <v>0</v>
      </c>
      <c r="I174" s="386">
        <f>(1-SUMIF($I$1:$T$1,B170,$I$2:$T$2))*H173+SUMIF($I$1:$T$1,B170,$I$2:$T$2)*I173</f>
        <v>0</v>
      </c>
      <c r="J174" s="399">
        <f>(1-SUMIF($I$1:$T$1,B170,$I$2:$T$2))*I173+SUMIF($I$1:$T$1,B170,$I$2:$T$2)*J173</f>
        <v>0</v>
      </c>
      <c r="K174" s="399">
        <f>(1-SUMIF($I$1:$T$1,B170,$I$2:$T$2))*J173+SUMIF($I$1:$T$1,B170,$I$2:$T$2)*K173</f>
        <v>0</v>
      </c>
      <c r="L174" s="404">
        <f>(1-SUMIF($I$1:$T$1,B170,$I$2:$T$2))*K173+SUMIF($I$1:$T$1,B170,$I$2:$T$2)*L173</f>
        <v>0</v>
      </c>
      <c r="M174" s="386">
        <f>(1-SUMIF($I$1:$T$1,B170,$I$2:$T$2))*L173+SUMIF($I$1:$T$1,B170,$I$2:$T$2)*M173</f>
        <v>0</v>
      </c>
      <c r="N174" s="399">
        <f>(1-SUMIF($I$1:$T$1,B170,$I$2:$T$2))*M173+SUMIF($I$1:$T$1,B170,$I$2:$T$2)*N173</f>
        <v>0</v>
      </c>
      <c r="O174" s="399">
        <f>(1-SUMIF($I$1:$T$1,B170,$I$2:$T$2))*N173+SUMIF($I$1:$T$1,B170,$I$2:$T$2)*O173</f>
        <v>0</v>
      </c>
      <c r="P174" s="404">
        <f>(1-SUMIF($I$1:$T$1,B170,$I$2:$T$2))*O173+SUMIF($I$1:$T$1,B170,$I$2:$T$2)*P173</f>
        <v>0</v>
      </c>
      <c r="Q174" s="386">
        <f>(1-SUMIF($I$1:$T$1,B170,$I$2:$T$2))*P173+SUMIF($I$1:$T$1,B170,$I$2:$T$2)*Q173</f>
        <v>0</v>
      </c>
      <c r="R174" s="399">
        <f>(1-SUMIF($I$1:$T$1,B170,$I$2:$T$2))*Q173+SUMIF($I$1:$T$1,B170,$I$2:$T$2)*R173</f>
        <v>0</v>
      </c>
      <c r="S174" s="399">
        <f>(1-SUMIF($I$1:$T$1,B170,$I$2:$T$2))*R173+SUMIF($I$1:$T$1,B170,$I$2:$T$2)*S173</f>
        <v>0</v>
      </c>
      <c r="T174" s="404">
        <f>(1-SUMIF($I$1:$T$1,B170,$I$2:$T$2))*S173+SUMIF($I$1:$T$1,B170,$I$2:$T$2)*T173</f>
        <v>0</v>
      </c>
      <c r="U174" s="386">
        <f>(1-SUMIF($I$1:$T$1,B170,$I$2:$T$2))*T173+SUMIF($I$1:$T$1,B170,$I$2:$T$2)*U173</f>
        <v>0</v>
      </c>
      <c r="V174" s="399">
        <f>(1-SUMIF($I$1:$T$1,B170,$I$2:$T$2))*U173+SUMIF($I$1:$T$1,B170,$I$2:$T$2)*V173</f>
        <v>0</v>
      </c>
      <c r="W174" s="399">
        <f>(1-SUMIF($I$1:$T$1,B170,$I$2:$T$2))*V173+SUMIF($I$1:$T$1,B170,$I$2:$T$2)*W173</f>
        <v>0</v>
      </c>
      <c r="X174" s="404">
        <f>(1-SUMIF($I$1:$T$1,B170,$I$2:$T$2))*W173+SUMIF($I$1:$T$1,B170,$I$2:$T$2)*X173</f>
        <v>0</v>
      </c>
      <c r="Y174" s="386">
        <f>(1-SUMIF($I$1:$T$1,B170,$I$2:$T$2))*X173+SUMIF($I$1:$T$1,B170,$I$2:$T$2)*Y173</f>
        <v>0</v>
      </c>
      <c r="Z174" s="399">
        <f>(1-SUMIF($I$1:$T$1,B170,$I$2:$T$2))*Y173+SUMIF($I$1:$T$1,B170,$I$2:$T$2)*Z173</f>
        <v>0</v>
      </c>
      <c r="AA174" s="399">
        <f>(1-SUMIF($I$1:$T$1,B170,$I$2:$T$2))*Z173+SUMIF($I$1:$T$1,B170,$I$2:$T$2)*AA173</f>
        <v>0</v>
      </c>
      <c r="AB174" s="404">
        <f>(1-SUMIF($I$1:$T$1,B170,$I$2:$T$2))*AA173+SUMIF($I$1:$T$1,B170,$I$2:$T$2)*AB173</f>
        <v>0</v>
      </c>
      <c r="AC174" s="386">
        <f>(1-SUMIF($I$1:$T$1,B170,$I$2:$T$2))*AB173+SUMIF($I$1:$T$1,B170,$I$2:$T$2)*AC173</f>
        <v>0</v>
      </c>
      <c r="AD174" s="399">
        <f>(1-SUMIF($I$1:$T$1,B170,$I$2:$T$2))*AC173+SUMIF($I$1:$T$1,B170,$I$2:$T$2)*AD173</f>
        <v>0</v>
      </c>
      <c r="AE174" s="399">
        <f>(1-SUMIF($I$1:$T$1,B170,$I$2:$T$2))*AD173+SUMIF($I$1:$T$1,B170,$I$2:$T$2)*AE173</f>
        <v>0</v>
      </c>
      <c r="AF174" s="404">
        <f>(1-SUMIF($I$1:$T$1,B170,$I$2:$T$2))*AE173+SUMIF($I$1:$T$1,B170,$I$2:$T$2)*AF173</f>
        <v>0</v>
      </c>
      <c r="AG174" s="386">
        <f>(1-SUMIF($I$1:$T$1,B170,$I$2:$T$2))*AF173+SUMIF($I$1:$T$1,B170,$I$2:$T$2)*AG173</f>
        <v>0</v>
      </c>
      <c r="AH174" s="399">
        <f>(1-SUMIF($I$1:$T$1,B170,$I$2:$T$2))*AG173+SUMIF($I$1:$T$1,B170,$I$2:$T$2)*AH173</f>
        <v>0</v>
      </c>
      <c r="AI174" s="399">
        <f>(1-SUMIF($I$1:$T$1,B170,$I$2:$T$2))*AH173+SUMIF($I$1:$T$1,B170,$I$2:$T$2)*AI173</f>
        <v>0</v>
      </c>
      <c r="AJ174" s="404">
        <f>(1-SUMIF($I$1:$T$1,B170,$I$2:$T$2))*AI173+SUMIF($I$1:$T$1,B170,$I$2:$T$2)*AJ173</f>
        <v>0</v>
      </c>
      <c r="AK174" s="386">
        <f>(1-SUMIF($I$1:$T$1,B170,$I$2:$T$2))*AJ173+SUMIF($I$1:$T$1,B170,$I$2:$T$2)*AK173</f>
        <v>0</v>
      </c>
      <c r="AL174" s="399">
        <f>(1-SUMIF($I$1:$T$1,B170,$I$2:$T$2))*AK173+SUMIF($I$1:$T$1,B170,$I$2:$T$2)*AL173</f>
        <v>0</v>
      </c>
      <c r="AM174" s="399">
        <f>(1-SUMIF($I$1:$T$1,B170,$I$2:$T$2))*AL173+SUMIF($I$1:$T$1,B170,$I$2:$T$2)*AM173</f>
        <v>0</v>
      </c>
      <c r="AN174" s="404">
        <f>(1-SUMIF($I$1:$T$1,B170,$I$2:$T$2))*AM173+SUMIF($I$1:$T$1,B170,$I$2:$T$2)*AN173</f>
        <v>0</v>
      </c>
      <c r="AO174" s="386">
        <f>(1-SUMIF($I$1:$T$1,B170,$I$2:$T$2))*AN173+SUMIF($I$1:$T$1,B170,$I$2:$T$2)*AO173</f>
        <v>0</v>
      </c>
      <c r="AP174" s="399">
        <f>(1-SUMIF($I$1:$T$1,B170,$I$2:$T$2))*AO173+SUMIF($I$1:$T$1,B170,$I$2:$T$2)*AP173</f>
        <v>0</v>
      </c>
      <c r="AQ174" s="399">
        <f>(1-SUMIF($I$1:$T$1,B170,$I$2:$T$2))*AP173+SUMIF($I$1:$T$1,B170,$I$2:$T$2)*AQ173</f>
        <v>0</v>
      </c>
      <c r="AR174" s="404">
        <f>(1-SUMIF($I$1:$T$1,B170,$I$2:$T$2))*AQ173+SUMIF($I$1:$T$1,B170,$I$2:$T$2)*AR173</f>
        <v>0</v>
      </c>
      <c r="AS174" s="386">
        <f>(1-SUMIF($I$1:$T$1,B170,$I$2:$T$2))*AR173+SUMIF($I$1:$T$1,B170,$I$2:$T$2)*AS173</f>
        <v>0</v>
      </c>
      <c r="AT174" s="399">
        <f>(1-SUMIF($I$1:$T$1,B170,$I$2:$T$2))*AS173+SUMIF($I$1:$T$1,B170,$I$2:$T$2)*AT173</f>
        <v>0</v>
      </c>
      <c r="AU174" s="399">
        <f>(1-SUMIF($I$1:$T$1,B170,$I$2:$T$2))*AT173+SUMIF($I$1:$T$1,B170,$I$2:$T$2)*AU173</f>
        <v>0</v>
      </c>
      <c r="AV174" s="404">
        <f>(1-SUMIF($I$1:$T$1,B170,$I$2:$T$2))*AU173+SUMIF($I$1:$T$1,B170,$I$2:$T$2)*AV173</f>
        <v>0</v>
      </c>
      <c r="AW174" s="424">
        <f t="shared" si="143"/>
        <v>0</v>
      </c>
    </row>
    <row r="175" spans="1:49" s="424" customFormat="1" ht="13.5" customHeight="1" outlineLevel="1">
      <c r="A175" s="1947"/>
      <c r="B175" s="1949">
        <f>'9.项目开发计划表'!C22</f>
        <v>0</v>
      </c>
      <c r="C175" s="456" t="s">
        <v>880</v>
      </c>
      <c r="D175" s="457">
        <f>IF(D177=0,0,D178/D177*10000)</f>
        <v>0</v>
      </c>
      <c r="E175" s="505"/>
      <c r="F175" s="506"/>
      <c r="G175" s="506"/>
      <c r="H175" s="507"/>
      <c r="I175" s="505"/>
      <c r="J175" s="506"/>
      <c r="K175" s="506"/>
      <c r="L175" s="507"/>
      <c r="M175" s="505"/>
      <c r="N175" s="506"/>
      <c r="O175" s="506"/>
      <c r="P175" s="507"/>
      <c r="Q175" s="505"/>
      <c r="R175" s="506"/>
      <c r="S175" s="506"/>
      <c r="T175" s="507"/>
      <c r="U175" s="505"/>
      <c r="V175" s="506"/>
      <c r="W175" s="506"/>
      <c r="X175" s="507"/>
      <c r="Y175" s="505"/>
      <c r="Z175" s="506"/>
      <c r="AA175" s="506"/>
      <c r="AB175" s="507"/>
      <c r="AC175" s="505"/>
      <c r="AD175" s="506"/>
      <c r="AE175" s="506"/>
      <c r="AF175" s="507"/>
      <c r="AG175" s="505"/>
      <c r="AH175" s="506"/>
      <c r="AI175" s="506"/>
      <c r="AJ175" s="507"/>
      <c r="AK175" s="505"/>
      <c r="AL175" s="506"/>
      <c r="AM175" s="506"/>
      <c r="AN175" s="507"/>
      <c r="AO175" s="505"/>
      <c r="AP175" s="506"/>
      <c r="AQ175" s="506"/>
      <c r="AR175" s="507"/>
      <c r="AS175" s="505"/>
      <c r="AT175" s="506"/>
      <c r="AU175" s="506"/>
      <c r="AV175" s="507"/>
      <c r="AW175" s="424">
        <f>B175</f>
        <v>0</v>
      </c>
    </row>
    <row r="176" spans="1:49" ht="13.5" customHeight="1" outlineLevel="1">
      <c r="A176" s="1947"/>
      <c r="B176" s="1949"/>
      <c r="C176" s="461" t="s">
        <v>881</v>
      </c>
      <c r="D176" s="462">
        <f t="shared" ref="D176:D179" si="149">SUM(E176:AV176)</f>
        <v>0</v>
      </c>
      <c r="E176" s="494"/>
      <c r="F176" s="491"/>
      <c r="G176" s="491"/>
      <c r="H176" s="493"/>
      <c r="I176" s="494"/>
      <c r="J176" s="491"/>
      <c r="K176" s="491"/>
      <c r="L176" s="493"/>
      <c r="M176" s="494"/>
      <c r="N176" s="491"/>
      <c r="O176" s="491"/>
      <c r="P176" s="493"/>
      <c r="Q176" s="494"/>
      <c r="R176" s="491"/>
      <c r="S176" s="491"/>
      <c r="T176" s="493"/>
      <c r="U176" s="494"/>
      <c r="V176" s="491"/>
      <c r="W176" s="491"/>
      <c r="X176" s="493"/>
      <c r="Y176" s="494"/>
      <c r="Z176" s="491"/>
      <c r="AA176" s="491"/>
      <c r="AB176" s="493"/>
      <c r="AC176" s="494"/>
      <c r="AD176" s="491"/>
      <c r="AE176" s="491"/>
      <c r="AF176" s="493"/>
      <c r="AG176" s="494"/>
      <c r="AH176" s="491"/>
      <c r="AI176" s="491"/>
      <c r="AJ176" s="493"/>
      <c r="AK176" s="494"/>
      <c r="AL176" s="491"/>
      <c r="AM176" s="491"/>
      <c r="AN176" s="493"/>
      <c r="AO176" s="494"/>
      <c r="AP176" s="491"/>
      <c r="AQ176" s="491"/>
      <c r="AR176" s="493"/>
      <c r="AS176" s="494"/>
      <c r="AT176" s="491"/>
      <c r="AU176" s="491"/>
      <c r="AV176" s="493"/>
      <c r="AW176" s="424">
        <f>AW175</f>
        <v>0</v>
      </c>
    </row>
    <row r="177" spans="1:49" s="424" customFormat="1" ht="13.5" customHeight="1" outlineLevel="1">
      <c r="A177" s="1947"/>
      <c r="B177" s="1949"/>
      <c r="C177" s="461" t="s">
        <v>682</v>
      </c>
      <c r="D177" s="466">
        <f t="shared" si="149"/>
        <v>0</v>
      </c>
      <c r="E177" s="382">
        <f>E176*'9.项目开发计划表'!$G$22</f>
        <v>0</v>
      </c>
      <c r="F177" s="397">
        <f>F176*'9.项目开发计划表'!$G$22</f>
        <v>0</v>
      </c>
      <c r="G177" s="397">
        <f>G176*'9.项目开发计划表'!$G$22</f>
        <v>0</v>
      </c>
      <c r="H177" s="467">
        <f>H176*'9.项目开发计划表'!$G$22</f>
        <v>0</v>
      </c>
      <c r="I177" s="382">
        <f>I176*'9.项目开发计划表'!$G$22</f>
        <v>0</v>
      </c>
      <c r="J177" s="397">
        <f>J176*'9.项目开发计划表'!$G$22</f>
        <v>0</v>
      </c>
      <c r="K177" s="397">
        <f>K176*'9.项目开发计划表'!$G$22</f>
        <v>0</v>
      </c>
      <c r="L177" s="467">
        <f>L176*'9.项目开发计划表'!$G$22</f>
        <v>0</v>
      </c>
      <c r="M177" s="382">
        <f>M176*'9.项目开发计划表'!$G$22</f>
        <v>0</v>
      </c>
      <c r="N177" s="397">
        <f>N176*'9.项目开发计划表'!$G$22</f>
        <v>0</v>
      </c>
      <c r="O177" s="397">
        <f>O176*'9.项目开发计划表'!$G$22</f>
        <v>0</v>
      </c>
      <c r="P177" s="467">
        <f>P176*'9.项目开发计划表'!$G$22</f>
        <v>0</v>
      </c>
      <c r="Q177" s="382">
        <f>Q176*'9.项目开发计划表'!$G$22</f>
        <v>0</v>
      </c>
      <c r="R177" s="397">
        <f>R176*'9.项目开发计划表'!$G$22</f>
        <v>0</v>
      </c>
      <c r="S177" s="397">
        <f>S176*'9.项目开发计划表'!$G$22</f>
        <v>0</v>
      </c>
      <c r="T177" s="467">
        <f>T176*'9.项目开发计划表'!$G$22</f>
        <v>0</v>
      </c>
      <c r="U177" s="382">
        <f>U176*'9.项目开发计划表'!$G$22</f>
        <v>0</v>
      </c>
      <c r="V177" s="397">
        <f>V176*'9.项目开发计划表'!$G$22</f>
        <v>0</v>
      </c>
      <c r="W177" s="397">
        <f>W176*'9.项目开发计划表'!$G$22</f>
        <v>0</v>
      </c>
      <c r="X177" s="467">
        <f>X176*'9.项目开发计划表'!$G$22</f>
        <v>0</v>
      </c>
      <c r="Y177" s="382">
        <f>Y176*'9.项目开发计划表'!$G$22</f>
        <v>0</v>
      </c>
      <c r="Z177" s="397">
        <f>Z176*'9.项目开发计划表'!$G$22</f>
        <v>0</v>
      </c>
      <c r="AA177" s="397">
        <f>AA176*'9.项目开发计划表'!$G$22</f>
        <v>0</v>
      </c>
      <c r="AB177" s="467">
        <f>AB176*'9.项目开发计划表'!$G$22</f>
        <v>0</v>
      </c>
      <c r="AC177" s="382">
        <f>AC176*'9.项目开发计划表'!$G$22</f>
        <v>0</v>
      </c>
      <c r="AD177" s="397">
        <f>AD176*'9.项目开发计划表'!$G$22</f>
        <v>0</v>
      </c>
      <c r="AE177" s="397">
        <f>AE176*'9.项目开发计划表'!$G$22</f>
        <v>0</v>
      </c>
      <c r="AF177" s="467">
        <f>AF176*'9.项目开发计划表'!$G$22</f>
        <v>0</v>
      </c>
      <c r="AG177" s="382">
        <f>AG176*'9.项目开发计划表'!$G$22</f>
        <v>0</v>
      </c>
      <c r="AH177" s="397">
        <f>AH176*'9.项目开发计划表'!$G$22</f>
        <v>0</v>
      </c>
      <c r="AI177" s="397">
        <f>AI176*'9.项目开发计划表'!$G$22</f>
        <v>0</v>
      </c>
      <c r="AJ177" s="467">
        <f>AJ176*'9.项目开发计划表'!$G$22</f>
        <v>0</v>
      </c>
      <c r="AK177" s="382">
        <f>AK176*'9.项目开发计划表'!$G$22</f>
        <v>0</v>
      </c>
      <c r="AL177" s="397">
        <f>AL176*'9.项目开发计划表'!$G$22</f>
        <v>0</v>
      </c>
      <c r="AM177" s="397">
        <f>AM176*'9.项目开发计划表'!$G$22</f>
        <v>0</v>
      </c>
      <c r="AN177" s="467">
        <f>AN176*'9.项目开发计划表'!$G$22</f>
        <v>0</v>
      </c>
      <c r="AO177" s="382">
        <f>AO176*'9.项目开发计划表'!$G$22</f>
        <v>0</v>
      </c>
      <c r="AP177" s="397">
        <f>AP176*'9.项目开发计划表'!$G$22</f>
        <v>0</v>
      </c>
      <c r="AQ177" s="397">
        <f>AQ176*'9.项目开发计划表'!$G$22</f>
        <v>0</v>
      </c>
      <c r="AR177" s="467">
        <f>AR176*'9.项目开发计划表'!$G$22</f>
        <v>0</v>
      </c>
      <c r="AS177" s="382">
        <f>AS176*'9.项目开发计划表'!$G$22</f>
        <v>0</v>
      </c>
      <c r="AT177" s="397">
        <f>AT176*'9.项目开发计划表'!$G$22</f>
        <v>0</v>
      </c>
      <c r="AU177" s="397">
        <f>AU176*'9.项目开发计划表'!$G$22</f>
        <v>0</v>
      </c>
      <c r="AV177" s="467">
        <f>AV176*'9.项目开发计划表'!$G$22</f>
        <v>0</v>
      </c>
      <c r="AW177" s="424">
        <f t="shared" si="143"/>
        <v>0</v>
      </c>
    </row>
    <row r="178" spans="1:49" s="424" customFormat="1" ht="13.5" customHeight="1" outlineLevel="1">
      <c r="A178" s="1947"/>
      <c r="B178" s="1949"/>
      <c r="C178" s="461" t="s">
        <v>882</v>
      </c>
      <c r="D178" s="466">
        <f t="shared" si="149"/>
        <v>0</v>
      </c>
      <c r="E178" s="382">
        <f t="shared" ref="E178:AV178" si="150">E175*E177/10000</f>
        <v>0</v>
      </c>
      <c r="F178" s="397">
        <f t="shared" si="150"/>
        <v>0</v>
      </c>
      <c r="G178" s="397">
        <f t="shared" si="150"/>
        <v>0</v>
      </c>
      <c r="H178" s="467">
        <f t="shared" si="150"/>
        <v>0</v>
      </c>
      <c r="I178" s="382">
        <f t="shared" si="150"/>
        <v>0</v>
      </c>
      <c r="J178" s="397">
        <f t="shared" si="150"/>
        <v>0</v>
      </c>
      <c r="K178" s="397">
        <f t="shared" si="150"/>
        <v>0</v>
      </c>
      <c r="L178" s="467">
        <f t="shared" si="150"/>
        <v>0</v>
      </c>
      <c r="M178" s="382">
        <f t="shared" si="150"/>
        <v>0</v>
      </c>
      <c r="N178" s="397">
        <f t="shared" si="150"/>
        <v>0</v>
      </c>
      <c r="O178" s="397">
        <f t="shared" si="150"/>
        <v>0</v>
      </c>
      <c r="P178" s="467">
        <f t="shared" si="150"/>
        <v>0</v>
      </c>
      <c r="Q178" s="382">
        <f t="shared" si="150"/>
        <v>0</v>
      </c>
      <c r="R178" s="397">
        <f t="shared" si="150"/>
        <v>0</v>
      </c>
      <c r="S178" s="397">
        <f t="shared" si="150"/>
        <v>0</v>
      </c>
      <c r="T178" s="467">
        <f t="shared" si="150"/>
        <v>0</v>
      </c>
      <c r="U178" s="382">
        <f t="shared" si="150"/>
        <v>0</v>
      </c>
      <c r="V178" s="397">
        <f t="shared" si="150"/>
        <v>0</v>
      </c>
      <c r="W178" s="397">
        <f t="shared" si="150"/>
        <v>0</v>
      </c>
      <c r="X178" s="467">
        <f t="shared" si="150"/>
        <v>0</v>
      </c>
      <c r="Y178" s="382">
        <f t="shared" si="150"/>
        <v>0</v>
      </c>
      <c r="Z178" s="397">
        <f t="shared" si="150"/>
        <v>0</v>
      </c>
      <c r="AA178" s="397">
        <f t="shared" si="150"/>
        <v>0</v>
      </c>
      <c r="AB178" s="467">
        <f t="shared" si="150"/>
        <v>0</v>
      </c>
      <c r="AC178" s="382">
        <f t="shared" si="150"/>
        <v>0</v>
      </c>
      <c r="AD178" s="397">
        <f t="shared" si="150"/>
        <v>0</v>
      </c>
      <c r="AE178" s="397">
        <f t="shared" si="150"/>
        <v>0</v>
      </c>
      <c r="AF178" s="467">
        <f t="shared" si="150"/>
        <v>0</v>
      </c>
      <c r="AG178" s="382">
        <f t="shared" si="150"/>
        <v>0</v>
      </c>
      <c r="AH178" s="397">
        <f t="shared" si="150"/>
        <v>0</v>
      </c>
      <c r="AI178" s="397">
        <f t="shared" si="150"/>
        <v>0</v>
      </c>
      <c r="AJ178" s="467">
        <f t="shared" si="150"/>
        <v>0</v>
      </c>
      <c r="AK178" s="382">
        <f t="shared" si="150"/>
        <v>0</v>
      </c>
      <c r="AL178" s="397">
        <f t="shared" si="150"/>
        <v>0</v>
      </c>
      <c r="AM178" s="397">
        <f t="shared" si="150"/>
        <v>0</v>
      </c>
      <c r="AN178" s="467">
        <f t="shared" si="150"/>
        <v>0</v>
      </c>
      <c r="AO178" s="382">
        <f t="shared" si="150"/>
        <v>0</v>
      </c>
      <c r="AP178" s="397">
        <f t="shared" si="150"/>
        <v>0</v>
      </c>
      <c r="AQ178" s="397">
        <f t="shared" si="150"/>
        <v>0</v>
      </c>
      <c r="AR178" s="467">
        <f t="shared" si="150"/>
        <v>0</v>
      </c>
      <c r="AS178" s="382">
        <f t="shared" si="150"/>
        <v>0</v>
      </c>
      <c r="AT178" s="397">
        <f t="shared" si="150"/>
        <v>0</v>
      </c>
      <c r="AU178" s="397">
        <f t="shared" si="150"/>
        <v>0</v>
      </c>
      <c r="AV178" s="467">
        <f t="shared" si="150"/>
        <v>0</v>
      </c>
      <c r="AW178" s="424">
        <f t="shared" si="143"/>
        <v>0</v>
      </c>
    </row>
    <row r="179" spans="1:49" s="424" customFormat="1" ht="13.5" customHeight="1" outlineLevel="1">
      <c r="A179" s="1947"/>
      <c r="B179" s="1949"/>
      <c r="C179" s="508" t="s">
        <v>450</v>
      </c>
      <c r="D179" s="468">
        <f t="shared" si="149"/>
        <v>0</v>
      </c>
      <c r="E179" s="386">
        <f>SUMIF($I$1:$T$1,B175,$I$2:$T$2)*E178</f>
        <v>0</v>
      </c>
      <c r="F179" s="399">
        <f>(1-SUMIF($I$1:$T$1,B175,$I$2:$T$2))*E178+SUMIF($I$1:$T$1,B175,$I$2:$T$2)*F178</f>
        <v>0</v>
      </c>
      <c r="G179" s="399">
        <f>(1-SUMIF($I$1:$T$1,B175,$I$2:$T$2))*F178+SUMIF($I$1:$T$1,B175,$I$2:$T$2)*G178</f>
        <v>0</v>
      </c>
      <c r="H179" s="404">
        <f>(1-SUMIF($I$1:$T$1,B175,$I$2:$T$2))*G178+SUMIF($I$1:$T$1,B175,$I$2:$T$2)*H178</f>
        <v>0</v>
      </c>
      <c r="I179" s="386">
        <f>(1-SUMIF($I$1:$T$1,B175,$I$2:$T$2))*H178+SUMIF($I$1:$T$1,B175,$I$2:$T$2)*I178</f>
        <v>0</v>
      </c>
      <c r="J179" s="399">
        <f>(1-SUMIF($I$1:$T$1,B175,$I$2:$T$2))*I178+SUMIF($I$1:$T$1,B175,$I$2:$T$2)*J178</f>
        <v>0</v>
      </c>
      <c r="K179" s="399">
        <f>(1-SUMIF($I$1:$T$1,B175,$I$2:$T$2))*J178+SUMIF($I$1:$T$1,B175,$I$2:$T$2)*K178</f>
        <v>0</v>
      </c>
      <c r="L179" s="404">
        <f>(1-SUMIF($I$1:$T$1,B175,$I$2:$T$2))*K178+SUMIF($I$1:$T$1,B175,$I$2:$T$2)*L178</f>
        <v>0</v>
      </c>
      <c r="M179" s="386">
        <f>(1-SUMIF($I$1:$T$1,B175,$I$2:$T$2))*L178+SUMIF($I$1:$T$1,B175,$I$2:$T$2)*M178</f>
        <v>0</v>
      </c>
      <c r="N179" s="399">
        <f>(1-SUMIF($I$1:$T$1,B175,$I$2:$T$2))*M178+SUMIF($I$1:$T$1,B175,$I$2:$T$2)*N178</f>
        <v>0</v>
      </c>
      <c r="O179" s="399">
        <f>(1-SUMIF($I$1:$T$1,B175,$I$2:$T$2))*N178+SUMIF($I$1:$T$1,B175,$I$2:$T$2)*O178</f>
        <v>0</v>
      </c>
      <c r="P179" s="404">
        <f>(1-SUMIF($I$1:$T$1,B175,$I$2:$T$2))*O178+SUMIF($I$1:$T$1,B175,$I$2:$T$2)*P178</f>
        <v>0</v>
      </c>
      <c r="Q179" s="386">
        <f>(1-SUMIF($I$1:$T$1,B175,$I$2:$T$2))*P178+SUMIF($I$1:$T$1,B175,$I$2:$T$2)*Q178</f>
        <v>0</v>
      </c>
      <c r="R179" s="399">
        <f>(1-SUMIF($I$1:$T$1,B175,$I$2:$T$2))*Q178+SUMIF($I$1:$T$1,B175,$I$2:$T$2)*R178</f>
        <v>0</v>
      </c>
      <c r="S179" s="399">
        <f>(1-SUMIF($I$1:$T$1,B175,$I$2:$T$2))*R178+SUMIF($I$1:$T$1,B175,$I$2:$T$2)*S178</f>
        <v>0</v>
      </c>
      <c r="T179" s="404">
        <f>(1-SUMIF($I$1:$T$1,B175,$I$2:$T$2))*S178+SUMIF($I$1:$T$1,B175,$I$2:$T$2)*T178</f>
        <v>0</v>
      </c>
      <c r="U179" s="386">
        <f>(1-SUMIF($I$1:$T$1,B175,$I$2:$T$2))*T178+SUMIF($I$1:$T$1,B175,$I$2:$T$2)*U178</f>
        <v>0</v>
      </c>
      <c r="V179" s="399">
        <f>(1-SUMIF($I$1:$T$1,B175,$I$2:$T$2))*U178+SUMIF($I$1:$T$1,B175,$I$2:$T$2)*V178</f>
        <v>0</v>
      </c>
      <c r="W179" s="399">
        <f>(1-SUMIF($I$1:$T$1,B175,$I$2:$T$2))*V178+SUMIF($I$1:$T$1,B175,$I$2:$T$2)*W178</f>
        <v>0</v>
      </c>
      <c r="X179" s="404">
        <f>(1-SUMIF($I$1:$T$1,B175,$I$2:$T$2))*W178+SUMIF($I$1:$T$1,B175,$I$2:$T$2)*X178</f>
        <v>0</v>
      </c>
      <c r="Y179" s="386">
        <f>(1-SUMIF($I$1:$T$1,B175,$I$2:$T$2))*X178+SUMIF($I$1:$T$1,B175,$I$2:$T$2)*Y178</f>
        <v>0</v>
      </c>
      <c r="Z179" s="399">
        <f>(1-SUMIF($I$1:$T$1,B175,$I$2:$T$2))*Y178+SUMIF($I$1:$T$1,B175,$I$2:$T$2)*Z178</f>
        <v>0</v>
      </c>
      <c r="AA179" s="399">
        <f>(1-SUMIF($I$1:$T$1,B175,$I$2:$T$2))*Z178+SUMIF($I$1:$T$1,B175,$I$2:$T$2)*AA178</f>
        <v>0</v>
      </c>
      <c r="AB179" s="404">
        <f>(1-SUMIF($I$1:$T$1,B175,$I$2:$T$2))*AA178+SUMIF($I$1:$T$1,B175,$I$2:$T$2)*AB178</f>
        <v>0</v>
      </c>
      <c r="AC179" s="386">
        <f>(1-SUMIF($I$1:$T$1,B175,$I$2:$T$2))*AB178+SUMIF($I$1:$T$1,B175,$I$2:$T$2)*AC178</f>
        <v>0</v>
      </c>
      <c r="AD179" s="399">
        <f>(1-SUMIF($I$1:$T$1,B175,$I$2:$T$2))*AC178+SUMIF($I$1:$T$1,B175,$I$2:$T$2)*AD178</f>
        <v>0</v>
      </c>
      <c r="AE179" s="399">
        <f>(1-SUMIF($I$1:$T$1,B175,$I$2:$T$2))*AD178+SUMIF($I$1:$T$1,B175,$I$2:$T$2)*AE178</f>
        <v>0</v>
      </c>
      <c r="AF179" s="404">
        <f>(1-SUMIF($I$1:$T$1,B175,$I$2:$T$2))*AE178+SUMIF($I$1:$T$1,B175,$I$2:$T$2)*AF178</f>
        <v>0</v>
      </c>
      <c r="AG179" s="386">
        <f>(1-SUMIF($I$1:$T$1,B175,$I$2:$T$2))*AF178+SUMIF($I$1:$T$1,B175,$I$2:$T$2)*AG178</f>
        <v>0</v>
      </c>
      <c r="AH179" s="399">
        <f>(1-SUMIF($I$1:$T$1,B175,$I$2:$T$2))*AG178+SUMIF($I$1:$T$1,B175,$I$2:$T$2)*AH178</f>
        <v>0</v>
      </c>
      <c r="AI179" s="399">
        <f>(1-SUMIF($I$1:$T$1,B175,$I$2:$T$2))*AH178+SUMIF($I$1:$T$1,B175,$I$2:$T$2)*AI178</f>
        <v>0</v>
      </c>
      <c r="AJ179" s="404">
        <f>(1-SUMIF($I$1:$T$1,B175,$I$2:$T$2))*AI178+SUMIF($I$1:$T$1,B175,$I$2:$T$2)*AJ178</f>
        <v>0</v>
      </c>
      <c r="AK179" s="386">
        <f>(1-SUMIF($I$1:$T$1,B175,$I$2:$T$2))*AJ178+SUMIF($I$1:$T$1,B175,$I$2:$T$2)*AK178</f>
        <v>0</v>
      </c>
      <c r="AL179" s="399">
        <f>(1-SUMIF($I$1:$T$1,B175,$I$2:$T$2))*AK178+SUMIF($I$1:$T$1,B175,$I$2:$T$2)*AL178</f>
        <v>0</v>
      </c>
      <c r="AM179" s="399">
        <f>(1-SUMIF($I$1:$T$1,B175,$I$2:$T$2))*AL178+SUMIF($I$1:$T$1,B175,$I$2:$T$2)*AM178</f>
        <v>0</v>
      </c>
      <c r="AN179" s="404">
        <f>(1-SUMIF($I$1:$T$1,B175,$I$2:$T$2))*AM178+SUMIF($I$1:$T$1,B175,$I$2:$T$2)*AN178</f>
        <v>0</v>
      </c>
      <c r="AO179" s="386">
        <f>(1-SUMIF($I$1:$T$1,B175,$I$2:$T$2))*AN178+SUMIF($I$1:$T$1,B175,$I$2:$T$2)*AO178</f>
        <v>0</v>
      </c>
      <c r="AP179" s="399">
        <f>(1-SUMIF($I$1:$T$1,B175,$I$2:$T$2))*AO178+SUMIF($I$1:$T$1,B175,$I$2:$T$2)*AP178</f>
        <v>0</v>
      </c>
      <c r="AQ179" s="399">
        <f>(1-SUMIF($I$1:$T$1,B175,$I$2:$T$2))*AP178+SUMIF($I$1:$T$1,B175,$I$2:$T$2)*AQ178</f>
        <v>0</v>
      </c>
      <c r="AR179" s="404">
        <f>(1-SUMIF($I$1:$T$1,B175,$I$2:$T$2))*AQ178+SUMIF($I$1:$T$1,B175,$I$2:$T$2)*AR178</f>
        <v>0</v>
      </c>
      <c r="AS179" s="386">
        <f>(1-SUMIF($I$1:$T$1,B175,$I$2:$T$2))*AR178+SUMIF($I$1:$T$1,B175,$I$2:$T$2)*AS178</f>
        <v>0</v>
      </c>
      <c r="AT179" s="399">
        <f>(1-SUMIF($I$1:$T$1,B175,$I$2:$T$2))*AS178+SUMIF($I$1:$T$1,B175,$I$2:$T$2)*AT178</f>
        <v>0</v>
      </c>
      <c r="AU179" s="399">
        <f>(1-SUMIF($I$1:$T$1,B175,$I$2:$T$2))*AT178+SUMIF($I$1:$T$1,B175,$I$2:$T$2)*AU178</f>
        <v>0</v>
      </c>
      <c r="AV179" s="404">
        <f>(1-SUMIF($I$1:$T$1,B175,$I$2:$T$2))*AU178+SUMIF($I$1:$T$1,B175,$I$2:$T$2)*AV178</f>
        <v>0</v>
      </c>
      <c r="AW179" s="424">
        <f t="shared" si="143"/>
        <v>0</v>
      </c>
    </row>
    <row r="180" spans="1:49" s="424" customFormat="1" ht="13.5" customHeight="1" outlineLevel="1">
      <c r="A180" s="1947"/>
      <c r="B180" s="1949">
        <f>'9.项目开发计划表'!C23</f>
        <v>0</v>
      </c>
      <c r="C180" s="456" t="s">
        <v>880</v>
      </c>
      <c r="D180" s="457">
        <f>IF(D182=0,0,D183/D182*10000)</f>
        <v>0</v>
      </c>
      <c r="E180" s="505"/>
      <c r="F180" s="506"/>
      <c r="G180" s="506"/>
      <c r="H180" s="507"/>
      <c r="I180" s="505"/>
      <c r="J180" s="506"/>
      <c r="K180" s="506"/>
      <c r="L180" s="507"/>
      <c r="M180" s="505"/>
      <c r="N180" s="506"/>
      <c r="O180" s="506"/>
      <c r="P180" s="507"/>
      <c r="Q180" s="505"/>
      <c r="R180" s="506"/>
      <c r="S180" s="506"/>
      <c r="T180" s="507"/>
      <c r="U180" s="505"/>
      <c r="V180" s="506"/>
      <c r="W180" s="506"/>
      <c r="X180" s="507"/>
      <c r="Y180" s="505"/>
      <c r="Z180" s="506"/>
      <c r="AA180" s="506"/>
      <c r="AB180" s="507"/>
      <c r="AC180" s="505"/>
      <c r="AD180" s="506"/>
      <c r="AE180" s="506"/>
      <c r="AF180" s="507"/>
      <c r="AG180" s="505"/>
      <c r="AH180" s="506"/>
      <c r="AI180" s="506"/>
      <c r="AJ180" s="507"/>
      <c r="AK180" s="505"/>
      <c r="AL180" s="506"/>
      <c r="AM180" s="506"/>
      <c r="AN180" s="507"/>
      <c r="AO180" s="505"/>
      <c r="AP180" s="506"/>
      <c r="AQ180" s="506"/>
      <c r="AR180" s="507"/>
      <c r="AS180" s="505"/>
      <c r="AT180" s="506"/>
      <c r="AU180" s="506"/>
      <c r="AV180" s="507"/>
      <c r="AW180" s="424">
        <f>B180</f>
        <v>0</v>
      </c>
    </row>
    <row r="181" spans="1:49" ht="13.5" customHeight="1" outlineLevel="1">
      <c r="A181" s="1947"/>
      <c r="B181" s="1949"/>
      <c r="C181" s="461" t="s">
        <v>881</v>
      </c>
      <c r="D181" s="462">
        <f t="shared" ref="D181:D184" si="151">SUM(E181:AV181)</f>
        <v>0</v>
      </c>
      <c r="E181" s="494"/>
      <c r="F181" s="491"/>
      <c r="G181" s="491"/>
      <c r="H181" s="493"/>
      <c r="I181" s="494"/>
      <c r="J181" s="491"/>
      <c r="K181" s="491"/>
      <c r="L181" s="493"/>
      <c r="M181" s="494"/>
      <c r="N181" s="491"/>
      <c r="O181" s="491"/>
      <c r="P181" s="493"/>
      <c r="Q181" s="494"/>
      <c r="R181" s="491"/>
      <c r="S181" s="491"/>
      <c r="T181" s="493"/>
      <c r="U181" s="494"/>
      <c r="V181" s="491"/>
      <c r="W181" s="491"/>
      <c r="X181" s="493"/>
      <c r="Y181" s="494"/>
      <c r="Z181" s="491"/>
      <c r="AA181" s="491"/>
      <c r="AB181" s="493"/>
      <c r="AC181" s="494"/>
      <c r="AD181" s="491"/>
      <c r="AE181" s="491"/>
      <c r="AF181" s="493"/>
      <c r="AG181" s="494"/>
      <c r="AH181" s="491"/>
      <c r="AI181" s="491"/>
      <c r="AJ181" s="493"/>
      <c r="AK181" s="494"/>
      <c r="AL181" s="491"/>
      <c r="AM181" s="491"/>
      <c r="AN181" s="493"/>
      <c r="AO181" s="494"/>
      <c r="AP181" s="491"/>
      <c r="AQ181" s="491"/>
      <c r="AR181" s="493"/>
      <c r="AS181" s="494"/>
      <c r="AT181" s="491"/>
      <c r="AU181" s="491"/>
      <c r="AV181" s="493"/>
      <c r="AW181" s="424">
        <f>AW180</f>
        <v>0</v>
      </c>
    </row>
    <row r="182" spans="1:49" s="424" customFormat="1" ht="13.5" customHeight="1" outlineLevel="1">
      <c r="A182" s="1947"/>
      <c r="B182" s="1949"/>
      <c r="C182" s="461" t="s">
        <v>682</v>
      </c>
      <c r="D182" s="466">
        <f t="shared" si="151"/>
        <v>0</v>
      </c>
      <c r="E182" s="382">
        <f>E181*'9.项目开发计划表'!$G$23</f>
        <v>0</v>
      </c>
      <c r="F182" s="397">
        <f>F181*'9.项目开发计划表'!$G$23</f>
        <v>0</v>
      </c>
      <c r="G182" s="397">
        <f>G181*'9.项目开发计划表'!$G$23</f>
        <v>0</v>
      </c>
      <c r="H182" s="467">
        <f>H181*'9.项目开发计划表'!$G$23</f>
        <v>0</v>
      </c>
      <c r="I182" s="382">
        <f>I181*'9.项目开发计划表'!$G$23</f>
        <v>0</v>
      </c>
      <c r="J182" s="397">
        <f>J181*'9.项目开发计划表'!$G$23</f>
        <v>0</v>
      </c>
      <c r="K182" s="397">
        <f>K181*'9.项目开发计划表'!$G$23</f>
        <v>0</v>
      </c>
      <c r="L182" s="467">
        <f>L181*'9.项目开发计划表'!$G$23</f>
        <v>0</v>
      </c>
      <c r="M182" s="382">
        <f>M181*'9.项目开发计划表'!$G$23</f>
        <v>0</v>
      </c>
      <c r="N182" s="397">
        <f>N181*'9.项目开发计划表'!$G$23</f>
        <v>0</v>
      </c>
      <c r="O182" s="397">
        <f>O181*'9.项目开发计划表'!$G$23</f>
        <v>0</v>
      </c>
      <c r="P182" s="467">
        <f>P181*'9.项目开发计划表'!$G$23</f>
        <v>0</v>
      </c>
      <c r="Q182" s="382">
        <f>Q181*'9.项目开发计划表'!$G$23</f>
        <v>0</v>
      </c>
      <c r="R182" s="397">
        <f>R181*'9.项目开发计划表'!$G$23</f>
        <v>0</v>
      </c>
      <c r="S182" s="397">
        <f>S181*'9.项目开发计划表'!$G$23</f>
        <v>0</v>
      </c>
      <c r="T182" s="467">
        <f>T181*'9.项目开发计划表'!$G$23</f>
        <v>0</v>
      </c>
      <c r="U182" s="382">
        <f>U181*'9.项目开发计划表'!$G$23</f>
        <v>0</v>
      </c>
      <c r="V182" s="397">
        <f>V181*'9.项目开发计划表'!$G$23</f>
        <v>0</v>
      </c>
      <c r="W182" s="397">
        <f>W181*'9.项目开发计划表'!$G$23</f>
        <v>0</v>
      </c>
      <c r="X182" s="467">
        <f>X181*'9.项目开发计划表'!$G$23</f>
        <v>0</v>
      </c>
      <c r="Y182" s="382">
        <f>Y181*'9.项目开发计划表'!$G$23</f>
        <v>0</v>
      </c>
      <c r="Z182" s="397">
        <f>Z181*'9.项目开发计划表'!$G$23</f>
        <v>0</v>
      </c>
      <c r="AA182" s="397">
        <f>AA181*'9.项目开发计划表'!$G$23</f>
        <v>0</v>
      </c>
      <c r="AB182" s="467">
        <f>AB181*'9.项目开发计划表'!$G$23</f>
        <v>0</v>
      </c>
      <c r="AC182" s="382">
        <f>AC181*'9.项目开发计划表'!$G$23</f>
        <v>0</v>
      </c>
      <c r="AD182" s="397">
        <f>AD181*'9.项目开发计划表'!$G$23</f>
        <v>0</v>
      </c>
      <c r="AE182" s="397">
        <f>AE181*'9.项目开发计划表'!$G$23</f>
        <v>0</v>
      </c>
      <c r="AF182" s="467">
        <f>AF181*'9.项目开发计划表'!$G$23</f>
        <v>0</v>
      </c>
      <c r="AG182" s="382">
        <f>AG181*'9.项目开发计划表'!$G$23</f>
        <v>0</v>
      </c>
      <c r="AH182" s="397">
        <f>AH181*'9.项目开发计划表'!$G$23</f>
        <v>0</v>
      </c>
      <c r="AI182" s="397">
        <f>AI181*'9.项目开发计划表'!$G$23</f>
        <v>0</v>
      </c>
      <c r="AJ182" s="467">
        <f>AJ181*'9.项目开发计划表'!$G$23</f>
        <v>0</v>
      </c>
      <c r="AK182" s="382">
        <f>AK181*'9.项目开发计划表'!$G$23</f>
        <v>0</v>
      </c>
      <c r="AL182" s="397">
        <f>AL181*'9.项目开发计划表'!$G$23</f>
        <v>0</v>
      </c>
      <c r="AM182" s="397">
        <f>AM181*'9.项目开发计划表'!$G$23</f>
        <v>0</v>
      </c>
      <c r="AN182" s="467">
        <f>AN181*'9.项目开发计划表'!$G$23</f>
        <v>0</v>
      </c>
      <c r="AO182" s="382">
        <f>AO181*'9.项目开发计划表'!$G$23</f>
        <v>0</v>
      </c>
      <c r="AP182" s="397">
        <f>AP181*'9.项目开发计划表'!$G$23</f>
        <v>0</v>
      </c>
      <c r="AQ182" s="397">
        <f>AQ181*'9.项目开发计划表'!$G$23</f>
        <v>0</v>
      </c>
      <c r="AR182" s="467">
        <f>AR181*'9.项目开发计划表'!$G$23</f>
        <v>0</v>
      </c>
      <c r="AS182" s="382">
        <f>AS181*'9.项目开发计划表'!$G$23</f>
        <v>0</v>
      </c>
      <c r="AT182" s="397">
        <f>AT181*'9.项目开发计划表'!$G$23</f>
        <v>0</v>
      </c>
      <c r="AU182" s="397">
        <f>AU181*'9.项目开发计划表'!$G$23</f>
        <v>0</v>
      </c>
      <c r="AV182" s="467">
        <f>AV181*'9.项目开发计划表'!$G$23</f>
        <v>0</v>
      </c>
      <c r="AW182" s="424">
        <f t="shared" si="143"/>
        <v>0</v>
      </c>
    </row>
    <row r="183" spans="1:49" s="424" customFormat="1" ht="13.5" customHeight="1" outlineLevel="1">
      <c r="A183" s="1947"/>
      <c r="B183" s="1949"/>
      <c r="C183" s="461" t="s">
        <v>882</v>
      </c>
      <c r="D183" s="466">
        <f t="shared" si="151"/>
        <v>0</v>
      </c>
      <c r="E183" s="382">
        <f t="shared" ref="E183:AV183" si="152">E180*E182/10000</f>
        <v>0</v>
      </c>
      <c r="F183" s="397">
        <f t="shared" si="152"/>
        <v>0</v>
      </c>
      <c r="G183" s="397">
        <f t="shared" si="152"/>
        <v>0</v>
      </c>
      <c r="H183" s="467">
        <f t="shared" si="152"/>
        <v>0</v>
      </c>
      <c r="I183" s="382">
        <f t="shared" si="152"/>
        <v>0</v>
      </c>
      <c r="J183" s="397">
        <f t="shared" si="152"/>
        <v>0</v>
      </c>
      <c r="K183" s="397">
        <f t="shared" si="152"/>
        <v>0</v>
      </c>
      <c r="L183" s="467">
        <f t="shared" si="152"/>
        <v>0</v>
      </c>
      <c r="M183" s="382">
        <f t="shared" si="152"/>
        <v>0</v>
      </c>
      <c r="N183" s="397">
        <f t="shared" si="152"/>
        <v>0</v>
      </c>
      <c r="O183" s="397">
        <f t="shared" si="152"/>
        <v>0</v>
      </c>
      <c r="P183" s="467">
        <f t="shared" si="152"/>
        <v>0</v>
      </c>
      <c r="Q183" s="382">
        <f t="shared" si="152"/>
        <v>0</v>
      </c>
      <c r="R183" s="397">
        <f t="shared" si="152"/>
        <v>0</v>
      </c>
      <c r="S183" s="397">
        <f t="shared" si="152"/>
        <v>0</v>
      </c>
      <c r="T183" s="467">
        <f t="shared" si="152"/>
        <v>0</v>
      </c>
      <c r="U183" s="382">
        <f t="shared" si="152"/>
        <v>0</v>
      </c>
      <c r="V183" s="397">
        <f t="shared" si="152"/>
        <v>0</v>
      </c>
      <c r="W183" s="397">
        <f t="shared" si="152"/>
        <v>0</v>
      </c>
      <c r="X183" s="467">
        <f t="shared" si="152"/>
        <v>0</v>
      </c>
      <c r="Y183" s="382">
        <f t="shared" si="152"/>
        <v>0</v>
      </c>
      <c r="Z183" s="397">
        <f t="shared" si="152"/>
        <v>0</v>
      </c>
      <c r="AA183" s="397">
        <f t="shared" si="152"/>
        <v>0</v>
      </c>
      <c r="AB183" s="467">
        <f t="shared" si="152"/>
        <v>0</v>
      </c>
      <c r="AC183" s="382">
        <f t="shared" si="152"/>
        <v>0</v>
      </c>
      <c r="AD183" s="397">
        <f t="shared" si="152"/>
        <v>0</v>
      </c>
      <c r="AE183" s="397">
        <f t="shared" si="152"/>
        <v>0</v>
      </c>
      <c r="AF183" s="467">
        <f t="shared" si="152"/>
        <v>0</v>
      </c>
      <c r="AG183" s="382">
        <f t="shared" si="152"/>
        <v>0</v>
      </c>
      <c r="AH183" s="397">
        <f t="shared" si="152"/>
        <v>0</v>
      </c>
      <c r="AI183" s="397">
        <f t="shared" si="152"/>
        <v>0</v>
      </c>
      <c r="AJ183" s="467">
        <f t="shared" si="152"/>
        <v>0</v>
      </c>
      <c r="AK183" s="382">
        <f t="shared" si="152"/>
        <v>0</v>
      </c>
      <c r="AL183" s="397">
        <f t="shared" si="152"/>
        <v>0</v>
      </c>
      <c r="AM183" s="397">
        <f t="shared" si="152"/>
        <v>0</v>
      </c>
      <c r="AN183" s="467">
        <f t="shared" si="152"/>
        <v>0</v>
      </c>
      <c r="AO183" s="382">
        <f t="shared" si="152"/>
        <v>0</v>
      </c>
      <c r="AP183" s="397">
        <f t="shared" si="152"/>
        <v>0</v>
      </c>
      <c r="AQ183" s="397">
        <f t="shared" si="152"/>
        <v>0</v>
      </c>
      <c r="AR183" s="467">
        <f t="shared" si="152"/>
        <v>0</v>
      </c>
      <c r="AS183" s="382">
        <f t="shared" si="152"/>
        <v>0</v>
      </c>
      <c r="AT183" s="397">
        <f t="shared" si="152"/>
        <v>0</v>
      </c>
      <c r="AU183" s="397">
        <f t="shared" si="152"/>
        <v>0</v>
      </c>
      <c r="AV183" s="467">
        <f t="shared" si="152"/>
        <v>0</v>
      </c>
      <c r="AW183" s="424">
        <f t="shared" si="143"/>
        <v>0</v>
      </c>
    </row>
    <row r="184" spans="1:49" s="424" customFormat="1" ht="13.5" customHeight="1" outlineLevel="1">
      <c r="A184" s="1947"/>
      <c r="B184" s="1949"/>
      <c r="C184" s="508" t="s">
        <v>450</v>
      </c>
      <c r="D184" s="468">
        <f t="shared" si="151"/>
        <v>0</v>
      </c>
      <c r="E184" s="386">
        <f>SUMIF($I$1:$T$1,B180,$I$2:$T$2)*E183</f>
        <v>0</v>
      </c>
      <c r="F184" s="399">
        <f>(1-SUMIF($I$1:$T$1,B180,$I$2:$T$2))*E183+SUMIF($I$1:$T$1,B180,$I$2:$T$2)*F183</f>
        <v>0</v>
      </c>
      <c r="G184" s="399">
        <f>(1-SUMIF($I$1:$T$1,B180,$I$2:$T$2))*F183+SUMIF($I$1:$T$1,B180,$I$2:$T$2)*G183</f>
        <v>0</v>
      </c>
      <c r="H184" s="404">
        <f>(1-SUMIF($I$1:$T$1,B180,$I$2:$T$2))*G183+SUMIF($I$1:$T$1,B180,$I$2:$T$2)*H183</f>
        <v>0</v>
      </c>
      <c r="I184" s="386">
        <f>(1-SUMIF($I$1:$T$1,B180,$I$2:$T$2))*H183+SUMIF($I$1:$T$1,B180,$I$2:$T$2)*I183</f>
        <v>0</v>
      </c>
      <c r="J184" s="399">
        <f>(1-SUMIF($I$1:$T$1,B180,$I$2:$T$2))*I183+SUMIF($I$1:$T$1,B180,$I$2:$T$2)*J183</f>
        <v>0</v>
      </c>
      <c r="K184" s="399">
        <f>(1-SUMIF($I$1:$T$1,B180,$I$2:$T$2))*J183+SUMIF($I$1:$T$1,B180,$I$2:$T$2)*K183</f>
        <v>0</v>
      </c>
      <c r="L184" s="404">
        <f>(1-SUMIF($I$1:$T$1,B180,$I$2:$T$2))*K183+SUMIF($I$1:$T$1,B180,$I$2:$T$2)*L183</f>
        <v>0</v>
      </c>
      <c r="M184" s="386">
        <f>(1-SUMIF($I$1:$T$1,B180,$I$2:$T$2))*L183+SUMIF($I$1:$T$1,B180,$I$2:$T$2)*M183</f>
        <v>0</v>
      </c>
      <c r="N184" s="399">
        <f>(1-SUMIF($I$1:$T$1,B180,$I$2:$T$2))*M183+SUMIF($I$1:$T$1,B180,$I$2:$T$2)*N183</f>
        <v>0</v>
      </c>
      <c r="O184" s="399">
        <f>(1-SUMIF($I$1:$T$1,B180,$I$2:$T$2))*N183+SUMIF($I$1:$T$1,B180,$I$2:$T$2)*O183</f>
        <v>0</v>
      </c>
      <c r="P184" s="404">
        <f>(1-SUMIF($I$1:$T$1,B180,$I$2:$T$2))*O183+SUMIF($I$1:$T$1,B180,$I$2:$T$2)*P183</f>
        <v>0</v>
      </c>
      <c r="Q184" s="386">
        <f>(1-SUMIF($I$1:$T$1,B180,$I$2:$T$2))*P183+SUMIF($I$1:$T$1,B180,$I$2:$T$2)*Q183</f>
        <v>0</v>
      </c>
      <c r="R184" s="399">
        <f>(1-SUMIF($I$1:$T$1,B180,$I$2:$T$2))*Q183+SUMIF($I$1:$T$1,B180,$I$2:$T$2)*R183</f>
        <v>0</v>
      </c>
      <c r="S184" s="399">
        <f>(1-SUMIF($I$1:$T$1,B180,$I$2:$T$2))*R183+SUMIF($I$1:$T$1,B180,$I$2:$T$2)*S183</f>
        <v>0</v>
      </c>
      <c r="T184" s="404">
        <f>(1-SUMIF($I$1:$T$1,B180,$I$2:$T$2))*S183+SUMIF($I$1:$T$1,B180,$I$2:$T$2)*T183</f>
        <v>0</v>
      </c>
      <c r="U184" s="386">
        <f>(1-SUMIF($I$1:$T$1,B180,$I$2:$T$2))*T183+SUMIF($I$1:$T$1,B180,$I$2:$T$2)*U183</f>
        <v>0</v>
      </c>
      <c r="V184" s="399">
        <f>(1-SUMIF($I$1:$T$1,B180,$I$2:$T$2))*U183+SUMIF($I$1:$T$1,B180,$I$2:$T$2)*V183</f>
        <v>0</v>
      </c>
      <c r="W184" s="399">
        <f>(1-SUMIF($I$1:$T$1,B180,$I$2:$T$2))*V183+SUMIF($I$1:$T$1,B180,$I$2:$T$2)*W183</f>
        <v>0</v>
      </c>
      <c r="X184" s="404">
        <f>(1-SUMIF($I$1:$T$1,B180,$I$2:$T$2))*W183+SUMIF($I$1:$T$1,B180,$I$2:$T$2)*X183</f>
        <v>0</v>
      </c>
      <c r="Y184" s="386">
        <f>(1-SUMIF($I$1:$T$1,B180,$I$2:$T$2))*X183+SUMIF($I$1:$T$1,B180,$I$2:$T$2)*Y183</f>
        <v>0</v>
      </c>
      <c r="Z184" s="399">
        <f>(1-SUMIF($I$1:$T$1,B180,$I$2:$T$2))*Y183+SUMIF($I$1:$T$1,B180,$I$2:$T$2)*Z183</f>
        <v>0</v>
      </c>
      <c r="AA184" s="399">
        <f>(1-SUMIF($I$1:$T$1,B180,$I$2:$T$2))*Z183+SUMIF($I$1:$T$1,B180,$I$2:$T$2)*AA183</f>
        <v>0</v>
      </c>
      <c r="AB184" s="404">
        <f>(1-SUMIF($I$1:$T$1,B180,$I$2:$T$2))*AA183+SUMIF($I$1:$T$1,B180,$I$2:$T$2)*AB183</f>
        <v>0</v>
      </c>
      <c r="AC184" s="386">
        <f>(1-SUMIF($I$1:$T$1,B180,$I$2:$T$2))*AB183+SUMIF($I$1:$T$1,B180,$I$2:$T$2)*AC183</f>
        <v>0</v>
      </c>
      <c r="AD184" s="399">
        <f>(1-SUMIF($I$1:$T$1,B180,$I$2:$T$2))*AC183+SUMIF($I$1:$T$1,B180,$I$2:$T$2)*AD183</f>
        <v>0</v>
      </c>
      <c r="AE184" s="399">
        <f>(1-SUMIF($I$1:$T$1,B180,$I$2:$T$2))*AD183+SUMIF($I$1:$T$1,B180,$I$2:$T$2)*AE183</f>
        <v>0</v>
      </c>
      <c r="AF184" s="404">
        <f>(1-SUMIF($I$1:$T$1,B180,$I$2:$T$2))*AE183+SUMIF($I$1:$T$1,B180,$I$2:$T$2)*AF183</f>
        <v>0</v>
      </c>
      <c r="AG184" s="386">
        <f>(1-SUMIF($I$1:$T$1,B180,$I$2:$T$2))*AF183+SUMIF($I$1:$T$1,B180,$I$2:$T$2)*AG183</f>
        <v>0</v>
      </c>
      <c r="AH184" s="399">
        <f>(1-SUMIF($I$1:$T$1,B180,$I$2:$T$2))*AG183+SUMIF($I$1:$T$1,B180,$I$2:$T$2)*AH183</f>
        <v>0</v>
      </c>
      <c r="AI184" s="399">
        <f>(1-SUMIF($I$1:$T$1,B180,$I$2:$T$2))*AH183+SUMIF($I$1:$T$1,B180,$I$2:$T$2)*AI183</f>
        <v>0</v>
      </c>
      <c r="AJ184" s="404">
        <f>(1-SUMIF($I$1:$T$1,B180,$I$2:$T$2))*AI183+SUMIF($I$1:$T$1,B180,$I$2:$T$2)*AJ183</f>
        <v>0</v>
      </c>
      <c r="AK184" s="386">
        <f>(1-SUMIF($I$1:$T$1,B180,$I$2:$T$2))*AJ183+SUMIF($I$1:$T$1,B180,$I$2:$T$2)*AK183</f>
        <v>0</v>
      </c>
      <c r="AL184" s="399">
        <f>(1-SUMIF($I$1:$T$1,B180,$I$2:$T$2))*AK183+SUMIF($I$1:$T$1,B180,$I$2:$T$2)*AL183</f>
        <v>0</v>
      </c>
      <c r="AM184" s="399">
        <f>(1-SUMIF($I$1:$T$1,B180,$I$2:$T$2))*AL183+SUMIF($I$1:$T$1,B180,$I$2:$T$2)*AM183</f>
        <v>0</v>
      </c>
      <c r="AN184" s="404">
        <f>(1-SUMIF($I$1:$T$1,B180,$I$2:$T$2))*AM183+SUMIF($I$1:$T$1,B180,$I$2:$T$2)*AN183</f>
        <v>0</v>
      </c>
      <c r="AO184" s="386">
        <f>(1-SUMIF($I$1:$T$1,B180,$I$2:$T$2))*AN183+SUMIF($I$1:$T$1,B180,$I$2:$T$2)*AO183</f>
        <v>0</v>
      </c>
      <c r="AP184" s="399">
        <f>(1-SUMIF($I$1:$T$1,B180,$I$2:$T$2))*AO183+SUMIF($I$1:$T$1,B180,$I$2:$T$2)*AP183</f>
        <v>0</v>
      </c>
      <c r="AQ184" s="399">
        <f>(1-SUMIF($I$1:$T$1,B180,$I$2:$T$2))*AP183+SUMIF($I$1:$T$1,B180,$I$2:$T$2)*AQ183</f>
        <v>0</v>
      </c>
      <c r="AR184" s="404">
        <f>(1-SUMIF($I$1:$T$1,B180,$I$2:$T$2))*AQ183+SUMIF($I$1:$T$1,B180,$I$2:$T$2)*AR183</f>
        <v>0</v>
      </c>
      <c r="AS184" s="386">
        <f>(1-SUMIF($I$1:$T$1,B180,$I$2:$T$2))*AR183+SUMIF($I$1:$T$1,B180,$I$2:$T$2)*AS183</f>
        <v>0</v>
      </c>
      <c r="AT184" s="399">
        <f>(1-SUMIF($I$1:$T$1,B180,$I$2:$T$2))*AS183+SUMIF($I$1:$T$1,B180,$I$2:$T$2)*AT183</f>
        <v>0</v>
      </c>
      <c r="AU184" s="399">
        <f>(1-SUMIF($I$1:$T$1,B180,$I$2:$T$2))*AT183+SUMIF($I$1:$T$1,B180,$I$2:$T$2)*AU183</f>
        <v>0</v>
      </c>
      <c r="AV184" s="404">
        <f>(1-SUMIF($I$1:$T$1,B180,$I$2:$T$2))*AU183+SUMIF($I$1:$T$1,B180,$I$2:$T$2)*AV183</f>
        <v>0</v>
      </c>
      <c r="AW184" s="424">
        <f t="shared" si="143"/>
        <v>0</v>
      </c>
    </row>
    <row r="185" spans="1:49" s="424" customFormat="1" ht="13.5" customHeight="1" outlineLevel="1">
      <c r="A185" s="1947"/>
      <c r="B185" s="1949">
        <f>'9.项目开发计划表'!C24</f>
        <v>0</v>
      </c>
      <c r="C185" s="456" t="s">
        <v>880</v>
      </c>
      <c r="D185" s="457">
        <f>IF(D187=0,0,D188/D187*10000)</f>
        <v>0</v>
      </c>
      <c r="E185" s="505"/>
      <c r="F185" s="506"/>
      <c r="G185" s="506"/>
      <c r="H185" s="507"/>
      <c r="I185" s="505"/>
      <c r="J185" s="506"/>
      <c r="K185" s="506"/>
      <c r="L185" s="507"/>
      <c r="M185" s="505"/>
      <c r="N185" s="506"/>
      <c r="O185" s="506"/>
      <c r="P185" s="507"/>
      <c r="Q185" s="505"/>
      <c r="R185" s="506"/>
      <c r="S185" s="506"/>
      <c r="T185" s="507"/>
      <c r="U185" s="505"/>
      <c r="V185" s="506"/>
      <c r="W185" s="506"/>
      <c r="X185" s="507"/>
      <c r="Y185" s="505"/>
      <c r="Z185" s="506"/>
      <c r="AA185" s="506"/>
      <c r="AB185" s="507"/>
      <c r="AC185" s="505"/>
      <c r="AD185" s="506"/>
      <c r="AE185" s="506"/>
      <c r="AF185" s="507"/>
      <c r="AG185" s="505"/>
      <c r="AH185" s="506"/>
      <c r="AI185" s="506"/>
      <c r="AJ185" s="507"/>
      <c r="AK185" s="505"/>
      <c r="AL185" s="506"/>
      <c r="AM185" s="506"/>
      <c r="AN185" s="507"/>
      <c r="AO185" s="505"/>
      <c r="AP185" s="506"/>
      <c r="AQ185" s="506"/>
      <c r="AR185" s="507"/>
      <c r="AS185" s="505"/>
      <c r="AT185" s="506"/>
      <c r="AU185" s="506"/>
      <c r="AV185" s="507"/>
      <c r="AW185" s="424">
        <f>B185</f>
        <v>0</v>
      </c>
    </row>
    <row r="186" spans="1:49" ht="13.5" customHeight="1" outlineLevel="1">
      <c r="A186" s="1947"/>
      <c r="B186" s="1949"/>
      <c r="C186" s="461" t="s">
        <v>881</v>
      </c>
      <c r="D186" s="462">
        <f t="shared" ref="D186:D189" si="153">SUM(E186:AV186)</f>
        <v>0</v>
      </c>
      <c r="E186" s="494"/>
      <c r="F186" s="491"/>
      <c r="G186" s="491"/>
      <c r="H186" s="493"/>
      <c r="I186" s="494"/>
      <c r="J186" s="491"/>
      <c r="K186" s="491"/>
      <c r="L186" s="493"/>
      <c r="M186" s="494"/>
      <c r="N186" s="491"/>
      <c r="O186" s="491"/>
      <c r="P186" s="493"/>
      <c r="Q186" s="494"/>
      <c r="R186" s="491"/>
      <c r="S186" s="491"/>
      <c r="T186" s="493"/>
      <c r="U186" s="494"/>
      <c r="V186" s="491"/>
      <c r="W186" s="491"/>
      <c r="X186" s="493"/>
      <c r="Y186" s="494"/>
      <c r="Z186" s="491"/>
      <c r="AA186" s="491"/>
      <c r="AB186" s="493"/>
      <c r="AC186" s="494"/>
      <c r="AD186" s="491"/>
      <c r="AE186" s="491"/>
      <c r="AF186" s="493"/>
      <c r="AG186" s="494"/>
      <c r="AH186" s="491"/>
      <c r="AI186" s="491"/>
      <c r="AJ186" s="493"/>
      <c r="AK186" s="494"/>
      <c r="AL186" s="491"/>
      <c r="AM186" s="491"/>
      <c r="AN186" s="493"/>
      <c r="AO186" s="494"/>
      <c r="AP186" s="491"/>
      <c r="AQ186" s="491"/>
      <c r="AR186" s="493"/>
      <c r="AS186" s="494"/>
      <c r="AT186" s="491"/>
      <c r="AU186" s="491"/>
      <c r="AV186" s="493"/>
      <c r="AW186" s="424">
        <f>AW185</f>
        <v>0</v>
      </c>
    </row>
    <row r="187" spans="1:49" s="424" customFormat="1" ht="13.5" customHeight="1" outlineLevel="1">
      <c r="A187" s="1947"/>
      <c r="B187" s="1949"/>
      <c r="C187" s="461" t="s">
        <v>682</v>
      </c>
      <c r="D187" s="466">
        <f t="shared" si="153"/>
        <v>0</v>
      </c>
      <c r="E187" s="382">
        <f>E186*'9.项目开发计划表'!$G$24</f>
        <v>0</v>
      </c>
      <c r="F187" s="397">
        <f>F186*'9.项目开发计划表'!$G$24</f>
        <v>0</v>
      </c>
      <c r="G187" s="397">
        <f>G186*'9.项目开发计划表'!$G$24</f>
        <v>0</v>
      </c>
      <c r="H187" s="467">
        <f>H186*'9.项目开发计划表'!$G$24</f>
        <v>0</v>
      </c>
      <c r="I187" s="382">
        <f>I186*'9.项目开发计划表'!$G$24</f>
        <v>0</v>
      </c>
      <c r="J187" s="397">
        <f>J186*'9.项目开发计划表'!$G$24</f>
        <v>0</v>
      </c>
      <c r="K187" s="397">
        <f>K186*'9.项目开发计划表'!$G$24</f>
        <v>0</v>
      </c>
      <c r="L187" s="467">
        <f>L186*'9.项目开发计划表'!$G$24</f>
        <v>0</v>
      </c>
      <c r="M187" s="382">
        <f>M186*'9.项目开发计划表'!$G$24</f>
        <v>0</v>
      </c>
      <c r="N187" s="397">
        <f>N186*'9.项目开发计划表'!$G$24</f>
        <v>0</v>
      </c>
      <c r="O187" s="397">
        <f>O186*'9.项目开发计划表'!$G$24</f>
        <v>0</v>
      </c>
      <c r="P187" s="467">
        <f>P186*'9.项目开发计划表'!$G$24</f>
        <v>0</v>
      </c>
      <c r="Q187" s="382">
        <f>Q186*'9.项目开发计划表'!$G$24</f>
        <v>0</v>
      </c>
      <c r="R187" s="397">
        <f>R186*'9.项目开发计划表'!$G$24</f>
        <v>0</v>
      </c>
      <c r="S187" s="397">
        <f>S186*'9.项目开发计划表'!$G$24</f>
        <v>0</v>
      </c>
      <c r="T187" s="467">
        <f>T186*'9.项目开发计划表'!$G$24</f>
        <v>0</v>
      </c>
      <c r="U187" s="382">
        <f>U186*'9.项目开发计划表'!$G$24</f>
        <v>0</v>
      </c>
      <c r="V187" s="397">
        <f>V186*'9.项目开发计划表'!$G$24</f>
        <v>0</v>
      </c>
      <c r="W187" s="397">
        <f>W186*'9.项目开发计划表'!$G$24</f>
        <v>0</v>
      </c>
      <c r="X187" s="467">
        <f>X186*'9.项目开发计划表'!$G$24</f>
        <v>0</v>
      </c>
      <c r="Y187" s="382">
        <f>Y186*'9.项目开发计划表'!$G$24</f>
        <v>0</v>
      </c>
      <c r="Z187" s="397">
        <f>Z186*'9.项目开发计划表'!$G$24</f>
        <v>0</v>
      </c>
      <c r="AA187" s="397">
        <f>AA186*'9.项目开发计划表'!$G$24</f>
        <v>0</v>
      </c>
      <c r="AB187" s="467">
        <f>AB186*'9.项目开发计划表'!$G$24</f>
        <v>0</v>
      </c>
      <c r="AC187" s="382">
        <f>AC186*'9.项目开发计划表'!$G$24</f>
        <v>0</v>
      </c>
      <c r="AD187" s="397">
        <f>AD186*'9.项目开发计划表'!$G$24</f>
        <v>0</v>
      </c>
      <c r="AE187" s="397">
        <f>AE186*'9.项目开发计划表'!$G$24</f>
        <v>0</v>
      </c>
      <c r="AF187" s="467">
        <f>AF186*'9.项目开发计划表'!$G$24</f>
        <v>0</v>
      </c>
      <c r="AG187" s="382">
        <f>AG186*'9.项目开发计划表'!$G$24</f>
        <v>0</v>
      </c>
      <c r="AH187" s="397">
        <f>AH186*'9.项目开发计划表'!$G$24</f>
        <v>0</v>
      </c>
      <c r="AI187" s="397">
        <f>AI186*'9.项目开发计划表'!$G$24</f>
        <v>0</v>
      </c>
      <c r="AJ187" s="467">
        <f>AJ186*'9.项目开发计划表'!$G$24</f>
        <v>0</v>
      </c>
      <c r="AK187" s="382">
        <f>AK186*'9.项目开发计划表'!$G$24</f>
        <v>0</v>
      </c>
      <c r="AL187" s="397">
        <f>AL186*'9.项目开发计划表'!$G$24</f>
        <v>0</v>
      </c>
      <c r="AM187" s="397">
        <f>AM186*'9.项目开发计划表'!$G$24</f>
        <v>0</v>
      </c>
      <c r="AN187" s="467">
        <f>AN186*'9.项目开发计划表'!$G$24</f>
        <v>0</v>
      </c>
      <c r="AO187" s="382">
        <f>AO186*'9.项目开发计划表'!$G$24</f>
        <v>0</v>
      </c>
      <c r="AP187" s="397">
        <f>AP186*'9.项目开发计划表'!$G$24</f>
        <v>0</v>
      </c>
      <c r="AQ187" s="397">
        <f>AQ186*'9.项目开发计划表'!$G$24</f>
        <v>0</v>
      </c>
      <c r="AR187" s="467">
        <f>AR186*'9.项目开发计划表'!$G$24</f>
        <v>0</v>
      </c>
      <c r="AS187" s="382">
        <f>AS186*'9.项目开发计划表'!$G$24</f>
        <v>0</v>
      </c>
      <c r="AT187" s="397">
        <f>AT186*'9.项目开发计划表'!$G$24</f>
        <v>0</v>
      </c>
      <c r="AU187" s="397">
        <f>AU186*'9.项目开发计划表'!$G$24</f>
        <v>0</v>
      </c>
      <c r="AV187" s="467">
        <f>AV186*'9.项目开发计划表'!$G$24</f>
        <v>0</v>
      </c>
      <c r="AW187" s="424">
        <f t="shared" si="143"/>
        <v>0</v>
      </c>
    </row>
    <row r="188" spans="1:49" s="424" customFormat="1" ht="13.5" customHeight="1" outlineLevel="1">
      <c r="A188" s="1947"/>
      <c r="B188" s="1949"/>
      <c r="C188" s="461" t="s">
        <v>882</v>
      </c>
      <c r="D188" s="466">
        <f t="shared" si="153"/>
        <v>0</v>
      </c>
      <c r="E188" s="382">
        <f t="shared" ref="E188:AV188" si="154">E185*E187/10000</f>
        <v>0</v>
      </c>
      <c r="F188" s="397">
        <f t="shared" si="154"/>
        <v>0</v>
      </c>
      <c r="G188" s="397">
        <f t="shared" si="154"/>
        <v>0</v>
      </c>
      <c r="H188" s="467">
        <f t="shared" si="154"/>
        <v>0</v>
      </c>
      <c r="I188" s="382">
        <f t="shared" si="154"/>
        <v>0</v>
      </c>
      <c r="J188" s="397">
        <f t="shared" si="154"/>
        <v>0</v>
      </c>
      <c r="K188" s="397">
        <f t="shared" si="154"/>
        <v>0</v>
      </c>
      <c r="L188" s="467">
        <f t="shared" si="154"/>
        <v>0</v>
      </c>
      <c r="M188" s="382">
        <f t="shared" si="154"/>
        <v>0</v>
      </c>
      <c r="N188" s="397">
        <f t="shared" si="154"/>
        <v>0</v>
      </c>
      <c r="O188" s="397">
        <f t="shared" si="154"/>
        <v>0</v>
      </c>
      <c r="P188" s="467">
        <f t="shared" si="154"/>
        <v>0</v>
      </c>
      <c r="Q188" s="382">
        <f t="shared" si="154"/>
        <v>0</v>
      </c>
      <c r="R188" s="397">
        <f t="shared" si="154"/>
        <v>0</v>
      </c>
      <c r="S188" s="397">
        <f t="shared" si="154"/>
        <v>0</v>
      </c>
      <c r="T188" s="467">
        <f t="shared" si="154"/>
        <v>0</v>
      </c>
      <c r="U188" s="382">
        <f t="shared" si="154"/>
        <v>0</v>
      </c>
      <c r="V188" s="397">
        <f t="shared" si="154"/>
        <v>0</v>
      </c>
      <c r="W188" s="397">
        <f t="shared" si="154"/>
        <v>0</v>
      </c>
      <c r="X188" s="467">
        <f t="shared" si="154"/>
        <v>0</v>
      </c>
      <c r="Y188" s="382">
        <f t="shared" si="154"/>
        <v>0</v>
      </c>
      <c r="Z188" s="397">
        <f t="shared" si="154"/>
        <v>0</v>
      </c>
      <c r="AA188" s="397">
        <f t="shared" si="154"/>
        <v>0</v>
      </c>
      <c r="AB188" s="467">
        <f t="shared" si="154"/>
        <v>0</v>
      </c>
      <c r="AC188" s="382">
        <f t="shared" si="154"/>
        <v>0</v>
      </c>
      <c r="AD188" s="397">
        <f t="shared" si="154"/>
        <v>0</v>
      </c>
      <c r="AE188" s="397">
        <f t="shared" si="154"/>
        <v>0</v>
      </c>
      <c r="AF188" s="467">
        <f t="shared" si="154"/>
        <v>0</v>
      </c>
      <c r="AG188" s="382">
        <f t="shared" si="154"/>
        <v>0</v>
      </c>
      <c r="AH188" s="397">
        <f t="shared" si="154"/>
        <v>0</v>
      </c>
      <c r="AI188" s="397">
        <f t="shared" si="154"/>
        <v>0</v>
      </c>
      <c r="AJ188" s="467">
        <f t="shared" si="154"/>
        <v>0</v>
      </c>
      <c r="AK188" s="382">
        <f t="shared" si="154"/>
        <v>0</v>
      </c>
      <c r="AL188" s="397">
        <f t="shared" si="154"/>
        <v>0</v>
      </c>
      <c r="AM188" s="397">
        <f t="shared" si="154"/>
        <v>0</v>
      </c>
      <c r="AN188" s="467">
        <f t="shared" si="154"/>
        <v>0</v>
      </c>
      <c r="AO188" s="382">
        <f t="shared" si="154"/>
        <v>0</v>
      </c>
      <c r="AP188" s="397">
        <f t="shared" si="154"/>
        <v>0</v>
      </c>
      <c r="AQ188" s="397">
        <f t="shared" si="154"/>
        <v>0</v>
      </c>
      <c r="AR188" s="467">
        <f t="shared" si="154"/>
        <v>0</v>
      </c>
      <c r="AS188" s="382">
        <f t="shared" si="154"/>
        <v>0</v>
      </c>
      <c r="AT188" s="397">
        <f t="shared" si="154"/>
        <v>0</v>
      </c>
      <c r="AU188" s="397">
        <f t="shared" si="154"/>
        <v>0</v>
      </c>
      <c r="AV188" s="467">
        <f t="shared" si="154"/>
        <v>0</v>
      </c>
      <c r="AW188" s="424">
        <f t="shared" si="143"/>
        <v>0</v>
      </c>
    </row>
    <row r="189" spans="1:49" s="424" customFormat="1" ht="13.5" customHeight="1" outlineLevel="1">
      <c r="A189" s="1947"/>
      <c r="B189" s="1949"/>
      <c r="C189" s="508" t="s">
        <v>450</v>
      </c>
      <c r="D189" s="468">
        <f t="shared" si="153"/>
        <v>0</v>
      </c>
      <c r="E189" s="386">
        <f>SUMIF($I$1:$T$1,B185,$I$2:$T$2)*E188</f>
        <v>0</v>
      </c>
      <c r="F189" s="399">
        <f>(1-SUMIF($I$1:$T$1,B185,$I$2:$T$2))*E188+SUMIF($I$1:$T$1,B185,$I$2:$T$2)*F188</f>
        <v>0</v>
      </c>
      <c r="G189" s="399">
        <f>(1-SUMIF($I$1:$T$1,B185,$I$2:$T$2))*F188+SUMIF($I$1:$T$1,B185,$I$2:$T$2)*G188</f>
        <v>0</v>
      </c>
      <c r="H189" s="404">
        <f>(1-SUMIF($I$1:$T$1,B185,$I$2:$T$2))*G188+SUMIF($I$1:$T$1,B185,$I$2:$T$2)*H188</f>
        <v>0</v>
      </c>
      <c r="I189" s="386">
        <f>(1-SUMIF($I$1:$T$1,B185,$I$2:$T$2))*H188+SUMIF($I$1:$T$1,B185,$I$2:$T$2)*I188</f>
        <v>0</v>
      </c>
      <c r="J189" s="399">
        <f>(1-SUMIF($I$1:$T$1,B185,$I$2:$T$2))*I188+SUMIF($I$1:$T$1,B185,$I$2:$T$2)*J188</f>
        <v>0</v>
      </c>
      <c r="K189" s="399">
        <f>(1-SUMIF($I$1:$T$1,B185,$I$2:$T$2))*J188+SUMIF($I$1:$T$1,B185,$I$2:$T$2)*K188</f>
        <v>0</v>
      </c>
      <c r="L189" s="404">
        <f>(1-SUMIF($I$1:$T$1,B185,$I$2:$T$2))*K188+SUMIF($I$1:$T$1,B185,$I$2:$T$2)*L188</f>
        <v>0</v>
      </c>
      <c r="M189" s="386">
        <f>(1-SUMIF($I$1:$T$1,B185,$I$2:$T$2))*L188+SUMIF($I$1:$T$1,B185,$I$2:$T$2)*M188</f>
        <v>0</v>
      </c>
      <c r="N189" s="399">
        <f>(1-SUMIF($I$1:$T$1,B185,$I$2:$T$2))*M188+SUMIF($I$1:$T$1,B185,$I$2:$T$2)*N188</f>
        <v>0</v>
      </c>
      <c r="O189" s="399">
        <f>(1-SUMIF($I$1:$T$1,B185,$I$2:$T$2))*N188+SUMIF($I$1:$T$1,B185,$I$2:$T$2)*O188</f>
        <v>0</v>
      </c>
      <c r="P189" s="404">
        <f>(1-SUMIF($I$1:$T$1,B185,$I$2:$T$2))*O188+SUMIF($I$1:$T$1,B185,$I$2:$T$2)*P188</f>
        <v>0</v>
      </c>
      <c r="Q189" s="386">
        <f>(1-SUMIF($I$1:$T$1,B185,$I$2:$T$2))*P188+SUMIF($I$1:$T$1,B185,$I$2:$T$2)*Q188</f>
        <v>0</v>
      </c>
      <c r="R189" s="399">
        <f>(1-SUMIF($I$1:$T$1,B185,$I$2:$T$2))*Q188+SUMIF($I$1:$T$1,B185,$I$2:$T$2)*R188</f>
        <v>0</v>
      </c>
      <c r="S189" s="399">
        <f>(1-SUMIF($I$1:$T$1,B185,$I$2:$T$2))*R188+SUMIF($I$1:$T$1,B185,$I$2:$T$2)*S188</f>
        <v>0</v>
      </c>
      <c r="T189" s="404">
        <f>(1-SUMIF($I$1:$T$1,B185,$I$2:$T$2))*S188+SUMIF($I$1:$T$1,B185,$I$2:$T$2)*T188</f>
        <v>0</v>
      </c>
      <c r="U189" s="386">
        <f>(1-SUMIF($I$1:$T$1,B185,$I$2:$T$2))*T188+SUMIF($I$1:$T$1,B185,$I$2:$T$2)*U188</f>
        <v>0</v>
      </c>
      <c r="V189" s="399">
        <f>(1-SUMIF($I$1:$T$1,B185,$I$2:$T$2))*U188+SUMIF($I$1:$T$1,B185,$I$2:$T$2)*V188</f>
        <v>0</v>
      </c>
      <c r="W189" s="399">
        <f>(1-SUMIF($I$1:$T$1,B185,$I$2:$T$2))*V188+SUMIF($I$1:$T$1,B185,$I$2:$T$2)*W188</f>
        <v>0</v>
      </c>
      <c r="X189" s="404">
        <f>(1-SUMIF($I$1:$T$1,B185,$I$2:$T$2))*W188+SUMIF($I$1:$T$1,B185,$I$2:$T$2)*X188</f>
        <v>0</v>
      </c>
      <c r="Y189" s="386">
        <f>(1-SUMIF($I$1:$T$1,B185,$I$2:$T$2))*X188+SUMIF($I$1:$T$1,B185,$I$2:$T$2)*Y188</f>
        <v>0</v>
      </c>
      <c r="Z189" s="399">
        <f>(1-SUMIF($I$1:$T$1,B185,$I$2:$T$2))*Y188+SUMIF($I$1:$T$1,B185,$I$2:$T$2)*Z188</f>
        <v>0</v>
      </c>
      <c r="AA189" s="399">
        <f>(1-SUMIF($I$1:$T$1,B185,$I$2:$T$2))*Z188+SUMIF($I$1:$T$1,B185,$I$2:$T$2)*AA188</f>
        <v>0</v>
      </c>
      <c r="AB189" s="404">
        <f>(1-SUMIF($I$1:$T$1,B185,$I$2:$T$2))*AA188+SUMIF($I$1:$T$1,B185,$I$2:$T$2)*AB188</f>
        <v>0</v>
      </c>
      <c r="AC189" s="386">
        <f>(1-SUMIF($I$1:$T$1,B185,$I$2:$T$2))*AB188+SUMIF($I$1:$T$1,B185,$I$2:$T$2)*AC188</f>
        <v>0</v>
      </c>
      <c r="AD189" s="399">
        <f>(1-SUMIF($I$1:$T$1,B185,$I$2:$T$2))*AC188+SUMIF($I$1:$T$1,B185,$I$2:$T$2)*AD188</f>
        <v>0</v>
      </c>
      <c r="AE189" s="399">
        <f>(1-SUMIF($I$1:$T$1,B185,$I$2:$T$2))*AD188+SUMIF($I$1:$T$1,B185,$I$2:$T$2)*AE188</f>
        <v>0</v>
      </c>
      <c r="AF189" s="404">
        <f>(1-SUMIF($I$1:$T$1,B185,$I$2:$T$2))*AE188+SUMIF($I$1:$T$1,B185,$I$2:$T$2)*AF188</f>
        <v>0</v>
      </c>
      <c r="AG189" s="386">
        <f>(1-SUMIF($I$1:$T$1,B185,$I$2:$T$2))*AF188+SUMIF($I$1:$T$1,B185,$I$2:$T$2)*AG188</f>
        <v>0</v>
      </c>
      <c r="AH189" s="399">
        <f>(1-SUMIF($I$1:$T$1,B185,$I$2:$T$2))*AG188+SUMIF($I$1:$T$1,B185,$I$2:$T$2)*AH188</f>
        <v>0</v>
      </c>
      <c r="AI189" s="399">
        <f>(1-SUMIF($I$1:$T$1,B185,$I$2:$T$2))*AH188+SUMIF($I$1:$T$1,B185,$I$2:$T$2)*AI188</f>
        <v>0</v>
      </c>
      <c r="AJ189" s="404">
        <f>(1-SUMIF($I$1:$T$1,B185,$I$2:$T$2))*AI188+SUMIF($I$1:$T$1,B185,$I$2:$T$2)*AJ188</f>
        <v>0</v>
      </c>
      <c r="AK189" s="386">
        <f>(1-SUMIF($I$1:$T$1,B185,$I$2:$T$2))*AJ188+SUMIF($I$1:$T$1,B185,$I$2:$T$2)*AK188</f>
        <v>0</v>
      </c>
      <c r="AL189" s="399">
        <f>(1-SUMIF($I$1:$T$1,B185,$I$2:$T$2))*AK188+SUMIF($I$1:$T$1,B185,$I$2:$T$2)*AL188</f>
        <v>0</v>
      </c>
      <c r="AM189" s="399">
        <f>(1-SUMIF($I$1:$T$1,B185,$I$2:$T$2))*AL188+SUMIF($I$1:$T$1,B185,$I$2:$T$2)*AM188</f>
        <v>0</v>
      </c>
      <c r="AN189" s="404">
        <f>(1-SUMIF($I$1:$T$1,B185,$I$2:$T$2))*AM188+SUMIF($I$1:$T$1,B185,$I$2:$T$2)*AN188</f>
        <v>0</v>
      </c>
      <c r="AO189" s="386">
        <f>(1-SUMIF($I$1:$T$1,B185,$I$2:$T$2))*AN188+SUMIF($I$1:$T$1,B185,$I$2:$T$2)*AO188</f>
        <v>0</v>
      </c>
      <c r="AP189" s="399">
        <f>(1-SUMIF($I$1:$T$1,B185,$I$2:$T$2))*AO188+SUMIF($I$1:$T$1,B185,$I$2:$T$2)*AP188</f>
        <v>0</v>
      </c>
      <c r="AQ189" s="399">
        <f>(1-SUMIF($I$1:$T$1,B185,$I$2:$T$2))*AP188+SUMIF($I$1:$T$1,B185,$I$2:$T$2)*AQ188</f>
        <v>0</v>
      </c>
      <c r="AR189" s="404">
        <f>(1-SUMIF($I$1:$T$1,B185,$I$2:$T$2))*AQ188+SUMIF($I$1:$T$1,B185,$I$2:$T$2)*AR188</f>
        <v>0</v>
      </c>
      <c r="AS189" s="386">
        <f>(1-SUMIF($I$1:$T$1,B185,$I$2:$T$2))*AR188+SUMIF($I$1:$T$1,B185,$I$2:$T$2)*AS188</f>
        <v>0</v>
      </c>
      <c r="AT189" s="399">
        <f>(1-SUMIF($I$1:$T$1,B185,$I$2:$T$2))*AS188+SUMIF($I$1:$T$1,B185,$I$2:$T$2)*AT188</f>
        <v>0</v>
      </c>
      <c r="AU189" s="399">
        <f>(1-SUMIF($I$1:$T$1,B185,$I$2:$T$2))*AT188+SUMIF($I$1:$T$1,B185,$I$2:$T$2)*AU188</f>
        <v>0</v>
      </c>
      <c r="AV189" s="404">
        <f>(1-SUMIF($I$1:$T$1,B185,$I$2:$T$2))*AU188+SUMIF($I$1:$T$1,B185,$I$2:$T$2)*AV188</f>
        <v>0</v>
      </c>
      <c r="AW189" s="424">
        <f t="shared" si="143"/>
        <v>0</v>
      </c>
    </row>
    <row r="190" spans="1:49" s="424" customFormat="1" ht="13.5" customHeight="1" outlineLevel="1">
      <c r="A190" s="1947"/>
      <c r="B190" s="1949">
        <f>'9.项目开发计划表'!C25</f>
        <v>0</v>
      </c>
      <c r="C190" s="456" t="s">
        <v>880</v>
      </c>
      <c r="D190" s="457">
        <f>IF(D192=0,0,D193/D192*10000)</f>
        <v>0</v>
      </c>
      <c r="E190" s="505"/>
      <c r="F190" s="506"/>
      <c r="G190" s="506"/>
      <c r="H190" s="507"/>
      <c r="I190" s="505"/>
      <c r="J190" s="506"/>
      <c r="K190" s="506"/>
      <c r="L190" s="507"/>
      <c r="M190" s="505"/>
      <c r="N190" s="506"/>
      <c r="O190" s="506"/>
      <c r="P190" s="507"/>
      <c r="Q190" s="505"/>
      <c r="R190" s="506"/>
      <c r="S190" s="506"/>
      <c r="T190" s="507"/>
      <c r="U190" s="505"/>
      <c r="V190" s="506"/>
      <c r="W190" s="506"/>
      <c r="X190" s="507"/>
      <c r="Y190" s="505"/>
      <c r="Z190" s="506"/>
      <c r="AA190" s="506"/>
      <c r="AB190" s="507"/>
      <c r="AC190" s="505"/>
      <c r="AD190" s="506"/>
      <c r="AE190" s="506"/>
      <c r="AF190" s="507"/>
      <c r="AG190" s="505"/>
      <c r="AH190" s="506"/>
      <c r="AI190" s="506"/>
      <c r="AJ190" s="507"/>
      <c r="AK190" s="505"/>
      <c r="AL190" s="506"/>
      <c r="AM190" s="506"/>
      <c r="AN190" s="507"/>
      <c r="AO190" s="505"/>
      <c r="AP190" s="506"/>
      <c r="AQ190" s="506"/>
      <c r="AR190" s="507"/>
      <c r="AS190" s="505"/>
      <c r="AT190" s="506"/>
      <c r="AU190" s="506"/>
      <c r="AV190" s="507"/>
      <c r="AW190" s="424">
        <f>B190</f>
        <v>0</v>
      </c>
    </row>
    <row r="191" spans="1:49" ht="13.5" customHeight="1" outlineLevel="1">
      <c r="A191" s="1947"/>
      <c r="B191" s="1949"/>
      <c r="C191" s="461" t="s">
        <v>881</v>
      </c>
      <c r="D191" s="462">
        <f t="shared" ref="D191:D194" si="155">SUM(E191:AV191)</f>
        <v>0</v>
      </c>
      <c r="E191" s="494"/>
      <c r="F191" s="491"/>
      <c r="G191" s="491"/>
      <c r="H191" s="493"/>
      <c r="I191" s="494"/>
      <c r="J191" s="491"/>
      <c r="K191" s="491"/>
      <c r="L191" s="493"/>
      <c r="M191" s="494"/>
      <c r="N191" s="491"/>
      <c r="O191" s="491"/>
      <c r="P191" s="493"/>
      <c r="Q191" s="494"/>
      <c r="R191" s="491"/>
      <c r="S191" s="491"/>
      <c r="T191" s="493"/>
      <c r="U191" s="494"/>
      <c r="V191" s="491"/>
      <c r="W191" s="491"/>
      <c r="X191" s="493"/>
      <c r="Y191" s="494"/>
      <c r="Z191" s="491"/>
      <c r="AA191" s="491"/>
      <c r="AB191" s="493"/>
      <c r="AC191" s="494"/>
      <c r="AD191" s="491"/>
      <c r="AE191" s="491"/>
      <c r="AF191" s="493"/>
      <c r="AG191" s="494"/>
      <c r="AH191" s="491"/>
      <c r="AI191" s="491"/>
      <c r="AJ191" s="493"/>
      <c r="AK191" s="494"/>
      <c r="AL191" s="491"/>
      <c r="AM191" s="491"/>
      <c r="AN191" s="493"/>
      <c r="AO191" s="494"/>
      <c r="AP191" s="491"/>
      <c r="AQ191" s="491"/>
      <c r="AR191" s="493"/>
      <c r="AS191" s="494"/>
      <c r="AT191" s="491"/>
      <c r="AU191" s="491"/>
      <c r="AV191" s="493"/>
      <c r="AW191" s="424">
        <f>AW190</f>
        <v>0</v>
      </c>
    </row>
    <row r="192" spans="1:49" s="424" customFormat="1" ht="13.5" customHeight="1" outlineLevel="1">
      <c r="A192" s="1947"/>
      <c r="B192" s="1949"/>
      <c r="C192" s="461" t="s">
        <v>682</v>
      </c>
      <c r="D192" s="466">
        <f t="shared" si="155"/>
        <v>0</v>
      </c>
      <c r="E192" s="382">
        <f>E191*'9.项目开发计划表'!$G$25</f>
        <v>0</v>
      </c>
      <c r="F192" s="397">
        <f>F191*'9.项目开发计划表'!$G$25</f>
        <v>0</v>
      </c>
      <c r="G192" s="397">
        <f>G191*'9.项目开发计划表'!$G$25</f>
        <v>0</v>
      </c>
      <c r="H192" s="467">
        <f>H191*'9.项目开发计划表'!$G$25</f>
        <v>0</v>
      </c>
      <c r="I192" s="382">
        <f>I191*'9.项目开发计划表'!$G$25</f>
        <v>0</v>
      </c>
      <c r="J192" s="397">
        <f>J191*'9.项目开发计划表'!$G$25</f>
        <v>0</v>
      </c>
      <c r="K192" s="397">
        <f>K191*'9.项目开发计划表'!$G$25</f>
        <v>0</v>
      </c>
      <c r="L192" s="467">
        <f>L191*'9.项目开发计划表'!$G$25</f>
        <v>0</v>
      </c>
      <c r="M192" s="382">
        <f>M191*'9.项目开发计划表'!$G$25</f>
        <v>0</v>
      </c>
      <c r="N192" s="397">
        <f>N191*'9.项目开发计划表'!$G$25</f>
        <v>0</v>
      </c>
      <c r="O192" s="397">
        <f>O191*'9.项目开发计划表'!$G$25</f>
        <v>0</v>
      </c>
      <c r="P192" s="467">
        <f>P191*'9.项目开发计划表'!$G$25</f>
        <v>0</v>
      </c>
      <c r="Q192" s="382">
        <f>Q191*'9.项目开发计划表'!$G$25</f>
        <v>0</v>
      </c>
      <c r="R192" s="397">
        <f>R191*'9.项目开发计划表'!$G$25</f>
        <v>0</v>
      </c>
      <c r="S192" s="397">
        <f>S191*'9.项目开发计划表'!$G$25</f>
        <v>0</v>
      </c>
      <c r="T192" s="467">
        <f>T191*'9.项目开发计划表'!$G$25</f>
        <v>0</v>
      </c>
      <c r="U192" s="382">
        <f>U191*'9.项目开发计划表'!$G$25</f>
        <v>0</v>
      </c>
      <c r="V192" s="397">
        <f>V191*'9.项目开发计划表'!$G$25</f>
        <v>0</v>
      </c>
      <c r="W192" s="397">
        <f>W191*'9.项目开发计划表'!$G$25</f>
        <v>0</v>
      </c>
      <c r="X192" s="467">
        <f>X191*'9.项目开发计划表'!$G$25</f>
        <v>0</v>
      </c>
      <c r="Y192" s="382">
        <f>Y191*'9.项目开发计划表'!$G$25</f>
        <v>0</v>
      </c>
      <c r="Z192" s="397">
        <f>Z191*'9.项目开发计划表'!$G$25</f>
        <v>0</v>
      </c>
      <c r="AA192" s="397">
        <f>AA191*'9.项目开发计划表'!$G$25</f>
        <v>0</v>
      </c>
      <c r="AB192" s="467">
        <f>AB191*'9.项目开发计划表'!$G$25</f>
        <v>0</v>
      </c>
      <c r="AC192" s="382">
        <f>AC191*'9.项目开发计划表'!$G$25</f>
        <v>0</v>
      </c>
      <c r="AD192" s="397">
        <f>AD191*'9.项目开发计划表'!$G$25</f>
        <v>0</v>
      </c>
      <c r="AE192" s="397">
        <f>AE191*'9.项目开发计划表'!$G$25</f>
        <v>0</v>
      </c>
      <c r="AF192" s="467">
        <f>AF191*'9.项目开发计划表'!$G$25</f>
        <v>0</v>
      </c>
      <c r="AG192" s="382">
        <f>AG191*'9.项目开发计划表'!$G$25</f>
        <v>0</v>
      </c>
      <c r="AH192" s="397">
        <f>AH191*'9.项目开发计划表'!$G$25</f>
        <v>0</v>
      </c>
      <c r="AI192" s="397">
        <f>AI191*'9.项目开发计划表'!$G$25</f>
        <v>0</v>
      </c>
      <c r="AJ192" s="467">
        <f>AJ191*'9.项目开发计划表'!$G$25</f>
        <v>0</v>
      </c>
      <c r="AK192" s="382">
        <f>AK191*'9.项目开发计划表'!$G$25</f>
        <v>0</v>
      </c>
      <c r="AL192" s="397">
        <f>AL191*'9.项目开发计划表'!$G$25</f>
        <v>0</v>
      </c>
      <c r="AM192" s="397">
        <f>AM191*'9.项目开发计划表'!$G$25</f>
        <v>0</v>
      </c>
      <c r="AN192" s="467">
        <f>AN191*'9.项目开发计划表'!$G$25</f>
        <v>0</v>
      </c>
      <c r="AO192" s="382">
        <f>AO191*'9.项目开发计划表'!$G$25</f>
        <v>0</v>
      </c>
      <c r="AP192" s="397">
        <f>AP191*'9.项目开发计划表'!$G$25</f>
        <v>0</v>
      </c>
      <c r="AQ192" s="397">
        <f>AQ191*'9.项目开发计划表'!$G$25</f>
        <v>0</v>
      </c>
      <c r="AR192" s="467">
        <f>AR191*'9.项目开发计划表'!$G$25</f>
        <v>0</v>
      </c>
      <c r="AS192" s="382">
        <f>AS191*'9.项目开发计划表'!$G$25</f>
        <v>0</v>
      </c>
      <c r="AT192" s="397">
        <f>AT191*'9.项目开发计划表'!$G$25</f>
        <v>0</v>
      </c>
      <c r="AU192" s="397">
        <f>AU191*'9.项目开发计划表'!$G$25</f>
        <v>0</v>
      </c>
      <c r="AV192" s="467">
        <f>AV191*'9.项目开发计划表'!$G$25</f>
        <v>0</v>
      </c>
      <c r="AW192" s="424">
        <f t="shared" si="143"/>
        <v>0</v>
      </c>
    </row>
    <row r="193" spans="1:49" s="424" customFormat="1" ht="13.5" customHeight="1" outlineLevel="1">
      <c r="A193" s="1947"/>
      <c r="B193" s="1949"/>
      <c r="C193" s="461" t="s">
        <v>882</v>
      </c>
      <c r="D193" s="466">
        <f t="shared" si="155"/>
        <v>0</v>
      </c>
      <c r="E193" s="382">
        <f t="shared" ref="E193:AV193" si="156">E190*E192/10000</f>
        <v>0</v>
      </c>
      <c r="F193" s="397">
        <f t="shared" si="156"/>
        <v>0</v>
      </c>
      <c r="G193" s="397">
        <f t="shared" si="156"/>
        <v>0</v>
      </c>
      <c r="H193" s="467">
        <f t="shared" si="156"/>
        <v>0</v>
      </c>
      <c r="I193" s="382">
        <f t="shared" si="156"/>
        <v>0</v>
      </c>
      <c r="J193" s="397">
        <f t="shared" si="156"/>
        <v>0</v>
      </c>
      <c r="K193" s="397">
        <f t="shared" si="156"/>
        <v>0</v>
      </c>
      <c r="L193" s="467">
        <f t="shared" si="156"/>
        <v>0</v>
      </c>
      <c r="M193" s="382">
        <f t="shared" si="156"/>
        <v>0</v>
      </c>
      <c r="N193" s="397">
        <f t="shared" si="156"/>
        <v>0</v>
      </c>
      <c r="O193" s="397">
        <f t="shared" si="156"/>
        <v>0</v>
      </c>
      <c r="P193" s="467">
        <f t="shared" si="156"/>
        <v>0</v>
      </c>
      <c r="Q193" s="382">
        <f t="shared" si="156"/>
        <v>0</v>
      </c>
      <c r="R193" s="397">
        <f t="shared" si="156"/>
        <v>0</v>
      </c>
      <c r="S193" s="397">
        <f t="shared" si="156"/>
        <v>0</v>
      </c>
      <c r="T193" s="467">
        <f t="shared" si="156"/>
        <v>0</v>
      </c>
      <c r="U193" s="382">
        <f t="shared" si="156"/>
        <v>0</v>
      </c>
      <c r="V193" s="397">
        <f t="shared" si="156"/>
        <v>0</v>
      </c>
      <c r="W193" s="397">
        <f t="shared" si="156"/>
        <v>0</v>
      </c>
      <c r="X193" s="467">
        <f t="shared" si="156"/>
        <v>0</v>
      </c>
      <c r="Y193" s="382">
        <f t="shared" si="156"/>
        <v>0</v>
      </c>
      <c r="Z193" s="397">
        <f t="shared" si="156"/>
        <v>0</v>
      </c>
      <c r="AA193" s="397">
        <f t="shared" si="156"/>
        <v>0</v>
      </c>
      <c r="AB193" s="467">
        <f t="shared" si="156"/>
        <v>0</v>
      </c>
      <c r="AC193" s="382">
        <f t="shared" si="156"/>
        <v>0</v>
      </c>
      <c r="AD193" s="397">
        <f t="shared" si="156"/>
        <v>0</v>
      </c>
      <c r="AE193" s="397">
        <f t="shared" si="156"/>
        <v>0</v>
      </c>
      <c r="AF193" s="467">
        <f t="shared" si="156"/>
        <v>0</v>
      </c>
      <c r="AG193" s="382">
        <f t="shared" si="156"/>
        <v>0</v>
      </c>
      <c r="AH193" s="397">
        <f t="shared" si="156"/>
        <v>0</v>
      </c>
      <c r="AI193" s="397">
        <f t="shared" si="156"/>
        <v>0</v>
      </c>
      <c r="AJ193" s="467">
        <f t="shared" si="156"/>
        <v>0</v>
      </c>
      <c r="AK193" s="382">
        <f t="shared" si="156"/>
        <v>0</v>
      </c>
      <c r="AL193" s="397">
        <f t="shared" si="156"/>
        <v>0</v>
      </c>
      <c r="AM193" s="397">
        <f t="shared" si="156"/>
        <v>0</v>
      </c>
      <c r="AN193" s="467">
        <f t="shared" si="156"/>
        <v>0</v>
      </c>
      <c r="AO193" s="382">
        <f t="shared" si="156"/>
        <v>0</v>
      </c>
      <c r="AP193" s="397">
        <f t="shared" si="156"/>
        <v>0</v>
      </c>
      <c r="AQ193" s="397">
        <f t="shared" si="156"/>
        <v>0</v>
      </c>
      <c r="AR193" s="467">
        <f t="shared" si="156"/>
        <v>0</v>
      </c>
      <c r="AS193" s="382">
        <f t="shared" si="156"/>
        <v>0</v>
      </c>
      <c r="AT193" s="397">
        <f t="shared" si="156"/>
        <v>0</v>
      </c>
      <c r="AU193" s="397">
        <f t="shared" si="156"/>
        <v>0</v>
      </c>
      <c r="AV193" s="467">
        <f t="shared" si="156"/>
        <v>0</v>
      </c>
      <c r="AW193" s="424">
        <f t="shared" si="143"/>
        <v>0</v>
      </c>
    </row>
    <row r="194" spans="1:49" s="424" customFormat="1" ht="13.5" customHeight="1" outlineLevel="1">
      <c r="A194" s="1947"/>
      <c r="B194" s="1949"/>
      <c r="C194" s="508" t="s">
        <v>450</v>
      </c>
      <c r="D194" s="468">
        <f t="shared" si="155"/>
        <v>0</v>
      </c>
      <c r="E194" s="386">
        <f>SUMIF($I$1:$T$1,B190,$I$2:$T$2)*E193</f>
        <v>0</v>
      </c>
      <c r="F194" s="399">
        <f>(1-SUMIF($I$1:$T$1,B190,$I$2:$T$2))*E193+SUMIF($I$1:$T$1,B190,$I$2:$T$2)*F193</f>
        <v>0</v>
      </c>
      <c r="G194" s="399">
        <f>(1-SUMIF($I$1:$T$1,B190,$I$2:$T$2))*F193+SUMIF($I$1:$T$1,B190,$I$2:$T$2)*G193</f>
        <v>0</v>
      </c>
      <c r="H194" s="404">
        <f>(1-SUMIF($I$1:$T$1,B190,$I$2:$T$2))*G193+SUMIF($I$1:$T$1,B190,$I$2:$T$2)*H193</f>
        <v>0</v>
      </c>
      <c r="I194" s="386">
        <f>(1-SUMIF($I$1:$T$1,B190,$I$2:$T$2))*H193+SUMIF($I$1:$T$1,B190,$I$2:$T$2)*I193</f>
        <v>0</v>
      </c>
      <c r="J194" s="399">
        <f>(1-SUMIF($I$1:$T$1,B190,$I$2:$T$2))*I193+SUMIF($I$1:$T$1,B190,$I$2:$T$2)*J193</f>
        <v>0</v>
      </c>
      <c r="K194" s="399">
        <f>(1-SUMIF($I$1:$T$1,B190,$I$2:$T$2))*J193+SUMIF($I$1:$T$1,B190,$I$2:$T$2)*K193</f>
        <v>0</v>
      </c>
      <c r="L194" s="404">
        <f>(1-SUMIF($I$1:$T$1,B190,$I$2:$T$2))*K193+SUMIF($I$1:$T$1,B190,$I$2:$T$2)*L193</f>
        <v>0</v>
      </c>
      <c r="M194" s="386">
        <f>(1-SUMIF($I$1:$T$1,B190,$I$2:$T$2))*L193+SUMIF($I$1:$T$1,B190,$I$2:$T$2)*M193</f>
        <v>0</v>
      </c>
      <c r="N194" s="399">
        <f>(1-SUMIF($I$1:$T$1,B190,$I$2:$T$2))*M193+SUMIF($I$1:$T$1,B190,$I$2:$T$2)*N193</f>
        <v>0</v>
      </c>
      <c r="O194" s="399">
        <f>(1-SUMIF($I$1:$T$1,B190,$I$2:$T$2))*N193+SUMIF($I$1:$T$1,B190,$I$2:$T$2)*O193</f>
        <v>0</v>
      </c>
      <c r="P194" s="404">
        <f>(1-SUMIF($I$1:$T$1,B190,$I$2:$T$2))*O193+SUMIF($I$1:$T$1,B190,$I$2:$T$2)*P193</f>
        <v>0</v>
      </c>
      <c r="Q194" s="386">
        <f>(1-SUMIF($I$1:$T$1,B190,$I$2:$T$2))*P193+SUMIF($I$1:$T$1,B190,$I$2:$T$2)*Q193</f>
        <v>0</v>
      </c>
      <c r="R194" s="399">
        <f>(1-SUMIF($I$1:$T$1,B190,$I$2:$T$2))*Q193+SUMIF($I$1:$T$1,B190,$I$2:$T$2)*R193</f>
        <v>0</v>
      </c>
      <c r="S194" s="399">
        <f>(1-SUMIF($I$1:$T$1,B190,$I$2:$T$2))*R193+SUMIF($I$1:$T$1,B190,$I$2:$T$2)*S193</f>
        <v>0</v>
      </c>
      <c r="T194" s="404">
        <f>(1-SUMIF($I$1:$T$1,B190,$I$2:$T$2))*S193+SUMIF($I$1:$T$1,B190,$I$2:$T$2)*T193</f>
        <v>0</v>
      </c>
      <c r="U194" s="386">
        <f>(1-SUMIF($I$1:$T$1,B190,$I$2:$T$2))*T193+SUMIF($I$1:$T$1,B190,$I$2:$T$2)*U193</f>
        <v>0</v>
      </c>
      <c r="V194" s="399">
        <f>(1-SUMIF($I$1:$T$1,B190,$I$2:$T$2))*U193+SUMIF($I$1:$T$1,B190,$I$2:$T$2)*V193</f>
        <v>0</v>
      </c>
      <c r="W194" s="399">
        <f>(1-SUMIF($I$1:$T$1,B190,$I$2:$T$2))*V193+SUMIF($I$1:$T$1,B190,$I$2:$T$2)*W193</f>
        <v>0</v>
      </c>
      <c r="X194" s="404">
        <f>(1-SUMIF($I$1:$T$1,B190,$I$2:$T$2))*W193+SUMIF($I$1:$T$1,B190,$I$2:$T$2)*X193</f>
        <v>0</v>
      </c>
      <c r="Y194" s="386">
        <f>(1-SUMIF($I$1:$T$1,B190,$I$2:$T$2))*X193+SUMIF($I$1:$T$1,B190,$I$2:$T$2)*Y193</f>
        <v>0</v>
      </c>
      <c r="Z194" s="399">
        <f>(1-SUMIF($I$1:$T$1,B190,$I$2:$T$2))*Y193+SUMIF($I$1:$T$1,B190,$I$2:$T$2)*Z193</f>
        <v>0</v>
      </c>
      <c r="AA194" s="399">
        <f>(1-SUMIF($I$1:$T$1,B190,$I$2:$T$2))*Z193+SUMIF($I$1:$T$1,B190,$I$2:$T$2)*AA193</f>
        <v>0</v>
      </c>
      <c r="AB194" s="404">
        <f>(1-SUMIF($I$1:$T$1,B190,$I$2:$T$2))*AA193+SUMIF($I$1:$T$1,B190,$I$2:$T$2)*AB193</f>
        <v>0</v>
      </c>
      <c r="AC194" s="386">
        <f>(1-SUMIF($I$1:$T$1,B190,$I$2:$T$2))*AB193+SUMIF($I$1:$T$1,B190,$I$2:$T$2)*AC193</f>
        <v>0</v>
      </c>
      <c r="AD194" s="399">
        <f>(1-SUMIF($I$1:$T$1,B190,$I$2:$T$2))*AC193+SUMIF($I$1:$T$1,B190,$I$2:$T$2)*AD193</f>
        <v>0</v>
      </c>
      <c r="AE194" s="399">
        <f>(1-SUMIF($I$1:$T$1,B190,$I$2:$T$2))*AD193+SUMIF($I$1:$T$1,B190,$I$2:$T$2)*AE193</f>
        <v>0</v>
      </c>
      <c r="AF194" s="404">
        <f>(1-SUMIF($I$1:$T$1,B190,$I$2:$T$2))*AE193+SUMIF($I$1:$T$1,B190,$I$2:$T$2)*AF193</f>
        <v>0</v>
      </c>
      <c r="AG194" s="386">
        <f>(1-SUMIF($I$1:$T$1,B190,$I$2:$T$2))*AF193+SUMIF($I$1:$T$1,B190,$I$2:$T$2)*AG193</f>
        <v>0</v>
      </c>
      <c r="AH194" s="399">
        <f>(1-SUMIF($I$1:$T$1,B190,$I$2:$T$2))*AG193+SUMIF($I$1:$T$1,B190,$I$2:$T$2)*AH193</f>
        <v>0</v>
      </c>
      <c r="AI194" s="399">
        <f>(1-SUMIF($I$1:$T$1,B190,$I$2:$T$2))*AH193+SUMIF($I$1:$T$1,B190,$I$2:$T$2)*AI193</f>
        <v>0</v>
      </c>
      <c r="AJ194" s="404">
        <f>(1-SUMIF($I$1:$T$1,B190,$I$2:$T$2))*AI193+SUMIF($I$1:$T$1,B190,$I$2:$T$2)*AJ193</f>
        <v>0</v>
      </c>
      <c r="AK194" s="386">
        <f>(1-SUMIF($I$1:$T$1,B190,$I$2:$T$2))*AJ193+SUMIF($I$1:$T$1,B190,$I$2:$T$2)*AK193</f>
        <v>0</v>
      </c>
      <c r="AL194" s="399">
        <f>(1-SUMIF($I$1:$T$1,B190,$I$2:$T$2))*AK193+SUMIF($I$1:$T$1,B190,$I$2:$T$2)*AL193</f>
        <v>0</v>
      </c>
      <c r="AM194" s="399">
        <f>(1-SUMIF($I$1:$T$1,B190,$I$2:$T$2))*AL193+SUMIF($I$1:$T$1,B190,$I$2:$T$2)*AM193</f>
        <v>0</v>
      </c>
      <c r="AN194" s="404">
        <f>(1-SUMIF($I$1:$T$1,B190,$I$2:$T$2))*AM193+SUMIF($I$1:$T$1,B190,$I$2:$T$2)*AN193</f>
        <v>0</v>
      </c>
      <c r="AO194" s="386">
        <f>(1-SUMIF($I$1:$T$1,B190,$I$2:$T$2))*AN193+SUMIF($I$1:$T$1,B190,$I$2:$T$2)*AO193</f>
        <v>0</v>
      </c>
      <c r="AP194" s="399">
        <f>(1-SUMIF($I$1:$T$1,B190,$I$2:$T$2))*AO193+SUMIF($I$1:$T$1,B190,$I$2:$T$2)*AP193</f>
        <v>0</v>
      </c>
      <c r="AQ194" s="399">
        <f>(1-SUMIF($I$1:$T$1,B190,$I$2:$T$2))*AP193+SUMIF($I$1:$T$1,B190,$I$2:$T$2)*AQ193</f>
        <v>0</v>
      </c>
      <c r="AR194" s="404">
        <f>(1-SUMIF($I$1:$T$1,B190,$I$2:$T$2))*AQ193+SUMIF($I$1:$T$1,B190,$I$2:$T$2)*AR193</f>
        <v>0</v>
      </c>
      <c r="AS194" s="386">
        <f>(1-SUMIF($I$1:$T$1,B190,$I$2:$T$2))*AR193+SUMIF($I$1:$T$1,B190,$I$2:$T$2)*AS193</f>
        <v>0</v>
      </c>
      <c r="AT194" s="399">
        <f>(1-SUMIF($I$1:$T$1,B190,$I$2:$T$2))*AS193+SUMIF($I$1:$T$1,B190,$I$2:$T$2)*AT193</f>
        <v>0</v>
      </c>
      <c r="AU194" s="399">
        <f>(1-SUMIF($I$1:$T$1,B190,$I$2:$T$2))*AT193+SUMIF($I$1:$T$1,B190,$I$2:$T$2)*AU193</f>
        <v>0</v>
      </c>
      <c r="AV194" s="404">
        <f>(1-SUMIF($I$1:$T$1,B190,$I$2:$T$2))*AU193+SUMIF($I$1:$T$1,B190,$I$2:$T$2)*AV193</f>
        <v>0</v>
      </c>
      <c r="AW194" s="424">
        <f t="shared" si="143"/>
        <v>0</v>
      </c>
    </row>
    <row r="195" spans="1:49" s="424" customFormat="1" ht="13.5" customHeight="1" outlineLevel="1">
      <c r="A195" s="1947"/>
      <c r="B195" s="1949">
        <f>'9.项目开发计划表'!C26</f>
        <v>0</v>
      </c>
      <c r="C195" s="456" t="s">
        <v>880</v>
      </c>
      <c r="D195" s="457">
        <f>IF(D197=0,0,D198/D197*10000)</f>
        <v>0</v>
      </c>
      <c r="E195" s="505"/>
      <c r="F195" s="506"/>
      <c r="G195" s="506"/>
      <c r="H195" s="507"/>
      <c r="I195" s="505"/>
      <c r="J195" s="506"/>
      <c r="K195" s="506"/>
      <c r="L195" s="507"/>
      <c r="M195" s="505"/>
      <c r="N195" s="506"/>
      <c r="O195" s="506"/>
      <c r="P195" s="507"/>
      <c r="Q195" s="505"/>
      <c r="R195" s="506"/>
      <c r="S195" s="506"/>
      <c r="T195" s="507"/>
      <c r="U195" s="505"/>
      <c r="V195" s="506"/>
      <c r="W195" s="506"/>
      <c r="X195" s="507"/>
      <c r="Y195" s="505"/>
      <c r="Z195" s="506"/>
      <c r="AA195" s="506"/>
      <c r="AB195" s="507"/>
      <c r="AC195" s="505"/>
      <c r="AD195" s="506"/>
      <c r="AE195" s="506"/>
      <c r="AF195" s="507"/>
      <c r="AG195" s="505"/>
      <c r="AH195" s="506"/>
      <c r="AI195" s="506"/>
      <c r="AJ195" s="507"/>
      <c r="AK195" s="505"/>
      <c r="AL195" s="506"/>
      <c r="AM195" s="506"/>
      <c r="AN195" s="507"/>
      <c r="AO195" s="505"/>
      <c r="AP195" s="506"/>
      <c r="AQ195" s="506"/>
      <c r="AR195" s="507"/>
      <c r="AS195" s="505"/>
      <c r="AT195" s="506"/>
      <c r="AU195" s="506"/>
      <c r="AV195" s="507"/>
      <c r="AW195" s="424">
        <f>B195</f>
        <v>0</v>
      </c>
    </row>
    <row r="196" spans="1:49" ht="13.5" customHeight="1" outlineLevel="1">
      <c r="A196" s="1947"/>
      <c r="B196" s="1949"/>
      <c r="C196" s="461" t="s">
        <v>881</v>
      </c>
      <c r="D196" s="462">
        <f t="shared" ref="D196:D199" si="157">SUM(E196:AV196)</f>
        <v>0</v>
      </c>
      <c r="E196" s="494"/>
      <c r="F196" s="491"/>
      <c r="G196" s="491"/>
      <c r="H196" s="493"/>
      <c r="I196" s="494"/>
      <c r="J196" s="491"/>
      <c r="K196" s="491"/>
      <c r="L196" s="493"/>
      <c r="M196" s="494"/>
      <c r="N196" s="491"/>
      <c r="O196" s="491"/>
      <c r="P196" s="493"/>
      <c r="Q196" s="494"/>
      <c r="R196" s="491"/>
      <c r="S196" s="491"/>
      <c r="T196" s="493"/>
      <c r="U196" s="494"/>
      <c r="V196" s="491"/>
      <c r="W196" s="491"/>
      <c r="X196" s="493"/>
      <c r="Y196" s="494"/>
      <c r="Z196" s="491"/>
      <c r="AA196" s="491"/>
      <c r="AB196" s="493"/>
      <c r="AC196" s="494"/>
      <c r="AD196" s="491"/>
      <c r="AE196" s="491"/>
      <c r="AF196" s="493"/>
      <c r="AG196" s="494"/>
      <c r="AH196" s="491"/>
      <c r="AI196" s="491"/>
      <c r="AJ196" s="493"/>
      <c r="AK196" s="494"/>
      <c r="AL196" s="491"/>
      <c r="AM196" s="491"/>
      <c r="AN196" s="493"/>
      <c r="AO196" s="494"/>
      <c r="AP196" s="491"/>
      <c r="AQ196" s="491"/>
      <c r="AR196" s="493"/>
      <c r="AS196" s="494"/>
      <c r="AT196" s="491"/>
      <c r="AU196" s="491"/>
      <c r="AV196" s="493"/>
      <c r="AW196" s="424">
        <f>AW195</f>
        <v>0</v>
      </c>
    </row>
    <row r="197" spans="1:49" s="424" customFormat="1" ht="13.5" customHeight="1" outlineLevel="1">
      <c r="A197" s="1947"/>
      <c r="B197" s="1949"/>
      <c r="C197" s="461" t="s">
        <v>682</v>
      </c>
      <c r="D197" s="466">
        <f t="shared" si="157"/>
        <v>0</v>
      </c>
      <c r="E197" s="382">
        <f>E196*'9.项目开发计划表'!$G$26</f>
        <v>0</v>
      </c>
      <c r="F197" s="397">
        <f>F196*'9.项目开发计划表'!$G$26</f>
        <v>0</v>
      </c>
      <c r="G197" s="397">
        <f>G196*'9.项目开发计划表'!$G$26</f>
        <v>0</v>
      </c>
      <c r="H197" s="467">
        <f>H196*'9.项目开发计划表'!$G$26</f>
        <v>0</v>
      </c>
      <c r="I197" s="382">
        <f>I196*'9.项目开发计划表'!$G$26</f>
        <v>0</v>
      </c>
      <c r="J197" s="397">
        <f>J196*'9.项目开发计划表'!$G$26</f>
        <v>0</v>
      </c>
      <c r="K197" s="397">
        <f>K196*'9.项目开发计划表'!$G$26</f>
        <v>0</v>
      </c>
      <c r="L197" s="467">
        <f>L196*'9.项目开发计划表'!$G$26</f>
        <v>0</v>
      </c>
      <c r="M197" s="382">
        <f>M196*'9.项目开发计划表'!$G$26</f>
        <v>0</v>
      </c>
      <c r="N197" s="397">
        <f>N196*'9.项目开发计划表'!$G$26</f>
        <v>0</v>
      </c>
      <c r="O197" s="397">
        <f>O196*'9.项目开发计划表'!$G$26</f>
        <v>0</v>
      </c>
      <c r="P197" s="467">
        <f>P196*'9.项目开发计划表'!$G$26</f>
        <v>0</v>
      </c>
      <c r="Q197" s="382">
        <f>Q196*'9.项目开发计划表'!$G$26</f>
        <v>0</v>
      </c>
      <c r="R197" s="397">
        <f>R196*'9.项目开发计划表'!$G$26</f>
        <v>0</v>
      </c>
      <c r="S197" s="397">
        <f>S196*'9.项目开发计划表'!$G$26</f>
        <v>0</v>
      </c>
      <c r="T197" s="467">
        <f>T196*'9.项目开发计划表'!$G$26</f>
        <v>0</v>
      </c>
      <c r="U197" s="382">
        <f>U196*'9.项目开发计划表'!$G$26</f>
        <v>0</v>
      </c>
      <c r="V197" s="397">
        <f>V196*'9.项目开发计划表'!$G$26</f>
        <v>0</v>
      </c>
      <c r="W197" s="397">
        <f>W196*'9.项目开发计划表'!$G$26</f>
        <v>0</v>
      </c>
      <c r="X197" s="467">
        <f>X196*'9.项目开发计划表'!$G$26</f>
        <v>0</v>
      </c>
      <c r="Y197" s="382">
        <f>Y196*'9.项目开发计划表'!$G$26</f>
        <v>0</v>
      </c>
      <c r="Z197" s="397">
        <f>Z196*'9.项目开发计划表'!$G$26</f>
        <v>0</v>
      </c>
      <c r="AA197" s="397">
        <f>AA196*'9.项目开发计划表'!$G$26</f>
        <v>0</v>
      </c>
      <c r="AB197" s="467">
        <f>AB196*'9.项目开发计划表'!$G$26</f>
        <v>0</v>
      </c>
      <c r="AC197" s="382">
        <f>AC196*'9.项目开发计划表'!$G$26</f>
        <v>0</v>
      </c>
      <c r="AD197" s="397">
        <f>AD196*'9.项目开发计划表'!$G$26</f>
        <v>0</v>
      </c>
      <c r="AE197" s="397">
        <f>AE196*'9.项目开发计划表'!$G$26</f>
        <v>0</v>
      </c>
      <c r="AF197" s="467">
        <f>AF196*'9.项目开发计划表'!$G$26</f>
        <v>0</v>
      </c>
      <c r="AG197" s="382">
        <f>AG196*'9.项目开发计划表'!$G$26</f>
        <v>0</v>
      </c>
      <c r="AH197" s="397">
        <f>AH196*'9.项目开发计划表'!$G$26</f>
        <v>0</v>
      </c>
      <c r="AI197" s="397">
        <f>AI196*'9.项目开发计划表'!$G$26</f>
        <v>0</v>
      </c>
      <c r="AJ197" s="467">
        <f>AJ196*'9.项目开发计划表'!$G$26</f>
        <v>0</v>
      </c>
      <c r="AK197" s="382">
        <f>AK196*'9.项目开发计划表'!$G$26</f>
        <v>0</v>
      </c>
      <c r="AL197" s="397">
        <f>AL196*'9.项目开发计划表'!$G$26</f>
        <v>0</v>
      </c>
      <c r="AM197" s="397">
        <f>AM196*'9.项目开发计划表'!$G$26</f>
        <v>0</v>
      </c>
      <c r="AN197" s="467">
        <f>AN196*'9.项目开发计划表'!$G$26</f>
        <v>0</v>
      </c>
      <c r="AO197" s="382">
        <f>AO196*'9.项目开发计划表'!$G$26</f>
        <v>0</v>
      </c>
      <c r="AP197" s="397">
        <f>AP196*'9.项目开发计划表'!$G$26</f>
        <v>0</v>
      </c>
      <c r="AQ197" s="397">
        <f>AQ196*'9.项目开发计划表'!$G$26</f>
        <v>0</v>
      </c>
      <c r="AR197" s="467">
        <f>AR196*'9.项目开发计划表'!$G$26</f>
        <v>0</v>
      </c>
      <c r="AS197" s="382">
        <f>AS196*'9.项目开发计划表'!$G$26</f>
        <v>0</v>
      </c>
      <c r="AT197" s="397">
        <f>AT196*'9.项目开发计划表'!$G$26</f>
        <v>0</v>
      </c>
      <c r="AU197" s="397">
        <f>AU196*'9.项目开发计划表'!$G$26</f>
        <v>0</v>
      </c>
      <c r="AV197" s="467">
        <f>AV196*'9.项目开发计划表'!$G$26</f>
        <v>0</v>
      </c>
      <c r="AW197" s="424">
        <f t="shared" si="143"/>
        <v>0</v>
      </c>
    </row>
    <row r="198" spans="1:49" s="424" customFormat="1" ht="13.5" customHeight="1" outlineLevel="1">
      <c r="A198" s="1947"/>
      <c r="B198" s="1949"/>
      <c r="C198" s="461" t="s">
        <v>882</v>
      </c>
      <c r="D198" s="466">
        <f t="shared" si="157"/>
        <v>0</v>
      </c>
      <c r="E198" s="382">
        <f t="shared" ref="E198:AV198" si="158">E195*E197/10000</f>
        <v>0</v>
      </c>
      <c r="F198" s="397">
        <f t="shared" si="158"/>
        <v>0</v>
      </c>
      <c r="G198" s="397">
        <f t="shared" si="158"/>
        <v>0</v>
      </c>
      <c r="H198" s="467">
        <f t="shared" si="158"/>
        <v>0</v>
      </c>
      <c r="I198" s="382">
        <f t="shared" si="158"/>
        <v>0</v>
      </c>
      <c r="J198" s="397">
        <f t="shared" si="158"/>
        <v>0</v>
      </c>
      <c r="K198" s="397">
        <f t="shared" si="158"/>
        <v>0</v>
      </c>
      <c r="L198" s="467">
        <f t="shared" si="158"/>
        <v>0</v>
      </c>
      <c r="M198" s="382">
        <f t="shared" si="158"/>
        <v>0</v>
      </c>
      <c r="N198" s="397">
        <f t="shared" si="158"/>
        <v>0</v>
      </c>
      <c r="O198" s="397">
        <f t="shared" si="158"/>
        <v>0</v>
      </c>
      <c r="P198" s="467">
        <f t="shared" si="158"/>
        <v>0</v>
      </c>
      <c r="Q198" s="382">
        <f t="shared" si="158"/>
        <v>0</v>
      </c>
      <c r="R198" s="397">
        <f t="shared" si="158"/>
        <v>0</v>
      </c>
      <c r="S198" s="397">
        <f t="shared" si="158"/>
        <v>0</v>
      </c>
      <c r="T198" s="467">
        <f t="shared" si="158"/>
        <v>0</v>
      </c>
      <c r="U198" s="382">
        <f t="shared" si="158"/>
        <v>0</v>
      </c>
      <c r="V198" s="397">
        <f t="shared" si="158"/>
        <v>0</v>
      </c>
      <c r="W198" s="397">
        <f t="shared" si="158"/>
        <v>0</v>
      </c>
      <c r="X198" s="467">
        <f t="shared" si="158"/>
        <v>0</v>
      </c>
      <c r="Y198" s="382">
        <f t="shared" si="158"/>
        <v>0</v>
      </c>
      <c r="Z198" s="397">
        <f t="shared" si="158"/>
        <v>0</v>
      </c>
      <c r="AA198" s="397">
        <f t="shared" si="158"/>
        <v>0</v>
      </c>
      <c r="AB198" s="467">
        <f t="shared" si="158"/>
        <v>0</v>
      </c>
      <c r="AC198" s="382">
        <f t="shared" si="158"/>
        <v>0</v>
      </c>
      <c r="AD198" s="397">
        <f t="shared" si="158"/>
        <v>0</v>
      </c>
      <c r="AE198" s="397">
        <f t="shared" si="158"/>
        <v>0</v>
      </c>
      <c r="AF198" s="467">
        <f t="shared" si="158"/>
        <v>0</v>
      </c>
      <c r="AG198" s="382">
        <f t="shared" si="158"/>
        <v>0</v>
      </c>
      <c r="AH198" s="397">
        <f t="shared" si="158"/>
        <v>0</v>
      </c>
      <c r="AI198" s="397">
        <f t="shared" si="158"/>
        <v>0</v>
      </c>
      <c r="AJ198" s="467">
        <f t="shared" si="158"/>
        <v>0</v>
      </c>
      <c r="AK198" s="382">
        <f t="shared" si="158"/>
        <v>0</v>
      </c>
      <c r="AL198" s="397">
        <f t="shared" si="158"/>
        <v>0</v>
      </c>
      <c r="AM198" s="397">
        <f t="shared" si="158"/>
        <v>0</v>
      </c>
      <c r="AN198" s="467">
        <f t="shared" si="158"/>
        <v>0</v>
      </c>
      <c r="AO198" s="382">
        <f t="shared" si="158"/>
        <v>0</v>
      </c>
      <c r="AP198" s="397">
        <f t="shared" si="158"/>
        <v>0</v>
      </c>
      <c r="AQ198" s="397">
        <f t="shared" si="158"/>
        <v>0</v>
      </c>
      <c r="AR198" s="467">
        <f t="shared" si="158"/>
        <v>0</v>
      </c>
      <c r="AS198" s="382">
        <f t="shared" si="158"/>
        <v>0</v>
      </c>
      <c r="AT198" s="397">
        <f t="shared" si="158"/>
        <v>0</v>
      </c>
      <c r="AU198" s="397">
        <f t="shared" si="158"/>
        <v>0</v>
      </c>
      <c r="AV198" s="467">
        <f t="shared" si="158"/>
        <v>0</v>
      </c>
      <c r="AW198" s="424">
        <f t="shared" si="143"/>
        <v>0</v>
      </c>
    </row>
    <row r="199" spans="1:49" s="424" customFormat="1" ht="13.5" customHeight="1" outlineLevel="1">
      <c r="A199" s="1947"/>
      <c r="B199" s="1949"/>
      <c r="C199" s="508" t="s">
        <v>450</v>
      </c>
      <c r="D199" s="468">
        <f t="shared" si="157"/>
        <v>0</v>
      </c>
      <c r="E199" s="386">
        <f>SUMIF($I$1:$T$1,B195,$I$2:$T$2)*E198</f>
        <v>0</v>
      </c>
      <c r="F199" s="399">
        <f>(1-SUMIF($I$1:$T$1,B195,$I$2:$T$2))*E198+SUMIF($I$1:$T$1,B195,$I$2:$T$2)*F198</f>
        <v>0</v>
      </c>
      <c r="G199" s="399">
        <f>(1-SUMIF($I$1:$T$1,B195,$I$2:$T$2))*F198+SUMIF($I$1:$T$1,B195,$I$2:$T$2)*G198</f>
        <v>0</v>
      </c>
      <c r="H199" s="404">
        <f>(1-SUMIF($I$1:$T$1,B195,$I$2:$T$2))*G198+SUMIF($I$1:$T$1,B195,$I$2:$T$2)*H198</f>
        <v>0</v>
      </c>
      <c r="I199" s="386">
        <f>(1-SUMIF($I$1:$T$1,B195,$I$2:$T$2))*H198+SUMIF($I$1:$T$1,B195,$I$2:$T$2)*I198</f>
        <v>0</v>
      </c>
      <c r="J199" s="399">
        <f>(1-SUMIF($I$1:$T$1,B195,$I$2:$T$2))*I198+SUMIF($I$1:$T$1,B195,$I$2:$T$2)*J198</f>
        <v>0</v>
      </c>
      <c r="K199" s="399">
        <f>(1-SUMIF($I$1:$T$1,B195,$I$2:$T$2))*J198+SUMIF($I$1:$T$1,B195,$I$2:$T$2)*K198</f>
        <v>0</v>
      </c>
      <c r="L199" s="404">
        <f>(1-SUMIF($I$1:$T$1,B195,$I$2:$T$2))*K198+SUMIF($I$1:$T$1,B195,$I$2:$T$2)*L198</f>
        <v>0</v>
      </c>
      <c r="M199" s="386">
        <f>(1-SUMIF($I$1:$T$1,B195,$I$2:$T$2))*L198+SUMIF($I$1:$T$1,B195,$I$2:$T$2)*M198</f>
        <v>0</v>
      </c>
      <c r="N199" s="399">
        <f>(1-SUMIF($I$1:$T$1,B195,$I$2:$T$2))*M198+SUMIF($I$1:$T$1,B195,$I$2:$T$2)*N198</f>
        <v>0</v>
      </c>
      <c r="O199" s="399">
        <f>(1-SUMIF($I$1:$T$1,B195,$I$2:$T$2))*N198+SUMIF($I$1:$T$1,B195,$I$2:$T$2)*O198</f>
        <v>0</v>
      </c>
      <c r="P199" s="404">
        <f>(1-SUMIF($I$1:$T$1,B195,$I$2:$T$2))*O198+SUMIF($I$1:$T$1,B195,$I$2:$T$2)*P198</f>
        <v>0</v>
      </c>
      <c r="Q199" s="386">
        <f>(1-SUMIF($I$1:$T$1,B195,$I$2:$T$2))*P198+SUMIF($I$1:$T$1,B195,$I$2:$T$2)*Q198</f>
        <v>0</v>
      </c>
      <c r="R199" s="399">
        <f>(1-SUMIF($I$1:$T$1,B195,$I$2:$T$2))*Q198+SUMIF($I$1:$T$1,B195,$I$2:$T$2)*R198</f>
        <v>0</v>
      </c>
      <c r="S199" s="399">
        <f>(1-SUMIF($I$1:$T$1,B195,$I$2:$T$2))*R198+SUMIF($I$1:$T$1,B195,$I$2:$T$2)*S198</f>
        <v>0</v>
      </c>
      <c r="T199" s="404">
        <f>(1-SUMIF($I$1:$T$1,B195,$I$2:$T$2))*S198+SUMIF($I$1:$T$1,B195,$I$2:$T$2)*T198</f>
        <v>0</v>
      </c>
      <c r="U199" s="386">
        <f>(1-SUMIF($I$1:$T$1,B195,$I$2:$T$2))*T198+SUMIF($I$1:$T$1,B195,$I$2:$T$2)*U198</f>
        <v>0</v>
      </c>
      <c r="V199" s="399">
        <f>(1-SUMIF($I$1:$T$1,B195,$I$2:$T$2))*U198+SUMIF($I$1:$T$1,B195,$I$2:$T$2)*V198</f>
        <v>0</v>
      </c>
      <c r="W199" s="399">
        <f>(1-SUMIF($I$1:$T$1,B195,$I$2:$T$2))*V198+SUMIF($I$1:$T$1,B195,$I$2:$T$2)*W198</f>
        <v>0</v>
      </c>
      <c r="X199" s="404">
        <f>(1-SUMIF($I$1:$T$1,B195,$I$2:$T$2))*W198+SUMIF($I$1:$T$1,B195,$I$2:$T$2)*X198</f>
        <v>0</v>
      </c>
      <c r="Y199" s="386">
        <f>(1-SUMIF($I$1:$T$1,B195,$I$2:$T$2))*X198+SUMIF($I$1:$T$1,B195,$I$2:$T$2)*Y198</f>
        <v>0</v>
      </c>
      <c r="Z199" s="399">
        <f>(1-SUMIF($I$1:$T$1,B195,$I$2:$T$2))*Y198+SUMIF($I$1:$T$1,B195,$I$2:$T$2)*Z198</f>
        <v>0</v>
      </c>
      <c r="AA199" s="399">
        <f>(1-SUMIF($I$1:$T$1,B195,$I$2:$T$2))*Z198+SUMIF($I$1:$T$1,B195,$I$2:$T$2)*AA198</f>
        <v>0</v>
      </c>
      <c r="AB199" s="404">
        <f>(1-SUMIF($I$1:$T$1,B195,$I$2:$T$2))*AA198+SUMIF($I$1:$T$1,B195,$I$2:$T$2)*AB198</f>
        <v>0</v>
      </c>
      <c r="AC199" s="386">
        <f>(1-SUMIF($I$1:$T$1,B195,$I$2:$T$2))*AB198+SUMIF($I$1:$T$1,B195,$I$2:$T$2)*AC198</f>
        <v>0</v>
      </c>
      <c r="AD199" s="399">
        <f>(1-SUMIF($I$1:$T$1,B195,$I$2:$T$2))*AC198+SUMIF($I$1:$T$1,B195,$I$2:$T$2)*AD198</f>
        <v>0</v>
      </c>
      <c r="AE199" s="399">
        <f>(1-SUMIF($I$1:$T$1,B195,$I$2:$T$2))*AD198+SUMIF($I$1:$T$1,B195,$I$2:$T$2)*AE198</f>
        <v>0</v>
      </c>
      <c r="AF199" s="404">
        <f>(1-SUMIF($I$1:$T$1,B195,$I$2:$T$2))*AE198+SUMIF($I$1:$T$1,B195,$I$2:$T$2)*AF198</f>
        <v>0</v>
      </c>
      <c r="AG199" s="386">
        <f>(1-SUMIF($I$1:$T$1,B195,$I$2:$T$2))*AF198+SUMIF($I$1:$T$1,B195,$I$2:$T$2)*AG198</f>
        <v>0</v>
      </c>
      <c r="AH199" s="399">
        <f>(1-SUMIF($I$1:$T$1,B195,$I$2:$T$2))*AG198+SUMIF($I$1:$T$1,B195,$I$2:$T$2)*AH198</f>
        <v>0</v>
      </c>
      <c r="AI199" s="399">
        <f>(1-SUMIF($I$1:$T$1,B195,$I$2:$T$2))*AH198+SUMIF($I$1:$T$1,B195,$I$2:$T$2)*AI198</f>
        <v>0</v>
      </c>
      <c r="AJ199" s="404">
        <f>(1-SUMIF($I$1:$T$1,B195,$I$2:$T$2))*AI198+SUMIF($I$1:$T$1,B195,$I$2:$T$2)*AJ198</f>
        <v>0</v>
      </c>
      <c r="AK199" s="386">
        <f>(1-SUMIF($I$1:$T$1,B195,$I$2:$T$2))*AJ198+SUMIF($I$1:$T$1,B195,$I$2:$T$2)*AK198</f>
        <v>0</v>
      </c>
      <c r="AL199" s="399">
        <f>(1-SUMIF($I$1:$T$1,B195,$I$2:$T$2))*AK198+SUMIF($I$1:$T$1,B195,$I$2:$T$2)*AL198</f>
        <v>0</v>
      </c>
      <c r="AM199" s="399">
        <f>(1-SUMIF($I$1:$T$1,B195,$I$2:$T$2))*AL198+SUMIF($I$1:$T$1,B195,$I$2:$T$2)*AM198</f>
        <v>0</v>
      </c>
      <c r="AN199" s="404">
        <f>(1-SUMIF($I$1:$T$1,B195,$I$2:$T$2))*AM198+SUMIF($I$1:$T$1,B195,$I$2:$T$2)*AN198</f>
        <v>0</v>
      </c>
      <c r="AO199" s="386">
        <f>(1-SUMIF($I$1:$T$1,B195,$I$2:$T$2))*AN198+SUMIF($I$1:$T$1,B195,$I$2:$T$2)*AO198</f>
        <v>0</v>
      </c>
      <c r="AP199" s="399">
        <f>(1-SUMIF($I$1:$T$1,B195,$I$2:$T$2))*AO198+SUMIF($I$1:$T$1,B195,$I$2:$T$2)*AP198</f>
        <v>0</v>
      </c>
      <c r="AQ199" s="399">
        <f>(1-SUMIF($I$1:$T$1,B195,$I$2:$T$2))*AP198+SUMIF($I$1:$T$1,B195,$I$2:$T$2)*AQ198</f>
        <v>0</v>
      </c>
      <c r="AR199" s="404">
        <f>(1-SUMIF($I$1:$T$1,B195,$I$2:$T$2))*AQ198+SUMIF($I$1:$T$1,B195,$I$2:$T$2)*AR198</f>
        <v>0</v>
      </c>
      <c r="AS199" s="386">
        <f>(1-SUMIF($I$1:$T$1,B195,$I$2:$T$2))*AR198+SUMIF($I$1:$T$1,B195,$I$2:$T$2)*AS198</f>
        <v>0</v>
      </c>
      <c r="AT199" s="399">
        <f>(1-SUMIF($I$1:$T$1,B195,$I$2:$T$2))*AS198+SUMIF($I$1:$T$1,B195,$I$2:$T$2)*AT198</f>
        <v>0</v>
      </c>
      <c r="AU199" s="399">
        <f>(1-SUMIF($I$1:$T$1,B195,$I$2:$T$2))*AT198+SUMIF($I$1:$T$1,B195,$I$2:$T$2)*AU198</f>
        <v>0</v>
      </c>
      <c r="AV199" s="404">
        <f>(1-SUMIF($I$1:$T$1,B195,$I$2:$T$2))*AU198+SUMIF($I$1:$T$1,B195,$I$2:$T$2)*AV198</f>
        <v>0</v>
      </c>
      <c r="AW199" s="424">
        <f t="shared" si="143"/>
        <v>0</v>
      </c>
    </row>
    <row r="200" spans="1:49" s="424" customFormat="1" ht="13.5" customHeight="1" outlineLevel="1">
      <c r="A200" s="1947"/>
      <c r="B200" s="1949" t="str">
        <f>'9.项目开发计划表'!C27</f>
        <v>自持物业</v>
      </c>
      <c r="C200" s="456" t="s">
        <v>880</v>
      </c>
      <c r="D200" s="457">
        <f>IF(D202=0,0,D203/D202*10000)</f>
        <v>0</v>
      </c>
      <c r="E200" s="505"/>
      <c r="F200" s="506"/>
      <c r="G200" s="506"/>
      <c r="H200" s="507"/>
      <c r="I200" s="505"/>
      <c r="J200" s="506"/>
      <c r="K200" s="506"/>
      <c r="L200" s="507"/>
      <c r="M200" s="505"/>
      <c r="N200" s="506"/>
      <c r="O200" s="506"/>
      <c r="P200" s="507"/>
      <c r="Q200" s="505"/>
      <c r="R200" s="506"/>
      <c r="S200" s="506"/>
      <c r="T200" s="507"/>
      <c r="U200" s="505"/>
      <c r="V200" s="506"/>
      <c r="W200" s="506"/>
      <c r="X200" s="507"/>
      <c r="Y200" s="505"/>
      <c r="Z200" s="506"/>
      <c r="AA200" s="506"/>
      <c r="AB200" s="507"/>
      <c r="AC200" s="505"/>
      <c r="AD200" s="506"/>
      <c r="AE200" s="506"/>
      <c r="AF200" s="507"/>
      <c r="AG200" s="505"/>
      <c r="AH200" s="506"/>
      <c r="AI200" s="506"/>
      <c r="AJ200" s="507"/>
      <c r="AK200" s="505"/>
      <c r="AL200" s="506"/>
      <c r="AM200" s="506"/>
      <c r="AN200" s="507"/>
      <c r="AO200" s="505"/>
      <c r="AP200" s="506"/>
      <c r="AQ200" s="506"/>
      <c r="AR200" s="507"/>
      <c r="AS200" s="505"/>
      <c r="AT200" s="506"/>
      <c r="AU200" s="506"/>
      <c r="AV200" s="507"/>
      <c r="AW200" s="424" t="str">
        <f>B200</f>
        <v>自持物业</v>
      </c>
    </row>
    <row r="201" spans="1:49" ht="13.5" customHeight="1" outlineLevel="1">
      <c r="A201" s="1947"/>
      <c r="B201" s="1949"/>
      <c r="C201" s="461" t="s">
        <v>881</v>
      </c>
      <c r="D201" s="462">
        <f t="shared" ref="D201:D204" si="159">SUM(E201:AV201)</f>
        <v>0</v>
      </c>
      <c r="E201" s="494"/>
      <c r="F201" s="491"/>
      <c r="G201" s="491"/>
      <c r="H201" s="493"/>
      <c r="I201" s="494"/>
      <c r="J201" s="491"/>
      <c r="K201" s="491"/>
      <c r="L201" s="493"/>
      <c r="M201" s="494"/>
      <c r="N201" s="491"/>
      <c r="O201" s="491"/>
      <c r="P201" s="493"/>
      <c r="Q201" s="494"/>
      <c r="R201" s="491"/>
      <c r="S201" s="491"/>
      <c r="T201" s="493"/>
      <c r="U201" s="494"/>
      <c r="V201" s="491"/>
      <c r="W201" s="491"/>
      <c r="X201" s="493"/>
      <c r="Y201" s="494"/>
      <c r="Z201" s="491"/>
      <c r="AA201" s="491"/>
      <c r="AB201" s="493"/>
      <c r="AC201" s="494"/>
      <c r="AD201" s="491"/>
      <c r="AE201" s="491"/>
      <c r="AF201" s="493"/>
      <c r="AG201" s="494"/>
      <c r="AH201" s="491"/>
      <c r="AI201" s="491"/>
      <c r="AJ201" s="493"/>
      <c r="AK201" s="494"/>
      <c r="AL201" s="491"/>
      <c r="AM201" s="491"/>
      <c r="AN201" s="493"/>
      <c r="AO201" s="494"/>
      <c r="AP201" s="491"/>
      <c r="AQ201" s="491"/>
      <c r="AR201" s="493"/>
      <c r="AS201" s="494"/>
      <c r="AT201" s="491"/>
      <c r="AU201" s="491"/>
      <c r="AV201" s="493"/>
      <c r="AW201" s="424" t="str">
        <f>AW200</f>
        <v>自持物业</v>
      </c>
    </row>
    <row r="202" spans="1:49" s="424" customFormat="1" ht="13.5" customHeight="1" outlineLevel="1">
      <c r="A202" s="1947"/>
      <c r="B202" s="1949"/>
      <c r="C202" s="461" t="s">
        <v>682</v>
      </c>
      <c r="D202" s="466">
        <f t="shared" si="159"/>
        <v>0</v>
      </c>
      <c r="E202" s="382">
        <f>E201*'9.项目开发计划表'!$G$27</f>
        <v>0</v>
      </c>
      <c r="F202" s="397">
        <f>F201*'9.项目开发计划表'!$G$27</f>
        <v>0</v>
      </c>
      <c r="G202" s="397">
        <f>G201*'9.项目开发计划表'!$G$27</f>
        <v>0</v>
      </c>
      <c r="H202" s="467">
        <f>H201*'9.项目开发计划表'!$G$27</f>
        <v>0</v>
      </c>
      <c r="I202" s="382">
        <f>I201*'9.项目开发计划表'!$G$27</f>
        <v>0</v>
      </c>
      <c r="J202" s="397">
        <f>J201*'9.项目开发计划表'!$G$27</f>
        <v>0</v>
      </c>
      <c r="K202" s="397">
        <f>K201*'9.项目开发计划表'!$G$27</f>
        <v>0</v>
      </c>
      <c r="L202" s="467">
        <f>L201*'9.项目开发计划表'!$G$27</f>
        <v>0</v>
      </c>
      <c r="M202" s="382">
        <f>M201*'9.项目开发计划表'!$G$27</f>
        <v>0</v>
      </c>
      <c r="N202" s="397">
        <f>N201*'9.项目开发计划表'!$G$27</f>
        <v>0</v>
      </c>
      <c r="O202" s="397">
        <f>O201*'9.项目开发计划表'!$G$27</f>
        <v>0</v>
      </c>
      <c r="P202" s="467">
        <f>P201*'9.项目开发计划表'!$G$27</f>
        <v>0</v>
      </c>
      <c r="Q202" s="382">
        <f>Q201*'9.项目开发计划表'!$G$27</f>
        <v>0</v>
      </c>
      <c r="R202" s="397">
        <f>R201*'9.项目开发计划表'!$G$27</f>
        <v>0</v>
      </c>
      <c r="S202" s="397">
        <f>S201*'9.项目开发计划表'!$G$27</f>
        <v>0</v>
      </c>
      <c r="T202" s="467">
        <f>T201*'9.项目开发计划表'!$G$27</f>
        <v>0</v>
      </c>
      <c r="U202" s="382">
        <f>U201*'9.项目开发计划表'!$G$27</f>
        <v>0</v>
      </c>
      <c r="V202" s="397">
        <f>V201*'9.项目开发计划表'!$G$27</f>
        <v>0</v>
      </c>
      <c r="W202" s="397">
        <f>W201*'9.项目开发计划表'!$G$27</f>
        <v>0</v>
      </c>
      <c r="X202" s="467">
        <f>X201*'9.项目开发计划表'!$G$27</f>
        <v>0</v>
      </c>
      <c r="Y202" s="382">
        <f>Y201*'9.项目开发计划表'!$G$27</f>
        <v>0</v>
      </c>
      <c r="Z202" s="397">
        <f>Z201*'9.项目开发计划表'!$G$27</f>
        <v>0</v>
      </c>
      <c r="AA202" s="397">
        <f>AA201*'9.项目开发计划表'!$G$27</f>
        <v>0</v>
      </c>
      <c r="AB202" s="467">
        <f>AB201*'9.项目开发计划表'!$G$27</f>
        <v>0</v>
      </c>
      <c r="AC202" s="382">
        <f>AC201*'9.项目开发计划表'!$G$27</f>
        <v>0</v>
      </c>
      <c r="AD202" s="397">
        <f>AD201*'9.项目开发计划表'!$G$27</f>
        <v>0</v>
      </c>
      <c r="AE202" s="397">
        <f>AE201*'9.项目开发计划表'!$G$27</f>
        <v>0</v>
      </c>
      <c r="AF202" s="467">
        <f>AF201*'9.项目开发计划表'!$G$27</f>
        <v>0</v>
      </c>
      <c r="AG202" s="382">
        <f>AG201*'9.项目开发计划表'!$G$27</f>
        <v>0</v>
      </c>
      <c r="AH202" s="397">
        <f>AH201*'9.项目开发计划表'!$G$27</f>
        <v>0</v>
      </c>
      <c r="AI202" s="397">
        <f>AI201*'9.项目开发计划表'!$G$27</f>
        <v>0</v>
      </c>
      <c r="AJ202" s="467">
        <f>AJ201*'9.项目开发计划表'!$G$27</f>
        <v>0</v>
      </c>
      <c r="AK202" s="382">
        <f>AK201*'9.项目开发计划表'!$G$27</f>
        <v>0</v>
      </c>
      <c r="AL202" s="397">
        <f>AL201*'9.项目开发计划表'!$G$27</f>
        <v>0</v>
      </c>
      <c r="AM202" s="397">
        <f>AM201*'9.项目开发计划表'!$G$27</f>
        <v>0</v>
      </c>
      <c r="AN202" s="467">
        <f>AN201*'9.项目开发计划表'!$G$27</f>
        <v>0</v>
      </c>
      <c r="AO202" s="382">
        <f>AO201*'9.项目开发计划表'!$G$27</f>
        <v>0</v>
      </c>
      <c r="AP202" s="397">
        <f>AP201*'9.项目开发计划表'!$G$27</f>
        <v>0</v>
      </c>
      <c r="AQ202" s="397">
        <f>AQ201*'9.项目开发计划表'!$G$27</f>
        <v>0</v>
      </c>
      <c r="AR202" s="467">
        <f>AR201*'9.项目开发计划表'!$G$27</f>
        <v>0</v>
      </c>
      <c r="AS202" s="382">
        <f>AS201*'9.项目开发计划表'!$G$27</f>
        <v>0</v>
      </c>
      <c r="AT202" s="397">
        <f>AT201*'9.项目开发计划表'!$G$27</f>
        <v>0</v>
      </c>
      <c r="AU202" s="397">
        <f>AU201*'9.项目开发计划表'!$G$27</f>
        <v>0</v>
      </c>
      <c r="AV202" s="467">
        <f>AV201*'9.项目开发计划表'!$G$27</f>
        <v>0</v>
      </c>
      <c r="AW202" s="424" t="str">
        <f t="shared" si="143"/>
        <v>自持物业</v>
      </c>
    </row>
    <row r="203" spans="1:49" s="424" customFormat="1" ht="13.5" customHeight="1" outlineLevel="1">
      <c r="A203" s="1947"/>
      <c r="B203" s="1949"/>
      <c r="C203" s="461" t="s">
        <v>882</v>
      </c>
      <c r="D203" s="466">
        <f t="shared" si="159"/>
        <v>0</v>
      </c>
      <c r="E203" s="382">
        <f t="shared" ref="E203:AV203" si="160">E200*E202/10000</f>
        <v>0</v>
      </c>
      <c r="F203" s="397">
        <f t="shared" si="160"/>
        <v>0</v>
      </c>
      <c r="G203" s="397">
        <f t="shared" si="160"/>
        <v>0</v>
      </c>
      <c r="H203" s="467">
        <f t="shared" si="160"/>
        <v>0</v>
      </c>
      <c r="I203" s="382">
        <f t="shared" si="160"/>
        <v>0</v>
      </c>
      <c r="J203" s="397">
        <f t="shared" si="160"/>
        <v>0</v>
      </c>
      <c r="K203" s="397">
        <f t="shared" si="160"/>
        <v>0</v>
      </c>
      <c r="L203" s="467">
        <f t="shared" si="160"/>
        <v>0</v>
      </c>
      <c r="M203" s="382">
        <f t="shared" si="160"/>
        <v>0</v>
      </c>
      <c r="N203" s="397">
        <f t="shared" si="160"/>
        <v>0</v>
      </c>
      <c r="O203" s="397">
        <f t="shared" si="160"/>
        <v>0</v>
      </c>
      <c r="P203" s="467">
        <f t="shared" si="160"/>
        <v>0</v>
      </c>
      <c r="Q203" s="382">
        <f t="shared" si="160"/>
        <v>0</v>
      </c>
      <c r="R203" s="397">
        <f t="shared" si="160"/>
        <v>0</v>
      </c>
      <c r="S203" s="397">
        <f t="shared" si="160"/>
        <v>0</v>
      </c>
      <c r="T203" s="467">
        <f t="shared" si="160"/>
        <v>0</v>
      </c>
      <c r="U203" s="382">
        <f t="shared" si="160"/>
        <v>0</v>
      </c>
      <c r="V203" s="397">
        <f t="shared" si="160"/>
        <v>0</v>
      </c>
      <c r="W203" s="397">
        <f t="shared" si="160"/>
        <v>0</v>
      </c>
      <c r="X203" s="467">
        <f t="shared" si="160"/>
        <v>0</v>
      </c>
      <c r="Y203" s="382">
        <f t="shared" si="160"/>
        <v>0</v>
      </c>
      <c r="Z203" s="397">
        <f t="shared" si="160"/>
        <v>0</v>
      </c>
      <c r="AA203" s="397">
        <f t="shared" si="160"/>
        <v>0</v>
      </c>
      <c r="AB203" s="467">
        <f t="shared" si="160"/>
        <v>0</v>
      </c>
      <c r="AC203" s="382">
        <f t="shared" si="160"/>
        <v>0</v>
      </c>
      <c r="AD203" s="397">
        <f t="shared" si="160"/>
        <v>0</v>
      </c>
      <c r="AE203" s="397">
        <f t="shared" si="160"/>
        <v>0</v>
      </c>
      <c r="AF203" s="467">
        <f t="shared" si="160"/>
        <v>0</v>
      </c>
      <c r="AG203" s="382">
        <f t="shared" si="160"/>
        <v>0</v>
      </c>
      <c r="AH203" s="397">
        <f t="shared" si="160"/>
        <v>0</v>
      </c>
      <c r="AI203" s="397">
        <f t="shared" si="160"/>
        <v>0</v>
      </c>
      <c r="AJ203" s="467">
        <f t="shared" si="160"/>
        <v>0</v>
      </c>
      <c r="AK203" s="382">
        <f t="shared" si="160"/>
        <v>0</v>
      </c>
      <c r="AL203" s="397">
        <f t="shared" si="160"/>
        <v>0</v>
      </c>
      <c r="AM203" s="397">
        <f t="shared" si="160"/>
        <v>0</v>
      </c>
      <c r="AN203" s="467">
        <f t="shared" si="160"/>
        <v>0</v>
      </c>
      <c r="AO203" s="382">
        <f t="shared" si="160"/>
        <v>0</v>
      </c>
      <c r="AP203" s="397">
        <f t="shared" si="160"/>
        <v>0</v>
      </c>
      <c r="AQ203" s="397">
        <f t="shared" si="160"/>
        <v>0</v>
      </c>
      <c r="AR203" s="467">
        <f t="shared" si="160"/>
        <v>0</v>
      </c>
      <c r="AS203" s="382">
        <f t="shared" si="160"/>
        <v>0</v>
      </c>
      <c r="AT203" s="397">
        <f t="shared" si="160"/>
        <v>0</v>
      </c>
      <c r="AU203" s="397">
        <f t="shared" si="160"/>
        <v>0</v>
      </c>
      <c r="AV203" s="467">
        <f t="shared" si="160"/>
        <v>0</v>
      </c>
      <c r="AW203" s="424" t="str">
        <f t="shared" si="143"/>
        <v>自持物业</v>
      </c>
    </row>
    <row r="204" spans="1:49" s="424" customFormat="1" ht="13.5" customHeight="1" outlineLevel="1">
      <c r="A204" s="1947"/>
      <c r="B204" s="1949"/>
      <c r="C204" s="508" t="s">
        <v>450</v>
      </c>
      <c r="D204" s="468">
        <f t="shared" si="159"/>
        <v>0</v>
      </c>
      <c r="E204" s="386">
        <f>SUMIF($I$1:$T$1,B200,$I$2:$T$2)*E203</f>
        <v>0</v>
      </c>
      <c r="F204" s="399">
        <f>(1-SUMIF($I$1:$T$1,B200,$I$2:$T$2))*E203+SUMIF($I$1:$T$1,B200,$I$2:$T$2)*F203</f>
        <v>0</v>
      </c>
      <c r="G204" s="399">
        <f>(1-SUMIF($I$1:$T$1,B200,$I$2:$T$2))*F203+SUMIF($I$1:$T$1,B200,$I$2:$T$2)*G203</f>
        <v>0</v>
      </c>
      <c r="H204" s="404">
        <f>(1-SUMIF($I$1:$T$1,B200,$I$2:$T$2))*G203+SUMIF($I$1:$T$1,B200,$I$2:$T$2)*H203</f>
        <v>0</v>
      </c>
      <c r="I204" s="386">
        <f>(1-SUMIF($I$1:$T$1,B200,$I$2:$T$2))*H203+SUMIF($I$1:$T$1,B200,$I$2:$T$2)*I203</f>
        <v>0</v>
      </c>
      <c r="J204" s="399">
        <f>(1-SUMIF($I$1:$T$1,B200,$I$2:$T$2))*I203+SUMIF($I$1:$T$1,B200,$I$2:$T$2)*J203</f>
        <v>0</v>
      </c>
      <c r="K204" s="399">
        <f>(1-SUMIF($I$1:$T$1,B200,$I$2:$T$2))*J203+SUMIF($I$1:$T$1,B200,$I$2:$T$2)*K203</f>
        <v>0</v>
      </c>
      <c r="L204" s="404">
        <f>(1-SUMIF($I$1:$T$1,B200,$I$2:$T$2))*K203+SUMIF($I$1:$T$1,B200,$I$2:$T$2)*L203</f>
        <v>0</v>
      </c>
      <c r="M204" s="386">
        <f>(1-SUMIF($I$1:$T$1,B200,$I$2:$T$2))*L203+SUMIF($I$1:$T$1,B200,$I$2:$T$2)*M203</f>
        <v>0</v>
      </c>
      <c r="N204" s="399">
        <f>(1-SUMIF($I$1:$T$1,B200,$I$2:$T$2))*M203+SUMIF($I$1:$T$1,B200,$I$2:$T$2)*N203</f>
        <v>0</v>
      </c>
      <c r="O204" s="399">
        <f>(1-SUMIF($I$1:$T$1,B200,$I$2:$T$2))*N203+SUMIF($I$1:$T$1,B200,$I$2:$T$2)*O203</f>
        <v>0</v>
      </c>
      <c r="P204" s="404">
        <f>(1-SUMIF($I$1:$T$1,B200,$I$2:$T$2))*O203+SUMIF($I$1:$T$1,B200,$I$2:$T$2)*P203</f>
        <v>0</v>
      </c>
      <c r="Q204" s="386">
        <f>(1-SUMIF($I$1:$T$1,B200,$I$2:$T$2))*P203+SUMIF($I$1:$T$1,B200,$I$2:$T$2)*Q203</f>
        <v>0</v>
      </c>
      <c r="R204" s="399">
        <f>(1-SUMIF($I$1:$T$1,B200,$I$2:$T$2))*Q203+SUMIF($I$1:$T$1,B200,$I$2:$T$2)*R203</f>
        <v>0</v>
      </c>
      <c r="S204" s="399">
        <f>(1-SUMIF($I$1:$T$1,B200,$I$2:$T$2))*R203+SUMIF($I$1:$T$1,B200,$I$2:$T$2)*S203</f>
        <v>0</v>
      </c>
      <c r="T204" s="404">
        <f>(1-SUMIF($I$1:$T$1,B200,$I$2:$T$2))*S203+SUMIF($I$1:$T$1,B200,$I$2:$T$2)*T203</f>
        <v>0</v>
      </c>
      <c r="U204" s="386">
        <f>(1-SUMIF($I$1:$T$1,B200,$I$2:$T$2))*T203+SUMIF($I$1:$T$1,B200,$I$2:$T$2)*U203</f>
        <v>0</v>
      </c>
      <c r="V204" s="399">
        <f>(1-SUMIF($I$1:$T$1,B200,$I$2:$T$2))*U203+SUMIF($I$1:$T$1,B200,$I$2:$T$2)*V203</f>
        <v>0</v>
      </c>
      <c r="W204" s="399">
        <f>(1-SUMIF($I$1:$T$1,B200,$I$2:$T$2))*V203+SUMIF($I$1:$T$1,B200,$I$2:$T$2)*W203</f>
        <v>0</v>
      </c>
      <c r="X204" s="404">
        <f>(1-SUMIF($I$1:$T$1,B200,$I$2:$T$2))*W203+SUMIF($I$1:$T$1,B200,$I$2:$T$2)*X203</f>
        <v>0</v>
      </c>
      <c r="Y204" s="386">
        <f>(1-SUMIF($I$1:$T$1,B200,$I$2:$T$2))*X203+SUMIF($I$1:$T$1,B200,$I$2:$T$2)*Y203</f>
        <v>0</v>
      </c>
      <c r="Z204" s="399">
        <f>(1-SUMIF($I$1:$T$1,B200,$I$2:$T$2))*Y203+SUMIF($I$1:$T$1,B200,$I$2:$T$2)*Z203</f>
        <v>0</v>
      </c>
      <c r="AA204" s="399">
        <f>(1-SUMIF($I$1:$T$1,B200,$I$2:$T$2))*Z203+SUMIF($I$1:$T$1,B200,$I$2:$T$2)*AA203</f>
        <v>0</v>
      </c>
      <c r="AB204" s="404">
        <f>(1-SUMIF($I$1:$T$1,B200,$I$2:$T$2))*AA203+SUMIF($I$1:$T$1,B200,$I$2:$T$2)*AB203</f>
        <v>0</v>
      </c>
      <c r="AC204" s="386">
        <f>(1-SUMIF($I$1:$T$1,B200,$I$2:$T$2))*AB203+SUMIF($I$1:$T$1,B200,$I$2:$T$2)*AC203</f>
        <v>0</v>
      </c>
      <c r="AD204" s="399">
        <f>(1-SUMIF($I$1:$T$1,B200,$I$2:$T$2))*AC203+SUMIF($I$1:$T$1,B200,$I$2:$T$2)*AD203</f>
        <v>0</v>
      </c>
      <c r="AE204" s="399">
        <f>(1-SUMIF($I$1:$T$1,B200,$I$2:$T$2))*AD203+SUMIF($I$1:$T$1,B200,$I$2:$T$2)*AE203</f>
        <v>0</v>
      </c>
      <c r="AF204" s="404">
        <f>(1-SUMIF($I$1:$T$1,B200,$I$2:$T$2))*AE203+SUMIF($I$1:$T$1,B200,$I$2:$T$2)*AF203</f>
        <v>0</v>
      </c>
      <c r="AG204" s="386">
        <f>(1-SUMIF($I$1:$T$1,B200,$I$2:$T$2))*AF203+SUMIF($I$1:$T$1,B200,$I$2:$T$2)*AG203</f>
        <v>0</v>
      </c>
      <c r="AH204" s="399">
        <f>(1-SUMIF($I$1:$T$1,B200,$I$2:$T$2))*AG203+SUMIF($I$1:$T$1,B200,$I$2:$T$2)*AH203</f>
        <v>0</v>
      </c>
      <c r="AI204" s="399">
        <f>(1-SUMIF($I$1:$T$1,B200,$I$2:$T$2))*AH203+SUMIF($I$1:$T$1,B200,$I$2:$T$2)*AI203</f>
        <v>0</v>
      </c>
      <c r="AJ204" s="404">
        <f>(1-SUMIF($I$1:$T$1,B200,$I$2:$T$2))*AI203+SUMIF($I$1:$T$1,B200,$I$2:$T$2)*AJ203</f>
        <v>0</v>
      </c>
      <c r="AK204" s="386">
        <f>(1-SUMIF($I$1:$T$1,B200,$I$2:$T$2))*AJ203+SUMIF($I$1:$T$1,B200,$I$2:$T$2)*AK203</f>
        <v>0</v>
      </c>
      <c r="AL204" s="399">
        <f>(1-SUMIF($I$1:$T$1,B200,$I$2:$T$2))*AK203+SUMIF($I$1:$T$1,B200,$I$2:$T$2)*AL203</f>
        <v>0</v>
      </c>
      <c r="AM204" s="399">
        <f>(1-SUMIF($I$1:$T$1,B200,$I$2:$T$2))*AL203+SUMIF($I$1:$T$1,B200,$I$2:$T$2)*AM203</f>
        <v>0</v>
      </c>
      <c r="AN204" s="404">
        <f>(1-SUMIF($I$1:$T$1,B200,$I$2:$T$2))*AM203+SUMIF($I$1:$T$1,B200,$I$2:$T$2)*AN203</f>
        <v>0</v>
      </c>
      <c r="AO204" s="386">
        <f>(1-SUMIF($I$1:$T$1,B200,$I$2:$T$2))*AN203+SUMIF($I$1:$T$1,B200,$I$2:$T$2)*AO203</f>
        <v>0</v>
      </c>
      <c r="AP204" s="399">
        <f>(1-SUMIF($I$1:$T$1,B200,$I$2:$T$2))*AO203+SUMIF($I$1:$T$1,B200,$I$2:$T$2)*AP203</f>
        <v>0</v>
      </c>
      <c r="AQ204" s="399">
        <f>(1-SUMIF($I$1:$T$1,B200,$I$2:$T$2))*AP203+SUMIF($I$1:$T$1,B200,$I$2:$T$2)*AQ203</f>
        <v>0</v>
      </c>
      <c r="AR204" s="404">
        <f>(1-SUMIF($I$1:$T$1,B200,$I$2:$T$2))*AQ203+SUMIF($I$1:$T$1,B200,$I$2:$T$2)*AR203</f>
        <v>0</v>
      </c>
      <c r="AS204" s="386">
        <f>(1-SUMIF($I$1:$T$1,B200,$I$2:$T$2))*AR203+SUMIF($I$1:$T$1,B200,$I$2:$T$2)*AS203</f>
        <v>0</v>
      </c>
      <c r="AT204" s="399">
        <f>(1-SUMIF($I$1:$T$1,B200,$I$2:$T$2))*AS203+SUMIF($I$1:$T$1,B200,$I$2:$T$2)*AT203</f>
        <v>0</v>
      </c>
      <c r="AU204" s="399">
        <f>(1-SUMIF($I$1:$T$1,B200,$I$2:$T$2))*AT203+SUMIF($I$1:$T$1,B200,$I$2:$T$2)*AU203</f>
        <v>0</v>
      </c>
      <c r="AV204" s="404">
        <f>(1-SUMIF($I$1:$T$1,B200,$I$2:$T$2))*AU203+SUMIF($I$1:$T$1,B200,$I$2:$T$2)*AV203</f>
        <v>0</v>
      </c>
      <c r="AW204" s="424" t="str">
        <f t="shared" si="143"/>
        <v>自持物业</v>
      </c>
    </row>
    <row r="205" spans="1:49" s="424" customFormat="1" ht="13.5" customHeight="1" outlineLevel="1">
      <c r="A205" s="1947"/>
      <c r="B205" s="1949" t="str">
        <f>'9.项目开发计划表'!C28</f>
        <v>有产权车库(个)</v>
      </c>
      <c r="C205" s="456" t="s">
        <v>880</v>
      </c>
      <c r="D205" s="457">
        <f>IF(D207=0,0,D208/D207*10000)</f>
        <v>0</v>
      </c>
      <c r="E205" s="505"/>
      <c r="F205" s="506"/>
      <c r="G205" s="506"/>
      <c r="H205" s="507"/>
      <c r="I205" s="505"/>
      <c r="J205" s="506"/>
      <c r="K205" s="506"/>
      <c r="L205" s="507"/>
      <c r="M205" s="505"/>
      <c r="N205" s="505"/>
      <c r="O205" s="507"/>
      <c r="P205" s="507"/>
      <c r="Q205" s="507"/>
      <c r="R205" s="507"/>
      <c r="S205" s="507"/>
      <c r="T205" s="507"/>
      <c r="U205" s="507"/>
      <c r="V205" s="507"/>
      <c r="W205" s="507">
        <v>90000</v>
      </c>
      <c r="X205" s="507">
        <v>90000</v>
      </c>
      <c r="Y205" s="507">
        <v>90000</v>
      </c>
      <c r="Z205" s="507">
        <v>90000</v>
      </c>
      <c r="AA205" s="507">
        <v>90000</v>
      </c>
      <c r="AB205" s="507">
        <v>90000</v>
      </c>
      <c r="AC205" s="507">
        <v>90000</v>
      </c>
      <c r="AD205" s="507">
        <v>90000</v>
      </c>
      <c r="AE205" s="507">
        <v>90000</v>
      </c>
      <c r="AF205" s="507">
        <v>90000</v>
      </c>
      <c r="AG205" s="507"/>
      <c r="AH205" s="507"/>
      <c r="AI205" s="507"/>
      <c r="AJ205" s="507"/>
      <c r="AK205" s="507"/>
      <c r="AL205" s="507"/>
      <c r="AM205" s="507"/>
      <c r="AN205" s="507"/>
      <c r="AO205" s="507"/>
      <c r="AP205" s="507"/>
      <c r="AQ205" s="507"/>
      <c r="AR205" s="507"/>
      <c r="AS205" s="507"/>
      <c r="AT205" s="507"/>
      <c r="AU205" s="507"/>
      <c r="AV205" s="507"/>
      <c r="AW205" s="424" t="str">
        <f>B205</f>
        <v>有产权车库(个)</v>
      </c>
    </row>
    <row r="206" spans="1:49" ht="13.5" customHeight="1" outlineLevel="1">
      <c r="A206" s="1947"/>
      <c r="B206" s="1949"/>
      <c r="C206" s="461" t="s">
        <v>881</v>
      </c>
      <c r="D206" s="462">
        <f t="shared" ref="D206:D209" si="161">SUM(E206:AV206)</f>
        <v>0.99999999999999989</v>
      </c>
      <c r="E206" s="494"/>
      <c r="F206" s="491"/>
      <c r="G206" s="491"/>
      <c r="H206" s="493"/>
      <c r="I206" s="494"/>
      <c r="J206" s="491"/>
      <c r="K206" s="491"/>
      <c r="L206" s="493"/>
      <c r="M206" s="494"/>
      <c r="N206" s="494"/>
      <c r="O206" s="493"/>
      <c r="P206" s="493"/>
      <c r="Q206" s="493"/>
      <c r="R206" s="493"/>
      <c r="S206" s="493"/>
      <c r="T206" s="493"/>
      <c r="U206" s="493"/>
      <c r="V206" s="493"/>
      <c r="W206" s="493">
        <v>0.1</v>
      </c>
      <c r="X206" s="493">
        <v>0.1</v>
      </c>
      <c r="Y206" s="493">
        <v>0.1</v>
      </c>
      <c r="Z206" s="493">
        <v>0.1</v>
      </c>
      <c r="AA206" s="493">
        <v>0.1</v>
      </c>
      <c r="AB206" s="493">
        <v>0.1</v>
      </c>
      <c r="AC206" s="493">
        <v>0.1</v>
      </c>
      <c r="AD206" s="493">
        <v>0.1</v>
      </c>
      <c r="AE206" s="493">
        <v>0.1</v>
      </c>
      <c r="AF206" s="493">
        <v>0.1</v>
      </c>
      <c r="AG206" s="493"/>
      <c r="AH206" s="493"/>
      <c r="AI206" s="493"/>
      <c r="AJ206" s="493"/>
      <c r="AK206" s="493"/>
      <c r="AL206" s="493"/>
      <c r="AM206" s="493"/>
      <c r="AN206" s="493"/>
      <c r="AO206" s="493"/>
      <c r="AP206" s="493"/>
      <c r="AQ206" s="493"/>
      <c r="AR206" s="493"/>
      <c r="AS206" s="493"/>
      <c r="AT206" s="493"/>
      <c r="AU206" s="493"/>
      <c r="AV206" s="494"/>
      <c r="AW206" s="424" t="str">
        <f>AW205</f>
        <v>有产权车库(个)</v>
      </c>
    </row>
    <row r="207" spans="1:49" s="424" customFormat="1" ht="13.5" customHeight="1" outlineLevel="1">
      <c r="A207" s="1947"/>
      <c r="B207" s="1949"/>
      <c r="C207" s="461" t="s">
        <v>682</v>
      </c>
      <c r="D207" s="466">
        <f t="shared" si="161"/>
        <v>0</v>
      </c>
      <c r="E207" s="382">
        <f>E206*'9.项目开发计划表'!$G$28</f>
        <v>0</v>
      </c>
      <c r="F207" s="397">
        <f>F206*'9.项目开发计划表'!$G$28</f>
        <v>0</v>
      </c>
      <c r="G207" s="397">
        <f>G206*'9.项目开发计划表'!$G$28</f>
        <v>0</v>
      </c>
      <c r="H207" s="467">
        <f>H206*'9.项目开发计划表'!$G$28</f>
        <v>0</v>
      </c>
      <c r="I207" s="382">
        <f>I206*'9.项目开发计划表'!$G$28</f>
        <v>0</v>
      </c>
      <c r="J207" s="397">
        <f>J206*'9.项目开发计划表'!$G$28</f>
        <v>0</v>
      </c>
      <c r="K207" s="397">
        <f>K206*'9.项目开发计划表'!$G$28</f>
        <v>0</v>
      </c>
      <c r="L207" s="467">
        <f>L206*'9.项目开发计划表'!$G$28</f>
        <v>0</v>
      </c>
      <c r="M207" s="382">
        <f>M206*'9.项目开发计划表'!$G$28</f>
        <v>0</v>
      </c>
      <c r="N207" s="397">
        <f>N206*'9.项目开发计划表'!$G$28</f>
        <v>0</v>
      </c>
      <c r="O207" s="397">
        <f>O206*'9.项目开发计划表'!$G$28</f>
        <v>0</v>
      </c>
      <c r="P207" s="467">
        <f>P206*'9.项目开发计划表'!$G$28</f>
        <v>0</v>
      </c>
      <c r="Q207" s="382">
        <f>Q206*'9.项目开发计划表'!$G$28</f>
        <v>0</v>
      </c>
      <c r="R207" s="397">
        <f>R206*'9.项目开发计划表'!$G$28</f>
        <v>0</v>
      </c>
      <c r="S207" s="397">
        <f>S206*'9.项目开发计划表'!$G$28</f>
        <v>0</v>
      </c>
      <c r="T207" s="467">
        <f>T206*'9.项目开发计划表'!$G$28</f>
        <v>0</v>
      </c>
      <c r="U207" s="382">
        <f>U206*'9.项目开发计划表'!$G$28</f>
        <v>0</v>
      </c>
      <c r="V207" s="397">
        <f>V206*'9.项目开发计划表'!$G$28</f>
        <v>0</v>
      </c>
      <c r="W207" s="397">
        <f>W206*'9.项目开发计划表'!$G$28</f>
        <v>0</v>
      </c>
      <c r="X207" s="467">
        <f>X206*'9.项目开发计划表'!$G$28</f>
        <v>0</v>
      </c>
      <c r="Y207" s="382">
        <f>Y206*'9.项目开发计划表'!$G$28</f>
        <v>0</v>
      </c>
      <c r="Z207" s="397">
        <f>Z206*'9.项目开发计划表'!$G$28</f>
        <v>0</v>
      </c>
      <c r="AA207" s="397">
        <f>AA206*'9.项目开发计划表'!$G$28</f>
        <v>0</v>
      </c>
      <c r="AB207" s="467">
        <f>AB206*'9.项目开发计划表'!$G$28</f>
        <v>0</v>
      </c>
      <c r="AC207" s="382">
        <f>AC206*'9.项目开发计划表'!$G$28</f>
        <v>0</v>
      </c>
      <c r="AD207" s="397">
        <f>AD206*'9.项目开发计划表'!$G$28</f>
        <v>0</v>
      </c>
      <c r="AE207" s="397">
        <f>AE206*'9.项目开发计划表'!$G$28</f>
        <v>0</v>
      </c>
      <c r="AF207" s="467">
        <f>AF206*'9.项目开发计划表'!$G$28</f>
        <v>0</v>
      </c>
      <c r="AG207" s="382">
        <f>AG206*'9.项目开发计划表'!$G$28</f>
        <v>0</v>
      </c>
      <c r="AH207" s="397">
        <f>AH206*'9.项目开发计划表'!$G$28</f>
        <v>0</v>
      </c>
      <c r="AI207" s="397">
        <f>AI206*'9.项目开发计划表'!$G$28</f>
        <v>0</v>
      </c>
      <c r="AJ207" s="467">
        <f>AJ206*'9.项目开发计划表'!$G$28</f>
        <v>0</v>
      </c>
      <c r="AK207" s="382">
        <f>AK206*'9.项目开发计划表'!$G$28</f>
        <v>0</v>
      </c>
      <c r="AL207" s="397">
        <f>AL206*'9.项目开发计划表'!$G$28</f>
        <v>0</v>
      </c>
      <c r="AM207" s="397">
        <f>AM206*'9.项目开发计划表'!$G$28</f>
        <v>0</v>
      </c>
      <c r="AN207" s="467">
        <f>AN206*'9.项目开发计划表'!$G$28</f>
        <v>0</v>
      </c>
      <c r="AO207" s="382">
        <f>AO206*'9.项目开发计划表'!$G$28</f>
        <v>0</v>
      </c>
      <c r="AP207" s="397">
        <f>AP206*'9.项目开发计划表'!$G$28</f>
        <v>0</v>
      </c>
      <c r="AQ207" s="397">
        <f>AQ206*'9.项目开发计划表'!$G$28</f>
        <v>0</v>
      </c>
      <c r="AR207" s="467">
        <f>AR206*'9.项目开发计划表'!$G$28</f>
        <v>0</v>
      </c>
      <c r="AS207" s="382">
        <f>AS206*'9.项目开发计划表'!$G$28</f>
        <v>0</v>
      </c>
      <c r="AT207" s="397">
        <f>AT206*'9.项目开发计划表'!$G$28</f>
        <v>0</v>
      </c>
      <c r="AU207" s="397">
        <f>AU206*'9.项目开发计划表'!$G$28</f>
        <v>0</v>
      </c>
      <c r="AV207" s="467">
        <f>AV206*'9.项目开发计划表'!$G$28</f>
        <v>0</v>
      </c>
      <c r="AW207" s="424" t="str">
        <f t="shared" si="143"/>
        <v>有产权车库(个)</v>
      </c>
    </row>
    <row r="208" spans="1:49" s="424" customFormat="1" ht="13.5" customHeight="1" outlineLevel="1">
      <c r="A208" s="1947"/>
      <c r="B208" s="1949"/>
      <c r="C208" s="461" t="s">
        <v>882</v>
      </c>
      <c r="D208" s="466">
        <f t="shared" si="161"/>
        <v>0</v>
      </c>
      <c r="E208" s="382">
        <f t="shared" ref="E208:AV208" si="162">E205*E207/10000</f>
        <v>0</v>
      </c>
      <c r="F208" s="397">
        <f t="shared" si="162"/>
        <v>0</v>
      </c>
      <c r="G208" s="397">
        <f t="shared" si="162"/>
        <v>0</v>
      </c>
      <c r="H208" s="467">
        <f t="shared" si="162"/>
        <v>0</v>
      </c>
      <c r="I208" s="382">
        <f t="shared" si="162"/>
        <v>0</v>
      </c>
      <c r="J208" s="397">
        <f t="shared" si="162"/>
        <v>0</v>
      </c>
      <c r="K208" s="397">
        <f t="shared" si="162"/>
        <v>0</v>
      </c>
      <c r="L208" s="467">
        <f t="shared" si="162"/>
        <v>0</v>
      </c>
      <c r="M208" s="382">
        <f t="shared" si="162"/>
        <v>0</v>
      </c>
      <c r="N208" s="397">
        <f t="shared" si="162"/>
        <v>0</v>
      </c>
      <c r="O208" s="397">
        <f t="shared" si="162"/>
        <v>0</v>
      </c>
      <c r="P208" s="467">
        <f t="shared" si="162"/>
        <v>0</v>
      </c>
      <c r="Q208" s="382">
        <f t="shared" si="162"/>
        <v>0</v>
      </c>
      <c r="R208" s="397">
        <f t="shared" si="162"/>
        <v>0</v>
      </c>
      <c r="S208" s="397">
        <f t="shared" si="162"/>
        <v>0</v>
      </c>
      <c r="T208" s="467">
        <f t="shared" si="162"/>
        <v>0</v>
      </c>
      <c r="U208" s="382">
        <f t="shared" si="162"/>
        <v>0</v>
      </c>
      <c r="V208" s="397">
        <f t="shared" si="162"/>
        <v>0</v>
      </c>
      <c r="W208" s="397">
        <f t="shared" si="162"/>
        <v>0</v>
      </c>
      <c r="X208" s="467">
        <f t="shared" si="162"/>
        <v>0</v>
      </c>
      <c r="Y208" s="382">
        <f t="shared" si="162"/>
        <v>0</v>
      </c>
      <c r="Z208" s="397">
        <f t="shared" si="162"/>
        <v>0</v>
      </c>
      <c r="AA208" s="397">
        <f t="shared" si="162"/>
        <v>0</v>
      </c>
      <c r="AB208" s="467">
        <f t="shared" si="162"/>
        <v>0</v>
      </c>
      <c r="AC208" s="382">
        <f t="shared" si="162"/>
        <v>0</v>
      </c>
      <c r="AD208" s="397">
        <f t="shared" si="162"/>
        <v>0</v>
      </c>
      <c r="AE208" s="397">
        <f t="shared" si="162"/>
        <v>0</v>
      </c>
      <c r="AF208" s="467">
        <f t="shared" si="162"/>
        <v>0</v>
      </c>
      <c r="AG208" s="382">
        <f t="shared" si="162"/>
        <v>0</v>
      </c>
      <c r="AH208" s="397">
        <f t="shared" si="162"/>
        <v>0</v>
      </c>
      <c r="AI208" s="397">
        <f t="shared" si="162"/>
        <v>0</v>
      </c>
      <c r="AJ208" s="467">
        <f t="shared" si="162"/>
        <v>0</v>
      </c>
      <c r="AK208" s="382">
        <f t="shared" si="162"/>
        <v>0</v>
      </c>
      <c r="AL208" s="397">
        <f t="shared" si="162"/>
        <v>0</v>
      </c>
      <c r="AM208" s="397">
        <f t="shared" si="162"/>
        <v>0</v>
      </c>
      <c r="AN208" s="467">
        <f t="shared" si="162"/>
        <v>0</v>
      </c>
      <c r="AO208" s="382">
        <f t="shared" si="162"/>
        <v>0</v>
      </c>
      <c r="AP208" s="397">
        <f t="shared" si="162"/>
        <v>0</v>
      </c>
      <c r="AQ208" s="397">
        <f t="shared" si="162"/>
        <v>0</v>
      </c>
      <c r="AR208" s="467">
        <f t="shared" si="162"/>
        <v>0</v>
      </c>
      <c r="AS208" s="382">
        <f t="shared" si="162"/>
        <v>0</v>
      </c>
      <c r="AT208" s="397">
        <f t="shared" si="162"/>
        <v>0</v>
      </c>
      <c r="AU208" s="397">
        <f t="shared" si="162"/>
        <v>0</v>
      </c>
      <c r="AV208" s="467">
        <f t="shared" si="162"/>
        <v>0</v>
      </c>
      <c r="AW208" s="424" t="str">
        <f t="shared" si="143"/>
        <v>有产权车库(个)</v>
      </c>
    </row>
    <row r="209" spans="1:49" s="424" customFormat="1" ht="13.5" customHeight="1" outlineLevel="1">
      <c r="A209" s="1947"/>
      <c r="B209" s="1949"/>
      <c r="C209" s="508" t="s">
        <v>450</v>
      </c>
      <c r="D209" s="468">
        <f t="shared" si="161"/>
        <v>0</v>
      </c>
      <c r="E209" s="386">
        <f>SUMIF($I$1:$T$1,B205,$I$2:$T$2)*E208</f>
        <v>0</v>
      </c>
      <c r="F209" s="399">
        <f>(1-SUMIF($I$1:$T$1,B205,$I$2:$T$2))*E208+SUMIF($I$1:$T$1,B205,$I$2:$T$2)*F208</f>
        <v>0</v>
      </c>
      <c r="G209" s="399">
        <f>(1-SUMIF($I$1:$T$1,B205,$I$2:$T$2))*F208+SUMIF($I$1:$T$1,B205,$I$2:$T$2)*G208</f>
        <v>0</v>
      </c>
      <c r="H209" s="404">
        <f>(1-SUMIF($I$1:$T$1,B205,$I$2:$T$2))*G208+SUMIF($I$1:$T$1,B205,$I$2:$T$2)*H208</f>
        <v>0</v>
      </c>
      <c r="I209" s="386">
        <f>(1-SUMIF($I$1:$T$1,B205,$I$2:$T$2))*H208+SUMIF($I$1:$T$1,B205,$I$2:$T$2)*I208</f>
        <v>0</v>
      </c>
      <c r="J209" s="399">
        <f>(1-SUMIF($I$1:$T$1,B205,$I$2:$T$2))*I208+SUMIF($I$1:$T$1,B205,$I$2:$T$2)*J208</f>
        <v>0</v>
      </c>
      <c r="K209" s="399">
        <f>(1-SUMIF($I$1:$T$1,B205,$I$2:$T$2))*J208+SUMIF($I$1:$T$1,B205,$I$2:$T$2)*K208</f>
        <v>0</v>
      </c>
      <c r="L209" s="404">
        <f>(1-SUMIF($I$1:$T$1,B205,$I$2:$T$2))*K208+SUMIF($I$1:$T$1,B205,$I$2:$T$2)*L208</f>
        <v>0</v>
      </c>
      <c r="M209" s="386">
        <f>(1-SUMIF($I$1:$T$1,B205,$I$2:$T$2))*L208+SUMIF($I$1:$T$1,B205,$I$2:$T$2)*M208</f>
        <v>0</v>
      </c>
      <c r="N209" s="399">
        <f>(1-SUMIF($I$1:$T$1,B205,$I$2:$T$2))*M208+SUMIF($I$1:$T$1,B205,$I$2:$T$2)*N208</f>
        <v>0</v>
      </c>
      <c r="O209" s="399">
        <f>(1-SUMIF($I$1:$T$1,B205,$I$2:$T$2))*N208+SUMIF($I$1:$T$1,B205,$I$2:$T$2)*O208</f>
        <v>0</v>
      </c>
      <c r="P209" s="404">
        <f>(1-SUMIF($I$1:$T$1,B205,$I$2:$T$2))*O208+SUMIF($I$1:$T$1,B205,$I$2:$T$2)*P208</f>
        <v>0</v>
      </c>
      <c r="Q209" s="386">
        <f>(1-SUMIF($I$1:$T$1,B205,$I$2:$T$2))*P208+SUMIF($I$1:$T$1,B205,$I$2:$T$2)*Q208</f>
        <v>0</v>
      </c>
      <c r="R209" s="399">
        <f>(1-SUMIF($I$1:$T$1,B205,$I$2:$T$2))*Q208+SUMIF($I$1:$T$1,B205,$I$2:$T$2)*R208</f>
        <v>0</v>
      </c>
      <c r="S209" s="399">
        <f>(1-SUMIF($I$1:$T$1,B205,$I$2:$T$2))*R208+SUMIF($I$1:$T$1,B205,$I$2:$T$2)*S208</f>
        <v>0</v>
      </c>
      <c r="T209" s="404">
        <f>(1-SUMIF($I$1:$T$1,B205,$I$2:$T$2))*S208+SUMIF($I$1:$T$1,B205,$I$2:$T$2)*T208</f>
        <v>0</v>
      </c>
      <c r="U209" s="386">
        <f>(1-SUMIF($I$1:$T$1,B205,$I$2:$T$2))*T208+SUMIF($I$1:$T$1,B205,$I$2:$T$2)*U208</f>
        <v>0</v>
      </c>
      <c r="V209" s="399">
        <f>(1-SUMIF($I$1:$T$1,B205,$I$2:$T$2))*U208+SUMIF($I$1:$T$1,B205,$I$2:$T$2)*V208</f>
        <v>0</v>
      </c>
      <c r="W209" s="399">
        <f>(1-SUMIF($I$1:$T$1,B205,$I$2:$T$2))*V208+SUMIF($I$1:$T$1,B205,$I$2:$T$2)*W208</f>
        <v>0</v>
      </c>
      <c r="X209" s="404">
        <f>(1-SUMIF($I$1:$T$1,B205,$I$2:$T$2))*W208+SUMIF($I$1:$T$1,B205,$I$2:$T$2)*X208</f>
        <v>0</v>
      </c>
      <c r="Y209" s="386">
        <f>(1-SUMIF($I$1:$T$1,B205,$I$2:$T$2))*X208+SUMIF($I$1:$T$1,B205,$I$2:$T$2)*Y208</f>
        <v>0</v>
      </c>
      <c r="Z209" s="399">
        <f>(1-SUMIF($I$1:$T$1,B205,$I$2:$T$2))*Y208+SUMIF($I$1:$T$1,B205,$I$2:$T$2)*Z208</f>
        <v>0</v>
      </c>
      <c r="AA209" s="399">
        <f>(1-SUMIF($I$1:$T$1,B205,$I$2:$T$2))*Z208+SUMIF($I$1:$T$1,B205,$I$2:$T$2)*AA208</f>
        <v>0</v>
      </c>
      <c r="AB209" s="404">
        <f>(1-SUMIF($I$1:$T$1,B205,$I$2:$T$2))*AA208+SUMIF($I$1:$T$1,B205,$I$2:$T$2)*AB208</f>
        <v>0</v>
      </c>
      <c r="AC209" s="386">
        <f>(1-SUMIF($I$1:$T$1,B205,$I$2:$T$2))*AB208+SUMIF($I$1:$T$1,B205,$I$2:$T$2)*AC208</f>
        <v>0</v>
      </c>
      <c r="AD209" s="399">
        <f>(1-SUMIF($I$1:$T$1,B205,$I$2:$T$2))*AC208+SUMIF($I$1:$T$1,B205,$I$2:$T$2)*AD208</f>
        <v>0</v>
      </c>
      <c r="AE209" s="399">
        <f>(1-SUMIF($I$1:$T$1,B205,$I$2:$T$2))*AD208+SUMIF($I$1:$T$1,B205,$I$2:$T$2)*AE208</f>
        <v>0</v>
      </c>
      <c r="AF209" s="404">
        <f>(1-SUMIF($I$1:$T$1,B205,$I$2:$T$2))*AE208+SUMIF($I$1:$T$1,B205,$I$2:$T$2)*AF208</f>
        <v>0</v>
      </c>
      <c r="AG209" s="386">
        <f>(1-SUMIF($I$1:$T$1,B205,$I$2:$T$2))*AF208+SUMIF($I$1:$T$1,B205,$I$2:$T$2)*AG208</f>
        <v>0</v>
      </c>
      <c r="AH209" s="399">
        <f>(1-SUMIF($I$1:$T$1,B205,$I$2:$T$2))*AG208+SUMIF($I$1:$T$1,B205,$I$2:$T$2)*AH208</f>
        <v>0</v>
      </c>
      <c r="AI209" s="399">
        <f>(1-SUMIF($I$1:$T$1,B205,$I$2:$T$2))*AH208+SUMIF($I$1:$T$1,B205,$I$2:$T$2)*AI208</f>
        <v>0</v>
      </c>
      <c r="AJ209" s="404">
        <f>(1-SUMIF($I$1:$T$1,B205,$I$2:$T$2))*AI208+SUMIF($I$1:$T$1,B205,$I$2:$T$2)*AJ208</f>
        <v>0</v>
      </c>
      <c r="AK209" s="386">
        <f>(1-SUMIF($I$1:$T$1,B205,$I$2:$T$2))*AJ208+SUMIF($I$1:$T$1,B205,$I$2:$T$2)*AK208</f>
        <v>0</v>
      </c>
      <c r="AL209" s="399">
        <f>(1-SUMIF($I$1:$T$1,B205,$I$2:$T$2))*AK208+SUMIF($I$1:$T$1,B205,$I$2:$T$2)*AL208</f>
        <v>0</v>
      </c>
      <c r="AM209" s="399">
        <f>(1-SUMIF($I$1:$T$1,B205,$I$2:$T$2))*AL208+SUMIF($I$1:$T$1,B205,$I$2:$T$2)*AM208</f>
        <v>0</v>
      </c>
      <c r="AN209" s="404">
        <f>(1-SUMIF($I$1:$T$1,B205,$I$2:$T$2))*AM208+SUMIF($I$1:$T$1,B205,$I$2:$T$2)*AN208</f>
        <v>0</v>
      </c>
      <c r="AO209" s="386">
        <f>(1-SUMIF($I$1:$T$1,B205,$I$2:$T$2))*AN208+SUMIF($I$1:$T$1,B205,$I$2:$T$2)*AO208</f>
        <v>0</v>
      </c>
      <c r="AP209" s="399">
        <f>(1-SUMIF($I$1:$T$1,B205,$I$2:$T$2))*AO208+SUMIF($I$1:$T$1,B205,$I$2:$T$2)*AP208</f>
        <v>0</v>
      </c>
      <c r="AQ209" s="399">
        <f>(1-SUMIF($I$1:$T$1,B205,$I$2:$T$2))*AP208+SUMIF($I$1:$T$1,B205,$I$2:$T$2)*AQ208</f>
        <v>0</v>
      </c>
      <c r="AR209" s="404">
        <f>(1-SUMIF($I$1:$T$1,B205,$I$2:$T$2))*AQ208+SUMIF($I$1:$T$1,B205,$I$2:$T$2)*AR208</f>
        <v>0</v>
      </c>
      <c r="AS209" s="386">
        <f>(1-SUMIF($I$1:$T$1,B205,$I$2:$T$2))*AR208+SUMIF($I$1:$T$1,B205,$I$2:$T$2)*AS208</f>
        <v>0</v>
      </c>
      <c r="AT209" s="399">
        <f>(1-SUMIF($I$1:$T$1,B205,$I$2:$T$2))*AS208+SUMIF($I$1:$T$1,B205,$I$2:$T$2)*AT208</f>
        <v>0</v>
      </c>
      <c r="AU209" s="399">
        <f>(1-SUMIF($I$1:$T$1,B205,$I$2:$T$2))*AT208+SUMIF($I$1:$T$1,B205,$I$2:$T$2)*AU208</f>
        <v>0</v>
      </c>
      <c r="AV209" s="404">
        <f>(1-SUMIF($I$1:$T$1,B205,$I$2:$T$2))*AU208+SUMIF($I$1:$T$1,B205,$I$2:$T$2)*AV208</f>
        <v>0</v>
      </c>
      <c r="AW209" s="424" t="str">
        <f t="shared" si="143"/>
        <v>有产权车库(个)</v>
      </c>
    </row>
    <row r="210" spans="1:49" s="424" customFormat="1" ht="13.5" customHeight="1" outlineLevel="1">
      <c r="A210" s="1947"/>
      <c r="B210" s="1949" t="str">
        <f>'9.项目开发计划表'!C29</f>
        <v>无产权车库(个)</v>
      </c>
      <c r="C210" s="456" t="s">
        <v>880</v>
      </c>
      <c r="D210" s="457">
        <f>IF(D212=0,0,D213/D212*10000)</f>
        <v>0</v>
      </c>
      <c r="E210" s="505"/>
      <c r="F210" s="506"/>
      <c r="G210" s="506"/>
      <c r="H210" s="507"/>
      <c r="I210" s="505"/>
      <c r="J210" s="506"/>
      <c r="K210" s="506"/>
      <c r="L210" s="507"/>
      <c r="M210" s="505"/>
      <c r="N210" s="506"/>
      <c r="O210" s="506"/>
      <c r="P210" s="507"/>
      <c r="Q210" s="505"/>
      <c r="R210" s="506"/>
      <c r="S210" s="506"/>
      <c r="T210" s="507"/>
      <c r="U210" s="505"/>
      <c r="V210" s="506"/>
      <c r="W210" s="506"/>
      <c r="X210" s="507"/>
      <c r="Y210" s="505"/>
      <c r="Z210" s="506"/>
      <c r="AA210" s="506"/>
      <c r="AB210" s="507"/>
      <c r="AC210" s="505"/>
      <c r="AD210" s="506"/>
      <c r="AE210" s="506"/>
      <c r="AF210" s="507"/>
      <c r="AG210" s="505"/>
      <c r="AH210" s="506"/>
      <c r="AI210" s="506"/>
      <c r="AJ210" s="507"/>
      <c r="AK210" s="505"/>
      <c r="AL210" s="506"/>
      <c r="AM210" s="506"/>
      <c r="AN210" s="507"/>
      <c r="AO210" s="505"/>
      <c r="AP210" s="506"/>
      <c r="AQ210" s="506"/>
      <c r="AR210" s="507"/>
      <c r="AS210" s="505"/>
      <c r="AT210" s="506"/>
      <c r="AU210" s="506"/>
      <c r="AV210" s="507"/>
      <c r="AW210" s="424" t="str">
        <f>B210</f>
        <v>无产权车库(个)</v>
      </c>
    </row>
    <row r="211" spans="1:49" ht="13.5" customHeight="1" outlineLevel="1">
      <c r="A211" s="1947"/>
      <c r="B211" s="1949"/>
      <c r="C211" s="461" t="s">
        <v>881</v>
      </c>
      <c r="D211" s="462">
        <f t="shared" ref="D211:D214" si="163">SUM(E211:AV211)</f>
        <v>0</v>
      </c>
      <c r="E211" s="494"/>
      <c r="F211" s="491"/>
      <c r="G211" s="491"/>
      <c r="H211" s="493"/>
      <c r="I211" s="494"/>
      <c r="J211" s="491"/>
      <c r="K211" s="491"/>
      <c r="L211" s="493"/>
      <c r="M211" s="494"/>
      <c r="N211" s="491"/>
      <c r="O211" s="491"/>
      <c r="P211" s="493"/>
      <c r="Q211" s="494"/>
      <c r="R211" s="491"/>
      <c r="S211" s="491"/>
      <c r="T211" s="493"/>
      <c r="U211" s="494"/>
      <c r="V211" s="491"/>
      <c r="W211" s="491"/>
      <c r="X211" s="493"/>
      <c r="Y211" s="494"/>
      <c r="Z211" s="491"/>
      <c r="AA211" s="491"/>
      <c r="AB211" s="493"/>
      <c r="AC211" s="494"/>
      <c r="AD211" s="491"/>
      <c r="AE211" s="491"/>
      <c r="AF211" s="493"/>
      <c r="AG211" s="494"/>
      <c r="AH211" s="491"/>
      <c r="AI211" s="491"/>
      <c r="AJ211" s="493"/>
      <c r="AK211" s="494"/>
      <c r="AL211" s="491"/>
      <c r="AM211" s="491"/>
      <c r="AN211" s="493"/>
      <c r="AO211" s="494"/>
      <c r="AP211" s="491"/>
      <c r="AQ211" s="491"/>
      <c r="AR211" s="493"/>
      <c r="AS211" s="494"/>
      <c r="AT211" s="491"/>
      <c r="AU211" s="491"/>
      <c r="AV211" s="493"/>
      <c r="AW211" s="424" t="str">
        <f>AW210</f>
        <v>无产权车库(个)</v>
      </c>
    </row>
    <row r="212" spans="1:49" s="424" customFormat="1" ht="13.5" customHeight="1" outlineLevel="1">
      <c r="A212" s="1947"/>
      <c r="B212" s="1949"/>
      <c r="C212" s="461" t="s">
        <v>682</v>
      </c>
      <c r="D212" s="466">
        <f t="shared" si="163"/>
        <v>0</v>
      </c>
      <c r="E212" s="382">
        <f>E211*'9.项目开发计划表'!$G$29</f>
        <v>0</v>
      </c>
      <c r="F212" s="397">
        <f>F211*'9.项目开发计划表'!$G$29</f>
        <v>0</v>
      </c>
      <c r="G212" s="397">
        <f>G211*'9.项目开发计划表'!$G$29</f>
        <v>0</v>
      </c>
      <c r="H212" s="467">
        <f>H211*'9.项目开发计划表'!$G$29</f>
        <v>0</v>
      </c>
      <c r="I212" s="382">
        <f>I211*'9.项目开发计划表'!$G$29</f>
        <v>0</v>
      </c>
      <c r="J212" s="397">
        <f>J211*'9.项目开发计划表'!$G$29</f>
        <v>0</v>
      </c>
      <c r="K212" s="397">
        <f>K211*'9.项目开发计划表'!$G$29</f>
        <v>0</v>
      </c>
      <c r="L212" s="467">
        <f>L211*'9.项目开发计划表'!$G$29</f>
        <v>0</v>
      </c>
      <c r="M212" s="382">
        <f>M211*'9.项目开发计划表'!$G$29</f>
        <v>0</v>
      </c>
      <c r="N212" s="397">
        <f>N211*'9.项目开发计划表'!$G$29</f>
        <v>0</v>
      </c>
      <c r="O212" s="397">
        <f>O211*'9.项目开发计划表'!$G$29</f>
        <v>0</v>
      </c>
      <c r="P212" s="467">
        <f>P211*'9.项目开发计划表'!$G$29</f>
        <v>0</v>
      </c>
      <c r="Q212" s="382">
        <f>Q211*'9.项目开发计划表'!$G$29</f>
        <v>0</v>
      </c>
      <c r="R212" s="397">
        <f>R211*'9.项目开发计划表'!$G$29</f>
        <v>0</v>
      </c>
      <c r="S212" s="397">
        <f>S211*'9.项目开发计划表'!$G$29</f>
        <v>0</v>
      </c>
      <c r="T212" s="467">
        <f>T211*'9.项目开发计划表'!$G$29</f>
        <v>0</v>
      </c>
      <c r="U212" s="382">
        <f>U211*'9.项目开发计划表'!$G$29</f>
        <v>0</v>
      </c>
      <c r="V212" s="397">
        <f>V211*'9.项目开发计划表'!$G$29</f>
        <v>0</v>
      </c>
      <c r="W212" s="397">
        <f>W211*'9.项目开发计划表'!$G$29</f>
        <v>0</v>
      </c>
      <c r="X212" s="467">
        <f>X211*'9.项目开发计划表'!$G$29</f>
        <v>0</v>
      </c>
      <c r="Y212" s="382">
        <f>Y211*'9.项目开发计划表'!$G$29</f>
        <v>0</v>
      </c>
      <c r="Z212" s="397">
        <f>Z211*'9.项目开发计划表'!$G$29</f>
        <v>0</v>
      </c>
      <c r="AA212" s="397">
        <f>AA211*'9.项目开发计划表'!$G$29</f>
        <v>0</v>
      </c>
      <c r="AB212" s="467">
        <f>AB211*'9.项目开发计划表'!$G$29</f>
        <v>0</v>
      </c>
      <c r="AC212" s="382">
        <f>AC211*'9.项目开发计划表'!$G$29</f>
        <v>0</v>
      </c>
      <c r="AD212" s="397">
        <f>AD211*'9.项目开发计划表'!$G$29</f>
        <v>0</v>
      </c>
      <c r="AE212" s="397">
        <f>AE211*'9.项目开发计划表'!$G$29</f>
        <v>0</v>
      </c>
      <c r="AF212" s="467">
        <f>AF211*'9.项目开发计划表'!$G$29</f>
        <v>0</v>
      </c>
      <c r="AG212" s="382">
        <f>AG211*'9.项目开发计划表'!$G$29</f>
        <v>0</v>
      </c>
      <c r="AH212" s="397">
        <f>AH211*'9.项目开发计划表'!$G$29</f>
        <v>0</v>
      </c>
      <c r="AI212" s="397">
        <f>AI211*'9.项目开发计划表'!$G$29</f>
        <v>0</v>
      </c>
      <c r="AJ212" s="467">
        <f>AJ211*'9.项目开发计划表'!$G$29</f>
        <v>0</v>
      </c>
      <c r="AK212" s="382">
        <f>AK211*'9.项目开发计划表'!$G$29</f>
        <v>0</v>
      </c>
      <c r="AL212" s="397">
        <f>AL211*'9.项目开发计划表'!$G$29</f>
        <v>0</v>
      </c>
      <c r="AM212" s="397">
        <f>AM211*'9.项目开发计划表'!$G$29</f>
        <v>0</v>
      </c>
      <c r="AN212" s="467">
        <f>AN211*'9.项目开发计划表'!$G$29</f>
        <v>0</v>
      </c>
      <c r="AO212" s="382">
        <f>AO211*'9.项目开发计划表'!$G$29</f>
        <v>0</v>
      </c>
      <c r="AP212" s="397">
        <f>AP211*'9.项目开发计划表'!$G$29</f>
        <v>0</v>
      </c>
      <c r="AQ212" s="397">
        <f>AQ211*'9.项目开发计划表'!$G$29</f>
        <v>0</v>
      </c>
      <c r="AR212" s="467">
        <f>AR211*'9.项目开发计划表'!$G$29</f>
        <v>0</v>
      </c>
      <c r="AS212" s="382">
        <f>AS211*'9.项目开发计划表'!$G$29</f>
        <v>0</v>
      </c>
      <c r="AT212" s="397">
        <f>AT211*'9.项目开发计划表'!$G$29</f>
        <v>0</v>
      </c>
      <c r="AU212" s="397">
        <f>AU211*'9.项目开发计划表'!$G$29</f>
        <v>0</v>
      </c>
      <c r="AV212" s="467">
        <f>AV211*'9.项目开发计划表'!$G$29</f>
        <v>0</v>
      </c>
      <c r="AW212" s="424" t="str">
        <f t="shared" si="143"/>
        <v>无产权车库(个)</v>
      </c>
    </row>
    <row r="213" spans="1:49" s="424" customFormat="1" ht="13.5" customHeight="1" outlineLevel="1">
      <c r="A213" s="1947"/>
      <c r="B213" s="1949"/>
      <c r="C213" s="461" t="s">
        <v>882</v>
      </c>
      <c r="D213" s="466">
        <f t="shared" si="163"/>
        <v>0</v>
      </c>
      <c r="E213" s="382">
        <f t="shared" ref="E213:AV213" si="164">E210*E212/10000</f>
        <v>0</v>
      </c>
      <c r="F213" s="397">
        <f t="shared" si="164"/>
        <v>0</v>
      </c>
      <c r="G213" s="397">
        <f t="shared" si="164"/>
        <v>0</v>
      </c>
      <c r="H213" s="467">
        <f t="shared" si="164"/>
        <v>0</v>
      </c>
      <c r="I213" s="382">
        <f t="shared" si="164"/>
        <v>0</v>
      </c>
      <c r="J213" s="397">
        <f t="shared" si="164"/>
        <v>0</v>
      </c>
      <c r="K213" s="397">
        <f t="shared" si="164"/>
        <v>0</v>
      </c>
      <c r="L213" s="467">
        <f t="shared" si="164"/>
        <v>0</v>
      </c>
      <c r="M213" s="382">
        <f t="shared" si="164"/>
        <v>0</v>
      </c>
      <c r="N213" s="397">
        <f t="shared" si="164"/>
        <v>0</v>
      </c>
      <c r="O213" s="397">
        <f t="shared" si="164"/>
        <v>0</v>
      </c>
      <c r="P213" s="467">
        <f t="shared" si="164"/>
        <v>0</v>
      </c>
      <c r="Q213" s="382">
        <f t="shared" si="164"/>
        <v>0</v>
      </c>
      <c r="R213" s="397">
        <f t="shared" si="164"/>
        <v>0</v>
      </c>
      <c r="S213" s="397">
        <f t="shared" si="164"/>
        <v>0</v>
      </c>
      <c r="T213" s="467">
        <f t="shared" si="164"/>
        <v>0</v>
      </c>
      <c r="U213" s="382">
        <f t="shared" si="164"/>
        <v>0</v>
      </c>
      <c r="V213" s="397">
        <f t="shared" si="164"/>
        <v>0</v>
      </c>
      <c r="W213" s="397">
        <f t="shared" si="164"/>
        <v>0</v>
      </c>
      <c r="X213" s="467">
        <f t="shared" si="164"/>
        <v>0</v>
      </c>
      <c r="Y213" s="382">
        <f t="shared" si="164"/>
        <v>0</v>
      </c>
      <c r="Z213" s="397">
        <f t="shared" si="164"/>
        <v>0</v>
      </c>
      <c r="AA213" s="397">
        <f t="shared" si="164"/>
        <v>0</v>
      </c>
      <c r="AB213" s="467">
        <f t="shared" si="164"/>
        <v>0</v>
      </c>
      <c r="AC213" s="382">
        <f t="shared" si="164"/>
        <v>0</v>
      </c>
      <c r="AD213" s="397">
        <f t="shared" si="164"/>
        <v>0</v>
      </c>
      <c r="AE213" s="397">
        <f t="shared" si="164"/>
        <v>0</v>
      </c>
      <c r="AF213" s="467">
        <f t="shared" si="164"/>
        <v>0</v>
      </c>
      <c r="AG213" s="382">
        <f t="shared" si="164"/>
        <v>0</v>
      </c>
      <c r="AH213" s="397">
        <f t="shared" si="164"/>
        <v>0</v>
      </c>
      <c r="AI213" s="397">
        <f t="shared" si="164"/>
        <v>0</v>
      </c>
      <c r="AJ213" s="467">
        <f t="shared" si="164"/>
        <v>0</v>
      </c>
      <c r="AK213" s="382">
        <f t="shared" si="164"/>
        <v>0</v>
      </c>
      <c r="AL213" s="397">
        <f t="shared" si="164"/>
        <v>0</v>
      </c>
      <c r="AM213" s="397">
        <f t="shared" si="164"/>
        <v>0</v>
      </c>
      <c r="AN213" s="467">
        <f t="shared" si="164"/>
        <v>0</v>
      </c>
      <c r="AO213" s="382">
        <f t="shared" si="164"/>
        <v>0</v>
      </c>
      <c r="AP213" s="397">
        <f t="shared" si="164"/>
        <v>0</v>
      </c>
      <c r="AQ213" s="397">
        <f t="shared" si="164"/>
        <v>0</v>
      </c>
      <c r="AR213" s="467">
        <f t="shared" si="164"/>
        <v>0</v>
      </c>
      <c r="AS213" s="382">
        <f t="shared" si="164"/>
        <v>0</v>
      </c>
      <c r="AT213" s="397">
        <f t="shared" si="164"/>
        <v>0</v>
      </c>
      <c r="AU213" s="397">
        <f t="shared" si="164"/>
        <v>0</v>
      </c>
      <c r="AV213" s="467">
        <f t="shared" si="164"/>
        <v>0</v>
      </c>
      <c r="AW213" s="424" t="str">
        <f t="shared" si="143"/>
        <v>无产权车库(个)</v>
      </c>
    </row>
    <row r="214" spans="1:49" s="424" customFormat="1" ht="13.5" customHeight="1" outlineLevel="1">
      <c r="A214" s="1948"/>
      <c r="B214" s="1950"/>
      <c r="C214" s="498" t="s">
        <v>450</v>
      </c>
      <c r="D214" s="499">
        <f t="shared" si="163"/>
        <v>0</v>
      </c>
      <c r="E214" s="386">
        <f>SUMIF($I$1:$T$1,B210,$I$2:$T$2)*E213</f>
        <v>0</v>
      </c>
      <c r="F214" s="399">
        <f>(1-SUMIF($I$1:$T$1,B210,$I$2:$T$2))*E213+SUMIF($I$1:$T$1,B210,$I$2:$T$2)*F213</f>
        <v>0</v>
      </c>
      <c r="G214" s="399">
        <f>(1-SUMIF($I$1:$T$1,B210,$I$2:$T$2))*F213+SUMIF($I$1:$T$1,B210,$I$2:$T$2)*G213</f>
        <v>0</v>
      </c>
      <c r="H214" s="404">
        <f>(1-SUMIF($I$1:$T$1,B210,$I$2:$T$2))*G213+SUMIF($I$1:$T$1,B210,$I$2:$T$2)*H213</f>
        <v>0</v>
      </c>
      <c r="I214" s="386">
        <f>(1-SUMIF($I$1:$T$1,B210,$I$2:$T$2))*H213+SUMIF($I$1:$T$1,B210,$I$2:$T$2)*I213</f>
        <v>0</v>
      </c>
      <c r="J214" s="399">
        <f>(1-SUMIF($I$1:$T$1,B210,$I$2:$T$2))*I213+SUMIF($I$1:$T$1,B210,$I$2:$T$2)*J213</f>
        <v>0</v>
      </c>
      <c r="K214" s="399">
        <f>(1-SUMIF($I$1:$T$1,B210,$I$2:$T$2))*J213+SUMIF($I$1:$T$1,B210,$I$2:$T$2)*K213</f>
        <v>0</v>
      </c>
      <c r="L214" s="404">
        <f>(1-SUMIF($I$1:$T$1,B210,$I$2:$T$2))*K213+SUMIF($I$1:$T$1,B210,$I$2:$T$2)*L213</f>
        <v>0</v>
      </c>
      <c r="M214" s="386">
        <f>(1-SUMIF($I$1:$T$1,B210,$I$2:$T$2))*L213+SUMIF($I$1:$T$1,B210,$I$2:$T$2)*M213</f>
        <v>0</v>
      </c>
      <c r="N214" s="399">
        <f>(1-SUMIF($I$1:$T$1,B210,$I$2:$T$2))*M213+SUMIF($I$1:$T$1,B210,$I$2:$T$2)*N213</f>
        <v>0</v>
      </c>
      <c r="O214" s="399">
        <f>(1-SUMIF($I$1:$T$1,B210,$I$2:$T$2))*N213+SUMIF($I$1:$T$1,B210,$I$2:$T$2)*O213</f>
        <v>0</v>
      </c>
      <c r="P214" s="404">
        <f>(1-SUMIF($I$1:$T$1,B210,$I$2:$T$2))*O213+SUMIF($I$1:$T$1,B210,$I$2:$T$2)*P213</f>
        <v>0</v>
      </c>
      <c r="Q214" s="386">
        <f>(1-SUMIF($I$1:$T$1,B210,$I$2:$T$2))*P213+SUMIF($I$1:$T$1,B210,$I$2:$T$2)*Q213</f>
        <v>0</v>
      </c>
      <c r="R214" s="399">
        <f>(1-SUMIF($I$1:$T$1,B210,$I$2:$T$2))*Q213+SUMIF($I$1:$T$1,B210,$I$2:$T$2)*R213</f>
        <v>0</v>
      </c>
      <c r="S214" s="399">
        <f>(1-SUMIF($I$1:$T$1,B210,$I$2:$T$2))*R213+SUMIF($I$1:$T$1,B210,$I$2:$T$2)*S213</f>
        <v>0</v>
      </c>
      <c r="T214" s="404">
        <f>(1-SUMIF($I$1:$T$1,B210,$I$2:$T$2))*S213+SUMIF($I$1:$T$1,B210,$I$2:$T$2)*T213</f>
        <v>0</v>
      </c>
      <c r="U214" s="386">
        <f>(1-SUMIF($I$1:$T$1,B210,$I$2:$T$2))*T213+SUMIF($I$1:$T$1,B210,$I$2:$T$2)*U213</f>
        <v>0</v>
      </c>
      <c r="V214" s="399">
        <f>(1-SUMIF($I$1:$T$1,B210,$I$2:$T$2))*U213+SUMIF($I$1:$T$1,B210,$I$2:$T$2)*V213</f>
        <v>0</v>
      </c>
      <c r="W214" s="399">
        <f>(1-SUMIF($I$1:$T$1,B210,$I$2:$T$2))*V213+SUMIF($I$1:$T$1,B210,$I$2:$T$2)*W213</f>
        <v>0</v>
      </c>
      <c r="X214" s="404">
        <f>(1-SUMIF($I$1:$T$1,B210,$I$2:$T$2))*W213+SUMIF($I$1:$T$1,B210,$I$2:$T$2)*X213</f>
        <v>0</v>
      </c>
      <c r="Y214" s="386">
        <f>(1-SUMIF($I$1:$T$1,B210,$I$2:$T$2))*X213+SUMIF($I$1:$T$1,B210,$I$2:$T$2)*Y213</f>
        <v>0</v>
      </c>
      <c r="Z214" s="399">
        <f>(1-SUMIF($I$1:$T$1,B210,$I$2:$T$2))*Y213+SUMIF($I$1:$T$1,B210,$I$2:$T$2)*Z213</f>
        <v>0</v>
      </c>
      <c r="AA214" s="399">
        <f>(1-SUMIF($I$1:$T$1,B210,$I$2:$T$2))*Z213+SUMIF($I$1:$T$1,B210,$I$2:$T$2)*AA213</f>
        <v>0</v>
      </c>
      <c r="AB214" s="404">
        <f>(1-SUMIF($I$1:$T$1,B210,$I$2:$T$2))*AA213+SUMIF($I$1:$T$1,B210,$I$2:$T$2)*AB213</f>
        <v>0</v>
      </c>
      <c r="AC214" s="386">
        <f>(1-SUMIF($I$1:$T$1,B210,$I$2:$T$2))*AB213+SUMIF($I$1:$T$1,B210,$I$2:$T$2)*AC213</f>
        <v>0</v>
      </c>
      <c r="AD214" s="399">
        <f>(1-SUMIF($I$1:$T$1,B210,$I$2:$T$2))*AC213+SUMIF($I$1:$T$1,B210,$I$2:$T$2)*AD213</f>
        <v>0</v>
      </c>
      <c r="AE214" s="399">
        <f>(1-SUMIF($I$1:$T$1,B210,$I$2:$T$2))*AD213+SUMIF($I$1:$T$1,B210,$I$2:$T$2)*AE213</f>
        <v>0</v>
      </c>
      <c r="AF214" s="404">
        <f>(1-SUMIF($I$1:$T$1,B210,$I$2:$T$2))*AE213+SUMIF($I$1:$T$1,B210,$I$2:$T$2)*AF213</f>
        <v>0</v>
      </c>
      <c r="AG214" s="386">
        <f>(1-SUMIF($I$1:$T$1,B210,$I$2:$T$2))*AF213+SUMIF($I$1:$T$1,B210,$I$2:$T$2)*AG213</f>
        <v>0</v>
      </c>
      <c r="AH214" s="399">
        <f>(1-SUMIF($I$1:$T$1,B210,$I$2:$T$2))*AG213+SUMIF($I$1:$T$1,B210,$I$2:$T$2)*AH213</f>
        <v>0</v>
      </c>
      <c r="AI214" s="399">
        <f>(1-SUMIF($I$1:$T$1,B210,$I$2:$T$2))*AH213+SUMIF($I$1:$T$1,B210,$I$2:$T$2)*AI213</f>
        <v>0</v>
      </c>
      <c r="AJ214" s="404">
        <f>(1-SUMIF($I$1:$T$1,B210,$I$2:$T$2))*AI213+SUMIF($I$1:$T$1,B210,$I$2:$T$2)*AJ213</f>
        <v>0</v>
      </c>
      <c r="AK214" s="386">
        <f>(1-SUMIF($I$1:$T$1,B210,$I$2:$T$2))*AJ213+SUMIF($I$1:$T$1,B210,$I$2:$T$2)*AK213</f>
        <v>0</v>
      </c>
      <c r="AL214" s="399">
        <f>(1-SUMIF($I$1:$T$1,B210,$I$2:$T$2))*AK213+SUMIF($I$1:$T$1,B210,$I$2:$T$2)*AL213</f>
        <v>0</v>
      </c>
      <c r="AM214" s="399">
        <f>(1-SUMIF($I$1:$T$1,B210,$I$2:$T$2))*AL213+SUMIF($I$1:$T$1,B210,$I$2:$T$2)*AM213</f>
        <v>0</v>
      </c>
      <c r="AN214" s="404">
        <f>(1-SUMIF($I$1:$T$1,B210,$I$2:$T$2))*AM213+SUMIF($I$1:$T$1,B210,$I$2:$T$2)*AN213</f>
        <v>0</v>
      </c>
      <c r="AO214" s="386">
        <f>(1-SUMIF($I$1:$T$1,B210,$I$2:$T$2))*AN213+SUMIF($I$1:$T$1,B210,$I$2:$T$2)*AO213</f>
        <v>0</v>
      </c>
      <c r="AP214" s="399">
        <f>(1-SUMIF($I$1:$T$1,B210,$I$2:$T$2))*AO213+SUMIF($I$1:$T$1,B210,$I$2:$T$2)*AP213</f>
        <v>0</v>
      </c>
      <c r="AQ214" s="399">
        <f>(1-SUMIF($I$1:$T$1,B210,$I$2:$T$2))*AP213+SUMIF($I$1:$T$1,B210,$I$2:$T$2)*AQ213</f>
        <v>0</v>
      </c>
      <c r="AR214" s="404">
        <f>(1-SUMIF($I$1:$T$1,B210,$I$2:$T$2))*AQ213+SUMIF($I$1:$T$1,B210,$I$2:$T$2)*AR213</f>
        <v>0</v>
      </c>
      <c r="AS214" s="386">
        <f>(1-SUMIF($I$1:$T$1,B210,$I$2:$T$2))*AR213+SUMIF($I$1:$T$1,B210,$I$2:$T$2)*AS213</f>
        <v>0</v>
      </c>
      <c r="AT214" s="399">
        <f>(1-SUMIF($I$1:$T$1,B210,$I$2:$T$2))*AS213+SUMIF($I$1:$T$1,B210,$I$2:$T$2)*AT213</f>
        <v>0</v>
      </c>
      <c r="AU214" s="399">
        <f>(1-SUMIF($I$1:$T$1,B210,$I$2:$T$2))*AT213+SUMIF($I$1:$T$1,B210,$I$2:$T$2)*AU213</f>
        <v>0</v>
      </c>
      <c r="AV214" s="404">
        <f>(1-SUMIF($I$1:$T$1,B210,$I$2:$T$2))*AU213+SUMIF($I$1:$T$1,B210,$I$2:$T$2)*AV213</f>
        <v>0</v>
      </c>
      <c r="AW214" s="424" t="str">
        <f t="shared" si="143"/>
        <v>无产权车库(个)</v>
      </c>
    </row>
    <row r="215" spans="1:49" s="424" customFormat="1" ht="13.5" customHeight="1">
      <c r="A215" s="1946" t="s">
        <v>21</v>
      </c>
      <c r="B215" s="1951" t="s">
        <v>891</v>
      </c>
      <c r="C215" s="500" t="s">
        <v>880</v>
      </c>
      <c r="D215" s="501">
        <f>IF(D217=0,0,D218/D217*10000)</f>
        <v>0</v>
      </c>
      <c r="E215" s="502">
        <f t="shared" ref="E215:AV215" si="165">IF(E217=0,0,E218/E217*10000)</f>
        <v>0</v>
      </c>
      <c r="F215" s="503">
        <f t="shared" si="165"/>
        <v>0</v>
      </c>
      <c r="G215" s="503">
        <f t="shared" si="165"/>
        <v>0</v>
      </c>
      <c r="H215" s="504">
        <f t="shared" si="165"/>
        <v>0</v>
      </c>
      <c r="I215" s="502">
        <f t="shared" si="165"/>
        <v>0</v>
      </c>
      <c r="J215" s="503">
        <f t="shared" si="165"/>
        <v>0</v>
      </c>
      <c r="K215" s="503">
        <f t="shared" si="165"/>
        <v>0</v>
      </c>
      <c r="L215" s="504">
        <f t="shared" si="165"/>
        <v>0</v>
      </c>
      <c r="M215" s="502">
        <f t="shared" si="165"/>
        <v>0</v>
      </c>
      <c r="N215" s="503">
        <f t="shared" si="165"/>
        <v>0</v>
      </c>
      <c r="O215" s="503">
        <f t="shared" si="165"/>
        <v>0</v>
      </c>
      <c r="P215" s="504">
        <f t="shared" si="165"/>
        <v>0</v>
      </c>
      <c r="Q215" s="502">
        <f t="shared" si="165"/>
        <v>0</v>
      </c>
      <c r="R215" s="503">
        <f t="shared" si="165"/>
        <v>0</v>
      </c>
      <c r="S215" s="503">
        <f t="shared" si="165"/>
        <v>0</v>
      </c>
      <c r="T215" s="504">
        <f t="shared" si="165"/>
        <v>0</v>
      </c>
      <c r="U215" s="502">
        <f t="shared" si="165"/>
        <v>0</v>
      </c>
      <c r="V215" s="503">
        <f t="shared" si="165"/>
        <v>0</v>
      </c>
      <c r="W215" s="503">
        <f t="shared" si="165"/>
        <v>0</v>
      </c>
      <c r="X215" s="504">
        <f t="shared" si="165"/>
        <v>0</v>
      </c>
      <c r="Y215" s="502">
        <f t="shared" si="165"/>
        <v>0</v>
      </c>
      <c r="Z215" s="503">
        <f t="shared" si="165"/>
        <v>0</v>
      </c>
      <c r="AA215" s="503">
        <f t="shared" si="165"/>
        <v>0</v>
      </c>
      <c r="AB215" s="504">
        <f t="shared" si="165"/>
        <v>0</v>
      </c>
      <c r="AC215" s="502">
        <f t="shared" si="165"/>
        <v>0</v>
      </c>
      <c r="AD215" s="503">
        <f t="shared" si="165"/>
        <v>0</v>
      </c>
      <c r="AE215" s="503">
        <f t="shared" si="165"/>
        <v>0</v>
      </c>
      <c r="AF215" s="504">
        <f t="shared" si="165"/>
        <v>0</v>
      </c>
      <c r="AG215" s="502">
        <f t="shared" si="165"/>
        <v>0</v>
      </c>
      <c r="AH215" s="503">
        <f t="shared" si="165"/>
        <v>0</v>
      </c>
      <c r="AI215" s="503">
        <f t="shared" si="165"/>
        <v>0</v>
      </c>
      <c r="AJ215" s="504">
        <f t="shared" si="165"/>
        <v>0</v>
      </c>
      <c r="AK215" s="502">
        <f t="shared" si="165"/>
        <v>0</v>
      </c>
      <c r="AL215" s="503">
        <f t="shared" si="165"/>
        <v>0</v>
      </c>
      <c r="AM215" s="503">
        <f t="shared" si="165"/>
        <v>0</v>
      </c>
      <c r="AN215" s="504">
        <f t="shared" si="165"/>
        <v>0</v>
      </c>
      <c r="AO215" s="502">
        <f t="shared" si="165"/>
        <v>0</v>
      </c>
      <c r="AP215" s="503">
        <f t="shared" si="165"/>
        <v>0</v>
      </c>
      <c r="AQ215" s="503">
        <f t="shared" si="165"/>
        <v>0</v>
      </c>
      <c r="AR215" s="504">
        <f t="shared" si="165"/>
        <v>0</v>
      </c>
      <c r="AS215" s="502">
        <f t="shared" si="165"/>
        <v>0</v>
      </c>
      <c r="AT215" s="503">
        <f t="shared" si="165"/>
        <v>0</v>
      </c>
      <c r="AU215" s="503">
        <f t="shared" si="165"/>
        <v>0</v>
      </c>
      <c r="AV215" s="504">
        <f t="shared" si="165"/>
        <v>0</v>
      </c>
      <c r="AW215" s="473"/>
    </row>
    <row r="216" spans="1:49" ht="13.5" customHeight="1">
      <c r="A216" s="1947"/>
      <c r="B216" s="1952"/>
      <c r="C216" s="438" t="s">
        <v>881</v>
      </c>
      <c r="D216" s="439">
        <f>SUM(E216:AV216)</f>
        <v>0</v>
      </c>
      <c r="E216" s="440">
        <f t="shared" ref="E216:AV216" si="166">IFERROR(E217/$D217,0)</f>
        <v>0</v>
      </c>
      <c r="F216" s="441">
        <f t="shared" si="166"/>
        <v>0</v>
      </c>
      <c r="G216" s="441">
        <f t="shared" si="166"/>
        <v>0</v>
      </c>
      <c r="H216" s="442">
        <f t="shared" si="166"/>
        <v>0</v>
      </c>
      <c r="I216" s="440">
        <f t="shared" si="166"/>
        <v>0</v>
      </c>
      <c r="J216" s="441">
        <f t="shared" si="166"/>
        <v>0</v>
      </c>
      <c r="K216" s="441">
        <f t="shared" si="166"/>
        <v>0</v>
      </c>
      <c r="L216" s="442">
        <f t="shared" si="166"/>
        <v>0</v>
      </c>
      <c r="M216" s="440">
        <f t="shared" si="166"/>
        <v>0</v>
      </c>
      <c r="N216" s="441">
        <f t="shared" si="166"/>
        <v>0</v>
      </c>
      <c r="O216" s="441">
        <f t="shared" si="166"/>
        <v>0</v>
      </c>
      <c r="P216" s="442">
        <f t="shared" si="166"/>
        <v>0</v>
      </c>
      <c r="Q216" s="440">
        <f t="shared" si="166"/>
        <v>0</v>
      </c>
      <c r="R216" s="441">
        <f t="shared" si="166"/>
        <v>0</v>
      </c>
      <c r="S216" s="441">
        <f t="shared" si="166"/>
        <v>0</v>
      </c>
      <c r="T216" s="442">
        <f t="shared" si="166"/>
        <v>0</v>
      </c>
      <c r="U216" s="440">
        <f t="shared" si="166"/>
        <v>0</v>
      </c>
      <c r="V216" s="441">
        <f t="shared" si="166"/>
        <v>0</v>
      </c>
      <c r="W216" s="441">
        <f t="shared" si="166"/>
        <v>0</v>
      </c>
      <c r="X216" s="442">
        <f t="shared" si="166"/>
        <v>0</v>
      </c>
      <c r="Y216" s="440">
        <f t="shared" si="166"/>
        <v>0</v>
      </c>
      <c r="Z216" s="441">
        <f t="shared" si="166"/>
        <v>0</v>
      </c>
      <c r="AA216" s="441">
        <f t="shared" si="166"/>
        <v>0</v>
      </c>
      <c r="AB216" s="442">
        <f t="shared" si="166"/>
        <v>0</v>
      </c>
      <c r="AC216" s="440">
        <f t="shared" si="166"/>
        <v>0</v>
      </c>
      <c r="AD216" s="441">
        <f t="shared" si="166"/>
        <v>0</v>
      </c>
      <c r="AE216" s="441">
        <f t="shared" si="166"/>
        <v>0</v>
      </c>
      <c r="AF216" s="442">
        <f t="shared" si="166"/>
        <v>0</v>
      </c>
      <c r="AG216" s="440">
        <f t="shared" si="166"/>
        <v>0</v>
      </c>
      <c r="AH216" s="441">
        <f t="shared" si="166"/>
        <v>0</v>
      </c>
      <c r="AI216" s="441">
        <f t="shared" si="166"/>
        <v>0</v>
      </c>
      <c r="AJ216" s="442">
        <f t="shared" si="166"/>
        <v>0</v>
      </c>
      <c r="AK216" s="440">
        <f t="shared" si="166"/>
        <v>0</v>
      </c>
      <c r="AL216" s="441">
        <f t="shared" si="166"/>
        <v>0</v>
      </c>
      <c r="AM216" s="441">
        <f t="shared" si="166"/>
        <v>0</v>
      </c>
      <c r="AN216" s="442">
        <f t="shared" si="166"/>
        <v>0</v>
      </c>
      <c r="AO216" s="440">
        <f t="shared" si="166"/>
        <v>0</v>
      </c>
      <c r="AP216" s="441">
        <f t="shared" si="166"/>
        <v>0</v>
      </c>
      <c r="AQ216" s="441">
        <f t="shared" si="166"/>
        <v>0</v>
      </c>
      <c r="AR216" s="442">
        <f t="shared" si="166"/>
        <v>0</v>
      </c>
      <c r="AS216" s="440">
        <f t="shared" si="166"/>
        <v>0</v>
      </c>
      <c r="AT216" s="441">
        <f t="shared" si="166"/>
        <v>0</v>
      </c>
      <c r="AU216" s="441">
        <f t="shared" si="166"/>
        <v>0</v>
      </c>
      <c r="AV216" s="442">
        <f t="shared" si="166"/>
        <v>0</v>
      </c>
      <c r="AW216" s="78"/>
    </row>
    <row r="217" spans="1:49" s="424" customFormat="1" ht="13.5" customHeight="1">
      <c r="A217" s="1947"/>
      <c r="B217" s="1952"/>
      <c r="C217" s="438" t="s">
        <v>682</v>
      </c>
      <c r="D217" s="443">
        <f t="shared" ref="D217:AV217" si="167">SUM(D227,D232,D237,D242,D247,D252,D257,D262,D267,D272)</f>
        <v>0</v>
      </c>
      <c r="E217" s="444">
        <f t="shared" si="167"/>
        <v>0</v>
      </c>
      <c r="F217" s="445">
        <f t="shared" si="167"/>
        <v>0</v>
      </c>
      <c r="G217" s="445">
        <f t="shared" si="167"/>
        <v>0</v>
      </c>
      <c r="H217" s="446">
        <f t="shared" si="167"/>
        <v>0</v>
      </c>
      <c r="I217" s="444">
        <f t="shared" si="167"/>
        <v>0</v>
      </c>
      <c r="J217" s="445">
        <f t="shared" si="167"/>
        <v>0</v>
      </c>
      <c r="K217" s="445">
        <f t="shared" si="167"/>
        <v>0</v>
      </c>
      <c r="L217" s="446">
        <f t="shared" si="167"/>
        <v>0</v>
      </c>
      <c r="M217" s="444">
        <f t="shared" si="167"/>
        <v>0</v>
      </c>
      <c r="N217" s="445">
        <f t="shared" si="167"/>
        <v>0</v>
      </c>
      <c r="O217" s="445">
        <f t="shared" si="167"/>
        <v>0</v>
      </c>
      <c r="P217" s="446">
        <f t="shared" si="167"/>
        <v>0</v>
      </c>
      <c r="Q217" s="444">
        <f t="shared" si="167"/>
        <v>0</v>
      </c>
      <c r="R217" s="445">
        <f t="shared" si="167"/>
        <v>0</v>
      </c>
      <c r="S217" s="445">
        <f t="shared" si="167"/>
        <v>0</v>
      </c>
      <c r="T217" s="446">
        <f t="shared" si="167"/>
        <v>0</v>
      </c>
      <c r="U217" s="444">
        <f t="shared" si="167"/>
        <v>0</v>
      </c>
      <c r="V217" s="445">
        <f t="shared" si="167"/>
        <v>0</v>
      </c>
      <c r="W217" s="445">
        <f t="shared" si="167"/>
        <v>0</v>
      </c>
      <c r="X217" s="446">
        <f t="shared" si="167"/>
        <v>0</v>
      </c>
      <c r="Y217" s="444">
        <f t="shared" si="167"/>
        <v>0</v>
      </c>
      <c r="Z217" s="445">
        <f t="shared" si="167"/>
        <v>0</v>
      </c>
      <c r="AA217" s="445">
        <f t="shared" si="167"/>
        <v>0</v>
      </c>
      <c r="AB217" s="446">
        <f t="shared" si="167"/>
        <v>0</v>
      </c>
      <c r="AC217" s="444">
        <f t="shared" si="167"/>
        <v>0</v>
      </c>
      <c r="AD217" s="445">
        <f t="shared" si="167"/>
        <v>0</v>
      </c>
      <c r="AE217" s="445">
        <f t="shared" si="167"/>
        <v>0</v>
      </c>
      <c r="AF217" s="446">
        <f t="shared" si="167"/>
        <v>0</v>
      </c>
      <c r="AG217" s="444">
        <f t="shared" si="167"/>
        <v>0</v>
      </c>
      <c r="AH217" s="445">
        <f t="shared" si="167"/>
        <v>0</v>
      </c>
      <c r="AI217" s="445">
        <f t="shared" si="167"/>
        <v>0</v>
      </c>
      <c r="AJ217" s="446">
        <f t="shared" si="167"/>
        <v>0</v>
      </c>
      <c r="AK217" s="444">
        <f t="shared" si="167"/>
        <v>0</v>
      </c>
      <c r="AL217" s="445">
        <f t="shared" si="167"/>
        <v>0</v>
      </c>
      <c r="AM217" s="445">
        <f t="shared" si="167"/>
        <v>0</v>
      </c>
      <c r="AN217" s="446">
        <f t="shared" si="167"/>
        <v>0</v>
      </c>
      <c r="AO217" s="444">
        <f t="shared" si="167"/>
        <v>0</v>
      </c>
      <c r="AP217" s="445">
        <f t="shared" si="167"/>
        <v>0</v>
      </c>
      <c r="AQ217" s="445">
        <f t="shared" si="167"/>
        <v>0</v>
      </c>
      <c r="AR217" s="446">
        <f t="shared" si="167"/>
        <v>0</v>
      </c>
      <c r="AS217" s="444">
        <f t="shared" si="167"/>
        <v>0</v>
      </c>
      <c r="AT217" s="445">
        <f t="shared" si="167"/>
        <v>0</v>
      </c>
      <c r="AU217" s="445">
        <f t="shared" si="167"/>
        <v>0</v>
      </c>
      <c r="AV217" s="446">
        <f t="shared" si="167"/>
        <v>0</v>
      </c>
      <c r="AW217" s="473"/>
    </row>
    <row r="218" spans="1:49" s="424" customFormat="1" ht="13.5" customHeight="1">
      <c r="A218" s="1947"/>
      <c r="B218" s="1952"/>
      <c r="C218" s="438" t="s">
        <v>882</v>
      </c>
      <c r="D218" s="443">
        <f t="shared" ref="D218:AV218" si="168">SUM(D228,D233,D238,D243,D248,D253,D258,D263,D268,D273)</f>
        <v>0</v>
      </c>
      <c r="E218" s="444">
        <f t="shared" si="168"/>
        <v>0</v>
      </c>
      <c r="F218" s="445">
        <f t="shared" si="168"/>
        <v>0</v>
      </c>
      <c r="G218" s="445">
        <f t="shared" si="168"/>
        <v>0</v>
      </c>
      <c r="H218" s="446">
        <f t="shared" si="168"/>
        <v>0</v>
      </c>
      <c r="I218" s="444">
        <f t="shared" si="168"/>
        <v>0</v>
      </c>
      <c r="J218" s="445">
        <f t="shared" si="168"/>
        <v>0</v>
      </c>
      <c r="K218" s="445">
        <f t="shared" si="168"/>
        <v>0</v>
      </c>
      <c r="L218" s="446">
        <f t="shared" si="168"/>
        <v>0</v>
      </c>
      <c r="M218" s="444">
        <f t="shared" si="168"/>
        <v>0</v>
      </c>
      <c r="N218" s="445">
        <f t="shared" si="168"/>
        <v>0</v>
      </c>
      <c r="O218" s="445">
        <f t="shared" si="168"/>
        <v>0</v>
      </c>
      <c r="P218" s="446">
        <f t="shared" si="168"/>
        <v>0</v>
      </c>
      <c r="Q218" s="444">
        <f t="shared" si="168"/>
        <v>0</v>
      </c>
      <c r="R218" s="445">
        <f t="shared" si="168"/>
        <v>0</v>
      </c>
      <c r="S218" s="445">
        <f t="shared" si="168"/>
        <v>0</v>
      </c>
      <c r="T218" s="446">
        <f t="shared" si="168"/>
        <v>0</v>
      </c>
      <c r="U218" s="444">
        <f t="shared" si="168"/>
        <v>0</v>
      </c>
      <c r="V218" s="445">
        <f t="shared" si="168"/>
        <v>0</v>
      </c>
      <c r="W218" s="445">
        <f t="shared" si="168"/>
        <v>0</v>
      </c>
      <c r="X218" s="446">
        <f t="shared" si="168"/>
        <v>0</v>
      </c>
      <c r="Y218" s="444">
        <f t="shared" si="168"/>
        <v>0</v>
      </c>
      <c r="Z218" s="445">
        <f t="shared" si="168"/>
        <v>0</v>
      </c>
      <c r="AA218" s="445">
        <f t="shared" si="168"/>
        <v>0</v>
      </c>
      <c r="AB218" s="446">
        <f t="shared" si="168"/>
        <v>0</v>
      </c>
      <c r="AC218" s="444">
        <f t="shared" si="168"/>
        <v>0</v>
      </c>
      <c r="AD218" s="445">
        <f t="shared" si="168"/>
        <v>0</v>
      </c>
      <c r="AE218" s="445">
        <f t="shared" si="168"/>
        <v>0</v>
      </c>
      <c r="AF218" s="446">
        <f t="shared" si="168"/>
        <v>0</v>
      </c>
      <c r="AG218" s="444">
        <f t="shared" si="168"/>
        <v>0</v>
      </c>
      <c r="AH218" s="445">
        <f t="shared" si="168"/>
        <v>0</v>
      </c>
      <c r="AI218" s="445">
        <f t="shared" si="168"/>
        <v>0</v>
      </c>
      <c r="AJ218" s="446">
        <f t="shared" si="168"/>
        <v>0</v>
      </c>
      <c r="AK218" s="444">
        <f t="shared" si="168"/>
        <v>0</v>
      </c>
      <c r="AL218" s="445">
        <f t="shared" si="168"/>
        <v>0</v>
      </c>
      <c r="AM218" s="445">
        <f t="shared" si="168"/>
        <v>0</v>
      </c>
      <c r="AN218" s="446">
        <f t="shared" si="168"/>
        <v>0</v>
      </c>
      <c r="AO218" s="444">
        <f t="shared" si="168"/>
        <v>0</v>
      </c>
      <c r="AP218" s="445">
        <f t="shared" si="168"/>
        <v>0</v>
      </c>
      <c r="AQ218" s="445">
        <f t="shared" si="168"/>
        <v>0</v>
      </c>
      <c r="AR218" s="446">
        <f t="shared" si="168"/>
        <v>0</v>
      </c>
      <c r="AS218" s="444">
        <f t="shared" si="168"/>
        <v>0</v>
      </c>
      <c r="AT218" s="445">
        <f t="shared" si="168"/>
        <v>0</v>
      </c>
      <c r="AU218" s="445">
        <f t="shared" si="168"/>
        <v>0</v>
      </c>
      <c r="AV218" s="446">
        <f t="shared" si="168"/>
        <v>0</v>
      </c>
      <c r="AW218" s="473"/>
    </row>
    <row r="219" spans="1:49" s="424" customFormat="1" ht="13.5" customHeight="1">
      <c r="A219" s="1947"/>
      <c r="B219" s="1953"/>
      <c r="C219" s="447" t="s">
        <v>450</v>
      </c>
      <c r="D219" s="448">
        <f t="shared" ref="D219:AV219" si="169">SUM(D229,D234,D239,D244,D249,D254,D259,D264,D269,D274)</f>
        <v>0</v>
      </c>
      <c r="E219" s="453">
        <f t="shared" si="169"/>
        <v>0</v>
      </c>
      <c r="F219" s="454">
        <f t="shared" si="169"/>
        <v>0</v>
      </c>
      <c r="G219" s="454">
        <f t="shared" si="169"/>
        <v>0</v>
      </c>
      <c r="H219" s="455">
        <f t="shared" si="169"/>
        <v>0</v>
      </c>
      <c r="I219" s="453">
        <f t="shared" si="169"/>
        <v>0</v>
      </c>
      <c r="J219" s="454">
        <f t="shared" si="169"/>
        <v>0</v>
      </c>
      <c r="K219" s="454">
        <f t="shared" si="169"/>
        <v>0</v>
      </c>
      <c r="L219" s="455">
        <f t="shared" si="169"/>
        <v>0</v>
      </c>
      <c r="M219" s="453">
        <f t="shared" si="169"/>
        <v>0</v>
      </c>
      <c r="N219" s="454">
        <f t="shared" si="169"/>
        <v>0</v>
      </c>
      <c r="O219" s="454">
        <f t="shared" si="169"/>
        <v>0</v>
      </c>
      <c r="P219" s="455">
        <f t="shared" si="169"/>
        <v>0</v>
      </c>
      <c r="Q219" s="453">
        <f t="shared" si="169"/>
        <v>0</v>
      </c>
      <c r="R219" s="454">
        <f t="shared" si="169"/>
        <v>0</v>
      </c>
      <c r="S219" s="454">
        <f t="shared" si="169"/>
        <v>0</v>
      </c>
      <c r="T219" s="455">
        <f t="shared" si="169"/>
        <v>0</v>
      </c>
      <c r="U219" s="453">
        <f t="shared" si="169"/>
        <v>0</v>
      </c>
      <c r="V219" s="454">
        <f t="shared" si="169"/>
        <v>0</v>
      </c>
      <c r="W219" s="454">
        <f t="shared" si="169"/>
        <v>0</v>
      </c>
      <c r="X219" s="455">
        <f t="shared" si="169"/>
        <v>0</v>
      </c>
      <c r="Y219" s="453">
        <f t="shared" si="169"/>
        <v>0</v>
      </c>
      <c r="Z219" s="454">
        <f t="shared" si="169"/>
        <v>0</v>
      </c>
      <c r="AA219" s="454">
        <f t="shared" si="169"/>
        <v>0</v>
      </c>
      <c r="AB219" s="455">
        <f t="shared" si="169"/>
        <v>0</v>
      </c>
      <c r="AC219" s="453">
        <f t="shared" si="169"/>
        <v>0</v>
      </c>
      <c r="AD219" s="454">
        <f t="shared" si="169"/>
        <v>0</v>
      </c>
      <c r="AE219" s="454">
        <f t="shared" si="169"/>
        <v>0</v>
      </c>
      <c r="AF219" s="455">
        <f t="shared" si="169"/>
        <v>0</v>
      </c>
      <c r="AG219" s="453">
        <f t="shared" si="169"/>
        <v>0</v>
      </c>
      <c r="AH219" s="454">
        <f t="shared" si="169"/>
        <v>0</v>
      </c>
      <c r="AI219" s="454">
        <f t="shared" si="169"/>
        <v>0</v>
      </c>
      <c r="AJ219" s="455">
        <f t="shared" si="169"/>
        <v>0</v>
      </c>
      <c r="AK219" s="453">
        <f t="shared" si="169"/>
        <v>0</v>
      </c>
      <c r="AL219" s="454">
        <f t="shared" si="169"/>
        <v>0</v>
      </c>
      <c r="AM219" s="454">
        <f t="shared" si="169"/>
        <v>0</v>
      </c>
      <c r="AN219" s="455">
        <f t="shared" si="169"/>
        <v>0</v>
      </c>
      <c r="AO219" s="453">
        <f t="shared" si="169"/>
        <v>0</v>
      </c>
      <c r="AP219" s="454">
        <f t="shared" si="169"/>
        <v>0</v>
      </c>
      <c r="AQ219" s="454">
        <f t="shared" si="169"/>
        <v>0</v>
      </c>
      <c r="AR219" s="455">
        <f t="shared" si="169"/>
        <v>0</v>
      </c>
      <c r="AS219" s="453">
        <f t="shared" si="169"/>
        <v>0</v>
      </c>
      <c r="AT219" s="454">
        <f t="shared" si="169"/>
        <v>0</v>
      </c>
      <c r="AU219" s="454">
        <f t="shared" si="169"/>
        <v>0</v>
      </c>
      <c r="AV219" s="455">
        <f t="shared" si="169"/>
        <v>0</v>
      </c>
      <c r="AW219" s="473"/>
    </row>
    <row r="220" spans="1:49" s="424" customFormat="1" ht="13.5" customHeight="1">
      <c r="A220" s="1947"/>
      <c r="B220" s="1954" t="s">
        <v>892</v>
      </c>
      <c r="C220" s="449" t="s">
        <v>884</v>
      </c>
      <c r="D220" s="434">
        <f>IF(D222=0,0,D223/D222*10000)</f>
        <v>0</v>
      </c>
      <c r="E220" s="435">
        <f t="shared" ref="E220:AV220" si="170">IF(E222=0,0,E223/E222*10000)</f>
        <v>0</v>
      </c>
      <c r="F220" s="436">
        <f t="shared" si="170"/>
        <v>0</v>
      </c>
      <c r="G220" s="436">
        <f t="shared" si="170"/>
        <v>0</v>
      </c>
      <c r="H220" s="437">
        <f t="shared" si="170"/>
        <v>0</v>
      </c>
      <c r="I220" s="435">
        <f t="shared" si="170"/>
        <v>0</v>
      </c>
      <c r="J220" s="436">
        <f t="shared" si="170"/>
        <v>0</v>
      </c>
      <c r="K220" s="436">
        <f t="shared" si="170"/>
        <v>0</v>
      </c>
      <c r="L220" s="437">
        <f t="shared" si="170"/>
        <v>0</v>
      </c>
      <c r="M220" s="435">
        <f t="shared" si="170"/>
        <v>0</v>
      </c>
      <c r="N220" s="436">
        <f t="shared" si="170"/>
        <v>0</v>
      </c>
      <c r="O220" s="436">
        <f t="shared" si="170"/>
        <v>0</v>
      </c>
      <c r="P220" s="437">
        <f t="shared" si="170"/>
        <v>0</v>
      </c>
      <c r="Q220" s="435">
        <f t="shared" si="170"/>
        <v>0</v>
      </c>
      <c r="R220" s="436">
        <f t="shared" si="170"/>
        <v>0</v>
      </c>
      <c r="S220" s="436">
        <f t="shared" si="170"/>
        <v>0</v>
      </c>
      <c r="T220" s="437">
        <f t="shared" si="170"/>
        <v>0</v>
      </c>
      <c r="U220" s="435">
        <f t="shared" si="170"/>
        <v>0</v>
      </c>
      <c r="V220" s="436">
        <f t="shared" si="170"/>
        <v>0</v>
      </c>
      <c r="W220" s="436">
        <f t="shared" si="170"/>
        <v>0</v>
      </c>
      <c r="X220" s="437">
        <f t="shared" si="170"/>
        <v>0</v>
      </c>
      <c r="Y220" s="435">
        <f t="shared" si="170"/>
        <v>0</v>
      </c>
      <c r="Z220" s="436">
        <f t="shared" si="170"/>
        <v>0</v>
      </c>
      <c r="AA220" s="436">
        <f t="shared" si="170"/>
        <v>0</v>
      </c>
      <c r="AB220" s="437">
        <f t="shared" si="170"/>
        <v>0</v>
      </c>
      <c r="AC220" s="435">
        <f t="shared" si="170"/>
        <v>0</v>
      </c>
      <c r="AD220" s="436">
        <f t="shared" si="170"/>
        <v>0</v>
      </c>
      <c r="AE220" s="436">
        <f t="shared" si="170"/>
        <v>0</v>
      </c>
      <c r="AF220" s="437">
        <f t="shared" si="170"/>
        <v>0</v>
      </c>
      <c r="AG220" s="435">
        <f t="shared" si="170"/>
        <v>0</v>
      </c>
      <c r="AH220" s="436">
        <f t="shared" si="170"/>
        <v>0</v>
      </c>
      <c r="AI220" s="436">
        <f t="shared" si="170"/>
        <v>0</v>
      </c>
      <c r="AJ220" s="437">
        <f t="shared" si="170"/>
        <v>0</v>
      </c>
      <c r="AK220" s="435">
        <f t="shared" si="170"/>
        <v>0</v>
      </c>
      <c r="AL220" s="436">
        <f t="shared" si="170"/>
        <v>0</v>
      </c>
      <c r="AM220" s="436">
        <f t="shared" si="170"/>
        <v>0</v>
      </c>
      <c r="AN220" s="437">
        <f t="shared" si="170"/>
        <v>0</v>
      </c>
      <c r="AO220" s="435">
        <f t="shared" si="170"/>
        <v>0</v>
      </c>
      <c r="AP220" s="436">
        <f t="shared" si="170"/>
        <v>0</v>
      </c>
      <c r="AQ220" s="436">
        <f t="shared" si="170"/>
        <v>0</v>
      </c>
      <c r="AR220" s="437">
        <f t="shared" si="170"/>
        <v>0</v>
      </c>
      <c r="AS220" s="435">
        <f t="shared" si="170"/>
        <v>0</v>
      </c>
      <c r="AT220" s="436">
        <f t="shared" si="170"/>
        <v>0</v>
      </c>
      <c r="AU220" s="436">
        <f t="shared" si="170"/>
        <v>0</v>
      </c>
      <c r="AV220" s="437">
        <f t="shared" si="170"/>
        <v>0</v>
      </c>
      <c r="AW220" s="473"/>
    </row>
    <row r="221" spans="1:49" ht="13.5" customHeight="1">
      <c r="A221" s="1947"/>
      <c r="B221" s="1952"/>
      <c r="C221" s="438" t="s">
        <v>881</v>
      </c>
      <c r="D221" s="439">
        <f>SUM(E221:AV221)</f>
        <v>0</v>
      </c>
      <c r="E221" s="440">
        <f t="shared" ref="E221:AV221" si="171">IFERROR(E222/$D222,0)</f>
        <v>0</v>
      </c>
      <c r="F221" s="441">
        <f t="shared" si="171"/>
        <v>0</v>
      </c>
      <c r="G221" s="441">
        <f t="shared" si="171"/>
        <v>0</v>
      </c>
      <c r="H221" s="442">
        <f t="shared" si="171"/>
        <v>0</v>
      </c>
      <c r="I221" s="440">
        <f t="shared" si="171"/>
        <v>0</v>
      </c>
      <c r="J221" s="441">
        <f t="shared" si="171"/>
        <v>0</v>
      </c>
      <c r="K221" s="441">
        <f t="shared" si="171"/>
        <v>0</v>
      </c>
      <c r="L221" s="442">
        <f t="shared" si="171"/>
        <v>0</v>
      </c>
      <c r="M221" s="440">
        <f t="shared" si="171"/>
        <v>0</v>
      </c>
      <c r="N221" s="441">
        <f t="shared" si="171"/>
        <v>0</v>
      </c>
      <c r="O221" s="441">
        <f t="shared" si="171"/>
        <v>0</v>
      </c>
      <c r="P221" s="442">
        <f t="shared" si="171"/>
        <v>0</v>
      </c>
      <c r="Q221" s="440">
        <f t="shared" si="171"/>
        <v>0</v>
      </c>
      <c r="R221" s="441">
        <f t="shared" si="171"/>
        <v>0</v>
      </c>
      <c r="S221" s="441">
        <f t="shared" si="171"/>
        <v>0</v>
      </c>
      <c r="T221" s="442">
        <f t="shared" si="171"/>
        <v>0</v>
      </c>
      <c r="U221" s="440">
        <f t="shared" si="171"/>
        <v>0</v>
      </c>
      <c r="V221" s="441">
        <f t="shared" si="171"/>
        <v>0</v>
      </c>
      <c r="W221" s="441">
        <f t="shared" si="171"/>
        <v>0</v>
      </c>
      <c r="X221" s="442">
        <f t="shared" si="171"/>
        <v>0</v>
      </c>
      <c r="Y221" s="440">
        <f t="shared" si="171"/>
        <v>0</v>
      </c>
      <c r="Z221" s="441">
        <f t="shared" si="171"/>
        <v>0</v>
      </c>
      <c r="AA221" s="441">
        <f t="shared" si="171"/>
        <v>0</v>
      </c>
      <c r="AB221" s="442">
        <f t="shared" si="171"/>
        <v>0</v>
      </c>
      <c r="AC221" s="440">
        <f t="shared" si="171"/>
        <v>0</v>
      </c>
      <c r="AD221" s="441">
        <f t="shared" si="171"/>
        <v>0</v>
      </c>
      <c r="AE221" s="441">
        <f t="shared" si="171"/>
        <v>0</v>
      </c>
      <c r="AF221" s="442">
        <f t="shared" si="171"/>
        <v>0</v>
      </c>
      <c r="AG221" s="440">
        <f t="shared" si="171"/>
        <v>0</v>
      </c>
      <c r="AH221" s="441">
        <f t="shared" si="171"/>
        <v>0</v>
      </c>
      <c r="AI221" s="441">
        <f t="shared" si="171"/>
        <v>0</v>
      </c>
      <c r="AJ221" s="442">
        <f t="shared" si="171"/>
        <v>0</v>
      </c>
      <c r="AK221" s="440">
        <f t="shared" si="171"/>
        <v>0</v>
      </c>
      <c r="AL221" s="441">
        <f t="shared" si="171"/>
        <v>0</v>
      </c>
      <c r="AM221" s="441">
        <f t="shared" si="171"/>
        <v>0</v>
      </c>
      <c r="AN221" s="442">
        <f t="shared" si="171"/>
        <v>0</v>
      </c>
      <c r="AO221" s="440">
        <f t="shared" si="171"/>
        <v>0</v>
      </c>
      <c r="AP221" s="441">
        <f t="shared" si="171"/>
        <v>0</v>
      </c>
      <c r="AQ221" s="441">
        <f t="shared" si="171"/>
        <v>0</v>
      </c>
      <c r="AR221" s="442">
        <f t="shared" si="171"/>
        <v>0</v>
      </c>
      <c r="AS221" s="440">
        <f t="shared" si="171"/>
        <v>0</v>
      </c>
      <c r="AT221" s="441">
        <f t="shared" si="171"/>
        <v>0</v>
      </c>
      <c r="AU221" s="441">
        <f t="shared" si="171"/>
        <v>0</v>
      </c>
      <c r="AV221" s="442">
        <f t="shared" si="171"/>
        <v>0</v>
      </c>
      <c r="AW221" s="78"/>
    </row>
    <row r="222" spans="1:49" s="424" customFormat="1" ht="13.5" customHeight="1">
      <c r="A222" s="1947"/>
      <c r="B222" s="1952"/>
      <c r="C222" s="438" t="s">
        <v>783</v>
      </c>
      <c r="D222" s="443">
        <f t="shared" ref="D222:AV222" si="172">SUM(D277,D282)</f>
        <v>0</v>
      </c>
      <c r="E222" s="444">
        <f t="shared" si="172"/>
        <v>0</v>
      </c>
      <c r="F222" s="445">
        <f t="shared" si="172"/>
        <v>0</v>
      </c>
      <c r="G222" s="445">
        <f t="shared" si="172"/>
        <v>0</v>
      </c>
      <c r="H222" s="446">
        <f t="shared" si="172"/>
        <v>0</v>
      </c>
      <c r="I222" s="444">
        <f t="shared" si="172"/>
        <v>0</v>
      </c>
      <c r="J222" s="445">
        <f t="shared" si="172"/>
        <v>0</v>
      </c>
      <c r="K222" s="445">
        <f t="shared" si="172"/>
        <v>0</v>
      </c>
      <c r="L222" s="446">
        <f t="shared" si="172"/>
        <v>0</v>
      </c>
      <c r="M222" s="444">
        <f t="shared" si="172"/>
        <v>0</v>
      </c>
      <c r="N222" s="445">
        <f t="shared" si="172"/>
        <v>0</v>
      </c>
      <c r="O222" s="445">
        <f t="shared" si="172"/>
        <v>0</v>
      </c>
      <c r="P222" s="446">
        <f t="shared" si="172"/>
        <v>0</v>
      </c>
      <c r="Q222" s="444">
        <f t="shared" si="172"/>
        <v>0</v>
      </c>
      <c r="R222" s="445">
        <f t="shared" si="172"/>
        <v>0</v>
      </c>
      <c r="S222" s="445">
        <f t="shared" si="172"/>
        <v>0</v>
      </c>
      <c r="T222" s="446">
        <f t="shared" si="172"/>
        <v>0</v>
      </c>
      <c r="U222" s="444">
        <f t="shared" si="172"/>
        <v>0</v>
      </c>
      <c r="V222" s="445">
        <f t="shared" si="172"/>
        <v>0</v>
      </c>
      <c r="W222" s="445">
        <f t="shared" si="172"/>
        <v>0</v>
      </c>
      <c r="X222" s="446">
        <f t="shared" si="172"/>
        <v>0</v>
      </c>
      <c r="Y222" s="444">
        <f t="shared" si="172"/>
        <v>0</v>
      </c>
      <c r="Z222" s="445">
        <f t="shared" si="172"/>
        <v>0</v>
      </c>
      <c r="AA222" s="445">
        <f t="shared" si="172"/>
        <v>0</v>
      </c>
      <c r="AB222" s="446">
        <f t="shared" si="172"/>
        <v>0</v>
      </c>
      <c r="AC222" s="444">
        <f t="shared" si="172"/>
        <v>0</v>
      </c>
      <c r="AD222" s="445">
        <f t="shared" si="172"/>
        <v>0</v>
      </c>
      <c r="AE222" s="445">
        <f t="shared" si="172"/>
        <v>0</v>
      </c>
      <c r="AF222" s="446">
        <f t="shared" si="172"/>
        <v>0</v>
      </c>
      <c r="AG222" s="444">
        <f t="shared" si="172"/>
        <v>0</v>
      </c>
      <c r="AH222" s="445">
        <f t="shared" si="172"/>
        <v>0</v>
      </c>
      <c r="AI222" s="445">
        <f t="shared" si="172"/>
        <v>0</v>
      </c>
      <c r="AJ222" s="446">
        <f t="shared" si="172"/>
        <v>0</v>
      </c>
      <c r="AK222" s="444">
        <f t="shared" si="172"/>
        <v>0</v>
      </c>
      <c r="AL222" s="445">
        <f t="shared" si="172"/>
        <v>0</v>
      </c>
      <c r="AM222" s="445">
        <f t="shared" si="172"/>
        <v>0</v>
      </c>
      <c r="AN222" s="446">
        <f t="shared" si="172"/>
        <v>0</v>
      </c>
      <c r="AO222" s="444">
        <f t="shared" si="172"/>
        <v>0</v>
      </c>
      <c r="AP222" s="445">
        <f t="shared" si="172"/>
        <v>0</v>
      </c>
      <c r="AQ222" s="445">
        <f t="shared" si="172"/>
        <v>0</v>
      </c>
      <c r="AR222" s="446">
        <f t="shared" si="172"/>
        <v>0</v>
      </c>
      <c r="AS222" s="444">
        <f t="shared" si="172"/>
        <v>0</v>
      </c>
      <c r="AT222" s="445">
        <f t="shared" si="172"/>
        <v>0</v>
      </c>
      <c r="AU222" s="445">
        <f t="shared" si="172"/>
        <v>0</v>
      </c>
      <c r="AV222" s="446">
        <f t="shared" si="172"/>
        <v>0</v>
      </c>
      <c r="AW222" s="473"/>
    </row>
    <row r="223" spans="1:49" s="424" customFormat="1" ht="13.5" customHeight="1">
      <c r="A223" s="1947"/>
      <c r="B223" s="1952"/>
      <c r="C223" s="438" t="s">
        <v>885</v>
      </c>
      <c r="D223" s="443">
        <f t="shared" ref="D223:AV223" si="173">SUM(D278,D283)</f>
        <v>0</v>
      </c>
      <c r="E223" s="444">
        <f t="shared" si="173"/>
        <v>0</v>
      </c>
      <c r="F223" s="445">
        <f t="shared" si="173"/>
        <v>0</v>
      </c>
      <c r="G223" s="445">
        <f t="shared" si="173"/>
        <v>0</v>
      </c>
      <c r="H223" s="446">
        <f t="shared" si="173"/>
        <v>0</v>
      </c>
      <c r="I223" s="444">
        <f t="shared" si="173"/>
        <v>0</v>
      </c>
      <c r="J223" s="445">
        <f t="shared" si="173"/>
        <v>0</v>
      </c>
      <c r="K223" s="445">
        <f t="shared" si="173"/>
        <v>0</v>
      </c>
      <c r="L223" s="446">
        <f t="shared" si="173"/>
        <v>0</v>
      </c>
      <c r="M223" s="444">
        <f t="shared" si="173"/>
        <v>0</v>
      </c>
      <c r="N223" s="445">
        <f t="shared" si="173"/>
        <v>0</v>
      </c>
      <c r="O223" s="445">
        <f t="shared" si="173"/>
        <v>0</v>
      </c>
      <c r="P223" s="446">
        <f t="shared" si="173"/>
        <v>0</v>
      </c>
      <c r="Q223" s="444">
        <f t="shared" si="173"/>
        <v>0</v>
      </c>
      <c r="R223" s="445">
        <f t="shared" si="173"/>
        <v>0</v>
      </c>
      <c r="S223" s="445">
        <f t="shared" si="173"/>
        <v>0</v>
      </c>
      <c r="T223" s="446">
        <f t="shared" si="173"/>
        <v>0</v>
      </c>
      <c r="U223" s="444">
        <f t="shared" si="173"/>
        <v>0</v>
      </c>
      <c r="V223" s="445">
        <f t="shared" si="173"/>
        <v>0</v>
      </c>
      <c r="W223" s="445">
        <f t="shared" si="173"/>
        <v>0</v>
      </c>
      <c r="X223" s="446">
        <f t="shared" si="173"/>
        <v>0</v>
      </c>
      <c r="Y223" s="444">
        <f t="shared" si="173"/>
        <v>0</v>
      </c>
      <c r="Z223" s="445">
        <f t="shared" si="173"/>
        <v>0</v>
      </c>
      <c r="AA223" s="445">
        <f t="shared" si="173"/>
        <v>0</v>
      </c>
      <c r="AB223" s="446">
        <f t="shared" si="173"/>
        <v>0</v>
      </c>
      <c r="AC223" s="444">
        <f t="shared" si="173"/>
        <v>0</v>
      </c>
      <c r="AD223" s="445">
        <f t="shared" si="173"/>
        <v>0</v>
      </c>
      <c r="AE223" s="445">
        <f t="shared" si="173"/>
        <v>0</v>
      </c>
      <c r="AF223" s="446">
        <f t="shared" si="173"/>
        <v>0</v>
      </c>
      <c r="AG223" s="444">
        <f t="shared" si="173"/>
        <v>0</v>
      </c>
      <c r="AH223" s="445">
        <f t="shared" si="173"/>
        <v>0</v>
      </c>
      <c r="AI223" s="445">
        <f t="shared" si="173"/>
        <v>0</v>
      </c>
      <c r="AJ223" s="446">
        <f t="shared" si="173"/>
        <v>0</v>
      </c>
      <c r="AK223" s="444">
        <f t="shared" si="173"/>
        <v>0</v>
      </c>
      <c r="AL223" s="445">
        <f t="shared" si="173"/>
        <v>0</v>
      </c>
      <c r="AM223" s="445">
        <f t="shared" si="173"/>
        <v>0</v>
      </c>
      <c r="AN223" s="446">
        <f t="shared" si="173"/>
        <v>0</v>
      </c>
      <c r="AO223" s="444">
        <f t="shared" si="173"/>
        <v>0</v>
      </c>
      <c r="AP223" s="445">
        <f t="shared" si="173"/>
        <v>0</v>
      </c>
      <c r="AQ223" s="445">
        <f t="shared" si="173"/>
        <v>0</v>
      </c>
      <c r="AR223" s="446">
        <f t="shared" si="173"/>
        <v>0</v>
      </c>
      <c r="AS223" s="444">
        <f t="shared" si="173"/>
        <v>0</v>
      </c>
      <c r="AT223" s="445">
        <f t="shared" si="173"/>
        <v>0</v>
      </c>
      <c r="AU223" s="445">
        <f t="shared" si="173"/>
        <v>0</v>
      </c>
      <c r="AV223" s="446">
        <f t="shared" si="173"/>
        <v>0</v>
      </c>
      <c r="AW223" s="473"/>
    </row>
    <row r="224" spans="1:49" s="424" customFormat="1" ht="13.5" customHeight="1">
      <c r="A224" s="1947"/>
      <c r="B224" s="1953"/>
      <c r="C224" s="447" t="s">
        <v>886</v>
      </c>
      <c r="D224" s="448">
        <f t="shared" ref="D224:AV224" si="174">SUM(D279,D284)</f>
        <v>0</v>
      </c>
      <c r="E224" s="453">
        <f t="shared" si="174"/>
        <v>0</v>
      </c>
      <c r="F224" s="454">
        <f t="shared" si="174"/>
        <v>0</v>
      </c>
      <c r="G224" s="454">
        <f t="shared" si="174"/>
        <v>0</v>
      </c>
      <c r="H224" s="455">
        <f t="shared" si="174"/>
        <v>0</v>
      </c>
      <c r="I224" s="453">
        <f t="shared" si="174"/>
        <v>0</v>
      </c>
      <c r="J224" s="454">
        <f t="shared" si="174"/>
        <v>0</v>
      </c>
      <c r="K224" s="454">
        <f t="shared" si="174"/>
        <v>0</v>
      </c>
      <c r="L224" s="455">
        <f t="shared" si="174"/>
        <v>0</v>
      </c>
      <c r="M224" s="453">
        <f t="shared" si="174"/>
        <v>0</v>
      </c>
      <c r="N224" s="454">
        <f t="shared" si="174"/>
        <v>0</v>
      </c>
      <c r="O224" s="454">
        <f t="shared" si="174"/>
        <v>0</v>
      </c>
      <c r="P224" s="455">
        <f t="shared" si="174"/>
        <v>0</v>
      </c>
      <c r="Q224" s="453">
        <f t="shared" si="174"/>
        <v>0</v>
      </c>
      <c r="R224" s="454">
        <f t="shared" si="174"/>
        <v>0</v>
      </c>
      <c r="S224" s="454">
        <f t="shared" si="174"/>
        <v>0</v>
      </c>
      <c r="T224" s="455">
        <f t="shared" si="174"/>
        <v>0</v>
      </c>
      <c r="U224" s="453">
        <f t="shared" si="174"/>
        <v>0</v>
      </c>
      <c r="V224" s="454">
        <f t="shared" si="174"/>
        <v>0</v>
      </c>
      <c r="W224" s="454">
        <f t="shared" si="174"/>
        <v>0</v>
      </c>
      <c r="X224" s="455">
        <f t="shared" si="174"/>
        <v>0</v>
      </c>
      <c r="Y224" s="453">
        <f t="shared" si="174"/>
        <v>0</v>
      </c>
      <c r="Z224" s="454">
        <f t="shared" si="174"/>
        <v>0</v>
      </c>
      <c r="AA224" s="454">
        <f t="shared" si="174"/>
        <v>0</v>
      </c>
      <c r="AB224" s="455">
        <f t="shared" si="174"/>
        <v>0</v>
      </c>
      <c r="AC224" s="453">
        <f t="shared" si="174"/>
        <v>0</v>
      </c>
      <c r="AD224" s="454">
        <f t="shared" si="174"/>
        <v>0</v>
      </c>
      <c r="AE224" s="454">
        <f t="shared" si="174"/>
        <v>0</v>
      </c>
      <c r="AF224" s="455">
        <f t="shared" si="174"/>
        <v>0</v>
      </c>
      <c r="AG224" s="453">
        <f t="shared" si="174"/>
        <v>0</v>
      </c>
      <c r="AH224" s="454">
        <f t="shared" si="174"/>
        <v>0</v>
      </c>
      <c r="AI224" s="454">
        <f t="shared" si="174"/>
        <v>0</v>
      </c>
      <c r="AJ224" s="455">
        <f t="shared" si="174"/>
        <v>0</v>
      </c>
      <c r="AK224" s="453">
        <f t="shared" si="174"/>
        <v>0</v>
      </c>
      <c r="AL224" s="454">
        <f t="shared" si="174"/>
        <v>0</v>
      </c>
      <c r="AM224" s="454">
        <f t="shared" si="174"/>
        <v>0</v>
      </c>
      <c r="AN224" s="455">
        <f t="shared" si="174"/>
        <v>0</v>
      </c>
      <c r="AO224" s="453">
        <f t="shared" si="174"/>
        <v>0</v>
      </c>
      <c r="AP224" s="454">
        <f t="shared" si="174"/>
        <v>0</v>
      </c>
      <c r="AQ224" s="454">
        <f t="shared" si="174"/>
        <v>0</v>
      </c>
      <c r="AR224" s="455">
        <f t="shared" si="174"/>
        <v>0</v>
      </c>
      <c r="AS224" s="453">
        <f t="shared" si="174"/>
        <v>0</v>
      </c>
      <c r="AT224" s="454">
        <f t="shared" si="174"/>
        <v>0</v>
      </c>
      <c r="AU224" s="454">
        <f t="shared" si="174"/>
        <v>0</v>
      </c>
      <c r="AV224" s="455">
        <f t="shared" si="174"/>
        <v>0</v>
      </c>
      <c r="AW224" s="473"/>
    </row>
    <row r="225" spans="1:49" s="424" customFormat="1" ht="13.5" customHeight="1" outlineLevel="1">
      <c r="A225" s="1947"/>
      <c r="B225" s="1949" t="str">
        <f>'9.项目开发计划表'!C31</f>
        <v>高层</v>
      </c>
      <c r="C225" s="456" t="s">
        <v>880</v>
      </c>
      <c r="D225" s="457">
        <f>IF(D227=0,0,D228/D227*10000)</f>
        <v>0</v>
      </c>
      <c r="E225" s="505"/>
      <c r="F225" s="506"/>
      <c r="G225" s="506"/>
      <c r="H225" s="507"/>
      <c r="I225" s="505"/>
      <c r="J225" s="506"/>
      <c r="K225" s="506"/>
      <c r="L225" s="507"/>
      <c r="M225" s="505"/>
      <c r="N225" s="506"/>
      <c r="O225" s="506"/>
      <c r="P225" s="506"/>
      <c r="Q225" s="506"/>
      <c r="R225" s="506"/>
      <c r="S225" s="506"/>
      <c r="T225" s="505"/>
      <c r="U225" s="505"/>
      <c r="V225" s="505"/>
      <c r="W225" s="505"/>
      <c r="X225" s="505"/>
      <c r="Y225" s="489"/>
      <c r="Z225" s="489"/>
      <c r="AA225" s="489"/>
      <c r="AB225" s="489"/>
      <c r="AC225" s="505"/>
      <c r="AD225" s="506"/>
      <c r="AE225" s="506"/>
      <c r="AF225" s="507"/>
      <c r="AG225" s="505"/>
      <c r="AH225" s="506"/>
      <c r="AI225" s="506"/>
      <c r="AJ225" s="507"/>
      <c r="AK225" s="505"/>
      <c r="AL225" s="506"/>
      <c r="AM225" s="506"/>
      <c r="AN225" s="507"/>
      <c r="AO225" s="505"/>
      <c r="AP225" s="506"/>
      <c r="AQ225" s="506"/>
      <c r="AR225" s="507"/>
      <c r="AS225" s="505"/>
      <c r="AT225" s="506"/>
      <c r="AU225" s="506"/>
      <c r="AV225" s="507"/>
      <c r="AW225" s="424" t="str">
        <f>B225</f>
        <v>高层</v>
      </c>
    </row>
    <row r="226" spans="1:49" ht="13.5" customHeight="1" outlineLevel="1">
      <c r="A226" s="1947"/>
      <c r="B226" s="1949"/>
      <c r="C226" s="461" t="s">
        <v>881</v>
      </c>
      <c r="D226" s="462">
        <f t="shared" ref="D226:D229" si="175">SUM(E226:AV226)</f>
        <v>0</v>
      </c>
      <c r="E226" s="494"/>
      <c r="F226" s="491"/>
      <c r="G226" s="491"/>
      <c r="H226" s="493"/>
      <c r="I226" s="494"/>
      <c r="J226" s="491"/>
      <c r="K226" s="491"/>
      <c r="L226" s="493"/>
      <c r="M226" s="494"/>
      <c r="N226" s="491"/>
      <c r="O226" s="491"/>
      <c r="P226" s="491"/>
      <c r="Q226" s="491"/>
      <c r="R226" s="491"/>
      <c r="S226" s="491"/>
      <c r="T226" s="491"/>
      <c r="U226" s="491"/>
      <c r="V226" s="491"/>
      <c r="W226" s="491"/>
      <c r="X226" s="490"/>
      <c r="Y226" s="490"/>
      <c r="Z226" s="490"/>
      <c r="AA226" s="490"/>
      <c r="AB226" s="490"/>
      <c r="AC226" s="494"/>
      <c r="AD226" s="491"/>
      <c r="AE226" s="491"/>
      <c r="AF226" s="493"/>
      <c r="AG226" s="494"/>
      <c r="AH226" s="491"/>
      <c r="AI226" s="491"/>
      <c r="AJ226" s="493"/>
      <c r="AK226" s="494"/>
      <c r="AL226" s="491"/>
      <c r="AM226" s="491"/>
      <c r="AN226" s="493"/>
      <c r="AO226" s="494"/>
      <c r="AP226" s="491"/>
      <c r="AQ226" s="491"/>
      <c r="AR226" s="493"/>
      <c r="AS226" s="494"/>
      <c r="AT226" s="491"/>
      <c r="AU226" s="491"/>
      <c r="AV226" s="493"/>
      <c r="AW226" s="424" t="str">
        <f t="shared" ref="AW226:AW229" si="176">AW225</f>
        <v>高层</v>
      </c>
    </row>
    <row r="227" spans="1:49" s="424" customFormat="1" ht="13.5" customHeight="1" outlineLevel="1">
      <c r="A227" s="1947"/>
      <c r="B227" s="1949"/>
      <c r="C227" s="461" t="s">
        <v>682</v>
      </c>
      <c r="D227" s="466">
        <f t="shared" si="175"/>
        <v>0</v>
      </c>
      <c r="E227" s="382">
        <f>E226*'9.项目开发计划表'!$G$31</f>
        <v>0</v>
      </c>
      <c r="F227" s="397">
        <f>F226*'9.项目开发计划表'!$G$31</f>
        <v>0</v>
      </c>
      <c r="G227" s="397">
        <f>G226*'9.项目开发计划表'!$G$31</f>
        <v>0</v>
      </c>
      <c r="H227" s="467">
        <f>H226*'9.项目开发计划表'!$G$31</f>
        <v>0</v>
      </c>
      <c r="I227" s="382">
        <f>I226*'9.项目开发计划表'!$G$31</f>
        <v>0</v>
      </c>
      <c r="J227" s="397">
        <f>J226*'9.项目开发计划表'!$G$31</f>
        <v>0</v>
      </c>
      <c r="K227" s="397">
        <f>K226*'9.项目开发计划表'!$G$31</f>
        <v>0</v>
      </c>
      <c r="L227" s="467">
        <f>L226*'9.项目开发计划表'!$G$31</f>
        <v>0</v>
      </c>
      <c r="M227" s="382">
        <f>M226*'9.项目开发计划表'!$G$31</f>
        <v>0</v>
      </c>
      <c r="N227" s="397">
        <f>N226*'9.项目开发计划表'!$G$31</f>
        <v>0</v>
      </c>
      <c r="O227" s="397">
        <f>O226*'9.项目开发计划表'!$G$31</f>
        <v>0</v>
      </c>
      <c r="P227" s="467">
        <f>P226*'9.项目开发计划表'!$G$31</f>
        <v>0</v>
      </c>
      <c r="Q227" s="382">
        <f>Q226*'9.项目开发计划表'!$G$31</f>
        <v>0</v>
      </c>
      <c r="R227" s="397">
        <f>R226*'9.项目开发计划表'!$G$31</f>
        <v>0</v>
      </c>
      <c r="S227" s="397">
        <f>S226*'9.项目开发计划表'!$G$31</f>
        <v>0</v>
      </c>
      <c r="T227" s="467">
        <f>T226*'9.项目开发计划表'!$G$31</f>
        <v>0</v>
      </c>
      <c r="U227" s="382">
        <f>U226*'9.项目开发计划表'!$G$31</f>
        <v>0</v>
      </c>
      <c r="V227" s="397">
        <f>V226*'9.项目开发计划表'!$G$31</f>
        <v>0</v>
      </c>
      <c r="W227" s="397">
        <f>W226*'9.项目开发计划表'!$G$31</f>
        <v>0</v>
      </c>
      <c r="X227" s="467">
        <f>X226*'9.项目开发计划表'!$G$31</f>
        <v>0</v>
      </c>
      <c r="Y227" s="382">
        <f>Y226*'9.项目开发计划表'!$G$31</f>
        <v>0</v>
      </c>
      <c r="Z227" s="397">
        <f>Z226*'9.项目开发计划表'!$G$31</f>
        <v>0</v>
      </c>
      <c r="AA227" s="397">
        <f>AA226*'9.项目开发计划表'!$G$31</f>
        <v>0</v>
      </c>
      <c r="AB227" s="467">
        <f>AB226*'9.项目开发计划表'!$G$31</f>
        <v>0</v>
      </c>
      <c r="AC227" s="382">
        <f>AC226*'9.项目开发计划表'!$G$31</f>
        <v>0</v>
      </c>
      <c r="AD227" s="397">
        <f>AD226*'9.项目开发计划表'!$G$31</f>
        <v>0</v>
      </c>
      <c r="AE227" s="397">
        <f>AE226*'9.项目开发计划表'!$G$31</f>
        <v>0</v>
      </c>
      <c r="AF227" s="467">
        <f>AF226*'9.项目开发计划表'!$G$31</f>
        <v>0</v>
      </c>
      <c r="AG227" s="382">
        <f>AG226*'9.项目开发计划表'!$G$31</f>
        <v>0</v>
      </c>
      <c r="AH227" s="397">
        <f>AH226*'9.项目开发计划表'!$G$31</f>
        <v>0</v>
      </c>
      <c r="AI227" s="397">
        <f>AI226*'9.项目开发计划表'!$G$31</f>
        <v>0</v>
      </c>
      <c r="AJ227" s="467">
        <f>AJ226*'9.项目开发计划表'!$G$31</f>
        <v>0</v>
      </c>
      <c r="AK227" s="382">
        <f>AK226*'9.项目开发计划表'!$G$31</f>
        <v>0</v>
      </c>
      <c r="AL227" s="397">
        <f>AL226*'9.项目开发计划表'!$G$31</f>
        <v>0</v>
      </c>
      <c r="AM227" s="397">
        <f>AM226*'9.项目开发计划表'!$G$31</f>
        <v>0</v>
      </c>
      <c r="AN227" s="467">
        <f>AN226*'9.项目开发计划表'!$G$31</f>
        <v>0</v>
      </c>
      <c r="AO227" s="382">
        <f>AO226*'9.项目开发计划表'!$G$31</f>
        <v>0</v>
      </c>
      <c r="AP227" s="397">
        <f>AP226*'9.项目开发计划表'!$G$31</f>
        <v>0</v>
      </c>
      <c r="AQ227" s="397">
        <f>AQ226*'9.项目开发计划表'!$G$31</f>
        <v>0</v>
      </c>
      <c r="AR227" s="467">
        <f>AR226*'9.项目开发计划表'!$G$31</f>
        <v>0</v>
      </c>
      <c r="AS227" s="382">
        <f>AS226*'9.项目开发计划表'!$G$31</f>
        <v>0</v>
      </c>
      <c r="AT227" s="397">
        <f>AT226*'9.项目开发计划表'!$G$31</f>
        <v>0</v>
      </c>
      <c r="AU227" s="397">
        <f>AU226*'9.项目开发计划表'!$G$31</f>
        <v>0</v>
      </c>
      <c r="AV227" s="467">
        <f>AV226*'9.项目开发计划表'!$G$31</f>
        <v>0</v>
      </c>
      <c r="AW227" s="424" t="str">
        <f t="shared" si="176"/>
        <v>高层</v>
      </c>
    </row>
    <row r="228" spans="1:49" s="424" customFormat="1" ht="13.5" customHeight="1" outlineLevel="1">
      <c r="A228" s="1947"/>
      <c r="B228" s="1949"/>
      <c r="C228" s="461" t="s">
        <v>882</v>
      </c>
      <c r="D228" s="466">
        <f t="shared" si="175"/>
        <v>0</v>
      </c>
      <c r="E228" s="382">
        <f t="shared" ref="E228:AV228" si="177">E225*E227/10000</f>
        <v>0</v>
      </c>
      <c r="F228" s="397">
        <f t="shared" si="177"/>
        <v>0</v>
      </c>
      <c r="G228" s="397">
        <f t="shared" si="177"/>
        <v>0</v>
      </c>
      <c r="H228" s="467">
        <f t="shared" si="177"/>
        <v>0</v>
      </c>
      <c r="I228" s="382">
        <f t="shared" si="177"/>
        <v>0</v>
      </c>
      <c r="J228" s="397">
        <f t="shared" si="177"/>
        <v>0</v>
      </c>
      <c r="K228" s="397">
        <f t="shared" si="177"/>
        <v>0</v>
      </c>
      <c r="L228" s="467">
        <f t="shared" si="177"/>
        <v>0</v>
      </c>
      <c r="M228" s="382">
        <f t="shared" si="177"/>
        <v>0</v>
      </c>
      <c r="N228" s="397">
        <f t="shared" si="177"/>
        <v>0</v>
      </c>
      <c r="O228" s="397">
        <f t="shared" si="177"/>
        <v>0</v>
      </c>
      <c r="P228" s="467">
        <f t="shared" si="177"/>
        <v>0</v>
      </c>
      <c r="Q228" s="382">
        <f t="shared" si="177"/>
        <v>0</v>
      </c>
      <c r="R228" s="397">
        <f t="shared" si="177"/>
        <v>0</v>
      </c>
      <c r="S228" s="397">
        <f t="shared" si="177"/>
        <v>0</v>
      </c>
      <c r="T228" s="467">
        <f t="shared" si="177"/>
        <v>0</v>
      </c>
      <c r="U228" s="382">
        <f t="shared" si="177"/>
        <v>0</v>
      </c>
      <c r="V228" s="397">
        <f t="shared" si="177"/>
        <v>0</v>
      </c>
      <c r="W228" s="397">
        <f t="shared" si="177"/>
        <v>0</v>
      </c>
      <c r="X228" s="467">
        <f t="shared" si="177"/>
        <v>0</v>
      </c>
      <c r="Y228" s="382">
        <f t="shared" si="177"/>
        <v>0</v>
      </c>
      <c r="Z228" s="397">
        <f t="shared" si="177"/>
        <v>0</v>
      </c>
      <c r="AA228" s="397">
        <f t="shared" si="177"/>
        <v>0</v>
      </c>
      <c r="AB228" s="467">
        <f t="shared" si="177"/>
        <v>0</v>
      </c>
      <c r="AC228" s="382">
        <f t="shared" si="177"/>
        <v>0</v>
      </c>
      <c r="AD228" s="397">
        <f t="shared" si="177"/>
        <v>0</v>
      </c>
      <c r="AE228" s="397">
        <f t="shared" si="177"/>
        <v>0</v>
      </c>
      <c r="AF228" s="467">
        <f t="shared" si="177"/>
        <v>0</v>
      </c>
      <c r="AG228" s="382">
        <f t="shared" si="177"/>
        <v>0</v>
      </c>
      <c r="AH228" s="397">
        <f t="shared" si="177"/>
        <v>0</v>
      </c>
      <c r="AI228" s="397">
        <f t="shared" si="177"/>
        <v>0</v>
      </c>
      <c r="AJ228" s="467">
        <f t="shared" si="177"/>
        <v>0</v>
      </c>
      <c r="AK228" s="382">
        <f t="shared" si="177"/>
        <v>0</v>
      </c>
      <c r="AL228" s="397">
        <f t="shared" si="177"/>
        <v>0</v>
      </c>
      <c r="AM228" s="397">
        <f t="shared" si="177"/>
        <v>0</v>
      </c>
      <c r="AN228" s="467">
        <f t="shared" si="177"/>
        <v>0</v>
      </c>
      <c r="AO228" s="382">
        <f t="shared" si="177"/>
        <v>0</v>
      </c>
      <c r="AP228" s="397">
        <f t="shared" si="177"/>
        <v>0</v>
      </c>
      <c r="AQ228" s="397">
        <f t="shared" si="177"/>
        <v>0</v>
      </c>
      <c r="AR228" s="467">
        <f t="shared" si="177"/>
        <v>0</v>
      </c>
      <c r="AS228" s="382">
        <f t="shared" si="177"/>
        <v>0</v>
      </c>
      <c r="AT228" s="397">
        <f t="shared" si="177"/>
        <v>0</v>
      </c>
      <c r="AU228" s="397">
        <f t="shared" si="177"/>
        <v>0</v>
      </c>
      <c r="AV228" s="467">
        <f t="shared" si="177"/>
        <v>0</v>
      </c>
      <c r="AW228" s="424" t="str">
        <f t="shared" si="176"/>
        <v>高层</v>
      </c>
    </row>
    <row r="229" spans="1:49" s="424" customFormat="1" ht="13.5" customHeight="1" outlineLevel="1">
      <c r="A229" s="1947"/>
      <c r="B229" s="1949"/>
      <c r="C229" s="508" t="s">
        <v>450</v>
      </c>
      <c r="D229" s="468">
        <f t="shared" si="175"/>
        <v>0</v>
      </c>
      <c r="E229" s="386">
        <f>SUMIF($I$1:$T$1,B225,$I$2:$T$2)*E228</f>
        <v>0</v>
      </c>
      <c r="F229" s="399">
        <f>(1-SUMIF($I$1:$T$1,B225,$I$2:$T$2))*E228+SUMIF($I$1:$T$1,B225,$I$2:$T$2)*F228</f>
        <v>0</v>
      </c>
      <c r="G229" s="399">
        <f>(1-SUMIF($I$1:$T$1,B225,$I$2:$T$2))*F228+SUMIF($I$1:$T$1,B225,$I$2:$T$2)*G228</f>
        <v>0</v>
      </c>
      <c r="H229" s="404">
        <f>(1-SUMIF($I$1:$T$1,B225,$I$2:$T$2))*G228+SUMIF($I$1:$T$1,B225,$I$2:$T$2)*H228</f>
        <v>0</v>
      </c>
      <c r="I229" s="386">
        <f>(1-SUMIF($I$1:$T$1,B225,$I$2:$T$2))*H228+SUMIF($I$1:$T$1,B225,$I$2:$T$2)*I228</f>
        <v>0</v>
      </c>
      <c r="J229" s="399">
        <f>(1-SUMIF($I$1:$T$1,B225,$I$2:$T$2))*I228+SUMIF($I$1:$T$1,B225,$I$2:$T$2)*J228</f>
        <v>0</v>
      </c>
      <c r="K229" s="399">
        <f>(1-SUMIF($I$1:$T$1,B225,$I$2:$T$2))*J228+SUMIF($I$1:$T$1,B225,$I$2:$T$2)*K228</f>
        <v>0</v>
      </c>
      <c r="L229" s="404">
        <f>(1-SUMIF($I$1:$T$1,B225,$I$2:$T$2))*K228+SUMIF($I$1:$T$1,B225,$I$2:$T$2)*L228</f>
        <v>0</v>
      </c>
      <c r="M229" s="386">
        <f>(1-SUMIF($I$1:$T$1,B225,$I$2:$T$2))*L228+SUMIF($I$1:$T$1,B225,$I$2:$T$2)*M228</f>
        <v>0</v>
      </c>
      <c r="N229" s="399">
        <f>(1-SUMIF($I$1:$T$1,B225,$I$2:$T$2))*M228+SUMIF($I$1:$T$1,B225,$I$2:$T$2)*N228</f>
        <v>0</v>
      </c>
      <c r="O229" s="399">
        <f>(1-SUMIF($I$1:$T$1,B225,$I$2:$T$2))*N228+SUMIF($I$1:$T$1,B225,$I$2:$T$2)*O228</f>
        <v>0</v>
      </c>
      <c r="P229" s="404">
        <f>(1-SUMIF($I$1:$T$1,B225,$I$2:$T$2))*O228+SUMIF($I$1:$T$1,B225,$I$2:$T$2)*P228</f>
        <v>0</v>
      </c>
      <c r="Q229" s="386">
        <f>(1-SUMIF($I$1:$T$1,B225,$I$2:$T$2))*P228+SUMIF($I$1:$T$1,B225,$I$2:$T$2)*Q228</f>
        <v>0</v>
      </c>
      <c r="R229" s="399">
        <f>(1-SUMIF($I$1:$T$1,B225,$I$2:$T$2))*Q228+SUMIF($I$1:$T$1,B225,$I$2:$T$2)*R228</f>
        <v>0</v>
      </c>
      <c r="S229" s="399">
        <f>(1-SUMIF($I$1:$T$1,B225,$I$2:$T$2))*R228+SUMIF($I$1:$T$1,B225,$I$2:$T$2)*S228</f>
        <v>0</v>
      </c>
      <c r="T229" s="404">
        <f>(1-SUMIF($I$1:$T$1,B225,$I$2:$T$2))*S228+SUMIF($I$1:$T$1,B225,$I$2:$T$2)*T228</f>
        <v>0</v>
      </c>
      <c r="U229" s="386">
        <f>(1-SUMIF($I$1:$T$1,B225,$I$2:$T$2))*T228+SUMIF($I$1:$T$1,B225,$I$2:$T$2)*U228</f>
        <v>0</v>
      </c>
      <c r="V229" s="399">
        <f>(1-SUMIF($I$1:$T$1,B225,$I$2:$T$2))*U228+SUMIF($I$1:$T$1,B225,$I$2:$T$2)*V228</f>
        <v>0</v>
      </c>
      <c r="W229" s="399">
        <f>(1-SUMIF($I$1:$T$1,B225,$I$2:$T$2))*V228+SUMIF($I$1:$T$1,B225,$I$2:$T$2)*W228</f>
        <v>0</v>
      </c>
      <c r="X229" s="404">
        <f>(1-SUMIF($I$1:$T$1,B225,$I$2:$T$2))*W228+SUMIF($I$1:$T$1,B225,$I$2:$T$2)*X228</f>
        <v>0</v>
      </c>
      <c r="Y229" s="386">
        <f>(1-SUMIF($I$1:$T$1,B225,$I$2:$T$2))*X228+SUMIF($I$1:$T$1,B225,$I$2:$T$2)*Y228</f>
        <v>0</v>
      </c>
      <c r="Z229" s="399">
        <f>(1-SUMIF($I$1:$T$1,B225,$I$2:$T$2))*Y228+SUMIF($I$1:$T$1,B225,$I$2:$T$2)*Z228</f>
        <v>0</v>
      </c>
      <c r="AA229" s="399">
        <f>(1-SUMIF($I$1:$T$1,B225,$I$2:$T$2))*Z228+SUMIF($I$1:$T$1,B225,$I$2:$T$2)*AA228</f>
        <v>0</v>
      </c>
      <c r="AB229" s="404">
        <f>(1-SUMIF($I$1:$T$1,B225,$I$2:$T$2))*AA228+SUMIF($I$1:$T$1,B225,$I$2:$T$2)*AB228</f>
        <v>0</v>
      </c>
      <c r="AC229" s="386">
        <f>(1-SUMIF($I$1:$T$1,B225,$I$2:$T$2))*AB228+SUMIF($I$1:$T$1,B225,$I$2:$T$2)*AC228</f>
        <v>0</v>
      </c>
      <c r="AD229" s="399">
        <f>(1-SUMIF($I$1:$T$1,B225,$I$2:$T$2))*AC228+SUMIF($I$1:$T$1,B225,$I$2:$T$2)*AD228</f>
        <v>0</v>
      </c>
      <c r="AE229" s="399">
        <f>(1-SUMIF($I$1:$T$1,B225,$I$2:$T$2))*AD228+SUMIF($I$1:$T$1,B225,$I$2:$T$2)*AE228</f>
        <v>0</v>
      </c>
      <c r="AF229" s="404">
        <f>(1-SUMIF($I$1:$T$1,B225,$I$2:$T$2))*AE228+SUMIF($I$1:$T$1,B225,$I$2:$T$2)*AF228</f>
        <v>0</v>
      </c>
      <c r="AG229" s="386">
        <f>(1-SUMIF($I$1:$T$1,B225,$I$2:$T$2))*AF228+SUMIF($I$1:$T$1,B225,$I$2:$T$2)*AG228</f>
        <v>0</v>
      </c>
      <c r="AH229" s="399">
        <f>(1-SUMIF($I$1:$T$1,B225,$I$2:$T$2))*AG228+SUMIF($I$1:$T$1,B225,$I$2:$T$2)*AH228</f>
        <v>0</v>
      </c>
      <c r="AI229" s="399">
        <f>(1-SUMIF($I$1:$T$1,B225,$I$2:$T$2))*AH228+SUMIF($I$1:$T$1,B225,$I$2:$T$2)*AI228</f>
        <v>0</v>
      </c>
      <c r="AJ229" s="404">
        <f>(1-SUMIF($I$1:$T$1,B225,$I$2:$T$2))*AI228+SUMIF($I$1:$T$1,B225,$I$2:$T$2)*AJ228</f>
        <v>0</v>
      </c>
      <c r="AK229" s="386">
        <f>(1-SUMIF($I$1:$T$1,B225,$I$2:$T$2))*AJ228+SUMIF($I$1:$T$1,B225,$I$2:$T$2)*AK228</f>
        <v>0</v>
      </c>
      <c r="AL229" s="399">
        <f>(1-SUMIF($I$1:$T$1,B225,$I$2:$T$2))*AK228+SUMIF($I$1:$T$1,B225,$I$2:$T$2)*AL228</f>
        <v>0</v>
      </c>
      <c r="AM229" s="399">
        <f>(1-SUMIF($I$1:$T$1,B225,$I$2:$T$2))*AL228+SUMIF($I$1:$T$1,B225,$I$2:$T$2)*AM228</f>
        <v>0</v>
      </c>
      <c r="AN229" s="404">
        <f>(1-SUMIF($I$1:$T$1,B225,$I$2:$T$2))*AM228+SUMIF($I$1:$T$1,B225,$I$2:$T$2)*AN228</f>
        <v>0</v>
      </c>
      <c r="AO229" s="386">
        <f>(1-SUMIF($I$1:$T$1,B225,$I$2:$T$2))*AN228+SUMIF($I$1:$T$1,B225,$I$2:$T$2)*AO228</f>
        <v>0</v>
      </c>
      <c r="AP229" s="399">
        <f>(1-SUMIF($I$1:$T$1,B225,$I$2:$T$2))*AO228+SUMIF($I$1:$T$1,B225,$I$2:$T$2)*AP228</f>
        <v>0</v>
      </c>
      <c r="AQ229" s="399">
        <f>(1-SUMIF($I$1:$T$1,B225,$I$2:$T$2))*AP228+SUMIF($I$1:$T$1,B225,$I$2:$T$2)*AQ228</f>
        <v>0</v>
      </c>
      <c r="AR229" s="404">
        <f>(1-SUMIF($I$1:$T$1,B225,$I$2:$T$2))*AQ228+SUMIF($I$1:$T$1,B225,$I$2:$T$2)*AR228</f>
        <v>0</v>
      </c>
      <c r="AS229" s="386">
        <f>(1-SUMIF($I$1:$T$1,B225,$I$2:$T$2))*AR228+SUMIF($I$1:$T$1,B225,$I$2:$T$2)*AS228</f>
        <v>0</v>
      </c>
      <c r="AT229" s="399">
        <f>(1-SUMIF($I$1:$T$1,B225,$I$2:$T$2))*AS228+SUMIF($I$1:$T$1,B225,$I$2:$T$2)*AT228</f>
        <v>0</v>
      </c>
      <c r="AU229" s="399">
        <f>(1-SUMIF($I$1:$T$1,B225,$I$2:$T$2))*AT228+SUMIF($I$1:$T$1,B225,$I$2:$T$2)*AU228</f>
        <v>0</v>
      </c>
      <c r="AV229" s="404">
        <f>(1-SUMIF($I$1:$T$1,B225,$I$2:$T$2))*AU228+SUMIF($I$1:$T$1,B225,$I$2:$T$2)*AV228</f>
        <v>0</v>
      </c>
      <c r="AW229" s="424" t="str">
        <f t="shared" si="176"/>
        <v>高层</v>
      </c>
    </row>
    <row r="230" spans="1:49" s="424" customFormat="1" ht="13.5" customHeight="1" outlineLevel="1">
      <c r="A230" s="1947"/>
      <c r="B230" s="1949" t="str">
        <f>'9.项目开发计划表'!C32</f>
        <v>商铺</v>
      </c>
      <c r="C230" s="456" t="s">
        <v>880</v>
      </c>
      <c r="D230" s="457">
        <f>IF(D232=0,0,D233/D232*10000)</f>
        <v>0</v>
      </c>
      <c r="E230" s="505"/>
      <c r="F230" s="506"/>
      <c r="G230" s="506"/>
      <c r="H230" s="507"/>
      <c r="I230" s="505"/>
      <c r="J230" s="506"/>
      <c r="K230" s="506"/>
      <c r="L230" s="507"/>
      <c r="M230" s="505"/>
      <c r="N230" s="506"/>
      <c r="O230" s="506"/>
      <c r="P230" s="507"/>
      <c r="Q230" s="505"/>
      <c r="R230" s="506"/>
      <c r="S230" s="506"/>
      <c r="T230" s="507"/>
      <c r="U230" s="505"/>
      <c r="V230" s="506"/>
      <c r="W230" s="506"/>
      <c r="X230" s="507"/>
      <c r="Y230" s="505"/>
      <c r="Z230" s="506"/>
      <c r="AA230" s="506"/>
      <c r="AB230" s="507"/>
      <c r="AC230" s="505"/>
      <c r="AD230" s="506"/>
      <c r="AE230" s="506"/>
      <c r="AF230" s="507"/>
      <c r="AG230" s="505"/>
      <c r="AH230" s="506"/>
      <c r="AI230" s="506"/>
      <c r="AJ230" s="507"/>
      <c r="AK230" s="505"/>
      <c r="AL230" s="506"/>
      <c r="AM230" s="506"/>
      <c r="AN230" s="507"/>
      <c r="AO230" s="505"/>
      <c r="AP230" s="506"/>
      <c r="AQ230" s="506"/>
      <c r="AR230" s="507"/>
      <c r="AS230" s="505"/>
      <c r="AT230" s="506"/>
      <c r="AU230" s="506"/>
      <c r="AV230" s="507"/>
      <c r="AW230" s="424" t="str">
        <f>B230</f>
        <v>商铺</v>
      </c>
    </row>
    <row r="231" spans="1:49" ht="13.5" customHeight="1" outlineLevel="1">
      <c r="A231" s="1947"/>
      <c r="B231" s="1949"/>
      <c r="C231" s="461" t="s">
        <v>881</v>
      </c>
      <c r="D231" s="462">
        <f t="shared" ref="D231:D234" si="178">SUM(E231:AV231)</f>
        <v>0</v>
      </c>
      <c r="E231" s="494"/>
      <c r="F231" s="491"/>
      <c r="G231" s="491"/>
      <c r="H231" s="493"/>
      <c r="I231" s="494"/>
      <c r="J231" s="491"/>
      <c r="K231" s="491"/>
      <c r="L231" s="493"/>
      <c r="M231" s="494"/>
      <c r="N231" s="491"/>
      <c r="O231" s="491"/>
      <c r="P231" s="493"/>
      <c r="Q231" s="494"/>
      <c r="R231" s="491"/>
      <c r="S231" s="491"/>
      <c r="T231" s="493"/>
      <c r="U231" s="494"/>
      <c r="V231" s="491"/>
      <c r="W231" s="491"/>
      <c r="X231" s="493"/>
      <c r="Y231" s="494"/>
      <c r="Z231" s="491"/>
      <c r="AA231" s="491"/>
      <c r="AB231" s="493"/>
      <c r="AC231" s="494"/>
      <c r="AD231" s="491"/>
      <c r="AE231" s="491"/>
      <c r="AF231" s="493"/>
      <c r="AG231" s="494"/>
      <c r="AH231" s="491"/>
      <c r="AI231" s="491"/>
      <c r="AJ231" s="493"/>
      <c r="AK231" s="494"/>
      <c r="AL231" s="491"/>
      <c r="AM231" s="491"/>
      <c r="AN231" s="493"/>
      <c r="AO231" s="494"/>
      <c r="AP231" s="491"/>
      <c r="AQ231" s="491"/>
      <c r="AR231" s="493"/>
      <c r="AS231" s="494"/>
      <c r="AT231" s="491"/>
      <c r="AU231" s="491"/>
      <c r="AV231" s="493"/>
      <c r="AW231" s="424" t="str">
        <f t="shared" ref="AW231:AW284" si="179">AW230</f>
        <v>商铺</v>
      </c>
    </row>
    <row r="232" spans="1:49" s="424" customFormat="1" ht="13.5" customHeight="1" outlineLevel="1">
      <c r="A232" s="1947"/>
      <c r="B232" s="1949"/>
      <c r="C232" s="461" t="s">
        <v>682</v>
      </c>
      <c r="D232" s="466">
        <f t="shared" si="178"/>
        <v>0</v>
      </c>
      <c r="E232" s="382">
        <f>E231*'9.项目开发计划表'!$G$32</f>
        <v>0</v>
      </c>
      <c r="F232" s="397">
        <f>F231*'9.项目开发计划表'!$G$32</f>
        <v>0</v>
      </c>
      <c r="G232" s="397">
        <f>G231*'9.项目开发计划表'!$G$32</f>
        <v>0</v>
      </c>
      <c r="H232" s="467">
        <f>H231*'9.项目开发计划表'!$G$32</f>
        <v>0</v>
      </c>
      <c r="I232" s="382">
        <f>I231*'9.项目开发计划表'!$G$32</f>
        <v>0</v>
      </c>
      <c r="J232" s="397">
        <f>J231*'9.项目开发计划表'!$G$32</f>
        <v>0</v>
      </c>
      <c r="K232" s="397">
        <f>K231*'9.项目开发计划表'!$G$32</f>
        <v>0</v>
      </c>
      <c r="L232" s="467">
        <f>L231*'9.项目开发计划表'!$G$32</f>
        <v>0</v>
      </c>
      <c r="M232" s="382">
        <f>M231*'9.项目开发计划表'!$G$32</f>
        <v>0</v>
      </c>
      <c r="N232" s="397">
        <f>N231*'9.项目开发计划表'!$G$32</f>
        <v>0</v>
      </c>
      <c r="O232" s="397">
        <f>O231*'9.项目开发计划表'!$G$32</f>
        <v>0</v>
      </c>
      <c r="P232" s="467">
        <f>P231*'9.项目开发计划表'!$G$32</f>
        <v>0</v>
      </c>
      <c r="Q232" s="382">
        <f>Q231*'9.项目开发计划表'!$G$32</f>
        <v>0</v>
      </c>
      <c r="R232" s="397">
        <f>R231*'9.项目开发计划表'!$G$32</f>
        <v>0</v>
      </c>
      <c r="S232" s="397">
        <f>S231*'9.项目开发计划表'!$G$32</f>
        <v>0</v>
      </c>
      <c r="T232" s="467">
        <f>T231*'9.项目开发计划表'!$G$32</f>
        <v>0</v>
      </c>
      <c r="U232" s="382">
        <f>U231*'9.项目开发计划表'!$G$32</f>
        <v>0</v>
      </c>
      <c r="V232" s="397">
        <f>V231*'9.项目开发计划表'!$G$32</f>
        <v>0</v>
      </c>
      <c r="W232" s="397">
        <f>W231*'9.项目开发计划表'!$G$32</f>
        <v>0</v>
      </c>
      <c r="X232" s="467">
        <f>X231*'9.项目开发计划表'!$G$32</f>
        <v>0</v>
      </c>
      <c r="Y232" s="382">
        <f>Y231*'9.项目开发计划表'!$G$32</f>
        <v>0</v>
      </c>
      <c r="Z232" s="397">
        <f>Z231*'9.项目开发计划表'!$G$32</f>
        <v>0</v>
      </c>
      <c r="AA232" s="397">
        <f>AA231*'9.项目开发计划表'!$G$32</f>
        <v>0</v>
      </c>
      <c r="AB232" s="467">
        <f>AB231*'9.项目开发计划表'!$G$32</f>
        <v>0</v>
      </c>
      <c r="AC232" s="382">
        <f>AC231*'9.项目开发计划表'!$G$32</f>
        <v>0</v>
      </c>
      <c r="AD232" s="397">
        <f>AD231*'9.项目开发计划表'!$G$32</f>
        <v>0</v>
      </c>
      <c r="AE232" s="397">
        <f>AE231*'9.项目开发计划表'!$G$32</f>
        <v>0</v>
      </c>
      <c r="AF232" s="467">
        <f>AF231*'9.项目开发计划表'!$G$32</f>
        <v>0</v>
      </c>
      <c r="AG232" s="382">
        <f>AG231*'9.项目开发计划表'!$G$32</f>
        <v>0</v>
      </c>
      <c r="AH232" s="397">
        <f>AH231*'9.项目开发计划表'!$G$32</f>
        <v>0</v>
      </c>
      <c r="AI232" s="397">
        <f>AI231*'9.项目开发计划表'!$G$32</f>
        <v>0</v>
      </c>
      <c r="AJ232" s="467">
        <f>AJ231*'9.项目开发计划表'!$G$32</f>
        <v>0</v>
      </c>
      <c r="AK232" s="382">
        <f>AK231*'9.项目开发计划表'!$G$32</f>
        <v>0</v>
      </c>
      <c r="AL232" s="397">
        <f>AL231*'9.项目开发计划表'!$G$32</f>
        <v>0</v>
      </c>
      <c r="AM232" s="397">
        <f>AM231*'9.项目开发计划表'!$G$32</f>
        <v>0</v>
      </c>
      <c r="AN232" s="467">
        <f>AN231*'9.项目开发计划表'!$G$32</f>
        <v>0</v>
      </c>
      <c r="AO232" s="382">
        <f>AO231*'9.项目开发计划表'!$G$32</f>
        <v>0</v>
      </c>
      <c r="AP232" s="397">
        <f>AP231*'9.项目开发计划表'!$G$32</f>
        <v>0</v>
      </c>
      <c r="AQ232" s="397">
        <f>AQ231*'9.项目开发计划表'!$G$32</f>
        <v>0</v>
      </c>
      <c r="AR232" s="467">
        <f>AR231*'9.项目开发计划表'!$G$32</f>
        <v>0</v>
      </c>
      <c r="AS232" s="382">
        <f>AS231*'9.项目开发计划表'!$G$32</f>
        <v>0</v>
      </c>
      <c r="AT232" s="397">
        <f>AT231*'9.项目开发计划表'!$G$32</f>
        <v>0</v>
      </c>
      <c r="AU232" s="397">
        <f>AU231*'9.项目开发计划表'!$G$32</f>
        <v>0</v>
      </c>
      <c r="AV232" s="467">
        <f>AV231*'9.项目开发计划表'!$G$32</f>
        <v>0</v>
      </c>
      <c r="AW232" s="424" t="str">
        <f t="shared" si="179"/>
        <v>商铺</v>
      </c>
    </row>
    <row r="233" spans="1:49" s="424" customFormat="1" ht="13.5" customHeight="1" outlineLevel="1">
      <c r="A233" s="1947"/>
      <c r="B233" s="1949"/>
      <c r="C233" s="461" t="s">
        <v>882</v>
      </c>
      <c r="D233" s="466">
        <f t="shared" si="178"/>
        <v>0</v>
      </c>
      <c r="E233" s="382">
        <f t="shared" ref="E233:AV233" si="180">E230*E232/10000</f>
        <v>0</v>
      </c>
      <c r="F233" s="397">
        <f t="shared" si="180"/>
        <v>0</v>
      </c>
      <c r="G233" s="397">
        <f t="shared" si="180"/>
        <v>0</v>
      </c>
      <c r="H233" s="467">
        <f t="shared" si="180"/>
        <v>0</v>
      </c>
      <c r="I233" s="382">
        <f t="shared" si="180"/>
        <v>0</v>
      </c>
      <c r="J233" s="397">
        <f t="shared" si="180"/>
        <v>0</v>
      </c>
      <c r="K233" s="397">
        <f t="shared" si="180"/>
        <v>0</v>
      </c>
      <c r="L233" s="467">
        <f t="shared" si="180"/>
        <v>0</v>
      </c>
      <c r="M233" s="382">
        <f t="shared" si="180"/>
        <v>0</v>
      </c>
      <c r="N233" s="397">
        <f t="shared" si="180"/>
        <v>0</v>
      </c>
      <c r="O233" s="397">
        <f t="shared" si="180"/>
        <v>0</v>
      </c>
      <c r="P233" s="467">
        <f t="shared" si="180"/>
        <v>0</v>
      </c>
      <c r="Q233" s="382">
        <f t="shared" si="180"/>
        <v>0</v>
      </c>
      <c r="R233" s="397">
        <f t="shared" si="180"/>
        <v>0</v>
      </c>
      <c r="S233" s="397">
        <f t="shared" si="180"/>
        <v>0</v>
      </c>
      <c r="T233" s="467">
        <f t="shared" si="180"/>
        <v>0</v>
      </c>
      <c r="U233" s="382">
        <f t="shared" si="180"/>
        <v>0</v>
      </c>
      <c r="V233" s="397">
        <f t="shared" si="180"/>
        <v>0</v>
      </c>
      <c r="W233" s="397">
        <f t="shared" si="180"/>
        <v>0</v>
      </c>
      <c r="X233" s="467">
        <f t="shared" si="180"/>
        <v>0</v>
      </c>
      <c r="Y233" s="382">
        <f t="shared" si="180"/>
        <v>0</v>
      </c>
      <c r="Z233" s="397">
        <f t="shared" si="180"/>
        <v>0</v>
      </c>
      <c r="AA233" s="397">
        <f t="shared" si="180"/>
        <v>0</v>
      </c>
      <c r="AB233" s="467">
        <f t="shared" si="180"/>
        <v>0</v>
      </c>
      <c r="AC233" s="382">
        <f t="shared" si="180"/>
        <v>0</v>
      </c>
      <c r="AD233" s="397">
        <f t="shared" si="180"/>
        <v>0</v>
      </c>
      <c r="AE233" s="397">
        <f t="shared" si="180"/>
        <v>0</v>
      </c>
      <c r="AF233" s="467">
        <f t="shared" si="180"/>
        <v>0</v>
      </c>
      <c r="AG233" s="382">
        <f t="shared" si="180"/>
        <v>0</v>
      </c>
      <c r="AH233" s="397">
        <f t="shared" si="180"/>
        <v>0</v>
      </c>
      <c r="AI233" s="397">
        <f t="shared" si="180"/>
        <v>0</v>
      </c>
      <c r="AJ233" s="467">
        <f t="shared" si="180"/>
        <v>0</v>
      </c>
      <c r="AK233" s="382">
        <f t="shared" si="180"/>
        <v>0</v>
      </c>
      <c r="AL233" s="397">
        <f t="shared" si="180"/>
        <v>0</v>
      </c>
      <c r="AM233" s="397">
        <f t="shared" si="180"/>
        <v>0</v>
      </c>
      <c r="AN233" s="467">
        <f t="shared" si="180"/>
        <v>0</v>
      </c>
      <c r="AO233" s="382">
        <f t="shared" si="180"/>
        <v>0</v>
      </c>
      <c r="AP233" s="397">
        <f t="shared" si="180"/>
        <v>0</v>
      </c>
      <c r="AQ233" s="397">
        <f t="shared" si="180"/>
        <v>0</v>
      </c>
      <c r="AR233" s="467">
        <f t="shared" si="180"/>
        <v>0</v>
      </c>
      <c r="AS233" s="382">
        <f t="shared" si="180"/>
        <v>0</v>
      </c>
      <c r="AT233" s="397">
        <f t="shared" si="180"/>
        <v>0</v>
      </c>
      <c r="AU233" s="397">
        <f t="shared" si="180"/>
        <v>0</v>
      </c>
      <c r="AV233" s="467">
        <f t="shared" si="180"/>
        <v>0</v>
      </c>
      <c r="AW233" s="424" t="str">
        <f t="shared" si="179"/>
        <v>商铺</v>
      </c>
    </row>
    <row r="234" spans="1:49" s="424" customFormat="1" ht="13.5" customHeight="1" outlineLevel="1">
      <c r="A234" s="1947"/>
      <c r="B234" s="1949"/>
      <c r="C234" s="508" t="s">
        <v>450</v>
      </c>
      <c r="D234" s="468">
        <f t="shared" si="178"/>
        <v>0</v>
      </c>
      <c r="E234" s="386">
        <f>SUMIF($I$1:$T$1,B230,$I$2:$T$2)*E233</f>
        <v>0</v>
      </c>
      <c r="F234" s="399">
        <f>(1-SUMIF($I$1:$T$1,B230,$I$2:$T$2))*E233+SUMIF($I$1:$T$1,B230,$I$2:$T$2)*F233</f>
        <v>0</v>
      </c>
      <c r="G234" s="399">
        <f>(1-SUMIF($I$1:$T$1,B230,$I$2:$T$2))*F233+SUMIF($I$1:$T$1,B230,$I$2:$T$2)*G233</f>
        <v>0</v>
      </c>
      <c r="H234" s="404">
        <f>(1-SUMIF($I$1:$T$1,B230,$I$2:$T$2))*G233+SUMIF($I$1:$T$1,B230,$I$2:$T$2)*H233</f>
        <v>0</v>
      </c>
      <c r="I234" s="386">
        <f>(1-SUMIF($I$1:$T$1,B230,$I$2:$T$2))*H233+SUMIF($I$1:$T$1,B230,$I$2:$T$2)*I233</f>
        <v>0</v>
      </c>
      <c r="J234" s="399">
        <f>(1-SUMIF($I$1:$T$1,B230,$I$2:$T$2))*I233+SUMIF($I$1:$T$1,B230,$I$2:$T$2)*J233</f>
        <v>0</v>
      </c>
      <c r="K234" s="399">
        <f>(1-SUMIF($I$1:$T$1,B230,$I$2:$T$2))*J233+SUMIF($I$1:$T$1,B230,$I$2:$T$2)*K233</f>
        <v>0</v>
      </c>
      <c r="L234" s="404">
        <f>(1-SUMIF($I$1:$T$1,B230,$I$2:$T$2))*K233+SUMIF($I$1:$T$1,B230,$I$2:$T$2)*L233</f>
        <v>0</v>
      </c>
      <c r="M234" s="386">
        <f>(1-SUMIF($I$1:$T$1,B230,$I$2:$T$2))*L233+SUMIF($I$1:$T$1,B230,$I$2:$T$2)*M233</f>
        <v>0</v>
      </c>
      <c r="N234" s="399">
        <f>(1-SUMIF($I$1:$T$1,B230,$I$2:$T$2))*M233+SUMIF($I$1:$T$1,B230,$I$2:$T$2)*N233</f>
        <v>0</v>
      </c>
      <c r="O234" s="399">
        <f>(1-SUMIF($I$1:$T$1,B230,$I$2:$T$2))*N233+SUMIF($I$1:$T$1,B230,$I$2:$T$2)*O233</f>
        <v>0</v>
      </c>
      <c r="P234" s="404">
        <f>(1-SUMIF($I$1:$T$1,B230,$I$2:$T$2))*O233+SUMIF($I$1:$T$1,B230,$I$2:$T$2)*P233</f>
        <v>0</v>
      </c>
      <c r="Q234" s="386">
        <f>(1-SUMIF($I$1:$T$1,B230,$I$2:$T$2))*P233+SUMIF($I$1:$T$1,B230,$I$2:$T$2)*Q233</f>
        <v>0</v>
      </c>
      <c r="R234" s="399">
        <f>(1-SUMIF($I$1:$T$1,B230,$I$2:$T$2))*Q233+SUMIF($I$1:$T$1,B230,$I$2:$T$2)*R233</f>
        <v>0</v>
      </c>
      <c r="S234" s="399">
        <f>(1-SUMIF($I$1:$T$1,B230,$I$2:$T$2))*R233+SUMIF($I$1:$T$1,B230,$I$2:$T$2)*S233</f>
        <v>0</v>
      </c>
      <c r="T234" s="404">
        <f>(1-SUMIF($I$1:$T$1,B230,$I$2:$T$2))*S233+SUMIF($I$1:$T$1,B230,$I$2:$T$2)*T233</f>
        <v>0</v>
      </c>
      <c r="U234" s="386">
        <f>(1-SUMIF($I$1:$T$1,B230,$I$2:$T$2))*T233+SUMIF($I$1:$T$1,B230,$I$2:$T$2)*U233</f>
        <v>0</v>
      </c>
      <c r="V234" s="399">
        <f>(1-SUMIF($I$1:$T$1,B230,$I$2:$T$2))*U233+SUMIF($I$1:$T$1,B230,$I$2:$T$2)*V233</f>
        <v>0</v>
      </c>
      <c r="W234" s="399">
        <f>(1-SUMIF($I$1:$T$1,B230,$I$2:$T$2))*V233+SUMIF($I$1:$T$1,B230,$I$2:$T$2)*W233</f>
        <v>0</v>
      </c>
      <c r="X234" s="404">
        <f>(1-SUMIF($I$1:$T$1,B230,$I$2:$T$2))*W233+SUMIF($I$1:$T$1,B230,$I$2:$T$2)*X233</f>
        <v>0</v>
      </c>
      <c r="Y234" s="386">
        <f>(1-SUMIF($I$1:$T$1,B230,$I$2:$T$2))*X233+SUMIF($I$1:$T$1,B230,$I$2:$T$2)*Y233</f>
        <v>0</v>
      </c>
      <c r="Z234" s="399">
        <f>(1-SUMIF($I$1:$T$1,B230,$I$2:$T$2))*Y233+SUMIF($I$1:$T$1,B230,$I$2:$T$2)*Z233</f>
        <v>0</v>
      </c>
      <c r="AA234" s="399">
        <f>(1-SUMIF($I$1:$T$1,B230,$I$2:$T$2))*Z233+SUMIF($I$1:$T$1,B230,$I$2:$T$2)*AA233</f>
        <v>0</v>
      </c>
      <c r="AB234" s="404">
        <f>(1-SUMIF($I$1:$T$1,B230,$I$2:$T$2))*AA233+SUMIF($I$1:$T$1,B230,$I$2:$T$2)*AB233</f>
        <v>0</v>
      </c>
      <c r="AC234" s="386">
        <f>(1-SUMIF($I$1:$T$1,B230,$I$2:$T$2))*AB233+SUMIF($I$1:$T$1,B230,$I$2:$T$2)*AC233</f>
        <v>0</v>
      </c>
      <c r="AD234" s="399">
        <f>(1-SUMIF($I$1:$T$1,B230,$I$2:$T$2))*AC233+SUMIF($I$1:$T$1,B230,$I$2:$T$2)*AD233</f>
        <v>0</v>
      </c>
      <c r="AE234" s="399">
        <f>(1-SUMIF($I$1:$T$1,B230,$I$2:$T$2))*AD233+SUMIF($I$1:$T$1,B230,$I$2:$T$2)*AE233</f>
        <v>0</v>
      </c>
      <c r="AF234" s="404">
        <f>(1-SUMIF($I$1:$T$1,B230,$I$2:$T$2))*AE233+SUMIF($I$1:$T$1,B230,$I$2:$T$2)*AF233</f>
        <v>0</v>
      </c>
      <c r="AG234" s="386">
        <f>(1-SUMIF($I$1:$T$1,B230,$I$2:$T$2))*AF233+SUMIF($I$1:$T$1,B230,$I$2:$T$2)*AG233</f>
        <v>0</v>
      </c>
      <c r="AH234" s="399">
        <f>(1-SUMIF($I$1:$T$1,B230,$I$2:$T$2))*AG233+SUMIF($I$1:$T$1,B230,$I$2:$T$2)*AH233</f>
        <v>0</v>
      </c>
      <c r="AI234" s="399">
        <f>(1-SUMIF($I$1:$T$1,B230,$I$2:$T$2))*AH233+SUMIF($I$1:$T$1,B230,$I$2:$T$2)*AI233</f>
        <v>0</v>
      </c>
      <c r="AJ234" s="404">
        <f>(1-SUMIF($I$1:$T$1,B230,$I$2:$T$2))*AI233+SUMIF($I$1:$T$1,B230,$I$2:$T$2)*AJ233</f>
        <v>0</v>
      </c>
      <c r="AK234" s="386">
        <f>(1-SUMIF($I$1:$T$1,B230,$I$2:$T$2))*AJ233+SUMIF($I$1:$T$1,B230,$I$2:$T$2)*AK233</f>
        <v>0</v>
      </c>
      <c r="AL234" s="399">
        <f>(1-SUMIF($I$1:$T$1,B230,$I$2:$T$2))*AK233+SUMIF($I$1:$T$1,B230,$I$2:$T$2)*AL233</f>
        <v>0</v>
      </c>
      <c r="AM234" s="399">
        <f>(1-SUMIF($I$1:$T$1,B230,$I$2:$T$2))*AL233+SUMIF($I$1:$T$1,B230,$I$2:$T$2)*AM233</f>
        <v>0</v>
      </c>
      <c r="AN234" s="404">
        <f>(1-SUMIF($I$1:$T$1,B230,$I$2:$T$2))*AM233+SUMIF($I$1:$T$1,B230,$I$2:$T$2)*AN233</f>
        <v>0</v>
      </c>
      <c r="AO234" s="386">
        <f>(1-SUMIF($I$1:$T$1,B230,$I$2:$T$2))*AN233+SUMIF($I$1:$T$1,B230,$I$2:$T$2)*AO233</f>
        <v>0</v>
      </c>
      <c r="AP234" s="399">
        <f>(1-SUMIF($I$1:$T$1,B230,$I$2:$T$2))*AO233+SUMIF($I$1:$T$1,B230,$I$2:$T$2)*AP233</f>
        <v>0</v>
      </c>
      <c r="AQ234" s="399">
        <f>(1-SUMIF($I$1:$T$1,B230,$I$2:$T$2))*AP233+SUMIF($I$1:$T$1,B230,$I$2:$T$2)*AQ233</f>
        <v>0</v>
      </c>
      <c r="AR234" s="404">
        <f>(1-SUMIF($I$1:$T$1,B230,$I$2:$T$2))*AQ233+SUMIF($I$1:$T$1,B230,$I$2:$T$2)*AR233</f>
        <v>0</v>
      </c>
      <c r="AS234" s="386">
        <f>(1-SUMIF($I$1:$T$1,B230,$I$2:$T$2))*AR233+SUMIF($I$1:$T$1,B230,$I$2:$T$2)*AS233</f>
        <v>0</v>
      </c>
      <c r="AT234" s="399">
        <f>(1-SUMIF($I$1:$T$1,B230,$I$2:$T$2))*AS233+SUMIF($I$1:$T$1,B230,$I$2:$T$2)*AT233</f>
        <v>0</v>
      </c>
      <c r="AU234" s="399">
        <f>(1-SUMIF($I$1:$T$1,B230,$I$2:$T$2))*AT233+SUMIF($I$1:$T$1,B230,$I$2:$T$2)*AU233</f>
        <v>0</v>
      </c>
      <c r="AV234" s="404">
        <f>(1-SUMIF($I$1:$T$1,B230,$I$2:$T$2))*AU233+SUMIF($I$1:$T$1,B230,$I$2:$T$2)*AV233</f>
        <v>0</v>
      </c>
      <c r="AW234" s="424" t="str">
        <f t="shared" si="179"/>
        <v>商铺</v>
      </c>
    </row>
    <row r="235" spans="1:49" s="424" customFormat="1" ht="13.5" customHeight="1" outlineLevel="1">
      <c r="A235" s="1947"/>
      <c r="B235" s="1949" t="str">
        <f>'9.项目开发计划表'!C33</f>
        <v>回迁商业</v>
      </c>
      <c r="C235" s="456" t="s">
        <v>880</v>
      </c>
      <c r="D235" s="457">
        <f>IF(D237=0,0,D238/D237*10000)</f>
        <v>0</v>
      </c>
      <c r="E235" s="505"/>
      <c r="F235" s="506"/>
      <c r="G235" s="506"/>
      <c r="H235" s="507"/>
      <c r="I235" s="505"/>
      <c r="J235" s="506"/>
      <c r="K235" s="506"/>
      <c r="L235" s="507"/>
      <c r="M235" s="505"/>
      <c r="N235" s="506"/>
      <c r="O235" s="489"/>
      <c r="P235" s="489"/>
      <c r="Q235" s="489"/>
      <c r="R235" s="489"/>
      <c r="S235" s="489"/>
      <c r="T235" s="489"/>
      <c r="U235" s="489"/>
      <c r="V235" s="489"/>
      <c r="W235" s="489"/>
      <c r="X235" s="489"/>
      <c r="Y235" s="489"/>
      <c r="Z235" s="506"/>
      <c r="AA235" s="506"/>
      <c r="AB235" s="507"/>
      <c r="AC235" s="505"/>
      <c r="AD235" s="506"/>
      <c r="AE235" s="506"/>
      <c r="AF235" s="507"/>
      <c r="AG235" s="505"/>
      <c r="AH235" s="506"/>
      <c r="AI235" s="506"/>
      <c r="AJ235" s="507"/>
      <c r="AK235" s="505"/>
      <c r="AL235" s="506"/>
      <c r="AM235" s="506"/>
      <c r="AN235" s="507"/>
      <c r="AO235" s="505"/>
      <c r="AP235" s="506"/>
      <c r="AQ235" s="506"/>
      <c r="AR235" s="507"/>
      <c r="AS235" s="505"/>
      <c r="AT235" s="506"/>
      <c r="AU235" s="506"/>
      <c r="AV235" s="507"/>
      <c r="AW235" s="424" t="str">
        <f>B235</f>
        <v>回迁商业</v>
      </c>
    </row>
    <row r="236" spans="1:49" ht="13.5" customHeight="1" outlineLevel="1">
      <c r="A236" s="1947"/>
      <c r="B236" s="1949"/>
      <c r="C236" s="461" t="s">
        <v>881</v>
      </c>
      <c r="D236" s="462">
        <f t="shared" ref="D236:D239" si="181">SUM(E236:AV236)</f>
        <v>0</v>
      </c>
      <c r="E236" s="494"/>
      <c r="F236" s="491"/>
      <c r="G236" s="491"/>
      <c r="H236" s="493"/>
      <c r="I236" s="494"/>
      <c r="J236" s="491"/>
      <c r="K236" s="491"/>
      <c r="L236" s="493"/>
      <c r="M236" s="494"/>
      <c r="N236" s="491"/>
      <c r="O236" s="490"/>
      <c r="P236" s="490"/>
      <c r="Q236" s="490"/>
      <c r="R236" s="490"/>
      <c r="S236" s="490"/>
      <c r="T236" s="490"/>
      <c r="U236" s="490"/>
      <c r="V236" s="490"/>
      <c r="W236" s="490"/>
      <c r="X236" s="490"/>
      <c r="Y236" s="490"/>
      <c r="Z236" s="491"/>
      <c r="AA236" s="491"/>
      <c r="AB236" s="493"/>
      <c r="AC236" s="494"/>
      <c r="AD236" s="491"/>
      <c r="AE236" s="491"/>
      <c r="AF236" s="493"/>
      <c r="AG236" s="494"/>
      <c r="AH236" s="491"/>
      <c r="AI236" s="491"/>
      <c r="AJ236" s="493"/>
      <c r="AK236" s="494"/>
      <c r="AL236" s="491"/>
      <c r="AM236" s="491"/>
      <c r="AN236" s="493"/>
      <c r="AO236" s="494"/>
      <c r="AP236" s="491"/>
      <c r="AQ236" s="491"/>
      <c r="AR236" s="493"/>
      <c r="AS236" s="494"/>
      <c r="AT236" s="491"/>
      <c r="AU236" s="491"/>
      <c r="AV236" s="493"/>
      <c r="AW236" s="424" t="str">
        <f>AW235</f>
        <v>回迁商业</v>
      </c>
    </row>
    <row r="237" spans="1:49" s="424" customFormat="1" ht="13.5" customHeight="1" outlineLevel="1">
      <c r="A237" s="1947"/>
      <c r="B237" s="1949"/>
      <c r="C237" s="461" t="s">
        <v>682</v>
      </c>
      <c r="D237" s="466">
        <f t="shared" si="181"/>
        <v>0</v>
      </c>
      <c r="E237" s="382">
        <f>E236*'9.项目开发计划表'!$G$33</f>
        <v>0</v>
      </c>
      <c r="F237" s="397">
        <f>F236*'9.项目开发计划表'!$G$33</f>
        <v>0</v>
      </c>
      <c r="G237" s="397">
        <f>G236*'9.项目开发计划表'!$G$33</f>
        <v>0</v>
      </c>
      <c r="H237" s="467">
        <f>H236*'9.项目开发计划表'!$G$33</f>
        <v>0</v>
      </c>
      <c r="I237" s="382">
        <f>I236*'9.项目开发计划表'!$G$33</f>
        <v>0</v>
      </c>
      <c r="J237" s="397">
        <f>J236*'9.项目开发计划表'!$G$33</f>
        <v>0</v>
      </c>
      <c r="K237" s="397">
        <f>K236*'9.项目开发计划表'!$G$33</f>
        <v>0</v>
      </c>
      <c r="L237" s="467">
        <f>L236*'9.项目开发计划表'!$G$33</f>
        <v>0</v>
      </c>
      <c r="M237" s="382">
        <f>M236*'9.项目开发计划表'!$G$33</f>
        <v>0</v>
      </c>
      <c r="N237" s="397">
        <f>N236*'9.项目开发计划表'!$G$33</f>
        <v>0</v>
      </c>
      <c r="O237" s="397">
        <f>O236*'9.项目开发计划表'!$G$33</f>
        <v>0</v>
      </c>
      <c r="P237" s="467">
        <f>P236*'9.项目开发计划表'!$G$33</f>
        <v>0</v>
      </c>
      <c r="Q237" s="382">
        <f>Q236*'9.项目开发计划表'!$G$33</f>
        <v>0</v>
      </c>
      <c r="R237" s="397">
        <f>R236*'9.项目开发计划表'!$G$33</f>
        <v>0</v>
      </c>
      <c r="S237" s="397">
        <f>S236*'9.项目开发计划表'!$G$33</f>
        <v>0</v>
      </c>
      <c r="T237" s="467">
        <f>T236*'9.项目开发计划表'!$G$33</f>
        <v>0</v>
      </c>
      <c r="U237" s="382">
        <f>U236*'9.项目开发计划表'!$G$33</f>
        <v>0</v>
      </c>
      <c r="V237" s="397">
        <f>V236*'9.项目开发计划表'!$G$33</f>
        <v>0</v>
      </c>
      <c r="W237" s="397">
        <f>W236*'9.项目开发计划表'!$G$33</f>
        <v>0</v>
      </c>
      <c r="X237" s="467">
        <f>X236*'9.项目开发计划表'!$G$33</f>
        <v>0</v>
      </c>
      <c r="Y237" s="382">
        <f>Y236*'9.项目开发计划表'!$G$33</f>
        <v>0</v>
      </c>
      <c r="Z237" s="397">
        <f>Z236*'9.项目开发计划表'!$G$33</f>
        <v>0</v>
      </c>
      <c r="AA237" s="397">
        <f>AA236*'9.项目开发计划表'!$G$33</f>
        <v>0</v>
      </c>
      <c r="AB237" s="467">
        <f>AB236*'9.项目开发计划表'!$G$33</f>
        <v>0</v>
      </c>
      <c r="AC237" s="382">
        <f>AC236*'9.项目开发计划表'!$G$33</f>
        <v>0</v>
      </c>
      <c r="AD237" s="397">
        <f>AD236*'9.项目开发计划表'!$G$33</f>
        <v>0</v>
      </c>
      <c r="AE237" s="397">
        <f>AE236*'9.项目开发计划表'!$G$33</f>
        <v>0</v>
      </c>
      <c r="AF237" s="467">
        <f>AF236*'9.项目开发计划表'!$G$33</f>
        <v>0</v>
      </c>
      <c r="AG237" s="382">
        <f>AG236*'9.项目开发计划表'!$G$33</f>
        <v>0</v>
      </c>
      <c r="AH237" s="397">
        <f>AH236*'9.项目开发计划表'!$G$33</f>
        <v>0</v>
      </c>
      <c r="AI237" s="397">
        <f>AI236*'9.项目开发计划表'!$G$33</f>
        <v>0</v>
      </c>
      <c r="AJ237" s="467">
        <f>AJ236*'9.项目开发计划表'!$G$33</f>
        <v>0</v>
      </c>
      <c r="AK237" s="382">
        <f>AK236*'9.项目开发计划表'!$G$33</f>
        <v>0</v>
      </c>
      <c r="AL237" s="397">
        <f>AL236*'9.项目开发计划表'!$G$33</f>
        <v>0</v>
      </c>
      <c r="AM237" s="397">
        <f>AM236*'9.项目开发计划表'!$G$33</f>
        <v>0</v>
      </c>
      <c r="AN237" s="467">
        <f>AN236*'9.项目开发计划表'!$G$33</f>
        <v>0</v>
      </c>
      <c r="AO237" s="382">
        <f>AO236*'9.项目开发计划表'!$G$33</f>
        <v>0</v>
      </c>
      <c r="AP237" s="397">
        <f>AP236*'9.项目开发计划表'!$G$33</f>
        <v>0</v>
      </c>
      <c r="AQ237" s="397">
        <f>AQ236*'9.项目开发计划表'!$G$33</f>
        <v>0</v>
      </c>
      <c r="AR237" s="467">
        <f>AR236*'9.项目开发计划表'!$G$33</f>
        <v>0</v>
      </c>
      <c r="AS237" s="382">
        <f>AS236*'9.项目开发计划表'!$G$33</f>
        <v>0</v>
      </c>
      <c r="AT237" s="397">
        <f>AT236*'9.项目开发计划表'!$G$33</f>
        <v>0</v>
      </c>
      <c r="AU237" s="397">
        <f>AU236*'9.项目开发计划表'!$G$33</f>
        <v>0</v>
      </c>
      <c r="AV237" s="467">
        <f>AV236*'9.项目开发计划表'!$G$33</f>
        <v>0</v>
      </c>
      <c r="AW237" s="424" t="str">
        <f t="shared" si="179"/>
        <v>回迁商业</v>
      </c>
    </row>
    <row r="238" spans="1:49" s="424" customFormat="1" ht="13.5" customHeight="1" outlineLevel="1">
      <c r="A238" s="1947"/>
      <c r="B238" s="1949"/>
      <c r="C238" s="461" t="s">
        <v>882</v>
      </c>
      <c r="D238" s="466">
        <f t="shared" si="181"/>
        <v>0</v>
      </c>
      <c r="E238" s="382">
        <f t="shared" ref="E238:AV238" si="182">E235*E237/10000</f>
        <v>0</v>
      </c>
      <c r="F238" s="397">
        <f t="shared" si="182"/>
        <v>0</v>
      </c>
      <c r="G238" s="397">
        <f t="shared" si="182"/>
        <v>0</v>
      </c>
      <c r="H238" s="467">
        <f t="shared" si="182"/>
        <v>0</v>
      </c>
      <c r="I238" s="382">
        <f t="shared" si="182"/>
        <v>0</v>
      </c>
      <c r="J238" s="397">
        <f t="shared" si="182"/>
        <v>0</v>
      </c>
      <c r="K238" s="397">
        <f t="shared" si="182"/>
        <v>0</v>
      </c>
      <c r="L238" s="467">
        <f t="shared" si="182"/>
        <v>0</v>
      </c>
      <c r="M238" s="382">
        <f t="shared" si="182"/>
        <v>0</v>
      </c>
      <c r="N238" s="397">
        <f t="shared" si="182"/>
        <v>0</v>
      </c>
      <c r="O238" s="397">
        <f t="shared" si="182"/>
        <v>0</v>
      </c>
      <c r="P238" s="467">
        <f t="shared" si="182"/>
        <v>0</v>
      </c>
      <c r="Q238" s="382">
        <f t="shared" si="182"/>
        <v>0</v>
      </c>
      <c r="R238" s="397">
        <f t="shared" si="182"/>
        <v>0</v>
      </c>
      <c r="S238" s="397">
        <f t="shared" si="182"/>
        <v>0</v>
      </c>
      <c r="T238" s="467">
        <f t="shared" si="182"/>
        <v>0</v>
      </c>
      <c r="U238" s="382">
        <f t="shared" si="182"/>
        <v>0</v>
      </c>
      <c r="V238" s="397">
        <f t="shared" si="182"/>
        <v>0</v>
      </c>
      <c r="W238" s="397">
        <f t="shared" si="182"/>
        <v>0</v>
      </c>
      <c r="X238" s="467">
        <f t="shared" si="182"/>
        <v>0</v>
      </c>
      <c r="Y238" s="382">
        <f t="shared" si="182"/>
        <v>0</v>
      </c>
      <c r="Z238" s="397">
        <f t="shared" si="182"/>
        <v>0</v>
      </c>
      <c r="AA238" s="397">
        <f t="shared" si="182"/>
        <v>0</v>
      </c>
      <c r="AB238" s="467">
        <f t="shared" si="182"/>
        <v>0</v>
      </c>
      <c r="AC238" s="382">
        <f t="shared" si="182"/>
        <v>0</v>
      </c>
      <c r="AD238" s="397">
        <f t="shared" si="182"/>
        <v>0</v>
      </c>
      <c r="AE238" s="397">
        <f t="shared" si="182"/>
        <v>0</v>
      </c>
      <c r="AF238" s="467">
        <f t="shared" si="182"/>
        <v>0</v>
      </c>
      <c r="AG238" s="382">
        <f t="shared" si="182"/>
        <v>0</v>
      </c>
      <c r="AH238" s="397">
        <f t="shared" si="182"/>
        <v>0</v>
      </c>
      <c r="AI238" s="397">
        <f t="shared" si="182"/>
        <v>0</v>
      </c>
      <c r="AJ238" s="467">
        <f t="shared" si="182"/>
        <v>0</v>
      </c>
      <c r="AK238" s="382">
        <f t="shared" si="182"/>
        <v>0</v>
      </c>
      <c r="AL238" s="397">
        <f t="shared" si="182"/>
        <v>0</v>
      </c>
      <c r="AM238" s="397">
        <f t="shared" si="182"/>
        <v>0</v>
      </c>
      <c r="AN238" s="467">
        <f t="shared" si="182"/>
        <v>0</v>
      </c>
      <c r="AO238" s="382">
        <f t="shared" si="182"/>
        <v>0</v>
      </c>
      <c r="AP238" s="397">
        <f t="shared" si="182"/>
        <v>0</v>
      </c>
      <c r="AQ238" s="397">
        <f t="shared" si="182"/>
        <v>0</v>
      </c>
      <c r="AR238" s="467">
        <f t="shared" si="182"/>
        <v>0</v>
      </c>
      <c r="AS238" s="382">
        <f t="shared" si="182"/>
        <v>0</v>
      </c>
      <c r="AT238" s="397">
        <f t="shared" si="182"/>
        <v>0</v>
      </c>
      <c r="AU238" s="397">
        <f t="shared" si="182"/>
        <v>0</v>
      </c>
      <c r="AV238" s="467">
        <f t="shared" si="182"/>
        <v>0</v>
      </c>
      <c r="AW238" s="424" t="str">
        <f t="shared" si="179"/>
        <v>回迁商业</v>
      </c>
    </row>
    <row r="239" spans="1:49" s="424" customFormat="1" ht="13.5" customHeight="1" outlineLevel="1">
      <c r="A239" s="1947"/>
      <c r="B239" s="1949"/>
      <c r="C239" s="508" t="s">
        <v>450</v>
      </c>
      <c r="D239" s="468">
        <f t="shared" si="181"/>
        <v>0</v>
      </c>
      <c r="E239" s="386">
        <f>SUMIF($I$1:$T$1,B235,$I$2:$T$2)*E238</f>
        <v>0</v>
      </c>
      <c r="F239" s="399">
        <f>(1-SUMIF($I$1:$T$1,B235,$I$2:$T$2))*E238+SUMIF($I$1:$T$1,B235,$I$2:$T$2)*F238</f>
        <v>0</v>
      </c>
      <c r="G239" s="399">
        <f>(1-SUMIF($I$1:$T$1,B235,$I$2:$T$2))*F238+SUMIF($I$1:$T$1,B235,$I$2:$T$2)*G238</f>
        <v>0</v>
      </c>
      <c r="H239" s="404">
        <f>(1-SUMIF($I$1:$T$1,B235,$I$2:$T$2))*G238+SUMIF($I$1:$T$1,B235,$I$2:$T$2)*H238</f>
        <v>0</v>
      </c>
      <c r="I239" s="386">
        <f>(1-SUMIF($I$1:$T$1,B235,$I$2:$T$2))*H238+SUMIF($I$1:$T$1,B235,$I$2:$T$2)*I238</f>
        <v>0</v>
      </c>
      <c r="J239" s="399">
        <f>(1-SUMIF($I$1:$T$1,B235,$I$2:$T$2))*I238+SUMIF($I$1:$T$1,B235,$I$2:$T$2)*J238</f>
        <v>0</v>
      </c>
      <c r="K239" s="399">
        <f>(1-SUMIF($I$1:$T$1,B235,$I$2:$T$2))*J238+SUMIF($I$1:$T$1,B235,$I$2:$T$2)*K238</f>
        <v>0</v>
      </c>
      <c r="L239" s="404">
        <f>(1-SUMIF($I$1:$T$1,B235,$I$2:$T$2))*K238+SUMIF($I$1:$T$1,B235,$I$2:$T$2)*L238</f>
        <v>0</v>
      </c>
      <c r="M239" s="386">
        <f>(1-SUMIF($I$1:$T$1,B235,$I$2:$T$2))*L238+SUMIF($I$1:$T$1,B235,$I$2:$T$2)*M238</f>
        <v>0</v>
      </c>
      <c r="N239" s="399">
        <f>(1-SUMIF($I$1:$T$1,B235,$I$2:$T$2))*M238+SUMIF($I$1:$T$1,B235,$I$2:$T$2)*N238</f>
        <v>0</v>
      </c>
      <c r="O239" s="399">
        <f>(1-SUMIF($I$1:$T$1,B235,$I$2:$T$2))*N238+SUMIF($I$1:$T$1,B235,$I$2:$T$2)*O238</f>
        <v>0</v>
      </c>
      <c r="P239" s="404">
        <f>(1-SUMIF($I$1:$T$1,B235,$I$2:$T$2))*O238+SUMIF($I$1:$T$1,B235,$I$2:$T$2)*P238</f>
        <v>0</v>
      </c>
      <c r="Q239" s="386">
        <f>(1-SUMIF($I$1:$T$1,B235,$I$2:$T$2))*P238+SUMIF($I$1:$T$1,B235,$I$2:$T$2)*Q238</f>
        <v>0</v>
      </c>
      <c r="R239" s="399">
        <f>(1-SUMIF($I$1:$T$1,B235,$I$2:$T$2))*Q238+SUMIF($I$1:$T$1,B235,$I$2:$T$2)*R238</f>
        <v>0</v>
      </c>
      <c r="S239" s="399">
        <f>(1-SUMIF($I$1:$T$1,B235,$I$2:$T$2))*R238+SUMIF($I$1:$T$1,B235,$I$2:$T$2)*S238</f>
        <v>0</v>
      </c>
      <c r="T239" s="404">
        <f>(1-SUMIF($I$1:$T$1,B235,$I$2:$T$2))*S238+SUMIF($I$1:$T$1,B235,$I$2:$T$2)*T238</f>
        <v>0</v>
      </c>
      <c r="U239" s="386">
        <f>(1-SUMIF($I$1:$T$1,B235,$I$2:$T$2))*T238+SUMIF($I$1:$T$1,B235,$I$2:$T$2)*U238</f>
        <v>0</v>
      </c>
      <c r="V239" s="399">
        <f>(1-SUMIF($I$1:$T$1,B235,$I$2:$T$2))*U238+SUMIF($I$1:$T$1,B235,$I$2:$T$2)*V238</f>
        <v>0</v>
      </c>
      <c r="W239" s="399">
        <f>(1-SUMIF($I$1:$T$1,B235,$I$2:$T$2))*V238+SUMIF($I$1:$T$1,B235,$I$2:$T$2)*W238</f>
        <v>0</v>
      </c>
      <c r="X239" s="404">
        <f>(1-SUMIF($I$1:$T$1,B235,$I$2:$T$2))*W238+SUMIF($I$1:$T$1,B235,$I$2:$T$2)*X238</f>
        <v>0</v>
      </c>
      <c r="Y239" s="386">
        <f>(1-SUMIF($I$1:$T$1,B235,$I$2:$T$2))*X238+SUMIF($I$1:$T$1,B235,$I$2:$T$2)*Y238</f>
        <v>0</v>
      </c>
      <c r="Z239" s="399">
        <f>(1-SUMIF($I$1:$T$1,B235,$I$2:$T$2))*Y238+SUMIF($I$1:$T$1,B235,$I$2:$T$2)*Z238</f>
        <v>0</v>
      </c>
      <c r="AA239" s="399">
        <f>(1-SUMIF($I$1:$T$1,B235,$I$2:$T$2))*Z238+SUMIF($I$1:$T$1,B235,$I$2:$T$2)*AA238</f>
        <v>0</v>
      </c>
      <c r="AB239" s="404">
        <f>(1-SUMIF($I$1:$T$1,B235,$I$2:$T$2))*AA238+SUMIF($I$1:$T$1,B235,$I$2:$T$2)*AB238</f>
        <v>0</v>
      </c>
      <c r="AC239" s="386">
        <f>(1-SUMIF($I$1:$T$1,B235,$I$2:$T$2))*AB238+SUMIF($I$1:$T$1,B235,$I$2:$T$2)*AC238</f>
        <v>0</v>
      </c>
      <c r="AD239" s="399">
        <f>(1-SUMIF($I$1:$T$1,B235,$I$2:$T$2))*AC238+SUMIF($I$1:$T$1,B235,$I$2:$T$2)*AD238</f>
        <v>0</v>
      </c>
      <c r="AE239" s="399">
        <f>(1-SUMIF($I$1:$T$1,B235,$I$2:$T$2))*AD238+SUMIF($I$1:$T$1,B235,$I$2:$T$2)*AE238</f>
        <v>0</v>
      </c>
      <c r="AF239" s="404">
        <f>(1-SUMIF($I$1:$T$1,B235,$I$2:$T$2))*AE238+SUMIF($I$1:$T$1,B235,$I$2:$T$2)*AF238</f>
        <v>0</v>
      </c>
      <c r="AG239" s="386">
        <f>(1-SUMIF($I$1:$T$1,B235,$I$2:$T$2))*AF238+SUMIF($I$1:$T$1,B235,$I$2:$T$2)*AG238</f>
        <v>0</v>
      </c>
      <c r="AH239" s="399">
        <f>(1-SUMIF($I$1:$T$1,B235,$I$2:$T$2))*AG238+SUMIF($I$1:$T$1,B235,$I$2:$T$2)*AH238</f>
        <v>0</v>
      </c>
      <c r="AI239" s="399">
        <f>(1-SUMIF($I$1:$T$1,B235,$I$2:$T$2))*AH238+SUMIF($I$1:$T$1,B235,$I$2:$T$2)*AI238</f>
        <v>0</v>
      </c>
      <c r="AJ239" s="404">
        <f>(1-SUMIF($I$1:$T$1,B235,$I$2:$T$2))*AI238+SUMIF($I$1:$T$1,B235,$I$2:$T$2)*AJ238</f>
        <v>0</v>
      </c>
      <c r="AK239" s="386">
        <f>(1-SUMIF($I$1:$T$1,B235,$I$2:$T$2))*AJ238+SUMIF($I$1:$T$1,B235,$I$2:$T$2)*AK238</f>
        <v>0</v>
      </c>
      <c r="AL239" s="399">
        <f>(1-SUMIF($I$1:$T$1,B235,$I$2:$T$2))*AK238+SUMIF($I$1:$T$1,B235,$I$2:$T$2)*AL238</f>
        <v>0</v>
      </c>
      <c r="AM239" s="399">
        <f>(1-SUMIF($I$1:$T$1,B235,$I$2:$T$2))*AL238+SUMIF($I$1:$T$1,B235,$I$2:$T$2)*AM238</f>
        <v>0</v>
      </c>
      <c r="AN239" s="404">
        <f>(1-SUMIF($I$1:$T$1,B235,$I$2:$T$2))*AM238+SUMIF($I$1:$T$1,B235,$I$2:$T$2)*AN238</f>
        <v>0</v>
      </c>
      <c r="AO239" s="386">
        <f>(1-SUMIF($I$1:$T$1,B235,$I$2:$T$2))*AN238+SUMIF($I$1:$T$1,B235,$I$2:$T$2)*AO238</f>
        <v>0</v>
      </c>
      <c r="AP239" s="399">
        <f>(1-SUMIF($I$1:$T$1,B235,$I$2:$T$2))*AO238+SUMIF($I$1:$T$1,B235,$I$2:$T$2)*AP238</f>
        <v>0</v>
      </c>
      <c r="AQ239" s="399">
        <f>(1-SUMIF($I$1:$T$1,B235,$I$2:$T$2))*AP238+SUMIF($I$1:$T$1,B235,$I$2:$T$2)*AQ238</f>
        <v>0</v>
      </c>
      <c r="AR239" s="404">
        <f>(1-SUMIF($I$1:$T$1,B235,$I$2:$T$2))*AQ238+SUMIF($I$1:$T$1,B235,$I$2:$T$2)*AR238</f>
        <v>0</v>
      </c>
      <c r="AS239" s="386">
        <f>(1-SUMIF($I$1:$T$1,B235,$I$2:$T$2))*AR238+SUMIF($I$1:$T$1,B235,$I$2:$T$2)*AS238</f>
        <v>0</v>
      </c>
      <c r="AT239" s="399">
        <f>(1-SUMIF($I$1:$T$1,B235,$I$2:$T$2))*AS238+SUMIF($I$1:$T$1,B235,$I$2:$T$2)*AT238</f>
        <v>0</v>
      </c>
      <c r="AU239" s="399">
        <f>(1-SUMIF($I$1:$T$1,B235,$I$2:$T$2))*AT238+SUMIF($I$1:$T$1,B235,$I$2:$T$2)*AU238</f>
        <v>0</v>
      </c>
      <c r="AV239" s="404">
        <f>(1-SUMIF($I$1:$T$1,B235,$I$2:$T$2))*AU238+SUMIF($I$1:$T$1,B235,$I$2:$T$2)*AV238</f>
        <v>0</v>
      </c>
      <c r="AW239" s="424" t="str">
        <f t="shared" si="179"/>
        <v>回迁商业</v>
      </c>
    </row>
    <row r="240" spans="1:49" s="424" customFormat="1" ht="13.5" customHeight="1" outlineLevel="1">
      <c r="A240" s="1947"/>
      <c r="B240" s="1949">
        <f>'9.项目开发计划表'!C34</f>
        <v>0</v>
      </c>
      <c r="C240" s="456" t="s">
        <v>880</v>
      </c>
      <c r="D240" s="457">
        <f>IF(D242=0,0,D243/D242*10000)</f>
        <v>0</v>
      </c>
      <c r="E240" s="505"/>
      <c r="F240" s="506"/>
      <c r="G240" s="506"/>
      <c r="H240" s="507"/>
      <c r="I240" s="505"/>
      <c r="J240" s="506"/>
      <c r="K240" s="506"/>
      <c r="L240" s="507"/>
      <c r="M240" s="505"/>
      <c r="N240" s="506"/>
      <c r="O240" s="506"/>
      <c r="P240" s="507"/>
      <c r="Q240" s="505"/>
      <c r="R240" s="505"/>
      <c r="S240" s="505"/>
      <c r="T240" s="505"/>
      <c r="U240" s="505"/>
      <c r="V240" s="505"/>
      <c r="W240" s="505"/>
      <c r="X240" s="505"/>
      <c r="Y240" s="505"/>
      <c r="Z240" s="505"/>
      <c r="AA240" s="506"/>
      <c r="AB240" s="505"/>
      <c r="AC240" s="505"/>
      <c r="AD240" s="505"/>
      <c r="AE240" s="506"/>
      <c r="AF240" s="507"/>
      <c r="AG240" s="505"/>
      <c r="AH240" s="506"/>
      <c r="AI240" s="506"/>
      <c r="AJ240" s="507"/>
      <c r="AK240" s="505"/>
      <c r="AL240" s="506"/>
      <c r="AM240" s="506"/>
      <c r="AN240" s="507"/>
      <c r="AO240" s="505"/>
      <c r="AP240" s="506"/>
      <c r="AQ240" s="506"/>
      <c r="AR240" s="507"/>
      <c r="AS240" s="505"/>
      <c r="AT240" s="506"/>
      <c r="AU240" s="506"/>
      <c r="AV240" s="507"/>
      <c r="AW240" s="424">
        <f>B240</f>
        <v>0</v>
      </c>
    </row>
    <row r="241" spans="1:49" ht="13.5" customHeight="1" outlineLevel="1">
      <c r="A241" s="1947"/>
      <c r="B241" s="1949"/>
      <c r="C241" s="461" t="s">
        <v>881</v>
      </c>
      <c r="D241" s="510">
        <f t="shared" ref="D241:D244" si="183">SUM(E241:AV241)</f>
        <v>0</v>
      </c>
      <c r="E241" s="494"/>
      <c r="F241" s="491"/>
      <c r="G241" s="491"/>
      <c r="H241" s="493"/>
      <c r="I241" s="494"/>
      <c r="J241" s="491"/>
      <c r="K241" s="491"/>
      <c r="L241" s="493"/>
      <c r="M241" s="494"/>
      <c r="N241" s="491"/>
      <c r="O241" s="491"/>
      <c r="P241" s="493"/>
      <c r="Q241" s="494"/>
      <c r="R241" s="494"/>
      <c r="S241" s="494"/>
      <c r="T241" s="494"/>
      <c r="U241" s="494"/>
      <c r="V241" s="494"/>
      <c r="W241" s="494"/>
      <c r="X241" s="494"/>
      <c r="Y241" s="494"/>
      <c r="Z241" s="494"/>
      <c r="AA241" s="491"/>
      <c r="AB241" s="494"/>
      <c r="AC241" s="494"/>
      <c r="AD241" s="494"/>
      <c r="AE241" s="491"/>
      <c r="AF241" s="493"/>
      <c r="AG241" s="494"/>
      <c r="AH241" s="491"/>
      <c r="AI241" s="491"/>
      <c r="AJ241" s="493"/>
      <c r="AK241" s="494"/>
      <c r="AL241" s="491"/>
      <c r="AM241" s="491"/>
      <c r="AN241" s="493"/>
      <c r="AO241" s="494"/>
      <c r="AP241" s="491"/>
      <c r="AQ241" s="491"/>
      <c r="AR241" s="493"/>
      <c r="AS241" s="494"/>
      <c r="AT241" s="491"/>
      <c r="AU241" s="491"/>
      <c r="AV241" s="493"/>
      <c r="AW241" s="424">
        <f>AW240</f>
        <v>0</v>
      </c>
    </row>
    <row r="242" spans="1:49" s="424" customFormat="1" ht="13.5" customHeight="1" outlineLevel="1">
      <c r="A242" s="1947"/>
      <c r="B242" s="1949"/>
      <c r="C242" s="461" t="s">
        <v>682</v>
      </c>
      <c r="D242" s="466">
        <f t="shared" si="183"/>
        <v>0</v>
      </c>
      <c r="E242" s="382">
        <f>E241*'9.项目开发计划表'!$G$34</f>
        <v>0</v>
      </c>
      <c r="F242" s="397">
        <f>F241*'9.项目开发计划表'!$G$34</f>
        <v>0</v>
      </c>
      <c r="G242" s="397">
        <f>G241*'9.项目开发计划表'!$G$34</f>
        <v>0</v>
      </c>
      <c r="H242" s="467">
        <f>H241*'9.项目开发计划表'!$G$34</f>
        <v>0</v>
      </c>
      <c r="I242" s="382">
        <f>I241*'9.项目开发计划表'!$G$34</f>
        <v>0</v>
      </c>
      <c r="J242" s="397">
        <f>J241*'9.项目开发计划表'!$G$34</f>
        <v>0</v>
      </c>
      <c r="K242" s="397">
        <f>K241*'9.项目开发计划表'!$G$34</f>
        <v>0</v>
      </c>
      <c r="L242" s="467">
        <f>L241*'9.项目开发计划表'!$G$34</f>
        <v>0</v>
      </c>
      <c r="M242" s="382">
        <f>M241*'9.项目开发计划表'!$G$34</f>
        <v>0</v>
      </c>
      <c r="N242" s="397">
        <f>N241*'9.项目开发计划表'!$G$34</f>
        <v>0</v>
      </c>
      <c r="O242" s="397">
        <f>O241*'9.项目开发计划表'!$G$34</f>
        <v>0</v>
      </c>
      <c r="P242" s="467">
        <f>P241*'9.项目开发计划表'!$G$34</f>
        <v>0</v>
      </c>
      <c r="Q242" s="382">
        <f>Q241*'9.项目开发计划表'!$G$34</f>
        <v>0</v>
      </c>
      <c r="R242" s="397">
        <f>R241*'9.项目开发计划表'!$G$34</f>
        <v>0</v>
      </c>
      <c r="S242" s="397">
        <f>S241*'9.项目开发计划表'!$G$34</f>
        <v>0</v>
      </c>
      <c r="T242" s="467">
        <f>T241*'9.项目开发计划表'!$G$34</f>
        <v>0</v>
      </c>
      <c r="U242" s="382">
        <f>U241*'9.项目开发计划表'!$G$34</f>
        <v>0</v>
      </c>
      <c r="V242" s="397">
        <f>V241*'9.项目开发计划表'!$G$34</f>
        <v>0</v>
      </c>
      <c r="W242" s="397">
        <f>W241*'9.项目开发计划表'!$G$34</f>
        <v>0</v>
      </c>
      <c r="X242" s="467">
        <f>X241*'9.项目开发计划表'!$G$34</f>
        <v>0</v>
      </c>
      <c r="Y242" s="382">
        <f>Y241*'9.项目开发计划表'!$G$34</f>
        <v>0</v>
      </c>
      <c r="Z242" s="397">
        <f>Z241*'9.项目开发计划表'!$G$34</f>
        <v>0</v>
      </c>
      <c r="AA242" s="397">
        <f>AA241*'9.项目开发计划表'!$G$34</f>
        <v>0</v>
      </c>
      <c r="AB242" s="467">
        <f>AB241*'9.项目开发计划表'!$G$34</f>
        <v>0</v>
      </c>
      <c r="AC242" s="382">
        <f>AC241*'9.项目开发计划表'!$G$34</f>
        <v>0</v>
      </c>
      <c r="AD242" s="397">
        <f>AD241*'9.项目开发计划表'!$G$34</f>
        <v>0</v>
      </c>
      <c r="AE242" s="397">
        <f>AE241*'9.项目开发计划表'!$G$34</f>
        <v>0</v>
      </c>
      <c r="AF242" s="467">
        <f>AF241*'9.项目开发计划表'!$G$34</f>
        <v>0</v>
      </c>
      <c r="AG242" s="382">
        <f>AG241*'9.项目开发计划表'!$G$34</f>
        <v>0</v>
      </c>
      <c r="AH242" s="397">
        <f>AH241*'9.项目开发计划表'!$G$34</f>
        <v>0</v>
      </c>
      <c r="AI242" s="397">
        <f>AI241*'9.项目开发计划表'!$G$34</f>
        <v>0</v>
      </c>
      <c r="AJ242" s="467">
        <f>AJ241*'9.项目开发计划表'!$G$34</f>
        <v>0</v>
      </c>
      <c r="AK242" s="382">
        <f>AK241*'9.项目开发计划表'!$G$34</f>
        <v>0</v>
      </c>
      <c r="AL242" s="397">
        <f>AL241*'9.项目开发计划表'!$G$34</f>
        <v>0</v>
      </c>
      <c r="AM242" s="397">
        <f>AM241*'9.项目开发计划表'!$G$34</f>
        <v>0</v>
      </c>
      <c r="AN242" s="467">
        <f>AN241*'9.项目开发计划表'!$G$34</f>
        <v>0</v>
      </c>
      <c r="AO242" s="382">
        <f>AO241*'9.项目开发计划表'!$G$34</f>
        <v>0</v>
      </c>
      <c r="AP242" s="397">
        <f>AP241*'9.项目开发计划表'!$G$34</f>
        <v>0</v>
      </c>
      <c r="AQ242" s="397">
        <f>AQ241*'9.项目开发计划表'!$G$34</f>
        <v>0</v>
      </c>
      <c r="AR242" s="467">
        <f>AR241*'9.项目开发计划表'!$G$34</f>
        <v>0</v>
      </c>
      <c r="AS242" s="382">
        <f>AS241*'9.项目开发计划表'!$G$34</f>
        <v>0</v>
      </c>
      <c r="AT242" s="397">
        <f>AT241*'9.项目开发计划表'!$G$34</f>
        <v>0</v>
      </c>
      <c r="AU242" s="397">
        <f>AU241*'9.项目开发计划表'!$G$34</f>
        <v>0</v>
      </c>
      <c r="AV242" s="467">
        <f>AV241*'9.项目开发计划表'!$G$34</f>
        <v>0</v>
      </c>
      <c r="AW242" s="424">
        <f t="shared" si="179"/>
        <v>0</v>
      </c>
    </row>
    <row r="243" spans="1:49" s="424" customFormat="1" ht="13.5" customHeight="1" outlineLevel="1">
      <c r="A243" s="1947"/>
      <c r="B243" s="1949"/>
      <c r="C243" s="461" t="s">
        <v>882</v>
      </c>
      <c r="D243" s="466">
        <f t="shared" si="183"/>
        <v>0</v>
      </c>
      <c r="E243" s="382">
        <f t="shared" ref="E243:AV243" si="184">E240*E242/10000</f>
        <v>0</v>
      </c>
      <c r="F243" s="397">
        <f t="shared" si="184"/>
        <v>0</v>
      </c>
      <c r="G243" s="397">
        <f t="shared" si="184"/>
        <v>0</v>
      </c>
      <c r="H243" s="467">
        <f t="shared" si="184"/>
        <v>0</v>
      </c>
      <c r="I243" s="382">
        <f t="shared" si="184"/>
        <v>0</v>
      </c>
      <c r="J243" s="397">
        <f t="shared" si="184"/>
        <v>0</v>
      </c>
      <c r="K243" s="397">
        <f t="shared" si="184"/>
        <v>0</v>
      </c>
      <c r="L243" s="467">
        <f t="shared" si="184"/>
        <v>0</v>
      </c>
      <c r="M243" s="382">
        <f t="shared" si="184"/>
        <v>0</v>
      </c>
      <c r="N243" s="397">
        <f t="shared" si="184"/>
        <v>0</v>
      </c>
      <c r="O243" s="397">
        <f t="shared" si="184"/>
        <v>0</v>
      </c>
      <c r="P243" s="467">
        <f t="shared" si="184"/>
        <v>0</v>
      </c>
      <c r="Q243" s="382">
        <f t="shared" si="184"/>
        <v>0</v>
      </c>
      <c r="R243" s="397">
        <f t="shared" si="184"/>
        <v>0</v>
      </c>
      <c r="S243" s="397">
        <f t="shared" si="184"/>
        <v>0</v>
      </c>
      <c r="T243" s="467">
        <f t="shared" si="184"/>
        <v>0</v>
      </c>
      <c r="U243" s="382">
        <f t="shared" si="184"/>
        <v>0</v>
      </c>
      <c r="V243" s="397">
        <f t="shared" si="184"/>
        <v>0</v>
      </c>
      <c r="W243" s="397">
        <f t="shared" si="184"/>
        <v>0</v>
      </c>
      <c r="X243" s="467">
        <f t="shared" si="184"/>
        <v>0</v>
      </c>
      <c r="Y243" s="382">
        <f t="shared" si="184"/>
        <v>0</v>
      </c>
      <c r="Z243" s="397">
        <f t="shared" si="184"/>
        <v>0</v>
      </c>
      <c r="AA243" s="397">
        <f t="shared" si="184"/>
        <v>0</v>
      </c>
      <c r="AB243" s="467">
        <f t="shared" si="184"/>
        <v>0</v>
      </c>
      <c r="AC243" s="382">
        <f t="shared" si="184"/>
        <v>0</v>
      </c>
      <c r="AD243" s="397">
        <f t="shared" si="184"/>
        <v>0</v>
      </c>
      <c r="AE243" s="397">
        <f t="shared" si="184"/>
        <v>0</v>
      </c>
      <c r="AF243" s="467">
        <f t="shared" si="184"/>
        <v>0</v>
      </c>
      <c r="AG243" s="382">
        <f t="shared" si="184"/>
        <v>0</v>
      </c>
      <c r="AH243" s="397">
        <f t="shared" si="184"/>
        <v>0</v>
      </c>
      <c r="AI243" s="397">
        <f t="shared" si="184"/>
        <v>0</v>
      </c>
      <c r="AJ243" s="467">
        <f t="shared" si="184"/>
        <v>0</v>
      </c>
      <c r="AK243" s="382">
        <f t="shared" si="184"/>
        <v>0</v>
      </c>
      <c r="AL243" s="397">
        <f t="shared" si="184"/>
        <v>0</v>
      </c>
      <c r="AM243" s="397">
        <f t="shared" si="184"/>
        <v>0</v>
      </c>
      <c r="AN243" s="467">
        <f t="shared" si="184"/>
        <v>0</v>
      </c>
      <c r="AO243" s="382">
        <f t="shared" si="184"/>
        <v>0</v>
      </c>
      <c r="AP243" s="397">
        <f t="shared" si="184"/>
        <v>0</v>
      </c>
      <c r="AQ243" s="397">
        <f t="shared" si="184"/>
        <v>0</v>
      </c>
      <c r="AR243" s="467">
        <f t="shared" si="184"/>
        <v>0</v>
      </c>
      <c r="AS243" s="382">
        <f t="shared" si="184"/>
        <v>0</v>
      </c>
      <c r="AT243" s="397">
        <f t="shared" si="184"/>
        <v>0</v>
      </c>
      <c r="AU243" s="397">
        <f t="shared" si="184"/>
        <v>0</v>
      </c>
      <c r="AV243" s="467">
        <f t="shared" si="184"/>
        <v>0</v>
      </c>
      <c r="AW243" s="424">
        <f t="shared" si="179"/>
        <v>0</v>
      </c>
    </row>
    <row r="244" spans="1:49" s="424" customFormat="1" ht="13.5" customHeight="1" outlineLevel="1">
      <c r="A244" s="1947"/>
      <c r="B244" s="1949"/>
      <c r="C244" s="508" t="s">
        <v>450</v>
      </c>
      <c r="D244" s="468">
        <f t="shared" si="183"/>
        <v>0</v>
      </c>
      <c r="E244" s="386">
        <f>SUMIF($I$1:$T$1,B240,$I$2:$T$2)*E243</f>
        <v>0</v>
      </c>
      <c r="F244" s="399">
        <f>(1-SUMIF($I$1:$T$1,B240,$I$2:$T$2))*E243+SUMIF($I$1:$T$1,B240,$I$2:$T$2)*F243</f>
        <v>0</v>
      </c>
      <c r="G244" s="399">
        <f>(1-SUMIF($I$1:$T$1,B240,$I$2:$T$2))*F243+SUMIF($I$1:$T$1,B240,$I$2:$T$2)*G243</f>
        <v>0</v>
      </c>
      <c r="H244" s="404">
        <f>(1-SUMIF($I$1:$T$1,B240,$I$2:$T$2))*G243+SUMIF($I$1:$T$1,B240,$I$2:$T$2)*H243</f>
        <v>0</v>
      </c>
      <c r="I244" s="386">
        <f>(1-SUMIF($I$1:$T$1,B240,$I$2:$T$2))*H243+SUMIF($I$1:$T$1,B240,$I$2:$T$2)*I243</f>
        <v>0</v>
      </c>
      <c r="J244" s="399">
        <f>(1-SUMIF($I$1:$T$1,B240,$I$2:$T$2))*I243+SUMIF($I$1:$T$1,B240,$I$2:$T$2)*J243</f>
        <v>0</v>
      </c>
      <c r="K244" s="399">
        <f>(1-SUMIF($I$1:$T$1,B240,$I$2:$T$2))*J243+SUMIF($I$1:$T$1,B240,$I$2:$T$2)*K243</f>
        <v>0</v>
      </c>
      <c r="L244" s="404">
        <f>(1-SUMIF($I$1:$T$1,B240,$I$2:$T$2))*K243+SUMIF($I$1:$T$1,B240,$I$2:$T$2)*L243</f>
        <v>0</v>
      </c>
      <c r="M244" s="386">
        <f>(1-SUMIF($I$1:$T$1,B240,$I$2:$T$2))*L243+SUMIF($I$1:$T$1,B240,$I$2:$T$2)*M243</f>
        <v>0</v>
      </c>
      <c r="N244" s="399">
        <f>(1-SUMIF($I$1:$T$1,B240,$I$2:$T$2))*M243+SUMIF($I$1:$T$1,B240,$I$2:$T$2)*N243</f>
        <v>0</v>
      </c>
      <c r="O244" s="399">
        <f>(1-SUMIF($I$1:$T$1,B240,$I$2:$T$2))*N243+SUMIF($I$1:$T$1,B240,$I$2:$T$2)*O243</f>
        <v>0</v>
      </c>
      <c r="P244" s="404">
        <f>(1-SUMIF($I$1:$T$1,B240,$I$2:$T$2))*O243+SUMIF($I$1:$T$1,B240,$I$2:$T$2)*P243</f>
        <v>0</v>
      </c>
      <c r="Q244" s="386">
        <f>(1-SUMIF($I$1:$T$1,B240,$I$2:$T$2))*P243+SUMIF($I$1:$T$1,B240,$I$2:$T$2)*Q243</f>
        <v>0</v>
      </c>
      <c r="R244" s="399">
        <f>(1-SUMIF($I$1:$T$1,B240,$I$2:$T$2))*Q243+SUMIF($I$1:$T$1,B240,$I$2:$T$2)*R243</f>
        <v>0</v>
      </c>
      <c r="S244" s="399">
        <f>(1-SUMIF($I$1:$T$1,B240,$I$2:$T$2))*R243+SUMIF($I$1:$T$1,B240,$I$2:$T$2)*S243</f>
        <v>0</v>
      </c>
      <c r="T244" s="404">
        <f>(1-SUMIF($I$1:$T$1,B240,$I$2:$T$2))*S243+SUMIF($I$1:$T$1,B240,$I$2:$T$2)*T243</f>
        <v>0</v>
      </c>
      <c r="U244" s="386">
        <f>(1-SUMIF($I$1:$T$1,B240,$I$2:$T$2))*T243+SUMIF($I$1:$T$1,B240,$I$2:$T$2)*U243</f>
        <v>0</v>
      </c>
      <c r="V244" s="399">
        <f>(1-SUMIF($I$1:$T$1,B240,$I$2:$T$2))*U243+SUMIF($I$1:$T$1,B240,$I$2:$T$2)*V243</f>
        <v>0</v>
      </c>
      <c r="W244" s="399">
        <f>(1-SUMIF($I$1:$T$1,B240,$I$2:$T$2))*V243+SUMIF($I$1:$T$1,B240,$I$2:$T$2)*W243</f>
        <v>0</v>
      </c>
      <c r="X244" s="404">
        <f>(1-SUMIF($I$1:$T$1,B240,$I$2:$T$2))*W243+SUMIF($I$1:$T$1,B240,$I$2:$T$2)*X243</f>
        <v>0</v>
      </c>
      <c r="Y244" s="386">
        <f>(1-SUMIF($I$1:$T$1,B240,$I$2:$T$2))*X243+SUMIF($I$1:$T$1,B240,$I$2:$T$2)*Y243</f>
        <v>0</v>
      </c>
      <c r="Z244" s="399">
        <f>(1-SUMIF($I$1:$T$1,B240,$I$2:$T$2))*Y243+SUMIF($I$1:$T$1,B240,$I$2:$T$2)*Z243</f>
        <v>0</v>
      </c>
      <c r="AA244" s="399">
        <f>(1-SUMIF($I$1:$T$1,B240,$I$2:$T$2))*Z243+SUMIF($I$1:$T$1,B240,$I$2:$T$2)*AA243</f>
        <v>0</v>
      </c>
      <c r="AB244" s="404">
        <f>(1-SUMIF($I$1:$T$1,B240,$I$2:$T$2))*AA243+SUMIF($I$1:$T$1,B240,$I$2:$T$2)*AB243</f>
        <v>0</v>
      </c>
      <c r="AC244" s="386">
        <f>(1-SUMIF($I$1:$T$1,B240,$I$2:$T$2))*AB243+SUMIF($I$1:$T$1,B240,$I$2:$T$2)*AC243</f>
        <v>0</v>
      </c>
      <c r="AD244" s="399">
        <f>(1-SUMIF($I$1:$T$1,B240,$I$2:$T$2))*AC243+SUMIF($I$1:$T$1,B240,$I$2:$T$2)*AD243</f>
        <v>0</v>
      </c>
      <c r="AE244" s="399">
        <f>(1-SUMIF($I$1:$T$1,B240,$I$2:$T$2))*AD243+SUMIF($I$1:$T$1,B240,$I$2:$T$2)*AE243</f>
        <v>0</v>
      </c>
      <c r="AF244" s="404">
        <f>(1-SUMIF($I$1:$T$1,B240,$I$2:$T$2))*AE243+SUMIF($I$1:$T$1,B240,$I$2:$T$2)*AF243</f>
        <v>0</v>
      </c>
      <c r="AG244" s="386">
        <f>(1-SUMIF($I$1:$T$1,B240,$I$2:$T$2))*AF243+SUMIF($I$1:$T$1,B240,$I$2:$T$2)*AG243</f>
        <v>0</v>
      </c>
      <c r="AH244" s="399">
        <f>(1-SUMIF($I$1:$T$1,B240,$I$2:$T$2))*AG243+SUMIF($I$1:$T$1,B240,$I$2:$T$2)*AH243</f>
        <v>0</v>
      </c>
      <c r="AI244" s="399">
        <f>(1-SUMIF($I$1:$T$1,B240,$I$2:$T$2))*AH243+SUMIF($I$1:$T$1,B240,$I$2:$T$2)*AI243</f>
        <v>0</v>
      </c>
      <c r="AJ244" s="404">
        <f>(1-SUMIF($I$1:$T$1,B240,$I$2:$T$2))*AI243+SUMIF($I$1:$T$1,B240,$I$2:$T$2)*AJ243</f>
        <v>0</v>
      </c>
      <c r="AK244" s="386">
        <f>(1-SUMIF($I$1:$T$1,B240,$I$2:$T$2))*AJ243+SUMIF($I$1:$T$1,B240,$I$2:$T$2)*AK243</f>
        <v>0</v>
      </c>
      <c r="AL244" s="399">
        <f>(1-SUMIF($I$1:$T$1,B240,$I$2:$T$2))*AK243+SUMIF($I$1:$T$1,B240,$I$2:$T$2)*AL243</f>
        <v>0</v>
      </c>
      <c r="AM244" s="399">
        <f>(1-SUMIF($I$1:$T$1,B240,$I$2:$T$2))*AL243+SUMIF($I$1:$T$1,B240,$I$2:$T$2)*AM243</f>
        <v>0</v>
      </c>
      <c r="AN244" s="404">
        <f>(1-SUMIF($I$1:$T$1,B240,$I$2:$T$2))*AM243+SUMIF($I$1:$T$1,B240,$I$2:$T$2)*AN243</f>
        <v>0</v>
      </c>
      <c r="AO244" s="386">
        <f>(1-SUMIF($I$1:$T$1,B240,$I$2:$T$2))*AN243+SUMIF($I$1:$T$1,B240,$I$2:$T$2)*AO243</f>
        <v>0</v>
      </c>
      <c r="AP244" s="399">
        <f>(1-SUMIF($I$1:$T$1,B240,$I$2:$T$2))*AO243+SUMIF($I$1:$T$1,B240,$I$2:$T$2)*AP243</f>
        <v>0</v>
      </c>
      <c r="AQ244" s="399">
        <f>(1-SUMIF($I$1:$T$1,B240,$I$2:$T$2))*AP243+SUMIF($I$1:$T$1,B240,$I$2:$T$2)*AQ243</f>
        <v>0</v>
      </c>
      <c r="AR244" s="404">
        <f>(1-SUMIF($I$1:$T$1,B240,$I$2:$T$2))*AQ243+SUMIF($I$1:$T$1,B240,$I$2:$T$2)*AR243</f>
        <v>0</v>
      </c>
      <c r="AS244" s="386">
        <f>(1-SUMIF($I$1:$T$1,B240,$I$2:$T$2))*AR243+SUMIF($I$1:$T$1,B240,$I$2:$T$2)*AS243</f>
        <v>0</v>
      </c>
      <c r="AT244" s="399">
        <f>(1-SUMIF($I$1:$T$1,B240,$I$2:$T$2))*AS243+SUMIF($I$1:$T$1,B240,$I$2:$T$2)*AT243</f>
        <v>0</v>
      </c>
      <c r="AU244" s="399">
        <f>(1-SUMIF($I$1:$T$1,B240,$I$2:$T$2))*AT243+SUMIF($I$1:$T$1,B240,$I$2:$T$2)*AU243</f>
        <v>0</v>
      </c>
      <c r="AV244" s="404">
        <f>(1-SUMIF($I$1:$T$1,B240,$I$2:$T$2))*AU243+SUMIF($I$1:$T$1,B240,$I$2:$T$2)*AV243</f>
        <v>0</v>
      </c>
      <c r="AW244" s="424">
        <f t="shared" si="179"/>
        <v>0</v>
      </c>
    </row>
    <row r="245" spans="1:49" s="424" customFormat="1" ht="13.5" customHeight="1" outlineLevel="1">
      <c r="A245" s="1947"/>
      <c r="B245" s="1949">
        <f>'9.项目开发计划表'!C35</f>
        <v>0</v>
      </c>
      <c r="C245" s="456" t="s">
        <v>880</v>
      </c>
      <c r="D245" s="457">
        <f>IF(D247=0,0,D248/D247*10000)</f>
        <v>0</v>
      </c>
      <c r="E245" s="505"/>
      <c r="F245" s="506"/>
      <c r="G245" s="506"/>
      <c r="H245" s="507"/>
      <c r="I245" s="505"/>
      <c r="J245" s="506"/>
      <c r="K245" s="506"/>
      <c r="L245" s="507"/>
      <c r="M245" s="505"/>
      <c r="N245" s="506"/>
      <c r="O245" s="506"/>
      <c r="P245" s="507"/>
      <c r="Q245" s="505"/>
      <c r="R245" s="506"/>
      <c r="S245" s="506"/>
      <c r="T245" s="507"/>
      <c r="U245" s="505"/>
      <c r="V245" s="506"/>
      <c r="W245" s="506"/>
      <c r="X245" s="507"/>
      <c r="Y245" s="505"/>
      <c r="Z245" s="506"/>
      <c r="AA245" s="506"/>
      <c r="AB245" s="507"/>
      <c r="AC245" s="505"/>
      <c r="AD245" s="506"/>
      <c r="AE245" s="506"/>
      <c r="AF245" s="507"/>
      <c r="AG245" s="505"/>
      <c r="AH245" s="506"/>
      <c r="AI245" s="506"/>
      <c r="AJ245" s="507"/>
      <c r="AK245" s="505"/>
      <c r="AL245" s="506"/>
      <c r="AM245" s="506"/>
      <c r="AN245" s="507"/>
      <c r="AO245" s="505"/>
      <c r="AP245" s="506"/>
      <c r="AQ245" s="506"/>
      <c r="AR245" s="507"/>
      <c r="AS245" s="505"/>
      <c r="AT245" s="506"/>
      <c r="AU245" s="506"/>
      <c r="AV245" s="507"/>
      <c r="AW245" s="424">
        <f>B245</f>
        <v>0</v>
      </c>
    </row>
    <row r="246" spans="1:49" ht="13.5" customHeight="1" outlineLevel="1">
      <c r="A246" s="1947"/>
      <c r="B246" s="1949"/>
      <c r="C246" s="461" t="s">
        <v>881</v>
      </c>
      <c r="D246" s="462">
        <f t="shared" ref="D246:D249" si="185">SUM(E246:AV246)</f>
        <v>0</v>
      </c>
      <c r="E246" s="494"/>
      <c r="F246" s="491"/>
      <c r="G246" s="491"/>
      <c r="H246" s="493"/>
      <c r="I246" s="494"/>
      <c r="J246" s="491"/>
      <c r="K246" s="491"/>
      <c r="L246" s="493"/>
      <c r="M246" s="494"/>
      <c r="N246" s="491"/>
      <c r="O246" s="491"/>
      <c r="P246" s="493"/>
      <c r="Q246" s="494"/>
      <c r="R246" s="491"/>
      <c r="S246" s="491"/>
      <c r="T246" s="493"/>
      <c r="U246" s="494"/>
      <c r="V246" s="491"/>
      <c r="W246" s="491"/>
      <c r="X246" s="493"/>
      <c r="Y246" s="494"/>
      <c r="Z246" s="491"/>
      <c r="AA246" s="491"/>
      <c r="AB246" s="493"/>
      <c r="AC246" s="494"/>
      <c r="AD246" s="491"/>
      <c r="AE246" s="491"/>
      <c r="AF246" s="493"/>
      <c r="AG246" s="494"/>
      <c r="AH246" s="491"/>
      <c r="AI246" s="491"/>
      <c r="AJ246" s="493"/>
      <c r="AK246" s="494"/>
      <c r="AL246" s="491"/>
      <c r="AM246" s="491"/>
      <c r="AN246" s="493"/>
      <c r="AO246" s="494"/>
      <c r="AP246" s="491"/>
      <c r="AQ246" s="491"/>
      <c r="AR246" s="493"/>
      <c r="AS246" s="494"/>
      <c r="AT246" s="491"/>
      <c r="AU246" s="491"/>
      <c r="AV246" s="493"/>
      <c r="AW246" s="424">
        <f>AW245</f>
        <v>0</v>
      </c>
    </row>
    <row r="247" spans="1:49" s="424" customFormat="1" ht="13.5" customHeight="1" outlineLevel="1">
      <c r="A247" s="1947"/>
      <c r="B247" s="1949"/>
      <c r="C247" s="461" t="s">
        <v>682</v>
      </c>
      <c r="D247" s="466">
        <f t="shared" si="185"/>
        <v>0</v>
      </c>
      <c r="E247" s="382">
        <f>E246*'9.项目开发计划表'!$G$35</f>
        <v>0</v>
      </c>
      <c r="F247" s="397">
        <f>F246*'9.项目开发计划表'!$G$35</f>
        <v>0</v>
      </c>
      <c r="G247" s="397">
        <f>G246*'9.项目开发计划表'!$G$35</f>
        <v>0</v>
      </c>
      <c r="H247" s="467">
        <f>H246*'9.项目开发计划表'!$G$35</f>
        <v>0</v>
      </c>
      <c r="I247" s="382">
        <f>I246*'9.项目开发计划表'!$G$35</f>
        <v>0</v>
      </c>
      <c r="J247" s="397">
        <f>J246*'9.项目开发计划表'!$G$35</f>
        <v>0</v>
      </c>
      <c r="K247" s="397">
        <f>K246*'9.项目开发计划表'!$G$35</f>
        <v>0</v>
      </c>
      <c r="L247" s="467">
        <f>L246*'9.项目开发计划表'!$G$35</f>
        <v>0</v>
      </c>
      <c r="M247" s="382">
        <f>M246*'9.项目开发计划表'!$G$35</f>
        <v>0</v>
      </c>
      <c r="N247" s="397">
        <f>N246*'9.项目开发计划表'!$G$35</f>
        <v>0</v>
      </c>
      <c r="O247" s="397">
        <f>O246*'9.项目开发计划表'!$G$35</f>
        <v>0</v>
      </c>
      <c r="P247" s="467">
        <f>P246*'9.项目开发计划表'!$G$35</f>
        <v>0</v>
      </c>
      <c r="Q247" s="382">
        <f>Q246*'9.项目开发计划表'!$G$35</f>
        <v>0</v>
      </c>
      <c r="R247" s="397">
        <f>R246*'9.项目开发计划表'!$G$35</f>
        <v>0</v>
      </c>
      <c r="S247" s="397">
        <f>S246*'9.项目开发计划表'!$G$35</f>
        <v>0</v>
      </c>
      <c r="T247" s="467">
        <f>T246*'9.项目开发计划表'!$G$35</f>
        <v>0</v>
      </c>
      <c r="U247" s="382">
        <f>U246*'9.项目开发计划表'!$G$35</f>
        <v>0</v>
      </c>
      <c r="V247" s="397">
        <f>V246*'9.项目开发计划表'!$G$35</f>
        <v>0</v>
      </c>
      <c r="W247" s="397">
        <f>W246*'9.项目开发计划表'!$G$35</f>
        <v>0</v>
      </c>
      <c r="X247" s="467">
        <f>X246*'9.项目开发计划表'!$G$35</f>
        <v>0</v>
      </c>
      <c r="Y247" s="382">
        <f>Y246*'9.项目开发计划表'!$G$35</f>
        <v>0</v>
      </c>
      <c r="Z247" s="397">
        <f>Z246*'9.项目开发计划表'!$G$35</f>
        <v>0</v>
      </c>
      <c r="AA247" s="397">
        <f>AA246*'9.项目开发计划表'!$G$35</f>
        <v>0</v>
      </c>
      <c r="AB247" s="467">
        <f>AB246*'9.项目开发计划表'!$G$35</f>
        <v>0</v>
      </c>
      <c r="AC247" s="382">
        <f>AC246*'9.项目开发计划表'!$G$35</f>
        <v>0</v>
      </c>
      <c r="AD247" s="397">
        <f>AD246*'9.项目开发计划表'!$G$35</f>
        <v>0</v>
      </c>
      <c r="AE247" s="397">
        <f>AE246*'9.项目开发计划表'!$G$35</f>
        <v>0</v>
      </c>
      <c r="AF247" s="467">
        <f>AF246*'9.项目开发计划表'!$G$35</f>
        <v>0</v>
      </c>
      <c r="AG247" s="382">
        <f>AG246*'9.项目开发计划表'!$G$35</f>
        <v>0</v>
      </c>
      <c r="AH247" s="397">
        <f>AH246*'9.项目开发计划表'!$G$35</f>
        <v>0</v>
      </c>
      <c r="AI247" s="397">
        <f>AI246*'9.项目开发计划表'!$G$35</f>
        <v>0</v>
      </c>
      <c r="AJ247" s="467">
        <f>AJ246*'9.项目开发计划表'!$G$35</f>
        <v>0</v>
      </c>
      <c r="AK247" s="382">
        <f>AK246*'9.项目开发计划表'!$G$35</f>
        <v>0</v>
      </c>
      <c r="AL247" s="397">
        <f>AL246*'9.项目开发计划表'!$G$35</f>
        <v>0</v>
      </c>
      <c r="AM247" s="397">
        <f>AM246*'9.项目开发计划表'!$G$35</f>
        <v>0</v>
      </c>
      <c r="AN247" s="467">
        <f>AN246*'9.项目开发计划表'!$G$35</f>
        <v>0</v>
      </c>
      <c r="AO247" s="382">
        <f>AO246*'9.项目开发计划表'!$G$35</f>
        <v>0</v>
      </c>
      <c r="AP247" s="397">
        <f>AP246*'9.项目开发计划表'!$G$35</f>
        <v>0</v>
      </c>
      <c r="AQ247" s="397">
        <f>AQ246*'9.项目开发计划表'!$G$35</f>
        <v>0</v>
      </c>
      <c r="AR247" s="467">
        <f>AR246*'9.项目开发计划表'!$G$35</f>
        <v>0</v>
      </c>
      <c r="AS247" s="382">
        <f>AS246*'9.项目开发计划表'!$G$35</f>
        <v>0</v>
      </c>
      <c r="AT247" s="397">
        <f>AT246*'9.项目开发计划表'!$G$35</f>
        <v>0</v>
      </c>
      <c r="AU247" s="397">
        <f>AU246*'9.项目开发计划表'!$G$35</f>
        <v>0</v>
      </c>
      <c r="AV247" s="467">
        <f>AV246*'9.项目开发计划表'!$G$35</f>
        <v>0</v>
      </c>
      <c r="AW247" s="424">
        <f t="shared" si="179"/>
        <v>0</v>
      </c>
    </row>
    <row r="248" spans="1:49" s="424" customFormat="1" ht="13.5" customHeight="1" outlineLevel="1">
      <c r="A248" s="1947"/>
      <c r="B248" s="1949"/>
      <c r="C248" s="461" t="s">
        <v>882</v>
      </c>
      <c r="D248" s="466">
        <f t="shared" si="185"/>
        <v>0</v>
      </c>
      <c r="E248" s="382">
        <f t="shared" ref="E248:AV248" si="186">E245*E247/10000</f>
        <v>0</v>
      </c>
      <c r="F248" s="397">
        <f t="shared" si="186"/>
        <v>0</v>
      </c>
      <c r="G248" s="397">
        <f t="shared" si="186"/>
        <v>0</v>
      </c>
      <c r="H248" s="467">
        <f t="shared" si="186"/>
        <v>0</v>
      </c>
      <c r="I248" s="382">
        <f t="shared" si="186"/>
        <v>0</v>
      </c>
      <c r="J248" s="397">
        <f t="shared" si="186"/>
        <v>0</v>
      </c>
      <c r="K248" s="397">
        <f t="shared" si="186"/>
        <v>0</v>
      </c>
      <c r="L248" s="467">
        <f t="shared" si="186"/>
        <v>0</v>
      </c>
      <c r="M248" s="382">
        <f t="shared" si="186"/>
        <v>0</v>
      </c>
      <c r="N248" s="397">
        <f t="shared" si="186"/>
        <v>0</v>
      </c>
      <c r="O248" s="397">
        <f t="shared" si="186"/>
        <v>0</v>
      </c>
      <c r="P248" s="467">
        <f t="shared" si="186"/>
        <v>0</v>
      </c>
      <c r="Q248" s="382">
        <f t="shared" si="186"/>
        <v>0</v>
      </c>
      <c r="R248" s="397">
        <f t="shared" si="186"/>
        <v>0</v>
      </c>
      <c r="S248" s="397">
        <f t="shared" si="186"/>
        <v>0</v>
      </c>
      <c r="T248" s="467">
        <f t="shared" si="186"/>
        <v>0</v>
      </c>
      <c r="U248" s="382">
        <f t="shared" si="186"/>
        <v>0</v>
      </c>
      <c r="V248" s="397">
        <f t="shared" si="186"/>
        <v>0</v>
      </c>
      <c r="W248" s="397">
        <f t="shared" si="186"/>
        <v>0</v>
      </c>
      <c r="X248" s="467">
        <f t="shared" si="186"/>
        <v>0</v>
      </c>
      <c r="Y248" s="382">
        <f t="shared" si="186"/>
        <v>0</v>
      </c>
      <c r="Z248" s="397">
        <f t="shared" si="186"/>
        <v>0</v>
      </c>
      <c r="AA248" s="397">
        <f t="shared" si="186"/>
        <v>0</v>
      </c>
      <c r="AB248" s="467">
        <f t="shared" si="186"/>
        <v>0</v>
      </c>
      <c r="AC248" s="382">
        <f t="shared" si="186"/>
        <v>0</v>
      </c>
      <c r="AD248" s="397">
        <f t="shared" si="186"/>
        <v>0</v>
      </c>
      <c r="AE248" s="397">
        <f t="shared" si="186"/>
        <v>0</v>
      </c>
      <c r="AF248" s="467">
        <f t="shared" si="186"/>
        <v>0</v>
      </c>
      <c r="AG248" s="382">
        <f t="shared" si="186"/>
        <v>0</v>
      </c>
      <c r="AH248" s="397">
        <f t="shared" si="186"/>
        <v>0</v>
      </c>
      <c r="AI248" s="397">
        <f t="shared" si="186"/>
        <v>0</v>
      </c>
      <c r="AJ248" s="467">
        <f t="shared" si="186"/>
        <v>0</v>
      </c>
      <c r="AK248" s="382">
        <f t="shared" si="186"/>
        <v>0</v>
      </c>
      <c r="AL248" s="397">
        <f t="shared" si="186"/>
        <v>0</v>
      </c>
      <c r="AM248" s="397">
        <f t="shared" si="186"/>
        <v>0</v>
      </c>
      <c r="AN248" s="467">
        <f t="shared" si="186"/>
        <v>0</v>
      </c>
      <c r="AO248" s="382">
        <f t="shared" si="186"/>
        <v>0</v>
      </c>
      <c r="AP248" s="397">
        <f t="shared" si="186"/>
        <v>0</v>
      </c>
      <c r="AQ248" s="397">
        <f t="shared" si="186"/>
        <v>0</v>
      </c>
      <c r="AR248" s="467">
        <f t="shared" si="186"/>
        <v>0</v>
      </c>
      <c r="AS248" s="382">
        <f t="shared" si="186"/>
        <v>0</v>
      </c>
      <c r="AT248" s="397">
        <f t="shared" si="186"/>
        <v>0</v>
      </c>
      <c r="AU248" s="397">
        <f t="shared" si="186"/>
        <v>0</v>
      </c>
      <c r="AV248" s="467">
        <f t="shared" si="186"/>
        <v>0</v>
      </c>
      <c r="AW248" s="424">
        <f t="shared" si="179"/>
        <v>0</v>
      </c>
    </row>
    <row r="249" spans="1:49" s="424" customFormat="1" ht="13.5" customHeight="1" outlineLevel="1">
      <c r="A249" s="1947"/>
      <c r="B249" s="1949"/>
      <c r="C249" s="508" t="s">
        <v>450</v>
      </c>
      <c r="D249" s="468">
        <f t="shared" si="185"/>
        <v>0</v>
      </c>
      <c r="E249" s="386">
        <f>SUMIF($I$1:$T$1,B245,$I$2:$T$2)*E248</f>
        <v>0</v>
      </c>
      <c r="F249" s="399">
        <f>(1-SUMIF($I$1:$T$1,B245,$I$2:$T$2))*E248+SUMIF($I$1:$T$1,B245,$I$2:$T$2)*F248</f>
        <v>0</v>
      </c>
      <c r="G249" s="399">
        <f>(1-SUMIF($I$1:$T$1,B245,$I$2:$T$2))*F248+SUMIF($I$1:$T$1,B245,$I$2:$T$2)*G248</f>
        <v>0</v>
      </c>
      <c r="H249" s="404">
        <f>(1-SUMIF($I$1:$T$1,B245,$I$2:$T$2))*G248+SUMIF($I$1:$T$1,B245,$I$2:$T$2)*H248</f>
        <v>0</v>
      </c>
      <c r="I249" s="386">
        <f>(1-SUMIF($I$1:$T$1,B245,$I$2:$T$2))*H248+SUMIF($I$1:$T$1,B245,$I$2:$T$2)*I248</f>
        <v>0</v>
      </c>
      <c r="J249" s="399">
        <f>(1-SUMIF($I$1:$T$1,B245,$I$2:$T$2))*I248+SUMIF($I$1:$T$1,B245,$I$2:$T$2)*J248</f>
        <v>0</v>
      </c>
      <c r="K249" s="399">
        <f>(1-SUMIF($I$1:$T$1,B245,$I$2:$T$2))*J248+SUMIF($I$1:$T$1,B245,$I$2:$T$2)*K248</f>
        <v>0</v>
      </c>
      <c r="L249" s="404">
        <f>(1-SUMIF($I$1:$T$1,B245,$I$2:$T$2))*K248+SUMIF($I$1:$T$1,B245,$I$2:$T$2)*L248</f>
        <v>0</v>
      </c>
      <c r="M249" s="386">
        <f>(1-SUMIF($I$1:$T$1,B245,$I$2:$T$2))*L248+SUMIF($I$1:$T$1,B245,$I$2:$T$2)*M248</f>
        <v>0</v>
      </c>
      <c r="N249" s="399">
        <f>(1-SUMIF($I$1:$T$1,B245,$I$2:$T$2))*M248+SUMIF($I$1:$T$1,B245,$I$2:$T$2)*N248</f>
        <v>0</v>
      </c>
      <c r="O249" s="399">
        <f>(1-SUMIF($I$1:$T$1,B245,$I$2:$T$2))*N248+SUMIF($I$1:$T$1,B245,$I$2:$T$2)*O248</f>
        <v>0</v>
      </c>
      <c r="P249" s="404">
        <f>(1-SUMIF($I$1:$T$1,B245,$I$2:$T$2))*O248+SUMIF($I$1:$T$1,B245,$I$2:$T$2)*P248</f>
        <v>0</v>
      </c>
      <c r="Q249" s="386">
        <f>(1-SUMIF($I$1:$T$1,B245,$I$2:$T$2))*P248+SUMIF($I$1:$T$1,B245,$I$2:$T$2)*Q248</f>
        <v>0</v>
      </c>
      <c r="R249" s="399">
        <f>(1-SUMIF($I$1:$T$1,B245,$I$2:$T$2))*Q248+SUMIF($I$1:$T$1,B245,$I$2:$T$2)*R248</f>
        <v>0</v>
      </c>
      <c r="S249" s="399">
        <f>(1-SUMIF($I$1:$T$1,B245,$I$2:$T$2))*R248+SUMIF($I$1:$T$1,B245,$I$2:$T$2)*S248</f>
        <v>0</v>
      </c>
      <c r="T249" s="404">
        <f>(1-SUMIF($I$1:$T$1,B245,$I$2:$T$2))*S248+SUMIF($I$1:$T$1,B245,$I$2:$T$2)*T248</f>
        <v>0</v>
      </c>
      <c r="U249" s="386">
        <f>(1-SUMIF($I$1:$T$1,B245,$I$2:$T$2))*T248+SUMIF($I$1:$T$1,B245,$I$2:$T$2)*U248</f>
        <v>0</v>
      </c>
      <c r="V249" s="399">
        <f>(1-SUMIF($I$1:$T$1,B245,$I$2:$T$2))*U248+SUMIF($I$1:$T$1,B245,$I$2:$T$2)*V248</f>
        <v>0</v>
      </c>
      <c r="W249" s="399">
        <f>(1-SUMIF($I$1:$T$1,B245,$I$2:$T$2))*V248+SUMIF($I$1:$T$1,B245,$I$2:$T$2)*W248</f>
        <v>0</v>
      </c>
      <c r="X249" s="404">
        <f>(1-SUMIF($I$1:$T$1,B245,$I$2:$T$2))*W248+SUMIF($I$1:$T$1,B245,$I$2:$T$2)*X248</f>
        <v>0</v>
      </c>
      <c r="Y249" s="386">
        <f>(1-SUMIF($I$1:$T$1,B245,$I$2:$T$2))*X248+SUMIF($I$1:$T$1,B245,$I$2:$T$2)*Y248</f>
        <v>0</v>
      </c>
      <c r="Z249" s="399">
        <f>(1-SUMIF($I$1:$T$1,B245,$I$2:$T$2))*Y248+SUMIF($I$1:$T$1,B245,$I$2:$T$2)*Z248</f>
        <v>0</v>
      </c>
      <c r="AA249" s="399">
        <f>(1-SUMIF($I$1:$T$1,B245,$I$2:$T$2))*Z248+SUMIF($I$1:$T$1,B245,$I$2:$T$2)*AA248</f>
        <v>0</v>
      </c>
      <c r="AB249" s="404">
        <f>(1-SUMIF($I$1:$T$1,B245,$I$2:$T$2))*AA248+SUMIF($I$1:$T$1,B245,$I$2:$T$2)*AB248</f>
        <v>0</v>
      </c>
      <c r="AC249" s="386">
        <f>(1-SUMIF($I$1:$T$1,B245,$I$2:$T$2))*AB248+SUMIF($I$1:$T$1,B245,$I$2:$T$2)*AC248</f>
        <v>0</v>
      </c>
      <c r="AD249" s="399">
        <f>(1-SUMIF($I$1:$T$1,B245,$I$2:$T$2))*AC248+SUMIF($I$1:$T$1,B245,$I$2:$T$2)*AD248</f>
        <v>0</v>
      </c>
      <c r="AE249" s="399">
        <f>(1-SUMIF($I$1:$T$1,B245,$I$2:$T$2))*AD248+SUMIF($I$1:$T$1,B245,$I$2:$T$2)*AE248</f>
        <v>0</v>
      </c>
      <c r="AF249" s="404">
        <f>(1-SUMIF($I$1:$T$1,B245,$I$2:$T$2))*AE248+SUMIF($I$1:$T$1,B245,$I$2:$T$2)*AF248</f>
        <v>0</v>
      </c>
      <c r="AG249" s="386">
        <f>(1-SUMIF($I$1:$T$1,B245,$I$2:$T$2))*AF248+SUMIF($I$1:$T$1,B245,$I$2:$T$2)*AG248</f>
        <v>0</v>
      </c>
      <c r="AH249" s="399">
        <f>(1-SUMIF($I$1:$T$1,B245,$I$2:$T$2))*AG248+SUMIF($I$1:$T$1,B245,$I$2:$T$2)*AH248</f>
        <v>0</v>
      </c>
      <c r="AI249" s="399">
        <f>(1-SUMIF($I$1:$T$1,B245,$I$2:$T$2))*AH248+SUMIF($I$1:$T$1,B245,$I$2:$T$2)*AI248</f>
        <v>0</v>
      </c>
      <c r="AJ249" s="404">
        <f>(1-SUMIF($I$1:$T$1,B245,$I$2:$T$2))*AI248+SUMIF($I$1:$T$1,B245,$I$2:$T$2)*AJ248</f>
        <v>0</v>
      </c>
      <c r="AK249" s="386">
        <f>(1-SUMIF($I$1:$T$1,B245,$I$2:$T$2))*AJ248+SUMIF($I$1:$T$1,B245,$I$2:$T$2)*AK248</f>
        <v>0</v>
      </c>
      <c r="AL249" s="399">
        <f>(1-SUMIF($I$1:$T$1,B245,$I$2:$T$2))*AK248+SUMIF($I$1:$T$1,B245,$I$2:$T$2)*AL248</f>
        <v>0</v>
      </c>
      <c r="AM249" s="399">
        <f>(1-SUMIF($I$1:$T$1,B245,$I$2:$T$2))*AL248+SUMIF($I$1:$T$1,B245,$I$2:$T$2)*AM248</f>
        <v>0</v>
      </c>
      <c r="AN249" s="404">
        <f>(1-SUMIF($I$1:$T$1,B245,$I$2:$T$2))*AM248+SUMIF($I$1:$T$1,B245,$I$2:$T$2)*AN248</f>
        <v>0</v>
      </c>
      <c r="AO249" s="386">
        <f>(1-SUMIF($I$1:$T$1,B245,$I$2:$T$2))*AN248+SUMIF($I$1:$T$1,B245,$I$2:$T$2)*AO248</f>
        <v>0</v>
      </c>
      <c r="AP249" s="399">
        <f>(1-SUMIF($I$1:$T$1,B245,$I$2:$T$2))*AO248+SUMIF($I$1:$T$1,B245,$I$2:$T$2)*AP248</f>
        <v>0</v>
      </c>
      <c r="AQ249" s="399">
        <f>(1-SUMIF($I$1:$T$1,B245,$I$2:$T$2))*AP248+SUMIF($I$1:$T$1,B245,$I$2:$T$2)*AQ248</f>
        <v>0</v>
      </c>
      <c r="AR249" s="404">
        <f>(1-SUMIF($I$1:$T$1,B245,$I$2:$T$2))*AQ248+SUMIF($I$1:$T$1,B245,$I$2:$T$2)*AR248</f>
        <v>0</v>
      </c>
      <c r="AS249" s="386">
        <f>(1-SUMIF($I$1:$T$1,B245,$I$2:$T$2))*AR248+SUMIF($I$1:$T$1,B245,$I$2:$T$2)*AS248</f>
        <v>0</v>
      </c>
      <c r="AT249" s="399">
        <f>(1-SUMIF($I$1:$T$1,B245,$I$2:$T$2))*AS248+SUMIF($I$1:$T$1,B245,$I$2:$T$2)*AT248</f>
        <v>0</v>
      </c>
      <c r="AU249" s="399">
        <f>(1-SUMIF($I$1:$T$1,B245,$I$2:$T$2))*AT248+SUMIF($I$1:$T$1,B245,$I$2:$T$2)*AU248</f>
        <v>0</v>
      </c>
      <c r="AV249" s="404">
        <f>(1-SUMIF($I$1:$T$1,B245,$I$2:$T$2))*AU248+SUMIF($I$1:$T$1,B245,$I$2:$T$2)*AV248</f>
        <v>0</v>
      </c>
      <c r="AW249" s="424">
        <f t="shared" si="179"/>
        <v>0</v>
      </c>
    </row>
    <row r="250" spans="1:49" s="424" customFormat="1" ht="13.5" customHeight="1" outlineLevel="1">
      <c r="A250" s="1947"/>
      <c r="B250" s="1949">
        <f>'9.项目开发计划表'!C36</f>
        <v>0</v>
      </c>
      <c r="C250" s="456" t="s">
        <v>880</v>
      </c>
      <c r="D250" s="457">
        <f>IF(D252=0,0,D253/D252*10000)</f>
        <v>0</v>
      </c>
      <c r="E250" s="505"/>
      <c r="F250" s="506"/>
      <c r="G250" s="506"/>
      <c r="H250" s="507"/>
      <c r="I250" s="505"/>
      <c r="J250" s="506"/>
      <c r="K250" s="506"/>
      <c r="L250" s="507"/>
      <c r="M250" s="505"/>
      <c r="N250" s="506"/>
      <c r="O250" s="506"/>
      <c r="P250" s="506"/>
      <c r="Q250" s="506"/>
      <c r="R250" s="506"/>
      <c r="S250" s="506"/>
      <c r="T250" s="506"/>
      <c r="U250" s="506"/>
      <c r="V250" s="506"/>
      <c r="W250" s="506"/>
      <c r="X250" s="506"/>
      <c r="Y250" s="506"/>
      <c r="Z250" s="506"/>
      <c r="AA250" s="506"/>
      <c r="AB250" s="506"/>
      <c r="AC250" s="506"/>
      <c r="AD250" s="506"/>
      <c r="AE250" s="506"/>
      <c r="AF250" s="506"/>
      <c r="AG250" s="506"/>
      <c r="AH250" s="506"/>
      <c r="AI250" s="506"/>
      <c r="AJ250" s="506"/>
      <c r="AK250" s="506"/>
      <c r="AL250" s="506"/>
      <c r="AM250" s="506"/>
      <c r="AN250" s="507"/>
      <c r="AO250" s="505"/>
      <c r="AP250" s="506"/>
      <c r="AQ250" s="506"/>
      <c r="AR250" s="507"/>
      <c r="AS250" s="505"/>
      <c r="AT250" s="506"/>
      <c r="AU250" s="506"/>
      <c r="AV250" s="507"/>
      <c r="AW250" s="424">
        <f>B250</f>
        <v>0</v>
      </c>
    </row>
    <row r="251" spans="1:49" ht="13.5" customHeight="1" outlineLevel="1">
      <c r="A251" s="1947"/>
      <c r="B251" s="1949"/>
      <c r="C251" s="461" t="s">
        <v>881</v>
      </c>
      <c r="D251" s="462">
        <f t="shared" ref="D251:D254" si="187">SUM(E251:AV251)</f>
        <v>0</v>
      </c>
      <c r="E251" s="494"/>
      <c r="F251" s="491"/>
      <c r="G251" s="491"/>
      <c r="H251" s="493"/>
      <c r="I251" s="494"/>
      <c r="J251" s="491"/>
      <c r="K251" s="491"/>
      <c r="L251" s="493"/>
      <c r="M251" s="494"/>
      <c r="N251" s="491"/>
      <c r="O251" s="491"/>
      <c r="P251" s="493"/>
      <c r="Q251" s="491"/>
      <c r="R251" s="491"/>
      <c r="S251" s="493"/>
      <c r="T251" s="491"/>
      <c r="U251" s="493"/>
      <c r="V251" s="491"/>
      <c r="W251" s="493"/>
      <c r="X251" s="491"/>
      <c r="Y251" s="493"/>
      <c r="Z251" s="491"/>
      <c r="AA251" s="491"/>
      <c r="AB251" s="493"/>
      <c r="AC251" s="491"/>
      <c r="AD251" s="493"/>
      <c r="AE251" s="491"/>
      <c r="AF251" s="493"/>
      <c r="AG251" s="491"/>
      <c r="AH251" s="493"/>
      <c r="AI251" s="491"/>
      <c r="AJ251" s="491"/>
      <c r="AK251" s="493"/>
      <c r="AL251" s="493"/>
      <c r="AM251" s="494"/>
      <c r="AN251" s="493"/>
      <c r="AO251" s="494"/>
      <c r="AP251" s="491"/>
      <c r="AQ251" s="491"/>
      <c r="AR251" s="493"/>
      <c r="AS251" s="494"/>
      <c r="AT251" s="491"/>
      <c r="AU251" s="491"/>
      <c r="AV251" s="493"/>
      <c r="AW251" s="424">
        <f>AW250</f>
        <v>0</v>
      </c>
    </row>
    <row r="252" spans="1:49" s="424" customFormat="1" ht="13.5" customHeight="1" outlineLevel="1">
      <c r="A252" s="1947"/>
      <c r="B252" s="1949"/>
      <c r="C252" s="461" t="s">
        <v>682</v>
      </c>
      <c r="D252" s="466">
        <f t="shared" si="187"/>
        <v>0</v>
      </c>
      <c r="E252" s="382">
        <f>E251*'9.项目开发计划表'!$G$36</f>
        <v>0</v>
      </c>
      <c r="F252" s="397">
        <f>F251*'9.项目开发计划表'!$G$36</f>
        <v>0</v>
      </c>
      <c r="G252" s="397">
        <f>G251*'9.项目开发计划表'!$G$36</f>
        <v>0</v>
      </c>
      <c r="H252" s="467">
        <f>H251*'9.项目开发计划表'!$G$36</f>
        <v>0</v>
      </c>
      <c r="I252" s="382">
        <f>I251*'9.项目开发计划表'!$G$36</f>
        <v>0</v>
      </c>
      <c r="J252" s="397">
        <f>J251*'9.项目开发计划表'!$G$36</f>
        <v>0</v>
      </c>
      <c r="K252" s="397">
        <f>K251*'9.项目开发计划表'!$G$36</f>
        <v>0</v>
      </c>
      <c r="L252" s="467">
        <f>L251*'9.项目开发计划表'!$G$36</f>
        <v>0</v>
      </c>
      <c r="M252" s="382">
        <f>M251*'9.项目开发计划表'!$G$36</f>
        <v>0</v>
      </c>
      <c r="N252" s="397">
        <f>N251*'9.项目开发计划表'!$G$36</f>
        <v>0</v>
      </c>
      <c r="O252" s="397">
        <f>O251*'9.项目开发计划表'!$G$36</f>
        <v>0</v>
      </c>
      <c r="P252" s="467">
        <f>P251*'9.项目开发计划表'!$G$36</f>
        <v>0</v>
      </c>
      <c r="Q252" s="382">
        <f>Q251*'9.项目开发计划表'!$G$36</f>
        <v>0</v>
      </c>
      <c r="R252" s="397">
        <f>R251*'9.项目开发计划表'!$G$36</f>
        <v>0</v>
      </c>
      <c r="S252" s="397">
        <f>S251*'9.项目开发计划表'!$G$36</f>
        <v>0</v>
      </c>
      <c r="T252" s="467">
        <f>T251*'9.项目开发计划表'!$G$36</f>
        <v>0</v>
      </c>
      <c r="U252" s="382">
        <f>U251*'9.项目开发计划表'!$G$36</f>
        <v>0</v>
      </c>
      <c r="V252" s="397">
        <f>V251*'9.项目开发计划表'!$G$36</f>
        <v>0</v>
      </c>
      <c r="W252" s="397">
        <f>W251*'9.项目开发计划表'!$G$36</f>
        <v>0</v>
      </c>
      <c r="X252" s="467">
        <f>X251*'9.项目开发计划表'!$G$36</f>
        <v>0</v>
      </c>
      <c r="Y252" s="382">
        <f>Y251*'9.项目开发计划表'!$G$36</f>
        <v>0</v>
      </c>
      <c r="Z252" s="397">
        <f>Z251*'9.项目开发计划表'!$G$36</f>
        <v>0</v>
      </c>
      <c r="AA252" s="397">
        <f>AA251*'9.项目开发计划表'!$G$36</f>
        <v>0</v>
      </c>
      <c r="AB252" s="467">
        <f>AB251*'9.项目开发计划表'!$G$36</f>
        <v>0</v>
      </c>
      <c r="AC252" s="382">
        <f>AC251*'9.项目开发计划表'!$G$36</f>
        <v>0</v>
      </c>
      <c r="AD252" s="397">
        <f>AD251*'9.项目开发计划表'!$G$36</f>
        <v>0</v>
      </c>
      <c r="AE252" s="397">
        <f>AE251*'9.项目开发计划表'!$G$36</f>
        <v>0</v>
      </c>
      <c r="AF252" s="467">
        <f>AF251*'9.项目开发计划表'!$G$36</f>
        <v>0</v>
      </c>
      <c r="AG252" s="382">
        <f>AG251*'9.项目开发计划表'!$G$36</f>
        <v>0</v>
      </c>
      <c r="AH252" s="397">
        <f>AH251*'9.项目开发计划表'!$G$36</f>
        <v>0</v>
      </c>
      <c r="AI252" s="397">
        <f>AI251*'9.项目开发计划表'!$G$36</f>
        <v>0</v>
      </c>
      <c r="AJ252" s="467">
        <f>AJ251*'9.项目开发计划表'!$G$36</f>
        <v>0</v>
      </c>
      <c r="AK252" s="382">
        <f>AK251*'9.项目开发计划表'!$G$36</f>
        <v>0</v>
      </c>
      <c r="AL252" s="397">
        <f>AL251*'9.项目开发计划表'!$G$36</f>
        <v>0</v>
      </c>
      <c r="AM252" s="397">
        <f>AM251*'9.项目开发计划表'!$G$36</f>
        <v>0</v>
      </c>
      <c r="AN252" s="467">
        <f>AN251*'9.项目开发计划表'!$G$36</f>
        <v>0</v>
      </c>
      <c r="AO252" s="382">
        <f>AO251*'9.项目开发计划表'!$G$36</f>
        <v>0</v>
      </c>
      <c r="AP252" s="397">
        <f>AP251*'9.项目开发计划表'!$G$36</f>
        <v>0</v>
      </c>
      <c r="AQ252" s="397">
        <f>AQ251*'9.项目开发计划表'!$G$36</f>
        <v>0</v>
      </c>
      <c r="AR252" s="467">
        <f>AR251*'9.项目开发计划表'!$G$36</f>
        <v>0</v>
      </c>
      <c r="AS252" s="382">
        <f>AS251*'9.项目开发计划表'!$G$36</f>
        <v>0</v>
      </c>
      <c r="AT252" s="397">
        <f>AT251*'9.项目开发计划表'!$G$36</f>
        <v>0</v>
      </c>
      <c r="AU252" s="397">
        <f>AU251*'9.项目开发计划表'!$G$36</f>
        <v>0</v>
      </c>
      <c r="AV252" s="467">
        <f>AV251*'9.项目开发计划表'!$G$36</f>
        <v>0</v>
      </c>
      <c r="AW252" s="424">
        <f t="shared" si="179"/>
        <v>0</v>
      </c>
    </row>
    <row r="253" spans="1:49" s="424" customFormat="1" ht="13.5" customHeight="1" outlineLevel="1">
      <c r="A253" s="1947"/>
      <c r="B253" s="1949"/>
      <c r="C253" s="461" t="s">
        <v>882</v>
      </c>
      <c r="D253" s="466">
        <f t="shared" si="187"/>
        <v>0</v>
      </c>
      <c r="E253" s="382">
        <f t="shared" ref="E253:AV253" si="188">E250*E252/10000</f>
        <v>0</v>
      </c>
      <c r="F253" s="397">
        <f t="shared" si="188"/>
        <v>0</v>
      </c>
      <c r="G253" s="397">
        <f t="shared" si="188"/>
        <v>0</v>
      </c>
      <c r="H253" s="467">
        <f t="shared" si="188"/>
        <v>0</v>
      </c>
      <c r="I253" s="382">
        <f t="shared" si="188"/>
        <v>0</v>
      </c>
      <c r="J253" s="397">
        <f t="shared" si="188"/>
        <v>0</v>
      </c>
      <c r="K253" s="397">
        <f t="shared" si="188"/>
        <v>0</v>
      </c>
      <c r="L253" s="467">
        <f t="shared" si="188"/>
        <v>0</v>
      </c>
      <c r="M253" s="382">
        <f t="shared" si="188"/>
        <v>0</v>
      </c>
      <c r="N253" s="397">
        <f t="shared" si="188"/>
        <v>0</v>
      </c>
      <c r="O253" s="397">
        <f t="shared" si="188"/>
        <v>0</v>
      </c>
      <c r="P253" s="467">
        <f t="shared" si="188"/>
        <v>0</v>
      </c>
      <c r="Q253" s="382">
        <f t="shared" si="188"/>
        <v>0</v>
      </c>
      <c r="R253" s="397">
        <f t="shared" si="188"/>
        <v>0</v>
      </c>
      <c r="S253" s="397">
        <f t="shared" si="188"/>
        <v>0</v>
      </c>
      <c r="T253" s="467">
        <f t="shared" si="188"/>
        <v>0</v>
      </c>
      <c r="U253" s="382">
        <f t="shared" si="188"/>
        <v>0</v>
      </c>
      <c r="V253" s="397">
        <f t="shared" si="188"/>
        <v>0</v>
      </c>
      <c r="W253" s="397">
        <f t="shared" si="188"/>
        <v>0</v>
      </c>
      <c r="X253" s="467">
        <f t="shared" si="188"/>
        <v>0</v>
      </c>
      <c r="Y253" s="382">
        <f t="shared" si="188"/>
        <v>0</v>
      </c>
      <c r="Z253" s="397">
        <f t="shared" si="188"/>
        <v>0</v>
      </c>
      <c r="AA253" s="397">
        <f t="shared" si="188"/>
        <v>0</v>
      </c>
      <c r="AB253" s="467">
        <f t="shared" si="188"/>
        <v>0</v>
      </c>
      <c r="AC253" s="382">
        <f t="shared" si="188"/>
        <v>0</v>
      </c>
      <c r="AD253" s="397">
        <f t="shared" si="188"/>
        <v>0</v>
      </c>
      <c r="AE253" s="397">
        <f t="shared" si="188"/>
        <v>0</v>
      </c>
      <c r="AF253" s="467">
        <f t="shared" si="188"/>
        <v>0</v>
      </c>
      <c r="AG253" s="382">
        <f t="shared" si="188"/>
        <v>0</v>
      </c>
      <c r="AH253" s="397">
        <f t="shared" si="188"/>
        <v>0</v>
      </c>
      <c r="AI253" s="397">
        <f t="shared" si="188"/>
        <v>0</v>
      </c>
      <c r="AJ253" s="467">
        <f t="shared" si="188"/>
        <v>0</v>
      </c>
      <c r="AK253" s="382">
        <f t="shared" si="188"/>
        <v>0</v>
      </c>
      <c r="AL253" s="397">
        <f t="shared" si="188"/>
        <v>0</v>
      </c>
      <c r="AM253" s="397">
        <f t="shared" si="188"/>
        <v>0</v>
      </c>
      <c r="AN253" s="467">
        <f t="shared" si="188"/>
        <v>0</v>
      </c>
      <c r="AO253" s="382">
        <f t="shared" si="188"/>
        <v>0</v>
      </c>
      <c r="AP253" s="397">
        <f t="shared" si="188"/>
        <v>0</v>
      </c>
      <c r="AQ253" s="397">
        <f t="shared" si="188"/>
        <v>0</v>
      </c>
      <c r="AR253" s="467">
        <f t="shared" si="188"/>
        <v>0</v>
      </c>
      <c r="AS253" s="382">
        <f t="shared" si="188"/>
        <v>0</v>
      </c>
      <c r="AT253" s="397">
        <f t="shared" si="188"/>
        <v>0</v>
      </c>
      <c r="AU253" s="397">
        <f t="shared" si="188"/>
        <v>0</v>
      </c>
      <c r="AV253" s="467">
        <f t="shared" si="188"/>
        <v>0</v>
      </c>
      <c r="AW253" s="424">
        <f t="shared" si="179"/>
        <v>0</v>
      </c>
    </row>
    <row r="254" spans="1:49" s="424" customFormat="1" ht="13.5" customHeight="1" outlineLevel="1">
      <c r="A254" s="1947"/>
      <c r="B254" s="1949"/>
      <c r="C254" s="508" t="s">
        <v>450</v>
      </c>
      <c r="D254" s="468">
        <f t="shared" si="187"/>
        <v>0</v>
      </c>
      <c r="E254" s="386">
        <f>SUMIF($I$1:$T$1,B250,$I$2:$T$2)*E253</f>
        <v>0</v>
      </c>
      <c r="F254" s="399">
        <f>(1-SUMIF($I$1:$T$1,B250,$I$2:$T$2))*E253+SUMIF($I$1:$T$1,B250,$I$2:$T$2)*F253</f>
        <v>0</v>
      </c>
      <c r="G254" s="399">
        <f>(1-SUMIF($I$1:$T$1,B250,$I$2:$T$2))*F253+SUMIF($I$1:$T$1,B250,$I$2:$T$2)*G253</f>
        <v>0</v>
      </c>
      <c r="H254" s="404">
        <f>(1-SUMIF($I$1:$T$1,B250,$I$2:$T$2))*G253+SUMIF($I$1:$T$1,B250,$I$2:$T$2)*H253</f>
        <v>0</v>
      </c>
      <c r="I254" s="386">
        <f>(1-SUMIF($I$1:$T$1,B250,$I$2:$T$2))*H253+SUMIF($I$1:$T$1,B250,$I$2:$T$2)*I253</f>
        <v>0</v>
      </c>
      <c r="J254" s="399">
        <f>(1-SUMIF($I$1:$T$1,B250,$I$2:$T$2))*I253+SUMIF($I$1:$T$1,B250,$I$2:$T$2)*J253</f>
        <v>0</v>
      </c>
      <c r="K254" s="399">
        <f>(1-SUMIF($I$1:$T$1,B250,$I$2:$T$2))*J253+SUMIF($I$1:$T$1,B250,$I$2:$T$2)*K253</f>
        <v>0</v>
      </c>
      <c r="L254" s="404">
        <f>(1-SUMIF($I$1:$T$1,B250,$I$2:$T$2))*K253+SUMIF($I$1:$T$1,B250,$I$2:$T$2)*L253</f>
        <v>0</v>
      </c>
      <c r="M254" s="386">
        <f>(1-SUMIF($I$1:$T$1,B250,$I$2:$T$2))*L253+SUMIF($I$1:$T$1,B250,$I$2:$T$2)*M253</f>
        <v>0</v>
      </c>
      <c r="N254" s="399">
        <f>(1-SUMIF($I$1:$T$1,B250,$I$2:$T$2))*M253+SUMIF($I$1:$T$1,B250,$I$2:$T$2)*N253</f>
        <v>0</v>
      </c>
      <c r="O254" s="399">
        <f>(1-SUMIF($I$1:$T$1,B250,$I$2:$T$2))*N253+SUMIF($I$1:$T$1,B250,$I$2:$T$2)*O253</f>
        <v>0</v>
      </c>
      <c r="P254" s="404">
        <f>(1-SUMIF($I$1:$T$1,B250,$I$2:$T$2))*O253+SUMIF($I$1:$T$1,B250,$I$2:$T$2)*P253</f>
        <v>0</v>
      </c>
      <c r="Q254" s="386">
        <f>(1-SUMIF($I$1:$T$1,B250,$I$2:$T$2))*P253+SUMIF($I$1:$T$1,B250,$I$2:$T$2)*Q253</f>
        <v>0</v>
      </c>
      <c r="R254" s="399">
        <f>(1-SUMIF($I$1:$T$1,B250,$I$2:$T$2))*Q253+SUMIF($I$1:$T$1,B250,$I$2:$T$2)*R253</f>
        <v>0</v>
      </c>
      <c r="S254" s="399">
        <f>(1-SUMIF($I$1:$T$1,B250,$I$2:$T$2))*R253+SUMIF($I$1:$T$1,B250,$I$2:$T$2)*S253</f>
        <v>0</v>
      </c>
      <c r="T254" s="404">
        <f>(1-SUMIF($I$1:$T$1,B250,$I$2:$T$2))*S253+SUMIF($I$1:$T$1,B250,$I$2:$T$2)*T253</f>
        <v>0</v>
      </c>
      <c r="U254" s="386">
        <f>(1-SUMIF($I$1:$T$1,B250,$I$2:$T$2))*T253+SUMIF($I$1:$T$1,B250,$I$2:$T$2)*U253</f>
        <v>0</v>
      </c>
      <c r="V254" s="399">
        <f>(1-SUMIF($I$1:$T$1,B250,$I$2:$T$2))*U253+SUMIF($I$1:$T$1,B250,$I$2:$T$2)*V253</f>
        <v>0</v>
      </c>
      <c r="W254" s="399">
        <f>(1-SUMIF($I$1:$T$1,B250,$I$2:$T$2))*V253+SUMIF($I$1:$T$1,B250,$I$2:$T$2)*W253</f>
        <v>0</v>
      </c>
      <c r="X254" s="404">
        <f>(1-SUMIF($I$1:$T$1,B250,$I$2:$T$2))*W253+SUMIF($I$1:$T$1,B250,$I$2:$T$2)*X253</f>
        <v>0</v>
      </c>
      <c r="Y254" s="386">
        <f>(1-SUMIF($I$1:$T$1,B250,$I$2:$T$2))*X253+SUMIF($I$1:$T$1,B250,$I$2:$T$2)*Y253</f>
        <v>0</v>
      </c>
      <c r="Z254" s="399">
        <f>(1-SUMIF($I$1:$T$1,B250,$I$2:$T$2))*Y253+SUMIF($I$1:$T$1,B250,$I$2:$T$2)*Z253</f>
        <v>0</v>
      </c>
      <c r="AA254" s="399">
        <f>(1-SUMIF($I$1:$T$1,B250,$I$2:$T$2))*Z253+SUMIF($I$1:$T$1,B250,$I$2:$T$2)*AA253</f>
        <v>0</v>
      </c>
      <c r="AB254" s="404">
        <f>(1-SUMIF($I$1:$T$1,B250,$I$2:$T$2))*AA253+SUMIF($I$1:$T$1,B250,$I$2:$T$2)*AB253</f>
        <v>0</v>
      </c>
      <c r="AC254" s="386">
        <f>(1-SUMIF($I$1:$T$1,B250,$I$2:$T$2))*AB253+SUMIF($I$1:$T$1,B250,$I$2:$T$2)*AC253</f>
        <v>0</v>
      </c>
      <c r="AD254" s="399">
        <f>(1-SUMIF($I$1:$T$1,B250,$I$2:$T$2))*AC253+SUMIF($I$1:$T$1,B250,$I$2:$T$2)*AD253</f>
        <v>0</v>
      </c>
      <c r="AE254" s="399">
        <f>(1-SUMIF($I$1:$T$1,B250,$I$2:$T$2))*AD253+SUMIF($I$1:$T$1,B250,$I$2:$T$2)*AE253</f>
        <v>0</v>
      </c>
      <c r="AF254" s="404">
        <f>(1-SUMIF($I$1:$T$1,B250,$I$2:$T$2))*AE253+SUMIF($I$1:$T$1,B250,$I$2:$T$2)*AF253</f>
        <v>0</v>
      </c>
      <c r="AG254" s="386">
        <f>(1-SUMIF($I$1:$T$1,B250,$I$2:$T$2))*AF253+SUMIF($I$1:$T$1,B250,$I$2:$T$2)*AG253</f>
        <v>0</v>
      </c>
      <c r="AH254" s="399">
        <f>(1-SUMIF($I$1:$T$1,B250,$I$2:$T$2))*AG253+SUMIF($I$1:$T$1,B250,$I$2:$T$2)*AH253</f>
        <v>0</v>
      </c>
      <c r="AI254" s="399">
        <f>(1-SUMIF($I$1:$T$1,B250,$I$2:$T$2))*AH253+SUMIF($I$1:$T$1,B250,$I$2:$T$2)*AI253</f>
        <v>0</v>
      </c>
      <c r="AJ254" s="404">
        <f>(1-SUMIF($I$1:$T$1,B250,$I$2:$T$2))*AI253+SUMIF($I$1:$T$1,B250,$I$2:$T$2)*AJ253</f>
        <v>0</v>
      </c>
      <c r="AK254" s="386">
        <f>(1-SUMIF($I$1:$T$1,B250,$I$2:$T$2))*AJ253+SUMIF($I$1:$T$1,B250,$I$2:$T$2)*AK253</f>
        <v>0</v>
      </c>
      <c r="AL254" s="399">
        <f>(1-SUMIF($I$1:$T$1,B250,$I$2:$T$2))*AK253+SUMIF($I$1:$T$1,B250,$I$2:$T$2)*AL253</f>
        <v>0</v>
      </c>
      <c r="AM254" s="399">
        <f>(1-SUMIF($I$1:$T$1,B250,$I$2:$T$2))*AL253+SUMIF($I$1:$T$1,B250,$I$2:$T$2)*AM253</f>
        <v>0</v>
      </c>
      <c r="AN254" s="404">
        <f>(1-SUMIF($I$1:$T$1,B250,$I$2:$T$2))*AM253+SUMIF($I$1:$T$1,B250,$I$2:$T$2)*AN253</f>
        <v>0</v>
      </c>
      <c r="AO254" s="386">
        <f>(1-SUMIF($I$1:$T$1,B250,$I$2:$T$2))*AN253+SUMIF($I$1:$T$1,B250,$I$2:$T$2)*AO253</f>
        <v>0</v>
      </c>
      <c r="AP254" s="399">
        <f>(1-SUMIF($I$1:$T$1,B250,$I$2:$T$2))*AO253+SUMIF($I$1:$T$1,B250,$I$2:$T$2)*AP253</f>
        <v>0</v>
      </c>
      <c r="AQ254" s="399">
        <f>(1-SUMIF($I$1:$T$1,B250,$I$2:$T$2))*AP253+SUMIF($I$1:$T$1,B250,$I$2:$T$2)*AQ253</f>
        <v>0</v>
      </c>
      <c r="AR254" s="404">
        <f>(1-SUMIF($I$1:$T$1,B250,$I$2:$T$2))*AQ253+SUMIF($I$1:$T$1,B250,$I$2:$T$2)*AR253</f>
        <v>0</v>
      </c>
      <c r="AS254" s="386">
        <f>(1-SUMIF($I$1:$T$1,B250,$I$2:$T$2))*AR253+SUMIF($I$1:$T$1,B250,$I$2:$T$2)*AS253</f>
        <v>0</v>
      </c>
      <c r="AT254" s="399">
        <f>(1-SUMIF($I$1:$T$1,B250,$I$2:$T$2))*AS253+SUMIF($I$1:$T$1,B250,$I$2:$T$2)*AT253</f>
        <v>0</v>
      </c>
      <c r="AU254" s="399">
        <f>(1-SUMIF($I$1:$T$1,B250,$I$2:$T$2))*AT253+SUMIF($I$1:$T$1,B250,$I$2:$T$2)*AU253</f>
        <v>0</v>
      </c>
      <c r="AV254" s="404">
        <f>(1-SUMIF($I$1:$T$1,B250,$I$2:$T$2))*AU253+SUMIF($I$1:$T$1,B250,$I$2:$T$2)*AV253</f>
        <v>0</v>
      </c>
      <c r="AW254" s="424">
        <f t="shared" si="179"/>
        <v>0</v>
      </c>
    </row>
    <row r="255" spans="1:49" s="424" customFormat="1" ht="13.5" customHeight="1" outlineLevel="1">
      <c r="A255" s="1947"/>
      <c r="B255" s="1949">
        <f>'9.项目开发计划表'!C37</f>
        <v>0</v>
      </c>
      <c r="C255" s="456" t="s">
        <v>880</v>
      </c>
      <c r="D255" s="457">
        <f>IF(D257=0,0,D258/D257*10000)</f>
        <v>0</v>
      </c>
      <c r="E255" s="505"/>
      <c r="F255" s="506"/>
      <c r="G255" s="506"/>
      <c r="H255" s="507"/>
      <c r="I255" s="505"/>
      <c r="J255" s="506"/>
      <c r="K255" s="506"/>
      <c r="L255" s="507"/>
      <c r="M255" s="505"/>
      <c r="N255" s="506"/>
      <c r="O255" s="506"/>
      <c r="P255" s="507"/>
      <c r="Q255" s="505"/>
      <c r="R255" s="506"/>
      <c r="S255" s="506"/>
      <c r="T255" s="507"/>
      <c r="U255" s="505"/>
      <c r="V255" s="506"/>
      <c r="W255" s="506"/>
      <c r="X255" s="507"/>
      <c r="Y255" s="505"/>
      <c r="Z255" s="506"/>
      <c r="AA255" s="506"/>
      <c r="AB255" s="507"/>
      <c r="AC255" s="505"/>
      <c r="AD255" s="506"/>
      <c r="AE255" s="506"/>
      <c r="AF255" s="507"/>
      <c r="AG255" s="505"/>
      <c r="AH255" s="506"/>
      <c r="AI255" s="506"/>
      <c r="AJ255" s="507"/>
      <c r="AK255" s="505"/>
      <c r="AL255" s="506"/>
      <c r="AM255" s="506"/>
      <c r="AN255" s="507"/>
      <c r="AO255" s="505"/>
      <c r="AP255" s="506"/>
      <c r="AQ255" s="506"/>
      <c r="AR255" s="507"/>
      <c r="AS255" s="505"/>
      <c r="AT255" s="506"/>
      <c r="AU255" s="506"/>
      <c r="AV255" s="507"/>
      <c r="AW255" s="424">
        <f>B255</f>
        <v>0</v>
      </c>
    </row>
    <row r="256" spans="1:49" ht="13.5" customHeight="1" outlineLevel="1">
      <c r="A256" s="1947"/>
      <c r="B256" s="1949"/>
      <c r="C256" s="461" t="s">
        <v>881</v>
      </c>
      <c r="D256" s="462">
        <f t="shared" ref="D256:D259" si="189">SUM(E256:AV256)</f>
        <v>0</v>
      </c>
      <c r="E256" s="494"/>
      <c r="F256" s="491"/>
      <c r="G256" s="491"/>
      <c r="H256" s="493"/>
      <c r="I256" s="494"/>
      <c r="J256" s="491"/>
      <c r="K256" s="491"/>
      <c r="L256" s="493"/>
      <c r="M256" s="494"/>
      <c r="N256" s="491"/>
      <c r="O256" s="491"/>
      <c r="P256" s="493"/>
      <c r="Q256" s="494"/>
      <c r="R256" s="491"/>
      <c r="S256" s="491"/>
      <c r="T256" s="493"/>
      <c r="U256" s="494"/>
      <c r="V256" s="491"/>
      <c r="W256" s="491"/>
      <c r="X256" s="493"/>
      <c r="Y256" s="494"/>
      <c r="Z256" s="491"/>
      <c r="AA256" s="491"/>
      <c r="AB256" s="493"/>
      <c r="AC256" s="494"/>
      <c r="AD256" s="491"/>
      <c r="AE256" s="491"/>
      <c r="AF256" s="493"/>
      <c r="AG256" s="494"/>
      <c r="AH256" s="491"/>
      <c r="AI256" s="491"/>
      <c r="AJ256" s="493"/>
      <c r="AK256" s="494"/>
      <c r="AL256" s="491"/>
      <c r="AM256" s="491"/>
      <c r="AN256" s="493"/>
      <c r="AO256" s="494"/>
      <c r="AP256" s="491"/>
      <c r="AQ256" s="491"/>
      <c r="AR256" s="493"/>
      <c r="AS256" s="494"/>
      <c r="AT256" s="491"/>
      <c r="AU256" s="491"/>
      <c r="AV256" s="493"/>
      <c r="AW256" s="424">
        <f>AW255</f>
        <v>0</v>
      </c>
    </row>
    <row r="257" spans="1:49" s="424" customFormat="1" ht="13.5" customHeight="1" outlineLevel="1">
      <c r="A257" s="1947"/>
      <c r="B257" s="1949"/>
      <c r="C257" s="461" t="s">
        <v>682</v>
      </c>
      <c r="D257" s="466">
        <f t="shared" si="189"/>
        <v>0</v>
      </c>
      <c r="E257" s="382">
        <f>E256*'9.项目开发计划表'!$G$37</f>
        <v>0</v>
      </c>
      <c r="F257" s="397">
        <f>F256*'9.项目开发计划表'!$G$37</f>
        <v>0</v>
      </c>
      <c r="G257" s="397">
        <f>G256*'9.项目开发计划表'!$G$37</f>
        <v>0</v>
      </c>
      <c r="H257" s="467">
        <f>H256*'9.项目开发计划表'!$G$37</f>
        <v>0</v>
      </c>
      <c r="I257" s="382">
        <f>I256*'9.项目开发计划表'!$G$37</f>
        <v>0</v>
      </c>
      <c r="J257" s="397">
        <f>J256*'9.项目开发计划表'!$G$37</f>
        <v>0</v>
      </c>
      <c r="K257" s="397">
        <f>K256*'9.项目开发计划表'!$G$37</f>
        <v>0</v>
      </c>
      <c r="L257" s="467">
        <f>L256*'9.项目开发计划表'!$G$37</f>
        <v>0</v>
      </c>
      <c r="M257" s="382">
        <f>M256*'9.项目开发计划表'!$G$37</f>
        <v>0</v>
      </c>
      <c r="N257" s="397">
        <f>N256*'9.项目开发计划表'!$G$37</f>
        <v>0</v>
      </c>
      <c r="O257" s="397">
        <f>O256*'9.项目开发计划表'!$G$37</f>
        <v>0</v>
      </c>
      <c r="P257" s="467">
        <f>P256*'9.项目开发计划表'!$G$37</f>
        <v>0</v>
      </c>
      <c r="Q257" s="382">
        <f>Q256*'9.项目开发计划表'!$G$37</f>
        <v>0</v>
      </c>
      <c r="R257" s="397">
        <f>R256*'9.项目开发计划表'!$G$37</f>
        <v>0</v>
      </c>
      <c r="S257" s="397">
        <f>S256*'9.项目开发计划表'!$G$37</f>
        <v>0</v>
      </c>
      <c r="T257" s="467">
        <f>T256*'9.项目开发计划表'!$G$37</f>
        <v>0</v>
      </c>
      <c r="U257" s="382">
        <f>U256*'9.项目开发计划表'!$G$37</f>
        <v>0</v>
      </c>
      <c r="V257" s="397">
        <f>V256*'9.项目开发计划表'!$G$37</f>
        <v>0</v>
      </c>
      <c r="W257" s="397">
        <f>W256*'9.项目开发计划表'!$G$37</f>
        <v>0</v>
      </c>
      <c r="X257" s="467">
        <f>X256*'9.项目开发计划表'!$G$37</f>
        <v>0</v>
      </c>
      <c r="Y257" s="382">
        <f>Y256*'9.项目开发计划表'!$G$37</f>
        <v>0</v>
      </c>
      <c r="Z257" s="397">
        <f>Z256*'9.项目开发计划表'!$G$37</f>
        <v>0</v>
      </c>
      <c r="AA257" s="397">
        <f>AA256*'9.项目开发计划表'!$G$37</f>
        <v>0</v>
      </c>
      <c r="AB257" s="467">
        <f>AB256*'9.项目开发计划表'!$G$37</f>
        <v>0</v>
      </c>
      <c r="AC257" s="382">
        <f>AC256*'9.项目开发计划表'!$G$37</f>
        <v>0</v>
      </c>
      <c r="AD257" s="397">
        <f>AD256*'9.项目开发计划表'!$G$37</f>
        <v>0</v>
      </c>
      <c r="AE257" s="397">
        <f>AE256*'9.项目开发计划表'!$G$37</f>
        <v>0</v>
      </c>
      <c r="AF257" s="467">
        <f>AF256*'9.项目开发计划表'!$G$37</f>
        <v>0</v>
      </c>
      <c r="AG257" s="382">
        <f>AG256*'9.项目开发计划表'!$G$37</f>
        <v>0</v>
      </c>
      <c r="AH257" s="397">
        <f>AH256*'9.项目开发计划表'!$G$37</f>
        <v>0</v>
      </c>
      <c r="AI257" s="397">
        <f>AI256*'9.项目开发计划表'!$G$37</f>
        <v>0</v>
      </c>
      <c r="AJ257" s="467">
        <f>AJ256*'9.项目开发计划表'!$G$37</f>
        <v>0</v>
      </c>
      <c r="AK257" s="382">
        <f>AK256*'9.项目开发计划表'!$G$37</f>
        <v>0</v>
      </c>
      <c r="AL257" s="397">
        <f>AL256*'9.项目开发计划表'!$G$37</f>
        <v>0</v>
      </c>
      <c r="AM257" s="397">
        <f>AM256*'9.项目开发计划表'!$G$37</f>
        <v>0</v>
      </c>
      <c r="AN257" s="467">
        <f>AN256*'9.项目开发计划表'!$G$37</f>
        <v>0</v>
      </c>
      <c r="AO257" s="382">
        <f>AO256*'9.项目开发计划表'!$G$37</f>
        <v>0</v>
      </c>
      <c r="AP257" s="397">
        <f>AP256*'9.项目开发计划表'!$G$37</f>
        <v>0</v>
      </c>
      <c r="AQ257" s="397">
        <f>AQ256*'9.项目开发计划表'!$G$37</f>
        <v>0</v>
      </c>
      <c r="AR257" s="467">
        <f>AR256*'9.项目开发计划表'!$G$37</f>
        <v>0</v>
      </c>
      <c r="AS257" s="382">
        <f>AS256*'9.项目开发计划表'!$G$37</f>
        <v>0</v>
      </c>
      <c r="AT257" s="397">
        <f>AT256*'9.项目开发计划表'!$G$37</f>
        <v>0</v>
      </c>
      <c r="AU257" s="397">
        <f>AU256*'9.项目开发计划表'!$G$37</f>
        <v>0</v>
      </c>
      <c r="AV257" s="467">
        <f>AV256*'9.项目开发计划表'!$G$37</f>
        <v>0</v>
      </c>
      <c r="AW257" s="424">
        <f t="shared" si="179"/>
        <v>0</v>
      </c>
    </row>
    <row r="258" spans="1:49" s="424" customFormat="1" ht="13.5" customHeight="1" outlineLevel="1">
      <c r="A258" s="1947"/>
      <c r="B258" s="1949"/>
      <c r="C258" s="461" t="s">
        <v>882</v>
      </c>
      <c r="D258" s="466">
        <f t="shared" si="189"/>
        <v>0</v>
      </c>
      <c r="E258" s="382">
        <f t="shared" ref="E258:AV258" si="190">E255*E257/10000</f>
        <v>0</v>
      </c>
      <c r="F258" s="397">
        <f t="shared" si="190"/>
        <v>0</v>
      </c>
      <c r="G258" s="397">
        <f t="shared" si="190"/>
        <v>0</v>
      </c>
      <c r="H258" s="467">
        <f t="shared" si="190"/>
        <v>0</v>
      </c>
      <c r="I258" s="382">
        <f t="shared" si="190"/>
        <v>0</v>
      </c>
      <c r="J258" s="397">
        <f t="shared" si="190"/>
        <v>0</v>
      </c>
      <c r="K258" s="397">
        <f t="shared" si="190"/>
        <v>0</v>
      </c>
      <c r="L258" s="467">
        <f t="shared" si="190"/>
        <v>0</v>
      </c>
      <c r="M258" s="382">
        <f t="shared" si="190"/>
        <v>0</v>
      </c>
      <c r="N258" s="397">
        <f t="shared" si="190"/>
        <v>0</v>
      </c>
      <c r="O258" s="397">
        <f t="shared" si="190"/>
        <v>0</v>
      </c>
      <c r="P258" s="467">
        <f t="shared" si="190"/>
        <v>0</v>
      </c>
      <c r="Q258" s="382">
        <f t="shared" si="190"/>
        <v>0</v>
      </c>
      <c r="R258" s="397">
        <f t="shared" si="190"/>
        <v>0</v>
      </c>
      <c r="S258" s="397">
        <f t="shared" si="190"/>
        <v>0</v>
      </c>
      <c r="T258" s="467">
        <f t="shared" si="190"/>
        <v>0</v>
      </c>
      <c r="U258" s="382">
        <f t="shared" si="190"/>
        <v>0</v>
      </c>
      <c r="V258" s="397">
        <f t="shared" si="190"/>
        <v>0</v>
      </c>
      <c r="W258" s="397">
        <f t="shared" si="190"/>
        <v>0</v>
      </c>
      <c r="X258" s="467">
        <f t="shared" si="190"/>
        <v>0</v>
      </c>
      <c r="Y258" s="382">
        <f t="shared" si="190"/>
        <v>0</v>
      </c>
      <c r="Z258" s="397">
        <f t="shared" si="190"/>
        <v>0</v>
      </c>
      <c r="AA258" s="397">
        <f t="shared" si="190"/>
        <v>0</v>
      </c>
      <c r="AB258" s="467">
        <f t="shared" si="190"/>
        <v>0</v>
      </c>
      <c r="AC258" s="382">
        <f t="shared" si="190"/>
        <v>0</v>
      </c>
      <c r="AD258" s="397">
        <f t="shared" si="190"/>
        <v>0</v>
      </c>
      <c r="AE258" s="397">
        <f t="shared" si="190"/>
        <v>0</v>
      </c>
      <c r="AF258" s="467">
        <f t="shared" si="190"/>
        <v>0</v>
      </c>
      <c r="AG258" s="382">
        <f t="shared" si="190"/>
        <v>0</v>
      </c>
      <c r="AH258" s="397">
        <f t="shared" si="190"/>
        <v>0</v>
      </c>
      <c r="AI258" s="397">
        <f t="shared" si="190"/>
        <v>0</v>
      </c>
      <c r="AJ258" s="467">
        <f t="shared" si="190"/>
        <v>0</v>
      </c>
      <c r="AK258" s="382">
        <f t="shared" si="190"/>
        <v>0</v>
      </c>
      <c r="AL258" s="397">
        <f t="shared" si="190"/>
        <v>0</v>
      </c>
      <c r="AM258" s="397">
        <f t="shared" si="190"/>
        <v>0</v>
      </c>
      <c r="AN258" s="467">
        <f t="shared" si="190"/>
        <v>0</v>
      </c>
      <c r="AO258" s="382">
        <f t="shared" si="190"/>
        <v>0</v>
      </c>
      <c r="AP258" s="397">
        <f t="shared" si="190"/>
        <v>0</v>
      </c>
      <c r="AQ258" s="397">
        <f t="shared" si="190"/>
        <v>0</v>
      </c>
      <c r="AR258" s="467">
        <f t="shared" si="190"/>
        <v>0</v>
      </c>
      <c r="AS258" s="382">
        <f t="shared" si="190"/>
        <v>0</v>
      </c>
      <c r="AT258" s="397">
        <f t="shared" si="190"/>
        <v>0</v>
      </c>
      <c r="AU258" s="397">
        <f t="shared" si="190"/>
        <v>0</v>
      </c>
      <c r="AV258" s="467">
        <f t="shared" si="190"/>
        <v>0</v>
      </c>
      <c r="AW258" s="424">
        <f t="shared" si="179"/>
        <v>0</v>
      </c>
    </row>
    <row r="259" spans="1:49" s="424" customFormat="1" ht="13.5" customHeight="1" outlineLevel="1">
      <c r="A259" s="1947"/>
      <c r="B259" s="1949"/>
      <c r="C259" s="508" t="s">
        <v>450</v>
      </c>
      <c r="D259" s="468">
        <f t="shared" si="189"/>
        <v>0</v>
      </c>
      <c r="E259" s="386">
        <f>SUMIF($I$1:$T$1,B255,$I$2:$T$2)*E258</f>
        <v>0</v>
      </c>
      <c r="F259" s="399">
        <f>(1-SUMIF($I$1:$T$1,B255,$I$2:$T$2))*E258+SUMIF($I$1:$T$1,B255,$I$2:$T$2)*F258</f>
        <v>0</v>
      </c>
      <c r="G259" s="399">
        <f>(1-SUMIF($I$1:$T$1,B255,$I$2:$T$2))*F258+SUMIF($I$1:$T$1,B255,$I$2:$T$2)*G258</f>
        <v>0</v>
      </c>
      <c r="H259" s="404">
        <f>(1-SUMIF($I$1:$T$1,B255,$I$2:$T$2))*G258+SUMIF($I$1:$T$1,B255,$I$2:$T$2)*H258</f>
        <v>0</v>
      </c>
      <c r="I259" s="386">
        <f>(1-SUMIF($I$1:$T$1,B255,$I$2:$T$2))*H258+SUMIF($I$1:$T$1,B255,$I$2:$T$2)*I258</f>
        <v>0</v>
      </c>
      <c r="J259" s="399">
        <f>(1-SUMIF($I$1:$T$1,B255,$I$2:$T$2))*I258+SUMIF($I$1:$T$1,B255,$I$2:$T$2)*J258</f>
        <v>0</v>
      </c>
      <c r="K259" s="399">
        <f>(1-SUMIF($I$1:$T$1,B255,$I$2:$T$2))*J258+SUMIF($I$1:$T$1,B255,$I$2:$T$2)*K258</f>
        <v>0</v>
      </c>
      <c r="L259" s="404">
        <f>(1-SUMIF($I$1:$T$1,B255,$I$2:$T$2))*K258+SUMIF($I$1:$T$1,B255,$I$2:$T$2)*L258</f>
        <v>0</v>
      </c>
      <c r="M259" s="386">
        <f>(1-SUMIF($I$1:$T$1,B255,$I$2:$T$2))*L258+SUMIF($I$1:$T$1,B255,$I$2:$T$2)*M258</f>
        <v>0</v>
      </c>
      <c r="N259" s="399">
        <f>(1-SUMIF($I$1:$T$1,B255,$I$2:$T$2))*M258+SUMIF($I$1:$T$1,B255,$I$2:$T$2)*N258</f>
        <v>0</v>
      </c>
      <c r="O259" s="399">
        <f>(1-SUMIF($I$1:$T$1,B255,$I$2:$T$2))*N258+SUMIF($I$1:$T$1,B255,$I$2:$T$2)*O258</f>
        <v>0</v>
      </c>
      <c r="P259" s="404">
        <f>(1-SUMIF($I$1:$T$1,B255,$I$2:$T$2))*O258+SUMIF($I$1:$T$1,B255,$I$2:$T$2)*P258</f>
        <v>0</v>
      </c>
      <c r="Q259" s="386">
        <f>(1-SUMIF($I$1:$T$1,B255,$I$2:$T$2))*P258+SUMIF($I$1:$T$1,B255,$I$2:$T$2)*Q258</f>
        <v>0</v>
      </c>
      <c r="R259" s="399">
        <f>(1-SUMIF($I$1:$T$1,B255,$I$2:$T$2))*Q258+SUMIF($I$1:$T$1,B255,$I$2:$T$2)*R258</f>
        <v>0</v>
      </c>
      <c r="S259" s="399">
        <f>(1-SUMIF($I$1:$T$1,B255,$I$2:$T$2))*R258+SUMIF($I$1:$T$1,B255,$I$2:$T$2)*S258</f>
        <v>0</v>
      </c>
      <c r="T259" s="404">
        <f>(1-SUMIF($I$1:$T$1,B255,$I$2:$T$2))*S258+SUMIF($I$1:$T$1,B255,$I$2:$T$2)*T258</f>
        <v>0</v>
      </c>
      <c r="U259" s="386">
        <f>(1-SUMIF($I$1:$T$1,B255,$I$2:$T$2))*T258+SUMIF($I$1:$T$1,B255,$I$2:$T$2)*U258</f>
        <v>0</v>
      </c>
      <c r="V259" s="399">
        <f>(1-SUMIF($I$1:$T$1,B255,$I$2:$T$2))*U258+SUMIF($I$1:$T$1,B255,$I$2:$T$2)*V258</f>
        <v>0</v>
      </c>
      <c r="W259" s="399">
        <f>(1-SUMIF($I$1:$T$1,B255,$I$2:$T$2))*V258+SUMIF($I$1:$T$1,B255,$I$2:$T$2)*W258</f>
        <v>0</v>
      </c>
      <c r="X259" s="404">
        <f>(1-SUMIF($I$1:$T$1,B255,$I$2:$T$2))*W258+SUMIF($I$1:$T$1,B255,$I$2:$T$2)*X258</f>
        <v>0</v>
      </c>
      <c r="Y259" s="386">
        <f>(1-SUMIF($I$1:$T$1,B255,$I$2:$T$2))*X258+SUMIF($I$1:$T$1,B255,$I$2:$T$2)*Y258</f>
        <v>0</v>
      </c>
      <c r="Z259" s="399">
        <f>(1-SUMIF($I$1:$T$1,B255,$I$2:$T$2))*Y258+SUMIF($I$1:$T$1,B255,$I$2:$T$2)*Z258</f>
        <v>0</v>
      </c>
      <c r="AA259" s="399">
        <f>(1-SUMIF($I$1:$T$1,B255,$I$2:$T$2))*Z258+SUMIF($I$1:$T$1,B255,$I$2:$T$2)*AA258</f>
        <v>0</v>
      </c>
      <c r="AB259" s="404">
        <f>(1-SUMIF($I$1:$T$1,B255,$I$2:$T$2))*AA258+SUMIF($I$1:$T$1,B255,$I$2:$T$2)*AB258</f>
        <v>0</v>
      </c>
      <c r="AC259" s="386">
        <f>(1-SUMIF($I$1:$T$1,B255,$I$2:$T$2))*AB258+SUMIF($I$1:$T$1,B255,$I$2:$T$2)*AC258</f>
        <v>0</v>
      </c>
      <c r="AD259" s="399">
        <f>(1-SUMIF($I$1:$T$1,B255,$I$2:$T$2))*AC258+SUMIF($I$1:$T$1,B255,$I$2:$T$2)*AD258</f>
        <v>0</v>
      </c>
      <c r="AE259" s="399">
        <f>(1-SUMIF($I$1:$T$1,B255,$I$2:$T$2))*AD258+SUMIF($I$1:$T$1,B255,$I$2:$T$2)*AE258</f>
        <v>0</v>
      </c>
      <c r="AF259" s="404">
        <f>(1-SUMIF($I$1:$T$1,B255,$I$2:$T$2))*AE258+SUMIF($I$1:$T$1,B255,$I$2:$T$2)*AF258</f>
        <v>0</v>
      </c>
      <c r="AG259" s="386">
        <f>(1-SUMIF($I$1:$T$1,B255,$I$2:$T$2))*AF258+SUMIF($I$1:$T$1,B255,$I$2:$T$2)*AG258</f>
        <v>0</v>
      </c>
      <c r="AH259" s="399">
        <f>(1-SUMIF($I$1:$T$1,B255,$I$2:$T$2))*AG258+SUMIF($I$1:$T$1,B255,$I$2:$T$2)*AH258</f>
        <v>0</v>
      </c>
      <c r="AI259" s="399">
        <f>(1-SUMIF($I$1:$T$1,B255,$I$2:$T$2))*AH258+SUMIF($I$1:$T$1,B255,$I$2:$T$2)*AI258</f>
        <v>0</v>
      </c>
      <c r="AJ259" s="404">
        <f>(1-SUMIF($I$1:$T$1,B255,$I$2:$T$2))*AI258+SUMIF($I$1:$T$1,B255,$I$2:$T$2)*AJ258</f>
        <v>0</v>
      </c>
      <c r="AK259" s="386">
        <f>(1-SUMIF($I$1:$T$1,B255,$I$2:$T$2))*AJ258+SUMIF($I$1:$T$1,B255,$I$2:$T$2)*AK258</f>
        <v>0</v>
      </c>
      <c r="AL259" s="399">
        <f>(1-SUMIF($I$1:$T$1,B255,$I$2:$T$2))*AK258+SUMIF($I$1:$T$1,B255,$I$2:$T$2)*AL258</f>
        <v>0</v>
      </c>
      <c r="AM259" s="399">
        <f>(1-SUMIF($I$1:$T$1,B255,$I$2:$T$2))*AL258+SUMIF($I$1:$T$1,B255,$I$2:$T$2)*AM258</f>
        <v>0</v>
      </c>
      <c r="AN259" s="404">
        <f>(1-SUMIF($I$1:$T$1,B255,$I$2:$T$2))*AM258+SUMIF($I$1:$T$1,B255,$I$2:$T$2)*AN258</f>
        <v>0</v>
      </c>
      <c r="AO259" s="386">
        <f>(1-SUMIF($I$1:$T$1,B255,$I$2:$T$2))*AN258+SUMIF($I$1:$T$1,B255,$I$2:$T$2)*AO258</f>
        <v>0</v>
      </c>
      <c r="AP259" s="399">
        <f>(1-SUMIF($I$1:$T$1,B255,$I$2:$T$2))*AO258+SUMIF($I$1:$T$1,B255,$I$2:$T$2)*AP258</f>
        <v>0</v>
      </c>
      <c r="AQ259" s="399">
        <f>(1-SUMIF($I$1:$T$1,B255,$I$2:$T$2))*AP258+SUMIF($I$1:$T$1,B255,$I$2:$T$2)*AQ258</f>
        <v>0</v>
      </c>
      <c r="AR259" s="404">
        <f>(1-SUMIF($I$1:$T$1,B255,$I$2:$T$2))*AQ258+SUMIF($I$1:$T$1,B255,$I$2:$T$2)*AR258</f>
        <v>0</v>
      </c>
      <c r="AS259" s="386">
        <f>(1-SUMIF($I$1:$T$1,B255,$I$2:$T$2))*AR258+SUMIF($I$1:$T$1,B255,$I$2:$T$2)*AS258</f>
        <v>0</v>
      </c>
      <c r="AT259" s="399">
        <f>(1-SUMIF($I$1:$T$1,B255,$I$2:$T$2))*AS258+SUMIF($I$1:$T$1,B255,$I$2:$T$2)*AT258</f>
        <v>0</v>
      </c>
      <c r="AU259" s="399">
        <f>(1-SUMIF($I$1:$T$1,B255,$I$2:$T$2))*AT258+SUMIF($I$1:$T$1,B255,$I$2:$T$2)*AU258</f>
        <v>0</v>
      </c>
      <c r="AV259" s="404">
        <f>(1-SUMIF($I$1:$T$1,B255,$I$2:$T$2))*AU258+SUMIF($I$1:$T$1,B255,$I$2:$T$2)*AV258</f>
        <v>0</v>
      </c>
      <c r="AW259" s="424">
        <f t="shared" si="179"/>
        <v>0</v>
      </c>
    </row>
    <row r="260" spans="1:49" s="424" customFormat="1" ht="13.5" customHeight="1" outlineLevel="1">
      <c r="A260" s="1947"/>
      <c r="B260" s="1949">
        <f>'9.项目开发计划表'!C38</f>
        <v>0</v>
      </c>
      <c r="C260" s="456" t="s">
        <v>880</v>
      </c>
      <c r="D260" s="457">
        <f>IF(D262=0,0,D263/D262*10000)</f>
        <v>0</v>
      </c>
      <c r="E260" s="505"/>
      <c r="F260" s="506"/>
      <c r="G260" s="506"/>
      <c r="H260" s="507"/>
      <c r="I260" s="505"/>
      <c r="J260" s="506"/>
      <c r="K260" s="506"/>
      <c r="L260" s="507"/>
      <c r="M260" s="505"/>
      <c r="N260" s="506"/>
      <c r="O260" s="505"/>
      <c r="P260" s="505"/>
      <c r="Q260" s="505"/>
      <c r="R260" s="505"/>
      <c r="S260" s="505"/>
      <c r="T260" s="505"/>
      <c r="U260" s="505"/>
      <c r="V260" s="505"/>
      <c r="W260" s="505"/>
      <c r="X260" s="505"/>
      <c r="Y260" s="505"/>
      <c r="Z260" s="506"/>
      <c r="AA260" s="505"/>
      <c r="AB260" s="505"/>
      <c r="AC260" s="505"/>
      <c r="AD260" s="505"/>
      <c r="AE260" s="505"/>
      <c r="AF260" s="505"/>
      <c r="AG260" s="505"/>
      <c r="AH260" s="505"/>
      <c r="AI260" s="505"/>
      <c r="AJ260" s="505"/>
      <c r="AK260" s="505"/>
      <c r="AL260" s="506"/>
      <c r="AM260" s="506"/>
      <c r="AN260" s="507"/>
      <c r="AO260" s="505"/>
      <c r="AP260" s="506"/>
      <c r="AQ260" s="506"/>
      <c r="AR260" s="507"/>
      <c r="AS260" s="505"/>
      <c r="AT260" s="506"/>
      <c r="AU260" s="506"/>
      <c r="AV260" s="507"/>
      <c r="AW260" s="424">
        <f>B260</f>
        <v>0</v>
      </c>
    </row>
    <row r="261" spans="1:49" ht="13.5" customHeight="1" outlineLevel="1">
      <c r="A261" s="1947"/>
      <c r="B261" s="1949"/>
      <c r="C261" s="461" t="s">
        <v>881</v>
      </c>
      <c r="D261" s="462">
        <f t="shared" ref="D261:D264" si="191">SUM(E261:AV261)</f>
        <v>0</v>
      </c>
      <c r="E261" s="494"/>
      <c r="F261" s="491"/>
      <c r="G261" s="491"/>
      <c r="H261" s="493"/>
      <c r="I261" s="494"/>
      <c r="J261" s="491"/>
      <c r="K261" s="491"/>
      <c r="L261" s="493"/>
      <c r="M261" s="494"/>
      <c r="N261" s="491"/>
      <c r="O261" s="494"/>
      <c r="P261" s="494"/>
      <c r="Q261" s="494"/>
      <c r="R261" s="494"/>
      <c r="S261" s="494"/>
      <c r="T261" s="494"/>
      <c r="U261" s="494"/>
      <c r="V261" s="494"/>
      <c r="W261" s="494"/>
      <c r="X261" s="494"/>
      <c r="Y261" s="494"/>
      <c r="Z261" s="491"/>
      <c r="AA261" s="494"/>
      <c r="AB261" s="494"/>
      <c r="AC261" s="494"/>
      <c r="AD261" s="494"/>
      <c r="AE261" s="494"/>
      <c r="AF261" s="494"/>
      <c r="AG261" s="494"/>
      <c r="AH261" s="494"/>
      <c r="AI261" s="494"/>
      <c r="AJ261" s="494"/>
      <c r="AK261" s="494"/>
      <c r="AL261" s="491"/>
      <c r="AM261" s="491"/>
      <c r="AN261" s="493"/>
      <c r="AO261" s="494"/>
      <c r="AP261" s="491"/>
      <c r="AQ261" s="491"/>
      <c r="AR261" s="493"/>
      <c r="AS261" s="494"/>
      <c r="AT261" s="491"/>
      <c r="AU261" s="491"/>
      <c r="AV261" s="493"/>
      <c r="AW261" s="424">
        <f>AW260</f>
        <v>0</v>
      </c>
    </row>
    <row r="262" spans="1:49" s="424" customFormat="1" ht="13.5" customHeight="1" outlineLevel="1">
      <c r="A262" s="1947"/>
      <c r="B262" s="1949"/>
      <c r="C262" s="461" t="s">
        <v>682</v>
      </c>
      <c r="D262" s="466">
        <f t="shared" si="191"/>
        <v>0</v>
      </c>
      <c r="E262" s="382">
        <f>E261*'9.项目开发计划表'!$G$38</f>
        <v>0</v>
      </c>
      <c r="F262" s="397">
        <f>F261*'9.项目开发计划表'!$G$38</f>
        <v>0</v>
      </c>
      <c r="G262" s="397">
        <f>G261*'9.项目开发计划表'!$G$38</f>
        <v>0</v>
      </c>
      <c r="H262" s="467">
        <f>H261*'9.项目开发计划表'!$G$38</f>
        <v>0</v>
      </c>
      <c r="I262" s="382">
        <f>I261*'9.项目开发计划表'!$G$38</f>
        <v>0</v>
      </c>
      <c r="J262" s="397">
        <f>J261*'9.项目开发计划表'!$G$38</f>
        <v>0</v>
      </c>
      <c r="K262" s="397">
        <f>K261*'9.项目开发计划表'!$G$38</f>
        <v>0</v>
      </c>
      <c r="L262" s="467">
        <f>L261*'9.项目开发计划表'!$G$38</f>
        <v>0</v>
      </c>
      <c r="M262" s="382">
        <f>M261*'9.项目开发计划表'!$G$38</f>
        <v>0</v>
      </c>
      <c r="N262" s="397">
        <f>N261*'9.项目开发计划表'!$G$38</f>
        <v>0</v>
      </c>
      <c r="O262" s="397">
        <f>O261*'9.项目开发计划表'!$G$38</f>
        <v>0</v>
      </c>
      <c r="P262" s="467">
        <f>P261*'9.项目开发计划表'!$G$38</f>
        <v>0</v>
      </c>
      <c r="Q262" s="382">
        <f>Q261*'9.项目开发计划表'!$G$38</f>
        <v>0</v>
      </c>
      <c r="R262" s="397">
        <f>R261*'9.项目开发计划表'!$G$38</f>
        <v>0</v>
      </c>
      <c r="S262" s="397">
        <f>S261*'9.项目开发计划表'!$G$38</f>
        <v>0</v>
      </c>
      <c r="T262" s="467">
        <f>T261*'9.项目开发计划表'!$G$38</f>
        <v>0</v>
      </c>
      <c r="U262" s="382">
        <f>U261*'9.项目开发计划表'!$G$38</f>
        <v>0</v>
      </c>
      <c r="V262" s="397">
        <f>V261*'9.项目开发计划表'!$G$38</f>
        <v>0</v>
      </c>
      <c r="W262" s="397">
        <f>W261*'9.项目开发计划表'!$G$38</f>
        <v>0</v>
      </c>
      <c r="X262" s="467">
        <f>X261*'9.项目开发计划表'!$G$38</f>
        <v>0</v>
      </c>
      <c r="Y262" s="382">
        <f>Y261*'9.项目开发计划表'!$G$38</f>
        <v>0</v>
      </c>
      <c r="Z262" s="397">
        <f>Z261*'9.项目开发计划表'!$G$38</f>
        <v>0</v>
      </c>
      <c r="AA262" s="397">
        <f>AA261*'9.项目开发计划表'!$G$38</f>
        <v>0</v>
      </c>
      <c r="AB262" s="467">
        <f>AB261*'9.项目开发计划表'!$G$38</f>
        <v>0</v>
      </c>
      <c r="AC262" s="382">
        <f>AC261*'9.项目开发计划表'!$G$38</f>
        <v>0</v>
      </c>
      <c r="AD262" s="397">
        <f>AD261*'9.项目开发计划表'!$G$38</f>
        <v>0</v>
      </c>
      <c r="AE262" s="397">
        <f>AE261*'9.项目开发计划表'!$G$38</f>
        <v>0</v>
      </c>
      <c r="AF262" s="467">
        <f>AF261*'9.项目开发计划表'!$G$38</f>
        <v>0</v>
      </c>
      <c r="AG262" s="382">
        <f>AG261*'9.项目开发计划表'!$G$38</f>
        <v>0</v>
      </c>
      <c r="AH262" s="397">
        <f>AH261*'9.项目开发计划表'!$G$38</f>
        <v>0</v>
      </c>
      <c r="AI262" s="397">
        <f>AI261*'9.项目开发计划表'!$G$38</f>
        <v>0</v>
      </c>
      <c r="AJ262" s="467">
        <f>AJ261*'9.项目开发计划表'!$G$38</f>
        <v>0</v>
      </c>
      <c r="AK262" s="382">
        <f>AK261*'9.项目开发计划表'!$G$38</f>
        <v>0</v>
      </c>
      <c r="AL262" s="397">
        <f>AL261*'9.项目开发计划表'!$G$38</f>
        <v>0</v>
      </c>
      <c r="AM262" s="397">
        <f>AM261*'9.项目开发计划表'!$G$38</f>
        <v>0</v>
      </c>
      <c r="AN262" s="467">
        <f>AN261*'9.项目开发计划表'!$G$38</f>
        <v>0</v>
      </c>
      <c r="AO262" s="382">
        <f>AO261*'9.项目开发计划表'!$G$38</f>
        <v>0</v>
      </c>
      <c r="AP262" s="397">
        <f>AP261*'9.项目开发计划表'!$G$38</f>
        <v>0</v>
      </c>
      <c r="AQ262" s="397">
        <f>AQ261*'9.项目开发计划表'!$G$38</f>
        <v>0</v>
      </c>
      <c r="AR262" s="467">
        <f>AR261*'9.项目开发计划表'!$G$38</f>
        <v>0</v>
      </c>
      <c r="AS262" s="382">
        <f>AS261*'9.项目开发计划表'!$G$38</f>
        <v>0</v>
      </c>
      <c r="AT262" s="397">
        <f>AT261*'9.项目开发计划表'!$G$38</f>
        <v>0</v>
      </c>
      <c r="AU262" s="397">
        <f>AU261*'9.项目开发计划表'!$G$38</f>
        <v>0</v>
      </c>
      <c r="AV262" s="467">
        <f>AV261*'9.项目开发计划表'!$G$38</f>
        <v>0</v>
      </c>
      <c r="AW262" s="424">
        <f t="shared" si="179"/>
        <v>0</v>
      </c>
    </row>
    <row r="263" spans="1:49" s="424" customFormat="1" ht="13.5" customHeight="1" outlineLevel="1">
      <c r="A263" s="1947"/>
      <c r="B263" s="1949"/>
      <c r="C263" s="461" t="s">
        <v>882</v>
      </c>
      <c r="D263" s="466">
        <f t="shared" si="191"/>
        <v>0</v>
      </c>
      <c r="E263" s="382">
        <f t="shared" ref="E263:AV263" si="192">E260*E262/10000</f>
        <v>0</v>
      </c>
      <c r="F263" s="397">
        <f t="shared" si="192"/>
        <v>0</v>
      </c>
      <c r="G263" s="397">
        <f t="shared" si="192"/>
        <v>0</v>
      </c>
      <c r="H263" s="467">
        <f t="shared" si="192"/>
        <v>0</v>
      </c>
      <c r="I263" s="382">
        <f t="shared" si="192"/>
        <v>0</v>
      </c>
      <c r="J263" s="397">
        <f t="shared" si="192"/>
        <v>0</v>
      </c>
      <c r="K263" s="397">
        <f t="shared" si="192"/>
        <v>0</v>
      </c>
      <c r="L263" s="467">
        <f t="shared" si="192"/>
        <v>0</v>
      </c>
      <c r="M263" s="382">
        <f t="shared" si="192"/>
        <v>0</v>
      </c>
      <c r="N263" s="397">
        <f t="shared" si="192"/>
        <v>0</v>
      </c>
      <c r="O263" s="397">
        <f t="shared" si="192"/>
        <v>0</v>
      </c>
      <c r="P263" s="467">
        <f t="shared" si="192"/>
        <v>0</v>
      </c>
      <c r="Q263" s="382">
        <f t="shared" si="192"/>
        <v>0</v>
      </c>
      <c r="R263" s="397">
        <f t="shared" si="192"/>
        <v>0</v>
      </c>
      <c r="S263" s="397">
        <f t="shared" si="192"/>
        <v>0</v>
      </c>
      <c r="T263" s="467">
        <f t="shared" si="192"/>
        <v>0</v>
      </c>
      <c r="U263" s="382">
        <f t="shared" si="192"/>
        <v>0</v>
      </c>
      <c r="V263" s="397">
        <f t="shared" si="192"/>
        <v>0</v>
      </c>
      <c r="W263" s="397">
        <f t="shared" si="192"/>
        <v>0</v>
      </c>
      <c r="X263" s="467">
        <f t="shared" si="192"/>
        <v>0</v>
      </c>
      <c r="Y263" s="382">
        <f t="shared" si="192"/>
        <v>0</v>
      </c>
      <c r="Z263" s="397">
        <f t="shared" si="192"/>
        <v>0</v>
      </c>
      <c r="AA263" s="397">
        <f t="shared" si="192"/>
        <v>0</v>
      </c>
      <c r="AB263" s="467">
        <f t="shared" si="192"/>
        <v>0</v>
      </c>
      <c r="AC263" s="382">
        <f t="shared" si="192"/>
        <v>0</v>
      </c>
      <c r="AD263" s="397">
        <f t="shared" si="192"/>
        <v>0</v>
      </c>
      <c r="AE263" s="397">
        <f t="shared" si="192"/>
        <v>0</v>
      </c>
      <c r="AF263" s="467">
        <f t="shared" si="192"/>
        <v>0</v>
      </c>
      <c r="AG263" s="382">
        <f t="shared" si="192"/>
        <v>0</v>
      </c>
      <c r="AH263" s="397">
        <f t="shared" si="192"/>
        <v>0</v>
      </c>
      <c r="AI263" s="397">
        <f t="shared" si="192"/>
        <v>0</v>
      </c>
      <c r="AJ263" s="467">
        <f t="shared" si="192"/>
        <v>0</v>
      </c>
      <c r="AK263" s="382">
        <f t="shared" si="192"/>
        <v>0</v>
      </c>
      <c r="AL263" s="397">
        <f t="shared" si="192"/>
        <v>0</v>
      </c>
      <c r="AM263" s="397">
        <f t="shared" si="192"/>
        <v>0</v>
      </c>
      <c r="AN263" s="467">
        <f t="shared" si="192"/>
        <v>0</v>
      </c>
      <c r="AO263" s="382">
        <f t="shared" si="192"/>
        <v>0</v>
      </c>
      <c r="AP263" s="397">
        <f t="shared" si="192"/>
        <v>0</v>
      </c>
      <c r="AQ263" s="397">
        <f t="shared" si="192"/>
        <v>0</v>
      </c>
      <c r="AR263" s="467">
        <f t="shared" si="192"/>
        <v>0</v>
      </c>
      <c r="AS263" s="382">
        <f t="shared" si="192"/>
        <v>0</v>
      </c>
      <c r="AT263" s="397">
        <f t="shared" si="192"/>
        <v>0</v>
      </c>
      <c r="AU263" s="397">
        <f t="shared" si="192"/>
        <v>0</v>
      </c>
      <c r="AV263" s="467">
        <f t="shared" si="192"/>
        <v>0</v>
      </c>
      <c r="AW263" s="424">
        <f t="shared" si="179"/>
        <v>0</v>
      </c>
    </row>
    <row r="264" spans="1:49" s="424" customFormat="1" ht="13.5" customHeight="1" outlineLevel="1">
      <c r="A264" s="1947"/>
      <c r="B264" s="1949"/>
      <c r="C264" s="508" t="s">
        <v>450</v>
      </c>
      <c r="D264" s="468">
        <f t="shared" si="191"/>
        <v>0</v>
      </c>
      <c r="E264" s="386">
        <f>SUMIF($I$1:$T$1,B260,$I$2:$T$2)*E263</f>
        <v>0</v>
      </c>
      <c r="F264" s="399">
        <f>(1-SUMIF($I$1:$T$1,B260,$I$2:$T$2))*E263+SUMIF($I$1:$T$1,B260,$I$2:$T$2)*F263</f>
        <v>0</v>
      </c>
      <c r="G264" s="399">
        <f>(1-SUMIF($I$1:$T$1,B260,$I$2:$T$2))*F263+SUMIF($I$1:$T$1,B260,$I$2:$T$2)*G263</f>
        <v>0</v>
      </c>
      <c r="H264" s="404">
        <f>(1-SUMIF($I$1:$T$1,B260,$I$2:$T$2))*G263+SUMIF($I$1:$T$1,B260,$I$2:$T$2)*H263</f>
        <v>0</v>
      </c>
      <c r="I264" s="386">
        <f>(1-SUMIF($I$1:$T$1,B260,$I$2:$T$2))*H263+SUMIF($I$1:$T$1,B260,$I$2:$T$2)*I263</f>
        <v>0</v>
      </c>
      <c r="J264" s="399">
        <f>(1-SUMIF($I$1:$T$1,B260,$I$2:$T$2))*I263+SUMIF($I$1:$T$1,B260,$I$2:$T$2)*J263</f>
        <v>0</v>
      </c>
      <c r="K264" s="399">
        <f>(1-SUMIF($I$1:$T$1,B260,$I$2:$T$2))*J263+SUMIF($I$1:$T$1,B260,$I$2:$T$2)*K263</f>
        <v>0</v>
      </c>
      <c r="L264" s="404">
        <f>(1-SUMIF($I$1:$T$1,B260,$I$2:$T$2))*K263+SUMIF($I$1:$T$1,B260,$I$2:$T$2)*L263</f>
        <v>0</v>
      </c>
      <c r="M264" s="386">
        <f>(1-SUMIF($I$1:$T$1,B260,$I$2:$T$2))*L263+SUMIF($I$1:$T$1,B260,$I$2:$T$2)*M263</f>
        <v>0</v>
      </c>
      <c r="N264" s="399">
        <f>(1-SUMIF($I$1:$T$1,B260,$I$2:$T$2))*M263+SUMIF($I$1:$T$1,B260,$I$2:$T$2)*N263</f>
        <v>0</v>
      </c>
      <c r="O264" s="399">
        <f>(1-SUMIF($I$1:$T$1,B260,$I$2:$T$2))*N263+SUMIF($I$1:$T$1,B260,$I$2:$T$2)*O263</f>
        <v>0</v>
      </c>
      <c r="P264" s="404">
        <f>(1-SUMIF($I$1:$T$1,B260,$I$2:$T$2))*O263+SUMIF($I$1:$T$1,B260,$I$2:$T$2)*P263</f>
        <v>0</v>
      </c>
      <c r="Q264" s="386">
        <f>(1-SUMIF($I$1:$T$1,B260,$I$2:$T$2))*P263+SUMIF($I$1:$T$1,B260,$I$2:$T$2)*Q263</f>
        <v>0</v>
      </c>
      <c r="R264" s="399">
        <f>(1-SUMIF($I$1:$T$1,B260,$I$2:$T$2))*Q263+SUMIF($I$1:$T$1,B260,$I$2:$T$2)*R263</f>
        <v>0</v>
      </c>
      <c r="S264" s="399">
        <f>(1-SUMIF($I$1:$T$1,B260,$I$2:$T$2))*R263+SUMIF($I$1:$T$1,B260,$I$2:$T$2)*S263</f>
        <v>0</v>
      </c>
      <c r="T264" s="404">
        <f>(1-SUMIF($I$1:$T$1,B260,$I$2:$T$2))*S263+SUMIF($I$1:$T$1,B260,$I$2:$T$2)*T263</f>
        <v>0</v>
      </c>
      <c r="U264" s="386">
        <f>(1-SUMIF($I$1:$T$1,B260,$I$2:$T$2))*T263+SUMIF($I$1:$T$1,B260,$I$2:$T$2)*U263</f>
        <v>0</v>
      </c>
      <c r="V264" s="399">
        <f>(1-SUMIF($I$1:$T$1,B260,$I$2:$T$2))*U263+SUMIF($I$1:$T$1,B260,$I$2:$T$2)*V263</f>
        <v>0</v>
      </c>
      <c r="W264" s="399">
        <f>(1-SUMIF($I$1:$T$1,B260,$I$2:$T$2))*V263+SUMIF($I$1:$T$1,B260,$I$2:$T$2)*W263</f>
        <v>0</v>
      </c>
      <c r="X264" s="404">
        <f>(1-SUMIF($I$1:$T$1,B260,$I$2:$T$2))*W263+SUMIF($I$1:$T$1,B260,$I$2:$T$2)*X263</f>
        <v>0</v>
      </c>
      <c r="Y264" s="386">
        <f>(1-SUMIF($I$1:$T$1,B260,$I$2:$T$2))*X263+SUMIF($I$1:$T$1,B260,$I$2:$T$2)*Y263</f>
        <v>0</v>
      </c>
      <c r="Z264" s="399">
        <f>(1-SUMIF($I$1:$T$1,B260,$I$2:$T$2))*Y263+SUMIF($I$1:$T$1,B260,$I$2:$T$2)*Z263</f>
        <v>0</v>
      </c>
      <c r="AA264" s="399">
        <f>(1-SUMIF($I$1:$T$1,B260,$I$2:$T$2))*Z263+SUMIF($I$1:$T$1,B260,$I$2:$T$2)*AA263</f>
        <v>0</v>
      </c>
      <c r="AB264" s="404">
        <f>(1-SUMIF($I$1:$T$1,B260,$I$2:$T$2))*AA263+SUMIF($I$1:$T$1,B260,$I$2:$T$2)*AB263</f>
        <v>0</v>
      </c>
      <c r="AC264" s="386">
        <f>(1-SUMIF($I$1:$T$1,B260,$I$2:$T$2))*AB263+SUMIF($I$1:$T$1,B260,$I$2:$T$2)*AC263</f>
        <v>0</v>
      </c>
      <c r="AD264" s="399">
        <f>(1-SUMIF($I$1:$T$1,B260,$I$2:$T$2))*AC263+SUMIF($I$1:$T$1,B260,$I$2:$T$2)*AD263</f>
        <v>0</v>
      </c>
      <c r="AE264" s="399">
        <f>(1-SUMIF($I$1:$T$1,B260,$I$2:$T$2))*AD263+SUMIF($I$1:$T$1,B260,$I$2:$T$2)*AE263</f>
        <v>0</v>
      </c>
      <c r="AF264" s="404">
        <f>(1-SUMIF($I$1:$T$1,B260,$I$2:$T$2))*AE263+SUMIF($I$1:$T$1,B260,$I$2:$T$2)*AF263</f>
        <v>0</v>
      </c>
      <c r="AG264" s="386">
        <f>(1-SUMIF($I$1:$T$1,B260,$I$2:$T$2))*AF263+SUMIF($I$1:$T$1,B260,$I$2:$T$2)*AG263</f>
        <v>0</v>
      </c>
      <c r="AH264" s="399">
        <f>(1-SUMIF($I$1:$T$1,B260,$I$2:$T$2))*AG263+SUMIF($I$1:$T$1,B260,$I$2:$T$2)*AH263</f>
        <v>0</v>
      </c>
      <c r="AI264" s="399">
        <f>(1-SUMIF($I$1:$T$1,B260,$I$2:$T$2))*AH263+SUMIF($I$1:$T$1,B260,$I$2:$T$2)*AI263</f>
        <v>0</v>
      </c>
      <c r="AJ264" s="404">
        <f>(1-SUMIF($I$1:$T$1,B260,$I$2:$T$2))*AI263+SUMIF($I$1:$T$1,B260,$I$2:$T$2)*AJ263</f>
        <v>0</v>
      </c>
      <c r="AK264" s="386">
        <f>(1-SUMIF($I$1:$T$1,B260,$I$2:$T$2))*AJ263+SUMIF($I$1:$T$1,B260,$I$2:$T$2)*AK263</f>
        <v>0</v>
      </c>
      <c r="AL264" s="399">
        <f>(1-SUMIF($I$1:$T$1,B260,$I$2:$T$2))*AK263+SUMIF($I$1:$T$1,B260,$I$2:$T$2)*AL263</f>
        <v>0</v>
      </c>
      <c r="AM264" s="399">
        <f>(1-SUMIF($I$1:$T$1,B260,$I$2:$T$2))*AL263+SUMIF($I$1:$T$1,B260,$I$2:$T$2)*AM263</f>
        <v>0</v>
      </c>
      <c r="AN264" s="404">
        <f>(1-SUMIF($I$1:$T$1,B260,$I$2:$T$2))*AM263+SUMIF($I$1:$T$1,B260,$I$2:$T$2)*AN263</f>
        <v>0</v>
      </c>
      <c r="AO264" s="386">
        <f>(1-SUMIF($I$1:$T$1,B260,$I$2:$T$2))*AN263+SUMIF($I$1:$T$1,B260,$I$2:$T$2)*AO263</f>
        <v>0</v>
      </c>
      <c r="AP264" s="399">
        <f>(1-SUMIF($I$1:$T$1,B260,$I$2:$T$2))*AO263+SUMIF($I$1:$T$1,B260,$I$2:$T$2)*AP263</f>
        <v>0</v>
      </c>
      <c r="AQ264" s="399">
        <f>(1-SUMIF($I$1:$T$1,B260,$I$2:$T$2))*AP263+SUMIF($I$1:$T$1,B260,$I$2:$T$2)*AQ263</f>
        <v>0</v>
      </c>
      <c r="AR264" s="404">
        <f>(1-SUMIF($I$1:$T$1,B260,$I$2:$T$2))*AQ263+SUMIF($I$1:$T$1,B260,$I$2:$T$2)*AR263</f>
        <v>0</v>
      </c>
      <c r="AS264" s="386">
        <f>(1-SUMIF($I$1:$T$1,B260,$I$2:$T$2))*AR263+SUMIF($I$1:$T$1,B260,$I$2:$T$2)*AS263</f>
        <v>0</v>
      </c>
      <c r="AT264" s="399">
        <f>(1-SUMIF($I$1:$T$1,B260,$I$2:$T$2))*AS263+SUMIF($I$1:$T$1,B260,$I$2:$T$2)*AT263</f>
        <v>0</v>
      </c>
      <c r="AU264" s="399">
        <f>(1-SUMIF($I$1:$T$1,B260,$I$2:$T$2))*AT263+SUMIF($I$1:$T$1,B260,$I$2:$T$2)*AU263</f>
        <v>0</v>
      </c>
      <c r="AV264" s="404">
        <f>(1-SUMIF($I$1:$T$1,B260,$I$2:$T$2))*AU263+SUMIF($I$1:$T$1,B260,$I$2:$T$2)*AV263</f>
        <v>0</v>
      </c>
      <c r="AW264" s="424">
        <f t="shared" si="179"/>
        <v>0</v>
      </c>
    </row>
    <row r="265" spans="1:49" s="424" customFormat="1" ht="13.5" customHeight="1" outlineLevel="1">
      <c r="A265" s="1947"/>
      <c r="B265" s="1949">
        <f>'9.项目开发计划表'!C39</f>
        <v>0</v>
      </c>
      <c r="C265" s="456" t="s">
        <v>880</v>
      </c>
      <c r="D265" s="457">
        <f>IF(D267=0,0,D268/D267*10000)</f>
        <v>0</v>
      </c>
      <c r="E265" s="505"/>
      <c r="F265" s="506"/>
      <c r="G265" s="506"/>
      <c r="H265" s="507"/>
      <c r="I265" s="505"/>
      <c r="J265" s="506"/>
      <c r="K265" s="506"/>
      <c r="L265" s="507"/>
      <c r="M265" s="505"/>
      <c r="N265" s="506"/>
      <c r="O265" s="506"/>
      <c r="P265" s="507"/>
      <c r="Q265" s="505"/>
      <c r="R265" s="506"/>
      <c r="S265" s="506"/>
      <c r="T265" s="507"/>
      <c r="U265" s="505"/>
      <c r="V265" s="506"/>
      <c r="W265" s="506"/>
      <c r="X265" s="507"/>
      <c r="Y265" s="505"/>
      <c r="Z265" s="506"/>
      <c r="AA265" s="506"/>
      <c r="AB265" s="507"/>
      <c r="AC265" s="505"/>
      <c r="AD265" s="506"/>
      <c r="AE265" s="506"/>
      <c r="AF265" s="507"/>
      <c r="AG265" s="505"/>
      <c r="AH265" s="506"/>
      <c r="AI265" s="506"/>
      <c r="AJ265" s="507"/>
      <c r="AK265" s="505"/>
      <c r="AL265" s="506"/>
      <c r="AM265" s="506"/>
      <c r="AN265" s="507"/>
      <c r="AO265" s="505"/>
      <c r="AP265" s="506"/>
      <c r="AQ265" s="506"/>
      <c r="AR265" s="507"/>
      <c r="AS265" s="505"/>
      <c r="AT265" s="506"/>
      <c r="AU265" s="506"/>
      <c r="AV265" s="507"/>
      <c r="AW265" s="424">
        <f>B265</f>
        <v>0</v>
      </c>
    </row>
    <row r="266" spans="1:49" ht="13.5" customHeight="1" outlineLevel="1">
      <c r="A266" s="1947"/>
      <c r="B266" s="1949"/>
      <c r="C266" s="461" t="s">
        <v>881</v>
      </c>
      <c r="D266" s="462">
        <f t="shared" ref="D266:D269" si="193">SUM(E266:AV266)</f>
        <v>0</v>
      </c>
      <c r="E266" s="494"/>
      <c r="F266" s="491"/>
      <c r="G266" s="491"/>
      <c r="H266" s="493"/>
      <c r="I266" s="494"/>
      <c r="J266" s="491"/>
      <c r="K266" s="491"/>
      <c r="L266" s="493"/>
      <c r="M266" s="494"/>
      <c r="N266" s="491"/>
      <c r="O266" s="491"/>
      <c r="P266" s="493"/>
      <c r="Q266" s="494"/>
      <c r="R266" s="491"/>
      <c r="S266" s="491"/>
      <c r="T266" s="493"/>
      <c r="U266" s="494"/>
      <c r="V266" s="491"/>
      <c r="W266" s="491"/>
      <c r="X266" s="493"/>
      <c r="Y266" s="494"/>
      <c r="Z266" s="491"/>
      <c r="AA266" s="491"/>
      <c r="AB266" s="493"/>
      <c r="AC266" s="494"/>
      <c r="AD266" s="491"/>
      <c r="AE266" s="491"/>
      <c r="AF266" s="493"/>
      <c r="AG266" s="494"/>
      <c r="AH266" s="491"/>
      <c r="AI266" s="491"/>
      <c r="AJ266" s="493"/>
      <c r="AK266" s="494"/>
      <c r="AL266" s="491"/>
      <c r="AM266" s="491"/>
      <c r="AN266" s="493"/>
      <c r="AO266" s="494"/>
      <c r="AP266" s="491"/>
      <c r="AQ266" s="491"/>
      <c r="AR266" s="493"/>
      <c r="AS266" s="494"/>
      <c r="AT266" s="491"/>
      <c r="AU266" s="491"/>
      <c r="AV266" s="493"/>
      <c r="AW266" s="424">
        <f>AW265</f>
        <v>0</v>
      </c>
    </row>
    <row r="267" spans="1:49" s="424" customFormat="1" ht="13.5" customHeight="1" outlineLevel="1">
      <c r="A267" s="1947"/>
      <c r="B267" s="1949"/>
      <c r="C267" s="461" t="s">
        <v>682</v>
      </c>
      <c r="D267" s="466">
        <f t="shared" si="193"/>
        <v>0</v>
      </c>
      <c r="E267" s="382">
        <f>E266*'9.项目开发计划表'!$G$39</f>
        <v>0</v>
      </c>
      <c r="F267" s="397">
        <f>F266*'9.项目开发计划表'!$G$39</f>
        <v>0</v>
      </c>
      <c r="G267" s="397">
        <f>G266*'9.项目开发计划表'!$G$39</f>
        <v>0</v>
      </c>
      <c r="H267" s="467">
        <f>H266*'9.项目开发计划表'!$G$39</f>
        <v>0</v>
      </c>
      <c r="I267" s="382">
        <f>I266*'9.项目开发计划表'!$G$39</f>
        <v>0</v>
      </c>
      <c r="J267" s="397">
        <f>J266*'9.项目开发计划表'!$G$39</f>
        <v>0</v>
      </c>
      <c r="K267" s="397">
        <f>K266*'9.项目开发计划表'!$G$39</f>
        <v>0</v>
      </c>
      <c r="L267" s="467">
        <f>L266*'9.项目开发计划表'!$G$39</f>
        <v>0</v>
      </c>
      <c r="M267" s="382">
        <f>M266*'9.项目开发计划表'!$G$39</f>
        <v>0</v>
      </c>
      <c r="N267" s="397">
        <f>N266*'9.项目开发计划表'!$G$39</f>
        <v>0</v>
      </c>
      <c r="O267" s="397">
        <f>O266*'9.项目开发计划表'!$G$39</f>
        <v>0</v>
      </c>
      <c r="P267" s="467">
        <f>P266*'9.项目开发计划表'!$G$39</f>
        <v>0</v>
      </c>
      <c r="Q267" s="382">
        <f>Q266*'9.项目开发计划表'!$G$39</f>
        <v>0</v>
      </c>
      <c r="R267" s="397">
        <f>R266*'9.项目开发计划表'!$G$39</f>
        <v>0</v>
      </c>
      <c r="S267" s="397">
        <f>S266*'9.项目开发计划表'!$G$39</f>
        <v>0</v>
      </c>
      <c r="T267" s="467">
        <f>T266*'9.项目开发计划表'!$G$39</f>
        <v>0</v>
      </c>
      <c r="U267" s="382">
        <f>U266*'9.项目开发计划表'!$G$39</f>
        <v>0</v>
      </c>
      <c r="V267" s="397">
        <f>V266*'9.项目开发计划表'!$G$39</f>
        <v>0</v>
      </c>
      <c r="W267" s="397">
        <f>W266*'9.项目开发计划表'!$G$39</f>
        <v>0</v>
      </c>
      <c r="X267" s="467">
        <f>X266*'9.项目开发计划表'!$G$39</f>
        <v>0</v>
      </c>
      <c r="Y267" s="382">
        <f>Y266*'9.项目开发计划表'!$G$39</f>
        <v>0</v>
      </c>
      <c r="Z267" s="397">
        <f>Z266*'9.项目开发计划表'!$G$39</f>
        <v>0</v>
      </c>
      <c r="AA267" s="397">
        <f>AA266*'9.项目开发计划表'!$G$39</f>
        <v>0</v>
      </c>
      <c r="AB267" s="467">
        <f>AB266*'9.项目开发计划表'!$G$39</f>
        <v>0</v>
      </c>
      <c r="AC267" s="382">
        <f>AC266*'9.项目开发计划表'!$G$39</f>
        <v>0</v>
      </c>
      <c r="AD267" s="397">
        <f>AD266*'9.项目开发计划表'!$G$39</f>
        <v>0</v>
      </c>
      <c r="AE267" s="397">
        <f>AE266*'9.项目开发计划表'!$G$39</f>
        <v>0</v>
      </c>
      <c r="AF267" s="467">
        <f>AF266*'9.项目开发计划表'!$G$39</f>
        <v>0</v>
      </c>
      <c r="AG267" s="382">
        <f>AG266*'9.项目开发计划表'!$G$39</f>
        <v>0</v>
      </c>
      <c r="AH267" s="397">
        <f>AH266*'9.项目开发计划表'!$G$39</f>
        <v>0</v>
      </c>
      <c r="AI267" s="397">
        <f>AI266*'9.项目开发计划表'!$G$39</f>
        <v>0</v>
      </c>
      <c r="AJ267" s="467">
        <f>AJ266*'9.项目开发计划表'!$G$39</f>
        <v>0</v>
      </c>
      <c r="AK267" s="382">
        <f>AK266*'9.项目开发计划表'!$G$39</f>
        <v>0</v>
      </c>
      <c r="AL267" s="397">
        <f>AL266*'9.项目开发计划表'!$G$39</f>
        <v>0</v>
      </c>
      <c r="AM267" s="397">
        <f>AM266*'9.项目开发计划表'!$G$39</f>
        <v>0</v>
      </c>
      <c r="AN267" s="467">
        <f>AN266*'9.项目开发计划表'!$G$39</f>
        <v>0</v>
      </c>
      <c r="AO267" s="382">
        <f>AO266*'9.项目开发计划表'!$G$39</f>
        <v>0</v>
      </c>
      <c r="AP267" s="397">
        <f>AP266*'9.项目开发计划表'!$G$39</f>
        <v>0</v>
      </c>
      <c r="AQ267" s="397">
        <f>AQ266*'9.项目开发计划表'!$G$39</f>
        <v>0</v>
      </c>
      <c r="AR267" s="467">
        <f>AR266*'9.项目开发计划表'!$G$39</f>
        <v>0</v>
      </c>
      <c r="AS267" s="382">
        <f>AS266*'9.项目开发计划表'!$G$39</f>
        <v>0</v>
      </c>
      <c r="AT267" s="397">
        <f>AT266*'9.项目开发计划表'!$G$39</f>
        <v>0</v>
      </c>
      <c r="AU267" s="397">
        <f>AU266*'9.项目开发计划表'!$G$39</f>
        <v>0</v>
      </c>
      <c r="AV267" s="467">
        <f>AV266*'9.项目开发计划表'!$G$39</f>
        <v>0</v>
      </c>
      <c r="AW267" s="424">
        <f t="shared" si="179"/>
        <v>0</v>
      </c>
    </row>
    <row r="268" spans="1:49" s="424" customFormat="1" ht="13.5" customHeight="1" outlineLevel="1">
      <c r="A268" s="1947"/>
      <c r="B268" s="1949"/>
      <c r="C268" s="461" t="s">
        <v>882</v>
      </c>
      <c r="D268" s="466">
        <f t="shared" si="193"/>
        <v>0</v>
      </c>
      <c r="E268" s="382">
        <f t="shared" ref="E268:AV268" si="194">E265*E267/10000</f>
        <v>0</v>
      </c>
      <c r="F268" s="397">
        <f t="shared" si="194"/>
        <v>0</v>
      </c>
      <c r="G268" s="397">
        <f t="shared" si="194"/>
        <v>0</v>
      </c>
      <c r="H268" s="467">
        <f t="shared" si="194"/>
        <v>0</v>
      </c>
      <c r="I268" s="382">
        <f t="shared" si="194"/>
        <v>0</v>
      </c>
      <c r="J268" s="397">
        <f t="shared" si="194"/>
        <v>0</v>
      </c>
      <c r="K268" s="397">
        <f t="shared" si="194"/>
        <v>0</v>
      </c>
      <c r="L268" s="467">
        <f t="shared" si="194"/>
        <v>0</v>
      </c>
      <c r="M268" s="382">
        <f t="shared" si="194"/>
        <v>0</v>
      </c>
      <c r="N268" s="397">
        <f t="shared" si="194"/>
        <v>0</v>
      </c>
      <c r="O268" s="397">
        <f t="shared" si="194"/>
        <v>0</v>
      </c>
      <c r="P268" s="467">
        <f t="shared" si="194"/>
        <v>0</v>
      </c>
      <c r="Q268" s="382">
        <f t="shared" si="194"/>
        <v>0</v>
      </c>
      <c r="R268" s="397">
        <f t="shared" si="194"/>
        <v>0</v>
      </c>
      <c r="S268" s="397">
        <f t="shared" si="194"/>
        <v>0</v>
      </c>
      <c r="T268" s="467">
        <f t="shared" si="194"/>
        <v>0</v>
      </c>
      <c r="U268" s="382">
        <f t="shared" si="194"/>
        <v>0</v>
      </c>
      <c r="V268" s="397">
        <f t="shared" si="194"/>
        <v>0</v>
      </c>
      <c r="W268" s="397">
        <f t="shared" si="194"/>
        <v>0</v>
      </c>
      <c r="X268" s="467">
        <f t="shared" si="194"/>
        <v>0</v>
      </c>
      <c r="Y268" s="382">
        <f t="shared" si="194"/>
        <v>0</v>
      </c>
      <c r="Z268" s="397">
        <f t="shared" si="194"/>
        <v>0</v>
      </c>
      <c r="AA268" s="397">
        <f t="shared" si="194"/>
        <v>0</v>
      </c>
      <c r="AB268" s="467">
        <f t="shared" si="194"/>
        <v>0</v>
      </c>
      <c r="AC268" s="382">
        <f t="shared" si="194"/>
        <v>0</v>
      </c>
      <c r="AD268" s="397">
        <f t="shared" si="194"/>
        <v>0</v>
      </c>
      <c r="AE268" s="397">
        <f t="shared" si="194"/>
        <v>0</v>
      </c>
      <c r="AF268" s="467">
        <f t="shared" si="194"/>
        <v>0</v>
      </c>
      <c r="AG268" s="382">
        <f t="shared" si="194"/>
        <v>0</v>
      </c>
      <c r="AH268" s="397">
        <f t="shared" si="194"/>
        <v>0</v>
      </c>
      <c r="AI268" s="397">
        <f t="shared" si="194"/>
        <v>0</v>
      </c>
      <c r="AJ268" s="467">
        <f t="shared" si="194"/>
        <v>0</v>
      </c>
      <c r="AK268" s="382">
        <f t="shared" si="194"/>
        <v>0</v>
      </c>
      <c r="AL268" s="397">
        <f t="shared" si="194"/>
        <v>0</v>
      </c>
      <c r="AM268" s="397">
        <f t="shared" si="194"/>
        <v>0</v>
      </c>
      <c r="AN268" s="467">
        <f t="shared" si="194"/>
        <v>0</v>
      </c>
      <c r="AO268" s="382">
        <f t="shared" si="194"/>
        <v>0</v>
      </c>
      <c r="AP268" s="397">
        <f t="shared" si="194"/>
        <v>0</v>
      </c>
      <c r="AQ268" s="397">
        <f t="shared" si="194"/>
        <v>0</v>
      </c>
      <c r="AR268" s="467">
        <f t="shared" si="194"/>
        <v>0</v>
      </c>
      <c r="AS268" s="382">
        <f t="shared" si="194"/>
        <v>0</v>
      </c>
      <c r="AT268" s="397">
        <f t="shared" si="194"/>
        <v>0</v>
      </c>
      <c r="AU268" s="397">
        <f t="shared" si="194"/>
        <v>0</v>
      </c>
      <c r="AV268" s="467">
        <f t="shared" si="194"/>
        <v>0</v>
      </c>
      <c r="AW268" s="424">
        <f t="shared" si="179"/>
        <v>0</v>
      </c>
    </row>
    <row r="269" spans="1:49" s="424" customFormat="1" ht="13.5" customHeight="1" outlineLevel="1">
      <c r="A269" s="1947"/>
      <c r="B269" s="1949"/>
      <c r="C269" s="508" t="s">
        <v>450</v>
      </c>
      <c r="D269" s="468">
        <f t="shared" si="193"/>
        <v>0</v>
      </c>
      <c r="E269" s="386">
        <f>SUMIF($I$1:$T$1,B265,$I$2:$T$2)*E268</f>
        <v>0</v>
      </c>
      <c r="F269" s="399">
        <f>(1-SUMIF($I$1:$T$1,B265,$I$2:$T$2))*E268+SUMIF($I$1:$T$1,B265,$I$2:$T$2)*F268</f>
        <v>0</v>
      </c>
      <c r="G269" s="399">
        <f>(1-SUMIF($I$1:$T$1,B265,$I$2:$T$2))*F268+SUMIF($I$1:$T$1,B265,$I$2:$T$2)*G268</f>
        <v>0</v>
      </c>
      <c r="H269" s="404">
        <f>(1-SUMIF($I$1:$T$1,B265,$I$2:$T$2))*G268+SUMIF($I$1:$T$1,B265,$I$2:$T$2)*H268</f>
        <v>0</v>
      </c>
      <c r="I269" s="386">
        <f>(1-SUMIF($I$1:$T$1,B265,$I$2:$T$2))*H268+SUMIF($I$1:$T$1,B265,$I$2:$T$2)*I268</f>
        <v>0</v>
      </c>
      <c r="J269" s="399">
        <f>(1-SUMIF($I$1:$T$1,B265,$I$2:$T$2))*I268+SUMIF($I$1:$T$1,B265,$I$2:$T$2)*J268</f>
        <v>0</v>
      </c>
      <c r="K269" s="399">
        <f>(1-SUMIF($I$1:$T$1,B265,$I$2:$T$2))*J268+SUMIF($I$1:$T$1,B265,$I$2:$T$2)*K268</f>
        <v>0</v>
      </c>
      <c r="L269" s="404">
        <f>(1-SUMIF($I$1:$T$1,B265,$I$2:$T$2))*K268+SUMIF($I$1:$T$1,B265,$I$2:$T$2)*L268</f>
        <v>0</v>
      </c>
      <c r="M269" s="386">
        <f>(1-SUMIF($I$1:$T$1,B265,$I$2:$T$2))*L268+SUMIF($I$1:$T$1,B265,$I$2:$T$2)*M268</f>
        <v>0</v>
      </c>
      <c r="N269" s="399">
        <f>(1-SUMIF($I$1:$T$1,B265,$I$2:$T$2))*M268+SUMIF($I$1:$T$1,B265,$I$2:$T$2)*N268</f>
        <v>0</v>
      </c>
      <c r="O269" s="399">
        <f>(1-SUMIF($I$1:$T$1,B265,$I$2:$T$2))*N268+SUMIF($I$1:$T$1,B265,$I$2:$T$2)*O268</f>
        <v>0</v>
      </c>
      <c r="P269" s="404">
        <f>(1-SUMIF($I$1:$T$1,B265,$I$2:$T$2))*O268+SUMIF($I$1:$T$1,B265,$I$2:$T$2)*P268</f>
        <v>0</v>
      </c>
      <c r="Q269" s="386">
        <f>(1-SUMIF($I$1:$T$1,B265,$I$2:$T$2))*P268+SUMIF($I$1:$T$1,B265,$I$2:$T$2)*Q268</f>
        <v>0</v>
      </c>
      <c r="R269" s="399">
        <f>(1-SUMIF($I$1:$T$1,B265,$I$2:$T$2))*Q268+SUMIF($I$1:$T$1,B265,$I$2:$T$2)*R268</f>
        <v>0</v>
      </c>
      <c r="S269" s="399">
        <f>(1-SUMIF($I$1:$T$1,B265,$I$2:$T$2))*R268+SUMIF($I$1:$T$1,B265,$I$2:$T$2)*S268</f>
        <v>0</v>
      </c>
      <c r="T269" s="404">
        <f>(1-SUMIF($I$1:$T$1,B265,$I$2:$T$2))*S268+SUMIF($I$1:$T$1,B265,$I$2:$T$2)*T268</f>
        <v>0</v>
      </c>
      <c r="U269" s="386">
        <f>(1-SUMIF($I$1:$T$1,B265,$I$2:$T$2))*T268+SUMIF($I$1:$T$1,B265,$I$2:$T$2)*U268</f>
        <v>0</v>
      </c>
      <c r="V269" s="399">
        <f>(1-SUMIF($I$1:$T$1,B265,$I$2:$T$2))*U268+SUMIF($I$1:$T$1,B265,$I$2:$T$2)*V268</f>
        <v>0</v>
      </c>
      <c r="W269" s="399">
        <f>(1-SUMIF($I$1:$T$1,B265,$I$2:$T$2))*V268+SUMIF($I$1:$T$1,B265,$I$2:$T$2)*W268</f>
        <v>0</v>
      </c>
      <c r="X269" s="404">
        <f>(1-SUMIF($I$1:$T$1,B265,$I$2:$T$2))*W268+SUMIF($I$1:$T$1,B265,$I$2:$T$2)*X268</f>
        <v>0</v>
      </c>
      <c r="Y269" s="386">
        <f>(1-SUMIF($I$1:$T$1,B265,$I$2:$T$2))*X268+SUMIF($I$1:$T$1,B265,$I$2:$T$2)*Y268</f>
        <v>0</v>
      </c>
      <c r="Z269" s="399">
        <f>(1-SUMIF($I$1:$T$1,B265,$I$2:$T$2))*Y268+SUMIF($I$1:$T$1,B265,$I$2:$T$2)*Z268</f>
        <v>0</v>
      </c>
      <c r="AA269" s="399">
        <f>(1-SUMIF($I$1:$T$1,B265,$I$2:$T$2))*Z268+SUMIF($I$1:$T$1,B265,$I$2:$T$2)*AA268</f>
        <v>0</v>
      </c>
      <c r="AB269" s="404">
        <f>(1-SUMIF($I$1:$T$1,B265,$I$2:$T$2))*AA268+SUMIF($I$1:$T$1,B265,$I$2:$T$2)*AB268</f>
        <v>0</v>
      </c>
      <c r="AC269" s="386">
        <f>(1-SUMIF($I$1:$T$1,B265,$I$2:$T$2))*AB268+SUMIF($I$1:$T$1,B265,$I$2:$T$2)*AC268</f>
        <v>0</v>
      </c>
      <c r="AD269" s="399">
        <f>(1-SUMIF($I$1:$T$1,B265,$I$2:$T$2))*AC268+SUMIF($I$1:$T$1,B265,$I$2:$T$2)*AD268</f>
        <v>0</v>
      </c>
      <c r="AE269" s="399">
        <f>(1-SUMIF($I$1:$T$1,B265,$I$2:$T$2))*AD268+SUMIF($I$1:$T$1,B265,$I$2:$T$2)*AE268</f>
        <v>0</v>
      </c>
      <c r="AF269" s="404">
        <f>(1-SUMIF($I$1:$T$1,B265,$I$2:$T$2))*AE268+SUMIF($I$1:$T$1,B265,$I$2:$T$2)*AF268</f>
        <v>0</v>
      </c>
      <c r="AG269" s="386">
        <f>(1-SUMIF($I$1:$T$1,B265,$I$2:$T$2))*AF268+SUMIF($I$1:$T$1,B265,$I$2:$T$2)*AG268</f>
        <v>0</v>
      </c>
      <c r="AH269" s="399">
        <f>(1-SUMIF($I$1:$T$1,B265,$I$2:$T$2))*AG268+SUMIF($I$1:$T$1,B265,$I$2:$T$2)*AH268</f>
        <v>0</v>
      </c>
      <c r="AI269" s="399">
        <f>(1-SUMIF($I$1:$T$1,B265,$I$2:$T$2))*AH268+SUMIF($I$1:$T$1,B265,$I$2:$T$2)*AI268</f>
        <v>0</v>
      </c>
      <c r="AJ269" s="404">
        <f>(1-SUMIF($I$1:$T$1,B265,$I$2:$T$2))*AI268+SUMIF($I$1:$T$1,B265,$I$2:$T$2)*AJ268</f>
        <v>0</v>
      </c>
      <c r="AK269" s="386">
        <f>(1-SUMIF($I$1:$T$1,B265,$I$2:$T$2))*AJ268+SUMIF($I$1:$T$1,B265,$I$2:$T$2)*AK268</f>
        <v>0</v>
      </c>
      <c r="AL269" s="399">
        <f>(1-SUMIF($I$1:$T$1,B265,$I$2:$T$2))*AK268+SUMIF($I$1:$T$1,B265,$I$2:$T$2)*AL268</f>
        <v>0</v>
      </c>
      <c r="AM269" s="399">
        <f>(1-SUMIF($I$1:$T$1,B265,$I$2:$T$2))*AL268+SUMIF($I$1:$T$1,B265,$I$2:$T$2)*AM268</f>
        <v>0</v>
      </c>
      <c r="AN269" s="404">
        <f>(1-SUMIF($I$1:$T$1,B265,$I$2:$T$2))*AM268+SUMIF($I$1:$T$1,B265,$I$2:$T$2)*AN268</f>
        <v>0</v>
      </c>
      <c r="AO269" s="386">
        <f>(1-SUMIF($I$1:$T$1,B265,$I$2:$T$2))*AN268+SUMIF($I$1:$T$1,B265,$I$2:$T$2)*AO268</f>
        <v>0</v>
      </c>
      <c r="AP269" s="399">
        <f>(1-SUMIF($I$1:$T$1,B265,$I$2:$T$2))*AO268+SUMIF($I$1:$T$1,B265,$I$2:$T$2)*AP268</f>
        <v>0</v>
      </c>
      <c r="AQ269" s="399">
        <f>(1-SUMIF($I$1:$T$1,B265,$I$2:$T$2))*AP268+SUMIF($I$1:$T$1,B265,$I$2:$T$2)*AQ268</f>
        <v>0</v>
      </c>
      <c r="AR269" s="404">
        <f>(1-SUMIF($I$1:$T$1,B265,$I$2:$T$2))*AQ268+SUMIF($I$1:$T$1,B265,$I$2:$T$2)*AR268</f>
        <v>0</v>
      </c>
      <c r="AS269" s="386">
        <f>(1-SUMIF($I$1:$T$1,B265,$I$2:$T$2))*AR268+SUMIF($I$1:$T$1,B265,$I$2:$T$2)*AS268</f>
        <v>0</v>
      </c>
      <c r="AT269" s="399">
        <f>(1-SUMIF($I$1:$T$1,B265,$I$2:$T$2))*AS268+SUMIF($I$1:$T$1,B265,$I$2:$T$2)*AT268</f>
        <v>0</v>
      </c>
      <c r="AU269" s="399">
        <f>(1-SUMIF($I$1:$T$1,B265,$I$2:$T$2))*AT268+SUMIF($I$1:$T$1,B265,$I$2:$T$2)*AU268</f>
        <v>0</v>
      </c>
      <c r="AV269" s="404">
        <f>(1-SUMIF($I$1:$T$1,B265,$I$2:$T$2))*AU268+SUMIF($I$1:$T$1,B265,$I$2:$T$2)*AV268</f>
        <v>0</v>
      </c>
      <c r="AW269" s="424">
        <f t="shared" si="179"/>
        <v>0</v>
      </c>
    </row>
    <row r="270" spans="1:49" s="424" customFormat="1" ht="13.5" customHeight="1" outlineLevel="1">
      <c r="A270" s="1947"/>
      <c r="B270" s="1949" t="str">
        <f>'9.项目开发计划表'!C40</f>
        <v>自持物业</v>
      </c>
      <c r="C270" s="456" t="s">
        <v>880</v>
      </c>
      <c r="D270" s="457">
        <f>IF(D272=0,0,D273/D272*10000)</f>
        <v>0</v>
      </c>
      <c r="E270" s="505"/>
      <c r="F270" s="506"/>
      <c r="G270" s="506"/>
      <c r="H270" s="507"/>
      <c r="I270" s="505"/>
      <c r="J270" s="506"/>
      <c r="K270" s="506"/>
      <c r="L270" s="507"/>
      <c r="M270" s="505"/>
      <c r="N270" s="506"/>
      <c r="O270" s="506"/>
      <c r="P270" s="507"/>
      <c r="Q270" s="505"/>
      <c r="R270" s="506"/>
      <c r="S270" s="506"/>
      <c r="T270" s="507"/>
      <c r="U270" s="505"/>
      <c r="V270" s="506"/>
      <c r="W270" s="506"/>
      <c r="X270" s="507"/>
      <c r="Y270" s="505"/>
      <c r="Z270" s="506"/>
      <c r="AA270" s="506"/>
      <c r="AB270" s="507"/>
      <c r="AC270" s="505"/>
      <c r="AD270" s="506"/>
      <c r="AE270" s="506"/>
      <c r="AF270" s="507"/>
      <c r="AG270" s="505"/>
      <c r="AH270" s="506"/>
      <c r="AI270" s="506"/>
      <c r="AJ270" s="507"/>
      <c r="AK270" s="505"/>
      <c r="AL270" s="506"/>
      <c r="AM270" s="506"/>
      <c r="AN270" s="507"/>
      <c r="AO270" s="505"/>
      <c r="AP270" s="506"/>
      <c r="AQ270" s="506"/>
      <c r="AR270" s="507"/>
      <c r="AS270" s="505"/>
      <c r="AT270" s="506"/>
      <c r="AU270" s="506"/>
      <c r="AV270" s="507"/>
      <c r="AW270" s="424" t="str">
        <f>B270</f>
        <v>自持物业</v>
      </c>
    </row>
    <row r="271" spans="1:49" ht="13.5" customHeight="1" outlineLevel="1">
      <c r="A271" s="1947"/>
      <c r="B271" s="1949"/>
      <c r="C271" s="461" t="s">
        <v>881</v>
      </c>
      <c r="D271" s="462">
        <f t="shared" ref="D271:D274" si="195">SUM(E271:AV271)</f>
        <v>0</v>
      </c>
      <c r="E271" s="494"/>
      <c r="F271" s="491"/>
      <c r="G271" s="491"/>
      <c r="H271" s="493"/>
      <c r="I271" s="494"/>
      <c r="J271" s="491"/>
      <c r="K271" s="491"/>
      <c r="L271" s="493"/>
      <c r="M271" s="494"/>
      <c r="N271" s="491"/>
      <c r="O271" s="491"/>
      <c r="P271" s="493"/>
      <c r="Q271" s="494"/>
      <c r="R271" s="491"/>
      <c r="S271" s="491"/>
      <c r="T271" s="493"/>
      <c r="U271" s="494"/>
      <c r="V271" s="491"/>
      <c r="W271" s="491"/>
      <c r="X271" s="493"/>
      <c r="Y271" s="494"/>
      <c r="Z271" s="491"/>
      <c r="AA271" s="491"/>
      <c r="AB271" s="493"/>
      <c r="AC271" s="494"/>
      <c r="AD271" s="491"/>
      <c r="AE271" s="491"/>
      <c r="AF271" s="493"/>
      <c r="AG271" s="494"/>
      <c r="AH271" s="491"/>
      <c r="AI271" s="491"/>
      <c r="AJ271" s="493"/>
      <c r="AK271" s="494"/>
      <c r="AL271" s="491"/>
      <c r="AM271" s="491"/>
      <c r="AN271" s="493"/>
      <c r="AO271" s="494"/>
      <c r="AP271" s="491"/>
      <c r="AQ271" s="491"/>
      <c r="AR271" s="493"/>
      <c r="AS271" s="494"/>
      <c r="AT271" s="491"/>
      <c r="AU271" s="491"/>
      <c r="AV271" s="493"/>
      <c r="AW271" s="424" t="str">
        <f>AW270</f>
        <v>自持物业</v>
      </c>
    </row>
    <row r="272" spans="1:49" s="424" customFormat="1" ht="13.5" customHeight="1" outlineLevel="1">
      <c r="A272" s="1947"/>
      <c r="B272" s="1949"/>
      <c r="C272" s="461" t="s">
        <v>682</v>
      </c>
      <c r="D272" s="466">
        <f t="shared" si="195"/>
        <v>0</v>
      </c>
      <c r="E272" s="382">
        <f>E271*'9.项目开发计划表'!$G$40</f>
        <v>0</v>
      </c>
      <c r="F272" s="397">
        <f>F271*'9.项目开发计划表'!$G$40</f>
        <v>0</v>
      </c>
      <c r="G272" s="397">
        <f>G271*'9.项目开发计划表'!$G$40</f>
        <v>0</v>
      </c>
      <c r="H272" s="467">
        <f>H271*'9.项目开发计划表'!$G$40</f>
        <v>0</v>
      </c>
      <c r="I272" s="382">
        <f>I271*'9.项目开发计划表'!$G$40</f>
        <v>0</v>
      </c>
      <c r="J272" s="397">
        <f>J271*'9.项目开发计划表'!$G$40</f>
        <v>0</v>
      </c>
      <c r="K272" s="397">
        <f>K271*'9.项目开发计划表'!$G$40</f>
        <v>0</v>
      </c>
      <c r="L272" s="467">
        <f>L271*'9.项目开发计划表'!$G$40</f>
        <v>0</v>
      </c>
      <c r="M272" s="382">
        <f>M271*'9.项目开发计划表'!$G$40</f>
        <v>0</v>
      </c>
      <c r="N272" s="397">
        <f>N271*'9.项目开发计划表'!$G$40</f>
        <v>0</v>
      </c>
      <c r="O272" s="397">
        <f>O271*'9.项目开发计划表'!$G$40</f>
        <v>0</v>
      </c>
      <c r="P272" s="467">
        <f>P271*'9.项目开发计划表'!$G$40</f>
        <v>0</v>
      </c>
      <c r="Q272" s="382">
        <f>Q271*'9.项目开发计划表'!$G$40</f>
        <v>0</v>
      </c>
      <c r="R272" s="397">
        <f>R271*'9.项目开发计划表'!$G$40</f>
        <v>0</v>
      </c>
      <c r="S272" s="397">
        <f>S271*'9.项目开发计划表'!$G$40</f>
        <v>0</v>
      </c>
      <c r="T272" s="467">
        <f>T271*'9.项目开发计划表'!$G$40</f>
        <v>0</v>
      </c>
      <c r="U272" s="382">
        <f>U271*'9.项目开发计划表'!$G$40</f>
        <v>0</v>
      </c>
      <c r="V272" s="397">
        <f>V271*'9.项目开发计划表'!$G$40</f>
        <v>0</v>
      </c>
      <c r="W272" s="397">
        <f>W271*'9.项目开发计划表'!$G$40</f>
        <v>0</v>
      </c>
      <c r="X272" s="467">
        <f>X271*'9.项目开发计划表'!$G$40</f>
        <v>0</v>
      </c>
      <c r="Y272" s="382">
        <f>Y271*'9.项目开发计划表'!$G$40</f>
        <v>0</v>
      </c>
      <c r="Z272" s="397">
        <f>Z271*'9.项目开发计划表'!$G$40</f>
        <v>0</v>
      </c>
      <c r="AA272" s="397">
        <f>AA271*'9.项目开发计划表'!$G$40</f>
        <v>0</v>
      </c>
      <c r="AB272" s="467">
        <f>AB271*'9.项目开发计划表'!$G$40</f>
        <v>0</v>
      </c>
      <c r="AC272" s="382">
        <f>AC271*'9.项目开发计划表'!$G$40</f>
        <v>0</v>
      </c>
      <c r="AD272" s="397">
        <f>AD271*'9.项目开发计划表'!$G$40</f>
        <v>0</v>
      </c>
      <c r="AE272" s="397">
        <f>AE271*'9.项目开发计划表'!$G$40</f>
        <v>0</v>
      </c>
      <c r="AF272" s="467">
        <f>AF271*'9.项目开发计划表'!$G$40</f>
        <v>0</v>
      </c>
      <c r="AG272" s="382">
        <f>AG271*'9.项目开发计划表'!$G$40</f>
        <v>0</v>
      </c>
      <c r="AH272" s="397">
        <f>AH271*'9.项目开发计划表'!$G$40</f>
        <v>0</v>
      </c>
      <c r="AI272" s="397">
        <f>AI271*'9.项目开发计划表'!$G$40</f>
        <v>0</v>
      </c>
      <c r="AJ272" s="467">
        <f>AJ271*'9.项目开发计划表'!$G$40</f>
        <v>0</v>
      </c>
      <c r="AK272" s="382">
        <f>AK271*'9.项目开发计划表'!$G$40</f>
        <v>0</v>
      </c>
      <c r="AL272" s="397">
        <f>AL271*'9.项目开发计划表'!$G$40</f>
        <v>0</v>
      </c>
      <c r="AM272" s="397">
        <f>AM271*'9.项目开发计划表'!$G$40</f>
        <v>0</v>
      </c>
      <c r="AN272" s="467">
        <f>AN271*'9.项目开发计划表'!$G$40</f>
        <v>0</v>
      </c>
      <c r="AO272" s="382">
        <f>AO271*'9.项目开发计划表'!$G$40</f>
        <v>0</v>
      </c>
      <c r="AP272" s="397">
        <f>AP271*'9.项目开发计划表'!$G$40</f>
        <v>0</v>
      </c>
      <c r="AQ272" s="397">
        <f>AQ271*'9.项目开发计划表'!$G$40</f>
        <v>0</v>
      </c>
      <c r="AR272" s="467">
        <f>AR271*'9.项目开发计划表'!$G$40</f>
        <v>0</v>
      </c>
      <c r="AS272" s="382">
        <f>AS271*'9.项目开发计划表'!$G$40</f>
        <v>0</v>
      </c>
      <c r="AT272" s="397">
        <f>AT271*'9.项目开发计划表'!$G$40</f>
        <v>0</v>
      </c>
      <c r="AU272" s="397">
        <f>AU271*'9.项目开发计划表'!$G$40</f>
        <v>0</v>
      </c>
      <c r="AV272" s="467">
        <f>AV271*'9.项目开发计划表'!$G$40</f>
        <v>0</v>
      </c>
      <c r="AW272" s="424" t="str">
        <f t="shared" si="179"/>
        <v>自持物业</v>
      </c>
    </row>
    <row r="273" spans="1:49" s="424" customFormat="1" ht="13.5" customHeight="1" outlineLevel="1">
      <c r="A273" s="1947"/>
      <c r="B273" s="1949"/>
      <c r="C273" s="461" t="s">
        <v>882</v>
      </c>
      <c r="D273" s="466">
        <f t="shared" si="195"/>
        <v>0</v>
      </c>
      <c r="E273" s="382">
        <f t="shared" ref="E273:AV273" si="196">E270*E272/10000</f>
        <v>0</v>
      </c>
      <c r="F273" s="397">
        <f t="shared" si="196"/>
        <v>0</v>
      </c>
      <c r="G273" s="397">
        <f t="shared" si="196"/>
        <v>0</v>
      </c>
      <c r="H273" s="467">
        <f t="shared" si="196"/>
        <v>0</v>
      </c>
      <c r="I273" s="382">
        <f t="shared" si="196"/>
        <v>0</v>
      </c>
      <c r="J273" s="397">
        <f t="shared" si="196"/>
        <v>0</v>
      </c>
      <c r="K273" s="397">
        <f t="shared" si="196"/>
        <v>0</v>
      </c>
      <c r="L273" s="467">
        <f t="shared" si="196"/>
        <v>0</v>
      </c>
      <c r="M273" s="382">
        <f t="shared" si="196"/>
        <v>0</v>
      </c>
      <c r="N273" s="397">
        <f t="shared" si="196"/>
        <v>0</v>
      </c>
      <c r="O273" s="397">
        <f t="shared" si="196"/>
        <v>0</v>
      </c>
      <c r="P273" s="467">
        <f t="shared" si="196"/>
        <v>0</v>
      </c>
      <c r="Q273" s="382">
        <f t="shared" si="196"/>
        <v>0</v>
      </c>
      <c r="R273" s="397">
        <f t="shared" si="196"/>
        <v>0</v>
      </c>
      <c r="S273" s="397">
        <f t="shared" si="196"/>
        <v>0</v>
      </c>
      <c r="T273" s="467">
        <f t="shared" si="196"/>
        <v>0</v>
      </c>
      <c r="U273" s="382">
        <f t="shared" si="196"/>
        <v>0</v>
      </c>
      <c r="V273" s="397">
        <f t="shared" si="196"/>
        <v>0</v>
      </c>
      <c r="W273" s="397">
        <f t="shared" si="196"/>
        <v>0</v>
      </c>
      <c r="X273" s="467">
        <f t="shared" si="196"/>
        <v>0</v>
      </c>
      <c r="Y273" s="382">
        <f t="shared" si="196"/>
        <v>0</v>
      </c>
      <c r="Z273" s="397">
        <f t="shared" si="196"/>
        <v>0</v>
      </c>
      <c r="AA273" s="397">
        <f t="shared" si="196"/>
        <v>0</v>
      </c>
      <c r="AB273" s="467">
        <f t="shared" si="196"/>
        <v>0</v>
      </c>
      <c r="AC273" s="382">
        <f t="shared" si="196"/>
        <v>0</v>
      </c>
      <c r="AD273" s="397">
        <f t="shared" si="196"/>
        <v>0</v>
      </c>
      <c r="AE273" s="397">
        <f t="shared" si="196"/>
        <v>0</v>
      </c>
      <c r="AF273" s="467">
        <f t="shared" si="196"/>
        <v>0</v>
      </c>
      <c r="AG273" s="382">
        <f t="shared" si="196"/>
        <v>0</v>
      </c>
      <c r="AH273" s="397">
        <f t="shared" si="196"/>
        <v>0</v>
      </c>
      <c r="AI273" s="397">
        <f t="shared" si="196"/>
        <v>0</v>
      </c>
      <c r="AJ273" s="467">
        <f t="shared" si="196"/>
        <v>0</v>
      </c>
      <c r="AK273" s="382">
        <f t="shared" si="196"/>
        <v>0</v>
      </c>
      <c r="AL273" s="397">
        <f t="shared" si="196"/>
        <v>0</v>
      </c>
      <c r="AM273" s="397">
        <f t="shared" si="196"/>
        <v>0</v>
      </c>
      <c r="AN273" s="467">
        <f t="shared" si="196"/>
        <v>0</v>
      </c>
      <c r="AO273" s="382">
        <f t="shared" si="196"/>
        <v>0</v>
      </c>
      <c r="AP273" s="397">
        <f t="shared" si="196"/>
        <v>0</v>
      </c>
      <c r="AQ273" s="397">
        <f t="shared" si="196"/>
        <v>0</v>
      </c>
      <c r="AR273" s="467">
        <f t="shared" si="196"/>
        <v>0</v>
      </c>
      <c r="AS273" s="382">
        <f t="shared" si="196"/>
        <v>0</v>
      </c>
      <c r="AT273" s="397">
        <f t="shared" si="196"/>
        <v>0</v>
      </c>
      <c r="AU273" s="397">
        <f t="shared" si="196"/>
        <v>0</v>
      </c>
      <c r="AV273" s="467">
        <f t="shared" si="196"/>
        <v>0</v>
      </c>
      <c r="AW273" s="424" t="str">
        <f t="shared" si="179"/>
        <v>自持物业</v>
      </c>
    </row>
    <row r="274" spans="1:49" s="424" customFormat="1" ht="13.5" customHeight="1" outlineLevel="1">
      <c r="A274" s="1947"/>
      <c r="B274" s="1949"/>
      <c r="C274" s="508" t="s">
        <v>450</v>
      </c>
      <c r="D274" s="468">
        <f t="shared" si="195"/>
        <v>0</v>
      </c>
      <c r="E274" s="386">
        <f>SUMIF($I$1:$T$1,B270,$I$2:$T$2)*E273</f>
        <v>0</v>
      </c>
      <c r="F274" s="399">
        <f>(1-SUMIF($I$1:$T$1,B270,$I$2:$T$2))*E273+SUMIF($I$1:$T$1,B270,$I$2:$T$2)*F273</f>
        <v>0</v>
      </c>
      <c r="G274" s="399">
        <f>(1-SUMIF($I$1:$T$1,B270,$I$2:$T$2))*F273+SUMIF($I$1:$T$1,B270,$I$2:$T$2)*G273</f>
        <v>0</v>
      </c>
      <c r="H274" s="404">
        <f>(1-SUMIF($I$1:$T$1,B270,$I$2:$T$2))*G273+SUMIF($I$1:$T$1,B270,$I$2:$T$2)*H273</f>
        <v>0</v>
      </c>
      <c r="I274" s="386">
        <f>(1-SUMIF($I$1:$T$1,B270,$I$2:$T$2))*H273+SUMIF($I$1:$T$1,B270,$I$2:$T$2)*I273</f>
        <v>0</v>
      </c>
      <c r="J274" s="399">
        <f>(1-SUMIF($I$1:$T$1,B270,$I$2:$T$2))*I273+SUMIF($I$1:$T$1,B270,$I$2:$T$2)*J273</f>
        <v>0</v>
      </c>
      <c r="K274" s="399">
        <f>(1-SUMIF($I$1:$T$1,B270,$I$2:$T$2))*J273+SUMIF($I$1:$T$1,B270,$I$2:$T$2)*K273</f>
        <v>0</v>
      </c>
      <c r="L274" s="404">
        <f>(1-SUMIF($I$1:$T$1,B270,$I$2:$T$2))*K273+SUMIF($I$1:$T$1,B270,$I$2:$T$2)*L273</f>
        <v>0</v>
      </c>
      <c r="M274" s="386">
        <f>(1-SUMIF($I$1:$T$1,B270,$I$2:$T$2))*L273+SUMIF($I$1:$T$1,B270,$I$2:$T$2)*M273</f>
        <v>0</v>
      </c>
      <c r="N274" s="399">
        <f>(1-SUMIF($I$1:$T$1,B270,$I$2:$T$2))*M273+SUMIF($I$1:$T$1,B270,$I$2:$T$2)*N273</f>
        <v>0</v>
      </c>
      <c r="O274" s="399">
        <f>(1-SUMIF($I$1:$T$1,B270,$I$2:$T$2))*N273+SUMIF($I$1:$T$1,B270,$I$2:$T$2)*O273</f>
        <v>0</v>
      </c>
      <c r="P274" s="404">
        <f>(1-SUMIF($I$1:$T$1,B270,$I$2:$T$2))*O273+SUMIF($I$1:$T$1,B270,$I$2:$T$2)*P273</f>
        <v>0</v>
      </c>
      <c r="Q274" s="386">
        <f>(1-SUMIF($I$1:$T$1,B270,$I$2:$T$2))*P273+SUMIF($I$1:$T$1,B270,$I$2:$T$2)*Q273</f>
        <v>0</v>
      </c>
      <c r="R274" s="399">
        <f>(1-SUMIF($I$1:$T$1,B270,$I$2:$T$2))*Q273+SUMIF($I$1:$T$1,B270,$I$2:$T$2)*R273</f>
        <v>0</v>
      </c>
      <c r="S274" s="399">
        <f>(1-SUMIF($I$1:$T$1,B270,$I$2:$T$2))*R273+SUMIF($I$1:$T$1,B270,$I$2:$T$2)*S273</f>
        <v>0</v>
      </c>
      <c r="T274" s="404">
        <f>(1-SUMIF($I$1:$T$1,B270,$I$2:$T$2))*S273+SUMIF($I$1:$T$1,B270,$I$2:$T$2)*T273</f>
        <v>0</v>
      </c>
      <c r="U274" s="386">
        <f>(1-SUMIF($I$1:$T$1,B270,$I$2:$T$2))*T273+SUMIF($I$1:$T$1,B270,$I$2:$T$2)*U273</f>
        <v>0</v>
      </c>
      <c r="V274" s="399">
        <f>(1-SUMIF($I$1:$T$1,B270,$I$2:$T$2))*U273+SUMIF($I$1:$T$1,B270,$I$2:$T$2)*V273</f>
        <v>0</v>
      </c>
      <c r="W274" s="399">
        <f>(1-SUMIF($I$1:$T$1,B270,$I$2:$T$2))*V273+SUMIF($I$1:$T$1,B270,$I$2:$T$2)*W273</f>
        <v>0</v>
      </c>
      <c r="X274" s="404">
        <f>(1-SUMIF($I$1:$T$1,B270,$I$2:$T$2))*W273+SUMIF($I$1:$T$1,B270,$I$2:$T$2)*X273</f>
        <v>0</v>
      </c>
      <c r="Y274" s="386">
        <f>(1-SUMIF($I$1:$T$1,B270,$I$2:$T$2))*X273+SUMIF($I$1:$T$1,B270,$I$2:$T$2)*Y273</f>
        <v>0</v>
      </c>
      <c r="Z274" s="399">
        <f>(1-SUMIF($I$1:$T$1,B270,$I$2:$T$2))*Y273+SUMIF($I$1:$T$1,B270,$I$2:$T$2)*Z273</f>
        <v>0</v>
      </c>
      <c r="AA274" s="399">
        <f>(1-SUMIF($I$1:$T$1,B270,$I$2:$T$2))*Z273+SUMIF($I$1:$T$1,B270,$I$2:$T$2)*AA273</f>
        <v>0</v>
      </c>
      <c r="AB274" s="404">
        <f>(1-SUMIF($I$1:$T$1,B270,$I$2:$T$2))*AA273+SUMIF($I$1:$T$1,B270,$I$2:$T$2)*AB273</f>
        <v>0</v>
      </c>
      <c r="AC274" s="386">
        <f>(1-SUMIF($I$1:$T$1,B270,$I$2:$T$2))*AB273+SUMIF($I$1:$T$1,B270,$I$2:$T$2)*AC273</f>
        <v>0</v>
      </c>
      <c r="AD274" s="399">
        <f>(1-SUMIF($I$1:$T$1,B270,$I$2:$T$2))*AC273+SUMIF($I$1:$T$1,B270,$I$2:$T$2)*AD273</f>
        <v>0</v>
      </c>
      <c r="AE274" s="399">
        <f>(1-SUMIF($I$1:$T$1,B270,$I$2:$T$2))*AD273+SUMIF($I$1:$T$1,B270,$I$2:$T$2)*AE273</f>
        <v>0</v>
      </c>
      <c r="AF274" s="404">
        <f>(1-SUMIF($I$1:$T$1,B270,$I$2:$T$2))*AE273+SUMIF($I$1:$T$1,B270,$I$2:$T$2)*AF273</f>
        <v>0</v>
      </c>
      <c r="AG274" s="386">
        <f>(1-SUMIF($I$1:$T$1,B270,$I$2:$T$2))*AF273+SUMIF($I$1:$T$1,B270,$I$2:$T$2)*AG273</f>
        <v>0</v>
      </c>
      <c r="AH274" s="399">
        <f>(1-SUMIF($I$1:$T$1,B270,$I$2:$T$2))*AG273+SUMIF($I$1:$T$1,B270,$I$2:$T$2)*AH273</f>
        <v>0</v>
      </c>
      <c r="AI274" s="399">
        <f>(1-SUMIF($I$1:$T$1,B270,$I$2:$T$2))*AH273+SUMIF($I$1:$T$1,B270,$I$2:$T$2)*AI273</f>
        <v>0</v>
      </c>
      <c r="AJ274" s="404">
        <f>(1-SUMIF($I$1:$T$1,B270,$I$2:$T$2))*AI273+SUMIF($I$1:$T$1,B270,$I$2:$T$2)*AJ273</f>
        <v>0</v>
      </c>
      <c r="AK274" s="386">
        <f>(1-SUMIF($I$1:$T$1,B270,$I$2:$T$2))*AJ273+SUMIF($I$1:$T$1,B270,$I$2:$T$2)*AK273</f>
        <v>0</v>
      </c>
      <c r="AL274" s="399">
        <f>(1-SUMIF($I$1:$T$1,B270,$I$2:$T$2))*AK273+SUMIF($I$1:$T$1,B270,$I$2:$T$2)*AL273</f>
        <v>0</v>
      </c>
      <c r="AM274" s="399">
        <f>(1-SUMIF($I$1:$T$1,B270,$I$2:$T$2))*AL273+SUMIF($I$1:$T$1,B270,$I$2:$T$2)*AM273</f>
        <v>0</v>
      </c>
      <c r="AN274" s="404">
        <f>(1-SUMIF($I$1:$T$1,B270,$I$2:$T$2))*AM273+SUMIF($I$1:$T$1,B270,$I$2:$T$2)*AN273</f>
        <v>0</v>
      </c>
      <c r="AO274" s="386">
        <f>(1-SUMIF($I$1:$T$1,B270,$I$2:$T$2))*AN273+SUMIF($I$1:$T$1,B270,$I$2:$T$2)*AO273</f>
        <v>0</v>
      </c>
      <c r="AP274" s="399">
        <f>(1-SUMIF($I$1:$T$1,B270,$I$2:$T$2))*AO273+SUMIF($I$1:$T$1,B270,$I$2:$T$2)*AP273</f>
        <v>0</v>
      </c>
      <c r="AQ274" s="399">
        <f>(1-SUMIF($I$1:$T$1,B270,$I$2:$T$2))*AP273+SUMIF($I$1:$T$1,B270,$I$2:$T$2)*AQ273</f>
        <v>0</v>
      </c>
      <c r="AR274" s="404">
        <f>(1-SUMIF($I$1:$T$1,B270,$I$2:$T$2))*AQ273+SUMIF($I$1:$T$1,B270,$I$2:$T$2)*AR273</f>
        <v>0</v>
      </c>
      <c r="AS274" s="386">
        <f>(1-SUMIF($I$1:$T$1,B270,$I$2:$T$2))*AR273+SUMIF($I$1:$T$1,B270,$I$2:$T$2)*AS273</f>
        <v>0</v>
      </c>
      <c r="AT274" s="399">
        <f>(1-SUMIF($I$1:$T$1,B270,$I$2:$T$2))*AS273+SUMIF($I$1:$T$1,B270,$I$2:$T$2)*AT273</f>
        <v>0</v>
      </c>
      <c r="AU274" s="399">
        <f>(1-SUMIF($I$1:$T$1,B270,$I$2:$T$2))*AT273+SUMIF($I$1:$T$1,B270,$I$2:$T$2)*AU273</f>
        <v>0</v>
      </c>
      <c r="AV274" s="404">
        <f>(1-SUMIF($I$1:$T$1,B270,$I$2:$T$2))*AU273+SUMIF($I$1:$T$1,B270,$I$2:$T$2)*AV273</f>
        <v>0</v>
      </c>
      <c r="AW274" s="424" t="str">
        <f t="shared" si="179"/>
        <v>自持物业</v>
      </c>
    </row>
    <row r="275" spans="1:49" s="424" customFormat="1" ht="13.5" customHeight="1" outlineLevel="1">
      <c r="A275" s="1947"/>
      <c r="B275" s="1949" t="str">
        <f>'9.项目开发计划表'!C41</f>
        <v>有产权车库(个)</v>
      </c>
      <c r="C275" s="456" t="s">
        <v>880</v>
      </c>
      <c r="D275" s="457">
        <f>IF(D277=0,0,D278/D277*10000)</f>
        <v>0</v>
      </c>
      <c r="E275" s="505"/>
      <c r="F275" s="506"/>
      <c r="G275" s="506"/>
      <c r="H275" s="507"/>
      <c r="I275" s="505"/>
      <c r="J275" s="506"/>
      <c r="K275" s="506"/>
      <c r="L275" s="507"/>
      <c r="M275" s="505"/>
      <c r="N275" s="506"/>
      <c r="O275" s="506"/>
      <c r="P275" s="507"/>
      <c r="Q275" s="507"/>
      <c r="R275" s="507"/>
      <c r="S275" s="507"/>
      <c r="T275" s="507"/>
      <c r="U275" s="507"/>
      <c r="V275" s="507"/>
      <c r="W275" s="507"/>
      <c r="X275" s="507"/>
      <c r="Y275" s="507"/>
      <c r="Z275" s="507"/>
      <c r="AA275" s="507"/>
      <c r="AB275" s="507"/>
      <c r="AC275" s="507"/>
      <c r="AD275" s="507"/>
      <c r="AE275" s="507"/>
      <c r="AF275" s="507"/>
      <c r="AG275" s="507"/>
      <c r="AH275" s="507"/>
      <c r="AI275" s="507"/>
      <c r="AJ275" s="507"/>
      <c r="AK275" s="507"/>
      <c r="AL275" s="507"/>
      <c r="AM275" s="507"/>
      <c r="AN275" s="507"/>
      <c r="AO275" s="507"/>
      <c r="AP275" s="507"/>
      <c r="AQ275" s="507"/>
      <c r="AR275" s="507"/>
      <c r="AS275" s="507"/>
      <c r="AT275" s="507"/>
      <c r="AU275" s="507"/>
      <c r="AV275" s="507"/>
      <c r="AW275" s="424" t="str">
        <f>B275</f>
        <v>有产权车库(个)</v>
      </c>
    </row>
    <row r="276" spans="1:49" ht="13.5" customHeight="1" outlineLevel="1">
      <c r="A276" s="1947"/>
      <c r="B276" s="1949"/>
      <c r="C276" s="461" t="s">
        <v>881</v>
      </c>
      <c r="D276" s="462">
        <f t="shared" ref="D276:D279" si="197">SUM(E276:AV276)</f>
        <v>0</v>
      </c>
      <c r="E276" s="494"/>
      <c r="F276" s="491"/>
      <c r="G276" s="491"/>
      <c r="H276" s="493"/>
      <c r="I276" s="494"/>
      <c r="J276" s="491"/>
      <c r="K276" s="491"/>
      <c r="L276" s="493"/>
      <c r="M276" s="494"/>
      <c r="N276" s="491"/>
      <c r="O276" s="491"/>
      <c r="P276" s="493"/>
      <c r="Q276" s="493"/>
      <c r="R276" s="493"/>
      <c r="S276" s="493"/>
      <c r="T276" s="493"/>
      <c r="U276" s="493"/>
      <c r="V276" s="493"/>
      <c r="W276" s="493"/>
      <c r="X276" s="493"/>
      <c r="Y276" s="493"/>
      <c r="Z276" s="493"/>
      <c r="AA276" s="493"/>
      <c r="AB276" s="493"/>
      <c r="AC276" s="493"/>
      <c r="AD276" s="493"/>
      <c r="AE276" s="493"/>
      <c r="AF276" s="493"/>
      <c r="AG276" s="493"/>
      <c r="AH276" s="493"/>
      <c r="AI276" s="493"/>
      <c r="AJ276" s="493"/>
      <c r="AK276" s="493"/>
      <c r="AL276" s="493"/>
      <c r="AM276" s="493"/>
      <c r="AN276" s="493"/>
      <c r="AO276" s="493"/>
      <c r="AP276" s="493"/>
      <c r="AQ276" s="493"/>
      <c r="AR276" s="493"/>
      <c r="AS276" s="493"/>
      <c r="AT276" s="493"/>
      <c r="AU276" s="493"/>
      <c r="AV276" s="493"/>
      <c r="AW276" s="424" t="str">
        <f>AW275</f>
        <v>有产权车库(个)</v>
      </c>
    </row>
    <row r="277" spans="1:49" s="424" customFormat="1" ht="13.5" customHeight="1" outlineLevel="1">
      <c r="A277" s="1947"/>
      <c r="B277" s="1949"/>
      <c r="C277" s="461" t="s">
        <v>682</v>
      </c>
      <c r="D277" s="466">
        <f t="shared" si="197"/>
        <v>0</v>
      </c>
      <c r="E277" s="382">
        <f>E276*'9.项目开发计划表'!$G$41</f>
        <v>0</v>
      </c>
      <c r="F277" s="397">
        <f>F276*'9.项目开发计划表'!$G$41</f>
        <v>0</v>
      </c>
      <c r="G277" s="397">
        <f>G276*'9.项目开发计划表'!$G$41</f>
        <v>0</v>
      </c>
      <c r="H277" s="467">
        <f>H276*'9.项目开发计划表'!$G$41</f>
        <v>0</v>
      </c>
      <c r="I277" s="382">
        <f>I276*'9.项目开发计划表'!$G$41</f>
        <v>0</v>
      </c>
      <c r="J277" s="397">
        <f>J276*'9.项目开发计划表'!$G$41</f>
        <v>0</v>
      </c>
      <c r="K277" s="397">
        <f>K276*'9.项目开发计划表'!$G$41</f>
        <v>0</v>
      </c>
      <c r="L277" s="467">
        <f>L276*'9.项目开发计划表'!$G$41</f>
        <v>0</v>
      </c>
      <c r="M277" s="382">
        <f>M276*'9.项目开发计划表'!$G$41</f>
        <v>0</v>
      </c>
      <c r="N277" s="397">
        <f>N276*'9.项目开发计划表'!$G$41</f>
        <v>0</v>
      </c>
      <c r="O277" s="397">
        <f>O276*'9.项目开发计划表'!$G$41</f>
        <v>0</v>
      </c>
      <c r="P277" s="467">
        <f>P276*'9.项目开发计划表'!$G$41</f>
        <v>0</v>
      </c>
      <c r="Q277" s="382">
        <f>Q276*'9.项目开发计划表'!$G$41</f>
        <v>0</v>
      </c>
      <c r="R277" s="397">
        <f>R276*'9.项目开发计划表'!$G$41</f>
        <v>0</v>
      </c>
      <c r="S277" s="397">
        <f>S276*'9.项目开发计划表'!$G$41</f>
        <v>0</v>
      </c>
      <c r="T277" s="467">
        <f>T276*'9.项目开发计划表'!$G$41</f>
        <v>0</v>
      </c>
      <c r="U277" s="382">
        <f>U276*'9.项目开发计划表'!$G$41</f>
        <v>0</v>
      </c>
      <c r="V277" s="397">
        <f>V276*'9.项目开发计划表'!$G$41</f>
        <v>0</v>
      </c>
      <c r="W277" s="397">
        <f>W276*'9.项目开发计划表'!$G$41</f>
        <v>0</v>
      </c>
      <c r="X277" s="467">
        <f>X276*'9.项目开发计划表'!$G$41</f>
        <v>0</v>
      </c>
      <c r="Y277" s="382">
        <f>Y276*'9.项目开发计划表'!$G$41</f>
        <v>0</v>
      </c>
      <c r="Z277" s="397">
        <f>Z276*'9.项目开发计划表'!$G$41</f>
        <v>0</v>
      </c>
      <c r="AA277" s="397">
        <f>AA276*'9.项目开发计划表'!$G$41</f>
        <v>0</v>
      </c>
      <c r="AB277" s="467">
        <f>AB276*'9.项目开发计划表'!$G$41</f>
        <v>0</v>
      </c>
      <c r="AC277" s="382">
        <f>AC276*'9.项目开发计划表'!$G$41</f>
        <v>0</v>
      </c>
      <c r="AD277" s="397">
        <f>AD276*'9.项目开发计划表'!$G$41</f>
        <v>0</v>
      </c>
      <c r="AE277" s="397">
        <f>AE276*'9.项目开发计划表'!$G$41</f>
        <v>0</v>
      </c>
      <c r="AF277" s="467">
        <f>AF276*'9.项目开发计划表'!$G$41</f>
        <v>0</v>
      </c>
      <c r="AG277" s="382">
        <f>AG276*'9.项目开发计划表'!$G$41</f>
        <v>0</v>
      </c>
      <c r="AH277" s="397">
        <f>AH276*'9.项目开发计划表'!$G$41</f>
        <v>0</v>
      </c>
      <c r="AI277" s="397">
        <f>AI276*'9.项目开发计划表'!$G$41</f>
        <v>0</v>
      </c>
      <c r="AJ277" s="467">
        <f>AJ276*'9.项目开发计划表'!$G$41</f>
        <v>0</v>
      </c>
      <c r="AK277" s="382">
        <f>AK276*'9.项目开发计划表'!$G$41</f>
        <v>0</v>
      </c>
      <c r="AL277" s="397">
        <f>AL276*'9.项目开发计划表'!$G$41</f>
        <v>0</v>
      </c>
      <c r="AM277" s="397">
        <f>AM276*'9.项目开发计划表'!$G$41</f>
        <v>0</v>
      </c>
      <c r="AN277" s="467">
        <f>AN276*'9.项目开发计划表'!$G$41</f>
        <v>0</v>
      </c>
      <c r="AO277" s="382">
        <f>AO276*'9.项目开发计划表'!$G$41</f>
        <v>0</v>
      </c>
      <c r="AP277" s="397">
        <f>AP276*'9.项目开发计划表'!$G$41</f>
        <v>0</v>
      </c>
      <c r="AQ277" s="397">
        <f>AQ276*'9.项目开发计划表'!$G$41</f>
        <v>0</v>
      </c>
      <c r="AR277" s="467">
        <f>AR276*'9.项目开发计划表'!$G$41</f>
        <v>0</v>
      </c>
      <c r="AS277" s="382">
        <f>AS276*'9.项目开发计划表'!$G$41</f>
        <v>0</v>
      </c>
      <c r="AT277" s="397">
        <f>AT276*'9.项目开发计划表'!$G$41</f>
        <v>0</v>
      </c>
      <c r="AU277" s="397">
        <f>AU276*'9.项目开发计划表'!$G$41</f>
        <v>0</v>
      </c>
      <c r="AV277" s="467">
        <f>AV276*'9.项目开发计划表'!$G$41</f>
        <v>0</v>
      </c>
      <c r="AW277" s="424" t="str">
        <f t="shared" si="179"/>
        <v>有产权车库(个)</v>
      </c>
    </row>
    <row r="278" spans="1:49" s="424" customFormat="1" ht="13.5" customHeight="1" outlineLevel="1">
      <c r="A278" s="1947"/>
      <c r="B278" s="1949"/>
      <c r="C278" s="461" t="s">
        <v>882</v>
      </c>
      <c r="D278" s="466">
        <f t="shared" si="197"/>
        <v>0</v>
      </c>
      <c r="E278" s="382">
        <f t="shared" ref="E278:AV278" si="198">E275*E277/10000</f>
        <v>0</v>
      </c>
      <c r="F278" s="397">
        <f t="shared" si="198"/>
        <v>0</v>
      </c>
      <c r="G278" s="397">
        <f t="shared" si="198"/>
        <v>0</v>
      </c>
      <c r="H278" s="467">
        <f t="shared" si="198"/>
        <v>0</v>
      </c>
      <c r="I278" s="382">
        <f t="shared" si="198"/>
        <v>0</v>
      </c>
      <c r="J278" s="397">
        <f t="shared" si="198"/>
        <v>0</v>
      </c>
      <c r="K278" s="397">
        <f t="shared" si="198"/>
        <v>0</v>
      </c>
      <c r="L278" s="467">
        <f t="shared" si="198"/>
        <v>0</v>
      </c>
      <c r="M278" s="382">
        <f t="shared" si="198"/>
        <v>0</v>
      </c>
      <c r="N278" s="397">
        <f t="shared" si="198"/>
        <v>0</v>
      </c>
      <c r="O278" s="397">
        <f t="shared" si="198"/>
        <v>0</v>
      </c>
      <c r="P278" s="467">
        <f t="shared" si="198"/>
        <v>0</v>
      </c>
      <c r="Q278" s="382">
        <f t="shared" si="198"/>
        <v>0</v>
      </c>
      <c r="R278" s="397">
        <f t="shared" si="198"/>
        <v>0</v>
      </c>
      <c r="S278" s="397">
        <f t="shared" si="198"/>
        <v>0</v>
      </c>
      <c r="T278" s="467">
        <f t="shared" si="198"/>
        <v>0</v>
      </c>
      <c r="U278" s="382">
        <f t="shared" si="198"/>
        <v>0</v>
      </c>
      <c r="V278" s="397">
        <f t="shared" si="198"/>
        <v>0</v>
      </c>
      <c r="W278" s="397">
        <f t="shared" si="198"/>
        <v>0</v>
      </c>
      <c r="X278" s="467">
        <f t="shared" si="198"/>
        <v>0</v>
      </c>
      <c r="Y278" s="382">
        <f t="shared" si="198"/>
        <v>0</v>
      </c>
      <c r="Z278" s="397">
        <f t="shared" si="198"/>
        <v>0</v>
      </c>
      <c r="AA278" s="397">
        <f t="shared" si="198"/>
        <v>0</v>
      </c>
      <c r="AB278" s="467">
        <f t="shared" si="198"/>
        <v>0</v>
      </c>
      <c r="AC278" s="382">
        <f t="shared" si="198"/>
        <v>0</v>
      </c>
      <c r="AD278" s="397">
        <f t="shared" si="198"/>
        <v>0</v>
      </c>
      <c r="AE278" s="397">
        <f t="shared" si="198"/>
        <v>0</v>
      </c>
      <c r="AF278" s="467">
        <f t="shared" si="198"/>
        <v>0</v>
      </c>
      <c r="AG278" s="382">
        <f t="shared" si="198"/>
        <v>0</v>
      </c>
      <c r="AH278" s="397">
        <f t="shared" si="198"/>
        <v>0</v>
      </c>
      <c r="AI278" s="397">
        <f t="shared" si="198"/>
        <v>0</v>
      </c>
      <c r="AJ278" s="467">
        <f t="shared" si="198"/>
        <v>0</v>
      </c>
      <c r="AK278" s="382">
        <f t="shared" si="198"/>
        <v>0</v>
      </c>
      <c r="AL278" s="397">
        <f t="shared" si="198"/>
        <v>0</v>
      </c>
      <c r="AM278" s="397">
        <f t="shared" si="198"/>
        <v>0</v>
      </c>
      <c r="AN278" s="467">
        <f t="shared" si="198"/>
        <v>0</v>
      </c>
      <c r="AO278" s="382">
        <f t="shared" si="198"/>
        <v>0</v>
      </c>
      <c r="AP278" s="397">
        <f t="shared" si="198"/>
        <v>0</v>
      </c>
      <c r="AQ278" s="397">
        <f t="shared" si="198"/>
        <v>0</v>
      </c>
      <c r="AR278" s="467">
        <f t="shared" si="198"/>
        <v>0</v>
      </c>
      <c r="AS278" s="382">
        <f t="shared" si="198"/>
        <v>0</v>
      </c>
      <c r="AT278" s="397">
        <f t="shared" si="198"/>
        <v>0</v>
      </c>
      <c r="AU278" s="397">
        <f t="shared" si="198"/>
        <v>0</v>
      </c>
      <c r="AV278" s="467">
        <f t="shared" si="198"/>
        <v>0</v>
      </c>
      <c r="AW278" s="424" t="str">
        <f t="shared" si="179"/>
        <v>有产权车库(个)</v>
      </c>
    </row>
    <row r="279" spans="1:49" s="424" customFormat="1" ht="13.5" customHeight="1" outlineLevel="1">
      <c r="A279" s="1947"/>
      <c r="B279" s="1949"/>
      <c r="C279" s="508" t="s">
        <v>450</v>
      </c>
      <c r="D279" s="468">
        <f t="shared" si="197"/>
        <v>0</v>
      </c>
      <c r="E279" s="386">
        <f>SUMIF($I$1:$T$1,B275,$I$2:$T$2)*E278</f>
        <v>0</v>
      </c>
      <c r="F279" s="399">
        <f>(1-SUMIF($I$1:$T$1,B275,$I$2:$T$2))*E278+SUMIF($I$1:$T$1,B275,$I$2:$T$2)*F278</f>
        <v>0</v>
      </c>
      <c r="G279" s="399">
        <f>(1-SUMIF($I$1:$T$1,B275,$I$2:$T$2))*F278+SUMIF($I$1:$T$1,B275,$I$2:$T$2)*G278</f>
        <v>0</v>
      </c>
      <c r="H279" s="404">
        <f>(1-SUMIF($I$1:$T$1,B275,$I$2:$T$2))*G278+SUMIF($I$1:$T$1,B275,$I$2:$T$2)*H278</f>
        <v>0</v>
      </c>
      <c r="I279" s="386">
        <f>(1-SUMIF($I$1:$T$1,B275,$I$2:$T$2))*H278+SUMIF($I$1:$T$1,B275,$I$2:$T$2)*I278</f>
        <v>0</v>
      </c>
      <c r="J279" s="399">
        <f>(1-SUMIF($I$1:$T$1,B275,$I$2:$T$2))*I278+SUMIF($I$1:$T$1,B275,$I$2:$T$2)*J278</f>
        <v>0</v>
      </c>
      <c r="K279" s="399">
        <f>(1-SUMIF($I$1:$T$1,B275,$I$2:$T$2))*J278+SUMIF($I$1:$T$1,B275,$I$2:$T$2)*K278</f>
        <v>0</v>
      </c>
      <c r="L279" s="404">
        <f>(1-SUMIF($I$1:$T$1,B275,$I$2:$T$2))*K278+SUMIF($I$1:$T$1,B275,$I$2:$T$2)*L278</f>
        <v>0</v>
      </c>
      <c r="M279" s="386">
        <f>(1-SUMIF($I$1:$T$1,B275,$I$2:$T$2))*L278+SUMIF($I$1:$T$1,B275,$I$2:$T$2)*M278</f>
        <v>0</v>
      </c>
      <c r="N279" s="399">
        <f>(1-SUMIF($I$1:$T$1,B275,$I$2:$T$2))*M278+SUMIF($I$1:$T$1,B275,$I$2:$T$2)*N278</f>
        <v>0</v>
      </c>
      <c r="O279" s="399">
        <f>(1-SUMIF($I$1:$T$1,B275,$I$2:$T$2))*N278+SUMIF($I$1:$T$1,B275,$I$2:$T$2)*O278</f>
        <v>0</v>
      </c>
      <c r="P279" s="404">
        <f>(1-SUMIF($I$1:$T$1,B275,$I$2:$T$2))*O278+SUMIF($I$1:$T$1,B275,$I$2:$T$2)*P278</f>
        <v>0</v>
      </c>
      <c r="Q279" s="386">
        <f>(1-SUMIF($I$1:$T$1,B275,$I$2:$T$2))*P278+SUMIF($I$1:$T$1,B275,$I$2:$T$2)*Q278</f>
        <v>0</v>
      </c>
      <c r="R279" s="399">
        <f>(1-SUMIF($I$1:$T$1,B275,$I$2:$T$2))*Q278+SUMIF($I$1:$T$1,B275,$I$2:$T$2)*R278</f>
        <v>0</v>
      </c>
      <c r="S279" s="399">
        <f>(1-SUMIF($I$1:$T$1,B275,$I$2:$T$2))*R278+SUMIF($I$1:$T$1,B275,$I$2:$T$2)*S278</f>
        <v>0</v>
      </c>
      <c r="T279" s="404">
        <f>(1-SUMIF($I$1:$T$1,B275,$I$2:$T$2))*S278+SUMIF($I$1:$T$1,B275,$I$2:$T$2)*T278</f>
        <v>0</v>
      </c>
      <c r="U279" s="386">
        <f>(1-SUMIF($I$1:$T$1,B275,$I$2:$T$2))*T278+SUMIF($I$1:$T$1,B275,$I$2:$T$2)*U278</f>
        <v>0</v>
      </c>
      <c r="V279" s="399">
        <f>(1-SUMIF($I$1:$T$1,B275,$I$2:$T$2))*U278+SUMIF($I$1:$T$1,B275,$I$2:$T$2)*V278</f>
        <v>0</v>
      </c>
      <c r="W279" s="399">
        <f>(1-SUMIF($I$1:$T$1,B275,$I$2:$T$2))*V278+SUMIF($I$1:$T$1,B275,$I$2:$T$2)*W278</f>
        <v>0</v>
      </c>
      <c r="X279" s="404">
        <f>(1-SUMIF($I$1:$T$1,B275,$I$2:$T$2))*W278+SUMIF($I$1:$T$1,B275,$I$2:$T$2)*X278</f>
        <v>0</v>
      </c>
      <c r="Y279" s="386">
        <f>(1-SUMIF($I$1:$T$1,B275,$I$2:$T$2))*X278+SUMIF($I$1:$T$1,B275,$I$2:$T$2)*Y278</f>
        <v>0</v>
      </c>
      <c r="Z279" s="399">
        <f>(1-SUMIF($I$1:$T$1,B275,$I$2:$T$2))*Y278+SUMIF($I$1:$T$1,B275,$I$2:$T$2)*Z278</f>
        <v>0</v>
      </c>
      <c r="AA279" s="399">
        <f>(1-SUMIF($I$1:$T$1,B275,$I$2:$T$2))*Z278+SUMIF($I$1:$T$1,B275,$I$2:$T$2)*AA278</f>
        <v>0</v>
      </c>
      <c r="AB279" s="404">
        <f>(1-SUMIF($I$1:$T$1,B275,$I$2:$T$2))*AA278+SUMIF($I$1:$T$1,B275,$I$2:$T$2)*AB278</f>
        <v>0</v>
      </c>
      <c r="AC279" s="386">
        <f>(1-SUMIF($I$1:$T$1,B275,$I$2:$T$2))*AB278+SUMIF($I$1:$T$1,B275,$I$2:$T$2)*AC278</f>
        <v>0</v>
      </c>
      <c r="AD279" s="399">
        <f>(1-SUMIF($I$1:$T$1,B275,$I$2:$T$2))*AC278+SUMIF($I$1:$T$1,B275,$I$2:$T$2)*AD278</f>
        <v>0</v>
      </c>
      <c r="AE279" s="399">
        <f>(1-SUMIF($I$1:$T$1,B275,$I$2:$T$2))*AD278+SUMIF($I$1:$T$1,B275,$I$2:$T$2)*AE278</f>
        <v>0</v>
      </c>
      <c r="AF279" s="404">
        <f>(1-SUMIF($I$1:$T$1,B275,$I$2:$T$2))*AE278+SUMIF($I$1:$T$1,B275,$I$2:$T$2)*AF278</f>
        <v>0</v>
      </c>
      <c r="AG279" s="386">
        <f>(1-SUMIF($I$1:$T$1,B275,$I$2:$T$2))*AF278+SUMIF($I$1:$T$1,B275,$I$2:$T$2)*AG278</f>
        <v>0</v>
      </c>
      <c r="AH279" s="399">
        <f>(1-SUMIF($I$1:$T$1,B275,$I$2:$T$2))*AG278+SUMIF($I$1:$T$1,B275,$I$2:$T$2)*AH278</f>
        <v>0</v>
      </c>
      <c r="AI279" s="399">
        <f>(1-SUMIF($I$1:$T$1,B275,$I$2:$T$2))*AH278+SUMIF($I$1:$T$1,B275,$I$2:$T$2)*AI278</f>
        <v>0</v>
      </c>
      <c r="AJ279" s="404">
        <f>(1-SUMIF($I$1:$T$1,B275,$I$2:$T$2))*AI278+SUMIF($I$1:$T$1,B275,$I$2:$T$2)*AJ278</f>
        <v>0</v>
      </c>
      <c r="AK279" s="386">
        <f>(1-SUMIF($I$1:$T$1,B275,$I$2:$T$2))*AJ278+SUMIF($I$1:$T$1,B275,$I$2:$T$2)*AK278</f>
        <v>0</v>
      </c>
      <c r="AL279" s="399">
        <f>(1-SUMIF($I$1:$T$1,B275,$I$2:$T$2))*AK278+SUMIF($I$1:$T$1,B275,$I$2:$T$2)*AL278</f>
        <v>0</v>
      </c>
      <c r="AM279" s="399">
        <f>(1-SUMIF($I$1:$T$1,B275,$I$2:$T$2))*AL278+SUMIF($I$1:$T$1,B275,$I$2:$T$2)*AM278</f>
        <v>0</v>
      </c>
      <c r="AN279" s="404">
        <f>(1-SUMIF($I$1:$T$1,B275,$I$2:$T$2))*AM278+SUMIF($I$1:$T$1,B275,$I$2:$T$2)*AN278</f>
        <v>0</v>
      </c>
      <c r="AO279" s="386">
        <f>(1-SUMIF($I$1:$T$1,B275,$I$2:$T$2))*AN278+SUMIF($I$1:$T$1,B275,$I$2:$T$2)*AO278</f>
        <v>0</v>
      </c>
      <c r="AP279" s="399">
        <f>(1-SUMIF($I$1:$T$1,B275,$I$2:$T$2))*AO278+SUMIF($I$1:$T$1,B275,$I$2:$T$2)*AP278</f>
        <v>0</v>
      </c>
      <c r="AQ279" s="399">
        <f>(1-SUMIF($I$1:$T$1,B275,$I$2:$T$2))*AP278+SUMIF($I$1:$T$1,B275,$I$2:$T$2)*AQ278</f>
        <v>0</v>
      </c>
      <c r="AR279" s="404">
        <f>(1-SUMIF($I$1:$T$1,B275,$I$2:$T$2))*AQ278+SUMIF($I$1:$T$1,B275,$I$2:$T$2)*AR278</f>
        <v>0</v>
      </c>
      <c r="AS279" s="386">
        <f>(1-SUMIF($I$1:$T$1,B275,$I$2:$T$2))*AR278+SUMIF($I$1:$T$1,B275,$I$2:$T$2)*AS278</f>
        <v>0</v>
      </c>
      <c r="AT279" s="399">
        <f>(1-SUMIF($I$1:$T$1,B275,$I$2:$T$2))*AS278+SUMIF($I$1:$T$1,B275,$I$2:$T$2)*AT278</f>
        <v>0</v>
      </c>
      <c r="AU279" s="399">
        <f>(1-SUMIF($I$1:$T$1,B275,$I$2:$T$2))*AT278+SUMIF($I$1:$T$1,B275,$I$2:$T$2)*AU278</f>
        <v>0</v>
      </c>
      <c r="AV279" s="404">
        <f>(1-SUMIF($I$1:$T$1,B275,$I$2:$T$2))*AU278+SUMIF($I$1:$T$1,B275,$I$2:$T$2)*AV278</f>
        <v>0</v>
      </c>
      <c r="AW279" s="424" t="str">
        <f t="shared" si="179"/>
        <v>有产权车库(个)</v>
      </c>
    </row>
    <row r="280" spans="1:49" s="424" customFormat="1" ht="13.5" customHeight="1" outlineLevel="1">
      <c r="A280" s="1947"/>
      <c r="B280" s="1949" t="str">
        <f>'9.项目开发计划表'!C42</f>
        <v>无产权车库(个)</v>
      </c>
      <c r="C280" s="456" t="s">
        <v>880</v>
      </c>
      <c r="D280" s="457">
        <f>IF(D282=0,0,D283/D282*10000)</f>
        <v>0</v>
      </c>
      <c r="E280" s="505"/>
      <c r="F280" s="506"/>
      <c r="G280" s="506"/>
      <c r="H280" s="507"/>
      <c r="I280" s="505"/>
      <c r="J280" s="506"/>
      <c r="K280" s="506"/>
      <c r="L280" s="507"/>
      <c r="M280" s="505"/>
      <c r="N280" s="506"/>
      <c r="O280" s="506"/>
      <c r="P280" s="507"/>
      <c r="Q280" s="505"/>
      <c r="R280" s="506"/>
      <c r="S280" s="506"/>
      <c r="T280" s="507"/>
      <c r="U280" s="505"/>
      <c r="V280" s="506"/>
      <c r="W280" s="506"/>
      <c r="X280" s="507"/>
      <c r="Y280" s="505"/>
      <c r="Z280" s="506"/>
      <c r="AA280" s="506"/>
      <c r="AB280" s="507"/>
      <c r="AC280" s="505"/>
      <c r="AD280" s="506"/>
      <c r="AE280" s="506"/>
      <c r="AF280" s="507"/>
      <c r="AG280" s="505"/>
      <c r="AH280" s="506"/>
      <c r="AI280" s="506"/>
      <c r="AJ280" s="507"/>
      <c r="AK280" s="505"/>
      <c r="AL280" s="506"/>
      <c r="AM280" s="506"/>
      <c r="AN280" s="507"/>
      <c r="AO280" s="505"/>
      <c r="AP280" s="506"/>
      <c r="AQ280" s="506"/>
      <c r="AR280" s="507"/>
      <c r="AS280" s="505"/>
      <c r="AT280" s="506"/>
      <c r="AU280" s="506"/>
      <c r="AV280" s="507"/>
      <c r="AW280" s="424" t="str">
        <f>B280</f>
        <v>无产权车库(个)</v>
      </c>
    </row>
    <row r="281" spans="1:49" ht="13.5" customHeight="1" outlineLevel="1">
      <c r="A281" s="1947"/>
      <c r="B281" s="1949"/>
      <c r="C281" s="461" t="s">
        <v>881</v>
      </c>
      <c r="D281" s="462">
        <f t="shared" ref="D281:D284" si="199">SUM(E281:AV281)</f>
        <v>0</v>
      </c>
      <c r="E281" s="494"/>
      <c r="F281" s="491"/>
      <c r="G281" s="491"/>
      <c r="H281" s="493"/>
      <c r="I281" s="494"/>
      <c r="J281" s="491"/>
      <c r="K281" s="491"/>
      <c r="L281" s="493"/>
      <c r="M281" s="494"/>
      <c r="N281" s="491"/>
      <c r="O281" s="491"/>
      <c r="P281" s="493"/>
      <c r="Q281" s="494"/>
      <c r="R281" s="491"/>
      <c r="S281" s="491"/>
      <c r="T281" s="493"/>
      <c r="U281" s="494"/>
      <c r="V281" s="491"/>
      <c r="W281" s="491"/>
      <c r="X281" s="493"/>
      <c r="Y281" s="494"/>
      <c r="Z281" s="491"/>
      <c r="AA281" s="491"/>
      <c r="AB281" s="493"/>
      <c r="AC281" s="494"/>
      <c r="AD281" s="491"/>
      <c r="AE281" s="491"/>
      <c r="AF281" s="493"/>
      <c r="AG281" s="494"/>
      <c r="AH281" s="491"/>
      <c r="AI281" s="491"/>
      <c r="AJ281" s="493"/>
      <c r="AK281" s="494"/>
      <c r="AL281" s="491"/>
      <c r="AM281" s="491"/>
      <c r="AN281" s="493"/>
      <c r="AO281" s="494"/>
      <c r="AP281" s="491"/>
      <c r="AQ281" s="491"/>
      <c r="AR281" s="493"/>
      <c r="AS281" s="494"/>
      <c r="AT281" s="491"/>
      <c r="AU281" s="491"/>
      <c r="AV281" s="493"/>
      <c r="AW281" s="424" t="str">
        <f>AW280</f>
        <v>无产权车库(个)</v>
      </c>
    </row>
    <row r="282" spans="1:49" s="424" customFormat="1" ht="13.5" customHeight="1" outlineLevel="1">
      <c r="A282" s="1947"/>
      <c r="B282" s="1949"/>
      <c r="C282" s="461" t="s">
        <v>682</v>
      </c>
      <c r="D282" s="466">
        <f t="shared" si="199"/>
        <v>0</v>
      </c>
      <c r="E282" s="382">
        <f>E281*'9.项目开发计划表'!$G$42</f>
        <v>0</v>
      </c>
      <c r="F282" s="397">
        <f>F281*'9.项目开发计划表'!$G$42</f>
        <v>0</v>
      </c>
      <c r="G282" s="397">
        <f>G281*'9.项目开发计划表'!$G$42</f>
        <v>0</v>
      </c>
      <c r="H282" s="467">
        <f>H281*'9.项目开发计划表'!$G$42</f>
        <v>0</v>
      </c>
      <c r="I282" s="382">
        <f>I281*'9.项目开发计划表'!$G$42</f>
        <v>0</v>
      </c>
      <c r="J282" s="397">
        <f>J281*'9.项目开发计划表'!$G$42</f>
        <v>0</v>
      </c>
      <c r="K282" s="397">
        <f>K281*'9.项目开发计划表'!$G$42</f>
        <v>0</v>
      </c>
      <c r="L282" s="467">
        <f>L281*'9.项目开发计划表'!$G$42</f>
        <v>0</v>
      </c>
      <c r="M282" s="382">
        <f>M281*'9.项目开发计划表'!$G$42</f>
        <v>0</v>
      </c>
      <c r="N282" s="397">
        <f>N281*'9.项目开发计划表'!$G$42</f>
        <v>0</v>
      </c>
      <c r="O282" s="397">
        <f>O281*'9.项目开发计划表'!$G$42</f>
        <v>0</v>
      </c>
      <c r="P282" s="467">
        <f>P281*'9.项目开发计划表'!$G$42</f>
        <v>0</v>
      </c>
      <c r="Q282" s="382">
        <f>Q281*'9.项目开发计划表'!$G$42</f>
        <v>0</v>
      </c>
      <c r="R282" s="397">
        <f>R281*'9.项目开发计划表'!$G$42</f>
        <v>0</v>
      </c>
      <c r="S282" s="397">
        <f>S281*'9.项目开发计划表'!$G$42</f>
        <v>0</v>
      </c>
      <c r="T282" s="467">
        <f>T281*'9.项目开发计划表'!$G$42</f>
        <v>0</v>
      </c>
      <c r="U282" s="382">
        <f>U281*'9.项目开发计划表'!$G$42</f>
        <v>0</v>
      </c>
      <c r="V282" s="397">
        <f>V281*'9.项目开发计划表'!$G$42</f>
        <v>0</v>
      </c>
      <c r="W282" s="397">
        <f>W281*'9.项目开发计划表'!$G$42</f>
        <v>0</v>
      </c>
      <c r="X282" s="467">
        <f>X281*'9.项目开发计划表'!$G$42</f>
        <v>0</v>
      </c>
      <c r="Y282" s="382">
        <f>Y281*'9.项目开发计划表'!$G$42</f>
        <v>0</v>
      </c>
      <c r="Z282" s="397">
        <f>Z281*'9.项目开发计划表'!$G$42</f>
        <v>0</v>
      </c>
      <c r="AA282" s="397">
        <f>AA281*'9.项目开发计划表'!$G$42</f>
        <v>0</v>
      </c>
      <c r="AB282" s="467">
        <f>AB281*'9.项目开发计划表'!$G$42</f>
        <v>0</v>
      </c>
      <c r="AC282" s="382">
        <f>AC281*'9.项目开发计划表'!$G$42</f>
        <v>0</v>
      </c>
      <c r="AD282" s="397">
        <f>AD281*'9.项目开发计划表'!$G$42</f>
        <v>0</v>
      </c>
      <c r="AE282" s="397">
        <f>AE281*'9.项目开发计划表'!$G$42</f>
        <v>0</v>
      </c>
      <c r="AF282" s="467">
        <f>AF281*'9.项目开发计划表'!$G$42</f>
        <v>0</v>
      </c>
      <c r="AG282" s="382">
        <f>AG281*'9.项目开发计划表'!$G$42</f>
        <v>0</v>
      </c>
      <c r="AH282" s="397">
        <f>AH281*'9.项目开发计划表'!$G$42</f>
        <v>0</v>
      </c>
      <c r="AI282" s="397">
        <f>AI281*'9.项目开发计划表'!$G$42</f>
        <v>0</v>
      </c>
      <c r="AJ282" s="467">
        <f>AJ281*'9.项目开发计划表'!$G$42</f>
        <v>0</v>
      </c>
      <c r="AK282" s="382">
        <f>AK281*'9.项目开发计划表'!$G$42</f>
        <v>0</v>
      </c>
      <c r="AL282" s="397">
        <f>AL281*'9.项目开发计划表'!$G$42</f>
        <v>0</v>
      </c>
      <c r="AM282" s="397">
        <f>AM281*'9.项目开发计划表'!$G$42</f>
        <v>0</v>
      </c>
      <c r="AN282" s="467">
        <f>AN281*'9.项目开发计划表'!$G$42</f>
        <v>0</v>
      </c>
      <c r="AO282" s="382">
        <f>AO281*'9.项目开发计划表'!$G$42</f>
        <v>0</v>
      </c>
      <c r="AP282" s="397">
        <f>AP281*'9.项目开发计划表'!$G$42</f>
        <v>0</v>
      </c>
      <c r="AQ282" s="397">
        <f>AQ281*'9.项目开发计划表'!$G$42</f>
        <v>0</v>
      </c>
      <c r="AR282" s="467">
        <f>AR281*'9.项目开发计划表'!$G$42</f>
        <v>0</v>
      </c>
      <c r="AS282" s="382">
        <f>AS281*'9.项目开发计划表'!$G$42</f>
        <v>0</v>
      </c>
      <c r="AT282" s="397">
        <f>AT281*'9.项目开发计划表'!$G$42</f>
        <v>0</v>
      </c>
      <c r="AU282" s="397">
        <f>AU281*'9.项目开发计划表'!$G$42</f>
        <v>0</v>
      </c>
      <c r="AV282" s="467">
        <f>AV281*'9.项目开发计划表'!$G$42</f>
        <v>0</v>
      </c>
      <c r="AW282" s="424" t="str">
        <f t="shared" si="179"/>
        <v>无产权车库(个)</v>
      </c>
    </row>
    <row r="283" spans="1:49" s="424" customFormat="1" ht="13.5" customHeight="1" outlineLevel="1">
      <c r="A283" s="1947"/>
      <c r="B283" s="1949"/>
      <c r="C283" s="461" t="s">
        <v>882</v>
      </c>
      <c r="D283" s="466">
        <f t="shared" si="199"/>
        <v>0</v>
      </c>
      <c r="E283" s="382">
        <f t="shared" ref="E283:AV283" si="200">E280*E282/10000</f>
        <v>0</v>
      </c>
      <c r="F283" s="397">
        <f t="shared" si="200"/>
        <v>0</v>
      </c>
      <c r="G283" s="397">
        <f t="shared" si="200"/>
        <v>0</v>
      </c>
      <c r="H283" s="467">
        <f t="shared" si="200"/>
        <v>0</v>
      </c>
      <c r="I283" s="382">
        <f t="shared" si="200"/>
        <v>0</v>
      </c>
      <c r="J283" s="397">
        <f t="shared" si="200"/>
        <v>0</v>
      </c>
      <c r="K283" s="397">
        <f t="shared" si="200"/>
        <v>0</v>
      </c>
      <c r="L283" s="467">
        <f t="shared" si="200"/>
        <v>0</v>
      </c>
      <c r="M283" s="382">
        <f t="shared" si="200"/>
        <v>0</v>
      </c>
      <c r="N283" s="397">
        <f t="shared" si="200"/>
        <v>0</v>
      </c>
      <c r="O283" s="397">
        <f t="shared" si="200"/>
        <v>0</v>
      </c>
      <c r="P283" s="467">
        <f t="shared" si="200"/>
        <v>0</v>
      </c>
      <c r="Q283" s="382">
        <f t="shared" si="200"/>
        <v>0</v>
      </c>
      <c r="R283" s="397">
        <f t="shared" si="200"/>
        <v>0</v>
      </c>
      <c r="S283" s="397">
        <f t="shared" si="200"/>
        <v>0</v>
      </c>
      <c r="T283" s="467">
        <f t="shared" si="200"/>
        <v>0</v>
      </c>
      <c r="U283" s="382">
        <f t="shared" si="200"/>
        <v>0</v>
      </c>
      <c r="V283" s="397">
        <f t="shared" si="200"/>
        <v>0</v>
      </c>
      <c r="W283" s="397">
        <f t="shared" si="200"/>
        <v>0</v>
      </c>
      <c r="X283" s="467">
        <f t="shared" si="200"/>
        <v>0</v>
      </c>
      <c r="Y283" s="382">
        <f t="shared" si="200"/>
        <v>0</v>
      </c>
      <c r="Z283" s="397">
        <f t="shared" si="200"/>
        <v>0</v>
      </c>
      <c r="AA283" s="397">
        <f t="shared" si="200"/>
        <v>0</v>
      </c>
      <c r="AB283" s="467">
        <f t="shared" si="200"/>
        <v>0</v>
      </c>
      <c r="AC283" s="382">
        <f t="shared" si="200"/>
        <v>0</v>
      </c>
      <c r="AD283" s="397">
        <f t="shared" si="200"/>
        <v>0</v>
      </c>
      <c r="AE283" s="397">
        <f t="shared" si="200"/>
        <v>0</v>
      </c>
      <c r="AF283" s="467">
        <f t="shared" si="200"/>
        <v>0</v>
      </c>
      <c r="AG283" s="382">
        <f t="shared" si="200"/>
        <v>0</v>
      </c>
      <c r="AH283" s="397">
        <f t="shared" si="200"/>
        <v>0</v>
      </c>
      <c r="AI283" s="397">
        <f t="shared" si="200"/>
        <v>0</v>
      </c>
      <c r="AJ283" s="467">
        <f t="shared" si="200"/>
        <v>0</v>
      </c>
      <c r="AK283" s="382">
        <f t="shared" si="200"/>
        <v>0</v>
      </c>
      <c r="AL283" s="397">
        <f t="shared" si="200"/>
        <v>0</v>
      </c>
      <c r="AM283" s="397">
        <f t="shared" si="200"/>
        <v>0</v>
      </c>
      <c r="AN283" s="467">
        <f t="shared" si="200"/>
        <v>0</v>
      </c>
      <c r="AO283" s="382">
        <f t="shared" si="200"/>
        <v>0</v>
      </c>
      <c r="AP283" s="397">
        <f t="shared" si="200"/>
        <v>0</v>
      </c>
      <c r="AQ283" s="397">
        <f t="shared" si="200"/>
        <v>0</v>
      </c>
      <c r="AR283" s="467">
        <f t="shared" si="200"/>
        <v>0</v>
      </c>
      <c r="AS283" s="382">
        <f t="shared" si="200"/>
        <v>0</v>
      </c>
      <c r="AT283" s="397">
        <f t="shared" si="200"/>
        <v>0</v>
      </c>
      <c r="AU283" s="397">
        <f t="shared" si="200"/>
        <v>0</v>
      </c>
      <c r="AV283" s="467">
        <f t="shared" si="200"/>
        <v>0</v>
      </c>
      <c r="AW283" s="424" t="str">
        <f t="shared" si="179"/>
        <v>无产权车库(个)</v>
      </c>
    </row>
    <row r="284" spans="1:49" s="424" customFormat="1" ht="13.5" customHeight="1" outlineLevel="1">
      <c r="A284" s="1948"/>
      <c r="B284" s="1950"/>
      <c r="C284" s="498" t="s">
        <v>450</v>
      </c>
      <c r="D284" s="499">
        <f t="shared" si="199"/>
        <v>0</v>
      </c>
      <c r="E284" s="386">
        <f>SUMIF($I$1:$T$1,B280,$I$2:$T$2)*E283</f>
        <v>0</v>
      </c>
      <c r="F284" s="399">
        <f>(1-SUMIF($I$1:$T$1,B280,$I$2:$T$2))*E283+SUMIF($I$1:$T$1,B280,$I$2:$T$2)*F283</f>
        <v>0</v>
      </c>
      <c r="G284" s="399">
        <f>(1-SUMIF($I$1:$T$1,B280,$I$2:$T$2))*F283+SUMIF($I$1:$T$1,B280,$I$2:$T$2)*G283</f>
        <v>0</v>
      </c>
      <c r="H284" s="404">
        <f>(1-SUMIF($I$1:$T$1,B280,$I$2:$T$2))*G283+SUMIF($I$1:$T$1,B280,$I$2:$T$2)*H283</f>
        <v>0</v>
      </c>
      <c r="I284" s="386">
        <f>(1-SUMIF($I$1:$T$1,B280,$I$2:$T$2))*H283+SUMIF($I$1:$T$1,B280,$I$2:$T$2)*I283</f>
        <v>0</v>
      </c>
      <c r="J284" s="399">
        <f>(1-SUMIF($I$1:$T$1,B280,$I$2:$T$2))*I283+SUMIF($I$1:$T$1,B280,$I$2:$T$2)*J283</f>
        <v>0</v>
      </c>
      <c r="K284" s="399">
        <f>(1-SUMIF($I$1:$T$1,B280,$I$2:$T$2))*J283+SUMIF($I$1:$T$1,B280,$I$2:$T$2)*K283</f>
        <v>0</v>
      </c>
      <c r="L284" s="404">
        <f>(1-SUMIF($I$1:$T$1,B280,$I$2:$T$2))*K283+SUMIF($I$1:$T$1,B280,$I$2:$T$2)*L283</f>
        <v>0</v>
      </c>
      <c r="M284" s="386">
        <f>(1-SUMIF($I$1:$T$1,B280,$I$2:$T$2))*L283+SUMIF($I$1:$T$1,B280,$I$2:$T$2)*M283</f>
        <v>0</v>
      </c>
      <c r="N284" s="399">
        <f>(1-SUMIF($I$1:$T$1,B280,$I$2:$T$2))*M283+SUMIF($I$1:$T$1,B280,$I$2:$T$2)*N283</f>
        <v>0</v>
      </c>
      <c r="O284" s="399">
        <f>(1-SUMIF($I$1:$T$1,B280,$I$2:$T$2))*N283+SUMIF($I$1:$T$1,B280,$I$2:$T$2)*O283</f>
        <v>0</v>
      </c>
      <c r="P284" s="404">
        <f>(1-SUMIF($I$1:$T$1,B280,$I$2:$T$2))*O283+SUMIF($I$1:$T$1,B280,$I$2:$T$2)*P283</f>
        <v>0</v>
      </c>
      <c r="Q284" s="386">
        <f>(1-SUMIF($I$1:$T$1,B280,$I$2:$T$2))*P283+SUMIF($I$1:$T$1,B280,$I$2:$T$2)*Q283</f>
        <v>0</v>
      </c>
      <c r="R284" s="399">
        <f>(1-SUMIF($I$1:$T$1,B280,$I$2:$T$2))*Q283+SUMIF($I$1:$T$1,B280,$I$2:$T$2)*R283</f>
        <v>0</v>
      </c>
      <c r="S284" s="399">
        <f>(1-SUMIF($I$1:$T$1,B280,$I$2:$T$2))*R283+SUMIF($I$1:$T$1,B280,$I$2:$T$2)*S283</f>
        <v>0</v>
      </c>
      <c r="T284" s="404">
        <f>(1-SUMIF($I$1:$T$1,B280,$I$2:$T$2))*S283+SUMIF($I$1:$T$1,B280,$I$2:$T$2)*T283</f>
        <v>0</v>
      </c>
      <c r="U284" s="386">
        <f>(1-SUMIF($I$1:$T$1,B280,$I$2:$T$2))*T283+SUMIF($I$1:$T$1,B280,$I$2:$T$2)*U283</f>
        <v>0</v>
      </c>
      <c r="V284" s="399">
        <f>(1-SUMIF($I$1:$T$1,B280,$I$2:$T$2))*U283+SUMIF($I$1:$T$1,B280,$I$2:$T$2)*V283</f>
        <v>0</v>
      </c>
      <c r="W284" s="399">
        <f>(1-SUMIF($I$1:$T$1,B280,$I$2:$T$2))*V283+SUMIF($I$1:$T$1,B280,$I$2:$T$2)*W283</f>
        <v>0</v>
      </c>
      <c r="X284" s="404">
        <f>(1-SUMIF($I$1:$T$1,B280,$I$2:$T$2))*W283+SUMIF($I$1:$T$1,B280,$I$2:$T$2)*X283</f>
        <v>0</v>
      </c>
      <c r="Y284" s="386">
        <f>(1-SUMIF($I$1:$T$1,B280,$I$2:$T$2))*X283+SUMIF($I$1:$T$1,B280,$I$2:$T$2)*Y283</f>
        <v>0</v>
      </c>
      <c r="Z284" s="399">
        <f>(1-SUMIF($I$1:$T$1,B280,$I$2:$T$2))*Y283+SUMIF($I$1:$T$1,B280,$I$2:$T$2)*Z283</f>
        <v>0</v>
      </c>
      <c r="AA284" s="399">
        <f>(1-SUMIF($I$1:$T$1,B280,$I$2:$T$2))*Z283+SUMIF($I$1:$T$1,B280,$I$2:$T$2)*AA283</f>
        <v>0</v>
      </c>
      <c r="AB284" s="404">
        <f>(1-SUMIF($I$1:$T$1,B280,$I$2:$T$2))*AA283+SUMIF($I$1:$T$1,B280,$I$2:$T$2)*AB283</f>
        <v>0</v>
      </c>
      <c r="AC284" s="386">
        <f>(1-SUMIF($I$1:$T$1,B280,$I$2:$T$2))*AB283+SUMIF($I$1:$T$1,B280,$I$2:$T$2)*AC283</f>
        <v>0</v>
      </c>
      <c r="AD284" s="399">
        <f>(1-SUMIF($I$1:$T$1,B280,$I$2:$T$2))*AC283+SUMIF($I$1:$T$1,B280,$I$2:$T$2)*AD283</f>
        <v>0</v>
      </c>
      <c r="AE284" s="399">
        <f>(1-SUMIF($I$1:$T$1,B280,$I$2:$T$2))*AD283+SUMIF($I$1:$T$1,B280,$I$2:$T$2)*AE283</f>
        <v>0</v>
      </c>
      <c r="AF284" s="404">
        <f>(1-SUMIF($I$1:$T$1,B280,$I$2:$T$2))*AE283+SUMIF($I$1:$T$1,B280,$I$2:$T$2)*AF283</f>
        <v>0</v>
      </c>
      <c r="AG284" s="386">
        <f>(1-SUMIF($I$1:$T$1,B280,$I$2:$T$2))*AF283+SUMIF($I$1:$T$1,B280,$I$2:$T$2)*AG283</f>
        <v>0</v>
      </c>
      <c r="AH284" s="399">
        <f>(1-SUMIF($I$1:$T$1,B280,$I$2:$T$2))*AG283+SUMIF($I$1:$T$1,B280,$I$2:$T$2)*AH283</f>
        <v>0</v>
      </c>
      <c r="AI284" s="399">
        <f>(1-SUMIF($I$1:$T$1,B280,$I$2:$T$2))*AH283+SUMIF($I$1:$T$1,B280,$I$2:$T$2)*AI283</f>
        <v>0</v>
      </c>
      <c r="AJ284" s="404">
        <f>(1-SUMIF($I$1:$T$1,B280,$I$2:$T$2))*AI283+SUMIF($I$1:$T$1,B280,$I$2:$T$2)*AJ283</f>
        <v>0</v>
      </c>
      <c r="AK284" s="386">
        <f>(1-SUMIF($I$1:$T$1,B280,$I$2:$T$2))*AJ283+SUMIF($I$1:$T$1,B280,$I$2:$T$2)*AK283</f>
        <v>0</v>
      </c>
      <c r="AL284" s="399">
        <f>(1-SUMIF($I$1:$T$1,B280,$I$2:$T$2))*AK283+SUMIF($I$1:$T$1,B280,$I$2:$T$2)*AL283</f>
        <v>0</v>
      </c>
      <c r="AM284" s="399">
        <f>(1-SUMIF($I$1:$T$1,B280,$I$2:$T$2))*AL283+SUMIF($I$1:$T$1,B280,$I$2:$T$2)*AM283</f>
        <v>0</v>
      </c>
      <c r="AN284" s="404">
        <f>(1-SUMIF($I$1:$T$1,B280,$I$2:$T$2))*AM283+SUMIF($I$1:$T$1,B280,$I$2:$T$2)*AN283</f>
        <v>0</v>
      </c>
      <c r="AO284" s="386">
        <f>(1-SUMIF($I$1:$T$1,B280,$I$2:$T$2))*AN283+SUMIF($I$1:$T$1,B280,$I$2:$T$2)*AO283</f>
        <v>0</v>
      </c>
      <c r="AP284" s="399">
        <f>(1-SUMIF($I$1:$T$1,B280,$I$2:$T$2))*AO283+SUMIF($I$1:$T$1,B280,$I$2:$T$2)*AP283</f>
        <v>0</v>
      </c>
      <c r="AQ284" s="399">
        <f>(1-SUMIF($I$1:$T$1,B280,$I$2:$T$2))*AP283+SUMIF($I$1:$T$1,B280,$I$2:$T$2)*AQ283</f>
        <v>0</v>
      </c>
      <c r="AR284" s="404">
        <f>(1-SUMIF($I$1:$T$1,B280,$I$2:$T$2))*AQ283+SUMIF($I$1:$T$1,B280,$I$2:$T$2)*AR283</f>
        <v>0</v>
      </c>
      <c r="AS284" s="386">
        <f>(1-SUMIF($I$1:$T$1,B280,$I$2:$T$2))*AR283+SUMIF($I$1:$T$1,B280,$I$2:$T$2)*AS283</f>
        <v>0</v>
      </c>
      <c r="AT284" s="399">
        <f>(1-SUMIF($I$1:$T$1,B280,$I$2:$T$2))*AS283+SUMIF($I$1:$T$1,B280,$I$2:$T$2)*AT283</f>
        <v>0</v>
      </c>
      <c r="AU284" s="399">
        <f>(1-SUMIF($I$1:$T$1,B280,$I$2:$T$2))*AT283+SUMIF($I$1:$T$1,B280,$I$2:$T$2)*AU283</f>
        <v>0</v>
      </c>
      <c r="AV284" s="404">
        <f>(1-SUMIF($I$1:$T$1,B280,$I$2:$T$2))*AU283+SUMIF($I$1:$T$1,B280,$I$2:$T$2)*AV283</f>
        <v>0</v>
      </c>
      <c r="AW284" s="424" t="str">
        <f t="shared" si="179"/>
        <v>无产权车库(个)</v>
      </c>
    </row>
    <row r="285" spans="1:49" s="424" customFormat="1" ht="13.5" customHeight="1">
      <c r="A285" s="1946" t="s">
        <v>22</v>
      </c>
      <c r="B285" s="1951" t="s">
        <v>893</v>
      </c>
      <c r="C285" s="500" t="s">
        <v>880</v>
      </c>
      <c r="D285" s="501">
        <f>IF(D287=0,0,D288/D287*10000)</f>
        <v>0</v>
      </c>
      <c r="E285" s="502">
        <f t="shared" ref="E285:AV285" si="201">IF(E287=0,0,E288/E287*10000)</f>
        <v>0</v>
      </c>
      <c r="F285" s="503">
        <f t="shared" si="201"/>
        <v>0</v>
      </c>
      <c r="G285" s="503">
        <f t="shared" si="201"/>
        <v>0</v>
      </c>
      <c r="H285" s="504">
        <f t="shared" si="201"/>
        <v>0</v>
      </c>
      <c r="I285" s="502">
        <f t="shared" si="201"/>
        <v>0</v>
      </c>
      <c r="J285" s="503">
        <f t="shared" si="201"/>
        <v>0</v>
      </c>
      <c r="K285" s="503">
        <f t="shared" si="201"/>
        <v>0</v>
      </c>
      <c r="L285" s="504">
        <f t="shared" si="201"/>
        <v>0</v>
      </c>
      <c r="M285" s="502">
        <f t="shared" si="201"/>
        <v>0</v>
      </c>
      <c r="N285" s="503">
        <f t="shared" si="201"/>
        <v>0</v>
      </c>
      <c r="O285" s="503">
        <f t="shared" si="201"/>
        <v>0</v>
      </c>
      <c r="P285" s="504">
        <f t="shared" si="201"/>
        <v>0</v>
      </c>
      <c r="Q285" s="502">
        <f t="shared" si="201"/>
        <v>0</v>
      </c>
      <c r="R285" s="503">
        <f t="shared" si="201"/>
        <v>0</v>
      </c>
      <c r="S285" s="503">
        <f t="shared" si="201"/>
        <v>0</v>
      </c>
      <c r="T285" s="504">
        <f t="shared" si="201"/>
        <v>0</v>
      </c>
      <c r="U285" s="502">
        <f t="shared" si="201"/>
        <v>0</v>
      </c>
      <c r="V285" s="503">
        <f t="shared" si="201"/>
        <v>0</v>
      </c>
      <c r="W285" s="503">
        <f t="shared" si="201"/>
        <v>0</v>
      </c>
      <c r="X285" s="504">
        <f t="shared" si="201"/>
        <v>0</v>
      </c>
      <c r="Y285" s="502">
        <f t="shared" si="201"/>
        <v>0</v>
      </c>
      <c r="Z285" s="503">
        <f t="shared" si="201"/>
        <v>0</v>
      </c>
      <c r="AA285" s="503">
        <f t="shared" si="201"/>
        <v>0</v>
      </c>
      <c r="AB285" s="504">
        <f t="shared" si="201"/>
        <v>0</v>
      </c>
      <c r="AC285" s="502">
        <f t="shared" si="201"/>
        <v>0</v>
      </c>
      <c r="AD285" s="503">
        <f t="shared" si="201"/>
        <v>0</v>
      </c>
      <c r="AE285" s="503">
        <f t="shared" si="201"/>
        <v>0</v>
      </c>
      <c r="AF285" s="504">
        <f t="shared" si="201"/>
        <v>0</v>
      </c>
      <c r="AG285" s="502">
        <f t="shared" si="201"/>
        <v>0</v>
      </c>
      <c r="AH285" s="503">
        <f t="shared" si="201"/>
        <v>0</v>
      </c>
      <c r="AI285" s="503">
        <f t="shared" si="201"/>
        <v>0</v>
      </c>
      <c r="AJ285" s="504">
        <f t="shared" si="201"/>
        <v>0</v>
      </c>
      <c r="AK285" s="502">
        <f t="shared" si="201"/>
        <v>0</v>
      </c>
      <c r="AL285" s="503">
        <f t="shared" si="201"/>
        <v>0</v>
      </c>
      <c r="AM285" s="503">
        <f t="shared" si="201"/>
        <v>0</v>
      </c>
      <c r="AN285" s="504">
        <f t="shared" si="201"/>
        <v>0</v>
      </c>
      <c r="AO285" s="502">
        <f t="shared" si="201"/>
        <v>0</v>
      </c>
      <c r="AP285" s="503">
        <f t="shared" si="201"/>
        <v>0</v>
      </c>
      <c r="AQ285" s="503">
        <f t="shared" si="201"/>
        <v>0</v>
      </c>
      <c r="AR285" s="504">
        <f t="shared" si="201"/>
        <v>0</v>
      </c>
      <c r="AS285" s="502">
        <f t="shared" si="201"/>
        <v>0</v>
      </c>
      <c r="AT285" s="503">
        <f t="shared" si="201"/>
        <v>0</v>
      </c>
      <c r="AU285" s="503">
        <f t="shared" si="201"/>
        <v>0</v>
      </c>
      <c r="AV285" s="504">
        <f t="shared" si="201"/>
        <v>0</v>
      </c>
      <c r="AW285" s="473"/>
    </row>
    <row r="286" spans="1:49" ht="13.5" customHeight="1">
      <c r="A286" s="1947"/>
      <c r="B286" s="1952"/>
      <c r="C286" s="438" t="s">
        <v>881</v>
      </c>
      <c r="D286" s="439">
        <f>SUM(E286:AV286)</f>
        <v>0</v>
      </c>
      <c r="E286" s="440">
        <f t="shared" ref="E286:AV286" si="202">IFERROR(E287/$D287,0)</f>
        <v>0</v>
      </c>
      <c r="F286" s="441">
        <f t="shared" si="202"/>
        <v>0</v>
      </c>
      <c r="G286" s="441">
        <f t="shared" si="202"/>
        <v>0</v>
      </c>
      <c r="H286" s="442">
        <f t="shared" si="202"/>
        <v>0</v>
      </c>
      <c r="I286" s="440">
        <f t="shared" si="202"/>
        <v>0</v>
      </c>
      <c r="J286" s="441">
        <f t="shared" si="202"/>
        <v>0</v>
      </c>
      <c r="K286" s="441">
        <f t="shared" si="202"/>
        <v>0</v>
      </c>
      <c r="L286" s="442">
        <f t="shared" si="202"/>
        <v>0</v>
      </c>
      <c r="M286" s="440">
        <f t="shared" si="202"/>
        <v>0</v>
      </c>
      <c r="N286" s="441">
        <f t="shared" si="202"/>
        <v>0</v>
      </c>
      <c r="O286" s="441">
        <f t="shared" si="202"/>
        <v>0</v>
      </c>
      <c r="P286" s="442">
        <f t="shared" si="202"/>
        <v>0</v>
      </c>
      <c r="Q286" s="440">
        <f t="shared" si="202"/>
        <v>0</v>
      </c>
      <c r="R286" s="441">
        <f t="shared" si="202"/>
        <v>0</v>
      </c>
      <c r="S286" s="441">
        <f t="shared" si="202"/>
        <v>0</v>
      </c>
      <c r="T286" s="442">
        <f t="shared" si="202"/>
        <v>0</v>
      </c>
      <c r="U286" s="440">
        <f t="shared" si="202"/>
        <v>0</v>
      </c>
      <c r="V286" s="441">
        <f t="shared" si="202"/>
        <v>0</v>
      </c>
      <c r="W286" s="441">
        <f t="shared" si="202"/>
        <v>0</v>
      </c>
      <c r="X286" s="442">
        <f t="shared" si="202"/>
        <v>0</v>
      </c>
      <c r="Y286" s="440">
        <f t="shared" si="202"/>
        <v>0</v>
      </c>
      <c r="Z286" s="441">
        <f t="shared" si="202"/>
        <v>0</v>
      </c>
      <c r="AA286" s="441">
        <f t="shared" si="202"/>
        <v>0</v>
      </c>
      <c r="AB286" s="442">
        <f t="shared" si="202"/>
        <v>0</v>
      </c>
      <c r="AC286" s="440">
        <f t="shared" si="202"/>
        <v>0</v>
      </c>
      <c r="AD286" s="441">
        <f t="shared" si="202"/>
        <v>0</v>
      </c>
      <c r="AE286" s="441">
        <f t="shared" si="202"/>
        <v>0</v>
      </c>
      <c r="AF286" s="442">
        <f t="shared" si="202"/>
        <v>0</v>
      </c>
      <c r="AG286" s="440">
        <f t="shared" si="202"/>
        <v>0</v>
      </c>
      <c r="AH286" s="441">
        <f t="shared" si="202"/>
        <v>0</v>
      </c>
      <c r="AI286" s="441">
        <f t="shared" si="202"/>
        <v>0</v>
      </c>
      <c r="AJ286" s="442">
        <f t="shared" si="202"/>
        <v>0</v>
      </c>
      <c r="AK286" s="440">
        <f t="shared" si="202"/>
        <v>0</v>
      </c>
      <c r="AL286" s="441">
        <f t="shared" si="202"/>
        <v>0</v>
      </c>
      <c r="AM286" s="441">
        <f t="shared" si="202"/>
        <v>0</v>
      </c>
      <c r="AN286" s="442">
        <f t="shared" si="202"/>
        <v>0</v>
      </c>
      <c r="AO286" s="440">
        <f t="shared" si="202"/>
        <v>0</v>
      </c>
      <c r="AP286" s="441">
        <f t="shared" si="202"/>
        <v>0</v>
      </c>
      <c r="AQ286" s="441">
        <f t="shared" si="202"/>
        <v>0</v>
      </c>
      <c r="AR286" s="442">
        <f t="shared" si="202"/>
        <v>0</v>
      </c>
      <c r="AS286" s="440">
        <f t="shared" si="202"/>
        <v>0</v>
      </c>
      <c r="AT286" s="441">
        <f t="shared" si="202"/>
        <v>0</v>
      </c>
      <c r="AU286" s="441">
        <f t="shared" si="202"/>
        <v>0</v>
      </c>
      <c r="AV286" s="442">
        <f t="shared" si="202"/>
        <v>0</v>
      </c>
      <c r="AW286" s="78"/>
    </row>
    <row r="287" spans="1:49" s="424" customFormat="1" ht="13.5" customHeight="1">
      <c r="A287" s="1947"/>
      <c r="B287" s="1952"/>
      <c r="C287" s="438" t="s">
        <v>682</v>
      </c>
      <c r="D287" s="443">
        <f t="shared" ref="D287:AV287" si="203">SUM(D297,D302,D307,D312,D317,D322,D327,D332,D337,D342)</f>
        <v>0</v>
      </c>
      <c r="E287" s="444">
        <f t="shared" si="203"/>
        <v>0</v>
      </c>
      <c r="F287" s="445">
        <f t="shared" si="203"/>
        <v>0</v>
      </c>
      <c r="G287" s="445">
        <f t="shared" si="203"/>
        <v>0</v>
      </c>
      <c r="H287" s="446">
        <f t="shared" si="203"/>
        <v>0</v>
      </c>
      <c r="I287" s="444">
        <f t="shared" si="203"/>
        <v>0</v>
      </c>
      <c r="J287" s="445">
        <f t="shared" si="203"/>
        <v>0</v>
      </c>
      <c r="K287" s="445">
        <f t="shared" si="203"/>
        <v>0</v>
      </c>
      <c r="L287" s="446">
        <f t="shared" si="203"/>
        <v>0</v>
      </c>
      <c r="M287" s="444">
        <f t="shared" si="203"/>
        <v>0</v>
      </c>
      <c r="N287" s="445">
        <f t="shared" si="203"/>
        <v>0</v>
      </c>
      <c r="O287" s="445">
        <f t="shared" si="203"/>
        <v>0</v>
      </c>
      <c r="P287" s="446">
        <f t="shared" si="203"/>
        <v>0</v>
      </c>
      <c r="Q287" s="444">
        <f t="shared" si="203"/>
        <v>0</v>
      </c>
      <c r="R287" s="445">
        <f t="shared" si="203"/>
        <v>0</v>
      </c>
      <c r="S287" s="445">
        <f t="shared" si="203"/>
        <v>0</v>
      </c>
      <c r="T287" s="446">
        <f t="shared" si="203"/>
        <v>0</v>
      </c>
      <c r="U287" s="444">
        <f t="shared" si="203"/>
        <v>0</v>
      </c>
      <c r="V287" s="445">
        <f t="shared" si="203"/>
        <v>0</v>
      </c>
      <c r="W287" s="445">
        <f t="shared" si="203"/>
        <v>0</v>
      </c>
      <c r="X287" s="446">
        <f t="shared" si="203"/>
        <v>0</v>
      </c>
      <c r="Y287" s="444">
        <f t="shared" si="203"/>
        <v>0</v>
      </c>
      <c r="Z287" s="445">
        <f t="shared" si="203"/>
        <v>0</v>
      </c>
      <c r="AA287" s="445">
        <f t="shared" si="203"/>
        <v>0</v>
      </c>
      <c r="AB287" s="446">
        <f t="shared" si="203"/>
        <v>0</v>
      </c>
      <c r="AC287" s="444">
        <f t="shared" si="203"/>
        <v>0</v>
      </c>
      <c r="AD287" s="445">
        <f t="shared" si="203"/>
        <v>0</v>
      </c>
      <c r="AE287" s="445">
        <f t="shared" si="203"/>
        <v>0</v>
      </c>
      <c r="AF287" s="446">
        <f t="shared" si="203"/>
        <v>0</v>
      </c>
      <c r="AG287" s="444">
        <f t="shared" si="203"/>
        <v>0</v>
      </c>
      <c r="AH287" s="445">
        <f t="shared" si="203"/>
        <v>0</v>
      </c>
      <c r="AI287" s="445">
        <f t="shared" si="203"/>
        <v>0</v>
      </c>
      <c r="AJ287" s="446">
        <f t="shared" si="203"/>
        <v>0</v>
      </c>
      <c r="AK287" s="444">
        <f t="shared" si="203"/>
        <v>0</v>
      </c>
      <c r="AL287" s="445">
        <f t="shared" si="203"/>
        <v>0</v>
      </c>
      <c r="AM287" s="445">
        <f t="shared" si="203"/>
        <v>0</v>
      </c>
      <c r="AN287" s="446">
        <f t="shared" si="203"/>
        <v>0</v>
      </c>
      <c r="AO287" s="444">
        <f t="shared" si="203"/>
        <v>0</v>
      </c>
      <c r="AP287" s="445">
        <f t="shared" si="203"/>
        <v>0</v>
      </c>
      <c r="AQ287" s="445">
        <f t="shared" si="203"/>
        <v>0</v>
      </c>
      <c r="AR287" s="446">
        <f t="shared" si="203"/>
        <v>0</v>
      </c>
      <c r="AS287" s="444">
        <f t="shared" si="203"/>
        <v>0</v>
      </c>
      <c r="AT287" s="445">
        <f t="shared" si="203"/>
        <v>0</v>
      </c>
      <c r="AU287" s="445">
        <f t="shared" si="203"/>
        <v>0</v>
      </c>
      <c r="AV287" s="446">
        <f t="shared" si="203"/>
        <v>0</v>
      </c>
      <c r="AW287" s="473"/>
    </row>
    <row r="288" spans="1:49" s="424" customFormat="1" ht="13.5" customHeight="1">
      <c r="A288" s="1947"/>
      <c r="B288" s="1952"/>
      <c r="C288" s="438" t="s">
        <v>882</v>
      </c>
      <c r="D288" s="443">
        <f t="shared" ref="D288:AV288" si="204">SUM(D298,D303,D308,D313,D318,D323,D328,D333,D338,D343)</f>
        <v>0</v>
      </c>
      <c r="E288" s="444">
        <f t="shared" si="204"/>
        <v>0</v>
      </c>
      <c r="F288" s="445">
        <f t="shared" si="204"/>
        <v>0</v>
      </c>
      <c r="G288" s="445">
        <f t="shared" si="204"/>
        <v>0</v>
      </c>
      <c r="H288" s="446">
        <f t="shared" si="204"/>
        <v>0</v>
      </c>
      <c r="I288" s="444">
        <f t="shared" si="204"/>
        <v>0</v>
      </c>
      <c r="J288" s="445">
        <f t="shared" si="204"/>
        <v>0</v>
      </c>
      <c r="K288" s="445">
        <f t="shared" si="204"/>
        <v>0</v>
      </c>
      <c r="L288" s="446">
        <f t="shared" si="204"/>
        <v>0</v>
      </c>
      <c r="M288" s="444">
        <f t="shared" si="204"/>
        <v>0</v>
      </c>
      <c r="N288" s="445">
        <f t="shared" si="204"/>
        <v>0</v>
      </c>
      <c r="O288" s="445">
        <f t="shared" si="204"/>
        <v>0</v>
      </c>
      <c r="P288" s="446">
        <f t="shared" si="204"/>
        <v>0</v>
      </c>
      <c r="Q288" s="444">
        <f t="shared" si="204"/>
        <v>0</v>
      </c>
      <c r="R288" s="445">
        <f t="shared" si="204"/>
        <v>0</v>
      </c>
      <c r="S288" s="445">
        <f t="shared" si="204"/>
        <v>0</v>
      </c>
      <c r="T288" s="446">
        <f t="shared" si="204"/>
        <v>0</v>
      </c>
      <c r="U288" s="444">
        <f t="shared" si="204"/>
        <v>0</v>
      </c>
      <c r="V288" s="445">
        <f t="shared" si="204"/>
        <v>0</v>
      </c>
      <c r="W288" s="445">
        <f t="shared" si="204"/>
        <v>0</v>
      </c>
      <c r="X288" s="446">
        <f t="shared" si="204"/>
        <v>0</v>
      </c>
      <c r="Y288" s="444">
        <f t="shared" si="204"/>
        <v>0</v>
      </c>
      <c r="Z288" s="445">
        <f t="shared" si="204"/>
        <v>0</v>
      </c>
      <c r="AA288" s="445">
        <f t="shared" si="204"/>
        <v>0</v>
      </c>
      <c r="AB288" s="446">
        <f t="shared" si="204"/>
        <v>0</v>
      </c>
      <c r="AC288" s="444">
        <f t="shared" si="204"/>
        <v>0</v>
      </c>
      <c r="AD288" s="445">
        <f t="shared" si="204"/>
        <v>0</v>
      </c>
      <c r="AE288" s="445">
        <f t="shared" si="204"/>
        <v>0</v>
      </c>
      <c r="AF288" s="446">
        <f t="shared" si="204"/>
        <v>0</v>
      </c>
      <c r="AG288" s="444">
        <f t="shared" si="204"/>
        <v>0</v>
      </c>
      <c r="AH288" s="445">
        <f t="shared" si="204"/>
        <v>0</v>
      </c>
      <c r="AI288" s="445">
        <f t="shared" si="204"/>
        <v>0</v>
      </c>
      <c r="AJ288" s="446">
        <f t="shared" si="204"/>
        <v>0</v>
      </c>
      <c r="AK288" s="444">
        <f t="shared" si="204"/>
        <v>0</v>
      </c>
      <c r="AL288" s="445">
        <f t="shared" si="204"/>
        <v>0</v>
      </c>
      <c r="AM288" s="445">
        <f t="shared" si="204"/>
        <v>0</v>
      </c>
      <c r="AN288" s="446">
        <f t="shared" si="204"/>
        <v>0</v>
      </c>
      <c r="AO288" s="444">
        <f t="shared" si="204"/>
        <v>0</v>
      </c>
      <c r="AP288" s="445">
        <f t="shared" si="204"/>
        <v>0</v>
      </c>
      <c r="AQ288" s="445">
        <f t="shared" si="204"/>
        <v>0</v>
      </c>
      <c r="AR288" s="446">
        <f t="shared" si="204"/>
        <v>0</v>
      </c>
      <c r="AS288" s="444">
        <f t="shared" si="204"/>
        <v>0</v>
      </c>
      <c r="AT288" s="445">
        <f t="shared" si="204"/>
        <v>0</v>
      </c>
      <c r="AU288" s="445">
        <f t="shared" si="204"/>
        <v>0</v>
      </c>
      <c r="AV288" s="446">
        <f t="shared" si="204"/>
        <v>0</v>
      </c>
      <c r="AW288" s="473"/>
    </row>
    <row r="289" spans="1:49" s="424" customFormat="1" ht="13.5" customHeight="1">
      <c r="A289" s="1947"/>
      <c r="B289" s="1953"/>
      <c r="C289" s="447" t="s">
        <v>450</v>
      </c>
      <c r="D289" s="448">
        <f t="shared" ref="D289:AV289" si="205">SUM(D299,D304,D309,D314,D319,D324,D329,D334,D339,D344)</f>
        <v>0</v>
      </c>
      <c r="E289" s="453">
        <f t="shared" si="205"/>
        <v>0</v>
      </c>
      <c r="F289" s="454">
        <f t="shared" si="205"/>
        <v>0</v>
      </c>
      <c r="G289" s="454">
        <f t="shared" si="205"/>
        <v>0</v>
      </c>
      <c r="H289" s="455">
        <f t="shared" si="205"/>
        <v>0</v>
      </c>
      <c r="I289" s="453">
        <f t="shared" si="205"/>
        <v>0</v>
      </c>
      <c r="J289" s="454">
        <f t="shared" si="205"/>
        <v>0</v>
      </c>
      <c r="K289" s="454">
        <f t="shared" si="205"/>
        <v>0</v>
      </c>
      <c r="L289" s="455">
        <f t="shared" si="205"/>
        <v>0</v>
      </c>
      <c r="M289" s="453">
        <f t="shared" si="205"/>
        <v>0</v>
      </c>
      <c r="N289" s="454">
        <f t="shared" si="205"/>
        <v>0</v>
      </c>
      <c r="O289" s="454">
        <f t="shared" si="205"/>
        <v>0</v>
      </c>
      <c r="P289" s="455">
        <f t="shared" si="205"/>
        <v>0</v>
      </c>
      <c r="Q289" s="453">
        <f t="shared" si="205"/>
        <v>0</v>
      </c>
      <c r="R289" s="454">
        <f t="shared" si="205"/>
        <v>0</v>
      </c>
      <c r="S289" s="454">
        <f t="shared" si="205"/>
        <v>0</v>
      </c>
      <c r="T289" s="455">
        <f t="shared" si="205"/>
        <v>0</v>
      </c>
      <c r="U289" s="453">
        <f t="shared" si="205"/>
        <v>0</v>
      </c>
      <c r="V289" s="454">
        <f t="shared" si="205"/>
        <v>0</v>
      </c>
      <c r="W289" s="454">
        <f t="shared" si="205"/>
        <v>0</v>
      </c>
      <c r="X289" s="455">
        <f t="shared" si="205"/>
        <v>0</v>
      </c>
      <c r="Y289" s="453">
        <f t="shared" si="205"/>
        <v>0</v>
      </c>
      <c r="Z289" s="454">
        <f t="shared" si="205"/>
        <v>0</v>
      </c>
      <c r="AA289" s="454">
        <f t="shared" si="205"/>
        <v>0</v>
      </c>
      <c r="AB289" s="455">
        <f t="shared" si="205"/>
        <v>0</v>
      </c>
      <c r="AC289" s="453">
        <f t="shared" si="205"/>
        <v>0</v>
      </c>
      <c r="AD289" s="454">
        <f t="shared" si="205"/>
        <v>0</v>
      </c>
      <c r="AE289" s="454">
        <f t="shared" si="205"/>
        <v>0</v>
      </c>
      <c r="AF289" s="455">
        <f t="shared" si="205"/>
        <v>0</v>
      </c>
      <c r="AG289" s="453">
        <f t="shared" si="205"/>
        <v>0</v>
      </c>
      <c r="AH289" s="454">
        <f t="shared" si="205"/>
        <v>0</v>
      </c>
      <c r="AI289" s="454">
        <f t="shared" si="205"/>
        <v>0</v>
      </c>
      <c r="AJ289" s="455">
        <f t="shared" si="205"/>
        <v>0</v>
      </c>
      <c r="AK289" s="453">
        <f t="shared" si="205"/>
        <v>0</v>
      </c>
      <c r="AL289" s="454">
        <f t="shared" si="205"/>
        <v>0</v>
      </c>
      <c r="AM289" s="454">
        <f t="shared" si="205"/>
        <v>0</v>
      </c>
      <c r="AN289" s="455">
        <f t="shared" si="205"/>
        <v>0</v>
      </c>
      <c r="AO289" s="453">
        <f t="shared" si="205"/>
        <v>0</v>
      </c>
      <c r="AP289" s="454">
        <f t="shared" si="205"/>
        <v>0</v>
      </c>
      <c r="AQ289" s="454">
        <f t="shared" si="205"/>
        <v>0</v>
      </c>
      <c r="AR289" s="455">
        <f t="shared" si="205"/>
        <v>0</v>
      </c>
      <c r="AS289" s="453">
        <f t="shared" si="205"/>
        <v>0</v>
      </c>
      <c r="AT289" s="454">
        <f t="shared" si="205"/>
        <v>0</v>
      </c>
      <c r="AU289" s="454">
        <f t="shared" si="205"/>
        <v>0</v>
      </c>
      <c r="AV289" s="455">
        <f t="shared" si="205"/>
        <v>0</v>
      </c>
      <c r="AW289" s="473"/>
    </row>
    <row r="290" spans="1:49" s="424" customFormat="1" ht="13.5" customHeight="1">
      <c r="A290" s="1947"/>
      <c r="B290" s="1954" t="s">
        <v>894</v>
      </c>
      <c r="C290" s="449" t="s">
        <v>884</v>
      </c>
      <c r="D290" s="434">
        <f>IF(D292=0,0,D293/D292*10000)</f>
        <v>0</v>
      </c>
      <c r="E290" s="435">
        <f t="shared" ref="E290:AV290" si="206">IF(E292=0,0,E293/E292*10000)</f>
        <v>0</v>
      </c>
      <c r="F290" s="436">
        <f t="shared" si="206"/>
        <v>0</v>
      </c>
      <c r="G290" s="436">
        <f t="shared" si="206"/>
        <v>0</v>
      </c>
      <c r="H290" s="437">
        <f t="shared" si="206"/>
        <v>0</v>
      </c>
      <c r="I290" s="435">
        <f t="shared" si="206"/>
        <v>0</v>
      </c>
      <c r="J290" s="436">
        <f t="shared" si="206"/>
        <v>0</v>
      </c>
      <c r="K290" s="436">
        <f t="shared" si="206"/>
        <v>0</v>
      </c>
      <c r="L290" s="437">
        <f t="shared" si="206"/>
        <v>0</v>
      </c>
      <c r="M290" s="435">
        <f t="shared" si="206"/>
        <v>0</v>
      </c>
      <c r="N290" s="436">
        <f t="shared" si="206"/>
        <v>0</v>
      </c>
      <c r="O290" s="436">
        <f t="shared" si="206"/>
        <v>0</v>
      </c>
      <c r="P290" s="437">
        <f t="shared" si="206"/>
        <v>0</v>
      </c>
      <c r="Q290" s="435">
        <f t="shared" si="206"/>
        <v>0</v>
      </c>
      <c r="R290" s="436">
        <f t="shared" si="206"/>
        <v>0</v>
      </c>
      <c r="S290" s="436">
        <f t="shared" si="206"/>
        <v>0</v>
      </c>
      <c r="T290" s="437">
        <f t="shared" si="206"/>
        <v>0</v>
      </c>
      <c r="U290" s="435">
        <f t="shared" si="206"/>
        <v>0</v>
      </c>
      <c r="V290" s="436">
        <f t="shared" si="206"/>
        <v>0</v>
      </c>
      <c r="W290" s="436">
        <f t="shared" si="206"/>
        <v>0</v>
      </c>
      <c r="X290" s="437">
        <f t="shared" si="206"/>
        <v>0</v>
      </c>
      <c r="Y290" s="435">
        <f t="shared" si="206"/>
        <v>0</v>
      </c>
      <c r="Z290" s="436">
        <f t="shared" si="206"/>
        <v>0</v>
      </c>
      <c r="AA290" s="436">
        <f t="shared" si="206"/>
        <v>0</v>
      </c>
      <c r="AB290" s="437">
        <f t="shared" si="206"/>
        <v>0</v>
      </c>
      <c r="AC290" s="435">
        <f t="shared" si="206"/>
        <v>0</v>
      </c>
      <c r="AD290" s="436">
        <f t="shared" si="206"/>
        <v>0</v>
      </c>
      <c r="AE290" s="436">
        <f t="shared" si="206"/>
        <v>0</v>
      </c>
      <c r="AF290" s="437">
        <f t="shared" si="206"/>
        <v>0</v>
      </c>
      <c r="AG290" s="435">
        <f t="shared" si="206"/>
        <v>0</v>
      </c>
      <c r="AH290" s="436">
        <f t="shared" si="206"/>
        <v>0</v>
      </c>
      <c r="AI290" s="436">
        <f t="shared" si="206"/>
        <v>0</v>
      </c>
      <c r="AJ290" s="437">
        <f t="shared" si="206"/>
        <v>0</v>
      </c>
      <c r="AK290" s="435">
        <f t="shared" si="206"/>
        <v>0</v>
      </c>
      <c r="AL290" s="436">
        <f t="shared" si="206"/>
        <v>0</v>
      </c>
      <c r="AM290" s="436">
        <f t="shared" si="206"/>
        <v>0</v>
      </c>
      <c r="AN290" s="437">
        <f t="shared" si="206"/>
        <v>0</v>
      </c>
      <c r="AO290" s="435">
        <f t="shared" si="206"/>
        <v>0</v>
      </c>
      <c r="AP290" s="436">
        <f t="shared" si="206"/>
        <v>0</v>
      </c>
      <c r="AQ290" s="436">
        <f t="shared" si="206"/>
        <v>0</v>
      </c>
      <c r="AR290" s="437">
        <f t="shared" si="206"/>
        <v>0</v>
      </c>
      <c r="AS290" s="435">
        <f t="shared" si="206"/>
        <v>0</v>
      </c>
      <c r="AT290" s="436">
        <f t="shared" si="206"/>
        <v>0</v>
      </c>
      <c r="AU290" s="436">
        <f t="shared" si="206"/>
        <v>0</v>
      </c>
      <c r="AV290" s="437">
        <f t="shared" si="206"/>
        <v>0</v>
      </c>
      <c r="AW290" s="473"/>
    </row>
    <row r="291" spans="1:49" ht="13.5" customHeight="1">
      <c r="A291" s="1947"/>
      <c r="B291" s="1952"/>
      <c r="C291" s="438" t="s">
        <v>881</v>
      </c>
      <c r="D291" s="439">
        <f>SUM(E291:AV291)</f>
        <v>0</v>
      </c>
      <c r="E291" s="440">
        <f t="shared" ref="E291:AV291" si="207">IFERROR(E292/$D292,0)</f>
        <v>0</v>
      </c>
      <c r="F291" s="441">
        <f t="shared" si="207"/>
        <v>0</v>
      </c>
      <c r="G291" s="441">
        <f t="shared" si="207"/>
        <v>0</v>
      </c>
      <c r="H291" s="442">
        <f t="shared" si="207"/>
        <v>0</v>
      </c>
      <c r="I291" s="440">
        <f t="shared" si="207"/>
        <v>0</v>
      </c>
      <c r="J291" s="441">
        <f t="shared" si="207"/>
        <v>0</v>
      </c>
      <c r="K291" s="441">
        <f t="shared" si="207"/>
        <v>0</v>
      </c>
      <c r="L291" s="442">
        <f t="shared" si="207"/>
        <v>0</v>
      </c>
      <c r="M291" s="440">
        <f t="shared" si="207"/>
        <v>0</v>
      </c>
      <c r="N291" s="441">
        <f t="shared" si="207"/>
        <v>0</v>
      </c>
      <c r="O291" s="441">
        <f t="shared" si="207"/>
        <v>0</v>
      </c>
      <c r="P291" s="442">
        <f t="shared" si="207"/>
        <v>0</v>
      </c>
      <c r="Q291" s="440">
        <f t="shared" si="207"/>
        <v>0</v>
      </c>
      <c r="R291" s="441">
        <f t="shared" si="207"/>
        <v>0</v>
      </c>
      <c r="S291" s="441">
        <f t="shared" si="207"/>
        <v>0</v>
      </c>
      <c r="T291" s="442">
        <f t="shared" si="207"/>
        <v>0</v>
      </c>
      <c r="U291" s="440">
        <f t="shared" si="207"/>
        <v>0</v>
      </c>
      <c r="V291" s="441">
        <f t="shared" si="207"/>
        <v>0</v>
      </c>
      <c r="W291" s="441">
        <f t="shared" si="207"/>
        <v>0</v>
      </c>
      <c r="X291" s="442">
        <f t="shared" si="207"/>
        <v>0</v>
      </c>
      <c r="Y291" s="440">
        <f t="shared" si="207"/>
        <v>0</v>
      </c>
      <c r="Z291" s="441">
        <f t="shared" si="207"/>
        <v>0</v>
      </c>
      <c r="AA291" s="441">
        <f t="shared" si="207"/>
        <v>0</v>
      </c>
      <c r="AB291" s="442">
        <f t="shared" si="207"/>
        <v>0</v>
      </c>
      <c r="AC291" s="440">
        <f t="shared" si="207"/>
        <v>0</v>
      </c>
      <c r="AD291" s="441">
        <f t="shared" si="207"/>
        <v>0</v>
      </c>
      <c r="AE291" s="441">
        <f t="shared" si="207"/>
        <v>0</v>
      </c>
      <c r="AF291" s="442">
        <f t="shared" si="207"/>
        <v>0</v>
      </c>
      <c r="AG291" s="440">
        <f t="shared" si="207"/>
        <v>0</v>
      </c>
      <c r="AH291" s="441">
        <f t="shared" si="207"/>
        <v>0</v>
      </c>
      <c r="AI291" s="441">
        <f t="shared" si="207"/>
        <v>0</v>
      </c>
      <c r="AJ291" s="442">
        <f t="shared" si="207"/>
        <v>0</v>
      </c>
      <c r="AK291" s="440">
        <f t="shared" si="207"/>
        <v>0</v>
      </c>
      <c r="AL291" s="441">
        <f t="shared" si="207"/>
        <v>0</v>
      </c>
      <c r="AM291" s="441">
        <f t="shared" si="207"/>
        <v>0</v>
      </c>
      <c r="AN291" s="442">
        <f t="shared" si="207"/>
        <v>0</v>
      </c>
      <c r="AO291" s="440">
        <f t="shared" si="207"/>
        <v>0</v>
      </c>
      <c r="AP291" s="441">
        <f t="shared" si="207"/>
        <v>0</v>
      </c>
      <c r="AQ291" s="441">
        <f t="shared" si="207"/>
        <v>0</v>
      </c>
      <c r="AR291" s="442">
        <f t="shared" si="207"/>
        <v>0</v>
      </c>
      <c r="AS291" s="440">
        <f t="shared" si="207"/>
        <v>0</v>
      </c>
      <c r="AT291" s="441">
        <f t="shared" si="207"/>
        <v>0</v>
      </c>
      <c r="AU291" s="441">
        <f t="shared" si="207"/>
        <v>0</v>
      </c>
      <c r="AV291" s="442">
        <f t="shared" si="207"/>
        <v>0</v>
      </c>
      <c r="AW291" s="78"/>
    </row>
    <row r="292" spans="1:49" s="424" customFormat="1" ht="13.5" customHeight="1">
      <c r="A292" s="1947"/>
      <c r="B292" s="1952"/>
      <c r="C292" s="438" t="s">
        <v>783</v>
      </c>
      <c r="D292" s="443">
        <f t="shared" ref="D292:AV292" si="208">SUM(D347,D352)</f>
        <v>0</v>
      </c>
      <c r="E292" s="444">
        <f t="shared" si="208"/>
        <v>0</v>
      </c>
      <c r="F292" s="445">
        <f t="shared" si="208"/>
        <v>0</v>
      </c>
      <c r="G292" s="445">
        <f t="shared" si="208"/>
        <v>0</v>
      </c>
      <c r="H292" s="446">
        <f t="shared" si="208"/>
        <v>0</v>
      </c>
      <c r="I292" s="444">
        <f t="shared" si="208"/>
        <v>0</v>
      </c>
      <c r="J292" s="445">
        <f t="shared" si="208"/>
        <v>0</v>
      </c>
      <c r="K292" s="445">
        <f t="shared" si="208"/>
        <v>0</v>
      </c>
      <c r="L292" s="446">
        <f t="shared" si="208"/>
        <v>0</v>
      </c>
      <c r="M292" s="444">
        <f t="shared" si="208"/>
        <v>0</v>
      </c>
      <c r="N292" s="445">
        <f t="shared" si="208"/>
        <v>0</v>
      </c>
      <c r="O292" s="445">
        <f t="shared" si="208"/>
        <v>0</v>
      </c>
      <c r="P292" s="446">
        <f t="shared" si="208"/>
        <v>0</v>
      </c>
      <c r="Q292" s="444">
        <f t="shared" si="208"/>
        <v>0</v>
      </c>
      <c r="R292" s="445">
        <f t="shared" si="208"/>
        <v>0</v>
      </c>
      <c r="S292" s="445">
        <f t="shared" si="208"/>
        <v>0</v>
      </c>
      <c r="T292" s="446">
        <f t="shared" si="208"/>
        <v>0</v>
      </c>
      <c r="U292" s="444">
        <f t="shared" si="208"/>
        <v>0</v>
      </c>
      <c r="V292" s="445">
        <f t="shared" si="208"/>
        <v>0</v>
      </c>
      <c r="W292" s="445">
        <f t="shared" si="208"/>
        <v>0</v>
      </c>
      <c r="X292" s="446">
        <f t="shared" si="208"/>
        <v>0</v>
      </c>
      <c r="Y292" s="444">
        <f t="shared" si="208"/>
        <v>0</v>
      </c>
      <c r="Z292" s="445">
        <f t="shared" si="208"/>
        <v>0</v>
      </c>
      <c r="AA292" s="445">
        <f t="shared" si="208"/>
        <v>0</v>
      </c>
      <c r="AB292" s="446">
        <f t="shared" si="208"/>
        <v>0</v>
      </c>
      <c r="AC292" s="444">
        <f t="shared" si="208"/>
        <v>0</v>
      </c>
      <c r="AD292" s="445">
        <f t="shared" si="208"/>
        <v>0</v>
      </c>
      <c r="AE292" s="445">
        <f t="shared" si="208"/>
        <v>0</v>
      </c>
      <c r="AF292" s="446">
        <f t="shared" si="208"/>
        <v>0</v>
      </c>
      <c r="AG292" s="444">
        <f t="shared" si="208"/>
        <v>0</v>
      </c>
      <c r="AH292" s="445">
        <f t="shared" si="208"/>
        <v>0</v>
      </c>
      <c r="AI292" s="445">
        <f t="shared" si="208"/>
        <v>0</v>
      </c>
      <c r="AJ292" s="446">
        <f t="shared" si="208"/>
        <v>0</v>
      </c>
      <c r="AK292" s="444">
        <f t="shared" si="208"/>
        <v>0</v>
      </c>
      <c r="AL292" s="445">
        <f t="shared" si="208"/>
        <v>0</v>
      </c>
      <c r="AM292" s="445">
        <f t="shared" si="208"/>
        <v>0</v>
      </c>
      <c r="AN292" s="446">
        <f t="shared" si="208"/>
        <v>0</v>
      </c>
      <c r="AO292" s="444">
        <f t="shared" si="208"/>
        <v>0</v>
      </c>
      <c r="AP292" s="445">
        <f t="shared" si="208"/>
        <v>0</v>
      </c>
      <c r="AQ292" s="445">
        <f t="shared" si="208"/>
        <v>0</v>
      </c>
      <c r="AR292" s="446">
        <f t="shared" si="208"/>
        <v>0</v>
      </c>
      <c r="AS292" s="444">
        <f t="shared" si="208"/>
        <v>0</v>
      </c>
      <c r="AT292" s="445">
        <f t="shared" si="208"/>
        <v>0</v>
      </c>
      <c r="AU292" s="445">
        <f t="shared" si="208"/>
        <v>0</v>
      </c>
      <c r="AV292" s="446">
        <f t="shared" si="208"/>
        <v>0</v>
      </c>
      <c r="AW292" s="473"/>
    </row>
    <row r="293" spans="1:49" s="424" customFormat="1" ht="13.5" customHeight="1">
      <c r="A293" s="1947"/>
      <c r="B293" s="1952"/>
      <c r="C293" s="438" t="s">
        <v>885</v>
      </c>
      <c r="D293" s="443">
        <f t="shared" ref="D293:AV293" si="209">SUM(D348,D353)</f>
        <v>0</v>
      </c>
      <c r="E293" s="444">
        <f t="shared" si="209"/>
        <v>0</v>
      </c>
      <c r="F293" s="445">
        <f t="shared" si="209"/>
        <v>0</v>
      </c>
      <c r="G293" s="445">
        <f t="shared" si="209"/>
        <v>0</v>
      </c>
      <c r="H293" s="446">
        <f t="shared" si="209"/>
        <v>0</v>
      </c>
      <c r="I293" s="444">
        <f t="shared" si="209"/>
        <v>0</v>
      </c>
      <c r="J293" s="445">
        <f t="shared" si="209"/>
        <v>0</v>
      </c>
      <c r="K293" s="445">
        <f t="shared" si="209"/>
        <v>0</v>
      </c>
      <c r="L293" s="446">
        <f t="shared" si="209"/>
        <v>0</v>
      </c>
      <c r="M293" s="444">
        <f t="shared" si="209"/>
        <v>0</v>
      </c>
      <c r="N293" s="445">
        <f t="shared" si="209"/>
        <v>0</v>
      </c>
      <c r="O293" s="445">
        <f t="shared" si="209"/>
        <v>0</v>
      </c>
      <c r="P293" s="446">
        <f t="shared" si="209"/>
        <v>0</v>
      </c>
      <c r="Q293" s="444">
        <f t="shared" si="209"/>
        <v>0</v>
      </c>
      <c r="R293" s="445">
        <f t="shared" si="209"/>
        <v>0</v>
      </c>
      <c r="S293" s="445">
        <f t="shared" si="209"/>
        <v>0</v>
      </c>
      <c r="T293" s="446">
        <f t="shared" si="209"/>
        <v>0</v>
      </c>
      <c r="U293" s="444">
        <f t="shared" si="209"/>
        <v>0</v>
      </c>
      <c r="V293" s="445">
        <f t="shared" si="209"/>
        <v>0</v>
      </c>
      <c r="W293" s="445">
        <f t="shared" si="209"/>
        <v>0</v>
      </c>
      <c r="X293" s="446">
        <f t="shared" si="209"/>
        <v>0</v>
      </c>
      <c r="Y293" s="444">
        <f t="shared" si="209"/>
        <v>0</v>
      </c>
      <c r="Z293" s="445">
        <f t="shared" si="209"/>
        <v>0</v>
      </c>
      <c r="AA293" s="445">
        <f t="shared" si="209"/>
        <v>0</v>
      </c>
      <c r="AB293" s="446">
        <f t="shared" si="209"/>
        <v>0</v>
      </c>
      <c r="AC293" s="444">
        <f t="shared" si="209"/>
        <v>0</v>
      </c>
      <c r="AD293" s="445">
        <f t="shared" si="209"/>
        <v>0</v>
      </c>
      <c r="AE293" s="445">
        <f t="shared" si="209"/>
        <v>0</v>
      </c>
      <c r="AF293" s="446">
        <f t="shared" si="209"/>
        <v>0</v>
      </c>
      <c r="AG293" s="444">
        <f t="shared" si="209"/>
        <v>0</v>
      </c>
      <c r="AH293" s="445">
        <f t="shared" si="209"/>
        <v>0</v>
      </c>
      <c r="AI293" s="445">
        <f t="shared" si="209"/>
        <v>0</v>
      </c>
      <c r="AJ293" s="446">
        <f t="shared" si="209"/>
        <v>0</v>
      </c>
      <c r="AK293" s="444">
        <f t="shared" si="209"/>
        <v>0</v>
      </c>
      <c r="AL293" s="445">
        <f t="shared" si="209"/>
        <v>0</v>
      </c>
      <c r="AM293" s="445">
        <f t="shared" si="209"/>
        <v>0</v>
      </c>
      <c r="AN293" s="446">
        <f t="shared" si="209"/>
        <v>0</v>
      </c>
      <c r="AO293" s="444">
        <f t="shared" si="209"/>
        <v>0</v>
      </c>
      <c r="AP293" s="445">
        <f t="shared" si="209"/>
        <v>0</v>
      </c>
      <c r="AQ293" s="445">
        <f t="shared" si="209"/>
        <v>0</v>
      </c>
      <c r="AR293" s="446">
        <f t="shared" si="209"/>
        <v>0</v>
      </c>
      <c r="AS293" s="444">
        <f t="shared" si="209"/>
        <v>0</v>
      </c>
      <c r="AT293" s="445">
        <f t="shared" si="209"/>
        <v>0</v>
      </c>
      <c r="AU293" s="445">
        <f t="shared" si="209"/>
        <v>0</v>
      </c>
      <c r="AV293" s="446">
        <f t="shared" si="209"/>
        <v>0</v>
      </c>
      <c r="AW293" s="473"/>
    </row>
    <row r="294" spans="1:49" s="424" customFormat="1" ht="13.5" customHeight="1">
      <c r="A294" s="1947"/>
      <c r="B294" s="1953"/>
      <c r="C294" s="447" t="s">
        <v>886</v>
      </c>
      <c r="D294" s="448">
        <f t="shared" ref="D294:AV294" si="210">SUM(D349,D354)</f>
        <v>0</v>
      </c>
      <c r="E294" s="453">
        <f t="shared" si="210"/>
        <v>0</v>
      </c>
      <c r="F294" s="454">
        <f t="shared" si="210"/>
        <v>0</v>
      </c>
      <c r="G294" s="454">
        <f t="shared" si="210"/>
        <v>0</v>
      </c>
      <c r="H294" s="455">
        <f t="shared" si="210"/>
        <v>0</v>
      </c>
      <c r="I294" s="453">
        <f t="shared" si="210"/>
        <v>0</v>
      </c>
      <c r="J294" s="454">
        <f t="shared" si="210"/>
        <v>0</v>
      </c>
      <c r="K294" s="454">
        <f t="shared" si="210"/>
        <v>0</v>
      </c>
      <c r="L294" s="455">
        <f t="shared" si="210"/>
        <v>0</v>
      </c>
      <c r="M294" s="453">
        <f t="shared" si="210"/>
        <v>0</v>
      </c>
      <c r="N294" s="454">
        <f t="shared" si="210"/>
        <v>0</v>
      </c>
      <c r="O294" s="454">
        <f t="shared" si="210"/>
        <v>0</v>
      </c>
      <c r="P294" s="455">
        <f t="shared" si="210"/>
        <v>0</v>
      </c>
      <c r="Q294" s="453">
        <f t="shared" si="210"/>
        <v>0</v>
      </c>
      <c r="R294" s="454">
        <f t="shared" si="210"/>
        <v>0</v>
      </c>
      <c r="S294" s="454">
        <f t="shared" si="210"/>
        <v>0</v>
      </c>
      <c r="T294" s="455">
        <f t="shared" si="210"/>
        <v>0</v>
      </c>
      <c r="U294" s="453">
        <f t="shared" si="210"/>
        <v>0</v>
      </c>
      <c r="V294" s="454">
        <f t="shared" si="210"/>
        <v>0</v>
      </c>
      <c r="W294" s="454">
        <f t="shared" si="210"/>
        <v>0</v>
      </c>
      <c r="X294" s="455">
        <f t="shared" si="210"/>
        <v>0</v>
      </c>
      <c r="Y294" s="453">
        <f t="shared" si="210"/>
        <v>0</v>
      </c>
      <c r="Z294" s="454">
        <f t="shared" si="210"/>
        <v>0</v>
      </c>
      <c r="AA294" s="454">
        <f t="shared" si="210"/>
        <v>0</v>
      </c>
      <c r="AB294" s="455">
        <f t="shared" si="210"/>
        <v>0</v>
      </c>
      <c r="AC294" s="453">
        <f t="shared" si="210"/>
        <v>0</v>
      </c>
      <c r="AD294" s="454">
        <f t="shared" si="210"/>
        <v>0</v>
      </c>
      <c r="AE294" s="454">
        <f t="shared" si="210"/>
        <v>0</v>
      </c>
      <c r="AF294" s="455">
        <f t="shared" si="210"/>
        <v>0</v>
      </c>
      <c r="AG294" s="453">
        <f t="shared" si="210"/>
        <v>0</v>
      </c>
      <c r="AH294" s="454">
        <f t="shared" si="210"/>
        <v>0</v>
      </c>
      <c r="AI294" s="454">
        <f t="shared" si="210"/>
        <v>0</v>
      </c>
      <c r="AJ294" s="455">
        <f t="shared" si="210"/>
        <v>0</v>
      </c>
      <c r="AK294" s="453">
        <f t="shared" si="210"/>
        <v>0</v>
      </c>
      <c r="AL294" s="454">
        <f t="shared" si="210"/>
        <v>0</v>
      </c>
      <c r="AM294" s="454">
        <f t="shared" si="210"/>
        <v>0</v>
      </c>
      <c r="AN294" s="455">
        <f t="shared" si="210"/>
        <v>0</v>
      </c>
      <c r="AO294" s="453">
        <f t="shared" si="210"/>
        <v>0</v>
      </c>
      <c r="AP294" s="454">
        <f t="shared" si="210"/>
        <v>0</v>
      </c>
      <c r="AQ294" s="454">
        <f t="shared" si="210"/>
        <v>0</v>
      </c>
      <c r="AR294" s="455">
        <f t="shared" si="210"/>
        <v>0</v>
      </c>
      <c r="AS294" s="453">
        <f t="shared" si="210"/>
        <v>0</v>
      </c>
      <c r="AT294" s="454">
        <f t="shared" si="210"/>
        <v>0</v>
      </c>
      <c r="AU294" s="454">
        <f t="shared" si="210"/>
        <v>0</v>
      </c>
      <c r="AV294" s="455">
        <f t="shared" si="210"/>
        <v>0</v>
      </c>
      <c r="AW294" s="473"/>
    </row>
    <row r="295" spans="1:49" s="424" customFormat="1" ht="13.5" customHeight="1" outlineLevel="1">
      <c r="A295" s="1947"/>
      <c r="B295" s="1949" t="str">
        <f>'9.项目开发计划表'!C44</f>
        <v>高层</v>
      </c>
      <c r="C295" s="456" t="s">
        <v>880</v>
      </c>
      <c r="D295" s="457">
        <f>IF(D297=0,0,D298/D297*10000)</f>
        <v>0</v>
      </c>
      <c r="E295" s="505"/>
      <c r="F295" s="506"/>
      <c r="G295" s="506"/>
      <c r="H295" s="507"/>
      <c r="I295" s="505"/>
      <c r="J295" s="506"/>
      <c r="K295" s="506"/>
      <c r="L295" s="507"/>
      <c r="M295" s="505"/>
      <c r="N295" s="506"/>
      <c r="O295" s="506"/>
      <c r="P295" s="507"/>
      <c r="Q295" s="505"/>
      <c r="R295" s="506"/>
      <c r="S295" s="506"/>
      <c r="T295" s="507"/>
      <c r="U295" s="505"/>
      <c r="V295" s="506"/>
      <c r="W295" s="506"/>
      <c r="X295" s="507"/>
      <c r="Y295" s="489"/>
      <c r="Z295" s="489"/>
      <c r="AA295" s="489"/>
      <c r="AB295" s="489"/>
      <c r="AC295" s="489"/>
      <c r="AD295" s="489"/>
      <c r="AE295" s="489"/>
      <c r="AF295" s="489"/>
      <c r="AG295" s="505"/>
      <c r="AH295" s="506"/>
      <c r="AI295" s="506"/>
      <c r="AJ295" s="507"/>
      <c r="AK295" s="505"/>
      <c r="AL295" s="506"/>
      <c r="AM295" s="506"/>
      <c r="AN295" s="507"/>
      <c r="AO295" s="505"/>
      <c r="AP295" s="506"/>
      <c r="AQ295" s="506"/>
      <c r="AR295" s="507"/>
      <c r="AS295" s="505"/>
      <c r="AT295" s="506"/>
      <c r="AU295" s="506"/>
      <c r="AV295" s="507"/>
      <c r="AW295" s="424" t="str">
        <f>B295</f>
        <v>高层</v>
      </c>
    </row>
    <row r="296" spans="1:49" ht="13.5" customHeight="1" outlineLevel="1">
      <c r="A296" s="1947"/>
      <c r="B296" s="1949"/>
      <c r="C296" s="461" t="s">
        <v>881</v>
      </c>
      <c r="D296" s="462">
        <f t="shared" ref="D296:D299" si="211">SUM(E296:AV296)</f>
        <v>0</v>
      </c>
      <c r="E296" s="494"/>
      <c r="F296" s="491"/>
      <c r="G296" s="491"/>
      <c r="H296" s="493"/>
      <c r="I296" s="494"/>
      <c r="J296" s="491"/>
      <c r="K296" s="491"/>
      <c r="L296" s="493"/>
      <c r="M296" s="494"/>
      <c r="N296" s="491"/>
      <c r="O296" s="491"/>
      <c r="P296" s="493"/>
      <c r="Q296" s="494"/>
      <c r="R296" s="491"/>
      <c r="S296" s="491"/>
      <c r="T296" s="493"/>
      <c r="U296" s="494"/>
      <c r="V296" s="491"/>
      <c r="W296" s="491"/>
      <c r="X296" s="493"/>
      <c r="Y296" s="490"/>
      <c r="Z296" s="490"/>
      <c r="AA296" s="490"/>
      <c r="AB296" s="490"/>
      <c r="AC296" s="490"/>
      <c r="AD296" s="490"/>
      <c r="AE296" s="490"/>
      <c r="AF296" s="490"/>
      <c r="AG296" s="494"/>
      <c r="AH296" s="491"/>
      <c r="AI296" s="491"/>
      <c r="AJ296" s="493"/>
      <c r="AK296" s="494"/>
      <c r="AL296" s="491"/>
      <c r="AM296" s="491"/>
      <c r="AN296" s="493"/>
      <c r="AO296" s="494"/>
      <c r="AP296" s="491"/>
      <c r="AQ296" s="491"/>
      <c r="AR296" s="493"/>
      <c r="AS296" s="494"/>
      <c r="AT296" s="491"/>
      <c r="AU296" s="491"/>
      <c r="AV296" s="493"/>
      <c r="AW296" s="424" t="str">
        <f t="shared" ref="AW296:AW299" si="212">AW295</f>
        <v>高层</v>
      </c>
    </row>
    <row r="297" spans="1:49" s="424" customFormat="1" ht="13.5" customHeight="1" outlineLevel="1">
      <c r="A297" s="1947"/>
      <c r="B297" s="1949"/>
      <c r="C297" s="461" t="s">
        <v>682</v>
      </c>
      <c r="D297" s="466">
        <f t="shared" si="211"/>
        <v>0</v>
      </c>
      <c r="E297" s="382">
        <f>E296*'9.项目开发计划表'!$G$44</f>
        <v>0</v>
      </c>
      <c r="F297" s="397">
        <f>F296*'9.项目开发计划表'!$G$44</f>
        <v>0</v>
      </c>
      <c r="G297" s="397">
        <f>G296*'9.项目开发计划表'!$G$44</f>
        <v>0</v>
      </c>
      <c r="H297" s="467">
        <f>H296*'9.项目开发计划表'!$G$44</f>
        <v>0</v>
      </c>
      <c r="I297" s="382">
        <f>I296*'9.项目开发计划表'!$G$44</f>
        <v>0</v>
      </c>
      <c r="J297" s="397">
        <f>J296*'9.项目开发计划表'!$G$44</f>
        <v>0</v>
      </c>
      <c r="K297" s="397">
        <f>K296*'9.项目开发计划表'!$G$44</f>
        <v>0</v>
      </c>
      <c r="L297" s="467">
        <f>L296*'9.项目开发计划表'!$G$44</f>
        <v>0</v>
      </c>
      <c r="M297" s="382">
        <f>M296*'9.项目开发计划表'!$G$44</f>
        <v>0</v>
      </c>
      <c r="N297" s="397">
        <f>N296*'9.项目开发计划表'!$G$44</f>
        <v>0</v>
      </c>
      <c r="O297" s="397">
        <f>O296*'9.项目开发计划表'!$G$44</f>
        <v>0</v>
      </c>
      <c r="P297" s="467">
        <f>P296*'9.项目开发计划表'!$G$44</f>
        <v>0</v>
      </c>
      <c r="Q297" s="382">
        <f>Q296*'9.项目开发计划表'!$G$44</f>
        <v>0</v>
      </c>
      <c r="R297" s="397">
        <f>R296*'9.项目开发计划表'!$G$44</f>
        <v>0</v>
      </c>
      <c r="S297" s="397">
        <f>S296*'9.项目开发计划表'!$G$44</f>
        <v>0</v>
      </c>
      <c r="T297" s="467">
        <f>T296*'9.项目开发计划表'!$G$44</f>
        <v>0</v>
      </c>
      <c r="U297" s="382">
        <f>U296*'9.项目开发计划表'!$G$44</f>
        <v>0</v>
      </c>
      <c r="V297" s="397">
        <f>V296*'9.项目开发计划表'!$G$44</f>
        <v>0</v>
      </c>
      <c r="W297" s="397">
        <f>W296*'9.项目开发计划表'!$G$44</f>
        <v>0</v>
      </c>
      <c r="X297" s="467">
        <f>X296*'9.项目开发计划表'!$G$44</f>
        <v>0</v>
      </c>
      <c r="Y297" s="382">
        <f>Y296*'9.项目开发计划表'!$G$44</f>
        <v>0</v>
      </c>
      <c r="Z297" s="397">
        <f>Z296*'9.项目开发计划表'!$G$44</f>
        <v>0</v>
      </c>
      <c r="AA297" s="397">
        <f>AA296*'9.项目开发计划表'!$G$44</f>
        <v>0</v>
      </c>
      <c r="AB297" s="467">
        <f>AB296*'9.项目开发计划表'!$G$44</f>
        <v>0</v>
      </c>
      <c r="AC297" s="382">
        <f>AC296*'9.项目开发计划表'!$G$44</f>
        <v>0</v>
      </c>
      <c r="AD297" s="397">
        <f>AD296*'9.项目开发计划表'!$G$44</f>
        <v>0</v>
      </c>
      <c r="AE297" s="397">
        <f>AE296*'9.项目开发计划表'!$G$44</f>
        <v>0</v>
      </c>
      <c r="AF297" s="467">
        <f>AF296*'9.项目开发计划表'!$G$44</f>
        <v>0</v>
      </c>
      <c r="AG297" s="382">
        <f>AG296*'9.项目开发计划表'!$G$44</f>
        <v>0</v>
      </c>
      <c r="AH297" s="397">
        <f>AH296*'9.项目开发计划表'!$G$44</f>
        <v>0</v>
      </c>
      <c r="AI297" s="397">
        <f>AI296*'9.项目开发计划表'!$G$44</f>
        <v>0</v>
      </c>
      <c r="AJ297" s="467">
        <f>AJ296*'9.项目开发计划表'!$G$44</f>
        <v>0</v>
      </c>
      <c r="AK297" s="382">
        <f>AK296*'9.项目开发计划表'!$G$44</f>
        <v>0</v>
      </c>
      <c r="AL297" s="397">
        <f>AL296*'9.项目开发计划表'!$G$44</f>
        <v>0</v>
      </c>
      <c r="AM297" s="397">
        <f>AM296*'9.项目开发计划表'!$G$44</f>
        <v>0</v>
      </c>
      <c r="AN297" s="467">
        <f>AN296*'9.项目开发计划表'!$G$44</f>
        <v>0</v>
      </c>
      <c r="AO297" s="382">
        <f>AO296*'9.项目开发计划表'!$G$44</f>
        <v>0</v>
      </c>
      <c r="AP297" s="397">
        <f>AP296*'9.项目开发计划表'!$G$44</f>
        <v>0</v>
      </c>
      <c r="AQ297" s="397">
        <f>AQ296*'9.项目开发计划表'!$G$44</f>
        <v>0</v>
      </c>
      <c r="AR297" s="467">
        <f>AR296*'9.项目开发计划表'!$G$44</f>
        <v>0</v>
      </c>
      <c r="AS297" s="382">
        <f>AS296*'9.项目开发计划表'!$G$44</f>
        <v>0</v>
      </c>
      <c r="AT297" s="397">
        <f>AT296*'9.项目开发计划表'!$G$44</f>
        <v>0</v>
      </c>
      <c r="AU297" s="397">
        <f>AU296*'9.项目开发计划表'!$G$44</f>
        <v>0</v>
      </c>
      <c r="AV297" s="467">
        <f>AV296*'9.项目开发计划表'!$G$44</f>
        <v>0</v>
      </c>
      <c r="AW297" s="424" t="str">
        <f t="shared" si="212"/>
        <v>高层</v>
      </c>
    </row>
    <row r="298" spans="1:49" s="424" customFormat="1" ht="13.5" customHeight="1" outlineLevel="1">
      <c r="A298" s="1947"/>
      <c r="B298" s="1949"/>
      <c r="C298" s="461" t="s">
        <v>882</v>
      </c>
      <c r="D298" s="466">
        <f t="shared" si="211"/>
        <v>0</v>
      </c>
      <c r="E298" s="382">
        <f t="shared" ref="E298:AV298" si="213">E295*E297/10000</f>
        <v>0</v>
      </c>
      <c r="F298" s="397">
        <f t="shared" si="213"/>
        <v>0</v>
      </c>
      <c r="G298" s="397">
        <f t="shared" si="213"/>
        <v>0</v>
      </c>
      <c r="H298" s="467">
        <f t="shared" si="213"/>
        <v>0</v>
      </c>
      <c r="I298" s="382">
        <f t="shared" si="213"/>
        <v>0</v>
      </c>
      <c r="J298" s="397">
        <f t="shared" si="213"/>
        <v>0</v>
      </c>
      <c r="K298" s="397">
        <f t="shared" si="213"/>
        <v>0</v>
      </c>
      <c r="L298" s="467">
        <f t="shared" si="213"/>
        <v>0</v>
      </c>
      <c r="M298" s="382">
        <f t="shared" si="213"/>
        <v>0</v>
      </c>
      <c r="N298" s="397">
        <f t="shared" si="213"/>
        <v>0</v>
      </c>
      <c r="O298" s="397">
        <f t="shared" si="213"/>
        <v>0</v>
      </c>
      <c r="P298" s="467">
        <f t="shared" si="213"/>
        <v>0</v>
      </c>
      <c r="Q298" s="382">
        <f t="shared" si="213"/>
        <v>0</v>
      </c>
      <c r="R298" s="397">
        <f t="shared" si="213"/>
        <v>0</v>
      </c>
      <c r="S298" s="397">
        <f t="shared" si="213"/>
        <v>0</v>
      </c>
      <c r="T298" s="467">
        <f t="shared" si="213"/>
        <v>0</v>
      </c>
      <c r="U298" s="382">
        <f t="shared" si="213"/>
        <v>0</v>
      </c>
      <c r="V298" s="397">
        <f t="shared" si="213"/>
        <v>0</v>
      </c>
      <c r="W298" s="397">
        <f t="shared" si="213"/>
        <v>0</v>
      </c>
      <c r="X298" s="467">
        <f t="shared" si="213"/>
        <v>0</v>
      </c>
      <c r="Y298" s="382">
        <f t="shared" si="213"/>
        <v>0</v>
      </c>
      <c r="Z298" s="397">
        <f t="shared" si="213"/>
        <v>0</v>
      </c>
      <c r="AA298" s="397">
        <f t="shared" si="213"/>
        <v>0</v>
      </c>
      <c r="AB298" s="467">
        <f t="shared" si="213"/>
        <v>0</v>
      </c>
      <c r="AC298" s="382">
        <f t="shared" si="213"/>
        <v>0</v>
      </c>
      <c r="AD298" s="397">
        <f t="shared" si="213"/>
        <v>0</v>
      </c>
      <c r="AE298" s="397">
        <f t="shared" si="213"/>
        <v>0</v>
      </c>
      <c r="AF298" s="467">
        <f t="shared" si="213"/>
        <v>0</v>
      </c>
      <c r="AG298" s="382">
        <f t="shared" si="213"/>
        <v>0</v>
      </c>
      <c r="AH298" s="397">
        <f t="shared" si="213"/>
        <v>0</v>
      </c>
      <c r="AI298" s="397">
        <f t="shared" si="213"/>
        <v>0</v>
      </c>
      <c r="AJ298" s="467">
        <f t="shared" si="213"/>
        <v>0</v>
      </c>
      <c r="AK298" s="382">
        <f t="shared" si="213"/>
        <v>0</v>
      </c>
      <c r="AL298" s="397">
        <f t="shared" si="213"/>
        <v>0</v>
      </c>
      <c r="AM298" s="397">
        <f t="shared" si="213"/>
        <v>0</v>
      </c>
      <c r="AN298" s="467">
        <f t="shared" si="213"/>
        <v>0</v>
      </c>
      <c r="AO298" s="382">
        <f t="shared" si="213"/>
        <v>0</v>
      </c>
      <c r="AP298" s="397">
        <f t="shared" si="213"/>
        <v>0</v>
      </c>
      <c r="AQ298" s="397">
        <f t="shared" si="213"/>
        <v>0</v>
      </c>
      <c r="AR298" s="467">
        <f t="shared" si="213"/>
        <v>0</v>
      </c>
      <c r="AS298" s="382">
        <f t="shared" si="213"/>
        <v>0</v>
      </c>
      <c r="AT298" s="397">
        <f t="shared" si="213"/>
        <v>0</v>
      </c>
      <c r="AU298" s="397">
        <f t="shared" si="213"/>
        <v>0</v>
      </c>
      <c r="AV298" s="467">
        <f t="shared" si="213"/>
        <v>0</v>
      </c>
      <c r="AW298" s="424" t="str">
        <f t="shared" si="212"/>
        <v>高层</v>
      </c>
    </row>
    <row r="299" spans="1:49" s="424" customFormat="1" ht="13.5" customHeight="1" outlineLevel="1">
      <c r="A299" s="1947"/>
      <c r="B299" s="1949"/>
      <c r="C299" s="508" t="s">
        <v>450</v>
      </c>
      <c r="D299" s="468">
        <f t="shared" si="211"/>
        <v>0</v>
      </c>
      <c r="E299" s="386">
        <f>SUMIF($I$1:$T$1,B295,$I$2:$T$2)*E298</f>
        <v>0</v>
      </c>
      <c r="F299" s="399">
        <f>(1-SUMIF($I$1:$T$1,B295,$I$2:$T$2))*E298+SUMIF($I$1:$T$1,B295,$I$2:$T$2)*F298</f>
        <v>0</v>
      </c>
      <c r="G299" s="399">
        <f>(1-SUMIF($I$1:$T$1,B295,$I$2:$T$2))*F298+SUMIF($I$1:$T$1,B295,$I$2:$T$2)*G298</f>
        <v>0</v>
      </c>
      <c r="H299" s="404">
        <f>(1-SUMIF($I$1:$T$1,B295,$I$2:$T$2))*G298+SUMIF($I$1:$T$1,B295,$I$2:$T$2)*H298</f>
        <v>0</v>
      </c>
      <c r="I299" s="386">
        <f>(1-SUMIF($I$1:$T$1,B295,$I$2:$T$2))*H298+SUMIF($I$1:$T$1,B295,$I$2:$T$2)*I298</f>
        <v>0</v>
      </c>
      <c r="J299" s="399">
        <f>(1-SUMIF($I$1:$T$1,B295,$I$2:$T$2))*I298+SUMIF($I$1:$T$1,B295,$I$2:$T$2)*J298</f>
        <v>0</v>
      </c>
      <c r="K299" s="399">
        <f>(1-SUMIF($I$1:$T$1,B295,$I$2:$T$2))*J298+SUMIF($I$1:$T$1,B295,$I$2:$T$2)*K298</f>
        <v>0</v>
      </c>
      <c r="L299" s="404">
        <f>(1-SUMIF($I$1:$T$1,B295,$I$2:$T$2))*K298+SUMIF($I$1:$T$1,B295,$I$2:$T$2)*L298</f>
        <v>0</v>
      </c>
      <c r="M299" s="386">
        <f>(1-SUMIF($I$1:$T$1,B295,$I$2:$T$2))*L298+SUMIF($I$1:$T$1,B295,$I$2:$T$2)*M298</f>
        <v>0</v>
      </c>
      <c r="N299" s="399">
        <f>(1-SUMIF($I$1:$T$1,B295,$I$2:$T$2))*M298+SUMIF($I$1:$T$1,B295,$I$2:$T$2)*N298</f>
        <v>0</v>
      </c>
      <c r="O299" s="399">
        <f>(1-SUMIF($I$1:$T$1,B295,$I$2:$T$2))*N298+SUMIF($I$1:$T$1,B295,$I$2:$T$2)*O298</f>
        <v>0</v>
      </c>
      <c r="P299" s="404">
        <f>(1-SUMIF($I$1:$T$1,B295,$I$2:$T$2))*O298+SUMIF($I$1:$T$1,B295,$I$2:$T$2)*P298</f>
        <v>0</v>
      </c>
      <c r="Q299" s="386">
        <f>(1-SUMIF($I$1:$T$1,B295,$I$2:$T$2))*P298+SUMIF($I$1:$T$1,B295,$I$2:$T$2)*Q298</f>
        <v>0</v>
      </c>
      <c r="R299" s="399">
        <f>(1-SUMIF($I$1:$T$1,B295,$I$2:$T$2))*Q298+SUMIF($I$1:$T$1,B295,$I$2:$T$2)*R298</f>
        <v>0</v>
      </c>
      <c r="S299" s="399">
        <f>(1-SUMIF($I$1:$T$1,B295,$I$2:$T$2))*R298+SUMIF($I$1:$T$1,B295,$I$2:$T$2)*S298</f>
        <v>0</v>
      </c>
      <c r="T299" s="404">
        <f>(1-SUMIF($I$1:$T$1,B295,$I$2:$T$2))*S298+SUMIF($I$1:$T$1,B295,$I$2:$T$2)*T298</f>
        <v>0</v>
      </c>
      <c r="U299" s="386">
        <f>(1-SUMIF($I$1:$T$1,B295,$I$2:$T$2))*T298+SUMIF($I$1:$T$1,B295,$I$2:$T$2)*U298</f>
        <v>0</v>
      </c>
      <c r="V299" s="399">
        <f>(1-SUMIF($I$1:$T$1,B295,$I$2:$T$2))*U298+SUMIF($I$1:$T$1,B295,$I$2:$T$2)*V298</f>
        <v>0</v>
      </c>
      <c r="W299" s="399">
        <f>(1-SUMIF($I$1:$T$1,B295,$I$2:$T$2))*V298+SUMIF($I$1:$T$1,B295,$I$2:$T$2)*W298</f>
        <v>0</v>
      </c>
      <c r="X299" s="404">
        <f>(1-SUMIF($I$1:$T$1,B295,$I$2:$T$2))*W298+SUMIF($I$1:$T$1,B295,$I$2:$T$2)*X298</f>
        <v>0</v>
      </c>
      <c r="Y299" s="386">
        <f>(1-SUMIF($I$1:$T$1,B295,$I$2:$T$2))*X298+SUMIF($I$1:$T$1,B295,$I$2:$T$2)*Y298</f>
        <v>0</v>
      </c>
      <c r="Z299" s="399">
        <f>(1-SUMIF($I$1:$T$1,B295,$I$2:$T$2))*Y298+SUMIF($I$1:$T$1,B295,$I$2:$T$2)*Z298</f>
        <v>0</v>
      </c>
      <c r="AA299" s="399">
        <f>(1-SUMIF($I$1:$T$1,B295,$I$2:$T$2))*Z298+SUMIF($I$1:$T$1,B295,$I$2:$T$2)*AA298</f>
        <v>0</v>
      </c>
      <c r="AB299" s="404">
        <f>(1-SUMIF($I$1:$T$1,B295,$I$2:$T$2))*AA298+SUMIF($I$1:$T$1,B295,$I$2:$T$2)*AB298</f>
        <v>0</v>
      </c>
      <c r="AC299" s="386">
        <f>(1-SUMIF($I$1:$T$1,B295,$I$2:$T$2))*AB298+SUMIF($I$1:$T$1,B295,$I$2:$T$2)*AC298</f>
        <v>0</v>
      </c>
      <c r="AD299" s="399">
        <f>(1-SUMIF($I$1:$T$1,B295,$I$2:$T$2))*AC298+SUMIF($I$1:$T$1,B295,$I$2:$T$2)*AD298</f>
        <v>0</v>
      </c>
      <c r="AE299" s="399">
        <f>(1-SUMIF($I$1:$T$1,B295,$I$2:$T$2))*AD298+SUMIF($I$1:$T$1,B295,$I$2:$T$2)*AE298</f>
        <v>0</v>
      </c>
      <c r="AF299" s="404">
        <f>(1-SUMIF($I$1:$T$1,B295,$I$2:$T$2))*AE298+SUMIF($I$1:$T$1,B295,$I$2:$T$2)*AF298</f>
        <v>0</v>
      </c>
      <c r="AG299" s="386">
        <f>(1-SUMIF($I$1:$T$1,B295,$I$2:$T$2))*AF298+SUMIF($I$1:$T$1,B295,$I$2:$T$2)*AG298</f>
        <v>0</v>
      </c>
      <c r="AH299" s="399">
        <f>(1-SUMIF($I$1:$T$1,B295,$I$2:$T$2))*AG298+SUMIF($I$1:$T$1,B295,$I$2:$T$2)*AH298</f>
        <v>0</v>
      </c>
      <c r="AI299" s="399">
        <f>(1-SUMIF($I$1:$T$1,B295,$I$2:$T$2))*AH298+SUMIF($I$1:$T$1,B295,$I$2:$T$2)*AI298</f>
        <v>0</v>
      </c>
      <c r="AJ299" s="404">
        <f>(1-SUMIF($I$1:$T$1,B295,$I$2:$T$2))*AI298+SUMIF($I$1:$T$1,B295,$I$2:$T$2)*AJ298</f>
        <v>0</v>
      </c>
      <c r="AK299" s="386">
        <f>(1-SUMIF($I$1:$T$1,B295,$I$2:$T$2))*AJ298+SUMIF($I$1:$T$1,B295,$I$2:$T$2)*AK298</f>
        <v>0</v>
      </c>
      <c r="AL299" s="399">
        <f>(1-SUMIF($I$1:$T$1,B295,$I$2:$T$2))*AK298+SUMIF($I$1:$T$1,B295,$I$2:$T$2)*AL298</f>
        <v>0</v>
      </c>
      <c r="AM299" s="399">
        <f>(1-SUMIF($I$1:$T$1,B295,$I$2:$T$2))*AL298+SUMIF($I$1:$T$1,B295,$I$2:$T$2)*AM298</f>
        <v>0</v>
      </c>
      <c r="AN299" s="404">
        <f>(1-SUMIF($I$1:$T$1,B295,$I$2:$T$2))*AM298+SUMIF($I$1:$T$1,B295,$I$2:$T$2)*AN298</f>
        <v>0</v>
      </c>
      <c r="AO299" s="386">
        <f>(1-SUMIF($I$1:$T$1,B295,$I$2:$T$2))*AN298+SUMIF($I$1:$T$1,B295,$I$2:$T$2)*AO298</f>
        <v>0</v>
      </c>
      <c r="AP299" s="399">
        <f>(1-SUMIF($I$1:$T$1,B295,$I$2:$T$2))*AO298+SUMIF($I$1:$T$1,B295,$I$2:$T$2)*AP298</f>
        <v>0</v>
      </c>
      <c r="AQ299" s="399">
        <f>(1-SUMIF($I$1:$T$1,B295,$I$2:$T$2))*AP298+SUMIF($I$1:$T$1,B295,$I$2:$T$2)*AQ298</f>
        <v>0</v>
      </c>
      <c r="AR299" s="404">
        <f>(1-SUMIF($I$1:$T$1,B295,$I$2:$T$2))*AQ298+SUMIF($I$1:$T$1,B295,$I$2:$T$2)*AR298</f>
        <v>0</v>
      </c>
      <c r="AS299" s="386">
        <f>(1-SUMIF($I$1:$T$1,B295,$I$2:$T$2))*AR298+SUMIF($I$1:$T$1,B295,$I$2:$T$2)*AS298</f>
        <v>0</v>
      </c>
      <c r="AT299" s="399">
        <f>(1-SUMIF($I$1:$T$1,B295,$I$2:$T$2))*AS298+SUMIF($I$1:$T$1,B295,$I$2:$T$2)*AT298</f>
        <v>0</v>
      </c>
      <c r="AU299" s="399">
        <f>(1-SUMIF($I$1:$T$1,B295,$I$2:$T$2))*AT298+SUMIF($I$1:$T$1,B295,$I$2:$T$2)*AU298</f>
        <v>0</v>
      </c>
      <c r="AV299" s="404">
        <f>(1-SUMIF($I$1:$T$1,B295,$I$2:$T$2))*AU298+SUMIF($I$1:$T$1,B295,$I$2:$T$2)*AV298</f>
        <v>0</v>
      </c>
      <c r="AW299" s="424" t="str">
        <f t="shared" si="212"/>
        <v>高层</v>
      </c>
    </row>
    <row r="300" spans="1:49" s="424" customFormat="1" ht="13.5" customHeight="1" outlineLevel="1">
      <c r="A300" s="1947"/>
      <c r="B300" s="1949" t="str">
        <f>'9.项目开发计划表'!C45</f>
        <v>商铺</v>
      </c>
      <c r="C300" s="456" t="s">
        <v>880</v>
      </c>
      <c r="D300" s="457">
        <f>IF(D302=0,0,D303/D302*10000)</f>
        <v>0</v>
      </c>
      <c r="E300" s="505"/>
      <c r="F300" s="506"/>
      <c r="G300" s="506"/>
      <c r="H300" s="507"/>
      <c r="I300" s="505"/>
      <c r="J300" s="506"/>
      <c r="K300" s="506"/>
      <c r="L300" s="507"/>
      <c r="M300" s="505"/>
      <c r="N300" s="506"/>
      <c r="O300" s="506"/>
      <c r="P300" s="507"/>
      <c r="Q300" s="505"/>
      <c r="R300" s="506"/>
      <c r="S300" s="506"/>
      <c r="T300" s="507"/>
      <c r="U300" s="505"/>
      <c r="V300" s="506"/>
      <c r="W300" s="506"/>
      <c r="X300" s="507"/>
      <c r="Y300" s="505"/>
      <c r="Z300" s="506"/>
      <c r="AA300" s="506"/>
      <c r="AB300" s="507"/>
      <c r="AC300" s="505"/>
      <c r="AD300" s="506"/>
      <c r="AE300" s="506"/>
      <c r="AF300" s="507"/>
      <c r="AG300" s="505"/>
      <c r="AH300" s="506"/>
      <c r="AI300" s="506"/>
      <c r="AJ300" s="507"/>
      <c r="AK300" s="505"/>
      <c r="AL300" s="506"/>
      <c r="AM300" s="506"/>
      <c r="AN300" s="507"/>
      <c r="AO300" s="505"/>
      <c r="AP300" s="506"/>
      <c r="AQ300" s="506"/>
      <c r="AR300" s="507"/>
      <c r="AS300" s="505"/>
      <c r="AT300" s="506"/>
      <c r="AU300" s="506"/>
      <c r="AV300" s="507"/>
      <c r="AW300" s="424" t="str">
        <f>B300</f>
        <v>商铺</v>
      </c>
    </row>
    <row r="301" spans="1:49" ht="13.5" customHeight="1" outlineLevel="1">
      <c r="A301" s="1947"/>
      <c r="B301" s="1949"/>
      <c r="C301" s="461" t="s">
        <v>881</v>
      </c>
      <c r="D301" s="462">
        <f t="shared" ref="D301:D304" si="214">SUM(E301:AV301)</f>
        <v>0</v>
      </c>
      <c r="E301" s="494"/>
      <c r="F301" s="491"/>
      <c r="G301" s="491"/>
      <c r="H301" s="493"/>
      <c r="I301" s="494"/>
      <c r="J301" s="491"/>
      <c r="K301" s="491"/>
      <c r="L301" s="493"/>
      <c r="M301" s="494"/>
      <c r="N301" s="491"/>
      <c r="O301" s="491"/>
      <c r="P301" s="493"/>
      <c r="Q301" s="494"/>
      <c r="R301" s="491"/>
      <c r="S301" s="491"/>
      <c r="T301" s="493"/>
      <c r="U301" s="494"/>
      <c r="V301" s="491"/>
      <c r="W301" s="491"/>
      <c r="X301" s="493"/>
      <c r="Y301" s="494"/>
      <c r="Z301" s="491"/>
      <c r="AA301" s="491"/>
      <c r="AB301" s="493"/>
      <c r="AC301" s="494"/>
      <c r="AD301" s="491"/>
      <c r="AE301" s="491"/>
      <c r="AF301" s="493"/>
      <c r="AG301" s="494"/>
      <c r="AH301" s="491"/>
      <c r="AI301" s="491"/>
      <c r="AJ301" s="493"/>
      <c r="AK301" s="494"/>
      <c r="AL301" s="491"/>
      <c r="AM301" s="491"/>
      <c r="AN301" s="493"/>
      <c r="AO301" s="494"/>
      <c r="AP301" s="491"/>
      <c r="AQ301" s="491"/>
      <c r="AR301" s="493"/>
      <c r="AS301" s="494"/>
      <c r="AT301" s="491"/>
      <c r="AU301" s="491"/>
      <c r="AV301" s="493"/>
      <c r="AW301" s="424" t="str">
        <f t="shared" ref="AW301:AW354" si="215">AW300</f>
        <v>商铺</v>
      </c>
    </row>
    <row r="302" spans="1:49" s="424" customFormat="1" ht="13.5" customHeight="1" outlineLevel="1">
      <c r="A302" s="1947"/>
      <c r="B302" s="1949"/>
      <c r="C302" s="461" t="s">
        <v>682</v>
      </c>
      <c r="D302" s="466">
        <f t="shared" si="214"/>
        <v>0</v>
      </c>
      <c r="E302" s="382">
        <f>E301*'9.项目开发计划表'!$G$45</f>
        <v>0</v>
      </c>
      <c r="F302" s="397">
        <f>F301*'9.项目开发计划表'!$G$45</f>
        <v>0</v>
      </c>
      <c r="G302" s="397">
        <f>G301*'9.项目开发计划表'!$G$45</f>
        <v>0</v>
      </c>
      <c r="H302" s="467">
        <f>H301*'9.项目开发计划表'!$G$45</f>
        <v>0</v>
      </c>
      <c r="I302" s="382">
        <f>I301*'9.项目开发计划表'!$G$45</f>
        <v>0</v>
      </c>
      <c r="J302" s="397">
        <f>J301*'9.项目开发计划表'!$G$45</f>
        <v>0</v>
      </c>
      <c r="K302" s="397">
        <f>K301*'9.项目开发计划表'!$G$45</f>
        <v>0</v>
      </c>
      <c r="L302" s="467">
        <f>L301*'9.项目开发计划表'!$G$45</f>
        <v>0</v>
      </c>
      <c r="M302" s="382">
        <f>M301*'9.项目开发计划表'!$G$45</f>
        <v>0</v>
      </c>
      <c r="N302" s="397">
        <f>N301*'9.项目开发计划表'!$G$45</f>
        <v>0</v>
      </c>
      <c r="O302" s="397">
        <f>O301*'9.项目开发计划表'!$G$45</f>
        <v>0</v>
      </c>
      <c r="P302" s="467">
        <f>P301*'9.项目开发计划表'!$G$45</f>
        <v>0</v>
      </c>
      <c r="Q302" s="382">
        <f>Q301*'9.项目开发计划表'!$G$45</f>
        <v>0</v>
      </c>
      <c r="R302" s="397">
        <f>R301*'9.项目开发计划表'!$G$45</f>
        <v>0</v>
      </c>
      <c r="S302" s="397">
        <f>S301*'9.项目开发计划表'!$G$45</f>
        <v>0</v>
      </c>
      <c r="T302" s="467">
        <f>T301*'9.项目开发计划表'!$G$45</f>
        <v>0</v>
      </c>
      <c r="U302" s="382">
        <f>U301*'9.项目开发计划表'!$G$45</f>
        <v>0</v>
      </c>
      <c r="V302" s="397">
        <f>V301*'9.项目开发计划表'!$G$45</f>
        <v>0</v>
      </c>
      <c r="W302" s="397">
        <f>W301*'9.项目开发计划表'!$G$45</f>
        <v>0</v>
      </c>
      <c r="X302" s="467">
        <f>X301*'9.项目开发计划表'!$G$45</f>
        <v>0</v>
      </c>
      <c r="Y302" s="382">
        <f>Y301*'9.项目开发计划表'!$G$45</f>
        <v>0</v>
      </c>
      <c r="Z302" s="397">
        <f>Z301*'9.项目开发计划表'!$G$45</f>
        <v>0</v>
      </c>
      <c r="AA302" s="397">
        <f>AA301*'9.项目开发计划表'!$G$45</f>
        <v>0</v>
      </c>
      <c r="AB302" s="467">
        <f>AB301*'9.项目开发计划表'!$G$45</f>
        <v>0</v>
      </c>
      <c r="AC302" s="382">
        <f>AC301*'9.项目开发计划表'!$G$45</f>
        <v>0</v>
      </c>
      <c r="AD302" s="397">
        <f>AD301*'9.项目开发计划表'!$G$45</f>
        <v>0</v>
      </c>
      <c r="AE302" s="397">
        <f>AE301*'9.项目开发计划表'!$G$45</f>
        <v>0</v>
      </c>
      <c r="AF302" s="467">
        <f>AF301*'9.项目开发计划表'!$G$45</f>
        <v>0</v>
      </c>
      <c r="AG302" s="382">
        <f>AG301*'9.项目开发计划表'!$G$45</f>
        <v>0</v>
      </c>
      <c r="AH302" s="397">
        <f>AH301*'9.项目开发计划表'!$G$45</f>
        <v>0</v>
      </c>
      <c r="AI302" s="397">
        <f>AI301*'9.项目开发计划表'!$G$45</f>
        <v>0</v>
      </c>
      <c r="AJ302" s="467">
        <f>AJ301*'9.项目开发计划表'!$G$45</f>
        <v>0</v>
      </c>
      <c r="AK302" s="382">
        <f>AK301*'9.项目开发计划表'!$G$45</f>
        <v>0</v>
      </c>
      <c r="AL302" s="397">
        <f>AL301*'9.项目开发计划表'!$G$45</f>
        <v>0</v>
      </c>
      <c r="AM302" s="397">
        <f>AM301*'9.项目开发计划表'!$G$45</f>
        <v>0</v>
      </c>
      <c r="AN302" s="467">
        <f>AN301*'9.项目开发计划表'!$G$45</f>
        <v>0</v>
      </c>
      <c r="AO302" s="382">
        <f>AO301*'9.项目开发计划表'!$G$45</f>
        <v>0</v>
      </c>
      <c r="AP302" s="397">
        <f>AP301*'9.项目开发计划表'!$G$45</f>
        <v>0</v>
      </c>
      <c r="AQ302" s="397">
        <f>AQ301*'9.项目开发计划表'!$G$45</f>
        <v>0</v>
      </c>
      <c r="AR302" s="467">
        <f>AR301*'9.项目开发计划表'!$G$45</f>
        <v>0</v>
      </c>
      <c r="AS302" s="382">
        <f>AS301*'9.项目开发计划表'!$G$45</f>
        <v>0</v>
      </c>
      <c r="AT302" s="397">
        <f>AT301*'9.项目开发计划表'!$G$45</f>
        <v>0</v>
      </c>
      <c r="AU302" s="397">
        <f>AU301*'9.项目开发计划表'!$G$45</f>
        <v>0</v>
      </c>
      <c r="AV302" s="467">
        <f>AV301*'9.项目开发计划表'!$G$45</f>
        <v>0</v>
      </c>
      <c r="AW302" s="424" t="str">
        <f t="shared" si="215"/>
        <v>商铺</v>
      </c>
    </row>
    <row r="303" spans="1:49" s="424" customFormat="1" ht="13.5" customHeight="1" outlineLevel="1">
      <c r="A303" s="1947"/>
      <c r="B303" s="1949"/>
      <c r="C303" s="461" t="s">
        <v>882</v>
      </c>
      <c r="D303" s="466">
        <f t="shared" si="214"/>
        <v>0</v>
      </c>
      <c r="E303" s="382">
        <f t="shared" ref="E303:AV303" si="216">E300*E302/10000</f>
        <v>0</v>
      </c>
      <c r="F303" s="397">
        <f t="shared" si="216"/>
        <v>0</v>
      </c>
      <c r="G303" s="397">
        <f t="shared" si="216"/>
        <v>0</v>
      </c>
      <c r="H303" s="467">
        <f t="shared" si="216"/>
        <v>0</v>
      </c>
      <c r="I303" s="382">
        <f t="shared" si="216"/>
        <v>0</v>
      </c>
      <c r="J303" s="397">
        <f t="shared" si="216"/>
        <v>0</v>
      </c>
      <c r="K303" s="397">
        <f t="shared" si="216"/>
        <v>0</v>
      </c>
      <c r="L303" s="467">
        <f t="shared" si="216"/>
        <v>0</v>
      </c>
      <c r="M303" s="382">
        <f t="shared" si="216"/>
        <v>0</v>
      </c>
      <c r="N303" s="397">
        <f t="shared" si="216"/>
        <v>0</v>
      </c>
      <c r="O303" s="397">
        <f t="shared" si="216"/>
        <v>0</v>
      </c>
      <c r="P303" s="467">
        <f t="shared" si="216"/>
        <v>0</v>
      </c>
      <c r="Q303" s="382">
        <f t="shared" si="216"/>
        <v>0</v>
      </c>
      <c r="R303" s="397">
        <f t="shared" si="216"/>
        <v>0</v>
      </c>
      <c r="S303" s="397">
        <f t="shared" si="216"/>
        <v>0</v>
      </c>
      <c r="T303" s="467">
        <f t="shared" si="216"/>
        <v>0</v>
      </c>
      <c r="U303" s="382">
        <f t="shared" si="216"/>
        <v>0</v>
      </c>
      <c r="V303" s="397">
        <f t="shared" si="216"/>
        <v>0</v>
      </c>
      <c r="W303" s="397">
        <f t="shared" si="216"/>
        <v>0</v>
      </c>
      <c r="X303" s="467">
        <f t="shared" si="216"/>
        <v>0</v>
      </c>
      <c r="Y303" s="382">
        <f t="shared" si="216"/>
        <v>0</v>
      </c>
      <c r="Z303" s="397">
        <f t="shared" si="216"/>
        <v>0</v>
      </c>
      <c r="AA303" s="397">
        <f t="shared" si="216"/>
        <v>0</v>
      </c>
      <c r="AB303" s="467">
        <f t="shared" si="216"/>
        <v>0</v>
      </c>
      <c r="AC303" s="382">
        <f t="shared" si="216"/>
        <v>0</v>
      </c>
      <c r="AD303" s="397">
        <f t="shared" si="216"/>
        <v>0</v>
      </c>
      <c r="AE303" s="397">
        <f t="shared" si="216"/>
        <v>0</v>
      </c>
      <c r="AF303" s="467">
        <f t="shared" si="216"/>
        <v>0</v>
      </c>
      <c r="AG303" s="382">
        <f t="shared" si="216"/>
        <v>0</v>
      </c>
      <c r="AH303" s="397">
        <f t="shared" si="216"/>
        <v>0</v>
      </c>
      <c r="AI303" s="397">
        <f t="shared" si="216"/>
        <v>0</v>
      </c>
      <c r="AJ303" s="467">
        <f t="shared" si="216"/>
        <v>0</v>
      </c>
      <c r="AK303" s="382">
        <f t="shared" si="216"/>
        <v>0</v>
      </c>
      <c r="AL303" s="397">
        <f t="shared" si="216"/>
        <v>0</v>
      </c>
      <c r="AM303" s="397">
        <f t="shared" si="216"/>
        <v>0</v>
      </c>
      <c r="AN303" s="467">
        <f t="shared" si="216"/>
        <v>0</v>
      </c>
      <c r="AO303" s="382">
        <f t="shared" si="216"/>
        <v>0</v>
      </c>
      <c r="AP303" s="397">
        <f t="shared" si="216"/>
        <v>0</v>
      </c>
      <c r="AQ303" s="397">
        <f t="shared" si="216"/>
        <v>0</v>
      </c>
      <c r="AR303" s="467">
        <f t="shared" si="216"/>
        <v>0</v>
      </c>
      <c r="AS303" s="382">
        <f t="shared" si="216"/>
        <v>0</v>
      </c>
      <c r="AT303" s="397">
        <f t="shared" si="216"/>
        <v>0</v>
      </c>
      <c r="AU303" s="397">
        <f t="shared" si="216"/>
        <v>0</v>
      </c>
      <c r="AV303" s="467">
        <f t="shared" si="216"/>
        <v>0</v>
      </c>
      <c r="AW303" s="424" t="str">
        <f t="shared" si="215"/>
        <v>商铺</v>
      </c>
    </row>
    <row r="304" spans="1:49" s="424" customFormat="1" ht="13.5" customHeight="1" outlineLevel="1">
      <c r="A304" s="1947"/>
      <c r="B304" s="1949"/>
      <c r="C304" s="508" t="s">
        <v>450</v>
      </c>
      <c r="D304" s="468">
        <f t="shared" si="214"/>
        <v>0</v>
      </c>
      <c r="E304" s="386">
        <f>SUMIF($I$1:$T$1,B300,$I$2:$T$2)*E303</f>
        <v>0</v>
      </c>
      <c r="F304" s="399">
        <f>(1-SUMIF($I$1:$T$1,B300,$I$2:$T$2))*E303+SUMIF($I$1:$T$1,B300,$I$2:$T$2)*F303</f>
        <v>0</v>
      </c>
      <c r="G304" s="399">
        <f>(1-SUMIF($I$1:$T$1,B300,$I$2:$T$2))*F303+SUMIF($I$1:$T$1,B300,$I$2:$T$2)*G303</f>
        <v>0</v>
      </c>
      <c r="H304" s="404">
        <f>(1-SUMIF($I$1:$T$1,B300,$I$2:$T$2))*G303+SUMIF($I$1:$T$1,B300,$I$2:$T$2)*H303</f>
        <v>0</v>
      </c>
      <c r="I304" s="386">
        <f>(1-SUMIF($I$1:$T$1,B300,$I$2:$T$2))*H303+SUMIF($I$1:$T$1,B300,$I$2:$T$2)*I303</f>
        <v>0</v>
      </c>
      <c r="J304" s="399">
        <f>(1-SUMIF($I$1:$T$1,B300,$I$2:$T$2))*I303+SUMIF($I$1:$T$1,B300,$I$2:$T$2)*J303</f>
        <v>0</v>
      </c>
      <c r="K304" s="399">
        <f>(1-SUMIF($I$1:$T$1,B300,$I$2:$T$2))*J303+SUMIF($I$1:$T$1,B300,$I$2:$T$2)*K303</f>
        <v>0</v>
      </c>
      <c r="L304" s="404">
        <f>(1-SUMIF($I$1:$T$1,B300,$I$2:$T$2))*K303+SUMIF($I$1:$T$1,B300,$I$2:$T$2)*L303</f>
        <v>0</v>
      </c>
      <c r="M304" s="386">
        <f>(1-SUMIF($I$1:$T$1,B300,$I$2:$T$2))*L303+SUMIF($I$1:$T$1,B300,$I$2:$T$2)*M303</f>
        <v>0</v>
      </c>
      <c r="N304" s="399">
        <f>(1-SUMIF($I$1:$T$1,B300,$I$2:$T$2))*M303+SUMIF($I$1:$T$1,B300,$I$2:$T$2)*N303</f>
        <v>0</v>
      </c>
      <c r="O304" s="399">
        <f>(1-SUMIF($I$1:$T$1,B300,$I$2:$T$2))*N303+SUMIF($I$1:$T$1,B300,$I$2:$T$2)*O303</f>
        <v>0</v>
      </c>
      <c r="P304" s="404">
        <f>(1-SUMIF($I$1:$T$1,B300,$I$2:$T$2))*O303+SUMIF($I$1:$T$1,B300,$I$2:$T$2)*P303</f>
        <v>0</v>
      </c>
      <c r="Q304" s="386">
        <f>(1-SUMIF($I$1:$T$1,B300,$I$2:$T$2))*P303+SUMIF($I$1:$T$1,B300,$I$2:$T$2)*Q303</f>
        <v>0</v>
      </c>
      <c r="R304" s="399">
        <f>(1-SUMIF($I$1:$T$1,B300,$I$2:$T$2))*Q303+SUMIF($I$1:$T$1,B300,$I$2:$T$2)*R303</f>
        <v>0</v>
      </c>
      <c r="S304" s="399">
        <f>(1-SUMIF($I$1:$T$1,B300,$I$2:$T$2))*R303+SUMIF($I$1:$T$1,B300,$I$2:$T$2)*S303</f>
        <v>0</v>
      </c>
      <c r="T304" s="404">
        <f>(1-SUMIF($I$1:$T$1,B300,$I$2:$T$2))*S303+SUMIF($I$1:$T$1,B300,$I$2:$T$2)*T303</f>
        <v>0</v>
      </c>
      <c r="U304" s="386">
        <f>(1-SUMIF($I$1:$T$1,B300,$I$2:$T$2))*T303+SUMIF($I$1:$T$1,B300,$I$2:$T$2)*U303</f>
        <v>0</v>
      </c>
      <c r="V304" s="399">
        <f>(1-SUMIF($I$1:$T$1,B300,$I$2:$T$2))*U303+SUMIF($I$1:$T$1,B300,$I$2:$T$2)*V303</f>
        <v>0</v>
      </c>
      <c r="W304" s="399">
        <f>(1-SUMIF($I$1:$T$1,B300,$I$2:$T$2))*V303+SUMIF($I$1:$T$1,B300,$I$2:$T$2)*W303</f>
        <v>0</v>
      </c>
      <c r="X304" s="404">
        <f>(1-SUMIF($I$1:$T$1,B300,$I$2:$T$2))*W303+SUMIF($I$1:$T$1,B300,$I$2:$T$2)*X303</f>
        <v>0</v>
      </c>
      <c r="Y304" s="386">
        <f>(1-SUMIF($I$1:$T$1,B300,$I$2:$T$2))*X303+SUMIF($I$1:$T$1,B300,$I$2:$T$2)*Y303</f>
        <v>0</v>
      </c>
      <c r="Z304" s="399">
        <f>(1-SUMIF($I$1:$T$1,B300,$I$2:$T$2))*Y303+SUMIF($I$1:$T$1,B300,$I$2:$T$2)*Z303</f>
        <v>0</v>
      </c>
      <c r="AA304" s="399">
        <f>(1-SUMIF($I$1:$T$1,B300,$I$2:$T$2))*Z303+SUMIF($I$1:$T$1,B300,$I$2:$T$2)*AA303</f>
        <v>0</v>
      </c>
      <c r="AB304" s="404">
        <f>(1-SUMIF($I$1:$T$1,B300,$I$2:$T$2))*AA303+SUMIF($I$1:$T$1,B300,$I$2:$T$2)*AB303</f>
        <v>0</v>
      </c>
      <c r="AC304" s="386">
        <f>(1-SUMIF($I$1:$T$1,B300,$I$2:$T$2))*AB303+SUMIF($I$1:$T$1,B300,$I$2:$T$2)*AC303</f>
        <v>0</v>
      </c>
      <c r="AD304" s="399">
        <f>(1-SUMIF($I$1:$T$1,B300,$I$2:$T$2))*AC303+SUMIF($I$1:$T$1,B300,$I$2:$T$2)*AD303</f>
        <v>0</v>
      </c>
      <c r="AE304" s="399">
        <f>(1-SUMIF($I$1:$T$1,B300,$I$2:$T$2))*AD303+SUMIF($I$1:$T$1,B300,$I$2:$T$2)*AE303</f>
        <v>0</v>
      </c>
      <c r="AF304" s="404">
        <f>(1-SUMIF($I$1:$T$1,B300,$I$2:$T$2))*AE303+SUMIF($I$1:$T$1,B300,$I$2:$T$2)*AF303</f>
        <v>0</v>
      </c>
      <c r="AG304" s="386">
        <f>(1-SUMIF($I$1:$T$1,B300,$I$2:$T$2))*AF303+SUMIF($I$1:$T$1,B300,$I$2:$T$2)*AG303</f>
        <v>0</v>
      </c>
      <c r="AH304" s="399">
        <f>(1-SUMIF($I$1:$T$1,B300,$I$2:$T$2))*AG303+SUMIF($I$1:$T$1,B300,$I$2:$T$2)*AH303</f>
        <v>0</v>
      </c>
      <c r="AI304" s="399">
        <f>(1-SUMIF($I$1:$T$1,B300,$I$2:$T$2))*AH303+SUMIF($I$1:$T$1,B300,$I$2:$T$2)*AI303</f>
        <v>0</v>
      </c>
      <c r="AJ304" s="404">
        <f>(1-SUMIF($I$1:$T$1,B300,$I$2:$T$2))*AI303+SUMIF($I$1:$T$1,B300,$I$2:$T$2)*AJ303</f>
        <v>0</v>
      </c>
      <c r="AK304" s="386">
        <f>(1-SUMIF($I$1:$T$1,B300,$I$2:$T$2))*AJ303+SUMIF($I$1:$T$1,B300,$I$2:$T$2)*AK303</f>
        <v>0</v>
      </c>
      <c r="AL304" s="399">
        <f>(1-SUMIF($I$1:$T$1,B300,$I$2:$T$2))*AK303+SUMIF($I$1:$T$1,B300,$I$2:$T$2)*AL303</f>
        <v>0</v>
      </c>
      <c r="AM304" s="399">
        <f>(1-SUMIF($I$1:$T$1,B300,$I$2:$T$2))*AL303+SUMIF($I$1:$T$1,B300,$I$2:$T$2)*AM303</f>
        <v>0</v>
      </c>
      <c r="AN304" s="404">
        <f>(1-SUMIF($I$1:$T$1,B300,$I$2:$T$2))*AM303+SUMIF($I$1:$T$1,B300,$I$2:$T$2)*AN303</f>
        <v>0</v>
      </c>
      <c r="AO304" s="386">
        <f>(1-SUMIF($I$1:$T$1,B300,$I$2:$T$2))*AN303+SUMIF($I$1:$T$1,B300,$I$2:$T$2)*AO303</f>
        <v>0</v>
      </c>
      <c r="AP304" s="399">
        <f>(1-SUMIF($I$1:$T$1,B300,$I$2:$T$2))*AO303+SUMIF($I$1:$T$1,B300,$I$2:$T$2)*AP303</f>
        <v>0</v>
      </c>
      <c r="AQ304" s="399">
        <f>(1-SUMIF($I$1:$T$1,B300,$I$2:$T$2))*AP303+SUMIF($I$1:$T$1,B300,$I$2:$T$2)*AQ303</f>
        <v>0</v>
      </c>
      <c r="AR304" s="404">
        <f>(1-SUMIF($I$1:$T$1,B300,$I$2:$T$2))*AQ303+SUMIF($I$1:$T$1,B300,$I$2:$T$2)*AR303</f>
        <v>0</v>
      </c>
      <c r="AS304" s="386">
        <f>(1-SUMIF($I$1:$T$1,B300,$I$2:$T$2))*AR303+SUMIF($I$1:$T$1,B300,$I$2:$T$2)*AS303</f>
        <v>0</v>
      </c>
      <c r="AT304" s="399">
        <f>(1-SUMIF($I$1:$T$1,B300,$I$2:$T$2))*AS303+SUMIF($I$1:$T$1,B300,$I$2:$T$2)*AT303</f>
        <v>0</v>
      </c>
      <c r="AU304" s="399">
        <f>(1-SUMIF($I$1:$T$1,B300,$I$2:$T$2))*AT303+SUMIF($I$1:$T$1,B300,$I$2:$T$2)*AU303</f>
        <v>0</v>
      </c>
      <c r="AV304" s="404">
        <f>(1-SUMIF($I$1:$T$1,B300,$I$2:$T$2))*AU303+SUMIF($I$1:$T$1,B300,$I$2:$T$2)*AV303</f>
        <v>0</v>
      </c>
      <c r="AW304" s="424" t="str">
        <f t="shared" si="215"/>
        <v>商铺</v>
      </c>
    </row>
    <row r="305" spans="1:49" s="424" customFormat="1" ht="13.5" customHeight="1" outlineLevel="1">
      <c r="A305" s="1947"/>
      <c r="B305" s="1949" t="str">
        <f>'9.项目开发计划表'!C46</f>
        <v>回迁商业</v>
      </c>
      <c r="C305" s="456" t="s">
        <v>880</v>
      </c>
      <c r="D305" s="457">
        <f>IF(D307=0,0,D308/D307*10000)</f>
        <v>0</v>
      </c>
      <c r="E305" s="505"/>
      <c r="F305" s="506"/>
      <c r="G305" s="506"/>
      <c r="H305" s="507"/>
      <c r="I305" s="505"/>
      <c r="J305" s="506"/>
      <c r="K305" s="506"/>
      <c r="L305" s="507"/>
      <c r="M305" s="505"/>
      <c r="N305" s="506"/>
      <c r="O305" s="506"/>
      <c r="P305" s="507"/>
      <c r="Q305" s="505"/>
      <c r="R305" s="506"/>
      <c r="S305" s="506"/>
      <c r="T305" s="489"/>
      <c r="U305" s="489"/>
      <c r="V305" s="489"/>
      <c r="W305" s="489"/>
      <c r="X305" s="489"/>
      <c r="Y305" s="489"/>
      <c r="Z305" s="489"/>
      <c r="AA305" s="489"/>
      <c r="AB305" s="489"/>
      <c r="AC305" s="489"/>
      <c r="AD305" s="506"/>
      <c r="AE305" s="506"/>
      <c r="AF305" s="507"/>
      <c r="AG305" s="505"/>
      <c r="AH305" s="506"/>
      <c r="AI305" s="506"/>
      <c r="AJ305" s="507"/>
      <c r="AK305" s="505"/>
      <c r="AL305" s="506"/>
      <c r="AM305" s="506"/>
      <c r="AN305" s="507"/>
      <c r="AO305" s="505"/>
      <c r="AP305" s="506"/>
      <c r="AQ305" s="506"/>
      <c r="AR305" s="507"/>
      <c r="AS305" s="505"/>
      <c r="AT305" s="506"/>
      <c r="AU305" s="506"/>
      <c r="AV305" s="507"/>
      <c r="AW305" s="424" t="str">
        <f>B305</f>
        <v>回迁商业</v>
      </c>
    </row>
    <row r="306" spans="1:49" ht="13.5" customHeight="1" outlineLevel="1">
      <c r="A306" s="1947"/>
      <c r="B306" s="1949"/>
      <c r="C306" s="461" t="s">
        <v>881</v>
      </c>
      <c r="D306" s="462">
        <f t="shared" ref="D306:D309" si="217">SUM(E306:AV306)</f>
        <v>0</v>
      </c>
      <c r="E306" s="494"/>
      <c r="F306" s="491"/>
      <c r="G306" s="491"/>
      <c r="H306" s="493"/>
      <c r="I306" s="494"/>
      <c r="J306" s="491"/>
      <c r="K306" s="491"/>
      <c r="L306" s="493"/>
      <c r="M306" s="494"/>
      <c r="N306" s="491"/>
      <c r="O306" s="491"/>
      <c r="P306" s="493"/>
      <c r="Q306" s="494"/>
      <c r="R306" s="491"/>
      <c r="S306" s="491"/>
      <c r="T306" s="490"/>
      <c r="U306" s="490"/>
      <c r="V306" s="490"/>
      <c r="W306" s="490"/>
      <c r="X306" s="490"/>
      <c r="Y306" s="490"/>
      <c r="Z306" s="490"/>
      <c r="AA306" s="490"/>
      <c r="AB306" s="490"/>
      <c r="AC306" s="490"/>
      <c r="AD306" s="491"/>
      <c r="AE306" s="491"/>
      <c r="AF306" s="493"/>
      <c r="AG306" s="494"/>
      <c r="AH306" s="491"/>
      <c r="AI306" s="491"/>
      <c r="AJ306" s="493"/>
      <c r="AK306" s="494"/>
      <c r="AL306" s="491"/>
      <c r="AM306" s="491"/>
      <c r="AN306" s="493"/>
      <c r="AO306" s="494"/>
      <c r="AP306" s="491"/>
      <c r="AQ306" s="491"/>
      <c r="AR306" s="493"/>
      <c r="AS306" s="494"/>
      <c r="AT306" s="491"/>
      <c r="AU306" s="491"/>
      <c r="AV306" s="493"/>
      <c r="AW306" s="424" t="str">
        <f>AW305</f>
        <v>回迁商业</v>
      </c>
    </row>
    <row r="307" spans="1:49" s="424" customFormat="1" ht="13.5" customHeight="1" outlineLevel="1">
      <c r="A307" s="1947"/>
      <c r="B307" s="1949"/>
      <c r="C307" s="461" t="s">
        <v>682</v>
      </c>
      <c r="D307" s="466">
        <f t="shared" si="217"/>
        <v>0</v>
      </c>
      <c r="E307" s="382">
        <f>E306*'9.项目开发计划表'!$G$46</f>
        <v>0</v>
      </c>
      <c r="F307" s="397">
        <f>F306*'9.项目开发计划表'!$G$46</f>
        <v>0</v>
      </c>
      <c r="G307" s="397">
        <f>G306*'9.项目开发计划表'!$G$46</f>
        <v>0</v>
      </c>
      <c r="H307" s="467">
        <f>H306*'9.项目开发计划表'!$G$46</f>
        <v>0</v>
      </c>
      <c r="I307" s="382">
        <f>I306*'9.项目开发计划表'!$G$46</f>
        <v>0</v>
      </c>
      <c r="J307" s="397">
        <f>J306*'9.项目开发计划表'!$G$46</f>
        <v>0</v>
      </c>
      <c r="K307" s="397">
        <f>K306*'9.项目开发计划表'!$G$46</f>
        <v>0</v>
      </c>
      <c r="L307" s="467">
        <f>L306*'9.项目开发计划表'!$G$46</f>
        <v>0</v>
      </c>
      <c r="M307" s="382">
        <f>M306*'9.项目开发计划表'!$G$46</f>
        <v>0</v>
      </c>
      <c r="N307" s="397">
        <f>N306*'9.项目开发计划表'!$G$46</f>
        <v>0</v>
      </c>
      <c r="O307" s="397">
        <f>O306*'9.项目开发计划表'!$G$46</f>
        <v>0</v>
      </c>
      <c r="P307" s="467">
        <f>P306*'9.项目开发计划表'!$G$46</f>
        <v>0</v>
      </c>
      <c r="Q307" s="382">
        <f>Q306*'9.项目开发计划表'!$G$46</f>
        <v>0</v>
      </c>
      <c r="R307" s="397">
        <f>R306*'9.项目开发计划表'!$G$46</f>
        <v>0</v>
      </c>
      <c r="S307" s="397">
        <f>S306*'9.项目开发计划表'!$G$46</f>
        <v>0</v>
      </c>
      <c r="T307" s="467">
        <f>T306*'9.项目开发计划表'!$G$46</f>
        <v>0</v>
      </c>
      <c r="U307" s="382">
        <f>U306*'9.项目开发计划表'!$G$46</f>
        <v>0</v>
      </c>
      <c r="V307" s="397">
        <f>V306*'9.项目开发计划表'!$G$46</f>
        <v>0</v>
      </c>
      <c r="W307" s="397">
        <f>W306*'9.项目开发计划表'!$G$46</f>
        <v>0</v>
      </c>
      <c r="X307" s="467">
        <f>X306*'9.项目开发计划表'!$G$46</f>
        <v>0</v>
      </c>
      <c r="Y307" s="382">
        <f>Y306*'9.项目开发计划表'!$G$46</f>
        <v>0</v>
      </c>
      <c r="Z307" s="397">
        <f>Z306*'9.项目开发计划表'!$G$46</f>
        <v>0</v>
      </c>
      <c r="AA307" s="397">
        <f>AA306*'9.项目开发计划表'!$G$46</f>
        <v>0</v>
      </c>
      <c r="AB307" s="467">
        <f>AB306*'9.项目开发计划表'!$G$46</f>
        <v>0</v>
      </c>
      <c r="AC307" s="382">
        <f>AC306*'9.项目开发计划表'!$G$46</f>
        <v>0</v>
      </c>
      <c r="AD307" s="397">
        <f>AD306*'9.项目开发计划表'!$G$46</f>
        <v>0</v>
      </c>
      <c r="AE307" s="397">
        <f>AE306*'9.项目开发计划表'!$G$46</f>
        <v>0</v>
      </c>
      <c r="AF307" s="467">
        <f>AF306*'9.项目开发计划表'!$G$46</f>
        <v>0</v>
      </c>
      <c r="AG307" s="382">
        <f>AG306*'9.项目开发计划表'!$G$46</f>
        <v>0</v>
      </c>
      <c r="AH307" s="397">
        <f>AH306*'9.项目开发计划表'!$G$46</f>
        <v>0</v>
      </c>
      <c r="AI307" s="397">
        <f>AI306*'9.项目开发计划表'!$G$46</f>
        <v>0</v>
      </c>
      <c r="AJ307" s="467">
        <f>AJ306*'9.项目开发计划表'!$G$46</f>
        <v>0</v>
      </c>
      <c r="AK307" s="382">
        <f>AK306*'9.项目开发计划表'!$G$46</f>
        <v>0</v>
      </c>
      <c r="AL307" s="397">
        <f>AL306*'9.项目开发计划表'!$G$46</f>
        <v>0</v>
      </c>
      <c r="AM307" s="397">
        <f>AM306*'9.项目开发计划表'!$G$46</f>
        <v>0</v>
      </c>
      <c r="AN307" s="467">
        <f>AN306*'9.项目开发计划表'!$G$46</f>
        <v>0</v>
      </c>
      <c r="AO307" s="382">
        <f>AO306*'9.项目开发计划表'!$G$46</f>
        <v>0</v>
      </c>
      <c r="AP307" s="397">
        <f>AP306*'9.项目开发计划表'!$G$46</f>
        <v>0</v>
      </c>
      <c r="AQ307" s="397">
        <f>AQ306*'9.项目开发计划表'!$G$46</f>
        <v>0</v>
      </c>
      <c r="AR307" s="467">
        <f>AR306*'9.项目开发计划表'!$G$46</f>
        <v>0</v>
      </c>
      <c r="AS307" s="382">
        <f>AS306*'9.项目开发计划表'!$G$46</f>
        <v>0</v>
      </c>
      <c r="AT307" s="397">
        <f>AT306*'9.项目开发计划表'!$G$46</f>
        <v>0</v>
      </c>
      <c r="AU307" s="397">
        <f>AU306*'9.项目开发计划表'!$G$46</f>
        <v>0</v>
      </c>
      <c r="AV307" s="467">
        <f>AV306*'9.项目开发计划表'!$G$46</f>
        <v>0</v>
      </c>
      <c r="AW307" s="424" t="str">
        <f t="shared" si="215"/>
        <v>回迁商业</v>
      </c>
    </row>
    <row r="308" spans="1:49" s="424" customFormat="1" ht="13.5" customHeight="1" outlineLevel="1">
      <c r="A308" s="1947"/>
      <c r="B308" s="1949"/>
      <c r="C308" s="461" t="s">
        <v>882</v>
      </c>
      <c r="D308" s="466">
        <f t="shared" si="217"/>
        <v>0</v>
      </c>
      <c r="E308" s="382">
        <f t="shared" ref="E308:AV308" si="218">E305*E307/10000</f>
        <v>0</v>
      </c>
      <c r="F308" s="397">
        <f t="shared" si="218"/>
        <v>0</v>
      </c>
      <c r="G308" s="397">
        <f t="shared" si="218"/>
        <v>0</v>
      </c>
      <c r="H308" s="467">
        <f t="shared" si="218"/>
        <v>0</v>
      </c>
      <c r="I308" s="382">
        <f t="shared" si="218"/>
        <v>0</v>
      </c>
      <c r="J308" s="397">
        <f t="shared" si="218"/>
        <v>0</v>
      </c>
      <c r="K308" s="397">
        <f t="shared" si="218"/>
        <v>0</v>
      </c>
      <c r="L308" s="467">
        <f t="shared" si="218"/>
        <v>0</v>
      </c>
      <c r="M308" s="382">
        <f t="shared" si="218"/>
        <v>0</v>
      </c>
      <c r="N308" s="397">
        <f t="shared" si="218"/>
        <v>0</v>
      </c>
      <c r="O308" s="397">
        <f t="shared" si="218"/>
        <v>0</v>
      </c>
      <c r="P308" s="467">
        <f t="shared" si="218"/>
        <v>0</v>
      </c>
      <c r="Q308" s="382">
        <f t="shared" si="218"/>
        <v>0</v>
      </c>
      <c r="R308" s="397">
        <f t="shared" si="218"/>
        <v>0</v>
      </c>
      <c r="S308" s="397">
        <f t="shared" si="218"/>
        <v>0</v>
      </c>
      <c r="T308" s="467">
        <f t="shared" si="218"/>
        <v>0</v>
      </c>
      <c r="U308" s="382">
        <f t="shared" si="218"/>
        <v>0</v>
      </c>
      <c r="V308" s="397">
        <f t="shared" si="218"/>
        <v>0</v>
      </c>
      <c r="W308" s="397">
        <f t="shared" si="218"/>
        <v>0</v>
      </c>
      <c r="X308" s="467">
        <f t="shared" si="218"/>
        <v>0</v>
      </c>
      <c r="Y308" s="382">
        <f t="shared" si="218"/>
        <v>0</v>
      </c>
      <c r="Z308" s="397">
        <f t="shared" si="218"/>
        <v>0</v>
      </c>
      <c r="AA308" s="397">
        <f t="shared" si="218"/>
        <v>0</v>
      </c>
      <c r="AB308" s="467">
        <f t="shared" si="218"/>
        <v>0</v>
      </c>
      <c r="AC308" s="382">
        <f t="shared" si="218"/>
        <v>0</v>
      </c>
      <c r="AD308" s="397">
        <f t="shared" si="218"/>
        <v>0</v>
      </c>
      <c r="AE308" s="397">
        <f t="shared" si="218"/>
        <v>0</v>
      </c>
      <c r="AF308" s="467">
        <f t="shared" si="218"/>
        <v>0</v>
      </c>
      <c r="AG308" s="382">
        <f t="shared" si="218"/>
        <v>0</v>
      </c>
      <c r="AH308" s="397">
        <f t="shared" si="218"/>
        <v>0</v>
      </c>
      <c r="AI308" s="397">
        <f t="shared" si="218"/>
        <v>0</v>
      </c>
      <c r="AJ308" s="467">
        <f t="shared" si="218"/>
        <v>0</v>
      </c>
      <c r="AK308" s="382">
        <f t="shared" si="218"/>
        <v>0</v>
      </c>
      <c r="AL308" s="397">
        <f t="shared" si="218"/>
        <v>0</v>
      </c>
      <c r="AM308" s="397">
        <f t="shared" si="218"/>
        <v>0</v>
      </c>
      <c r="AN308" s="467">
        <f t="shared" si="218"/>
        <v>0</v>
      </c>
      <c r="AO308" s="382">
        <f t="shared" si="218"/>
        <v>0</v>
      </c>
      <c r="AP308" s="397">
        <f t="shared" si="218"/>
        <v>0</v>
      </c>
      <c r="AQ308" s="397">
        <f t="shared" si="218"/>
        <v>0</v>
      </c>
      <c r="AR308" s="467">
        <f t="shared" si="218"/>
        <v>0</v>
      </c>
      <c r="AS308" s="382">
        <f t="shared" si="218"/>
        <v>0</v>
      </c>
      <c r="AT308" s="397">
        <f t="shared" si="218"/>
        <v>0</v>
      </c>
      <c r="AU308" s="397">
        <f t="shared" si="218"/>
        <v>0</v>
      </c>
      <c r="AV308" s="467">
        <f t="shared" si="218"/>
        <v>0</v>
      </c>
      <c r="AW308" s="424" t="str">
        <f t="shared" si="215"/>
        <v>回迁商业</v>
      </c>
    </row>
    <row r="309" spans="1:49" s="424" customFormat="1" ht="13.5" customHeight="1" outlineLevel="1">
      <c r="A309" s="1947"/>
      <c r="B309" s="1949"/>
      <c r="C309" s="508" t="s">
        <v>450</v>
      </c>
      <c r="D309" s="468">
        <f t="shared" si="217"/>
        <v>0</v>
      </c>
      <c r="E309" s="386">
        <f>SUMIF($I$1:$T$1,B305,$I$2:$T$2)*E308</f>
        <v>0</v>
      </c>
      <c r="F309" s="399">
        <f>(1-SUMIF($I$1:$T$1,B305,$I$2:$T$2))*E308+SUMIF($I$1:$T$1,B305,$I$2:$T$2)*F308</f>
        <v>0</v>
      </c>
      <c r="G309" s="399">
        <f>(1-SUMIF($I$1:$T$1,B305,$I$2:$T$2))*F308+SUMIF($I$1:$T$1,B305,$I$2:$T$2)*G308</f>
        <v>0</v>
      </c>
      <c r="H309" s="404">
        <f>(1-SUMIF($I$1:$T$1,B305,$I$2:$T$2))*G308+SUMIF($I$1:$T$1,B305,$I$2:$T$2)*H308</f>
        <v>0</v>
      </c>
      <c r="I309" s="386">
        <f>(1-SUMIF($I$1:$T$1,B305,$I$2:$T$2))*H308+SUMIF($I$1:$T$1,B305,$I$2:$T$2)*I308</f>
        <v>0</v>
      </c>
      <c r="J309" s="399">
        <f>(1-SUMIF($I$1:$T$1,B305,$I$2:$T$2))*I308+SUMIF($I$1:$T$1,B305,$I$2:$T$2)*J308</f>
        <v>0</v>
      </c>
      <c r="K309" s="399">
        <f>(1-SUMIF($I$1:$T$1,B305,$I$2:$T$2))*J308+SUMIF($I$1:$T$1,B305,$I$2:$T$2)*K308</f>
        <v>0</v>
      </c>
      <c r="L309" s="404">
        <f>(1-SUMIF($I$1:$T$1,B305,$I$2:$T$2))*K308+SUMIF($I$1:$T$1,B305,$I$2:$T$2)*L308</f>
        <v>0</v>
      </c>
      <c r="M309" s="386">
        <f>(1-SUMIF($I$1:$T$1,B305,$I$2:$T$2))*L308+SUMIF($I$1:$T$1,B305,$I$2:$T$2)*M308</f>
        <v>0</v>
      </c>
      <c r="N309" s="399">
        <f>(1-SUMIF($I$1:$T$1,B305,$I$2:$T$2))*M308+SUMIF($I$1:$T$1,B305,$I$2:$T$2)*N308</f>
        <v>0</v>
      </c>
      <c r="O309" s="399">
        <f>(1-SUMIF($I$1:$T$1,B305,$I$2:$T$2))*N308+SUMIF($I$1:$T$1,B305,$I$2:$T$2)*O308</f>
        <v>0</v>
      </c>
      <c r="P309" s="404">
        <f>(1-SUMIF($I$1:$T$1,B305,$I$2:$T$2))*O308+SUMIF($I$1:$T$1,B305,$I$2:$T$2)*P308</f>
        <v>0</v>
      </c>
      <c r="Q309" s="386">
        <f>(1-SUMIF($I$1:$T$1,B305,$I$2:$T$2))*P308+SUMIF($I$1:$T$1,B305,$I$2:$T$2)*Q308</f>
        <v>0</v>
      </c>
      <c r="R309" s="399">
        <f>(1-SUMIF($I$1:$T$1,B305,$I$2:$T$2))*Q308+SUMIF($I$1:$T$1,B305,$I$2:$T$2)*R308</f>
        <v>0</v>
      </c>
      <c r="S309" s="399">
        <f>(1-SUMIF($I$1:$T$1,B305,$I$2:$T$2))*R308+SUMIF($I$1:$T$1,B305,$I$2:$T$2)*S308</f>
        <v>0</v>
      </c>
      <c r="T309" s="404">
        <f>(1-SUMIF($I$1:$T$1,B305,$I$2:$T$2))*S308+SUMIF($I$1:$T$1,B305,$I$2:$T$2)*T308</f>
        <v>0</v>
      </c>
      <c r="U309" s="386">
        <f>(1-SUMIF($I$1:$T$1,B305,$I$2:$T$2))*T308+SUMIF($I$1:$T$1,B305,$I$2:$T$2)*U308</f>
        <v>0</v>
      </c>
      <c r="V309" s="399">
        <f>(1-SUMIF($I$1:$T$1,B305,$I$2:$T$2))*U308+SUMIF($I$1:$T$1,B305,$I$2:$T$2)*V308</f>
        <v>0</v>
      </c>
      <c r="W309" s="399">
        <f>(1-SUMIF($I$1:$T$1,B305,$I$2:$T$2))*V308+SUMIF($I$1:$T$1,B305,$I$2:$T$2)*W308</f>
        <v>0</v>
      </c>
      <c r="X309" s="404">
        <f>(1-SUMIF($I$1:$T$1,B305,$I$2:$T$2))*W308+SUMIF($I$1:$T$1,B305,$I$2:$T$2)*X308</f>
        <v>0</v>
      </c>
      <c r="Y309" s="386">
        <f>(1-SUMIF($I$1:$T$1,B305,$I$2:$T$2))*X308+SUMIF($I$1:$T$1,B305,$I$2:$T$2)*Y308</f>
        <v>0</v>
      </c>
      <c r="Z309" s="399">
        <f>(1-SUMIF($I$1:$T$1,B305,$I$2:$T$2))*Y308+SUMIF($I$1:$T$1,B305,$I$2:$T$2)*Z308</f>
        <v>0</v>
      </c>
      <c r="AA309" s="399">
        <f>(1-SUMIF($I$1:$T$1,B305,$I$2:$T$2))*Z308+SUMIF($I$1:$T$1,B305,$I$2:$T$2)*AA308</f>
        <v>0</v>
      </c>
      <c r="AB309" s="404">
        <f>(1-SUMIF($I$1:$T$1,B305,$I$2:$T$2))*AA308+SUMIF($I$1:$T$1,B305,$I$2:$T$2)*AB308</f>
        <v>0</v>
      </c>
      <c r="AC309" s="386">
        <f>(1-SUMIF($I$1:$T$1,B305,$I$2:$T$2))*AB308+SUMIF($I$1:$T$1,B305,$I$2:$T$2)*AC308</f>
        <v>0</v>
      </c>
      <c r="AD309" s="399">
        <f>(1-SUMIF($I$1:$T$1,B305,$I$2:$T$2))*AC308+SUMIF($I$1:$T$1,B305,$I$2:$T$2)*AD308</f>
        <v>0</v>
      </c>
      <c r="AE309" s="399">
        <f>(1-SUMIF($I$1:$T$1,B305,$I$2:$T$2))*AD308+SUMIF($I$1:$T$1,B305,$I$2:$T$2)*AE308</f>
        <v>0</v>
      </c>
      <c r="AF309" s="404">
        <f>(1-SUMIF($I$1:$T$1,B305,$I$2:$T$2))*AE308+SUMIF($I$1:$T$1,B305,$I$2:$T$2)*AF308</f>
        <v>0</v>
      </c>
      <c r="AG309" s="386">
        <f>(1-SUMIF($I$1:$T$1,B305,$I$2:$T$2))*AF308+SUMIF($I$1:$T$1,B305,$I$2:$T$2)*AG308</f>
        <v>0</v>
      </c>
      <c r="AH309" s="399">
        <f>(1-SUMIF($I$1:$T$1,B305,$I$2:$T$2))*AG308+SUMIF($I$1:$T$1,B305,$I$2:$T$2)*AH308</f>
        <v>0</v>
      </c>
      <c r="AI309" s="399">
        <f>(1-SUMIF($I$1:$T$1,B305,$I$2:$T$2))*AH308+SUMIF($I$1:$T$1,B305,$I$2:$T$2)*AI308</f>
        <v>0</v>
      </c>
      <c r="AJ309" s="404">
        <f>(1-SUMIF($I$1:$T$1,B305,$I$2:$T$2))*AI308+SUMIF($I$1:$T$1,B305,$I$2:$T$2)*AJ308</f>
        <v>0</v>
      </c>
      <c r="AK309" s="386">
        <f>(1-SUMIF($I$1:$T$1,B305,$I$2:$T$2))*AJ308+SUMIF($I$1:$T$1,B305,$I$2:$T$2)*AK308</f>
        <v>0</v>
      </c>
      <c r="AL309" s="399">
        <f>(1-SUMIF($I$1:$T$1,B305,$I$2:$T$2))*AK308+SUMIF($I$1:$T$1,B305,$I$2:$T$2)*AL308</f>
        <v>0</v>
      </c>
      <c r="AM309" s="399">
        <f>(1-SUMIF($I$1:$T$1,B305,$I$2:$T$2))*AL308+SUMIF($I$1:$T$1,B305,$I$2:$T$2)*AM308</f>
        <v>0</v>
      </c>
      <c r="AN309" s="404">
        <f>(1-SUMIF($I$1:$T$1,B305,$I$2:$T$2))*AM308+SUMIF($I$1:$T$1,B305,$I$2:$T$2)*AN308</f>
        <v>0</v>
      </c>
      <c r="AO309" s="386">
        <f>(1-SUMIF($I$1:$T$1,B305,$I$2:$T$2))*AN308+SUMIF($I$1:$T$1,B305,$I$2:$T$2)*AO308</f>
        <v>0</v>
      </c>
      <c r="AP309" s="399">
        <f>(1-SUMIF($I$1:$T$1,B305,$I$2:$T$2))*AO308+SUMIF($I$1:$T$1,B305,$I$2:$T$2)*AP308</f>
        <v>0</v>
      </c>
      <c r="AQ309" s="399">
        <f>(1-SUMIF($I$1:$T$1,B305,$I$2:$T$2))*AP308+SUMIF($I$1:$T$1,B305,$I$2:$T$2)*AQ308</f>
        <v>0</v>
      </c>
      <c r="AR309" s="404">
        <f>(1-SUMIF($I$1:$T$1,B305,$I$2:$T$2))*AQ308+SUMIF($I$1:$T$1,B305,$I$2:$T$2)*AR308</f>
        <v>0</v>
      </c>
      <c r="AS309" s="386">
        <f>(1-SUMIF($I$1:$T$1,B305,$I$2:$T$2))*AR308+SUMIF($I$1:$T$1,B305,$I$2:$T$2)*AS308</f>
        <v>0</v>
      </c>
      <c r="AT309" s="399">
        <f>(1-SUMIF($I$1:$T$1,B305,$I$2:$T$2))*AS308+SUMIF($I$1:$T$1,B305,$I$2:$T$2)*AT308</f>
        <v>0</v>
      </c>
      <c r="AU309" s="399">
        <f>(1-SUMIF($I$1:$T$1,B305,$I$2:$T$2))*AT308+SUMIF($I$1:$T$1,B305,$I$2:$T$2)*AU308</f>
        <v>0</v>
      </c>
      <c r="AV309" s="404">
        <f>(1-SUMIF($I$1:$T$1,B305,$I$2:$T$2))*AU308+SUMIF($I$1:$T$1,B305,$I$2:$T$2)*AV308</f>
        <v>0</v>
      </c>
      <c r="AW309" s="424" t="str">
        <f t="shared" si="215"/>
        <v>回迁商业</v>
      </c>
    </row>
    <row r="310" spans="1:49" s="424" customFormat="1" ht="13.5" customHeight="1" outlineLevel="1">
      <c r="A310" s="1947"/>
      <c r="B310" s="1949">
        <f>'9.项目开发计划表'!C47</f>
        <v>0</v>
      </c>
      <c r="C310" s="456" t="s">
        <v>880</v>
      </c>
      <c r="D310" s="457">
        <f>IF(D312=0,0,D313/D312*10000)</f>
        <v>0</v>
      </c>
      <c r="E310" s="505"/>
      <c r="F310" s="506"/>
      <c r="G310" s="506"/>
      <c r="H310" s="507"/>
      <c r="I310" s="505"/>
      <c r="J310" s="506"/>
      <c r="K310" s="506"/>
      <c r="L310" s="507"/>
      <c r="M310" s="505"/>
      <c r="N310" s="506"/>
      <c r="O310" s="506"/>
      <c r="P310" s="507"/>
      <c r="Q310" s="505"/>
      <c r="R310" s="506"/>
      <c r="S310" s="506"/>
      <c r="T310" s="507"/>
      <c r="U310" s="489"/>
      <c r="V310" s="489"/>
      <c r="W310" s="489"/>
      <c r="X310" s="489"/>
      <c r="Y310" s="489"/>
      <c r="Z310" s="489"/>
      <c r="AA310" s="489"/>
      <c r="AB310" s="489"/>
      <c r="AC310" s="505"/>
      <c r="AD310" s="506"/>
      <c r="AE310" s="506"/>
      <c r="AF310" s="507"/>
      <c r="AG310" s="505"/>
      <c r="AH310" s="506"/>
      <c r="AI310" s="506"/>
      <c r="AJ310" s="507"/>
      <c r="AK310" s="505"/>
      <c r="AL310" s="506"/>
      <c r="AM310" s="506"/>
      <c r="AN310" s="507"/>
      <c r="AO310" s="505"/>
      <c r="AP310" s="506"/>
      <c r="AQ310" s="506"/>
      <c r="AR310" s="507"/>
      <c r="AS310" s="505"/>
      <c r="AT310" s="506"/>
      <c r="AU310" s="506"/>
      <c r="AV310" s="507"/>
      <c r="AW310" s="424">
        <f>B310</f>
        <v>0</v>
      </c>
    </row>
    <row r="311" spans="1:49" ht="13.5" customHeight="1" outlineLevel="1">
      <c r="A311" s="1947"/>
      <c r="B311" s="1949"/>
      <c r="C311" s="461" t="s">
        <v>881</v>
      </c>
      <c r="D311" s="462">
        <f t="shared" ref="D311:D314" si="219">SUM(E311:AV311)</f>
        <v>0</v>
      </c>
      <c r="E311" s="494"/>
      <c r="F311" s="491"/>
      <c r="G311" s="491"/>
      <c r="H311" s="493"/>
      <c r="I311" s="494"/>
      <c r="J311" s="491"/>
      <c r="K311" s="491"/>
      <c r="L311" s="493"/>
      <c r="M311" s="494"/>
      <c r="N311" s="491"/>
      <c r="O311" s="491"/>
      <c r="P311" s="493"/>
      <c r="Q311" s="494"/>
      <c r="R311" s="491"/>
      <c r="S311" s="491"/>
      <c r="T311" s="493"/>
      <c r="U311" s="490"/>
      <c r="V311" s="490"/>
      <c r="W311" s="490"/>
      <c r="X311" s="490"/>
      <c r="Y311" s="490"/>
      <c r="Z311" s="490"/>
      <c r="AA311" s="490"/>
      <c r="AB311" s="490"/>
      <c r="AC311" s="494"/>
      <c r="AD311" s="491"/>
      <c r="AE311" s="491"/>
      <c r="AF311" s="493"/>
      <c r="AG311" s="494"/>
      <c r="AH311" s="491"/>
      <c r="AI311" s="491"/>
      <c r="AJ311" s="493"/>
      <c r="AK311" s="494"/>
      <c r="AL311" s="491"/>
      <c r="AM311" s="491"/>
      <c r="AN311" s="493"/>
      <c r="AO311" s="494"/>
      <c r="AP311" s="491"/>
      <c r="AQ311" s="491"/>
      <c r="AR311" s="493"/>
      <c r="AS311" s="494"/>
      <c r="AT311" s="491"/>
      <c r="AU311" s="491"/>
      <c r="AV311" s="493"/>
      <c r="AW311" s="424">
        <f>AW310</f>
        <v>0</v>
      </c>
    </row>
    <row r="312" spans="1:49" s="424" customFormat="1" ht="13.5" customHeight="1" outlineLevel="1">
      <c r="A312" s="1947"/>
      <c r="B312" s="1949"/>
      <c r="C312" s="461" t="s">
        <v>682</v>
      </c>
      <c r="D312" s="466">
        <f t="shared" si="219"/>
        <v>0</v>
      </c>
      <c r="E312" s="382">
        <f>E311*'9.项目开发计划表'!$G$47</f>
        <v>0</v>
      </c>
      <c r="F312" s="397">
        <f>F311*'9.项目开发计划表'!$G$47</f>
        <v>0</v>
      </c>
      <c r="G312" s="397">
        <f>G311*'9.项目开发计划表'!$G$47</f>
        <v>0</v>
      </c>
      <c r="H312" s="467">
        <f>H311*'9.项目开发计划表'!$G$47</f>
        <v>0</v>
      </c>
      <c r="I312" s="382">
        <f>I311*'9.项目开发计划表'!$G$47</f>
        <v>0</v>
      </c>
      <c r="J312" s="397">
        <f>J311*'9.项目开发计划表'!$G$47</f>
        <v>0</v>
      </c>
      <c r="K312" s="397">
        <f>K311*'9.项目开发计划表'!$G$47</f>
        <v>0</v>
      </c>
      <c r="L312" s="467">
        <f>L311*'9.项目开发计划表'!$G$47</f>
        <v>0</v>
      </c>
      <c r="M312" s="382">
        <f>M311*'9.项目开发计划表'!$G$47</f>
        <v>0</v>
      </c>
      <c r="N312" s="397">
        <f>N311*'9.项目开发计划表'!$G$47</f>
        <v>0</v>
      </c>
      <c r="O312" s="397">
        <f>O311*'9.项目开发计划表'!$G$47</f>
        <v>0</v>
      </c>
      <c r="P312" s="467">
        <f>P311*'9.项目开发计划表'!$G$47</f>
        <v>0</v>
      </c>
      <c r="Q312" s="382">
        <f>Q311*'9.项目开发计划表'!$G$47</f>
        <v>0</v>
      </c>
      <c r="R312" s="397">
        <f>R311*'9.项目开发计划表'!$G$47</f>
        <v>0</v>
      </c>
      <c r="S312" s="397">
        <f>S311*'9.项目开发计划表'!$G$47</f>
        <v>0</v>
      </c>
      <c r="T312" s="467">
        <f>T311*'9.项目开发计划表'!$G$47</f>
        <v>0</v>
      </c>
      <c r="U312" s="382">
        <f>U311*'9.项目开发计划表'!$G$47</f>
        <v>0</v>
      </c>
      <c r="V312" s="397">
        <f>V311*'9.项目开发计划表'!$G$47</f>
        <v>0</v>
      </c>
      <c r="W312" s="397">
        <f>W311*'9.项目开发计划表'!$G$47</f>
        <v>0</v>
      </c>
      <c r="X312" s="467">
        <f>X311*'9.项目开发计划表'!$G$47</f>
        <v>0</v>
      </c>
      <c r="Y312" s="382">
        <f>Y311*'9.项目开发计划表'!$G$47</f>
        <v>0</v>
      </c>
      <c r="Z312" s="397">
        <f>Z311*'9.项目开发计划表'!$G$47</f>
        <v>0</v>
      </c>
      <c r="AA312" s="397">
        <f>AA311*'9.项目开发计划表'!$G$47</f>
        <v>0</v>
      </c>
      <c r="AB312" s="467">
        <f>AB311*'9.项目开发计划表'!$G$47</f>
        <v>0</v>
      </c>
      <c r="AC312" s="382">
        <f>AC311*'9.项目开发计划表'!$G$47</f>
        <v>0</v>
      </c>
      <c r="AD312" s="397">
        <f>AD311*'9.项目开发计划表'!$G$47</f>
        <v>0</v>
      </c>
      <c r="AE312" s="397">
        <f>AE311*'9.项目开发计划表'!$G$47</f>
        <v>0</v>
      </c>
      <c r="AF312" s="467">
        <f>AF311*'9.项目开发计划表'!$G$47</f>
        <v>0</v>
      </c>
      <c r="AG312" s="382">
        <f>AG311*'9.项目开发计划表'!$G$47</f>
        <v>0</v>
      </c>
      <c r="AH312" s="397">
        <f>AH311*'9.项目开发计划表'!$G$47</f>
        <v>0</v>
      </c>
      <c r="AI312" s="397">
        <f>AI311*'9.项目开发计划表'!$G$47</f>
        <v>0</v>
      </c>
      <c r="AJ312" s="467">
        <f>AJ311*'9.项目开发计划表'!$G$47</f>
        <v>0</v>
      </c>
      <c r="AK312" s="382">
        <f>AK311*'9.项目开发计划表'!$G$47</f>
        <v>0</v>
      </c>
      <c r="AL312" s="397">
        <f>AL311*'9.项目开发计划表'!$G$47</f>
        <v>0</v>
      </c>
      <c r="AM312" s="397">
        <f>AM311*'9.项目开发计划表'!$G$47</f>
        <v>0</v>
      </c>
      <c r="AN312" s="467">
        <f>AN311*'9.项目开发计划表'!$G$47</f>
        <v>0</v>
      </c>
      <c r="AO312" s="382">
        <f>AO311*'9.项目开发计划表'!$G$47</f>
        <v>0</v>
      </c>
      <c r="AP312" s="397">
        <f>AP311*'9.项目开发计划表'!$G$47</f>
        <v>0</v>
      </c>
      <c r="AQ312" s="397">
        <f>AQ311*'9.项目开发计划表'!$G$47</f>
        <v>0</v>
      </c>
      <c r="AR312" s="467">
        <f>AR311*'9.项目开发计划表'!$G$47</f>
        <v>0</v>
      </c>
      <c r="AS312" s="382">
        <f>AS311*'9.项目开发计划表'!$G$47</f>
        <v>0</v>
      </c>
      <c r="AT312" s="397">
        <f>AT311*'9.项目开发计划表'!$G$47</f>
        <v>0</v>
      </c>
      <c r="AU312" s="397">
        <f>AU311*'9.项目开发计划表'!$G$47</f>
        <v>0</v>
      </c>
      <c r="AV312" s="467">
        <f>AV311*'9.项目开发计划表'!$G$47</f>
        <v>0</v>
      </c>
      <c r="AW312" s="424">
        <f t="shared" si="215"/>
        <v>0</v>
      </c>
    </row>
    <row r="313" spans="1:49" s="424" customFormat="1" ht="13.5" customHeight="1" outlineLevel="1">
      <c r="A313" s="1947"/>
      <c r="B313" s="1949"/>
      <c r="C313" s="461" t="s">
        <v>882</v>
      </c>
      <c r="D313" s="466">
        <f t="shared" si="219"/>
        <v>0</v>
      </c>
      <c r="E313" s="382">
        <f t="shared" ref="E313:AV313" si="220">E310*E312/10000</f>
        <v>0</v>
      </c>
      <c r="F313" s="397">
        <f t="shared" si="220"/>
        <v>0</v>
      </c>
      <c r="G313" s="397">
        <f t="shared" si="220"/>
        <v>0</v>
      </c>
      <c r="H313" s="467">
        <f t="shared" si="220"/>
        <v>0</v>
      </c>
      <c r="I313" s="382">
        <f t="shared" si="220"/>
        <v>0</v>
      </c>
      <c r="J313" s="397">
        <f t="shared" si="220"/>
        <v>0</v>
      </c>
      <c r="K313" s="397">
        <f t="shared" si="220"/>
        <v>0</v>
      </c>
      <c r="L313" s="467">
        <f t="shared" si="220"/>
        <v>0</v>
      </c>
      <c r="M313" s="382">
        <f t="shared" si="220"/>
        <v>0</v>
      </c>
      <c r="N313" s="397">
        <f t="shared" si="220"/>
        <v>0</v>
      </c>
      <c r="O313" s="397">
        <f t="shared" si="220"/>
        <v>0</v>
      </c>
      <c r="P313" s="467">
        <f t="shared" si="220"/>
        <v>0</v>
      </c>
      <c r="Q313" s="382">
        <f t="shared" si="220"/>
        <v>0</v>
      </c>
      <c r="R313" s="397">
        <f t="shared" si="220"/>
        <v>0</v>
      </c>
      <c r="S313" s="397">
        <f t="shared" si="220"/>
        <v>0</v>
      </c>
      <c r="T313" s="467">
        <f t="shared" si="220"/>
        <v>0</v>
      </c>
      <c r="U313" s="382">
        <f t="shared" si="220"/>
        <v>0</v>
      </c>
      <c r="V313" s="397">
        <f t="shared" si="220"/>
        <v>0</v>
      </c>
      <c r="W313" s="397">
        <f t="shared" si="220"/>
        <v>0</v>
      </c>
      <c r="X313" s="467">
        <f t="shared" si="220"/>
        <v>0</v>
      </c>
      <c r="Y313" s="382">
        <f t="shared" si="220"/>
        <v>0</v>
      </c>
      <c r="Z313" s="397">
        <f t="shared" si="220"/>
        <v>0</v>
      </c>
      <c r="AA313" s="397">
        <f t="shared" si="220"/>
        <v>0</v>
      </c>
      <c r="AB313" s="467">
        <f t="shared" si="220"/>
        <v>0</v>
      </c>
      <c r="AC313" s="382">
        <f t="shared" si="220"/>
        <v>0</v>
      </c>
      <c r="AD313" s="397">
        <f t="shared" si="220"/>
        <v>0</v>
      </c>
      <c r="AE313" s="397">
        <f t="shared" si="220"/>
        <v>0</v>
      </c>
      <c r="AF313" s="467">
        <f t="shared" si="220"/>
        <v>0</v>
      </c>
      <c r="AG313" s="382">
        <f t="shared" si="220"/>
        <v>0</v>
      </c>
      <c r="AH313" s="397">
        <f t="shared" si="220"/>
        <v>0</v>
      </c>
      <c r="AI313" s="397">
        <f t="shared" si="220"/>
        <v>0</v>
      </c>
      <c r="AJ313" s="467">
        <f t="shared" si="220"/>
        <v>0</v>
      </c>
      <c r="AK313" s="382">
        <f t="shared" si="220"/>
        <v>0</v>
      </c>
      <c r="AL313" s="397">
        <f t="shared" si="220"/>
        <v>0</v>
      </c>
      <c r="AM313" s="397">
        <f t="shared" si="220"/>
        <v>0</v>
      </c>
      <c r="AN313" s="467">
        <f t="shared" si="220"/>
        <v>0</v>
      </c>
      <c r="AO313" s="382">
        <f t="shared" si="220"/>
        <v>0</v>
      </c>
      <c r="AP313" s="397">
        <f t="shared" si="220"/>
        <v>0</v>
      </c>
      <c r="AQ313" s="397">
        <f t="shared" si="220"/>
        <v>0</v>
      </c>
      <c r="AR313" s="467">
        <f t="shared" si="220"/>
        <v>0</v>
      </c>
      <c r="AS313" s="382">
        <f t="shared" si="220"/>
        <v>0</v>
      </c>
      <c r="AT313" s="397">
        <f t="shared" si="220"/>
        <v>0</v>
      </c>
      <c r="AU313" s="397">
        <f t="shared" si="220"/>
        <v>0</v>
      </c>
      <c r="AV313" s="467">
        <f t="shared" si="220"/>
        <v>0</v>
      </c>
      <c r="AW313" s="424">
        <f t="shared" si="215"/>
        <v>0</v>
      </c>
    </row>
    <row r="314" spans="1:49" s="424" customFormat="1" ht="13.5" customHeight="1" outlineLevel="1">
      <c r="A314" s="1947"/>
      <c r="B314" s="1949"/>
      <c r="C314" s="508" t="s">
        <v>450</v>
      </c>
      <c r="D314" s="468">
        <f t="shared" si="219"/>
        <v>0</v>
      </c>
      <c r="E314" s="386">
        <f>SUMIF($I$1:$T$1,B310,$I$2:$T$2)*E313</f>
        <v>0</v>
      </c>
      <c r="F314" s="399">
        <f>(1-SUMIF($I$1:$T$1,B310,$I$2:$T$2))*E313+SUMIF($I$1:$T$1,B310,$I$2:$T$2)*F313</f>
        <v>0</v>
      </c>
      <c r="G314" s="399">
        <f>(1-SUMIF($I$1:$T$1,B310,$I$2:$T$2))*F313+SUMIF($I$1:$T$1,B310,$I$2:$T$2)*G313</f>
        <v>0</v>
      </c>
      <c r="H314" s="404">
        <f>(1-SUMIF($I$1:$T$1,B310,$I$2:$T$2))*G313+SUMIF($I$1:$T$1,B310,$I$2:$T$2)*H313</f>
        <v>0</v>
      </c>
      <c r="I314" s="386">
        <f>(1-SUMIF($I$1:$T$1,B310,$I$2:$T$2))*H313+SUMIF($I$1:$T$1,B310,$I$2:$T$2)*I313</f>
        <v>0</v>
      </c>
      <c r="J314" s="399">
        <f>(1-SUMIF($I$1:$T$1,B310,$I$2:$T$2))*I313+SUMIF($I$1:$T$1,B310,$I$2:$T$2)*J313</f>
        <v>0</v>
      </c>
      <c r="K314" s="399">
        <f>(1-SUMIF($I$1:$T$1,B310,$I$2:$T$2))*J313+SUMIF($I$1:$T$1,B310,$I$2:$T$2)*K313</f>
        <v>0</v>
      </c>
      <c r="L314" s="404">
        <f>(1-SUMIF($I$1:$T$1,B310,$I$2:$T$2))*K313+SUMIF($I$1:$T$1,B310,$I$2:$T$2)*L313</f>
        <v>0</v>
      </c>
      <c r="M314" s="386">
        <f>(1-SUMIF($I$1:$T$1,B310,$I$2:$T$2))*L313+SUMIF($I$1:$T$1,B310,$I$2:$T$2)*M313</f>
        <v>0</v>
      </c>
      <c r="N314" s="399">
        <f>(1-SUMIF($I$1:$T$1,B310,$I$2:$T$2))*M313+SUMIF($I$1:$T$1,B310,$I$2:$T$2)*N313</f>
        <v>0</v>
      </c>
      <c r="O314" s="399">
        <f>(1-SUMIF($I$1:$T$1,B310,$I$2:$T$2))*N313+SUMIF($I$1:$T$1,B310,$I$2:$T$2)*O313</f>
        <v>0</v>
      </c>
      <c r="P314" s="404">
        <f>(1-SUMIF($I$1:$T$1,B310,$I$2:$T$2))*O313+SUMIF($I$1:$T$1,B310,$I$2:$T$2)*P313</f>
        <v>0</v>
      </c>
      <c r="Q314" s="386">
        <f>(1-SUMIF($I$1:$T$1,B310,$I$2:$T$2))*P313+SUMIF($I$1:$T$1,B310,$I$2:$T$2)*Q313</f>
        <v>0</v>
      </c>
      <c r="R314" s="399">
        <f>(1-SUMIF($I$1:$T$1,B310,$I$2:$T$2))*Q313+SUMIF($I$1:$T$1,B310,$I$2:$T$2)*R313</f>
        <v>0</v>
      </c>
      <c r="S314" s="399">
        <f>(1-SUMIF($I$1:$T$1,B310,$I$2:$T$2))*R313+SUMIF($I$1:$T$1,B310,$I$2:$T$2)*S313</f>
        <v>0</v>
      </c>
      <c r="T314" s="404">
        <f>(1-SUMIF($I$1:$T$1,B310,$I$2:$T$2))*S313+SUMIF($I$1:$T$1,B310,$I$2:$T$2)*T313</f>
        <v>0</v>
      </c>
      <c r="U314" s="386">
        <f>(1-SUMIF($I$1:$T$1,B310,$I$2:$T$2))*T313+SUMIF($I$1:$T$1,B310,$I$2:$T$2)*U313</f>
        <v>0</v>
      </c>
      <c r="V314" s="399">
        <f>(1-SUMIF($I$1:$T$1,B310,$I$2:$T$2))*U313+SUMIF($I$1:$T$1,B310,$I$2:$T$2)*V313</f>
        <v>0</v>
      </c>
      <c r="W314" s="399">
        <f>(1-SUMIF($I$1:$T$1,B310,$I$2:$T$2))*V313+SUMIF($I$1:$T$1,B310,$I$2:$T$2)*W313</f>
        <v>0</v>
      </c>
      <c r="X314" s="404">
        <f>(1-SUMIF($I$1:$T$1,B310,$I$2:$T$2))*W313+SUMIF($I$1:$T$1,B310,$I$2:$T$2)*X313</f>
        <v>0</v>
      </c>
      <c r="Y314" s="386">
        <f>(1-SUMIF($I$1:$T$1,B310,$I$2:$T$2))*X313+SUMIF($I$1:$T$1,B310,$I$2:$T$2)*Y313</f>
        <v>0</v>
      </c>
      <c r="Z314" s="399">
        <f>(1-SUMIF($I$1:$T$1,B310,$I$2:$T$2))*Y313+SUMIF($I$1:$T$1,B310,$I$2:$T$2)*Z313</f>
        <v>0</v>
      </c>
      <c r="AA314" s="399">
        <f>(1-SUMIF($I$1:$T$1,B310,$I$2:$T$2))*Z313+SUMIF($I$1:$T$1,B310,$I$2:$T$2)*AA313</f>
        <v>0</v>
      </c>
      <c r="AB314" s="404">
        <f>(1-SUMIF($I$1:$T$1,B310,$I$2:$T$2))*AA313+SUMIF($I$1:$T$1,B310,$I$2:$T$2)*AB313</f>
        <v>0</v>
      </c>
      <c r="AC314" s="386">
        <f>(1-SUMIF($I$1:$T$1,B310,$I$2:$T$2))*AB313+SUMIF($I$1:$T$1,B310,$I$2:$T$2)*AC313</f>
        <v>0</v>
      </c>
      <c r="AD314" s="399">
        <f>(1-SUMIF($I$1:$T$1,B310,$I$2:$T$2))*AC313+SUMIF($I$1:$T$1,B310,$I$2:$T$2)*AD313</f>
        <v>0</v>
      </c>
      <c r="AE314" s="399">
        <f>(1-SUMIF($I$1:$T$1,B310,$I$2:$T$2))*AD313+SUMIF($I$1:$T$1,B310,$I$2:$T$2)*AE313</f>
        <v>0</v>
      </c>
      <c r="AF314" s="404">
        <f>(1-SUMIF($I$1:$T$1,B310,$I$2:$T$2))*AE313+SUMIF($I$1:$T$1,B310,$I$2:$T$2)*AF313</f>
        <v>0</v>
      </c>
      <c r="AG314" s="386">
        <f>(1-SUMIF($I$1:$T$1,B310,$I$2:$T$2))*AF313+SUMIF($I$1:$T$1,B310,$I$2:$T$2)*AG313</f>
        <v>0</v>
      </c>
      <c r="AH314" s="399">
        <f>(1-SUMIF($I$1:$T$1,B310,$I$2:$T$2))*AG313+SUMIF($I$1:$T$1,B310,$I$2:$T$2)*AH313</f>
        <v>0</v>
      </c>
      <c r="AI314" s="399">
        <f>(1-SUMIF($I$1:$T$1,B310,$I$2:$T$2))*AH313+SUMIF($I$1:$T$1,B310,$I$2:$T$2)*AI313</f>
        <v>0</v>
      </c>
      <c r="AJ314" s="404">
        <f>(1-SUMIF($I$1:$T$1,B310,$I$2:$T$2))*AI313+SUMIF($I$1:$T$1,B310,$I$2:$T$2)*AJ313</f>
        <v>0</v>
      </c>
      <c r="AK314" s="386">
        <f>(1-SUMIF($I$1:$T$1,B310,$I$2:$T$2))*AJ313+SUMIF($I$1:$T$1,B310,$I$2:$T$2)*AK313</f>
        <v>0</v>
      </c>
      <c r="AL314" s="399">
        <f>(1-SUMIF($I$1:$T$1,B310,$I$2:$T$2))*AK313+SUMIF($I$1:$T$1,B310,$I$2:$T$2)*AL313</f>
        <v>0</v>
      </c>
      <c r="AM314" s="399">
        <f>(1-SUMIF($I$1:$T$1,B310,$I$2:$T$2))*AL313+SUMIF($I$1:$T$1,B310,$I$2:$T$2)*AM313</f>
        <v>0</v>
      </c>
      <c r="AN314" s="404">
        <f>(1-SUMIF($I$1:$T$1,B310,$I$2:$T$2))*AM313+SUMIF($I$1:$T$1,B310,$I$2:$T$2)*AN313</f>
        <v>0</v>
      </c>
      <c r="AO314" s="386">
        <f>(1-SUMIF($I$1:$T$1,B310,$I$2:$T$2))*AN313+SUMIF($I$1:$T$1,B310,$I$2:$T$2)*AO313</f>
        <v>0</v>
      </c>
      <c r="AP314" s="399">
        <f>(1-SUMIF($I$1:$T$1,B310,$I$2:$T$2))*AO313+SUMIF($I$1:$T$1,B310,$I$2:$T$2)*AP313</f>
        <v>0</v>
      </c>
      <c r="AQ314" s="399">
        <f>(1-SUMIF($I$1:$T$1,B310,$I$2:$T$2))*AP313+SUMIF($I$1:$T$1,B310,$I$2:$T$2)*AQ313</f>
        <v>0</v>
      </c>
      <c r="AR314" s="404">
        <f>(1-SUMIF($I$1:$T$1,B310,$I$2:$T$2))*AQ313+SUMIF($I$1:$T$1,B310,$I$2:$T$2)*AR313</f>
        <v>0</v>
      </c>
      <c r="AS314" s="386">
        <f>(1-SUMIF($I$1:$T$1,B310,$I$2:$T$2))*AR313+SUMIF($I$1:$T$1,B310,$I$2:$T$2)*AS313</f>
        <v>0</v>
      </c>
      <c r="AT314" s="399">
        <f>(1-SUMIF($I$1:$T$1,B310,$I$2:$T$2))*AS313+SUMIF($I$1:$T$1,B310,$I$2:$T$2)*AT313</f>
        <v>0</v>
      </c>
      <c r="AU314" s="399">
        <f>(1-SUMIF($I$1:$T$1,B310,$I$2:$T$2))*AT313+SUMIF($I$1:$T$1,B310,$I$2:$T$2)*AU313</f>
        <v>0</v>
      </c>
      <c r="AV314" s="404">
        <f>(1-SUMIF($I$1:$T$1,B310,$I$2:$T$2))*AU313+SUMIF($I$1:$T$1,B310,$I$2:$T$2)*AV313</f>
        <v>0</v>
      </c>
      <c r="AW314" s="424">
        <f t="shared" si="215"/>
        <v>0</v>
      </c>
    </row>
    <row r="315" spans="1:49" s="424" customFormat="1" ht="13.5" customHeight="1" outlineLevel="1">
      <c r="A315" s="1947"/>
      <c r="B315" s="1949">
        <f>'9.项目开发计划表'!C48</f>
        <v>0</v>
      </c>
      <c r="C315" s="456" t="s">
        <v>880</v>
      </c>
      <c r="D315" s="457">
        <f>IF(D317=0,0,D318/D317*10000)</f>
        <v>0</v>
      </c>
      <c r="E315" s="505"/>
      <c r="F315" s="506"/>
      <c r="G315" s="506"/>
      <c r="H315" s="507"/>
      <c r="I315" s="505"/>
      <c r="J315" s="506"/>
      <c r="K315" s="506"/>
      <c r="L315" s="507"/>
      <c r="M315" s="505"/>
      <c r="N315" s="506"/>
      <c r="O315" s="506"/>
      <c r="P315" s="507"/>
      <c r="Q315" s="505"/>
      <c r="R315" s="506"/>
      <c r="S315" s="506"/>
      <c r="T315" s="507"/>
      <c r="U315" s="505"/>
      <c r="V315" s="489"/>
      <c r="W315" s="489"/>
      <c r="X315" s="489"/>
      <c r="Y315" s="489"/>
      <c r="Z315" s="489"/>
      <c r="AA315" s="489"/>
      <c r="AB315" s="489"/>
      <c r="AC315" s="489"/>
      <c r="AD315" s="506"/>
      <c r="AE315" s="506"/>
      <c r="AF315" s="507"/>
      <c r="AG315" s="505"/>
      <c r="AH315" s="506"/>
      <c r="AI315" s="506"/>
      <c r="AJ315" s="507"/>
      <c r="AK315" s="505"/>
      <c r="AL315" s="506"/>
      <c r="AM315" s="506"/>
      <c r="AN315" s="507"/>
      <c r="AO315" s="505"/>
      <c r="AP315" s="506"/>
      <c r="AQ315" s="506"/>
      <c r="AR315" s="507"/>
      <c r="AS315" s="505"/>
      <c r="AT315" s="506"/>
      <c r="AU315" s="506"/>
      <c r="AV315" s="507"/>
      <c r="AW315" s="424">
        <f>B315</f>
        <v>0</v>
      </c>
    </row>
    <row r="316" spans="1:49" ht="13.5" customHeight="1" outlineLevel="1">
      <c r="A316" s="1947"/>
      <c r="B316" s="1949"/>
      <c r="C316" s="461" t="s">
        <v>881</v>
      </c>
      <c r="D316" s="462">
        <f t="shared" ref="D316:D319" si="221">SUM(E316:AV316)</f>
        <v>0</v>
      </c>
      <c r="E316" s="494"/>
      <c r="F316" s="491"/>
      <c r="G316" s="491"/>
      <c r="H316" s="493"/>
      <c r="I316" s="494"/>
      <c r="J316" s="491"/>
      <c r="K316" s="491"/>
      <c r="L316" s="493"/>
      <c r="M316" s="494"/>
      <c r="N316" s="491"/>
      <c r="O316" s="491"/>
      <c r="P316" s="493"/>
      <c r="Q316" s="494"/>
      <c r="R316" s="491"/>
      <c r="S316" s="491"/>
      <c r="T316" s="493"/>
      <c r="U316" s="494"/>
      <c r="V316" s="490"/>
      <c r="W316" s="490"/>
      <c r="X316" s="490"/>
      <c r="Y316" s="490"/>
      <c r="Z316" s="490"/>
      <c r="AA316" s="490"/>
      <c r="AB316" s="490"/>
      <c r="AC316" s="490"/>
      <c r="AD316" s="491"/>
      <c r="AE316" s="491"/>
      <c r="AF316" s="493"/>
      <c r="AG316" s="494"/>
      <c r="AH316" s="491"/>
      <c r="AI316" s="491"/>
      <c r="AJ316" s="493"/>
      <c r="AK316" s="494"/>
      <c r="AL316" s="491"/>
      <c r="AM316" s="491"/>
      <c r="AN316" s="493"/>
      <c r="AO316" s="494"/>
      <c r="AP316" s="491"/>
      <c r="AQ316" s="491"/>
      <c r="AR316" s="493"/>
      <c r="AS316" s="494"/>
      <c r="AT316" s="491"/>
      <c r="AU316" s="491"/>
      <c r="AV316" s="493"/>
      <c r="AW316" s="424">
        <f>AW315</f>
        <v>0</v>
      </c>
    </row>
    <row r="317" spans="1:49" s="424" customFormat="1" ht="13.5" customHeight="1" outlineLevel="1">
      <c r="A317" s="1947"/>
      <c r="B317" s="1949"/>
      <c r="C317" s="461" t="s">
        <v>682</v>
      </c>
      <c r="D317" s="466">
        <f t="shared" si="221"/>
        <v>0</v>
      </c>
      <c r="E317" s="382">
        <f>E316*'9.项目开发计划表'!$G$48</f>
        <v>0</v>
      </c>
      <c r="F317" s="397">
        <f>F316*'9.项目开发计划表'!$G$48</f>
        <v>0</v>
      </c>
      <c r="G317" s="397">
        <f>G316*'9.项目开发计划表'!$G$48</f>
        <v>0</v>
      </c>
      <c r="H317" s="467">
        <f>H316*'9.项目开发计划表'!$G$48</f>
        <v>0</v>
      </c>
      <c r="I317" s="382">
        <f>I316*'9.项目开发计划表'!$G$48</f>
        <v>0</v>
      </c>
      <c r="J317" s="397">
        <f>J316*'9.项目开发计划表'!$G$48</f>
        <v>0</v>
      </c>
      <c r="K317" s="397">
        <f>K316*'9.项目开发计划表'!$G$48</f>
        <v>0</v>
      </c>
      <c r="L317" s="467">
        <f>L316*'9.项目开发计划表'!$G$48</f>
        <v>0</v>
      </c>
      <c r="M317" s="382">
        <f>M316*'9.项目开发计划表'!$G$48</f>
        <v>0</v>
      </c>
      <c r="N317" s="397">
        <f>N316*'9.项目开发计划表'!$G$48</f>
        <v>0</v>
      </c>
      <c r="O317" s="397">
        <f>O316*'9.项目开发计划表'!$G$48</f>
        <v>0</v>
      </c>
      <c r="P317" s="467">
        <f>P316*'9.项目开发计划表'!$G$48</f>
        <v>0</v>
      </c>
      <c r="Q317" s="382">
        <f>Q316*'9.项目开发计划表'!$G$48</f>
        <v>0</v>
      </c>
      <c r="R317" s="397">
        <f>R316*'9.项目开发计划表'!$G$48</f>
        <v>0</v>
      </c>
      <c r="S317" s="397">
        <f>S316*'9.项目开发计划表'!$G$48</f>
        <v>0</v>
      </c>
      <c r="T317" s="467">
        <f>T316*'9.项目开发计划表'!$G$48</f>
        <v>0</v>
      </c>
      <c r="U317" s="382">
        <f>U316*'9.项目开发计划表'!$G$48</f>
        <v>0</v>
      </c>
      <c r="V317" s="397">
        <f>V316*'9.项目开发计划表'!$G$48</f>
        <v>0</v>
      </c>
      <c r="W317" s="397">
        <f>W316*'9.项目开发计划表'!$G$48</f>
        <v>0</v>
      </c>
      <c r="X317" s="467">
        <f>X316*'9.项目开发计划表'!$G$48</f>
        <v>0</v>
      </c>
      <c r="Y317" s="382">
        <f>Y316*'9.项目开发计划表'!$G$48</f>
        <v>0</v>
      </c>
      <c r="Z317" s="397">
        <f>Z316*'9.项目开发计划表'!$G$48</f>
        <v>0</v>
      </c>
      <c r="AA317" s="397">
        <f>AA316*'9.项目开发计划表'!$G$48</f>
        <v>0</v>
      </c>
      <c r="AB317" s="467">
        <f>AB316*'9.项目开发计划表'!$G$48</f>
        <v>0</v>
      </c>
      <c r="AC317" s="382">
        <f>AC316*'9.项目开发计划表'!$G$48</f>
        <v>0</v>
      </c>
      <c r="AD317" s="397">
        <f>AD316*'9.项目开发计划表'!$G$48</f>
        <v>0</v>
      </c>
      <c r="AE317" s="397">
        <f>AE316*'9.项目开发计划表'!$G$48</f>
        <v>0</v>
      </c>
      <c r="AF317" s="467">
        <f>AF316*'9.项目开发计划表'!$G$48</f>
        <v>0</v>
      </c>
      <c r="AG317" s="382">
        <f>AG316*'9.项目开发计划表'!$G$48</f>
        <v>0</v>
      </c>
      <c r="AH317" s="397">
        <f>AH316*'9.项目开发计划表'!$G$48</f>
        <v>0</v>
      </c>
      <c r="AI317" s="397">
        <f>AI316*'9.项目开发计划表'!$G$48</f>
        <v>0</v>
      </c>
      <c r="AJ317" s="467">
        <f>AJ316*'9.项目开发计划表'!$G$48</f>
        <v>0</v>
      </c>
      <c r="AK317" s="382">
        <f>AK316*'9.项目开发计划表'!$G$48</f>
        <v>0</v>
      </c>
      <c r="AL317" s="397">
        <f>AL316*'9.项目开发计划表'!$G$48</f>
        <v>0</v>
      </c>
      <c r="AM317" s="397">
        <f>AM316*'9.项目开发计划表'!$G$48</f>
        <v>0</v>
      </c>
      <c r="AN317" s="467">
        <f>AN316*'9.项目开发计划表'!$G$48</f>
        <v>0</v>
      </c>
      <c r="AO317" s="382">
        <f>AO316*'9.项目开发计划表'!$G$48</f>
        <v>0</v>
      </c>
      <c r="AP317" s="397">
        <f>AP316*'9.项目开发计划表'!$G$48</f>
        <v>0</v>
      </c>
      <c r="AQ317" s="397">
        <f>AQ316*'9.项目开发计划表'!$G$48</f>
        <v>0</v>
      </c>
      <c r="AR317" s="467">
        <f>AR316*'9.项目开发计划表'!$G$48</f>
        <v>0</v>
      </c>
      <c r="AS317" s="382">
        <f>AS316*'9.项目开发计划表'!$G$48</f>
        <v>0</v>
      </c>
      <c r="AT317" s="397">
        <f>AT316*'9.项目开发计划表'!$G$48</f>
        <v>0</v>
      </c>
      <c r="AU317" s="397">
        <f>AU316*'9.项目开发计划表'!$G$48</f>
        <v>0</v>
      </c>
      <c r="AV317" s="467">
        <f>AV316*'9.项目开发计划表'!$G$48</f>
        <v>0</v>
      </c>
      <c r="AW317" s="424">
        <f t="shared" si="215"/>
        <v>0</v>
      </c>
    </row>
    <row r="318" spans="1:49" s="424" customFormat="1" ht="13.5" customHeight="1" outlineLevel="1">
      <c r="A318" s="1947"/>
      <c r="B318" s="1949"/>
      <c r="C318" s="461" t="s">
        <v>882</v>
      </c>
      <c r="D318" s="466">
        <f t="shared" si="221"/>
        <v>0</v>
      </c>
      <c r="E318" s="382">
        <f t="shared" ref="E318:AV318" si="222">E315*E317/10000</f>
        <v>0</v>
      </c>
      <c r="F318" s="397">
        <f t="shared" si="222"/>
        <v>0</v>
      </c>
      <c r="G318" s="397">
        <f t="shared" si="222"/>
        <v>0</v>
      </c>
      <c r="H318" s="467">
        <f t="shared" si="222"/>
        <v>0</v>
      </c>
      <c r="I318" s="382">
        <f t="shared" si="222"/>
        <v>0</v>
      </c>
      <c r="J318" s="397">
        <f t="shared" si="222"/>
        <v>0</v>
      </c>
      <c r="K318" s="397">
        <f t="shared" si="222"/>
        <v>0</v>
      </c>
      <c r="L318" s="467">
        <f t="shared" si="222"/>
        <v>0</v>
      </c>
      <c r="M318" s="382">
        <f t="shared" si="222"/>
        <v>0</v>
      </c>
      <c r="N318" s="397">
        <f t="shared" si="222"/>
        <v>0</v>
      </c>
      <c r="O318" s="397">
        <f t="shared" si="222"/>
        <v>0</v>
      </c>
      <c r="P318" s="467">
        <f t="shared" si="222"/>
        <v>0</v>
      </c>
      <c r="Q318" s="382">
        <f t="shared" si="222"/>
        <v>0</v>
      </c>
      <c r="R318" s="397">
        <f t="shared" si="222"/>
        <v>0</v>
      </c>
      <c r="S318" s="397">
        <f t="shared" si="222"/>
        <v>0</v>
      </c>
      <c r="T318" s="467">
        <f t="shared" si="222"/>
        <v>0</v>
      </c>
      <c r="U318" s="382">
        <f t="shared" si="222"/>
        <v>0</v>
      </c>
      <c r="V318" s="397">
        <f t="shared" si="222"/>
        <v>0</v>
      </c>
      <c r="W318" s="397">
        <f t="shared" si="222"/>
        <v>0</v>
      </c>
      <c r="X318" s="467">
        <f t="shared" si="222"/>
        <v>0</v>
      </c>
      <c r="Y318" s="382">
        <f t="shared" si="222"/>
        <v>0</v>
      </c>
      <c r="Z318" s="397">
        <f t="shared" si="222"/>
        <v>0</v>
      </c>
      <c r="AA318" s="397">
        <f t="shared" si="222"/>
        <v>0</v>
      </c>
      <c r="AB318" s="467">
        <f t="shared" si="222"/>
        <v>0</v>
      </c>
      <c r="AC318" s="382">
        <f t="shared" si="222"/>
        <v>0</v>
      </c>
      <c r="AD318" s="397">
        <f t="shared" si="222"/>
        <v>0</v>
      </c>
      <c r="AE318" s="397">
        <f t="shared" si="222"/>
        <v>0</v>
      </c>
      <c r="AF318" s="467">
        <f t="shared" si="222"/>
        <v>0</v>
      </c>
      <c r="AG318" s="382">
        <f t="shared" si="222"/>
        <v>0</v>
      </c>
      <c r="AH318" s="397">
        <f t="shared" si="222"/>
        <v>0</v>
      </c>
      <c r="AI318" s="397">
        <f t="shared" si="222"/>
        <v>0</v>
      </c>
      <c r="AJ318" s="467">
        <f t="shared" si="222"/>
        <v>0</v>
      </c>
      <c r="AK318" s="382">
        <f t="shared" si="222"/>
        <v>0</v>
      </c>
      <c r="AL318" s="397">
        <f t="shared" si="222"/>
        <v>0</v>
      </c>
      <c r="AM318" s="397">
        <f t="shared" si="222"/>
        <v>0</v>
      </c>
      <c r="AN318" s="467">
        <f t="shared" si="222"/>
        <v>0</v>
      </c>
      <c r="AO318" s="382">
        <f t="shared" si="222"/>
        <v>0</v>
      </c>
      <c r="AP318" s="397">
        <f t="shared" si="222"/>
        <v>0</v>
      </c>
      <c r="AQ318" s="397">
        <f t="shared" si="222"/>
        <v>0</v>
      </c>
      <c r="AR318" s="467">
        <f t="shared" si="222"/>
        <v>0</v>
      </c>
      <c r="AS318" s="382">
        <f t="shared" si="222"/>
        <v>0</v>
      </c>
      <c r="AT318" s="397">
        <f t="shared" si="222"/>
        <v>0</v>
      </c>
      <c r="AU318" s="397">
        <f t="shared" si="222"/>
        <v>0</v>
      </c>
      <c r="AV318" s="467">
        <f t="shared" si="222"/>
        <v>0</v>
      </c>
      <c r="AW318" s="424">
        <f t="shared" si="215"/>
        <v>0</v>
      </c>
    </row>
    <row r="319" spans="1:49" s="424" customFormat="1" ht="13.5" customHeight="1" outlineLevel="1">
      <c r="A319" s="1947"/>
      <c r="B319" s="1949"/>
      <c r="C319" s="508" t="s">
        <v>450</v>
      </c>
      <c r="D319" s="468">
        <f t="shared" si="221"/>
        <v>0</v>
      </c>
      <c r="E319" s="386">
        <f>SUMIF($I$1:$T$1,B315,$I$2:$T$2)*E318</f>
        <v>0</v>
      </c>
      <c r="F319" s="399">
        <f>(1-SUMIF($I$1:$T$1,B315,$I$2:$T$2))*E318+SUMIF($I$1:$T$1,B315,$I$2:$T$2)*F318</f>
        <v>0</v>
      </c>
      <c r="G319" s="399">
        <f>(1-SUMIF($I$1:$T$1,B315,$I$2:$T$2))*F318+SUMIF($I$1:$T$1,B315,$I$2:$T$2)*G318</f>
        <v>0</v>
      </c>
      <c r="H319" s="404">
        <f>(1-SUMIF($I$1:$T$1,B315,$I$2:$T$2))*G318+SUMIF($I$1:$T$1,B315,$I$2:$T$2)*H318</f>
        <v>0</v>
      </c>
      <c r="I319" s="386">
        <f>(1-SUMIF($I$1:$T$1,B315,$I$2:$T$2))*H318+SUMIF($I$1:$T$1,B315,$I$2:$T$2)*I318</f>
        <v>0</v>
      </c>
      <c r="J319" s="399">
        <f>(1-SUMIF($I$1:$T$1,B315,$I$2:$T$2))*I318+SUMIF($I$1:$T$1,B315,$I$2:$T$2)*J318</f>
        <v>0</v>
      </c>
      <c r="K319" s="399">
        <f>(1-SUMIF($I$1:$T$1,B315,$I$2:$T$2))*J318+SUMIF($I$1:$T$1,B315,$I$2:$T$2)*K318</f>
        <v>0</v>
      </c>
      <c r="L319" s="404">
        <f>(1-SUMIF($I$1:$T$1,B315,$I$2:$T$2))*K318+SUMIF($I$1:$T$1,B315,$I$2:$T$2)*L318</f>
        <v>0</v>
      </c>
      <c r="M319" s="386">
        <f>(1-SUMIF($I$1:$T$1,B315,$I$2:$T$2))*L318+SUMIF($I$1:$T$1,B315,$I$2:$T$2)*M318</f>
        <v>0</v>
      </c>
      <c r="N319" s="399">
        <f>(1-SUMIF($I$1:$T$1,B315,$I$2:$T$2))*M318+SUMIF($I$1:$T$1,B315,$I$2:$T$2)*N318</f>
        <v>0</v>
      </c>
      <c r="O319" s="399">
        <f>(1-SUMIF($I$1:$T$1,B315,$I$2:$T$2))*N318+SUMIF($I$1:$T$1,B315,$I$2:$T$2)*O318</f>
        <v>0</v>
      </c>
      <c r="P319" s="404">
        <f>(1-SUMIF($I$1:$T$1,B315,$I$2:$T$2))*O318+SUMIF($I$1:$T$1,B315,$I$2:$T$2)*P318</f>
        <v>0</v>
      </c>
      <c r="Q319" s="386">
        <f>(1-SUMIF($I$1:$T$1,B315,$I$2:$T$2))*P318+SUMIF($I$1:$T$1,B315,$I$2:$T$2)*Q318</f>
        <v>0</v>
      </c>
      <c r="R319" s="399">
        <f>(1-SUMIF($I$1:$T$1,B315,$I$2:$T$2))*Q318+SUMIF($I$1:$T$1,B315,$I$2:$T$2)*R318</f>
        <v>0</v>
      </c>
      <c r="S319" s="399">
        <f>(1-SUMIF($I$1:$T$1,B315,$I$2:$T$2))*R318+SUMIF($I$1:$T$1,B315,$I$2:$T$2)*S318</f>
        <v>0</v>
      </c>
      <c r="T319" s="404">
        <f>(1-SUMIF($I$1:$T$1,B315,$I$2:$T$2))*S318+SUMIF($I$1:$T$1,B315,$I$2:$T$2)*T318</f>
        <v>0</v>
      </c>
      <c r="U319" s="386">
        <f>(1-SUMIF($I$1:$T$1,B315,$I$2:$T$2))*T318+SUMIF($I$1:$T$1,B315,$I$2:$T$2)*U318</f>
        <v>0</v>
      </c>
      <c r="V319" s="399">
        <f>(1-SUMIF($I$1:$T$1,B315,$I$2:$T$2))*U318+SUMIF($I$1:$T$1,B315,$I$2:$T$2)*V318</f>
        <v>0</v>
      </c>
      <c r="W319" s="399">
        <f>(1-SUMIF($I$1:$T$1,B315,$I$2:$T$2))*V318+SUMIF($I$1:$T$1,B315,$I$2:$T$2)*W318</f>
        <v>0</v>
      </c>
      <c r="X319" s="404">
        <f>(1-SUMIF($I$1:$T$1,B315,$I$2:$T$2))*W318+SUMIF($I$1:$T$1,B315,$I$2:$T$2)*X318</f>
        <v>0</v>
      </c>
      <c r="Y319" s="386">
        <f>(1-SUMIF($I$1:$T$1,B315,$I$2:$T$2))*X318+SUMIF($I$1:$T$1,B315,$I$2:$T$2)*Y318</f>
        <v>0</v>
      </c>
      <c r="Z319" s="399">
        <f>(1-SUMIF($I$1:$T$1,B315,$I$2:$T$2))*Y318+SUMIF($I$1:$T$1,B315,$I$2:$T$2)*Z318</f>
        <v>0</v>
      </c>
      <c r="AA319" s="399">
        <f>(1-SUMIF($I$1:$T$1,B315,$I$2:$T$2))*Z318+SUMIF($I$1:$T$1,B315,$I$2:$T$2)*AA318</f>
        <v>0</v>
      </c>
      <c r="AB319" s="404">
        <f>(1-SUMIF($I$1:$T$1,B315,$I$2:$T$2))*AA318+SUMIF($I$1:$T$1,B315,$I$2:$T$2)*AB318</f>
        <v>0</v>
      </c>
      <c r="AC319" s="386">
        <f>(1-SUMIF($I$1:$T$1,B315,$I$2:$T$2))*AB318+SUMIF($I$1:$T$1,B315,$I$2:$T$2)*AC318</f>
        <v>0</v>
      </c>
      <c r="AD319" s="399">
        <f>(1-SUMIF($I$1:$T$1,B315,$I$2:$T$2))*AC318+SUMIF($I$1:$T$1,B315,$I$2:$T$2)*AD318</f>
        <v>0</v>
      </c>
      <c r="AE319" s="399">
        <f>(1-SUMIF($I$1:$T$1,B315,$I$2:$T$2))*AD318+SUMIF($I$1:$T$1,B315,$I$2:$T$2)*AE318</f>
        <v>0</v>
      </c>
      <c r="AF319" s="404">
        <f>(1-SUMIF($I$1:$T$1,B315,$I$2:$T$2))*AE318+SUMIF($I$1:$T$1,B315,$I$2:$T$2)*AF318</f>
        <v>0</v>
      </c>
      <c r="AG319" s="386">
        <f>(1-SUMIF($I$1:$T$1,B315,$I$2:$T$2))*AF318+SUMIF($I$1:$T$1,B315,$I$2:$T$2)*AG318</f>
        <v>0</v>
      </c>
      <c r="AH319" s="399">
        <f>(1-SUMIF($I$1:$T$1,B315,$I$2:$T$2))*AG318+SUMIF($I$1:$T$1,B315,$I$2:$T$2)*AH318</f>
        <v>0</v>
      </c>
      <c r="AI319" s="399">
        <f>(1-SUMIF($I$1:$T$1,B315,$I$2:$T$2))*AH318+SUMIF($I$1:$T$1,B315,$I$2:$T$2)*AI318</f>
        <v>0</v>
      </c>
      <c r="AJ319" s="404">
        <f>(1-SUMIF($I$1:$T$1,B315,$I$2:$T$2))*AI318+SUMIF($I$1:$T$1,B315,$I$2:$T$2)*AJ318</f>
        <v>0</v>
      </c>
      <c r="AK319" s="386">
        <f>(1-SUMIF($I$1:$T$1,B315,$I$2:$T$2))*AJ318+SUMIF($I$1:$T$1,B315,$I$2:$T$2)*AK318</f>
        <v>0</v>
      </c>
      <c r="AL319" s="399">
        <f>(1-SUMIF($I$1:$T$1,B315,$I$2:$T$2))*AK318+SUMIF($I$1:$T$1,B315,$I$2:$T$2)*AL318</f>
        <v>0</v>
      </c>
      <c r="AM319" s="399">
        <f>(1-SUMIF($I$1:$T$1,B315,$I$2:$T$2))*AL318+SUMIF($I$1:$T$1,B315,$I$2:$T$2)*AM318</f>
        <v>0</v>
      </c>
      <c r="AN319" s="404">
        <f>(1-SUMIF($I$1:$T$1,B315,$I$2:$T$2))*AM318+SUMIF($I$1:$T$1,B315,$I$2:$T$2)*AN318</f>
        <v>0</v>
      </c>
      <c r="AO319" s="386">
        <f>(1-SUMIF($I$1:$T$1,B315,$I$2:$T$2))*AN318+SUMIF($I$1:$T$1,B315,$I$2:$T$2)*AO318</f>
        <v>0</v>
      </c>
      <c r="AP319" s="399">
        <f>(1-SUMIF($I$1:$T$1,B315,$I$2:$T$2))*AO318+SUMIF($I$1:$T$1,B315,$I$2:$T$2)*AP318</f>
        <v>0</v>
      </c>
      <c r="AQ319" s="399">
        <f>(1-SUMIF($I$1:$T$1,B315,$I$2:$T$2))*AP318+SUMIF($I$1:$T$1,B315,$I$2:$T$2)*AQ318</f>
        <v>0</v>
      </c>
      <c r="AR319" s="404">
        <f>(1-SUMIF($I$1:$T$1,B315,$I$2:$T$2))*AQ318+SUMIF($I$1:$T$1,B315,$I$2:$T$2)*AR318</f>
        <v>0</v>
      </c>
      <c r="AS319" s="386">
        <f>(1-SUMIF($I$1:$T$1,B315,$I$2:$T$2))*AR318+SUMIF($I$1:$T$1,B315,$I$2:$T$2)*AS318</f>
        <v>0</v>
      </c>
      <c r="AT319" s="399">
        <f>(1-SUMIF($I$1:$T$1,B315,$I$2:$T$2))*AS318+SUMIF($I$1:$T$1,B315,$I$2:$T$2)*AT318</f>
        <v>0</v>
      </c>
      <c r="AU319" s="399">
        <f>(1-SUMIF($I$1:$T$1,B315,$I$2:$T$2))*AT318+SUMIF($I$1:$T$1,B315,$I$2:$T$2)*AU318</f>
        <v>0</v>
      </c>
      <c r="AV319" s="404">
        <f>(1-SUMIF($I$1:$T$1,B315,$I$2:$T$2))*AU318+SUMIF($I$1:$T$1,B315,$I$2:$T$2)*AV318</f>
        <v>0</v>
      </c>
      <c r="AW319" s="424">
        <f t="shared" si="215"/>
        <v>0</v>
      </c>
    </row>
    <row r="320" spans="1:49" s="424" customFormat="1" ht="13.5" customHeight="1" outlineLevel="1">
      <c r="A320" s="1947"/>
      <c r="B320" s="1949">
        <f>'9.项目开发计划表'!C49</f>
        <v>0</v>
      </c>
      <c r="C320" s="456" t="s">
        <v>880</v>
      </c>
      <c r="D320" s="457">
        <f>IF(D322=0,0,D323/D322*10000)</f>
        <v>0</v>
      </c>
      <c r="E320" s="505"/>
      <c r="F320" s="506"/>
      <c r="G320" s="506"/>
      <c r="H320" s="507"/>
      <c r="I320" s="505"/>
      <c r="J320" s="506"/>
      <c r="K320" s="506"/>
      <c r="L320" s="507"/>
      <c r="M320" s="505"/>
      <c r="N320" s="506"/>
      <c r="O320" s="506"/>
      <c r="P320" s="507"/>
      <c r="Q320" s="505"/>
      <c r="R320" s="506"/>
      <c r="S320" s="507"/>
      <c r="T320" s="507"/>
      <c r="U320" s="505"/>
      <c r="V320" s="506"/>
      <c r="W320" s="506"/>
      <c r="X320" s="507"/>
      <c r="Y320" s="505"/>
      <c r="Z320" s="506"/>
      <c r="AA320" s="506"/>
      <c r="AB320" s="507"/>
      <c r="AC320" s="505"/>
      <c r="AD320" s="506"/>
      <c r="AE320" s="506"/>
      <c r="AF320" s="507"/>
      <c r="AG320" s="505"/>
      <c r="AH320" s="506"/>
      <c r="AI320" s="506"/>
      <c r="AJ320" s="507"/>
      <c r="AK320" s="505"/>
      <c r="AL320" s="506"/>
      <c r="AM320" s="506"/>
      <c r="AN320" s="507"/>
      <c r="AO320" s="505"/>
      <c r="AP320" s="506"/>
      <c r="AQ320" s="506"/>
      <c r="AR320" s="507"/>
      <c r="AS320" s="505"/>
      <c r="AT320" s="506"/>
      <c r="AU320" s="506"/>
      <c r="AV320" s="507"/>
      <c r="AW320" s="424">
        <f>B320</f>
        <v>0</v>
      </c>
    </row>
    <row r="321" spans="1:49" ht="13.5" customHeight="1" outlineLevel="1">
      <c r="A321" s="1947"/>
      <c r="B321" s="1949"/>
      <c r="C321" s="461" t="s">
        <v>881</v>
      </c>
      <c r="D321" s="462">
        <f t="shared" ref="D321:D324" si="223">SUM(E321:AV321)</f>
        <v>0</v>
      </c>
      <c r="E321" s="494"/>
      <c r="F321" s="491"/>
      <c r="G321" s="491"/>
      <c r="H321" s="493"/>
      <c r="I321" s="494"/>
      <c r="J321" s="491"/>
      <c r="K321" s="491"/>
      <c r="L321" s="493"/>
      <c r="M321" s="494"/>
      <c r="N321" s="491"/>
      <c r="O321" s="491"/>
      <c r="P321" s="493"/>
      <c r="Q321" s="494"/>
      <c r="R321" s="491"/>
      <c r="S321" s="493"/>
      <c r="T321" s="493"/>
      <c r="U321" s="494"/>
      <c r="V321" s="491"/>
      <c r="W321" s="491"/>
      <c r="X321" s="493"/>
      <c r="Y321" s="494"/>
      <c r="Z321" s="491"/>
      <c r="AA321" s="491"/>
      <c r="AB321" s="493"/>
      <c r="AC321" s="494"/>
      <c r="AD321" s="491"/>
      <c r="AE321" s="491"/>
      <c r="AF321" s="493"/>
      <c r="AG321" s="494"/>
      <c r="AH321" s="491"/>
      <c r="AI321" s="491"/>
      <c r="AJ321" s="493"/>
      <c r="AK321" s="494"/>
      <c r="AL321" s="491"/>
      <c r="AM321" s="491"/>
      <c r="AN321" s="493"/>
      <c r="AO321" s="494"/>
      <c r="AP321" s="491"/>
      <c r="AQ321" s="491"/>
      <c r="AR321" s="493"/>
      <c r="AS321" s="494"/>
      <c r="AT321" s="491"/>
      <c r="AU321" s="491"/>
      <c r="AV321" s="493"/>
      <c r="AW321" s="424">
        <f>AW320</f>
        <v>0</v>
      </c>
    </row>
    <row r="322" spans="1:49" s="424" customFormat="1" ht="13.5" customHeight="1" outlineLevel="1">
      <c r="A322" s="1947"/>
      <c r="B322" s="1949"/>
      <c r="C322" s="461" t="s">
        <v>682</v>
      </c>
      <c r="D322" s="466">
        <f t="shared" si="223"/>
        <v>0</v>
      </c>
      <c r="E322" s="382">
        <f>E321*'9.项目开发计划表'!$G$49</f>
        <v>0</v>
      </c>
      <c r="F322" s="397">
        <f>F321*'9.项目开发计划表'!$G$49</f>
        <v>0</v>
      </c>
      <c r="G322" s="397">
        <f>G321*'9.项目开发计划表'!$G$49</f>
        <v>0</v>
      </c>
      <c r="H322" s="467">
        <f>H321*'9.项目开发计划表'!$G$49</f>
        <v>0</v>
      </c>
      <c r="I322" s="382">
        <f>I321*'9.项目开发计划表'!$G$49</f>
        <v>0</v>
      </c>
      <c r="J322" s="397">
        <f>J321*'9.项目开发计划表'!$G$49</f>
        <v>0</v>
      </c>
      <c r="K322" s="397">
        <f>K321*'9.项目开发计划表'!$G$49</f>
        <v>0</v>
      </c>
      <c r="L322" s="467">
        <f>L321*'9.项目开发计划表'!$G$49</f>
        <v>0</v>
      </c>
      <c r="M322" s="382">
        <f>M321*'9.项目开发计划表'!$G$49</f>
        <v>0</v>
      </c>
      <c r="N322" s="397">
        <f>N321*'9.项目开发计划表'!$G$49</f>
        <v>0</v>
      </c>
      <c r="O322" s="397">
        <f>O321*'9.项目开发计划表'!$G$49</f>
        <v>0</v>
      </c>
      <c r="P322" s="467">
        <f>P321*'9.项目开发计划表'!$G$49</f>
        <v>0</v>
      </c>
      <c r="Q322" s="382">
        <f>Q321*'9.项目开发计划表'!$G$49</f>
        <v>0</v>
      </c>
      <c r="R322" s="397">
        <f>R321*'9.项目开发计划表'!$G$49</f>
        <v>0</v>
      </c>
      <c r="S322" s="397">
        <f>S321*'9.项目开发计划表'!$G$49</f>
        <v>0</v>
      </c>
      <c r="T322" s="467">
        <f>T321*'9.项目开发计划表'!$G$49</f>
        <v>0</v>
      </c>
      <c r="U322" s="382">
        <f>U321*'9.项目开发计划表'!$G$49</f>
        <v>0</v>
      </c>
      <c r="V322" s="397">
        <f>V321*'9.项目开发计划表'!$G$49</f>
        <v>0</v>
      </c>
      <c r="W322" s="397">
        <f>W321*'9.项目开发计划表'!$G$49</f>
        <v>0</v>
      </c>
      <c r="X322" s="467">
        <f>X321*'9.项目开发计划表'!$G$49</f>
        <v>0</v>
      </c>
      <c r="Y322" s="382">
        <f>Y321*'9.项目开发计划表'!$G$49</f>
        <v>0</v>
      </c>
      <c r="Z322" s="397">
        <f>Z321*'9.项目开发计划表'!$G$49</f>
        <v>0</v>
      </c>
      <c r="AA322" s="397">
        <f>AA321*'9.项目开发计划表'!$G$49</f>
        <v>0</v>
      </c>
      <c r="AB322" s="467">
        <f>AB321*'9.项目开发计划表'!$G$49</f>
        <v>0</v>
      </c>
      <c r="AC322" s="382">
        <f>AC321*'9.项目开发计划表'!$G$49</f>
        <v>0</v>
      </c>
      <c r="AD322" s="397">
        <f>AD321*'9.项目开发计划表'!$G$49</f>
        <v>0</v>
      </c>
      <c r="AE322" s="397">
        <f>AE321*'9.项目开发计划表'!$G$49</f>
        <v>0</v>
      </c>
      <c r="AF322" s="467">
        <f>AF321*'9.项目开发计划表'!$G$49</f>
        <v>0</v>
      </c>
      <c r="AG322" s="382">
        <f>AG321*'9.项目开发计划表'!$G$49</f>
        <v>0</v>
      </c>
      <c r="AH322" s="397">
        <f>AH321*'9.项目开发计划表'!$G$49</f>
        <v>0</v>
      </c>
      <c r="AI322" s="397">
        <f>AI321*'9.项目开发计划表'!$G$49</f>
        <v>0</v>
      </c>
      <c r="AJ322" s="467">
        <f>AJ321*'9.项目开发计划表'!$G$49</f>
        <v>0</v>
      </c>
      <c r="AK322" s="382">
        <f>AK321*'9.项目开发计划表'!$G$49</f>
        <v>0</v>
      </c>
      <c r="AL322" s="397">
        <f>AL321*'9.项目开发计划表'!$G$49</f>
        <v>0</v>
      </c>
      <c r="AM322" s="397">
        <f>AM321*'9.项目开发计划表'!$G$49</f>
        <v>0</v>
      </c>
      <c r="AN322" s="467">
        <f>AN321*'9.项目开发计划表'!$G$49</f>
        <v>0</v>
      </c>
      <c r="AO322" s="382">
        <f>AO321*'9.项目开发计划表'!$G$49</f>
        <v>0</v>
      </c>
      <c r="AP322" s="397">
        <f>AP321*'9.项目开发计划表'!$G$49</f>
        <v>0</v>
      </c>
      <c r="AQ322" s="397">
        <f>AQ321*'9.项目开发计划表'!$G$49</f>
        <v>0</v>
      </c>
      <c r="AR322" s="467">
        <f>AR321*'9.项目开发计划表'!$G$49</f>
        <v>0</v>
      </c>
      <c r="AS322" s="382">
        <f>AS321*'9.项目开发计划表'!$G$49</f>
        <v>0</v>
      </c>
      <c r="AT322" s="397">
        <f>AT321*'9.项目开发计划表'!$G$49</f>
        <v>0</v>
      </c>
      <c r="AU322" s="397">
        <f>AU321*'9.项目开发计划表'!$G$49</f>
        <v>0</v>
      </c>
      <c r="AV322" s="467">
        <f>AV321*'9.项目开发计划表'!$G$49</f>
        <v>0</v>
      </c>
      <c r="AW322" s="424">
        <f t="shared" si="215"/>
        <v>0</v>
      </c>
    </row>
    <row r="323" spans="1:49" s="424" customFormat="1" ht="13.5" customHeight="1" outlineLevel="1">
      <c r="A323" s="1947"/>
      <c r="B323" s="1949"/>
      <c r="C323" s="461" t="s">
        <v>882</v>
      </c>
      <c r="D323" s="466">
        <f t="shared" si="223"/>
        <v>0</v>
      </c>
      <c r="E323" s="382">
        <f t="shared" ref="E323:AV323" si="224">E320*E322/10000</f>
        <v>0</v>
      </c>
      <c r="F323" s="397">
        <f t="shared" si="224"/>
        <v>0</v>
      </c>
      <c r="G323" s="397">
        <f t="shared" si="224"/>
        <v>0</v>
      </c>
      <c r="H323" s="467">
        <f t="shared" si="224"/>
        <v>0</v>
      </c>
      <c r="I323" s="382">
        <f t="shared" si="224"/>
        <v>0</v>
      </c>
      <c r="J323" s="397">
        <f t="shared" si="224"/>
        <v>0</v>
      </c>
      <c r="K323" s="397">
        <f t="shared" si="224"/>
        <v>0</v>
      </c>
      <c r="L323" s="467">
        <f t="shared" si="224"/>
        <v>0</v>
      </c>
      <c r="M323" s="382">
        <f t="shared" si="224"/>
        <v>0</v>
      </c>
      <c r="N323" s="397">
        <f t="shared" si="224"/>
        <v>0</v>
      </c>
      <c r="O323" s="397">
        <f t="shared" si="224"/>
        <v>0</v>
      </c>
      <c r="P323" s="467">
        <f t="shared" si="224"/>
        <v>0</v>
      </c>
      <c r="Q323" s="382">
        <f t="shared" si="224"/>
        <v>0</v>
      </c>
      <c r="R323" s="397">
        <f t="shared" si="224"/>
        <v>0</v>
      </c>
      <c r="S323" s="397">
        <f t="shared" si="224"/>
        <v>0</v>
      </c>
      <c r="T323" s="467">
        <f t="shared" si="224"/>
        <v>0</v>
      </c>
      <c r="U323" s="382">
        <f t="shared" si="224"/>
        <v>0</v>
      </c>
      <c r="V323" s="397">
        <f t="shared" si="224"/>
        <v>0</v>
      </c>
      <c r="W323" s="397">
        <f t="shared" si="224"/>
        <v>0</v>
      </c>
      <c r="X323" s="467">
        <f t="shared" si="224"/>
        <v>0</v>
      </c>
      <c r="Y323" s="382">
        <f t="shared" si="224"/>
        <v>0</v>
      </c>
      <c r="Z323" s="397">
        <f t="shared" si="224"/>
        <v>0</v>
      </c>
      <c r="AA323" s="397">
        <f t="shared" si="224"/>
        <v>0</v>
      </c>
      <c r="AB323" s="467">
        <f t="shared" si="224"/>
        <v>0</v>
      </c>
      <c r="AC323" s="382">
        <f t="shared" si="224"/>
        <v>0</v>
      </c>
      <c r="AD323" s="397">
        <f t="shared" si="224"/>
        <v>0</v>
      </c>
      <c r="AE323" s="397">
        <f t="shared" si="224"/>
        <v>0</v>
      </c>
      <c r="AF323" s="467">
        <f t="shared" si="224"/>
        <v>0</v>
      </c>
      <c r="AG323" s="382">
        <f t="shared" si="224"/>
        <v>0</v>
      </c>
      <c r="AH323" s="397">
        <f t="shared" si="224"/>
        <v>0</v>
      </c>
      <c r="AI323" s="397">
        <f t="shared" si="224"/>
        <v>0</v>
      </c>
      <c r="AJ323" s="467">
        <f t="shared" si="224"/>
        <v>0</v>
      </c>
      <c r="AK323" s="382">
        <f t="shared" si="224"/>
        <v>0</v>
      </c>
      <c r="AL323" s="397">
        <f t="shared" si="224"/>
        <v>0</v>
      </c>
      <c r="AM323" s="397">
        <f t="shared" si="224"/>
        <v>0</v>
      </c>
      <c r="AN323" s="467">
        <f t="shared" si="224"/>
        <v>0</v>
      </c>
      <c r="AO323" s="382">
        <f t="shared" si="224"/>
        <v>0</v>
      </c>
      <c r="AP323" s="397">
        <f t="shared" si="224"/>
        <v>0</v>
      </c>
      <c r="AQ323" s="397">
        <f t="shared" si="224"/>
        <v>0</v>
      </c>
      <c r="AR323" s="467">
        <f t="shared" si="224"/>
        <v>0</v>
      </c>
      <c r="AS323" s="382">
        <f t="shared" si="224"/>
        <v>0</v>
      </c>
      <c r="AT323" s="397">
        <f t="shared" si="224"/>
        <v>0</v>
      </c>
      <c r="AU323" s="397">
        <f t="shared" si="224"/>
        <v>0</v>
      </c>
      <c r="AV323" s="467">
        <f t="shared" si="224"/>
        <v>0</v>
      </c>
      <c r="AW323" s="424">
        <f t="shared" si="215"/>
        <v>0</v>
      </c>
    </row>
    <row r="324" spans="1:49" s="424" customFormat="1" ht="13.5" customHeight="1" outlineLevel="1">
      <c r="A324" s="1947"/>
      <c r="B324" s="1949"/>
      <c r="C324" s="508" t="s">
        <v>450</v>
      </c>
      <c r="D324" s="468">
        <f t="shared" si="223"/>
        <v>0</v>
      </c>
      <c r="E324" s="386">
        <f>SUMIF($I$1:$T$1,B320,$I$2:$T$2)*E323</f>
        <v>0</v>
      </c>
      <c r="F324" s="399">
        <f>(1-SUMIF($I$1:$T$1,B320,$I$2:$T$2))*E323+SUMIF($I$1:$T$1,B320,$I$2:$T$2)*F323</f>
        <v>0</v>
      </c>
      <c r="G324" s="399">
        <f>(1-SUMIF($I$1:$T$1,B320,$I$2:$T$2))*F323+SUMIF($I$1:$T$1,B320,$I$2:$T$2)*G323</f>
        <v>0</v>
      </c>
      <c r="H324" s="404">
        <f>(1-SUMIF($I$1:$T$1,B320,$I$2:$T$2))*G323+SUMIF($I$1:$T$1,B320,$I$2:$T$2)*H323</f>
        <v>0</v>
      </c>
      <c r="I324" s="386">
        <f>(1-SUMIF($I$1:$T$1,B320,$I$2:$T$2))*H323+SUMIF($I$1:$T$1,B320,$I$2:$T$2)*I323</f>
        <v>0</v>
      </c>
      <c r="J324" s="399">
        <f>(1-SUMIF($I$1:$T$1,B320,$I$2:$T$2))*I323+SUMIF($I$1:$T$1,B320,$I$2:$T$2)*J323</f>
        <v>0</v>
      </c>
      <c r="K324" s="399">
        <f>(1-SUMIF($I$1:$T$1,B320,$I$2:$T$2))*J323+SUMIF($I$1:$T$1,B320,$I$2:$T$2)*K323</f>
        <v>0</v>
      </c>
      <c r="L324" s="404">
        <f>(1-SUMIF($I$1:$T$1,B320,$I$2:$T$2))*K323+SUMIF($I$1:$T$1,B320,$I$2:$T$2)*L323</f>
        <v>0</v>
      </c>
      <c r="M324" s="386">
        <f>(1-SUMIF($I$1:$T$1,B320,$I$2:$T$2))*L323+SUMIF($I$1:$T$1,B320,$I$2:$T$2)*M323</f>
        <v>0</v>
      </c>
      <c r="N324" s="399">
        <f>(1-SUMIF($I$1:$T$1,B320,$I$2:$T$2))*M323+SUMIF($I$1:$T$1,B320,$I$2:$T$2)*N323</f>
        <v>0</v>
      </c>
      <c r="O324" s="399">
        <f>(1-SUMIF($I$1:$T$1,B320,$I$2:$T$2))*N323+SUMIF($I$1:$T$1,B320,$I$2:$T$2)*O323</f>
        <v>0</v>
      </c>
      <c r="P324" s="404">
        <f>(1-SUMIF($I$1:$T$1,B320,$I$2:$T$2))*O323+SUMIF($I$1:$T$1,B320,$I$2:$T$2)*P323</f>
        <v>0</v>
      </c>
      <c r="Q324" s="386">
        <f>(1-SUMIF($I$1:$T$1,B320,$I$2:$T$2))*P323+SUMIF($I$1:$T$1,B320,$I$2:$T$2)*Q323</f>
        <v>0</v>
      </c>
      <c r="R324" s="399">
        <f>(1-SUMIF($I$1:$T$1,B320,$I$2:$T$2))*Q323+SUMIF($I$1:$T$1,B320,$I$2:$T$2)*R323</f>
        <v>0</v>
      </c>
      <c r="S324" s="399">
        <f>(1-SUMIF($I$1:$T$1,B320,$I$2:$T$2))*R323+SUMIF($I$1:$T$1,B320,$I$2:$T$2)*S323</f>
        <v>0</v>
      </c>
      <c r="T324" s="404">
        <f>(1-SUMIF($I$1:$T$1,B320,$I$2:$T$2))*S323+SUMIF($I$1:$T$1,B320,$I$2:$T$2)*T323</f>
        <v>0</v>
      </c>
      <c r="U324" s="386">
        <f>(1-SUMIF($I$1:$T$1,B320,$I$2:$T$2))*T323+SUMIF($I$1:$T$1,B320,$I$2:$T$2)*U323</f>
        <v>0</v>
      </c>
      <c r="V324" s="399">
        <f>(1-SUMIF($I$1:$T$1,B320,$I$2:$T$2))*U323+SUMIF($I$1:$T$1,B320,$I$2:$T$2)*V323</f>
        <v>0</v>
      </c>
      <c r="W324" s="399">
        <f>(1-SUMIF($I$1:$T$1,B320,$I$2:$T$2))*V323+SUMIF($I$1:$T$1,B320,$I$2:$T$2)*W323</f>
        <v>0</v>
      </c>
      <c r="X324" s="404">
        <f>(1-SUMIF($I$1:$T$1,B320,$I$2:$T$2))*W323+SUMIF($I$1:$T$1,B320,$I$2:$T$2)*X323</f>
        <v>0</v>
      </c>
      <c r="Y324" s="386">
        <f>(1-SUMIF($I$1:$T$1,B320,$I$2:$T$2))*X323+SUMIF($I$1:$T$1,B320,$I$2:$T$2)*Y323</f>
        <v>0</v>
      </c>
      <c r="Z324" s="399">
        <f>(1-SUMIF($I$1:$T$1,B320,$I$2:$T$2))*Y323+SUMIF($I$1:$T$1,B320,$I$2:$T$2)*Z323</f>
        <v>0</v>
      </c>
      <c r="AA324" s="399">
        <f>(1-SUMIF($I$1:$T$1,B320,$I$2:$T$2))*Z323+SUMIF($I$1:$T$1,B320,$I$2:$T$2)*AA323</f>
        <v>0</v>
      </c>
      <c r="AB324" s="404">
        <f>(1-SUMIF($I$1:$T$1,B320,$I$2:$T$2))*AA323+SUMIF($I$1:$T$1,B320,$I$2:$T$2)*AB323</f>
        <v>0</v>
      </c>
      <c r="AC324" s="386">
        <f>(1-SUMIF($I$1:$T$1,B320,$I$2:$T$2))*AB323+SUMIF($I$1:$T$1,B320,$I$2:$T$2)*AC323</f>
        <v>0</v>
      </c>
      <c r="AD324" s="399">
        <f>(1-SUMIF($I$1:$T$1,B320,$I$2:$T$2))*AC323+SUMIF($I$1:$T$1,B320,$I$2:$T$2)*AD323</f>
        <v>0</v>
      </c>
      <c r="AE324" s="399">
        <f>(1-SUMIF($I$1:$T$1,B320,$I$2:$T$2))*AD323+SUMIF($I$1:$T$1,B320,$I$2:$T$2)*AE323</f>
        <v>0</v>
      </c>
      <c r="AF324" s="404">
        <f>(1-SUMIF($I$1:$T$1,B320,$I$2:$T$2))*AE323+SUMIF($I$1:$T$1,B320,$I$2:$T$2)*AF323</f>
        <v>0</v>
      </c>
      <c r="AG324" s="386">
        <f>(1-SUMIF($I$1:$T$1,B320,$I$2:$T$2))*AF323+SUMIF($I$1:$T$1,B320,$I$2:$T$2)*AG323</f>
        <v>0</v>
      </c>
      <c r="AH324" s="399">
        <f>(1-SUMIF($I$1:$T$1,B320,$I$2:$T$2))*AG323+SUMIF($I$1:$T$1,B320,$I$2:$T$2)*AH323</f>
        <v>0</v>
      </c>
      <c r="AI324" s="399">
        <f>(1-SUMIF($I$1:$T$1,B320,$I$2:$T$2))*AH323+SUMIF($I$1:$T$1,B320,$I$2:$T$2)*AI323</f>
        <v>0</v>
      </c>
      <c r="AJ324" s="404">
        <f>(1-SUMIF($I$1:$T$1,B320,$I$2:$T$2))*AI323+SUMIF($I$1:$T$1,B320,$I$2:$T$2)*AJ323</f>
        <v>0</v>
      </c>
      <c r="AK324" s="386">
        <f>(1-SUMIF($I$1:$T$1,B320,$I$2:$T$2))*AJ323+SUMIF($I$1:$T$1,B320,$I$2:$T$2)*AK323</f>
        <v>0</v>
      </c>
      <c r="AL324" s="399">
        <f>(1-SUMIF($I$1:$T$1,B320,$I$2:$T$2))*AK323+SUMIF($I$1:$T$1,B320,$I$2:$T$2)*AL323</f>
        <v>0</v>
      </c>
      <c r="AM324" s="399">
        <f>(1-SUMIF($I$1:$T$1,B320,$I$2:$T$2))*AL323+SUMIF($I$1:$T$1,B320,$I$2:$T$2)*AM323</f>
        <v>0</v>
      </c>
      <c r="AN324" s="404">
        <f>(1-SUMIF($I$1:$T$1,B320,$I$2:$T$2))*AM323+SUMIF($I$1:$T$1,B320,$I$2:$T$2)*AN323</f>
        <v>0</v>
      </c>
      <c r="AO324" s="386">
        <f>(1-SUMIF($I$1:$T$1,B320,$I$2:$T$2))*AN323+SUMIF($I$1:$T$1,B320,$I$2:$T$2)*AO323</f>
        <v>0</v>
      </c>
      <c r="AP324" s="399">
        <f>(1-SUMIF($I$1:$T$1,B320,$I$2:$T$2))*AO323+SUMIF($I$1:$T$1,B320,$I$2:$T$2)*AP323</f>
        <v>0</v>
      </c>
      <c r="AQ324" s="399">
        <f>(1-SUMIF($I$1:$T$1,B320,$I$2:$T$2))*AP323+SUMIF($I$1:$T$1,B320,$I$2:$T$2)*AQ323</f>
        <v>0</v>
      </c>
      <c r="AR324" s="404">
        <f>(1-SUMIF($I$1:$T$1,B320,$I$2:$T$2))*AQ323+SUMIF($I$1:$T$1,B320,$I$2:$T$2)*AR323</f>
        <v>0</v>
      </c>
      <c r="AS324" s="386">
        <f>(1-SUMIF($I$1:$T$1,B320,$I$2:$T$2))*AR323+SUMIF($I$1:$T$1,B320,$I$2:$T$2)*AS323</f>
        <v>0</v>
      </c>
      <c r="AT324" s="399">
        <f>(1-SUMIF($I$1:$T$1,B320,$I$2:$T$2))*AS323+SUMIF($I$1:$T$1,B320,$I$2:$T$2)*AT323</f>
        <v>0</v>
      </c>
      <c r="AU324" s="399">
        <f>(1-SUMIF($I$1:$T$1,B320,$I$2:$T$2))*AT323+SUMIF($I$1:$T$1,B320,$I$2:$T$2)*AU323</f>
        <v>0</v>
      </c>
      <c r="AV324" s="404">
        <f>(1-SUMIF($I$1:$T$1,B320,$I$2:$T$2))*AU323+SUMIF($I$1:$T$1,B320,$I$2:$T$2)*AV323</f>
        <v>0</v>
      </c>
      <c r="AW324" s="424">
        <f t="shared" si="215"/>
        <v>0</v>
      </c>
    </row>
    <row r="325" spans="1:49" s="424" customFormat="1" ht="13.5" customHeight="1" outlineLevel="1">
      <c r="A325" s="1947"/>
      <c r="B325" s="1949">
        <f>'9.项目开发计划表'!C50</f>
        <v>0</v>
      </c>
      <c r="C325" s="456" t="s">
        <v>880</v>
      </c>
      <c r="D325" s="457">
        <f>IF(D327=0,0,D328/D327*10000)</f>
        <v>0</v>
      </c>
      <c r="E325" s="505"/>
      <c r="F325" s="506"/>
      <c r="G325" s="506"/>
      <c r="H325" s="507"/>
      <c r="I325" s="505"/>
      <c r="J325" s="506"/>
      <c r="K325" s="506"/>
      <c r="L325" s="507"/>
      <c r="M325" s="505"/>
      <c r="N325" s="506"/>
      <c r="O325" s="506"/>
      <c r="P325" s="507"/>
      <c r="Q325" s="505"/>
      <c r="R325" s="506"/>
      <c r="S325" s="507"/>
      <c r="T325" s="507"/>
      <c r="U325" s="507"/>
      <c r="V325" s="507"/>
      <c r="W325" s="507"/>
      <c r="X325" s="507"/>
      <c r="Y325" s="507"/>
      <c r="Z325" s="507"/>
      <c r="AA325" s="507"/>
      <c r="AB325" s="507"/>
      <c r="AC325" s="507"/>
      <c r="AD325" s="507"/>
      <c r="AE325" s="507"/>
      <c r="AF325" s="507"/>
      <c r="AG325" s="507"/>
      <c r="AH325" s="507"/>
      <c r="AI325" s="507"/>
      <c r="AJ325" s="507"/>
      <c r="AK325" s="507"/>
      <c r="AL325" s="507"/>
      <c r="AM325" s="507"/>
      <c r="AN325" s="507"/>
      <c r="AO325" s="507"/>
      <c r="AP325" s="507"/>
      <c r="AQ325" s="507"/>
      <c r="AR325" s="507"/>
      <c r="AS325" s="505"/>
      <c r="AT325" s="506"/>
      <c r="AU325" s="506"/>
      <c r="AV325" s="507"/>
      <c r="AW325" s="424">
        <f>B325</f>
        <v>0</v>
      </c>
    </row>
    <row r="326" spans="1:49" ht="13.5" customHeight="1" outlineLevel="1">
      <c r="A326" s="1947"/>
      <c r="B326" s="1949"/>
      <c r="C326" s="461" t="s">
        <v>881</v>
      </c>
      <c r="D326" s="510">
        <f t="shared" ref="D326:D329" si="225">SUM(E326:AV326)</f>
        <v>0</v>
      </c>
      <c r="E326" s="494"/>
      <c r="F326" s="491"/>
      <c r="G326" s="491"/>
      <c r="H326" s="493"/>
      <c r="I326" s="494"/>
      <c r="J326" s="491"/>
      <c r="K326" s="491"/>
      <c r="L326" s="493"/>
      <c r="M326" s="494"/>
      <c r="N326" s="491"/>
      <c r="O326" s="491"/>
      <c r="P326" s="493"/>
      <c r="Q326" s="494"/>
      <c r="R326" s="491"/>
      <c r="S326" s="493"/>
      <c r="T326" s="493"/>
      <c r="U326" s="493"/>
      <c r="V326" s="493"/>
      <c r="W326" s="493"/>
      <c r="X326" s="493"/>
      <c r="Y326" s="493"/>
      <c r="Z326" s="493"/>
      <c r="AA326" s="493"/>
      <c r="AB326" s="493"/>
      <c r="AC326" s="493"/>
      <c r="AD326" s="493"/>
      <c r="AE326" s="493"/>
      <c r="AF326" s="493"/>
      <c r="AG326" s="493"/>
      <c r="AH326" s="493"/>
      <c r="AI326" s="493"/>
      <c r="AJ326" s="493"/>
      <c r="AK326" s="493"/>
      <c r="AL326" s="493"/>
      <c r="AM326" s="493"/>
      <c r="AN326" s="493"/>
      <c r="AO326" s="493"/>
      <c r="AP326" s="493"/>
      <c r="AQ326" s="493"/>
      <c r="AR326" s="493"/>
      <c r="AS326" s="494"/>
      <c r="AT326" s="491"/>
      <c r="AU326" s="491"/>
      <c r="AV326" s="493"/>
      <c r="AW326" s="424">
        <f>AW325</f>
        <v>0</v>
      </c>
    </row>
    <row r="327" spans="1:49" s="424" customFormat="1" ht="13.5" customHeight="1" outlineLevel="1">
      <c r="A327" s="1947"/>
      <c r="B327" s="1949"/>
      <c r="C327" s="461" t="s">
        <v>682</v>
      </c>
      <c r="D327" s="466">
        <f t="shared" si="225"/>
        <v>0</v>
      </c>
      <c r="E327" s="382">
        <f>E326*'9.项目开发计划表'!$G$50</f>
        <v>0</v>
      </c>
      <c r="F327" s="397">
        <f>F326*'9.项目开发计划表'!$G$50</f>
        <v>0</v>
      </c>
      <c r="G327" s="397">
        <f>G326*'9.项目开发计划表'!$G$50</f>
        <v>0</v>
      </c>
      <c r="H327" s="467">
        <f>H326*'9.项目开发计划表'!$G$50</f>
        <v>0</v>
      </c>
      <c r="I327" s="382">
        <f>I326*'9.项目开发计划表'!$G$50</f>
        <v>0</v>
      </c>
      <c r="J327" s="397">
        <f>J326*'9.项目开发计划表'!$G$50</f>
        <v>0</v>
      </c>
      <c r="K327" s="397">
        <f>K326*'9.项目开发计划表'!$G$50</f>
        <v>0</v>
      </c>
      <c r="L327" s="467">
        <f>L326*'9.项目开发计划表'!$G$50</f>
        <v>0</v>
      </c>
      <c r="M327" s="382">
        <f>M326*'9.项目开发计划表'!$G$50</f>
        <v>0</v>
      </c>
      <c r="N327" s="397">
        <f>N326*'9.项目开发计划表'!$G$50</f>
        <v>0</v>
      </c>
      <c r="O327" s="397">
        <f>O326*'9.项目开发计划表'!$G$50</f>
        <v>0</v>
      </c>
      <c r="P327" s="467">
        <f>P326*'9.项目开发计划表'!$G$50</f>
        <v>0</v>
      </c>
      <c r="Q327" s="382">
        <f>Q326*'9.项目开发计划表'!$G$50</f>
        <v>0</v>
      </c>
      <c r="R327" s="397">
        <f>R326*'9.项目开发计划表'!$G$50</f>
        <v>0</v>
      </c>
      <c r="S327" s="397">
        <f>S326*'9.项目开发计划表'!$G$50</f>
        <v>0</v>
      </c>
      <c r="T327" s="467">
        <f>T326*'9.项目开发计划表'!$G$50</f>
        <v>0</v>
      </c>
      <c r="U327" s="382">
        <f>U326*'9.项目开发计划表'!$G$50</f>
        <v>0</v>
      </c>
      <c r="V327" s="397">
        <f>V326*'9.项目开发计划表'!$G$50</f>
        <v>0</v>
      </c>
      <c r="W327" s="397">
        <f>W326*'9.项目开发计划表'!$G$50</f>
        <v>0</v>
      </c>
      <c r="X327" s="467">
        <f>X326*'9.项目开发计划表'!$G$50</f>
        <v>0</v>
      </c>
      <c r="Y327" s="382">
        <f>Y326*'9.项目开发计划表'!$G$50</f>
        <v>0</v>
      </c>
      <c r="Z327" s="397">
        <f>Z326*'9.项目开发计划表'!$G$50</f>
        <v>0</v>
      </c>
      <c r="AA327" s="397">
        <f>AA326*'9.项目开发计划表'!$G$50</f>
        <v>0</v>
      </c>
      <c r="AB327" s="467">
        <f>AB326*'9.项目开发计划表'!$G$50</f>
        <v>0</v>
      </c>
      <c r="AC327" s="382">
        <f>AC326*'9.项目开发计划表'!$G$50</f>
        <v>0</v>
      </c>
      <c r="AD327" s="397">
        <f>AD326*'9.项目开发计划表'!$G$50</f>
        <v>0</v>
      </c>
      <c r="AE327" s="397">
        <f>AE326*'9.项目开发计划表'!$G$50</f>
        <v>0</v>
      </c>
      <c r="AF327" s="467">
        <f>AF326*'9.项目开发计划表'!$G$50</f>
        <v>0</v>
      </c>
      <c r="AG327" s="382">
        <f>AG326*'9.项目开发计划表'!$G$50</f>
        <v>0</v>
      </c>
      <c r="AH327" s="397">
        <f>AH326*'9.项目开发计划表'!$G$50</f>
        <v>0</v>
      </c>
      <c r="AI327" s="397">
        <f>AI326*'9.项目开发计划表'!$G$50</f>
        <v>0</v>
      </c>
      <c r="AJ327" s="467">
        <f>AJ326*'9.项目开发计划表'!$G$50</f>
        <v>0</v>
      </c>
      <c r="AK327" s="382">
        <f>AK326*'9.项目开发计划表'!$G$50</f>
        <v>0</v>
      </c>
      <c r="AL327" s="397">
        <f>AL326*'9.项目开发计划表'!$G$50</f>
        <v>0</v>
      </c>
      <c r="AM327" s="397">
        <f>AM326*'9.项目开发计划表'!$G$50</f>
        <v>0</v>
      </c>
      <c r="AN327" s="467">
        <f>AN326*'9.项目开发计划表'!$G$50</f>
        <v>0</v>
      </c>
      <c r="AO327" s="382">
        <f>AO326*'9.项目开发计划表'!$G$50</f>
        <v>0</v>
      </c>
      <c r="AP327" s="397">
        <f>AP326*'9.项目开发计划表'!$G$50</f>
        <v>0</v>
      </c>
      <c r="AQ327" s="397">
        <f>AQ326*'9.项目开发计划表'!$G$50</f>
        <v>0</v>
      </c>
      <c r="AR327" s="467">
        <f>AR326*'9.项目开发计划表'!$G$50</f>
        <v>0</v>
      </c>
      <c r="AS327" s="382">
        <f>AS326*'9.项目开发计划表'!$G$50</f>
        <v>0</v>
      </c>
      <c r="AT327" s="397">
        <f>AT326*'9.项目开发计划表'!$G$50</f>
        <v>0</v>
      </c>
      <c r="AU327" s="397">
        <f>AU326*'9.项目开发计划表'!$G$50</f>
        <v>0</v>
      </c>
      <c r="AV327" s="467">
        <f>AV326*'9.项目开发计划表'!$G$50</f>
        <v>0</v>
      </c>
      <c r="AW327" s="424">
        <f t="shared" si="215"/>
        <v>0</v>
      </c>
    </row>
    <row r="328" spans="1:49" s="424" customFormat="1" ht="13.5" customHeight="1" outlineLevel="1">
      <c r="A328" s="1947"/>
      <c r="B328" s="1949"/>
      <c r="C328" s="461" t="s">
        <v>882</v>
      </c>
      <c r="D328" s="466">
        <f t="shared" si="225"/>
        <v>0</v>
      </c>
      <c r="E328" s="382">
        <f t="shared" ref="E328:AV328" si="226">E325*E327/10000</f>
        <v>0</v>
      </c>
      <c r="F328" s="397">
        <f t="shared" si="226"/>
        <v>0</v>
      </c>
      <c r="G328" s="397">
        <f t="shared" si="226"/>
        <v>0</v>
      </c>
      <c r="H328" s="467">
        <f t="shared" si="226"/>
        <v>0</v>
      </c>
      <c r="I328" s="382">
        <f t="shared" si="226"/>
        <v>0</v>
      </c>
      <c r="J328" s="397">
        <f t="shared" si="226"/>
        <v>0</v>
      </c>
      <c r="K328" s="397">
        <f t="shared" si="226"/>
        <v>0</v>
      </c>
      <c r="L328" s="467">
        <f t="shared" si="226"/>
        <v>0</v>
      </c>
      <c r="M328" s="382">
        <f t="shared" si="226"/>
        <v>0</v>
      </c>
      <c r="N328" s="397">
        <f t="shared" si="226"/>
        <v>0</v>
      </c>
      <c r="O328" s="397">
        <f t="shared" si="226"/>
        <v>0</v>
      </c>
      <c r="P328" s="467">
        <f t="shared" si="226"/>
        <v>0</v>
      </c>
      <c r="Q328" s="382">
        <f t="shared" si="226"/>
        <v>0</v>
      </c>
      <c r="R328" s="397">
        <f t="shared" si="226"/>
        <v>0</v>
      </c>
      <c r="S328" s="397">
        <f t="shared" si="226"/>
        <v>0</v>
      </c>
      <c r="T328" s="467">
        <f t="shared" si="226"/>
        <v>0</v>
      </c>
      <c r="U328" s="382">
        <f t="shared" si="226"/>
        <v>0</v>
      </c>
      <c r="V328" s="397">
        <f t="shared" si="226"/>
        <v>0</v>
      </c>
      <c r="W328" s="397">
        <f t="shared" si="226"/>
        <v>0</v>
      </c>
      <c r="X328" s="467">
        <f t="shared" si="226"/>
        <v>0</v>
      </c>
      <c r="Y328" s="382">
        <f t="shared" si="226"/>
        <v>0</v>
      </c>
      <c r="Z328" s="397">
        <f t="shared" si="226"/>
        <v>0</v>
      </c>
      <c r="AA328" s="397">
        <f t="shared" si="226"/>
        <v>0</v>
      </c>
      <c r="AB328" s="467">
        <f t="shared" si="226"/>
        <v>0</v>
      </c>
      <c r="AC328" s="382">
        <f t="shared" si="226"/>
        <v>0</v>
      </c>
      <c r="AD328" s="397">
        <f t="shared" si="226"/>
        <v>0</v>
      </c>
      <c r="AE328" s="397">
        <f t="shared" si="226"/>
        <v>0</v>
      </c>
      <c r="AF328" s="467">
        <f t="shared" si="226"/>
        <v>0</v>
      </c>
      <c r="AG328" s="382">
        <f t="shared" si="226"/>
        <v>0</v>
      </c>
      <c r="AH328" s="397">
        <f t="shared" si="226"/>
        <v>0</v>
      </c>
      <c r="AI328" s="397">
        <f t="shared" si="226"/>
        <v>0</v>
      </c>
      <c r="AJ328" s="467">
        <f t="shared" si="226"/>
        <v>0</v>
      </c>
      <c r="AK328" s="382">
        <f t="shared" si="226"/>
        <v>0</v>
      </c>
      <c r="AL328" s="397">
        <f t="shared" si="226"/>
        <v>0</v>
      </c>
      <c r="AM328" s="397">
        <f t="shared" si="226"/>
        <v>0</v>
      </c>
      <c r="AN328" s="467">
        <f t="shared" si="226"/>
        <v>0</v>
      </c>
      <c r="AO328" s="382">
        <f t="shared" si="226"/>
        <v>0</v>
      </c>
      <c r="AP328" s="397">
        <f t="shared" si="226"/>
        <v>0</v>
      </c>
      <c r="AQ328" s="397">
        <f t="shared" si="226"/>
        <v>0</v>
      </c>
      <c r="AR328" s="467">
        <f t="shared" si="226"/>
        <v>0</v>
      </c>
      <c r="AS328" s="382">
        <f t="shared" si="226"/>
        <v>0</v>
      </c>
      <c r="AT328" s="397">
        <f t="shared" si="226"/>
        <v>0</v>
      </c>
      <c r="AU328" s="397">
        <f t="shared" si="226"/>
        <v>0</v>
      </c>
      <c r="AV328" s="467">
        <f t="shared" si="226"/>
        <v>0</v>
      </c>
      <c r="AW328" s="424">
        <f t="shared" si="215"/>
        <v>0</v>
      </c>
    </row>
    <row r="329" spans="1:49" s="424" customFormat="1" ht="13.5" customHeight="1" outlineLevel="1">
      <c r="A329" s="1947"/>
      <c r="B329" s="1949"/>
      <c r="C329" s="508" t="s">
        <v>450</v>
      </c>
      <c r="D329" s="468">
        <f t="shared" si="225"/>
        <v>0</v>
      </c>
      <c r="E329" s="386">
        <f>SUMIF($I$1:$T$1,B325,$I$2:$T$2)*E328</f>
        <v>0</v>
      </c>
      <c r="F329" s="399">
        <f>(1-SUMIF($I$1:$T$1,B325,$I$2:$T$2))*E328+SUMIF($I$1:$T$1,B325,$I$2:$T$2)*F328</f>
        <v>0</v>
      </c>
      <c r="G329" s="399">
        <f>(1-SUMIF($I$1:$T$1,B325,$I$2:$T$2))*F328+SUMIF($I$1:$T$1,B325,$I$2:$T$2)*G328</f>
        <v>0</v>
      </c>
      <c r="H329" s="404">
        <f>(1-SUMIF($I$1:$T$1,B325,$I$2:$T$2))*G328+SUMIF($I$1:$T$1,B325,$I$2:$T$2)*H328</f>
        <v>0</v>
      </c>
      <c r="I329" s="386">
        <f>(1-SUMIF($I$1:$T$1,B325,$I$2:$T$2))*H328+SUMIF($I$1:$T$1,B325,$I$2:$T$2)*I328</f>
        <v>0</v>
      </c>
      <c r="J329" s="399">
        <f>(1-SUMIF($I$1:$T$1,B325,$I$2:$T$2))*I328+SUMIF($I$1:$T$1,B325,$I$2:$T$2)*J328</f>
        <v>0</v>
      </c>
      <c r="K329" s="399">
        <f>(1-SUMIF($I$1:$T$1,B325,$I$2:$T$2))*J328+SUMIF($I$1:$T$1,B325,$I$2:$T$2)*K328</f>
        <v>0</v>
      </c>
      <c r="L329" s="404">
        <f>(1-SUMIF($I$1:$T$1,B325,$I$2:$T$2))*K328+SUMIF($I$1:$T$1,B325,$I$2:$T$2)*L328</f>
        <v>0</v>
      </c>
      <c r="M329" s="386">
        <f>(1-SUMIF($I$1:$T$1,B325,$I$2:$T$2))*L328+SUMIF($I$1:$T$1,B325,$I$2:$T$2)*M328</f>
        <v>0</v>
      </c>
      <c r="N329" s="399">
        <f>(1-SUMIF($I$1:$T$1,B325,$I$2:$T$2))*M328+SUMIF($I$1:$T$1,B325,$I$2:$T$2)*N328</f>
        <v>0</v>
      </c>
      <c r="O329" s="399">
        <f>(1-SUMIF($I$1:$T$1,B325,$I$2:$T$2))*N328+SUMIF($I$1:$T$1,B325,$I$2:$T$2)*O328</f>
        <v>0</v>
      </c>
      <c r="P329" s="404">
        <f>(1-SUMIF($I$1:$T$1,B325,$I$2:$T$2))*O328+SUMIF($I$1:$T$1,B325,$I$2:$T$2)*P328</f>
        <v>0</v>
      </c>
      <c r="Q329" s="386">
        <f>(1-SUMIF($I$1:$T$1,B325,$I$2:$T$2))*P328+SUMIF($I$1:$T$1,B325,$I$2:$T$2)*Q328</f>
        <v>0</v>
      </c>
      <c r="R329" s="399">
        <f>(1-SUMIF($I$1:$T$1,B325,$I$2:$T$2))*Q328+SUMIF($I$1:$T$1,B325,$I$2:$T$2)*R328</f>
        <v>0</v>
      </c>
      <c r="S329" s="399">
        <f>(1-SUMIF($I$1:$T$1,B325,$I$2:$T$2))*R328+SUMIF($I$1:$T$1,B325,$I$2:$T$2)*S328</f>
        <v>0</v>
      </c>
      <c r="T329" s="404">
        <f>(1-SUMIF($I$1:$T$1,B325,$I$2:$T$2))*S328+SUMIF($I$1:$T$1,B325,$I$2:$T$2)*T328</f>
        <v>0</v>
      </c>
      <c r="U329" s="386">
        <f>(1-SUMIF($I$1:$T$1,B325,$I$2:$T$2))*T328+SUMIF($I$1:$T$1,B325,$I$2:$T$2)*U328</f>
        <v>0</v>
      </c>
      <c r="V329" s="399">
        <f>(1-SUMIF($I$1:$T$1,B325,$I$2:$T$2))*U328+SUMIF($I$1:$T$1,B325,$I$2:$T$2)*V328</f>
        <v>0</v>
      </c>
      <c r="W329" s="399">
        <f>(1-SUMIF($I$1:$T$1,B325,$I$2:$T$2))*V328+SUMIF($I$1:$T$1,B325,$I$2:$T$2)*W328</f>
        <v>0</v>
      </c>
      <c r="X329" s="404">
        <f>(1-SUMIF($I$1:$T$1,B325,$I$2:$T$2))*W328+SUMIF($I$1:$T$1,B325,$I$2:$T$2)*X328</f>
        <v>0</v>
      </c>
      <c r="Y329" s="386">
        <f>(1-SUMIF($I$1:$T$1,B325,$I$2:$T$2))*X328+SUMIF($I$1:$T$1,B325,$I$2:$T$2)*Y328</f>
        <v>0</v>
      </c>
      <c r="Z329" s="399">
        <f>(1-SUMIF($I$1:$T$1,B325,$I$2:$T$2))*Y328+SUMIF($I$1:$T$1,B325,$I$2:$T$2)*Z328</f>
        <v>0</v>
      </c>
      <c r="AA329" s="399">
        <f>(1-SUMIF($I$1:$T$1,B325,$I$2:$T$2))*Z328+SUMIF($I$1:$T$1,B325,$I$2:$T$2)*AA328</f>
        <v>0</v>
      </c>
      <c r="AB329" s="404">
        <f>(1-SUMIF($I$1:$T$1,B325,$I$2:$T$2))*AA328+SUMIF($I$1:$T$1,B325,$I$2:$T$2)*AB328</f>
        <v>0</v>
      </c>
      <c r="AC329" s="386">
        <f>(1-SUMIF($I$1:$T$1,B325,$I$2:$T$2))*AB328+SUMIF($I$1:$T$1,B325,$I$2:$T$2)*AC328</f>
        <v>0</v>
      </c>
      <c r="AD329" s="399">
        <f>(1-SUMIF($I$1:$T$1,B325,$I$2:$T$2))*AC328+SUMIF($I$1:$T$1,B325,$I$2:$T$2)*AD328</f>
        <v>0</v>
      </c>
      <c r="AE329" s="399">
        <f>(1-SUMIF($I$1:$T$1,B325,$I$2:$T$2))*AD328+SUMIF($I$1:$T$1,B325,$I$2:$T$2)*AE328</f>
        <v>0</v>
      </c>
      <c r="AF329" s="404">
        <f>(1-SUMIF($I$1:$T$1,B325,$I$2:$T$2))*AE328+SUMIF($I$1:$T$1,B325,$I$2:$T$2)*AF328</f>
        <v>0</v>
      </c>
      <c r="AG329" s="386">
        <f>(1-SUMIF($I$1:$T$1,B325,$I$2:$T$2))*AF328+SUMIF($I$1:$T$1,B325,$I$2:$T$2)*AG328</f>
        <v>0</v>
      </c>
      <c r="AH329" s="399">
        <f>(1-SUMIF($I$1:$T$1,B325,$I$2:$T$2))*AG328+SUMIF($I$1:$T$1,B325,$I$2:$T$2)*AH328</f>
        <v>0</v>
      </c>
      <c r="AI329" s="399">
        <f>(1-SUMIF($I$1:$T$1,B325,$I$2:$T$2))*AH328+SUMIF($I$1:$T$1,B325,$I$2:$T$2)*AI328</f>
        <v>0</v>
      </c>
      <c r="AJ329" s="404">
        <f>(1-SUMIF($I$1:$T$1,B325,$I$2:$T$2))*AI328+SUMIF($I$1:$T$1,B325,$I$2:$T$2)*AJ328</f>
        <v>0</v>
      </c>
      <c r="AK329" s="386">
        <f>(1-SUMIF($I$1:$T$1,B325,$I$2:$T$2))*AJ328+SUMIF($I$1:$T$1,B325,$I$2:$T$2)*AK328</f>
        <v>0</v>
      </c>
      <c r="AL329" s="399">
        <f>(1-SUMIF($I$1:$T$1,B325,$I$2:$T$2))*AK328+SUMIF($I$1:$T$1,B325,$I$2:$T$2)*AL328</f>
        <v>0</v>
      </c>
      <c r="AM329" s="399">
        <f>(1-SUMIF($I$1:$T$1,B325,$I$2:$T$2))*AL328+SUMIF($I$1:$T$1,B325,$I$2:$T$2)*AM328</f>
        <v>0</v>
      </c>
      <c r="AN329" s="404">
        <f>(1-SUMIF($I$1:$T$1,B325,$I$2:$T$2))*AM328+SUMIF($I$1:$T$1,B325,$I$2:$T$2)*AN328</f>
        <v>0</v>
      </c>
      <c r="AO329" s="386">
        <f>(1-SUMIF($I$1:$T$1,B325,$I$2:$T$2))*AN328+SUMIF($I$1:$T$1,B325,$I$2:$T$2)*AO328</f>
        <v>0</v>
      </c>
      <c r="AP329" s="399">
        <f>(1-SUMIF($I$1:$T$1,B325,$I$2:$T$2))*AO328+SUMIF($I$1:$T$1,B325,$I$2:$T$2)*AP328</f>
        <v>0</v>
      </c>
      <c r="AQ329" s="399">
        <f>(1-SUMIF($I$1:$T$1,B325,$I$2:$T$2))*AP328+SUMIF($I$1:$T$1,B325,$I$2:$T$2)*AQ328</f>
        <v>0</v>
      </c>
      <c r="AR329" s="404">
        <f>(1-SUMIF($I$1:$T$1,B325,$I$2:$T$2))*AQ328+SUMIF($I$1:$T$1,B325,$I$2:$T$2)*AR328</f>
        <v>0</v>
      </c>
      <c r="AS329" s="386">
        <f>(1-SUMIF($I$1:$T$1,B325,$I$2:$T$2))*AR328+SUMIF($I$1:$T$1,B325,$I$2:$T$2)*AS328</f>
        <v>0</v>
      </c>
      <c r="AT329" s="399">
        <f>(1-SUMIF($I$1:$T$1,B325,$I$2:$T$2))*AS328+SUMIF($I$1:$T$1,B325,$I$2:$T$2)*AT328</f>
        <v>0</v>
      </c>
      <c r="AU329" s="399">
        <f>(1-SUMIF($I$1:$T$1,B325,$I$2:$T$2))*AT328+SUMIF($I$1:$T$1,B325,$I$2:$T$2)*AU328</f>
        <v>0</v>
      </c>
      <c r="AV329" s="404">
        <f>(1-SUMIF($I$1:$T$1,B325,$I$2:$T$2))*AU328+SUMIF($I$1:$T$1,B325,$I$2:$T$2)*AV328</f>
        <v>0</v>
      </c>
      <c r="AW329" s="424">
        <f t="shared" si="215"/>
        <v>0</v>
      </c>
    </row>
    <row r="330" spans="1:49" s="424" customFormat="1" ht="13.5" customHeight="1" outlineLevel="1">
      <c r="A330" s="1947"/>
      <c r="B330" s="1949">
        <f>'9.项目开发计划表'!C51</f>
        <v>0</v>
      </c>
      <c r="C330" s="456" t="s">
        <v>880</v>
      </c>
      <c r="D330" s="457">
        <f>IF(D332=0,0,D333/D332*10000)</f>
        <v>0</v>
      </c>
      <c r="E330" s="505"/>
      <c r="F330" s="506"/>
      <c r="G330" s="506"/>
      <c r="H330" s="507"/>
      <c r="I330" s="505"/>
      <c r="J330" s="506"/>
      <c r="K330" s="506"/>
      <c r="L330" s="507"/>
      <c r="M330" s="505"/>
      <c r="N330" s="506"/>
      <c r="O330" s="506"/>
      <c r="P330" s="507"/>
      <c r="Q330" s="505"/>
      <c r="R330" s="506"/>
      <c r="S330" s="506"/>
      <c r="T330" s="507"/>
      <c r="U330" s="505"/>
      <c r="V330" s="506"/>
      <c r="W330" s="506"/>
      <c r="X330" s="507"/>
      <c r="Y330" s="505"/>
      <c r="Z330" s="506"/>
      <c r="AA330" s="506"/>
      <c r="AB330" s="507"/>
      <c r="AC330" s="505"/>
      <c r="AD330" s="506"/>
      <c r="AE330" s="506"/>
      <c r="AF330" s="507"/>
      <c r="AG330" s="505"/>
      <c r="AH330" s="506"/>
      <c r="AI330" s="506"/>
      <c r="AJ330" s="507"/>
      <c r="AK330" s="505"/>
      <c r="AL330" s="506"/>
      <c r="AM330" s="506"/>
      <c r="AN330" s="507"/>
      <c r="AO330" s="505"/>
      <c r="AP330" s="506"/>
      <c r="AQ330" s="506"/>
      <c r="AR330" s="507"/>
      <c r="AS330" s="505"/>
      <c r="AT330" s="506"/>
      <c r="AU330" s="506"/>
      <c r="AV330" s="507"/>
      <c r="AW330" s="424">
        <f>B330</f>
        <v>0</v>
      </c>
    </row>
    <row r="331" spans="1:49" ht="13.5" customHeight="1" outlineLevel="1">
      <c r="A331" s="1947"/>
      <c r="B331" s="1949"/>
      <c r="C331" s="461" t="s">
        <v>881</v>
      </c>
      <c r="D331" s="462">
        <f t="shared" ref="D331:D334" si="227">SUM(E331:AV331)</f>
        <v>0</v>
      </c>
      <c r="E331" s="494"/>
      <c r="F331" s="491"/>
      <c r="G331" s="491"/>
      <c r="H331" s="493"/>
      <c r="I331" s="494"/>
      <c r="J331" s="491"/>
      <c r="K331" s="491"/>
      <c r="L331" s="493"/>
      <c r="M331" s="494"/>
      <c r="N331" s="491"/>
      <c r="O331" s="491"/>
      <c r="P331" s="493"/>
      <c r="Q331" s="494"/>
      <c r="R331" s="491"/>
      <c r="S331" s="491"/>
      <c r="T331" s="493"/>
      <c r="U331" s="494"/>
      <c r="V331" s="491"/>
      <c r="W331" s="491"/>
      <c r="X331" s="493"/>
      <c r="Y331" s="494"/>
      <c r="Z331" s="491"/>
      <c r="AA331" s="491"/>
      <c r="AB331" s="493"/>
      <c r="AC331" s="494"/>
      <c r="AD331" s="491"/>
      <c r="AE331" s="491"/>
      <c r="AF331" s="493"/>
      <c r="AG331" s="494"/>
      <c r="AH331" s="491"/>
      <c r="AI331" s="491"/>
      <c r="AJ331" s="493"/>
      <c r="AK331" s="494"/>
      <c r="AL331" s="491"/>
      <c r="AM331" s="491"/>
      <c r="AN331" s="493"/>
      <c r="AO331" s="494"/>
      <c r="AP331" s="491"/>
      <c r="AQ331" s="491"/>
      <c r="AR331" s="493"/>
      <c r="AS331" s="494"/>
      <c r="AT331" s="491"/>
      <c r="AU331" s="491"/>
      <c r="AV331" s="493"/>
      <c r="AW331" s="424">
        <f>AW330</f>
        <v>0</v>
      </c>
    </row>
    <row r="332" spans="1:49" s="424" customFormat="1" ht="13.5" customHeight="1" outlineLevel="1">
      <c r="A332" s="1947"/>
      <c r="B332" s="1949"/>
      <c r="C332" s="461" t="s">
        <v>682</v>
      </c>
      <c r="D332" s="466">
        <f t="shared" si="227"/>
        <v>0</v>
      </c>
      <c r="E332" s="382">
        <f>E331*'9.项目开发计划表'!$G$51</f>
        <v>0</v>
      </c>
      <c r="F332" s="397">
        <f>F331*'9.项目开发计划表'!$G$51</f>
        <v>0</v>
      </c>
      <c r="G332" s="397">
        <f>G331*'9.项目开发计划表'!$G$51</f>
        <v>0</v>
      </c>
      <c r="H332" s="467">
        <f>H331*'9.项目开发计划表'!$G$51</f>
        <v>0</v>
      </c>
      <c r="I332" s="382">
        <f>I331*'9.项目开发计划表'!$G$51</f>
        <v>0</v>
      </c>
      <c r="J332" s="397">
        <f>J331*'9.项目开发计划表'!$G$51</f>
        <v>0</v>
      </c>
      <c r="K332" s="397">
        <f>K331*'9.项目开发计划表'!$G$51</f>
        <v>0</v>
      </c>
      <c r="L332" s="467">
        <f>L331*'9.项目开发计划表'!$G$51</f>
        <v>0</v>
      </c>
      <c r="M332" s="382">
        <f>M331*'9.项目开发计划表'!$G$51</f>
        <v>0</v>
      </c>
      <c r="N332" s="397">
        <f>N331*'9.项目开发计划表'!$G$51</f>
        <v>0</v>
      </c>
      <c r="O332" s="397">
        <f>O331*'9.项目开发计划表'!$G$51</f>
        <v>0</v>
      </c>
      <c r="P332" s="467">
        <f>P331*'9.项目开发计划表'!$G$51</f>
        <v>0</v>
      </c>
      <c r="Q332" s="382">
        <f>Q331*'9.项目开发计划表'!$G$51</f>
        <v>0</v>
      </c>
      <c r="R332" s="397">
        <f>R331*'9.项目开发计划表'!$G$51</f>
        <v>0</v>
      </c>
      <c r="S332" s="397">
        <f>S331*'9.项目开发计划表'!$G$51</f>
        <v>0</v>
      </c>
      <c r="T332" s="467">
        <f>T331*'9.项目开发计划表'!$G$51</f>
        <v>0</v>
      </c>
      <c r="U332" s="382">
        <f>U331*'9.项目开发计划表'!$G$51</f>
        <v>0</v>
      </c>
      <c r="V332" s="397">
        <f>V331*'9.项目开发计划表'!$G$51</f>
        <v>0</v>
      </c>
      <c r="W332" s="397">
        <f>W331*'9.项目开发计划表'!$G$51</f>
        <v>0</v>
      </c>
      <c r="X332" s="467">
        <f>X331*'9.项目开发计划表'!$G$51</f>
        <v>0</v>
      </c>
      <c r="Y332" s="382">
        <f>Y331*'9.项目开发计划表'!$G$51</f>
        <v>0</v>
      </c>
      <c r="Z332" s="397">
        <f>Z331*'9.项目开发计划表'!$G$51</f>
        <v>0</v>
      </c>
      <c r="AA332" s="397">
        <f>AA331*'9.项目开发计划表'!$G$51</f>
        <v>0</v>
      </c>
      <c r="AB332" s="467">
        <f>AB331*'9.项目开发计划表'!$G$51</f>
        <v>0</v>
      </c>
      <c r="AC332" s="382">
        <f>AC331*'9.项目开发计划表'!$G$51</f>
        <v>0</v>
      </c>
      <c r="AD332" s="397">
        <f>AD331*'9.项目开发计划表'!$G$51</f>
        <v>0</v>
      </c>
      <c r="AE332" s="397">
        <f>AE331*'9.项目开发计划表'!$G$51</f>
        <v>0</v>
      </c>
      <c r="AF332" s="467">
        <f>AF331*'9.项目开发计划表'!$G$51</f>
        <v>0</v>
      </c>
      <c r="AG332" s="382">
        <f>AG331*'9.项目开发计划表'!$G$51</f>
        <v>0</v>
      </c>
      <c r="AH332" s="397">
        <f>AH331*'9.项目开发计划表'!$G$51</f>
        <v>0</v>
      </c>
      <c r="AI332" s="397">
        <f>AI331*'9.项目开发计划表'!$G$51</f>
        <v>0</v>
      </c>
      <c r="AJ332" s="467">
        <f>AJ331*'9.项目开发计划表'!$G$51</f>
        <v>0</v>
      </c>
      <c r="AK332" s="382">
        <f>AK331*'9.项目开发计划表'!$G$51</f>
        <v>0</v>
      </c>
      <c r="AL332" s="397">
        <f>AL331*'9.项目开发计划表'!$G$51</f>
        <v>0</v>
      </c>
      <c r="AM332" s="397">
        <f>AM331*'9.项目开发计划表'!$G$51</f>
        <v>0</v>
      </c>
      <c r="AN332" s="467">
        <f>AN331*'9.项目开发计划表'!$G$51</f>
        <v>0</v>
      </c>
      <c r="AO332" s="382">
        <f>AO331*'9.项目开发计划表'!$G$51</f>
        <v>0</v>
      </c>
      <c r="AP332" s="397">
        <f>AP331*'9.项目开发计划表'!$G$51</f>
        <v>0</v>
      </c>
      <c r="AQ332" s="397">
        <f>AQ331*'9.项目开发计划表'!$G$51</f>
        <v>0</v>
      </c>
      <c r="AR332" s="467">
        <f>AR331*'9.项目开发计划表'!$G$51</f>
        <v>0</v>
      </c>
      <c r="AS332" s="382">
        <f>AS331*'9.项目开发计划表'!$G$51</f>
        <v>0</v>
      </c>
      <c r="AT332" s="397">
        <f>AT331*'9.项目开发计划表'!$G$51</f>
        <v>0</v>
      </c>
      <c r="AU332" s="397">
        <f>AU331*'9.项目开发计划表'!$G$51</f>
        <v>0</v>
      </c>
      <c r="AV332" s="467">
        <f>AV331*'9.项目开发计划表'!$G$51</f>
        <v>0</v>
      </c>
      <c r="AW332" s="424">
        <f t="shared" si="215"/>
        <v>0</v>
      </c>
    </row>
    <row r="333" spans="1:49" s="424" customFormat="1" ht="13.5" customHeight="1" outlineLevel="1">
      <c r="A333" s="1947"/>
      <c r="B333" s="1949"/>
      <c r="C333" s="461" t="s">
        <v>882</v>
      </c>
      <c r="D333" s="466">
        <f t="shared" si="227"/>
        <v>0</v>
      </c>
      <c r="E333" s="382">
        <f t="shared" ref="E333:AV333" si="228">E330*E332/10000</f>
        <v>0</v>
      </c>
      <c r="F333" s="397">
        <f t="shared" si="228"/>
        <v>0</v>
      </c>
      <c r="G333" s="397">
        <f t="shared" si="228"/>
        <v>0</v>
      </c>
      <c r="H333" s="467">
        <f t="shared" si="228"/>
        <v>0</v>
      </c>
      <c r="I333" s="382">
        <f t="shared" si="228"/>
        <v>0</v>
      </c>
      <c r="J333" s="397">
        <f t="shared" si="228"/>
        <v>0</v>
      </c>
      <c r="K333" s="397">
        <f t="shared" si="228"/>
        <v>0</v>
      </c>
      <c r="L333" s="467">
        <f t="shared" si="228"/>
        <v>0</v>
      </c>
      <c r="M333" s="382">
        <f t="shared" si="228"/>
        <v>0</v>
      </c>
      <c r="N333" s="397">
        <f t="shared" si="228"/>
        <v>0</v>
      </c>
      <c r="O333" s="397">
        <f t="shared" si="228"/>
        <v>0</v>
      </c>
      <c r="P333" s="467">
        <f t="shared" si="228"/>
        <v>0</v>
      </c>
      <c r="Q333" s="382">
        <f t="shared" si="228"/>
        <v>0</v>
      </c>
      <c r="R333" s="397">
        <f t="shared" si="228"/>
        <v>0</v>
      </c>
      <c r="S333" s="397">
        <f t="shared" si="228"/>
        <v>0</v>
      </c>
      <c r="T333" s="467">
        <f t="shared" si="228"/>
        <v>0</v>
      </c>
      <c r="U333" s="382">
        <f t="shared" si="228"/>
        <v>0</v>
      </c>
      <c r="V333" s="397">
        <f t="shared" si="228"/>
        <v>0</v>
      </c>
      <c r="W333" s="397">
        <f t="shared" si="228"/>
        <v>0</v>
      </c>
      <c r="X333" s="467">
        <f t="shared" si="228"/>
        <v>0</v>
      </c>
      <c r="Y333" s="382">
        <f t="shared" si="228"/>
        <v>0</v>
      </c>
      <c r="Z333" s="397">
        <f t="shared" si="228"/>
        <v>0</v>
      </c>
      <c r="AA333" s="397">
        <f t="shared" si="228"/>
        <v>0</v>
      </c>
      <c r="AB333" s="467">
        <f t="shared" si="228"/>
        <v>0</v>
      </c>
      <c r="AC333" s="382">
        <f t="shared" si="228"/>
        <v>0</v>
      </c>
      <c r="AD333" s="397">
        <f t="shared" si="228"/>
        <v>0</v>
      </c>
      <c r="AE333" s="397">
        <f t="shared" si="228"/>
        <v>0</v>
      </c>
      <c r="AF333" s="467">
        <f t="shared" si="228"/>
        <v>0</v>
      </c>
      <c r="AG333" s="382">
        <f t="shared" si="228"/>
        <v>0</v>
      </c>
      <c r="AH333" s="397">
        <f t="shared" si="228"/>
        <v>0</v>
      </c>
      <c r="AI333" s="397">
        <f t="shared" si="228"/>
        <v>0</v>
      </c>
      <c r="AJ333" s="467">
        <f t="shared" si="228"/>
        <v>0</v>
      </c>
      <c r="AK333" s="382">
        <f t="shared" si="228"/>
        <v>0</v>
      </c>
      <c r="AL333" s="397">
        <f t="shared" si="228"/>
        <v>0</v>
      </c>
      <c r="AM333" s="397">
        <f t="shared" si="228"/>
        <v>0</v>
      </c>
      <c r="AN333" s="467">
        <f t="shared" si="228"/>
        <v>0</v>
      </c>
      <c r="AO333" s="382">
        <f t="shared" si="228"/>
        <v>0</v>
      </c>
      <c r="AP333" s="397">
        <f t="shared" si="228"/>
        <v>0</v>
      </c>
      <c r="AQ333" s="397">
        <f t="shared" si="228"/>
        <v>0</v>
      </c>
      <c r="AR333" s="467">
        <f t="shared" si="228"/>
        <v>0</v>
      </c>
      <c r="AS333" s="382">
        <f t="shared" si="228"/>
        <v>0</v>
      </c>
      <c r="AT333" s="397">
        <f t="shared" si="228"/>
        <v>0</v>
      </c>
      <c r="AU333" s="397">
        <f t="shared" si="228"/>
        <v>0</v>
      </c>
      <c r="AV333" s="467">
        <f t="shared" si="228"/>
        <v>0</v>
      </c>
      <c r="AW333" s="424">
        <f t="shared" si="215"/>
        <v>0</v>
      </c>
    </row>
    <row r="334" spans="1:49" s="424" customFormat="1" ht="13.5" customHeight="1" outlineLevel="1">
      <c r="A334" s="1947"/>
      <c r="B334" s="1949"/>
      <c r="C334" s="508" t="s">
        <v>450</v>
      </c>
      <c r="D334" s="468">
        <f t="shared" si="227"/>
        <v>0</v>
      </c>
      <c r="E334" s="386">
        <f>SUMIF($I$1:$T$1,B330,$I$2:$T$2)*E333</f>
        <v>0</v>
      </c>
      <c r="F334" s="399">
        <f>(1-SUMIF($I$1:$T$1,B330,$I$2:$T$2))*E333+SUMIF($I$1:$T$1,B330,$I$2:$T$2)*F333</f>
        <v>0</v>
      </c>
      <c r="G334" s="399">
        <f>(1-SUMIF($I$1:$T$1,B330,$I$2:$T$2))*F333+SUMIF($I$1:$T$1,B330,$I$2:$T$2)*G333</f>
        <v>0</v>
      </c>
      <c r="H334" s="404">
        <f>(1-SUMIF($I$1:$T$1,B330,$I$2:$T$2))*G333+SUMIF($I$1:$T$1,B330,$I$2:$T$2)*H333</f>
        <v>0</v>
      </c>
      <c r="I334" s="386">
        <f>(1-SUMIF($I$1:$T$1,B330,$I$2:$T$2))*H333+SUMIF($I$1:$T$1,B330,$I$2:$T$2)*I333</f>
        <v>0</v>
      </c>
      <c r="J334" s="399">
        <f>(1-SUMIF($I$1:$T$1,B330,$I$2:$T$2))*I333+SUMIF($I$1:$T$1,B330,$I$2:$T$2)*J333</f>
        <v>0</v>
      </c>
      <c r="K334" s="399">
        <f>(1-SUMIF($I$1:$T$1,B330,$I$2:$T$2))*J333+SUMIF($I$1:$T$1,B330,$I$2:$T$2)*K333</f>
        <v>0</v>
      </c>
      <c r="L334" s="404">
        <f>(1-SUMIF($I$1:$T$1,B330,$I$2:$T$2))*K333+SUMIF($I$1:$T$1,B330,$I$2:$T$2)*L333</f>
        <v>0</v>
      </c>
      <c r="M334" s="386">
        <f>(1-SUMIF($I$1:$T$1,B330,$I$2:$T$2))*L333+SUMIF($I$1:$T$1,B330,$I$2:$T$2)*M333</f>
        <v>0</v>
      </c>
      <c r="N334" s="399">
        <f>(1-SUMIF($I$1:$T$1,B330,$I$2:$T$2))*M333+SUMIF($I$1:$T$1,B330,$I$2:$T$2)*N333</f>
        <v>0</v>
      </c>
      <c r="O334" s="399">
        <f>(1-SUMIF($I$1:$T$1,B330,$I$2:$T$2))*N333+SUMIF($I$1:$T$1,B330,$I$2:$T$2)*O333</f>
        <v>0</v>
      </c>
      <c r="P334" s="404">
        <f>(1-SUMIF($I$1:$T$1,B330,$I$2:$T$2))*O333+SUMIF($I$1:$T$1,B330,$I$2:$T$2)*P333</f>
        <v>0</v>
      </c>
      <c r="Q334" s="386">
        <f>(1-SUMIF($I$1:$T$1,B330,$I$2:$T$2))*P333+SUMIF($I$1:$T$1,B330,$I$2:$T$2)*Q333</f>
        <v>0</v>
      </c>
      <c r="R334" s="399">
        <f>(1-SUMIF($I$1:$T$1,B330,$I$2:$T$2))*Q333+SUMIF($I$1:$T$1,B330,$I$2:$T$2)*R333</f>
        <v>0</v>
      </c>
      <c r="S334" s="399">
        <f>(1-SUMIF($I$1:$T$1,B330,$I$2:$T$2))*R333+SUMIF($I$1:$T$1,B330,$I$2:$T$2)*S333</f>
        <v>0</v>
      </c>
      <c r="T334" s="404">
        <f>(1-SUMIF($I$1:$T$1,B330,$I$2:$T$2))*S333+SUMIF($I$1:$T$1,B330,$I$2:$T$2)*T333</f>
        <v>0</v>
      </c>
      <c r="U334" s="386">
        <f>(1-SUMIF($I$1:$T$1,B330,$I$2:$T$2))*T333+SUMIF($I$1:$T$1,B330,$I$2:$T$2)*U333</f>
        <v>0</v>
      </c>
      <c r="V334" s="399">
        <f>(1-SUMIF($I$1:$T$1,B330,$I$2:$T$2))*U333+SUMIF($I$1:$T$1,B330,$I$2:$T$2)*V333</f>
        <v>0</v>
      </c>
      <c r="W334" s="399">
        <f>(1-SUMIF($I$1:$T$1,B330,$I$2:$T$2))*V333+SUMIF($I$1:$T$1,B330,$I$2:$T$2)*W333</f>
        <v>0</v>
      </c>
      <c r="X334" s="404">
        <f>(1-SUMIF($I$1:$T$1,B330,$I$2:$T$2))*W333+SUMIF($I$1:$T$1,B330,$I$2:$T$2)*X333</f>
        <v>0</v>
      </c>
      <c r="Y334" s="386">
        <f>(1-SUMIF($I$1:$T$1,B330,$I$2:$T$2))*X333+SUMIF($I$1:$T$1,B330,$I$2:$T$2)*Y333</f>
        <v>0</v>
      </c>
      <c r="Z334" s="399">
        <f>(1-SUMIF($I$1:$T$1,B330,$I$2:$T$2))*Y333+SUMIF($I$1:$T$1,B330,$I$2:$T$2)*Z333</f>
        <v>0</v>
      </c>
      <c r="AA334" s="399">
        <f>(1-SUMIF($I$1:$T$1,B330,$I$2:$T$2))*Z333+SUMIF($I$1:$T$1,B330,$I$2:$T$2)*AA333</f>
        <v>0</v>
      </c>
      <c r="AB334" s="404">
        <f>(1-SUMIF($I$1:$T$1,B330,$I$2:$T$2))*AA333+SUMIF($I$1:$T$1,B330,$I$2:$T$2)*AB333</f>
        <v>0</v>
      </c>
      <c r="AC334" s="386">
        <f>(1-SUMIF($I$1:$T$1,B330,$I$2:$T$2))*AB333+SUMIF($I$1:$T$1,B330,$I$2:$T$2)*AC333</f>
        <v>0</v>
      </c>
      <c r="AD334" s="399">
        <f>(1-SUMIF($I$1:$T$1,B330,$I$2:$T$2))*AC333+SUMIF($I$1:$T$1,B330,$I$2:$T$2)*AD333</f>
        <v>0</v>
      </c>
      <c r="AE334" s="399">
        <f>(1-SUMIF($I$1:$T$1,B330,$I$2:$T$2))*AD333+SUMIF($I$1:$T$1,B330,$I$2:$T$2)*AE333</f>
        <v>0</v>
      </c>
      <c r="AF334" s="404">
        <f>(1-SUMIF($I$1:$T$1,B330,$I$2:$T$2))*AE333+SUMIF($I$1:$T$1,B330,$I$2:$T$2)*AF333</f>
        <v>0</v>
      </c>
      <c r="AG334" s="386">
        <f>(1-SUMIF($I$1:$T$1,B330,$I$2:$T$2))*AF333+SUMIF($I$1:$T$1,B330,$I$2:$T$2)*AG333</f>
        <v>0</v>
      </c>
      <c r="AH334" s="399">
        <f>(1-SUMIF($I$1:$T$1,B330,$I$2:$T$2))*AG333+SUMIF($I$1:$T$1,B330,$I$2:$T$2)*AH333</f>
        <v>0</v>
      </c>
      <c r="AI334" s="399">
        <f>(1-SUMIF($I$1:$T$1,B330,$I$2:$T$2))*AH333+SUMIF($I$1:$T$1,B330,$I$2:$T$2)*AI333</f>
        <v>0</v>
      </c>
      <c r="AJ334" s="404">
        <f>(1-SUMIF($I$1:$T$1,B330,$I$2:$T$2))*AI333+SUMIF($I$1:$T$1,B330,$I$2:$T$2)*AJ333</f>
        <v>0</v>
      </c>
      <c r="AK334" s="386">
        <f>(1-SUMIF($I$1:$T$1,B330,$I$2:$T$2))*AJ333+SUMIF($I$1:$T$1,B330,$I$2:$T$2)*AK333</f>
        <v>0</v>
      </c>
      <c r="AL334" s="399">
        <f>(1-SUMIF($I$1:$T$1,B330,$I$2:$T$2))*AK333+SUMIF($I$1:$T$1,B330,$I$2:$T$2)*AL333</f>
        <v>0</v>
      </c>
      <c r="AM334" s="399">
        <f>(1-SUMIF($I$1:$T$1,B330,$I$2:$T$2))*AL333+SUMIF($I$1:$T$1,B330,$I$2:$T$2)*AM333</f>
        <v>0</v>
      </c>
      <c r="AN334" s="404">
        <f>(1-SUMIF($I$1:$T$1,B330,$I$2:$T$2))*AM333+SUMIF($I$1:$T$1,B330,$I$2:$T$2)*AN333</f>
        <v>0</v>
      </c>
      <c r="AO334" s="386">
        <f>(1-SUMIF($I$1:$T$1,B330,$I$2:$T$2))*AN333+SUMIF($I$1:$T$1,B330,$I$2:$T$2)*AO333</f>
        <v>0</v>
      </c>
      <c r="AP334" s="399">
        <f>(1-SUMIF($I$1:$T$1,B330,$I$2:$T$2))*AO333+SUMIF($I$1:$T$1,B330,$I$2:$T$2)*AP333</f>
        <v>0</v>
      </c>
      <c r="AQ334" s="399">
        <f>(1-SUMIF($I$1:$T$1,B330,$I$2:$T$2))*AP333+SUMIF($I$1:$T$1,B330,$I$2:$T$2)*AQ333</f>
        <v>0</v>
      </c>
      <c r="AR334" s="404">
        <f>(1-SUMIF($I$1:$T$1,B330,$I$2:$T$2))*AQ333+SUMIF($I$1:$T$1,B330,$I$2:$T$2)*AR333</f>
        <v>0</v>
      </c>
      <c r="AS334" s="386">
        <f>(1-SUMIF($I$1:$T$1,B330,$I$2:$T$2))*AR333+SUMIF($I$1:$T$1,B330,$I$2:$T$2)*AS333</f>
        <v>0</v>
      </c>
      <c r="AT334" s="399">
        <f>(1-SUMIF($I$1:$T$1,B330,$I$2:$T$2))*AS333+SUMIF($I$1:$T$1,B330,$I$2:$T$2)*AT333</f>
        <v>0</v>
      </c>
      <c r="AU334" s="399">
        <f>(1-SUMIF($I$1:$T$1,B330,$I$2:$T$2))*AT333+SUMIF($I$1:$T$1,B330,$I$2:$T$2)*AU333</f>
        <v>0</v>
      </c>
      <c r="AV334" s="404">
        <f>(1-SUMIF($I$1:$T$1,B330,$I$2:$T$2))*AU333+SUMIF($I$1:$T$1,B330,$I$2:$T$2)*AV333</f>
        <v>0</v>
      </c>
      <c r="AW334" s="424">
        <f t="shared" si="215"/>
        <v>0</v>
      </c>
    </row>
    <row r="335" spans="1:49" s="424" customFormat="1" ht="13.5" customHeight="1" outlineLevel="1">
      <c r="A335" s="1947"/>
      <c r="B335" s="1949">
        <f>'9.项目开发计划表'!C52</f>
        <v>0</v>
      </c>
      <c r="C335" s="456" t="s">
        <v>880</v>
      </c>
      <c r="D335" s="457">
        <f>IF(D337=0,0,D338/D337*10000)</f>
        <v>0</v>
      </c>
      <c r="E335" s="507"/>
      <c r="F335" s="505"/>
      <c r="G335" s="506"/>
      <c r="H335" s="506"/>
      <c r="I335" s="507"/>
      <c r="J335" s="505"/>
      <c r="K335" s="506"/>
      <c r="L335" s="506"/>
      <c r="M335" s="507"/>
      <c r="N335" s="505"/>
      <c r="O335" s="506"/>
      <c r="P335" s="506"/>
      <c r="Q335" s="507"/>
      <c r="R335" s="505"/>
      <c r="S335" s="506"/>
      <c r="T335" s="506"/>
      <c r="U335" s="507"/>
      <c r="V335" s="505"/>
      <c r="W335" s="506"/>
      <c r="X335" s="506"/>
      <c r="Y335" s="507"/>
      <c r="Z335" s="505"/>
      <c r="AA335" s="506"/>
      <c r="AB335" s="506"/>
      <c r="AC335" s="507"/>
      <c r="AD335" s="505"/>
      <c r="AE335" s="507"/>
      <c r="AF335" s="507"/>
      <c r="AG335" s="507"/>
      <c r="AH335" s="507"/>
      <c r="AI335" s="507"/>
      <c r="AJ335" s="507"/>
      <c r="AK335" s="507"/>
      <c r="AL335" s="507"/>
      <c r="AM335" s="507"/>
      <c r="AN335" s="507"/>
      <c r="AO335" s="507"/>
      <c r="AP335" s="507"/>
      <c r="AQ335" s="507"/>
      <c r="AR335" s="507"/>
      <c r="AS335" s="507"/>
      <c r="AT335" s="507"/>
      <c r="AU335" s="507"/>
      <c r="AV335" s="507"/>
      <c r="AW335" s="424">
        <f>B335</f>
        <v>0</v>
      </c>
    </row>
    <row r="336" spans="1:49" ht="13.5" customHeight="1" outlineLevel="1">
      <c r="A336" s="1947"/>
      <c r="B336" s="1949"/>
      <c r="C336" s="461" t="s">
        <v>881</v>
      </c>
      <c r="D336" s="462">
        <f t="shared" ref="D336:D339" si="229">SUM(E336:AV336)</f>
        <v>0</v>
      </c>
      <c r="E336" s="493"/>
      <c r="F336" s="494"/>
      <c r="G336" s="491"/>
      <c r="H336" s="491"/>
      <c r="I336" s="493"/>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494"/>
      <c r="AJ336" s="494"/>
      <c r="AK336" s="494"/>
      <c r="AL336" s="494"/>
      <c r="AM336" s="494"/>
      <c r="AN336" s="494"/>
      <c r="AO336" s="494"/>
      <c r="AP336" s="494"/>
      <c r="AQ336" s="494"/>
      <c r="AR336" s="494"/>
      <c r="AS336" s="494"/>
      <c r="AT336" s="494"/>
      <c r="AU336" s="494"/>
      <c r="AV336" s="494"/>
      <c r="AW336" s="424">
        <f>AW335</f>
        <v>0</v>
      </c>
    </row>
    <row r="337" spans="1:49" s="424" customFormat="1" ht="13.5" customHeight="1" outlineLevel="1">
      <c r="A337" s="1947"/>
      <c r="B337" s="1949"/>
      <c r="C337" s="461" t="s">
        <v>682</v>
      </c>
      <c r="D337" s="466">
        <f t="shared" si="229"/>
        <v>0</v>
      </c>
      <c r="E337" s="382">
        <f>E336*'9.项目开发计划表'!$G$52</f>
        <v>0</v>
      </c>
      <c r="F337" s="397">
        <f>F336*'9.项目开发计划表'!$G$52</f>
        <v>0</v>
      </c>
      <c r="G337" s="397">
        <f>G336*'9.项目开发计划表'!$G$52</f>
        <v>0</v>
      </c>
      <c r="H337" s="467">
        <f>H336*'9.项目开发计划表'!$G$52</f>
        <v>0</v>
      </c>
      <c r="I337" s="382">
        <f>I336*'9.项目开发计划表'!$G$52</f>
        <v>0</v>
      </c>
      <c r="J337" s="397">
        <f>J336*'9.项目开发计划表'!$G$52</f>
        <v>0</v>
      </c>
      <c r="K337" s="397">
        <f>K336*'9.项目开发计划表'!$G$52</f>
        <v>0</v>
      </c>
      <c r="L337" s="467">
        <f>L336*'9.项目开发计划表'!$G$52</f>
        <v>0</v>
      </c>
      <c r="M337" s="382">
        <f>M336*'9.项目开发计划表'!$G$52</f>
        <v>0</v>
      </c>
      <c r="N337" s="397">
        <f>N336*'9.项目开发计划表'!$G$52</f>
        <v>0</v>
      </c>
      <c r="O337" s="397">
        <f>O336*'9.项目开发计划表'!$G$52</f>
        <v>0</v>
      </c>
      <c r="P337" s="467">
        <f>P336*'9.项目开发计划表'!$G$52</f>
        <v>0</v>
      </c>
      <c r="Q337" s="382">
        <f>Q336*'9.项目开发计划表'!$G$52</f>
        <v>0</v>
      </c>
      <c r="R337" s="397">
        <f>R336*'9.项目开发计划表'!$G$52</f>
        <v>0</v>
      </c>
      <c r="S337" s="397">
        <f>S336*'9.项目开发计划表'!$G$52</f>
        <v>0</v>
      </c>
      <c r="T337" s="467">
        <f>T336*'9.项目开发计划表'!$G$52</f>
        <v>0</v>
      </c>
      <c r="U337" s="382">
        <f>U336*'9.项目开发计划表'!$G$52</f>
        <v>0</v>
      </c>
      <c r="V337" s="397">
        <f>V336*'9.项目开发计划表'!$G$52</f>
        <v>0</v>
      </c>
      <c r="W337" s="397">
        <f>W336*'9.项目开发计划表'!$G$52</f>
        <v>0</v>
      </c>
      <c r="X337" s="467">
        <f>X336*'9.项目开发计划表'!$G$52</f>
        <v>0</v>
      </c>
      <c r="Y337" s="382">
        <f>Y336*'9.项目开发计划表'!$G$52</f>
        <v>0</v>
      </c>
      <c r="Z337" s="397">
        <f>Z336*'9.项目开发计划表'!$G$52</f>
        <v>0</v>
      </c>
      <c r="AA337" s="397">
        <f>AA336*'9.项目开发计划表'!$G$52</f>
        <v>0</v>
      </c>
      <c r="AB337" s="467">
        <f>AB336*'9.项目开发计划表'!$G$52</f>
        <v>0</v>
      </c>
      <c r="AC337" s="382">
        <f>AC336*'9.项目开发计划表'!$G$52</f>
        <v>0</v>
      </c>
      <c r="AD337" s="397">
        <f>AD336*'9.项目开发计划表'!$G$52</f>
        <v>0</v>
      </c>
      <c r="AE337" s="397">
        <f>AE336*'9.项目开发计划表'!$G$52</f>
        <v>0</v>
      </c>
      <c r="AF337" s="467">
        <f>AF336*'9.项目开发计划表'!$G$52</f>
        <v>0</v>
      </c>
      <c r="AG337" s="382">
        <f>AG336*'9.项目开发计划表'!$G$52</f>
        <v>0</v>
      </c>
      <c r="AH337" s="397">
        <f>AH336*'9.项目开发计划表'!$G$52</f>
        <v>0</v>
      </c>
      <c r="AI337" s="397">
        <f>AI336*'9.项目开发计划表'!$G$52</f>
        <v>0</v>
      </c>
      <c r="AJ337" s="467">
        <f>AJ336*'9.项目开发计划表'!$G$52</f>
        <v>0</v>
      </c>
      <c r="AK337" s="382">
        <f>AK336*'9.项目开发计划表'!$G$52</f>
        <v>0</v>
      </c>
      <c r="AL337" s="397">
        <f>AL336*'9.项目开发计划表'!$G$52</f>
        <v>0</v>
      </c>
      <c r="AM337" s="397">
        <f>AM336*'9.项目开发计划表'!$G$52</f>
        <v>0</v>
      </c>
      <c r="AN337" s="467">
        <f>AN336*'9.项目开发计划表'!$G$52</f>
        <v>0</v>
      </c>
      <c r="AO337" s="382">
        <f>AO336*'9.项目开发计划表'!$G$52</f>
        <v>0</v>
      </c>
      <c r="AP337" s="397">
        <f>AP336*'9.项目开发计划表'!$G$52</f>
        <v>0</v>
      </c>
      <c r="AQ337" s="397">
        <f>AQ336*'9.项目开发计划表'!$G$52</f>
        <v>0</v>
      </c>
      <c r="AR337" s="467">
        <f>AR336*'9.项目开发计划表'!$G$52</f>
        <v>0</v>
      </c>
      <c r="AS337" s="382">
        <f>AS336*'9.项目开发计划表'!$G$52</f>
        <v>0</v>
      </c>
      <c r="AT337" s="397">
        <f>AT336*'9.项目开发计划表'!$G$52</f>
        <v>0</v>
      </c>
      <c r="AU337" s="397">
        <f>AU336*'9.项目开发计划表'!$G$52</f>
        <v>0</v>
      </c>
      <c r="AV337" s="467">
        <f>AV336*'9.项目开发计划表'!$G$52</f>
        <v>0</v>
      </c>
      <c r="AW337" s="424">
        <f t="shared" si="215"/>
        <v>0</v>
      </c>
    </row>
    <row r="338" spans="1:49" s="424" customFormat="1" ht="13.5" customHeight="1" outlineLevel="1">
      <c r="A338" s="1947"/>
      <c r="B338" s="1949"/>
      <c r="C338" s="461" t="s">
        <v>882</v>
      </c>
      <c r="D338" s="466">
        <f t="shared" si="229"/>
        <v>0</v>
      </c>
      <c r="E338" s="382">
        <f t="shared" ref="E338:AV338" si="230">E335*E337/10000</f>
        <v>0</v>
      </c>
      <c r="F338" s="397">
        <f t="shared" si="230"/>
        <v>0</v>
      </c>
      <c r="G338" s="397">
        <f t="shared" si="230"/>
        <v>0</v>
      </c>
      <c r="H338" s="467">
        <f t="shared" si="230"/>
        <v>0</v>
      </c>
      <c r="I338" s="382">
        <f t="shared" si="230"/>
        <v>0</v>
      </c>
      <c r="J338" s="397">
        <f t="shared" si="230"/>
        <v>0</v>
      </c>
      <c r="K338" s="397">
        <f t="shared" si="230"/>
        <v>0</v>
      </c>
      <c r="L338" s="467">
        <f t="shared" si="230"/>
        <v>0</v>
      </c>
      <c r="M338" s="382">
        <f t="shared" si="230"/>
        <v>0</v>
      </c>
      <c r="N338" s="397">
        <f t="shared" si="230"/>
        <v>0</v>
      </c>
      <c r="O338" s="397">
        <f t="shared" si="230"/>
        <v>0</v>
      </c>
      <c r="P338" s="467">
        <f t="shared" si="230"/>
        <v>0</v>
      </c>
      <c r="Q338" s="382">
        <f t="shared" si="230"/>
        <v>0</v>
      </c>
      <c r="R338" s="397">
        <f t="shared" si="230"/>
        <v>0</v>
      </c>
      <c r="S338" s="397">
        <f t="shared" si="230"/>
        <v>0</v>
      </c>
      <c r="T338" s="467">
        <f t="shared" si="230"/>
        <v>0</v>
      </c>
      <c r="U338" s="382">
        <f t="shared" si="230"/>
        <v>0</v>
      </c>
      <c r="V338" s="397">
        <f t="shared" si="230"/>
        <v>0</v>
      </c>
      <c r="W338" s="397">
        <f t="shared" si="230"/>
        <v>0</v>
      </c>
      <c r="X338" s="467">
        <f t="shared" si="230"/>
        <v>0</v>
      </c>
      <c r="Y338" s="382">
        <f t="shared" si="230"/>
        <v>0</v>
      </c>
      <c r="Z338" s="397">
        <f t="shared" si="230"/>
        <v>0</v>
      </c>
      <c r="AA338" s="397">
        <f t="shared" si="230"/>
        <v>0</v>
      </c>
      <c r="AB338" s="467">
        <f t="shared" si="230"/>
        <v>0</v>
      </c>
      <c r="AC338" s="382">
        <f t="shared" si="230"/>
        <v>0</v>
      </c>
      <c r="AD338" s="397">
        <f t="shared" si="230"/>
        <v>0</v>
      </c>
      <c r="AE338" s="397">
        <f t="shared" si="230"/>
        <v>0</v>
      </c>
      <c r="AF338" s="467">
        <f t="shared" si="230"/>
        <v>0</v>
      </c>
      <c r="AG338" s="382">
        <f t="shared" si="230"/>
        <v>0</v>
      </c>
      <c r="AH338" s="397">
        <f t="shared" si="230"/>
        <v>0</v>
      </c>
      <c r="AI338" s="397">
        <f t="shared" si="230"/>
        <v>0</v>
      </c>
      <c r="AJ338" s="467">
        <f t="shared" si="230"/>
        <v>0</v>
      </c>
      <c r="AK338" s="382">
        <f t="shared" si="230"/>
        <v>0</v>
      </c>
      <c r="AL338" s="397">
        <f t="shared" si="230"/>
        <v>0</v>
      </c>
      <c r="AM338" s="397">
        <f t="shared" si="230"/>
        <v>0</v>
      </c>
      <c r="AN338" s="467">
        <f t="shared" si="230"/>
        <v>0</v>
      </c>
      <c r="AO338" s="382">
        <f t="shared" si="230"/>
        <v>0</v>
      </c>
      <c r="AP338" s="397">
        <f t="shared" si="230"/>
        <v>0</v>
      </c>
      <c r="AQ338" s="397">
        <f t="shared" si="230"/>
        <v>0</v>
      </c>
      <c r="AR338" s="467">
        <f t="shared" si="230"/>
        <v>0</v>
      </c>
      <c r="AS338" s="382">
        <f t="shared" si="230"/>
        <v>0</v>
      </c>
      <c r="AT338" s="397">
        <f t="shared" si="230"/>
        <v>0</v>
      </c>
      <c r="AU338" s="397">
        <f t="shared" si="230"/>
        <v>0</v>
      </c>
      <c r="AV338" s="467">
        <f t="shared" si="230"/>
        <v>0</v>
      </c>
      <c r="AW338" s="424">
        <f t="shared" si="215"/>
        <v>0</v>
      </c>
    </row>
    <row r="339" spans="1:49" s="424" customFormat="1" ht="13.5" customHeight="1" outlineLevel="1">
      <c r="A339" s="1947"/>
      <c r="B339" s="1949"/>
      <c r="C339" s="508" t="s">
        <v>450</v>
      </c>
      <c r="D339" s="468">
        <f t="shared" si="229"/>
        <v>0</v>
      </c>
      <c r="E339" s="386">
        <f>SUMIF($I$1:$T$1,B335,$I$2:$T$2)*E338</f>
        <v>0</v>
      </c>
      <c r="F339" s="399">
        <f>(1-SUMIF($I$1:$T$1,B335,$I$2:$T$2))*E338+SUMIF($I$1:$T$1,B335,$I$2:$T$2)*F338</f>
        <v>0</v>
      </c>
      <c r="G339" s="399">
        <f>(1-SUMIF($I$1:$T$1,B335,$I$2:$T$2))*F338+SUMIF($I$1:$T$1,B335,$I$2:$T$2)*G338</f>
        <v>0</v>
      </c>
      <c r="H339" s="404">
        <f>(1-SUMIF($I$1:$T$1,B335,$I$2:$T$2))*G338+SUMIF($I$1:$T$1,B335,$I$2:$T$2)*H338</f>
        <v>0</v>
      </c>
      <c r="I339" s="386">
        <f>(1-SUMIF($I$1:$T$1,B335,$I$2:$T$2))*H338+SUMIF($I$1:$T$1,B335,$I$2:$T$2)*I338</f>
        <v>0</v>
      </c>
      <c r="J339" s="399">
        <f>(1-SUMIF($I$1:$T$1,B335,$I$2:$T$2))*I338+SUMIF($I$1:$T$1,B335,$I$2:$T$2)*J338</f>
        <v>0</v>
      </c>
      <c r="K339" s="399">
        <f>(1-SUMIF($I$1:$T$1,B335,$I$2:$T$2))*J338+SUMIF($I$1:$T$1,B335,$I$2:$T$2)*K338</f>
        <v>0</v>
      </c>
      <c r="L339" s="404">
        <f>(1-SUMIF($I$1:$T$1,B335,$I$2:$T$2))*K338+SUMIF($I$1:$T$1,B335,$I$2:$T$2)*L338</f>
        <v>0</v>
      </c>
      <c r="M339" s="386">
        <f>(1-SUMIF($I$1:$T$1,B335,$I$2:$T$2))*L338+SUMIF($I$1:$T$1,B335,$I$2:$T$2)*M338</f>
        <v>0</v>
      </c>
      <c r="N339" s="399">
        <f>(1-SUMIF($I$1:$T$1,B335,$I$2:$T$2))*M338+SUMIF($I$1:$T$1,B335,$I$2:$T$2)*N338</f>
        <v>0</v>
      </c>
      <c r="O339" s="399">
        <f>(1-SUMIF($I$1:$T$1,B335,$I$2:$T$2))*N338+SUMIF($I$1:$T$1,B335,$I$2:$T$2)*O338</f>
        <v>0</v>
      </c>
      <c r="P339" s="404">
        <f>(1-SUMIF($I$1:$T$1,B335,$I$2:$T$2))*O338+SUMIF($I$1:$T$1,B335,$I$2:$T$2)*P338</f>
        <v>0</v>
      </c>
      <c r="Q339" s="386">
        <f>(1-SUMIF($I$1:$T$1,B335,$I$2:$T$2))*P338+SUMIF($I$1:$T$1,B335,$I$2:$T$2)*Q338</f>
        <v>0</v>
      </c>
      <c r="R339" s="399">
        <f>(1-SUMIF($I$1:$T$1,B335,$I$2:$T$2))*Q338+SUMIF($I$1:$T$1,B335,$I$2:$T$2)*R338</f>
        <v>0</v>
      </c>
      <c r="S339" s="399">
        <f>(1-SUMIF($I$1:$T$1,B335,$I$2:$T$2))*R338+SUMIF($I$1:$T$1,B335,$I$2:$T$2)*S338</f>
        <v>0</v>
      </c>
      <c r="T339" s="404">
        <f>(1-SUMIF($I$1:$T$1,B335,$I$2:$T$2))*S338+SUMIF($I$1:$T$1,B335,$I$2:$T$2)*T338</f>
        <v>0</v>
      </c>
      <c r="U339" s="386">
        <f>(1-SUMIF($I$1:$T$1,B335,$I$2:$T$2))*T338+SUMIF($I$1:$T$1,B335,$I$2:$T$2)*U338</f>
        <v>0</v>
      </c>
      <c r="V339" s="399">
        <f>(1-SUMIF($I$1:$T$1,B335,$I$2:$T$2))*U338+SUMIF($I$1:$T$1,B335,$I$2:$T$2)*V338</f>
        <v>0</v>
      </c>
      <c r="W339" s="399">
        <f>(1-SUMIF($I$1:$T$1,B335,$I$2:$T$2))*V338+SUMIF($I$1:$T$1,B335,$I$2:$T$2)*W338</f>
        <v>0</v>
      </c>
      <c r="X339" s="404">
        <f>(1-SUMIF($I$1:$T$1,B335,$I$2:$T$2))*W338+SUMIF($I$1:$T$1,B335,$I$2:$T$2)*X338</f>
        <v>0</v>
      </c>
      <c r="Y339" s="386">
        <f>(1-SUMIF($I$1:$T$1,B335,$I$2:$T$2))*X338+SUMIF($I$1:$T$1,B335,$I$2:$T$2)*Y338</f>
        <v>0</v>
      </c>
      <c r="Z339" s="399">
        <f>(1-SUMIF($I$1:$T$1,B335,$I$2:$T$2))*Y338+SUMIF($I$1:$T$1,B335,$I$2:$T$2)*Z338</f>
        <v>0</v>
      </c>
      <c r="AA339" s="399">
        <f>(1-SUMIF($I$1:$T$1,B335,$I$2:$T$2))*Z338+SUMIF($I$1:$T$1,B335,$I$2:$T$2)*AA338</f>
        <v>0</v>
      </c>
      <c r="AB339" s="404">
        <f>(1-SUMIF($I$1:$T$1,B335,$I$2:$T$2))*AA338+SUMIF($I$1:$T$1,B335,$I$2:$T$2)*AB338</f>
        <v>0</v>
      </c>
      <c r="AC339" s="386">
        <f>(1-SUMIF($I$1:$T$1,B335,$I$2:$T$2))*AB338+SUMIF($I$1:$T$1,B335,$I$2:$T$2)*AC338</f>
        <v>0</v>
      </c>
      <c r="AD339" s="399">
        <f>(1-SUMIF($I$1:$T$1,B335,$I$2:$T$2))*AC338+SUMIF($I$1:$T$1,B335,$I$2:$T$2)*AD338</f>
        <v>0</v>
      </c>
      <c r="AE339" s="399">
        <f>(1-SUMIF($I$1:$T$1,B335,$I$2:$T$2))*AD338+SUMIF($I$1:$T$1,B335,$I$2:$T$2)*AE338</f>
        <v>0</v>
      </c>
      <c r="AF339" s="404">
        <f>(1-SUMIF($I$1:$T$1,B335,$I$2:$T$2))*AE338+SUMIF($I$1:$T$1,B335,$I$2:$T$2)*AF338</f>
        <v>0</v>
      </c>
      <c r="AG339" s="386">
        <f>(1-SUMIF($I$1:$T$1,B335,$I$2:$T$2))*AF338+SUMIF($I$1:$T$1,B335,$I$2:$T$2)*AG338</f>
        <v>0</v>
      </c>
      <c r="AH339" s="399">
        <f>(1-SUMIF($I$1:$T$1,B335,$I$2:$T$2))*AG338+SUMIF($I$1:$T$1,B335,$I$2:$T$2)*AH338</f>
        <v>0</v>
      </c>
      <c r="AI339" s="399">
        <f>(1-SUMIF($I$1:$T$1,B335,$I$2:$T$2))*AH338+SUMIF($I$1:$T$1,B335,$I$2:$T$2)*AI338</f>
        <v>0</v>
      </c>
      <c r="AJ339" s="404">
        <f>(1-SUMIF($I$1:$T$1,B335,$I$2:$T$2))*AI338+SUMIF($I$1:$T$1,B335,$I$2:$T$2)*AJ338</f>
        <v>0</v>
      </c>
      <c r="AK339" s="386">
        <f>(1-SUMIF($I$1:$T$1,B335,$I$2:$T$2))*AJ338+SUMIF($I$1:$T$1,B335,$I$2:$T$2)*AK338</f>
        <v>0</v>
      </c>
      <c r="AL339" s="399">
        <f>(1-SUMIF($I$1:$T$1,B335,$I$2:$T$2))*AK338+SUMIF($I$1:$T$1,B335,$I$2:$T$2)*AL338</f>
        <v>0</v>
      </c>
      <c r="AM339" s="399">
        <f>(1-SUMIF($I$1:$T$1,B335,$I$2:$T$2))*AL338+SUMIF($I$1:$T$1,B335,$I$2:$T$2)*AM338</f>
        <v>0</v>
      </c>
      <c r="AN339" s="404">
        <f>(1-SUMIF($I$1:$T$1,B335,$I$2:$T$2))*AM338+SUMIF($I$1:$T$1,B335,$I$2:$T$2)*AN338</f>
        <v>0</v>
      </c>
      <c r="AO339" s="386">
        <f>(1-SUMIF($I$1:$T$1,B335,$I$2:$T$2))*AN338+SUMIF($I$1:$T$1,B335,$I$2:$T$2)*AO338</f>
        <v>0</v>
      </c>
      <c r="AP339" s="399">
        <f>(1-SUMIF($I$1:$T$1,B335,$I$2:$T$2))*AO338+SUMIF($I$1:$T$1,B335,$I$2:$T$2)*AP338</f>
        <v>0</v>
      </c>
      <c r="AQ339" s="399">
        <f>(1-SUMIF($I$1:$T$1,B335,$I$2:$T$2))*AP338+SUMIF($I$1:$T$1,B335,$I$2:$T$2)*AQ338</f>
        <v>0</v>
      </c>
      <c r="AR339" s="404">
        <f>(1-SUMIF($I$1:$T$1,B335,$I$2:$T$2))*AQ338+SUMIF($I$1:$T$1,B335,$I$2:$T$2)*AR338</f>
        <v>0</v>
      </c>
      <c r="AS339" s="386">
        <f>(1-SUMIF($I$1:$T$1,B335,$I$2:$T$2))*AR338+SUMIF($I$1:$T$1,B335,$I$2:$T$2)*AS338</f>
        <v>0</v>
      </c>
      <c r="AT339" s="399">
        <f>(1-SUMIF($I$1:$T$1,B335,$I$2:$T$2))*AS338+SUMIF($I$1:$T$1,B335,$I$2:$T$2)*AT338</f>
        <v>0</v>
      </c>
      <c r="AU339" s="399">
        <f>(1-SUMIF($I$1:$T$1,B335,$I$2:$T$2))*AT338+SUMIF($I$1:$T$1,B335,$I$2:$T$2)*AU338</f>
        <v>0</v>
      </c>
      <c r="AV339" s="404">
        <f>(1-SUMIF($I$1:$T$1,B335,$I$2:$T$2))*AU338+SUMIF($I$1:$T$1,B335,$I$2:$T$2)*AV338</f>
        <v>0</v>
      </c>
      <c r="AW339" s="424">
        <f t="shared" si="215"/>
        <v>0</v>
      </c>
    </row>
    <row r="340" spans="1:49" s="424" customFormat="1" ht="13.5" customHeight="1" outlineLevel="1">
      <c r="A340" s="1947"/>
      <c r="B340" s="1949" t="str">
        <f>'9.项目开发计划表'!C53</f>
        <v>自持物业</v>
      </c>
      <c r="C340" s="456" t="s">
        <v>880</v>
      </c>
      <c r="D340" s="457">
        <f>IF(D342=0,0,D343/D342*10000)</f>
        <v>0</v>
      </c>
      <c r="E340" s="505"/>
      <c r="F340" s="506"/>
      <c r="G340" s="506"/>
      <c r="H340" s="507"/>
      <c r="I340" s="505"/>
      <c r="J340" s="506"/>
      <c r="K340" s="506"/>
      <c r="L340" s="507"/>
      <c r="M340" s="505"/>
      <c r="N340" s="506"/>
      <c r="O340" s="506"/>
      <c r="P340" s="507"/>
      <c r="Q340" s="505"/>
      <c r="R340" s="506"/>
      <c r="S340" s="506"/>
      <c r="T340" s="507"/>
      <c r="U340" s="505"/>
      <c r="V340" s="506"/>
      <c r="W340" s="506"/>
      <c r="X340" s="507"/>
      <c r="Y340" s="505"/>
      <c r="Z340" s="506"/>
      <c r="AA340" s="506"/>
      <c r="AB340" s="507"/>
      <c r="AC340" s="505"/>
      <c r="AD340" s="506"/>
      <c r="AE340" s="506"/>
      <c r="AF340" s="507"/>
      <c r="AG340" s="505"/>
      <c r="AH340" s="506"/>
      <c r="AI340" s="506"/>
      <c r="AJ340" s="507"/>
      <c r="AK340" s="505"/>
      <c r="AL340" s="506"/>
      <c r="AM340" s="506"/>
      <c r="AN340" s="507"/>
      <c r="AO340" s="505"/>
      <c r="AP340" s="506"/>
      <c r="AQ340" s="506"/>
      <c r="AR340" s="507"/>
      <c r="AS340" s="505"/>
      <c r="AT340" s="506"/>
      <c r="AU340" s="506"/>
      <c r="AV340" s="507"/>
      <c r="AW340" s="424" t="str">
        <f>B340</f>
        <v>自持物业</v>
      </c>
    </row>
    <row r="341" spans="1:49" ht="13.5" customHeight="1" outlineLevel="1">
      <c r="A341" s="1947"/>
      <c r="B341" s="1949"/>
      <c r="C341" s="461" t="s">
        <v>881</v>
      </c>
      <c r="D341" s="462">
        <f t="shared" ref="D341:D344" si="231">SUM(E341:AV341)</f>
        <v>0</v>
      </c>
      <c r="E341" s="494"/>
      <c r="F341" s="491"/>
      <c r="G341" s="491"/>
      <c r="H341" s="493"/>
      <c r="I341" s="494"/>
      <c r="J341" s="491"/>
      <c r="K341" s="491"/>
      <c r="L341" s="493"/>
      <c r="M341" s="494"/>
      <c r="N341" s="491"/>
      <c r="O341" s="491"/>
      <c r="P341" s="493"/>
      <c r="Q341" s="494"/>
      <c r="R341" s="491"/>
      <c r="S341" s="491"/>
      <c r="T341" s="493"/>
      <c r="U341" s="494"/>
      <c r="V341" s="491"/>
      <c r="W341" s="491"/>
      <c r="X341" s="493"/>
      <c r="Y341" s="494"/>
      <c r="Z341" s="491"/>
      <c r="AA341" s="491"/>
      <c r="AB341" s="493"/>
      <c r="AC341" s="494"/>
      <c r="AD341" s="491"/>
      <c r="AE341" s="491"/>
      <c r="AF341" s="493"/>
      <c r="AG341" s="494"/>
      <c r="AH341" s="491"/>
      <c r="AI341" s="491"/>
      <c r="AJ341" s="493"/>
      <c r="AK341" s="494"/>
      <c r="AL341" s="491"/>
      <c r="AM341" s="491"/>
      <c r="AN341" s="493"/>
      <c r="AO341" s="494"/>
      <c r="AP341" s="491"/>
      <c r="AQ341" s="491"/>
      <c r="AR341" s="493"/>
      <c r="AS341" s="494"/>
      <c r="AT341" s="491"/>
      <c r="AU341" s="491"/>
      <c r="AV341" s="493"/>
      <c r="AW341" s="424" t="str">
        <f>AW340</f>
        <v>自持物业</v>
      </c>
    </row>
    <row r="342" spans="1:49" s="424" customFormat="1" ht="13.5" customHeight="1" outlineLevel="1">
      <c r="A342" s="1947"/>
      <c r="B342" s="1949"/>
      <c r="C342" s="461" t="s">
        <v>682</v>
      </c>
      <c r="D342" s="466">
        <f t="shared" si="231"/>
        <v>0</v>
      </c>
      <c r="E342" s="382">
        <f>E341*'9.项目开发计划表'!$G$53</f>
        <v>0</v>
      </c>
      <c r="F342" s="397">
        <f>F341*'9.项目开发计划表'!$G$53</f>
        <v>0</v>
      </c>
      <c r="G342" s="397">
        <f>G341*'9.项目开发计划表'!$G$53</f>
        <v>0</v>
      </c>
      <c r="H342" s="467">
        <f>H341*'9.项目开发计划表'!$G$53</f>
        <v>0</v>
      </c>
      <c r="I342" s="382">
        <f>I341*'9.项目开发计划表'!$G$53</f>
        <v>0</v>
      </c>
      <c r="J342" s="397">
        <f>J341*'9.项目开发计划表'!$G$53</f>
        <v>0</v>
      </c>
      <c r="K342" s="397">
        <f>K341*'9.项目开发计划表'!$G$53</f>
        <v>0</v>
      </c>
      <c r="L342" s="467">
        <f>L341*'9.项目开发计划表'!$G$53</f>
        <v>0</v>
      </c>
      <c r="M342" s="382">
        <f>M341*'9.项目开发计划表'!$G$53</f>
        <v>0</v>
      </c>
      <c r="N342" s="397">
        <f>N341*'9.项目开发计划表'!$G$53</f>
        <v>0</v>
      </c>
      <c r="O342" s="397">
        <f>O341*'9.项目开发计划表'!$G$53</f>
        <v>0</v>
      </c>
      <c r="P342" s="467">
        <f>P341*'9.项目开发计划表'!$G$53</f>
        <v>0</v>
      </c>
      <c r="Q342" s="382">
        <f>Q341*'9.项目开发计划表'!$G$53</f>
        <v>0</v>
      </c>
      <c r="R342" s="397">
        <f>R341*'9.项目开发计划表'!$G$53</f>
        <v>0</v>
      </c>
      <c r="S342" s="397">
        <f>S341*'9.项目开发计划表'!$G$53</f>
        <v>0</v>
      </c>
      <c r="T342" s="467">
        <f>T341*'9.项目开发计划表'!$G$53</f>
        <v>0</v>
      </c>
      <c r="U342" s="382">
        <f>U341*'9.项目开发计划表'!$G$53</f>
        <v>0</v>
      </c>
      <c r="V342" s="397">
        <f>V341*'9.项目开发计划表'!$G$53</f>
        <v>0</v>
      </c>
      <c r="W342" s="397">
        <f>W341*'9.项目开发计划表'!$G$53</f>
        <v>0</v>
      </c>
      <c r="X342" s="467">
        <f>X341*'9.项目开发计划表'!$G$53</f>
        <v>0</v>
      </c>
      <c r="Y342" s="382">
        <f>Y341*'9.项目开发计划表'!$G$53</f>
        <v>0</v>
      </c>
      <c r="Z342" s="397">
        <f>Z341*'9.项目开发计划表'!$G$53</f>
        <v>0</v>
      </c>
      <c r="AA342" s="397">
        <f>AA341*'9.项目开发计划表'!$G$53</f>
        <v>0</v>
      </c>
      <c r="AB342" s="467">
        <f>AB341*'9.项目开发计划表'!$G$53</f>
        <v>0</v>
      </c>
      <c r="AC342" s="382">
        <f>AC341*'9.项目开发计划表'!$G$53</f>
        <v>0</v>
      </c>
      <c r="AD342" s="397">
        <f>AD341*'9.项目开发计划表'!$G$53</f>
        <v>0</v>
      </c>
      <c r="AE342" s="397">
        <f>AE341*'9.项目开发计划表'!$G$53</f>
        <v>0</v>
      </c>
      <c r="AF342" s="467">
        <f>AF341*'9.项目开发计划表'!$G$53</f>
        <v>0</v>
      </c>
      <c r="AG342" s="382">
        <f>AG341*'9.项目开发计划表'!$G$53</f>
        <v>0</v>
      </c>
      <c r="AH342" s="397">
        <f>AH341*'9.项目开发计划表'!$G$53</f>
        <v>0</v>
      </c>
      <c r="AI342" s="397">
        <f>AI341*'9.项目开发计划表'!$G$53</f>
        <v>0</v>
      </c>
      <c r="AJ342" s="467">
        <f>AJ341*'9.项目开发计划表'!$G$53</f>
        <v>0</v>
      </c>
      <c r="AK342" s="382">
        <f>AK341*'9.项目开发计划表'!$G$53</f>
        <v>0</v>
      </c>
      <c r="AL342" s="397">
        <f>AL341*'9.项目开发计划表'!$G$53</f>
        <v>0</v>
      </c>
      <c r="AM342" s="397">
        <f>AM341*'9.项目开发计划表'!$G$53</f>
        <v>0</v>
      </c>
      <c r="AN342" s="467">
        <f>AN341*'9.项目开发计划表'!$G$53</f>
        <v>0</v>
      </c>
      <c r="AO342" s="382">
        <f>AO341*'9.项目开发计划表'!$G$53</f>
        <v>0</v>
      </c>
      <c r="AP342" s="397">
        <f>AP341*'9.项目开发计划表'!$G$53</f>
        <v>0</v>
      </c>
      <c r="AQ342" s="397">
        <f>AQ341*'9.项目开发计划表'!$G$53</f>
        <v>0</v>
      </c>
      <c r="AR342" s="467">
        <f>AR341*'9.项目开发计划表'!$G$53</f>
        <v>0</v>
      </c>
      <c r="AS342" s="382">
        <f>AS341*'9.项目开发计划表'!$G$53</f>
        <v>0</v>
      </c>
      <c r="AT342" s="397">
        <f>AT341*'9.项目开发计划表'!$G$53</f>
        <v>0</v>
      </c>
      <c r="AU342" s="397">
        <f>AU341*'9.项目开发计划表'!$G$53</f>
        <v>0</v>
      </c>
      <c r="AV342" s="467">
        <f>AV341*'9.项目开发计划表'!$G$53</f>
        <v>0</v>
      </c>
      <c r="AW342" s="424" t="str">
        <f t="shared" si="215"/>
        <v>自持物业</v>
      </c>
    </row>
    <row r="343" spans="1:49" s="424" customFormat="1" ht="13.5" customHeight="1" outlineLevel="1">
      <c r="A343" s="1947"/>
      <c r="B343" s="1949"/>
      <c r="C343" s="461" t="s">
        <v>882</v>
      </c>
      <c r="D343" s="466">
        <f t="shared" si="231"/>
        <v>0</v>
      </c>
      <c r="E343" s="382">
        <f t="shared" ref="E343:AV343" si="232">E340*E342/10000</f>
        <v>0</v>
      </c>
      <c r="F343" s="397">
        <f t="shared" si="232"/>
        <v>0</v>
      </c>
      <c r="G343" s="397">
        <f t="shared" si="232"/>
        <v>0</v>
      </c>
      <c r="H343" s="467">
        <f t="shared" si="232"/>
        <v>0</v>
      </c>
      <c r="I343" s="382">
        <f t="shared" si="232"/>
        <v>0</v>
      </c>
      <c r="J343" s="397">
        <f t="shared" si="232"/>
        <v>0</v>
      </c>
      <c r="K343" s="397">
        <f t="shared" si="232"/>
        <v>0</v>
      </c>
      <c r="L343" s="467">
        <f t="shared" si="232"/>
        <v>0</v>
      </c>
      <c r="M343" s="382">
        <f t="shared" si="232"/>
        <v>0</v>
      </c>
      <c r="N343" s="397">
        <f t="shared" si="232"/>
        <v>0</v>
      </c>
      <c r="O343" s="397">
        <f t="shared" si="232"/>
        <v>0</v>
      </c>
      <c r="P343" s="467">
        <f t="shared" si="232"/>
        <v>0</v>
      </c>
      <c r="Q343" s="382">
        <f t="shared" si="232"/>
        <v>0</v>
      </c>
      <c r="R343" s="397">
        <f t="shared" si="232"/>
        <v>0</v>
      </c>
      <c r="S343" s="397">
        <f t="shared" si="232"/>
        <v>0</v>
      </c>
      <c r="T343" s="467">
        <f t="shared" si="232"/>
        <v>0</v>
      </c>
      <c r="U343" s="382">
        <f t="shared" si="232"/>
        <v>0</v>
      </c>
      <c r="V343" s="397">
        <f t="shared" si="232"/>
        <v>0</v>
      </c>
      <c r="W343" s="397">
        <f t="shared" si="232"/>
        <v>0</v>
      </c>
      <c r="X343" s="467">
        <f t="shared" si="232"/>
        <v>0</v>
      </c>
      <c r="Y343" s="382">
        <f t="shared" si="232"/>
        <v>0</v>
      </c>
      <c r="Z343" s="397">
        <f t="shared" si="232"/>
        <v>0</v>
      </c>
      <c r="AA343" s="397">
        <f t="shared" si="232"/>
        <v>0</v>
      </c>
      <c r="AB343" s="467">
        <f t="shared" si="232"/>
        <v>0</v>
      </c>
      <c r="AC343" s="382">
        <f t="shared" si="232"/>
        <v>0</v>
      </c>
      <c r="AD343" s="397">
        <f t="shared" si="232"/>
        <v>0</v>
      </c>
      <c r="AE343" s="397">
        <f t="shared" si="232"/>
        <v>0</v>
      </c>
      <c r="AF343" s="467">
        <f t="shared" si="232"/>
        <v>0</v>
      </c>
      <c r="AG343" s="382">
        <f t="shared" si="232"/>
        <v>0</v>
      </c>
      <c r="AH343" s="397">
        <f t="shared" si="232"/>
        <v>0</v>
      </c>
      <c r="AI343" s="397">
        <f t="shared" si="232"/>
        <v>0</v>
      </c>
      <c r="AJ343" s="467">
        <f t="shared" si="232"/>
        <v>0</v>
      </c>
      <c r="AK343" s="382">
        <f t="shared" si="232"/>
        <v>0</v>
      </c>
      <c r="AL343" s="397">
        <f t="shared" si="232"/>
        <v>0</v>
      </c>
      <c r="AM343" s="397">
        <f t="shared" si="232"/>
        <v>0</v>
      </c>
      <c r="AN343" s="467">
        <f t="shared" si="232"/>
        <v>0</v>
      </c>
      <c r="AO343" s="382">
        <f t="shared" si="232"/>
        <v>0</v>
      </c>
      <c r="AP343" s="397">
        <f t="shared" si="232"/>
        <v>0</v>
      </c>
      <c r="AQ343" s="397">
        <f t="shared" si="232"/>
        <v>0</v>
      </c>
      <c r="AR343" s="467">
        <f t="shared" si="232"/>
        <v>0</v>
      </c>
      <c r="AS343" s="382">
        <f t="shared" si="232"/>
        <v>0</v>
      </c>
      <c r="AT343" s="397">
        <f t="shared" si="232"/>
        <v>0</v>
      </c>
      <c r="AU343" s="397">
        <f t="shared" si="232"/>
        <v>0</v>
      </c>
      <c r="AV343" s="467">
        <f t="shared" si="232"/>
        <v>0</v>
      </c>
      <c r="AW343" s="424" t="str">
        <f t="shared" si="215"/>
        <v>自持物业</v>
      </c>
    </row>
    <row r="344" spans="1:49" s="424" customFormat="1" ht="13.5" customHeight="1" outlineLevel="1">
      <c r="A344" s="1947"/>
      <c r="B344" s="1949"/>
      <c r="C344" s="508" t="s">
        <v>450</v>
      </c>
      <c r="D344" s="468">
        <f t="shared" si="231"/>
        <v>0</v>
      </c>
      <c r="E344" s="386">
        <f>SUMIF($I$1:$T$1,B340,$I$2:$T$2)*E343</f>
        <v>0</v>
      </c>
      <c r="F344" s="399">
        <f>(1-SUMIF($I$1:$T$1,B340,$I$2:$T$2))*E343+SUMIF($I$1:$T$1,B340,$I$2:$T$2)*F343</f>
        <v>0</v>
      </c>
      <c r="G344" s="399">
        <f>(1-SUMIF($I$1:$T$1,B340,$I$2:$T$2))*F343+SUMIF($I$1:$T$1,B340,$I$2:$T$2)*G343</f>
        <v>0</v>
      </c>
      <c r="H344" s="404">
        <f>(1-SUMIF($I$1:$T$1,B340,$I$2:$T$2))*G343+SUMIF($I$1:$T$1,B340,$I$2:$T$2)*H343</f>
        <v>0</v>
      </c>
      <c r="I344" s="386">
        <f>(1-SUMIF($I$1:$T$1,B340,$I$2:$T$2))*H343+SUMIF($I$1:$T$1,B340,$I$2:$T$2)*I343</f>
        <v>0</v>
      </c>
      <c r="J344" s="399">
        <f>(1-SUMIF($I$1:$T$1,B340,$I$2:$T$2))*I343+SUMIF($I$1:$T$1,B340,$I$2:$T$2)*J343</f>
        <v>0</v>
      </c>
      <c r="K344" s="399">
        <f>(1-SUMIF($I$1:$T$1,B340,$I$2:$T$2))*J343+SUMIF($I$1:$T$1,B340,$I$2:$T$2)*K343</f>
        <v>0</v>
      </c>
      <c r="L344" s="404">
        <f>(1-SUMIF($I$1:$T$1,B340,$I$2:$T$2))*K343+SUMIF($I$1:$T$1,B340,$I$2:$T$2)*L343</f>
        <v>0</v>
      </c>
      <c r="M344" s="386">
        <f>(1-SUMIF($I$1:$T$1,B340,$I$2:$T$2))*L343+SUMIF($I$1:$T$1,B340,$I$2:$T$2)*M343</f>
        <v>0</v>
      </c>
      <c r="N344" s="399">
        <f>(1-SUMIF($I$1:$T$1,B340,$I$2:$T$2))*M343+SUMIF($I$1:$T$1,B340,$I$2:$T$2)*N343</f>
        <v>0</v>
      </c>
      <c r="O344" s="399">
        <f>(1-SUMIF($I$1:$T$1,B340,$I$2:$T$2))*N343+SUMIF($I$1:$T$1,B340,$I$2:$T$2)*O343</f>
        <v>0</v>
      </c>
      <c r="P344" s="404">
        <f>(1-SUMIF($I$1:$T$1,B340,$I$2:$T$2))*O343+SUMIF($I$1:$T$1,B340,$I$2:$T$2)*P343</f>
        <v>0</v>
      </c>
      <c r="Q344" s="386">
        <f>(1-SUMIF($I$1:$T$1,B340,$I$2:$T$2))*P343+SUMIF($I$1:$T$1,B340,$I$2:$T$2)*Q343</f>
        <v>0</v>
      </c>
      <c r="R344" s="399">
        <f>(1-SUMIF($I$1:$T$1,B340,$I$2:$T$2))*Q343+SUMIF($I$1:$T$1,B340,$I$2:$T$2)*R343</f>
        <v>0</v>
      </c>
      <c r="S344" s="399">
        <f>(1-SUMIF($I$1:$T$1,B340,$I$2:$T$2))*R343+SUMIF($I$1:$T$1,B340,$I$2:$T$2)*S343</f>
        <v>0</v>
      </c>
      <c r="T344" s="404">
        <f>(1-SUMIF($I$1:$T$1,B340,$I$2:$T$2))*S343+SUMIF($I$1:$T$1,B340,$I$2:$T$2)*T343</f>
        <v>0</v>
      </c>
      <c r="U344" s="386">
        <f>(1-SUMIF($I$1:$T$1,B340,$I$2:$T$2))*T343+SUMIF($I$1:$T$1,B340,$I$2:$T$2)*U343</f>
        <v>0</v>
      </c>
      <c r="V344" s="399">
        <f>(1-SUMIF($I$1:$T$1,B340,$I$2:$T$2))*U343+SUMIF($I$1:$T$1,B340,$I$2:$T$2)*V343</f>
        <v>0</v>
      </c>
      <c r="W344" s="399">
        <f>(1-SUMIF($I$1:$T$1,B340,$I$2:$T$2))*V343+SUMIF($I$1:$T$1,B340,$I$2:$T$2)*W343</f>
        <v>0</v>
      </c>
      <c r="X344" s="404">
        <f>(1-SUMIF($I$1:$T$1,B340,$I$2:$T$2))*W343+SUMIF($I$1:$T$1,B340,$I$2:$T$2)*X343</f>
        <v>0</v>
      </c>
      <c r="Y344" s="386">
        <f>(1-SUMIF($I$1:$T$1,B340,$I$2:$T$2))*X343+SUMIF($I$1:$T$1,B340,$I$2:$T$2)*Y343</f>
        <v>0</v>
      </c>
      <c r="Z344" s="399">
        <f>(1-SUMIF($I$1:$T$1,B340,$I$2:$T$2))*Y343+SUMIF($I$1:$T$1,B340,$I$2:$T$2)*Z343</f>
        <v>0</v>
      </c>
      <c r="AA344" s="399">
        <f>(1-SUMIF($I$1:$T$1,B340,$I$2:$T$2))*Z343+SUMIF($I$1:$T$1,B340,$I$2:$T$2)*AA343</f>
        <v>0</v>
      </c>
      <c r="AB344" s="404">
        <f>(1-SUMIF($I$1:$T$1,B340,$I$2:$T$2))*AA343+SUMIF($I$1:$T$1,B340,$I$2:$T$2)*AB343</f>
        <v>0</v>
      </c>
      <c r="AC344" s="386">
        <f>(1-SUMIF($I$1:$T$1,B340,$I$2:$T$2))*AB343+SUMIF($I$1:$T$1,B340,$I$2:$T$2)*AC343</f>
        <v>0</v>
      </c>
      <c r="AD344" s="399">
        <f>(1-SUMIF($I$1:$T$1,B340,$I$2:$T$2))*AC343+SUMIF($I$1:$T$1,B340,$I$2:$T$2)*AD343</f>
        <v>0</v>
      </c>
      <c r="AE344" s="399">
        <f>(1-SUMIF($I$1:$T$1,B340,$I$2:$T$2))*AD343+SUMIF($I$1:$T$1,B340,$I$2:$T$2)*AE343</f>
        <v>0</v>
      </c>
      <c r="AF344" s="404">
        <f>(1-SUMIF($I$1:$T$1,B340,$I$2:$T$2))*AE343+SUMIF($I$1:$T$1,B340,$I$2:$T$2)*AF343</f>
        <v>0</v>
      </c>
      <c r="AG344" s="386">
        <f>(1-SUMIF($I$1:$T$1,B340,$I$2:$T$2))*AF343+SUMIF($I$1:$T$1,B340,$I$2:$T$2)*AG343</f>
        <v>0</v>
      </c>
      <c r="AH344" s="399">
        <f>(1-SUMIF($I$1:$T$1,B340,$I$2:$T$2))*AG343+SUMIF($I$1:$T$1,B340,$I$2:$T$2)*AH343</f>
        <v>0</v>
      </c>
      <c r="AI344" s="399">
        <f>(1-SUMIF($I$1:$T$1,B340,$I$2:$T$2))*AH343+SUMIF($I$1:$T$1,B340,$I$2:$T$2)*AI343</f>
        <v>0</v>
      </c>
      <c r="AJ344" s="404">
        <f>(1-SUMIF($I$1:$T$1,B340,$I$2:$T$2))*AI343+SUMIF($I$1:$T$1,B340,$I$2:$T$2)*AJ343</f>
        <v>0</v>
      </c>
      <c r="AK344" s="386">
        <f>(1-SUMIF($I$1:$T$1,B340,$I$2:$T$2))*AJ343+SUMIF($I$1:$T$1,B340,$I$2:$T$2)*AK343</f>
        <v>0</v>
      </c>
      <c r="AL344" s="399">
        <f>(1-SUMIF($I$1:$T$1,B340,$I$2:$T$2))*AK343+SUMIF($I$1:$T$1,B340,$I$2:$T$2)*AL343</f>
        <v>0</v>
      </c>
      <c r="AM344" s="399">
        <f>(1-SUMIF($I$1:$T$1,B340,$I$2:$T$2))*AL343+SUMIF($I$1:$T$1,B340,$I$2:$T$2)*AM343</f>
        <v>0</v>
      </c>
      <c r="AN344" s="404">
        <f>(1-SUMIF($I$1:$T$1,B340,$I$2:$T$2))*AM343+SUMIF($I$1:$T$1,B340,$I$2:$T$2)*AN343</f>
        <v>0</v>
      </c>
      <c r="AO344" s="386">
        <f>(1-SUMIF($I$1:$T$1,B340,$I$2:$T$2))*AN343+SUMIF($I$1:$T$1,B340,$I$2:$T$2)*AO343</f>
        <v>0</v>
      </c>
      <c r="AP344" s="399">
        <f>(1-SUMIF($I$1:$T$1,B340,$I$2:$T$2))*AO343+SUMIF($I$1:$T$1,B340,$I$2:$T$2)*AP343</f>
        <v>0</v>
      </c>
      <c r="AQ344" s="399">
        <f>(1-SUMIF($I$1:$T$1,B340,$I$2:$T$2))*AP343+SUMIF($I$1:$T$1,B340,$I$2:$T$2)*AQ343</f>
        <v>0</v>
      </c>
      <c r="AR344" s="404">
        <f>(1-SUMIF($I$1:$T$1,B340,$I$2:$T$2))*AQ343+SUMIF($I$1:$T$1,B340,$I$2:$T$2)*AR343</f>
        <v>0</v>
      </c>
      <c r="AS344" s="386">
        <f>(1-SUMIF($I$1:$T$1,B340,$I$2:$T$2))*AR343+SUMIF($I$1:$T$1,B340,$I$2:$T$2)*AS343</f>
        <v>0</v>
      </c>
      <c r="AT344" s="399">
        <f>(1-SUMIF($I$1:$T$1,B340,$I$2:$T$2))*AS343+SUMIF($I$1:$T$1,B340,$I$2:$T$2)*AT343</f>
        <v>0</v>
      </c>
      <c r="AU344" s="399">
        <f>(1-SUMIF($I$1:$T$1,B340,$I$2:$T$2))*AT343+SUMIF($I$1:$T$1,B340,$I$2:$T$2)*AU343</f>
        <v>0</v>
      </c>
      <c r="AV344" s="404">
        <f>(1-SUMIF($I$1:$T$1,B340,$I$2:$T$2))*AU343+SUMIF($I$1:$T$1,B340,$I$2:$T$2)*AV343</f>
        <v>0</v>
      </c>
      <c r="AW344" s="424" t="str">
        <f t="shared" si="215"/>
        <v>自持物业</v>
      </c>
    </row>
    <row r="345" spans="1:49" s="424" customFormat="1" ht="13.5" customHeight="1" outlineLevel="1">
      <c r="A345" s="1947"/>
      <c r="B345" s="1949" t="str">
        <f>'9.项目开发计划表'!C54</f>
        <v>有产权车库(个)</v>
      </c>
      <c r="C345" s="456" t="s">
        <v>880</v>
      </c>
      <c r="D345" s="457">
        <f>IF(D347=0,0,D348/D347*10000)</f>
        <v>0</v>
      </c>
      <c r="E345" s="505"/>
      <c r="F345" s="506"/>
      <c r="G345" s="506"/>
      <c r="H345" s="507"/>
      <c r="I345" s="505"/>
      <c r="J345" s="506"/>
      <c r="K345" s="506"/>
      <c r="L345" s="507"/>
      <c r="M345" s="505"/>
      <c r="N345" s="506"/>
      <c r="O345" s="506"/>
      <c r="P345" s="507"/>
      <c r="Q345" s="505"/>
      <c r="R345" s="506"/>
      <c r="S345" s="506"/>
      <c r="T345" s="507"/>
      <c r="U345" s="507"/>
      <c r="V345" s="507"/>
      <c r="W345" s="507"/>
      <c r="X345" s="507"/>
      <c r="Y345" s="507"/>
      <c r="Z345" s="507"/>
      <c r="AA345" s="507"/>
      <c r="AB345" s="507"/>
      <c r="AC345" s="507"/>
      <c r="AD345" s="507"/>
      <c r="AE345" s="507"/>
      <c r="AF345" s="507"/>
      <c r="AG345" s="505"/>
      <c r="AH345" s="505"/>
      <c r="AI345" s="505"/>
      <c r="AJ345" s="505"/>
      <c r="AK345" s="505"/>
      <c r="AL345" s="505"/>
      <c r="AM345" s="505"/>
      <c r="AN345" s="505"/>
      <c r="AO345" s="505"/>
      <c r="AP345" s="505"/>
      <c r="AQ345" s="505"/>
      <c r="AR345" s="505"/>
      <c r="AS345" s="505"/>
      <c r="AT345" s="505"/>
      <c r="AU345" s="505"/>
      <c r="AV345" s="505"/>
      <c r="AW345" s="424" t="str">
        <f>B345</f>
        <v>有产权车库(个)</v>
      </c>
    </row>
    <row r="346" spans="1:49" ht="13.5" customHeight="1" outlineLevel="1">
      <c r="A346" s="1947"/>
      <c r="B346" s="1949"/>
      <c r="C346" s="461" t="s">
        <v>881</v>
      </c>
      <c r="D346" s="462">
        <f t="shared" ref="D346:D349" si="233">SUM(E346:AV346)</f>
        <v>0</v>
      </c>
      <c r="E346" s="494"/>
      <c r="F346" s="491"/>
      <c r="G346" s="491"/>
      <c r="H346" s="493"/>
      <c r="I346" s="494"/>
      <c r="J346" s="491"/>
      <c r="K346" s="491"/>
      <c r="L346" s="493"/>
      <c r="M346" s="494"/>
      <c r="N346" s="491"/>
      <c r="O346" s="491"/>
      <c r="P346" s="493"/>
      <c r="Q346" s="494"/>
      <c r="R346" s="491"/>
      <c r="S346" s="491"/>
      <c r="T346" s="493"/>
      <c r="U346" s="493"/>
      <c r="V346" s="493"/>
      <c r="W346" s="493"/>
      <c r="X346" s="493"/>
      <c r="Y346" s="493"/>
      <c r="Z346" s="493"/>
      <c r="AA346" s="493"/>
      <c r="AB346" s="493"/>
      <c r="AC346" s="493"/>
      <c r="AD346" s="493"/>
      <c r="AE346" s="493"/>
      <c r="AF346" s="493"/>
      <c r="AG346" s="494"/>
      <c r="AH346" s="494"/>
      <c r="AI346" s="494"/>
      <c r="AJ346" s="494"/>
      <c r="AK346" s="494"/>
      <c r="AL346" s="494"/>
      <c r="AM346" s="494"/>
      <c r="AN346" s="494"/>
      <c r="AO346" s="494"/>
      <c r="AP346" s="494"/>
      <c r="AQ346" s="494"/>
      <c r="AR346" s="494"/>
      <c r="AS346" s="494"/>
      <c r="AT346" s="494"/>
      <c r="AU346" s="494"/>
      <c r="AV346" s="494"/>
      <c r="AW346" s="424" t="str">
        <f>AW345</f>
        <v>有产权车库(个)</v>
      </c>
    </row>
    <row r="347" spans="1:49" s="424" customFormat="1" ht="13.5" customHeight="1" outlineLevel="1">
      <c r="A347" s="1947"/>
      <c r="B347" s="1949"/>
      <c r="C347" s="461" t="s">
        <v>682</v>
      </c>
      <c r="D347" s="466">
        <f t="shared" si="233"/>
        <v>0</v>
      </c>
      <c r="E347" s="382">
        <f>E346*'9.项目开发计划表'!$G$54</f>
        <v>0</v>
      </c>
      <c r="F347" s="397">
        <f>F346*'9.项目开发计划表'!$G$54</f>
        <v>0</v>
      </c>
      <c r="G347" s="397">
        <f>G346*'9.项目开发计划表'!$G$54</f>
        <v>0</v>
      </c>
      <c r="H347" s="467">
        <f>H346*'9.项目开发计划表'!$G$54</f>
        <v>0</v>
      </c>
      <c r="I347" s="382">
        <f>I346*'9.项目开发计划表'!$G$54</f>
        <v>0</v>
      </c>
      <c r="J347" s="397">
        <f>J346*'9.项目开发计划表'!$G$54</f>
        <v>0</v>
      </c>
      <c r="K347" s="397">
        <f>K346*'9.项目开发计划表'!$G$54</f>
        <v>0</v>
      </c>
      <c r="L347" s="467">
        <f>L346*'9.项目开发计划表'!$G$54</f>
        <v>0</v>
      </c>
      <c r="M347" s="382">
        <f>M346*'9.项目开发计划表'!$G$54</f>
        <v>0</v>
      </c>
      <c r="N347" s="397">
        <f>N346*'9.项目开发计划表'!$G$54</f>
        <v>0</v>
      </c>
      <c r="O347" s="397">
        <f>O346*'9.项目开发计划表'!$G$54</f>
        <v>0</v>
      </c>
      <c r="P347" s="467">
        <f>P346*'9.项目开发计划表'!$G$54</f>
        <v>0</v>
      </c>
      <c r="Q347" s="382">
        <f>Q346*'9.项目开发计划表'!$G$54</f>
        <v>0</v>
      </c>
      <c r="R347" s="397">
        <f>R346*'9.项目开发计划表'!$G$54</f>
        <v>0</v>
      </c>
      <c r="S347" s="397">
        <f>S346*'9.项目开发计划表'!$G$54</f>
        <v>0</v>
      </c>
      <c r="T347" s="467">
        <f>T346*'9.项目开发计划表'!$G$54</f>
        <v>0</v>
      </c>
      <c r="U347" s="382">
        <f>U346*'9.项目开发计划表'!$G$54</f>
        <v>0</v>
      </c>
      <c r="V347" s="397">
        <f>V346*'9.项目开发计划表'!$G$54</f>
        <v>0</v>
      </c>
      <c r="W347" s="397">
        <f>W346*'9.项目开发计划表'!$G$54</f>
        <v>0</v>
      </c>
      <c r="X347" s="467">
        <f>X346*'9.项目开发计划表'!$G$54</f>
        <v>0</v>
      </c>
      <c r="Y347" s="382">
        <f>Y346*'9.项目开发计划表'!$G$54</f>
        <v>0</v>
      </c>
      <c r="Z347" s="397">
        <f>Z346*'9.项目开发计划表'!$G$54</f>
        <v>0</v>
      </c>
      <c r="AA347" s="397">
        <f>AA346*'9.项目开发计划表'!$G$54</f>
        <v>0</v>
      </c>
      <c r="AB347" s="467">
        <f>AB346*'9.项目开发计划表'!$G$54</f>
        <v>0</v>
      </c>
      <c r="AC347" s="382">
        <f>AC346*'9.项目开发计划表'!$G$54</f>
        <v>0</v>
      </c>
      <c r="AD347" s="397">
        <f>AD346*'9.项目开发计划表'!$G$54</f>
        <v>0</v>
      </c>
      <c r="AE347" s="397">
        <f>AE346*'9.项目开发计划表'!$G$54</f>
        <v>0</v>
      </c>
      <c r="AF347" s="467">
        <f>AF346*'9.项目开发计划表'!$G$54</f>
        <v>0</v>
      </c>
      <c r="AG347" s="382">
        <f>AG346*'9.项目开发计划表'!$G$54</f>
        <v>0</v>
      </c>
      <c r="AH347" s="397">
        <f>AH346*'9.项目开发计划表'!$G$54</f>
        <v>0</v>
      </c>
      <c r="AI347" s="397">
        <f>AI346*'9.项目开发计划表'!$G$54</f>
        <v>0</v>
      </c>
      <c r="AJ347" s="467">
        <f>AJ346*'9.项目开发计划表'!$G$54</f>
        <v>0</v>
      </c>
      <c r="AK347" s="382">
        <f>AK346*'9.项目开发计划表'!$G$54</f>
        <v>0</v>
      </c>
      <c r="AL347" s="397">
        <f>AL346*'9.项目开发计划表'!$G$54</f>
        <v>0</v>
      </c>
      <c r="AM347" s="397">
        <f>AM346*'9.项目开发计划表'!$G$54</f>
        <v>0</v>
      </c>
      <c r="AN347" s="467">
        <f>AN346*'9.项目开发计划表'!$G$54</f>
        <v>0</v>
      </c>
      <c r="AO347" s="382">
        <f>AO346*'9.项目开发计划表'!$G$54</f>
        <v>0</v>
      </c>
      <c r="AP347" s="397">
        <f>AP346*'9.项目开发计划表'!$G$54</f>
        <v>0</v>
      </c>
      <c r="AQ347" s="397">
        <f>AQ346*'9.项目开发计划表'!$G$54</f>
        <v>0</v>
      </c>
      <c r="AR347" s="467">
        <f>AR346*'9.项目开发计划表'!$G$54</f>
        <v>0</v>
      </c>
      <c r="AS347" s="382">
        <f>AS346*'9.项目开发计划表'!$G$54</f>
        <v>0</v>
      </c>
      <c r="AT347" s="397">
        <f>AT346*'9.项目开发计划表'!$G$54</f>
        <v>0</v>
      </c>
      <c r="AU347" s="397">
        <f>AU346*'9.项目开发计划表'!$G$54</f>
        <v>0</v>
      </c>
      <c r="AV347" s="467">
        <f>AV346*'9.项目开发计划表'!$G$54</f>
        <v>0</v>
      </c>
      <c r="AW347" s="424" t="str">
        <f t="shared" si="215"/>
        <v>有产权车库(个)</v>
      </c>
    </row>
    <row r="348" spans="1:49" s="424" customFormat="1" ht="13.5" customHeight="1" outlineLevel="1">
      <c r="A348" s="1947"/>
      <c r="B348" s="1949"/>
      <c r="C348" s="461" t="s">
        <v>882</v>
      </c>
      <c r="D348" s="466">
        <f t="shared" si="233"/>
        <v>0</v>
      </c>
      <c r="E348" s="382">
        <f t="shared" ref="E348:AV348" si="234">E345*E347/10000</f>
        <v>0</v>
      </c>
      <c r="F348" s="397">
        <f t="shared" si="234"/>
        <v>0</v>
      </c>
      <c r="G348" s="397">
        <f t="shared" si="234"/>
        <v>0</v>
      </c>
      <c r="H348" s="467">
        <f t="shared" si="234"/>
        <v>0</v>
      </c>
      <c r="I348" s="382">
        <f t="shared" si="234"/>
        <v>0</v>
      </c>
      <c r="J348" s="397">
        <f t="shared" si="234"/>
        <v>0</v>
      </c>
      <c r="K348" s="397">
        <f t="shared" si="234"/>
        <v>0</v>
      </c>
      <c r="L348" s="467">
        <f t="shared" si="234"/>
        <v>0</v>
      </c>
      <c r="M348" s="382">
        <f t="shared" si="234"/>
        <v>0</v>
      </c>
      <c r="N348" s="397">
        <f t="shared" si="234"/>
        <v>0</v>
      </c>
      <c r="O348" s="397">
        <f t="shared" si="234"/>
        <v>0</v>
      </c>
      <c r="P348" s="467">
        <f t="shared" si="234"/>
        <v>0</v>
      </c>
      <c r="Q348" s="382">
        <f t="shared" si="234"/>
        <v>0</v>
      </c>
      <c r="R348" s="397">
        <f t="shared" si="234"/>
        <v>0</v>
      </c>
      <c r="S348" s="397">
        <f t="shared" si="234"/>
        <v>0</v>
      </c>
      <c r="T348" s="467">
        <f t="shared" si="234"/>
        <v>0</v>
      </c>
      <c r="U348" s="382">
        <f t="shared" si="234"/>
        <v>0</v>
      </c>
      <c r="V348" s="397">
        <f t="shared" si="234"/>
        <v>0</v>
      </c>
      <c r="W348" s="397">
        <f t="shared" si="234"/>
        <v>0</v>
      </c>
      <c r="X348" s="467">
        <f t="shared" si="234"/>
        <v>0</v>
      </c>
      <c r="Y348" s="382">
        <f t="shared" si="234"/>
        <v>0</v>
      </c>
      <c r="Z348" s="397">
        <f t="shared" si="234"/>
        <v>0</v>
      </c>
      <c r="AA348" s="397">
        <f t="shared" si="234"/>
        <v>0</v>
      </c>
      <c r="AB348" s="467">
        <f t="shared" si="234"/>
        <v>0</v>
      </c>
      <c r="AC348" s="382">
        <f t="shared" si="234"/>
        <v>0</v>
      </c>
      <c r="AD348" s="397">
        <f t="shared" si="234"/>
        <v>0</v>
      </c>
      <c r="AE348" s="397">
        <f t="shared" si="234"/>
        <v>0</v>
      </c>
      <c r="AF348" s="467">
        <f t="shared" si="234"/>
        <v>0</v>
      </c>
      <c r="AG348" s="382">
        <f t="shared" si="234"/>
        <v>0</v>
      </c>
      <c r="AH348" s="397">
        <f t="shared" si="234"/>
        <v>0</v>
      </c>
      <c r="AI348" s="397">
        <f t="shared" si="234"/>
        <v>0</v>
      </c>
      <c r="AJ348" s="467">
        <f t="shared" si="234"/>
        <v>0</v>
      </c>
      <c r="AK348" s="382">
        <f t="shared" si="234"/>
        <v>0</v>
      </c>
      <c r="AL348" s="397">
        <f t="shared" si="234"/>
        <v>0</v>
      </c>
      <c r="AM348" s="397">
        <f t="shared" si="234"/>
        <v>0</v>
      </c>
      <c r="AN348" s="467">
        <f t="shared" si="234"/>
        <v>0</v>
      </c>
      <c r="AO348" s="382">
        <f t="shared" si="234"/>
        <v>0</v>
      </c>
      <c r="AP348" s="397">
        <f t="shared" si="234"/>
        <v>0</v>
      </c>
      <c r="AQ348" s="397">
        <f t="shared" si="234"/>
        <v>0</v>
      </c>
      <c r="AR348" s="467">
        <f t="shared" si="234"/>
        <v>0</v>
      </c>
      <c r="AS348" s="382">
        <f t="shared" si="234"/>
        <v>0</v>
      </c>
      <c r="AT348" s="397">
        <f t="shared" si="234"/>
        <v>0</v>
      </c>
      <c r="AU348" s="397">
        <f t="shared" si="234"/>
        <v>0</v>
      </c>
      <c r="AV348" s="467">
        <f t="shared" si="234"/>
        <v>0</v>
      </c>
      <c r="AW348" s="424" t="str">
        <f t="shared" si="215"/>
        <v>有产权车库(个)</v>
      </c>
    </row>
    <row r="349" spans="1:49" s="424" customFormat="1" ht="13.5" customHeight="1" outlineLevel="1">
      <c r="A349" s="1947"/>
      <c r="B349" s="1949"/>
      <c r="C349" s="508" t="s">
        <v>450</v>
      </c>
      <c r="D349" s="468">
        <f t="shared" si="233"/>
        <v>0</v>
      </c>
      <c r="E349" s="386">
        <f>SUMIF($I$1:$T$1,B345,$I$2:$T$2)*E348</f>
        <v>0</v>
      </c>
      <c r="F349" s="399">
        <f>(1-SUMIF($I$1:$T$1,B345,$I$2:$T$2))*E348+SUMIF($I$1:$T$1,B345,$I$2:$T$2)*F348</f>
        <v>0</v>
      </c>
      <c r="G349" s="399">
        <f>(1-SUMIF($I$1:$T$1,B345,$I$2:$T$2))*F348+SUMIF($I$1:$T$1,B345,$I$2:$T$2)*G348</f>
        <v>0</v>
      </c>
      <c r="H349" s="404">
        <f>(1-SUMIF($I$1:$T$1,B345,$I$2:$T$2))*G348+SUMIF($I$1:$T$1,B345,$I$2:$T$2)*H348</f>
        <v>0</v>
      </c>
      <c r="I349" s="386">
        <f>(1-SUMIF($I$1:$T$1,B345,$I$2:$T$2))*H348+SUMIF($I$1:$T$1,B345,$I$2:$T$2)*I348</f>
        <v>0</v>
      </c>
      <c r="J349" s="399">
        <f>(1-SUMIF($I$1:$T$1,B345,$I$2:$T$2))*I348+SUMIF($I$1:$T$1,B345,$I$2:$T$2)*J348</f>
        <v>0</v>
      </c>
      <c r="K349" s="399">
        <f>(1-SUMIF($I$1:$T$1,B345,$I$2:$T$2))*J348+SUMIF($I$1:$T$1,B345,$I$2:$T$2)*K348</f>
        <v>0</v>
      </c>
      <c r="L349" s="404">
        <f>(1-SUMIF($I$1:$T$1,B345,$I$2:$T$2))*K348+SUMIF($I$1:$T$1,B345,$I$2:$T$2)*L348</f>
        <v>0</v>
      </c>
      <c r="M349" s="386">
        <f>(1-SUMIF($I$1:$T$1,B345,$I$2:$T$2))*L348+SUMIF($I$1:$T$1,B345,$I$2:$T$2)*M348</f>
        <v>0</v>
      </c>
      <c r="N349" s="399">
        <f>(1-SUMIF($I$1:$T$1,B345,$I$2:$T$2))*M348+SUMIF($I$1:$T$1,B345,$I$2:$T$2)*N348</f>
        <v>0</v>
      </c>
      <c r="O349" s="399">
        <f>(1-SUMIF($I$1:$T$1,B345,$I$2:$T$2))*N348+SUMIF($I$1:$T$1,B345,$I$2:$T$2)*O348</f>
        <v>0</v>
      </c>
      <c r="P349" s="404">
        <f>(1-SUMIF($I$1:$T$1,B345,$I$2:$T$2))*O348+SUMIF($I$1:$T$1,B345,$I$2:$T$2)*P348</f>
        <v>0</v>
      </c>
      <c r="Q349" s="386">
        <f>(1-SUMIF($I$1:$T$1,B345,$I$2:$T$2))*P348+SUMIF($I$1:$T$1,B345,$I$2:$T$2)*Q348</f>
        <v>0</v>
      </c>
      <c r="R349" s="399">
        <f>(1-SUMIF($I$1:$T$1,B345,$I$2:$T$2))*Q348+SUMIF($I$1:$T$1,B345,$I$2:$T$2)*R348</f>
        <v>0</v>
      </c>
      <c r="S349" s="399">
        <f>(1-SUMIF($I$1:$T$1,B345,$I$2:$T$2))*R348+SUMIF($I$1:$T$1,B345,$I$2:$T$2)*S348</f>
        <v>0</v>
      </c>
      <c r="T349" s="404">
        <f>(1-SUMIF($I$1:$T$1,B345,$I$2:$T$2))*S348+SUMIF($I$1:$T$1,B345,$I$2:$T$2)*T348</f>
        <v>0</v>
      </c>
      <c r="U349" s="386">
        <f>(1-SUMIF($I$1:$T$1,B345,$I$2:$T$2))*T348+SUMIF($I$1:$T$1,B345,$I$2:$T$2)*U348</f>
        <v>0</v>
      </c>
      <c r="V349" s="399">
        <f>(1-SUMIF($I$1:$T$1,B345,$I$2:$T$2))*U348+SUMIF($I$1:$T$1,B345,$I$2:$T$2)*V348</f>
        <v>0</v>
      </c>
      <c r="W349" s="399">
        <f>(1-SUMIF($I$1:$T$1,B345,$I$2:$T$2))*V348+SUMIF($I$1:$T$1,B345,$I$2:$T$2)*W348</f>
        <v>0</v>
      </c>
      <c r="X349" s="404">
        <f>(1-SUMIF($I$1:$T$1,B345,$I$2:$T$2))*W348+SUMIF($I$1:$T$1,B345,$I$2:$T$2)*X348</f>
        <v>0</v>
      </c>
      <c r="Y349" s="386">
        <f>(1-SUMIF($I$1:$T$1,B345,$I$2:$T$2))*X348+SUMIF($I$1:$T$1,B345,$I$2:$T$2)*Y348</f>
        <v>0</v>
      </c>
      <c r="Z349" s="399">
        <f>(1-SUMIF($I$1:$T$1,B345,$I$2:$T$2))*Y348+SUMIF($I$1:$T$1,B345,$I$2:$T$2)*Z348</f>
        <v>0</v>
      </c>
      <c r="AA349" s="399">
        <f>(1-SUMIF($I$1:$T$1,B345,$I$2:$T$2))*Z348+SUMIF($I$1:$T$1,B345,$I$2:$T$2)*AA348</f>
        <v>0</v>
      </c>
      <c r="AB349" s="404">
        <f>(1-SUMIF($I$1:$T$1,B345,$I$2:$T$2))*AA348+SUMIF($I$1:$T$1,B345,$I$2:$T$2)*AB348</f>
        <v>0</v>
      </c>
      <c r="AC349" s="386">
        <f>(1-SUMIF($I$1:$T$1,B345,$I$2:$T$2))*AB348+SUMIF($I$1:$T$1,B345,$I$2:$T$2)*AC348</f>
        <v>0</v>
      </c>
      <c r="AD349" s="399">
        <f>(1-SUMIF($I$1:$T$1,B345,$I$2:$T$2))*AC348+SUMIF($I$1:$T$1,B345,$I$2:$T$2)*AD348</f>
        <v>0</v>
      </c>
      <c r="AE349" s="399">
        <f>(1-SUMIF($I$1:$T$1,B345,$I$2:$T$2))*AD348+SUMIF($I$1:$T$1,B345,$I$2:$T$2)*AE348</f>
        <v>0</v>
      </c>
      <c r="AF349" s="404">
        <f>(1-SUMIF($I$1:$T$1,B345,$I$2:$T$2))*AE348+SUMIF($I$1:$T$1,B345,$I$2:$T$2)*AF348</f>
        <v>0</v>
      </c>
      <c r="AG349" s="386">
        <f>(1-SUMIF($I$1:$T$1,B345,$I$2:$T$2))*AF348+SUMIF($I$1:$T$1,B345,$I$2:$T$2)*AG348</f>
        <v>0</v>
      </c>
      <c r="AH349" s="399">
        <f>(1-SUMIF($I$1:$T$1,B345,$I$2:$T$2))*AG348+SUMIF($I$1:$T$1,B345,$I$2:$T$2)*AH348</f>
        <v>0</v>
      </c>
      <c r="AI349" s="399">
        <f>(1-SUMIF($I$1:$T$1,B345,$I$2:$T$2))*AH348+SUMIF($I$1:$T$1,B345,$I$2:$T$2)*AI348</f>
        <v>0</v>
      </c>
      <c r="AJ349" s="404">
        <f>(1-SUMIF($I$1:$T$1,B345,$I$2:$T$2))*AI348+SUMIF($I$1:$T$1,B345,$I$2:$T$2)*AJ348</f>
        <v>0</v>
      </c>
      <c r="AK349" s="386">
        <f>(1-SUMIF($I$1:$T$1,B345,$I$2:$T$2))*AJ348+SUMIF($I$1:$T$1,B345,$I$2:$T$2)*AK348</f>
        <v>0</v>
      </c>
      <c r="AL349" s="399">
        <f>(1-SUMIF($I$1:$T$1,B345,$I$2:$T$2))*AK348+SUMIF($I$1:$T$1,B345,$I$2:$T$2)*AL348</f>
        <v>0</v>
      </c>
      <c r="AM349" s="399">
        <f>(1-SUMIF($I$1:$T$1,B345,$I$2:$T$2))*AL348+SUMIF($I$1:$T$1,B345,$I$2:$T$2)*AM348</f>
        <v>0</v>
      </c>
      <c r="AN349" s="404">
        <f>(1-SUMIF($I$1:$T$1,B345,$I$2:$T$2))*AM348+SUMIF($I$1:$T$1,B345,$I$2:$T$2)*AN348</f>
        <v>0</v>
      </c>
      <c r="AO349" s="386">
        <f>(1-SUMIF($I$1:$T$1,B345,$I$2:$T$2))*AN348+SUMIF($I$1:$T$1,B345,$I$2:$T$2)*AO348</f>
        <v>0</v>
      </c>
      <c r="AP349" s="399">
        <f>(1-SUMIF($I$1:$T$1,B345,$I$2:$T$2))*AO348+SUMIF($I$1:$T$1,B345,$I$2:$T$2)*AP348</f>
        <v>0</v>
      </c>
      <c r="AQ349" s="399">
        <f>(1-SUMIF($I$1:$T$1,B345,$I$2:$T$2))*AP348+SUMIF($I$1:$T$1,B345,$I$2:$T$2)*AQ348</f>
        <v>0</v>
      </c>
      <c r="AR349" s="404">
        <f>(1-SUMIF($I$1:$T$1,B345,$I$2:$T$2))*AQ348+SUMIF($I$1:$T$1,B345,$I$2:$T$2)*AR348</f>
        <v>0</v>
      </c>
      <c r="AS349" s="386">
        <f>(1-SUMIF($I$1:$T$1,B345,$I$2:$T$2))*AR348+SUMIF($I$1:$T$1,B345,$I$2:$T$2)*AS348</f>
        <v>0</v>
      </c>
      <c r="AT349" s="399">
        <f>(1-SUMIF($I$1:$T$1,B345,$I$2:$T$2))*AS348+SUMIF($I$1:$T$1,B345,$I$2:$T$2)*AT348</f>
        <v>0</v>
      </c>
      <c r="AU349" s="399">
        <f>(1-SUMIF($I$1:$T$1,B345,$I$2:$T$2))*AT348+SUMIF($I$1:$T$1,B345,$I$2:$T$2)*AU348</f>
        <v>0</v>
      </c>
      <c r="AV349" s="404">
        <f>(1-SUMIF($I$1:$T$1,B345,$I$2:$T$2))*AU348+SUMIF($I$1:$T$1,B345,$I$2:$T$2)*AV348</f>
        <v>0</v>
      </c>
      <c r="AW349" s="424" t="str">
        <f t="shared" si="215"/>
        <v>有产权车库(个)</v>
      </c>
    </row>
    <row r="350" spans="1:49" s="424" customFormat="1" ht="13.5" customHeight="1" outlineLevel="1">
      <c r="A350" s="1947"/>
      <c r="B350" s="1949" t="str">
        <f>'9.项目开发计划表'!C55</f>
        <v>无产权车库(个)</v>
      </c>
      <c r="C350" s="456" t="s">
        <v>880</v>
      </c>
      <c r="D350" s="457">
        <f>IF(D352=0,0,D353/D352*10000)</f>
        <v>0</v>
      </c>
      <c r="E350" s="505"/>
      <c r="F350" s="506"/>
      <c r="G350" s="506"/>
      <c r="H350" s="507"/>
      <c r="I350" s="505"/>
      <c r="J350" s="506"/>
      <c r="K350" s="506"/>
      <c r="L350" s="507"/>
      <c r="M350" s="505"/>
      <c r="N350" s="506"/>
      <c r="O350" s="506"/>
      <c r="P350" s="507"/>
      <c r="Q350" s="505"/>
      <c r="R350" s="506"/>
      <c r="S350" s="506"/>
      <c r="T350" s="507"/>
      <c r="U350" s="505"/>
      <c r="V350" s="506"/>
      <c r="W350" s="506"/>
      <c r="X350" s="507"/>
      <c r="Y350" s="505"/>
      <c r="Z350" s="506"/>
      <c r="AA350" s="506"/>
      <c r="AB350" s="507"/>
      <c r="AC350" s="505"/>
      <c r="AD350" s="506"/>
      <c r="AE350" s="506"/>
      <c r="AF350" s="507"/>
      <c r="AG350" s="505"/>
      <c r="AH350" s="506"/>
      <c r="AI350" s="506"/>
      <c r="AJ350" s="507"/>
      <c r="AK350" s="505"/>
      <c r="AL350" s="506"/>
      <c r="AM350" s="506"/>
      <c r="AN350" s="507"/>
      <c r="AO350" s="505"/>
      <c r="AP350" s="506"/>
      <c r="AQ350" s="506"/>
      <c r="AR350" s="507"/>
      <c r="AS350" s="505"/>
      <c r="AT350" s="506"/>
      <c r="AU350" s="506"/>
      <c r="AV350" s="507"/>
      <c r="AW350" s="424" t="str">
        <f>B350</f>
        <v>无产权车库(个)</v>
      </c>
    </row>
    <row r="351" spans="1:49" ht="13.5" customHeight="1" outlineLevel="1">
      <c r="A351" s="1947"/>
      <c r="B351" s="1949"/>
      <c r="C351" s="461" t="s">
        <v>881</v>
      </c>
      <c r="D351" s="462">
        <f t="shared" ref="D351:D354" si="235">SUM(E351:AV351)</f>
        <v>0</v>
      </c>
      <c r="E351" s="494"/>
      <c r="F351" s="491"/>
      <c r="G351" s="491"/>
      <c r="H351" s="493"/>
      <c r="I351" s="494"/>
      <c r="J351" s="491"/>
      <c r="K351" s="491"/>
      <c r="L351" s="493"/>
      <c r="M351" s="494"/>
      <c r="N351" s="491"/>
      <c r="O351" s="491"/>
      <c r="P351" s="493"/>
      <c r="Q351" s="494"/>
      <c r="R351" s="491"/>
      <c r="S351" s="491"/>
      <c r="T351" s="493"/>
      <c r="U351" s="494"/>
      <c r="V351" s="491"/>
      <c r="W351" s="491"/>
      <c r="X351" s="493"/>
      <c r="Y351" s="494"/>
      <c r="Z351" s="491"/>
      <c r="AA351" s="491"/>
      <c r="AB351" s="493"/>
      <c r="AC351" s="494"/>
      <c r="AD351" s="491"/>
      <c r="AE351" s="491"/>
      <c r="AF351" s="493"/>
      <c r="AG351" s="494"/>
      <c r="AH351" s="491"/>
      <c r="AI351" s="491"/>
      <c r="AJ351" s="493"/>
      <c r="AK351" s="494"/>
      <c r="AL351" s="491"/>
      <c r="AM351" s="491"/>
      <c r="AN351" s="493"/>
      <c r="AO351" s="494"/>
      <c r="AP351" s="491"/>
      <c r="AQ351" s="491"/>
      <c r="AR351" s="493"/>
      <c r="AS351" s="494"/>
      <c r="AT351" s="491"/>
      <c r="AU351" s="491"/>
      <c r="AV351" s="493"/>
      <c r="AW351" s="424" t="str">
        <f>AW350</f>
        <v>无产权车库(个)</v>
      </c>
    </row>
    <row r="352" spans="1:49" s="424" customFormat="1" ht="13.5" customHeight="1" outlineLevel="1">
      <c r="A352" s="1947"/>
      <c r="B352" s="1949"/>
      <c r="C352" s="461" t="s">
        <v>682</v>
      </c>
      <c r="D352" s="466">
        <f t="shared" si="235"/>
        <v>0</v>
      </c>
      <c r="E352" s="382">
        <f>E351*'9.项目开发计划表'!$G$55</f>
        <v>0</v>
      </c>
      <c r="F352" s="397">
        <f>F351*'9.项目开发计划表'!$G$55</f>
        <v>0</v>
      </c>
      <c r="G352" s="397">
        <f>G351*'9.项目开发计划表'!$G$55</f>
        <v>0</v>
      </c>
      <c r="H352" s="467">
        <f>H351*'9.项目开发计划表'!$G$55</f>
        <v>0</v>
      </c>
      <c r="I352" s="382">
        <f>I351*'9.项目开发计划表'!$G$55</f>
        <v>0</v>
      </c>
      <c r="J352" s="397">
        <f>J351*'9.项目开发计划表'!$G$55</f>
        <v>0</v>
      </c>
      <c r="K352" s="397">
        <f>K351*'9.项目开发计划表'!$G$55</f>
        <v>0</v>
      </c>
      <c r="L352" s="467">
        <f>L351*'9.项目开发计划表'!$G$55</f>
        <v>0</v>
      </c>
      <c r="M352" s="382">
        <f>M351*'9.项目开发计划表'!$G$55</f>
        <v>0</v>
      </c>
      <c r="N352" s="397">
        <f>N351*'9.项目开发计划表'!$G$55</f>
        <v>0</v>
      </c>
      <c r="O352" s="397">
        <f>O351*'9.项目开发计划表'!$G$55</f>
        <v>0</v>
      </c>
      <c r="P352" s="467">
        <f>P351*'9.项目开发计划表'!$G$55</f>
        <v>0</v>
      </c>
      <c r="Q352" s="382">
        <f>Q351*'9.项目开发计划表'!$G$55</f>
        <v>0</v>
      </c>
      <c r="R352" s="397">
        <f>R351*'9.项目开发计划表'!$G$55</f>
        <v>0</v>
      </c>
      <c r="S352" s="397">
        <f>S351*'9.项目开发计划表'!$G$55</f>
        <v>0</v>
      </c>
      <c r="T352" s="467">
        <f>T351*'9.项目开发计划表'!$G$55</f>
        <v>0</v>
      </c>
      <c r="U352" s="382">
        <f>U351*'9.项目开发计划表'!$G$55</f>
        <v>0</v>
      </c>
      <c r="V352" s="397">
        <f>V351*'9.项目开发计划表'!$G$55</f>
        <v>0</v>
      </c>
      <c r="W352" s="397">
        <f>W351*'9.项目开发计划表'!$G$55</f>
        <v>0</v>
      </c>
      <c r="X352" s="467">
        <f>X351*'9.项目开发计划表'!$G$55</f>
        <v>0</v>
      </c>
      <c r="Y352" s="382">
        <f>Y351*'9.项目开发计划表'!$G$55</f>
        <v>0</v>
      </c>
      <c r="Z352" s="397">
        <f>Z351*'9.项目开发计划表'!$G$55</f>
        <v>0</v>
      </c>
      <c r="AA352" s="397">
        <f>AA351*'9.项目开发计划表'!$G$55</f>
        <v>0</v>
      </c>
      <c r="AB352" s="467">
        <f>AB351*'9.项目开发计划表'!$G$55</f>
        <v>0</v>
      </c>
      <c r="AC352" s="382">
        <f>AC351*'9.项目开发计划表'!$G$55</f>
        <v>0</v>
      </c>
      <c r="AD352" s="397">
        <f>AD351*'9.项目开发计划表'!$G$55</f>
        <v>0</v>
      </c>
      <c r="AE352" s="397">
        <f>AE351*'9.项目开发计划表'!$G$55</f>
        <v>0</v>
      </c>
      <c r="AF352" s="467">
        <f>AF351*'9.项目开发计划表'!$G$55</f>
        <v>0</v>
      </c>
      <c r="AG352" s="382">
        <f>AG351*'9.项目开发计划表'!$G$55</f>
        <v>0</v>
      </c>
      <c r="AH352" s="397">
        <f>AH351*'9.项目开发计划表'!$G$55</f>
        <v>0</v>
      </c>
      <c r="AI352" s="397">
        <f>AI351*'9.项目开发计划表'!$G$55</f>
        <v>0</v>
      </c>
      <c r="AJ352" s="467">
        <f>AJ351*'9.项目开发计划表'!$G$55</f>
        <v>0</v>
      </c>
      <c r="AK352" s="382">
        <f>AK351*'9.项目开发计划表'!$G$55</f>
        <v>0</v>
      </c>
      <c r="AL352" s="397">
        <f>AL351*'9.项目开发计划表'!$G$55</f>
        <v>0</v>
      </c>
      <c r="AM352" s="397">
        <f>AM351*'9.项目开发计划表'!$G$55</f>
        <v>0</v>
      </c>
      <c r="AN352" s="467">
        <f>AN351*'9.项目开发计划表'!$G$55</f>
        <v>0</v>
      </c>
      <c r="AO352" s="382">
        <f>AO351*'9.项目开发计划表'!$G$55</f>
        <v>0</v>
      </c>
      <c r="AP352" s="397">
        <f>AP351*'9.项目开发计划表'!$G$55</f>
        <v>0</v>
      </c>
      <c r="AQ352" s="397">
        <f>AQ351*'9.项目开发计划表'!$G$55</f>
        <v>0</v>
      </c>
      <c r="AR352" s="467">
        <f>AR351*'9.项目开发计划表'!$G$55</f>
        <v>0</v>
      </c>
      <c r="AS352" s="382">
        <f>AS351*'9.项目开发计划表'!$G$55</f>
        <v>0</v>
      </c>
      <c r="AT352" s="397">
        <f>AT351*'9.项目开发计划表'!$G$55</f>
        <v>0</v>
      </c>
      <c r="AU352" s="397">
        <f>AU351*'9.项目开发计划表'!$G$55</f>
        <v>0</v>
      </c>
      <c r="AV352" s="467">
        <f>AV351*'9.项目开发计划表'!$G$55</f>
        <v>0</v>
      </c>
      <c r="AW352" s="424" t="str">
        <f t="shared" si="215"/>
        <v>无产权车库(个)</v>
      </c>
    </row>
    <row r="353" spans="1:49" s="424" customFormat="1" ht="13.5" customHeight="1" outlineLevel="1">
      <c r="A353" s="1947"/>
      <c r="B353" s="1949"/>
      <c r="C353" s="461" t="s">
        <v>882</v>
      </c>
      <c r="D353" s="466">
        <f t="shared" si="235"/>
        <v>0</v>
      </c>
      <c r="E353" s="382">
        <f t="shared" ref="E353:AV353" si="236">E350*E352/10000</f>
        <v>0</v>
      </c>
      <c r="F353" s="397">
        <f t="shared" si="236"/>
        <v>0</v>
      </c>
      <c r="G353" s="397">
        <f t="shared" si="236"/>
        <v>0</v>
      </c>
      <c r="H353" s="467">
        <f t="shared" si="236"/>
        <v>0</v>
      </c>
      <c r="I353" s="382">
        <f t="shared" si="236"/>
        <v>0</v>
      </c>
      <c r="J353" s="397">
        <f t="shared" si="236"/>
        <v>0</v>
      </c>
      <c r="K353" s="397">
        <f t="shared" si="236"/>
        <v>0</v>
      </c>
      <c r="L353" s="467">
        <f t="shared" si="236"/>
        <v>0</v>
      </c>
      <c r="M353" s="382">
        <f t="shared" si="236"/>
        <v>0</v>
      </c>
      <c r="N353" s="397">
        <f t="shared" si="236"/>
        <v>0</v>
      </c>
      <c r="O353" s="397">
        <f t="shared" si="236"/>
        <v>0</v>
      </c>
      <c r="P353" s="467">
        <f t="shared" si="236"/>
        <v>0</v>
      </c>
      <c r="Q353" s="382">
        <f t="shared" si="236"/>
        <v>0</v>
      </c>
      <c r="R353" s="397">
        <f t="shared" si="236"/>
        <v>0</v>
      </c>
      <c r="S353" s="397">
        <f t="shared" si="236"/>
        <v>0</v>
      </c>
      <c r="T353" s="467">
        <f t="shared" si="236"/>
        <v>0</v>
      </c>
      <c r="U353" s="382">
        <f t="shared" si="236"/>
        <v>0</v>
      </c>
      <c r="V353" s="397">
        <f t="shared" si="236"/>
        <v>0</v>
      </c>
      <c r="W353" s="397">
        <f t="shared" si="236"/>
        <v>0</v>
      </c>
      <c r="X353" s="467">
        <f t="shared" si="236"/>
        <v>0</v>
      </c>
      <c r="Y353" s="382">
        <f t="shared" si="236"/>
        <v>0</v>
      </c>
      <c r="Z353" s="397">
        <f t="shared" si="236"/>
        <v>0</v>
      </c>
      <c r="AA353" s="397">
        <f t="shared" si="236"/>
        <v>0</v>
      </c>
      <c r="AB353" s="467">
        <f t="shared" si="236"/>
        <v>0</v>
      </c>
      <c r="AC353" s="382">
        <f t="shared" si="236"/>
        <v>0</v>
      </c>
      <c r="AD353" s="397">
        <f t="shared" si="236"/>
        <v>0</v>
      </c>
      <c r="AE353" s="397">
        <f t="shared" si="236"/>
        <v>0</v>
      </c>
      <c r="AF353" s="467">
        <f t="shared" si="236"/>
        <v>0</v>
      </c>
      <c r="AG353" s="382">
        <f t="shared" si="236"/>
        <v>0</v>
      </c>
      <c r="AH353" s="397">
        <f t="shared" si="236"/>
        <v>0</v>
      </c>
      <c r="AI353" s="397">
        <f t="shared" si="236"/>
        <v>0</v>
      </c>
      <c r="AJ353" s="467">
        <f t="shared" si="236"/>
        <v>0</v>
      </c>
      <c r="AK353" s="382">
        <f t="shared" si="236"/>
        <v>0</v>
      </c>
      <c r="AL353" s="397">
        <f t="shared" si="236"/>
        <v>0</v>
      </c>
      <c r="AM353" s="397">
        <f t="shared" si="236"/>
        <v>0</v>
      </c>
      <c r="AN353" s="467">
        <f t="shared" si="236"/>
        <v>0</v>
      </c>
      <c r="AO353" s="382">
        <f t="shared" si="236"/>
        <v>0</v>
      </c>
      <c r="AP353" s="397">
        <f t="shared" si="236"/>
        <v>0</v>
      </c>
      <c r="AQ353" s="397">
        <f t="shared" si="236"/>
        <v>0</v>
      </c>
      <c r="AR353" s="467">
        <f t="shared" si="236"/>
        <v>0</v>
      </c>
      <c r="AS353" s="382">
        <f t="shared" si="236"/>
        <v>0</v>
      </c>
      <c r="AT353" s="397">
        <f t="shared" si="236"/>
        <v>0</v>
      </c>
      <c r="AU353" s="397">
        <f t="shared" si="236"/>
        <v>0</v>
      </c>
      <c r="AV353" s="467">
        <f t="shared" si="236"/>
        <v>0</v>
      </c>
      <c r="AW353" s="424" t="str">
        <f t="shared" si="215"/>
        <v>无产权车库(个)</v>
      </c>
    </row>
    <row r="354" spans="1:49" s="424" customFormat="1" ht="13.5" customHeight="1" outlineLevel="1">
      <c r="A354" s="1948"/>
      <c r="B354" s="1950"/>
      <c r="C354" s="498" t="s">
        <v>450</v>
      </c>
      <c r="D354" s="499">
        <f t="shared" si="235"/>
        <v>0</v>
      </c>
      <c r="E354" s="386">
        <f>SUMIF($I$1:$T$1,B350,$I$2:$T$2)*E353</f>
        <v>0</v>
      </c>
      <c r="F354" s="399">
        <f>(1-SUMIF($I$1:$T$1,B350,$I$2:$T$2))*E353+SUMIF($I$1:$T$1,B350,$I$2:$T$2)*F353</f>
        <v>0</v>
      </c>
      <c r="G354" s="399">
        <f>(1-SUMIF($I$1:$T$1,B350,$I$2:$T$2))*F353+SUMIF($I$1:$T$1,B350,$I$2:$T$2)*G353</f>
        <v>0</v>
      </c>
      <c r="H354" s="404">
        <f>(1-SUMIF($I$1:$T$1,B350,$I$2:$T$2))*G353+SUMIF($I$1:$T$1,B350,$I$2:$T$2)*H353</f>
        <v>0</v>
      </c>
      <c r="I354" s="386">
        <f>(1-SUMIF($I$1:$T$1,B350,$I$2:$T$2))*H353+SUMIF($I$1:$T$1,B350,$I$2:$T$2)*I353</f>
        <v>0</v>
      </c>
      <c r="J354" s="399">
        <f>(1-SUMIF($I$1:$T$1,B350,$I$2:$T$2))*I353+SUMIF($I$1:$T$1,B350,$I$2:$T$2)*J353</f>
        <v>0</v>
      </c>
      <c r="K354" s="399">
        <f>(1-SUMIF($I$1:$T$1,B350,$I$2:$T$2))*J353+SUMIF($I$1:$T$1,B350,$I$2:$T$2)*K353</f>
        <v>0</v>
      </c>
      <c r="L354" s="404">
        <f>(1-SUMIF($I$1:$T$1,B350,$I$2:$T$2))*K353+SUMIF($I$1:$T$1,B350,$I$2:$T$2)*L353</f>
        <v>0</v>
      </c>
      <c r="M354" s="386">
        <f>(1-SUMIF($I$1:$T$1,B350,$I$2:$T$2))*L353+SUMIF($I$1:$T$1,B350,$I$2:$T$2)*M353</f>
        <v>0</v>
      </c>
      <c r="N354" s="399">
        <f>(1-SUMIF($I$1:$T$1,B350,$I$2:$T$2))*M353+SUMIF($I$1:$T$1,B350,$I$2:$T$2)*N353</f>
        <v>0</v>
      </c>
      <c r="O354" s="399">
        <f>(1-SUMIF($I$1:$T$1,B350,$I$2:$T$2))*N353+SUMIF($I$1:$T$1,B350,$I$2:$T$2)*O353</f>
        <v>0</v>
      </c>
      <c r="P354" s="404">
        <f>(1-SUMIF($I$1:$T$1,B350,$I$2:$T$2))*O353+SUMIF($I$1:$T$1,B350,$I$2:$T$2)*P353</f>
        <v>0</v>
      </c>
      <c r="Q354" s="386">
        <f>(1-SUMIF($I$1:$T$1,B350,$I$2:$T$2))*P353+SUMIF($I$1:$T$1,B350,$I$2:$T$2)*Q353</f>
        <v>0</v>
      </c>
      <c r="R354" s="399">
        <f>(1-SUMIF($I$1:$T$1,B350,$I$2:$T$2))*Q353+SUMIF($I$1:$T$1,B350,$I$2:$T$2)*R353</f>
        <v>0</v>
      </c>
      <c r="S354" s="399">
        <f>(1-SUMIF($I$1:$T$1,B350,$I$2:$T$2))*R353+SUMIF($I$1:$T$1,B350,$I$2:$T$2)*S353</f>
        <v>0</v>
      </c>
      <c r="T354" s="404">
        <f>(1-SUMIF($I$1:$T$1,B350,$I$2:$T$2))*S353+SUMIF($I$1:$T$1,B350,$I$2:$T$2)*T353</f>
        <v>0</v>
      </c>
      <c r="U354" s="386">
        <f>(1-SUMIF($I$1:$T$1,B350,$I$2:$T$2))*T353+SUMIF($I$1:$T$1,B350,$I$2:$T$2)*U353</f>
        <v>0</v>
      </c>
      <c r="V354" s="399">
        <f>(1-SUMIF($I$1:$T$1,B350,$I$2:$T$2))*U353+SUMIF($I$1:$T$1,B350,$I$2:$T$2)*V353</f>
        <v>0</v>
      </c>
      <c r="W354" s="399">
        <f>(1-SUMIF($I$1:$T$1,B350,$I$2:$T$2))*V353+SUMIF($I$1:$T$1,B350,$I$2:$T$2)*W353</f>
        <v>0</v>
      </c>
      <c r="X354" s="404">
        <f>(1-SUMIF($I$1:$T$1,B350,$I$2:$T$2))*W353+SUMIF($I$1:$T$1,B350,$I$2:$T$2)*X353</f>
        <v>0</v>
      </c>
      <c r="Y354" s="386">
        <f>(1-SUMIF($I$1:$T$1,B350,$I$2:$T$2))*X353+SUMIF($I$1:$T$1,B350,$I$2:$T$2)*Y353</f>
        <v>0</v>
      </c>
      <c r="Z354" s="399">
        <f>(1-SUMIF($I$1:$T$1,B350,$I$2:$T$2))*Y353+SUMIF($I$1:$T$1,B350,$I$2:$T$2)*Z353</f>
        <v>0</v>
      </c>
      <c r="AA354" s="399">
        <f>(1-SUMIF($I$1:$T$1,B350,$I$2:$T$2))*Z353+SUMIF($I$1:$T$1,B350,$I$2:$T$2)*AA353</f>
        <v>0</v>
      </c>
      <c r="AB354" s="404">
        <f>(1-SUMIF($I$1:$T$1,B350,$I$2:$T$2))*AA353+SUMIF($I$1:$T$1,B350,$I$2:$T$2)*AB353</f>
        <v>0</v>
      </c>
      <c r="AC354" s="386">
        <f>(1-SUMIF($I$1:$T$1,B350,$I$2:$T$2))*AB353+SUMIF($I$1:$T$1,B350,$I$2:$T$2)*AC353</f>
        <v>0</v>
      </c>
      <c r="AD354" s="399">
        <f>(1-SUMIF($I$1:$T$1,B350,$I$2:$T$2))*AC353+SUMIF($I$1:$T$1,B350,$I$2:$T$2)*AD353</f>
        <v>0</v>
      </c>
      <c r="AE354" s="399">
        <f>(1-SUMIF($I$1:$T$1,B350,$I$2:$T$2))*AD353+SUMIF($I$1:$T$1,B350,$I$2:$T$2)*AE353</f>
        <v>0</v>
      </c>
      <c r="AF354" s="404">
        <f>(1-SUMIF($I$1:$T$1,B350,$I$2:$T$2))*AE353+SUMIF($I$1:$T$1,B350,$I$2:$T$2)*AF353</f>
        <v>0</v>
      </c>
      <c r="AG354" s="386">
        <f>(1-SUMIF($I$1:$T$1,B350,$I$2:$T$2))*AF353+SUMIF($I$1:$T$1,B350,$I$2:$T$2)*AG353</f>
        <v>0</v>
      </c>
      <c r="AH354" s="399">
        <f>(1-SUMIF($I$1:$T$1,B350,$I$2:$T$2))*AG353+SUMIF($I$1:$T$1,B350,$I$2:$T$2)*AH353</f>
        <v>0</v>
      </c>
      <c r="AI354" s="399">
        <f>(1-SUMIF($I$1:$T$1,B350,$I$2:$T$2))*AH353+SUMIF($I$1:$T$1,B350,$I$2:$T$2)*AI353</f>
        <v>0</v>
      </c>
      <c r="AJ354" s="404">
        <f>(1-SUMIF($I$1:$T$1,B350,$I$2:$T$2))*AI353+SUMIF($I$1:$T$1,B350,$I$2:$T$2)*AJ353</f>
        <v>0</v>
      </c>
      <c r="AK354" s="386">
        <f>(1-SUMIF($I$1:$T$1,B350,$I$2:$T$2))*AJ353+SUMIF($I$1:$T$1,B350,$I$2:$T$2)*AK353</f>
        <v>0</v>
      </c>
      <c r="AL354" s="399">
        <f>(1-SUMIF($I$1:$T$1,B350,$I$2:$T$2))*AK353+SUMIF($I$1:$T$1,B350,$I$2:$T$2)*AL353</f>
        <v>0</v>
      </c>
      <c r="AM354" s="399">
        <f>(1-SUMIF($I$1:$T$1,B350,$I$2:$T$2))*AL353+SUMIF($I$1:$T$1,B350,$I$2:$T$2)*AM353</f>
        <v>0</v>
      </c>
      <c r="AN354" s="404">
        <f>(1-SUMIF($I$1:$T$1,B350,$I$2:$T$2))*AM353+SUMIF($I$1:$T$1,B350,$I$2:$T$2)*AN353</f>
        <v>0</v>
      </c>
      <c r="AO354" s="386">
        <f>(1-SUMIF($I$1:$T$1,B350,$I$2:$T$2))*AN353+SUMIF($I$1:$T$1,B350,$I$2:$T$2)*AO353</f>
        <v>0</v>
      </c>
      <c r="AP354" s="399">
        <f>(1-SUMIF($I$1:$T$1,B350,$I$2:$T$2))*AO353+SUMIF($I$1:$T$1,B350,$I$2:$T$2)*AP353</f>
        <v>0</v>
      </c>
      <c r="AQ354" s="399">
        <f>(1-SUMIF($I$1:$T$1,B350,$I$2:$T$2))*AP353+SUMIF($I$1:$T$1,B350,$I$2:$T$2)*AQ353</f>
        <v>0</v>
      </c>
      <c r="AR354" s="404">
        <f>(1-SUMIF($I$1:$T$1,B350,$I$2:$T$2))*AQ353+SUMIF($I$1:$T$1,B350,$I$2:$T$2)*AR353</f>
        <v>0</v>
      </c>
      <c r="AS354" s="386">
        <f>(1-SUMIF($I$1:$T$1,B350,$I$2:$T$2))*AR353+SUMIF($I$1:$T$1,B350,$I$2:$T$2)*AS353</f>
        <v>0</v>
      </c>
      <c r="AT354" s="399">
        <f>(1-SUMIF($I$1:$T$1,B350,$I$2:$T$2))*AS353+SUMIF($I$1:$T$1,B350,$I$2:$T$2)*AT353</f>
        <v>0</v>
      </c>
      <c r="AU354" s="399">
        <f>(1-SUMIF($I$1:$T$1,B350,$I$2:$T$2))*AT353+SUMIF($I$1:$T$1,B350,$I$2:$T$2)*AU353</f>
        <v>0</v>
      </c>
      <c r="AV354" s="404">
        <f>(1-SUMIF($I$1:$T$1,B350,$I$2:$T$2))*AU353+SUMIF($I$1:$T$1,B350,$I$2:$T$2)*AV353</f>
        <v>0</v>
      </c>
      <c r="AW354" s="424" t="str">
        <f t="shared" si="215"/>
        <v>无产权车库(个)</v>
      </c>
    </row>
    <row r="355" spans="1:49" s="424" customFormat="1" ht="13.5" customHeight="1">
      <c r="A355" s="1946" t="s">
        <v>23</v>
      </c>
      <c r="B355" s="1951" t="s">
        <v>895</v>
      </c>
      <c r="C355" s="500" t="s">
        <v>880</v>
      </c>
      <c r="D355" s="501">
        <f>IF(D357=0,0,D358/D357*10000)</f>
        <v>0</v>
      </c>
      <c r="E355" s="502">
        <f t="shared" ref="E355:AV355" si="237">IF(E357=0,0,E358/E357*10000)</f>
        <v>0</v>
      </c>
      <c r="F355" s="503">
        <f t="shared" si="237"/>
        <v>0</v>
      </c>
      <c r="G355" s="503">
        <f t="shared" si="237"/>
        <v>0</v>
      </c>
      <c r="H355" s="504">
        <f t="shared" si="237"/>
        <v>0</v>
      </c>
      <c r="I355" s="502">
        <f t="shared" si="237"/>
        <v>0</v>
      </c>
      <c r="J355" s="503">
        <f t="shared" si="237"/>
        <v>0</v>
      </c>
      <c r="K355" s="503">
        <f t="shared" si="237"/>
        <v>0</v>
      </c>
      <c r="L355" s="504">
        <f t="shared" si="237"/>
        <v>0</v>
      </c>
      <c r="M355" s="502">
        <f t="shared" si="237"/>
        <v>0</v>
      </c>
      <c r="N355" s="503">
        <f t="shared" si="237"/>
        <v>0</v>
      </c>
      <c r="O355" s="503">
        <f t="shared" si="237"/>
        <v>0</v>
      </c>
      <c r="P355" s="504">
        <f t="shared" si="237"/>
        <v>0</v>
      </c>
      <c r="Q355" s="502">
        <f t="shared" si="237"/>
        <v>0</v>
      </c>
      <c r="R355" s="503">
        <f t="shared" si="237"/>
        <v>0</v>
      </c>
      <c r="S355" s="503">
        <f t="shared" si="237"/>
        <v>0</v>
      </c>
      <c r="T355" s="504">
        <f t="shared" si="237"/>
        <v>0</v>
      </c>
      <c r="U355" s="502">
        <f t="shared" si="237"/>
        <v>0</v>
      </c>
      <c r="V355" s="503">
        <f t="shared" si="237"/>
        <v>0</v>
      </c>
      <c r="W355" s="503">
        <f t="shared" si="237"/>
        <v>0</v>
      </c>
      <c r="X355" s="504">
        <f t="shared" si="237"/>
        <v>0</v>
      </c>
      <c r="Y355" s="502">
        <f t="shared" si="237"/>
        <v>0</v>
      </c>
      <c r="Z355" s="503">
        <f t="shared" si="237"/>
        <v>0</v>
      </c>
      <c r="AA355" s="503">
        <f t="shared" si="237"/>
        <v>0</v>
      </c>
      <c r="AB355" s="504">
        <f t="shared" si="237"/>
        <v>0</v>
      </c>
      <c r="AC355" s="502">
        <f t="shared" si="237"/>
        <v>0</v>
      </c>
      <c r="AD355" s="503">
        <f t="shared" si="237"/>
        <v>0</v>
      </c>
      <c r="AE355" s="503">
        <f t="shared" si="237"/>
        <v>0</v>
      </c>
      <c r="AF355" s="504">
        <f t="shared" si="237"/>
        <v>0</v>
      </c>
      <c r="AG355" s="502">
        <f t="shared" si="237"/>
        <v>0</v>
      </c>
      <c r="AH355" s="503">
        <f t="shared" si="237"/>
        <v>0</v>
      </c>
      <c r="AI355" s="503">
        <f t="shared" si="237"/>
        <v>0</v>
      </c>
      <c r="AJ355" s="504">
        <f t="shared" si="237"/>
        <v>0</v>
      </c>
      <c r="AK355" s="502">
        <f t="shared" si="237"/>
        <v>0</v>
      </c>
      <c r="AL355" s="503">
        <f t="shared" si="237"/>
        <v>0</v>
      </c>
      <c r="AM355" s="503">
        <f t="shared" si="237"/>
        <v>0</v>
      </c>
      <c r="AN355" s="504">
        <f t="shared" si="237"/>
        <v>0</v>
      </c>
      <c r="AO355" s="502">
        <f t="shared" si="237"/>
        <v>0</v>
      </c>
      <c r="AP355" s="503">
        <f t="shared" si="237"/>
        <v>0</v>
      </c>
      <c r="AQ355" s="503">
        <f t="shared" si="237"/>
        <v>0</v>
      </c>
      <c r="AR355" s="504">
        <f t="shared" si="237"/>
        <v>0</v>
      </c>
      <c r="AS355" s="502">
        <f t="shared" si="237"/>
        <v>0</v>
      </c>
      <c r="AT355" s="503">
        <f t="shared" si="237"/>
        <v>0</v>
      </c>
      <c r="AU355" s="503">
        <f t="shared" si="237"/>
        <v>0</v>
      </c>
      <c r="AV355" s="504">
        <f t="shared" si="237"/>
        <v>0</v>
      </c>
      <c r="AW355" s="473"/>
    </row>
    <row r="356" spans="1:49" ht="13.5" customHeight="1">
      <c r="A356" s="1947"/>
      <c r="B356" s="1952"/>
      <c r="C356" s="438" t="s">
        <v>881</v>
      </c>
      <c r="D356" s="439">
        <f>SUM(E356:AV356)</f>
        <v>0</v>
      </c>
      <c r="E356" s="440">
        <f t="shared" ref="E356:AV356" si="238">IFERROR(E357/$D357,0)</f>
        <v>0</v>
      </c>
      <c r="F356" s="441">
        <f t="shared" si="238"/>
        <v>0</v>
      </c>
      <c r="G356" s="441">
        <f t="shared" si="238"/>
        <v>0</v>
      </c>
      <c r="H356" s="442">
        <f t="shared" si="238"/>
        <v>0</v>
      </c>
      <c r="I356" s="440">
        <f t="shared" si="238"/>
        <v>0</v>
      </c>
      <c r="J356" s="441">
        <f t="shared" si="238"/>
        <v>0</v>
      </c>
      <c r="K356" s="441">
        <f t="shared" si="238"/>
        <v>0</v>
      </c>
      <c r="L356" s="442">
        <f t="shared" si="238"/>
        <v>0</v>
      </c>
      <c r="M356" s="440">
        <f t="shared" si="238"/>
        <v>0</v>
      </c>
      <c r="N356" s="441">
        <f t="shared" si="238"/>
        <v>0</v>
      </c>
      <c r="O356" s="441">
        <f t="shared" si="238"/>
        <v>0</v>
      </c>
      <c r="P356" s="442">
        <f t="shared" si="238"/>
        <v>0</v>
      </c>
      <c r="Q356" s="440">
        <f t="shared" si="238"/>
        <v>0</v>
      </c>
      <c r="R356" s="441">
        <f t="shared" si="238"/>
        <v>0</v>
      </c>
      <c r="S356" s="441">
        <f t="shared" si="238"/>
        <v>0</v>
      </c>
      <c r="T356" s="442">
        <f t="shared" si="238"/>
        <v>0</v>
      </c>
      <c r="U356" s="440">
        <f t="shared" si="238"/>
        <v>0</v>
      </c>
      <c r="V356" s="441">
        <f t="shared" si="238"/>
        <v>0</v>
      </c>
      <c r="W356" s="441">
        <f t="shared" si="238"/>
        <v>0</v>
      </c>
      <c r="X356" s="442">
        <f t="shared" si="238"/>
        <v>0</v>
      </c>
      <c r="Y356" s="440">
        <f t="shared" si="238"/>
        <v>0</v>
      </c>
      <c r="Z356" s="441">
        <f t="shared" si="238"/>
        <v>0</v>
      </c>
      <c r="AA356" s="441">
        <f t="shared" si="238"/>
        <v>0</v>
      </c>
      <c r="AB356" s="442">
        <f t="shared" si="238"/>
        <v>0</v>
      </c>
      <c r="AC356" s="440">
        <f t="shared" si="238"/>
        <v>0</v>
      </c>
      <c r="AD356" s="441">
        <f t="shared" si="238"/>
        <v>0</v>
      </c>
      <c r="AE356" s="441">
        <f t="shared" si="238"/>
        <v>0</v>
      </c>
      <c r="AF356" s="442">
        <f t="shared" si="238"/>
        <v>0</v>
      </c>
      <c r="AG356" s="440">
        <f t="shared" si="238"/>
        <v>0</v>
      </c>
      <c r="AH356" s="441">
        <f t="shared" si="238"/>
        <v>0</v>
      </c>
      <c r="AI356" s="441">
        <f t="shared" si="238"/>
        <v>0</v>
      </c>
      <c r="AJ356" s="442">
        <f t="shared" si="238"/>
        <v>0</v>
      </c>
      <c r="AK356" s="440">
        <f t="shared" si="238"/>
        <v>0</v>
      </c>
      <c r="AL356" s="441">
        <f t="shared" si="238"/>
        <v>0</v>
      </c>
      <c r="AM356" s="441">
        <f t="shared" si="238"/>
        <v>0</v>
      </c>
      <c r="AN356" s="442">
        <f t="shared" si="238"/>
        <v>0</v>
      </c>
      <c r="AO356" s="440">
        <f t="shared" si="238"/>
        <v>0</v>
      </c>
      <c r="AP356" s="441">
        <f t="shared" si="238"/>
        <v>0</v>
      </c>
      <c r="AQ356" s="441">
        <f t="shared" si="238"/>
        <v>0</v>
      </c>
      <c r="AR356" s="442">
        <f t="shared" si="238"/>
        <v>0</v>
      </c>
      <c r="AS356" s="440">
        <f t="shared" si="238"/>
        <v>0</v>
      </c>
      <c r="AT356" s="441">
        <f t="shared" si="238"/>
        <v>0</v>
      </c>
      <c r="AU356" s="441">
        <f t="shared" si="238"/>
        <v>0</v>
      </c>
      <c r="AV356" s="442">
        <f t="shared" si="238"/>
        <v>0</v>
      </c>
      <c r="AW356" s="78"/>
    </row>
    <row r="357" spans="1:49" s="424" customFormat="1" ht="13.5" customHeight="1">
      <c r="A357" s="1947"/>
      <c r="B357" s="1952"/>
      <c r="C357" s="438" t="s">
        <v>682</v>
      </c>
      <c r="D357" s="443">
        <f t="shared" ref="D357:AV357" si="239">SUM(D367,D372,D377,D382,D387,D392,D397,D402,D407,D412)</f>
        <v>0</v>
      </c>
      <c r="E357" s="444">
        <f t="shared" si="239"/>
        <v>0</v>
      </c>
      <c r="F357" s="445">
        <f t="shared" si="239"/>
        <v>0</v>
      </c>
      <c r="G357" s="445">
        <f t="shared" si="239"/>
        <v>0</v>
      </c>
      <c r="H357" s="446">
        <f t="shared" si="239"/>
        <v>0</v>
      </c>
      <c r="I357" s="444">
        <f t="shared" si="239"/>
        <v>0</v>
      </c>
      <c r="J357" s="445">
        <f t="shared" si="239"/>
        <v>0</v>
      </c>
      <c r="K357" s="445">
        <f t="shared" si="239"/>
        <v>0</v>
      </c>
      <c r="L357" s="446">
        <f t="shared" si="239"/>
        <v>0</v>
      </c>
      <c r="M357" s="444">
        <f t="shared" si="239"/>
        <v>0</v>
      </c>
      <c r="N357" s="445">
        <f t="shared" si="239"/>
        <v>0</v>
      </c>
      <c r="O357" s="445">
        <f t="shared" si="239"/>
        <v>0</v>
      </c>
      <c r="P357" s="446">
        <f t="shared" si="239"/>
        <v>0</v>
      </c>
      <c r="Q357" s="444">
        <f t="shared" si="239"/>
        <v>0</v>
      </c>
      <c r="R357" s="445">
        <f t="shared" si="239"/>
        <v>0</v>
      </c>
      <c r="S357" s="445">
        <f t="shared" si="239"/>
        <v>0</v>
      </c>
      <c r="T357" s="446">
        <f t="shared" si="239"/>
        <v>0</v>
      </c>
      <c r="U357" s="444">
        <f t="shared" si="239"/>
        <v>0</v>
      </c>
      <c r="V357" s="445">
        <f t="shared" si="239"/>
        <v>0</v>
      </c>
      <c r="W357" s="445">
        <f t="shared" si="239"/>
        <v>0</v>
      </c>
      <c r="X357" s="446">
        <f t="shared" si="239"/>
        <v>0</v>
      </c>
      <c r="Y357" s="444">
        <f t="shared" si="239"/>
        <v>0</v>
      </c>
      <c r="Z357" s="445">
        <f t="shared" si="239"/>
        <v>0</v>
      </c>
      <c r="AA357" s="445">
        <f t="shared" si="239"/>
        <v>0</v>
      </c>
      <c r="AB357" s="446">
        <f t="shared" si="239"/>
        <v>0</v>
      </c>
      <c r="AC357" s="444">
        <f t="shared" si="239"/>
        <v>0</v>
      </c>
      <c r="AD357" s="445">
        <f t="shared" si="239"/>
        <v>0</v>
      </c>
      <c r="AE357" s="445">
        <f t="shared" si="239"/>
        <v>0</v>
      </c>
      <c r="AF357" s="446">
        <f t="shared" si="239"/>
        <v>0</v>
      </c>
      <c r="AG357" s="444">
        <f t="shared" si="239"/>
        <v>0</v>
      </c>
      <c r="AH357" s="445">
        <f t="shared" si="239"/>
        <v>0</v>
      </c>
      <c r="AI357" s="445">
        <f t="shared" si="239"/>
        <v>0</v>
      </c>
      <c r="AJ357" s="446">
        <f t="shared" si="239"/>
        <v>0</v>
      </c>
      <c r="AK357" s="444">
        <f t="shared" si="239"/>
        <v>0</v>
      </c>
      <c r="AL357" s="445">
        <f t="shared" si="239"/>
        <v>0</v>
      </c>
      <c r="AM357" s="445">
        <f t="shared" si="239"/>
        <v>0</v>
      </c>
      <c r="AN357" s="446">
        <f t="shared" si="239"/>
        <v>0</v>
      </c>
      <c r="AO357" s="444">
        <f t="shared" si="239"/>
        <v>0</v>
      </c>
      <c r="AP357" s="445">
        <f t="shared" si="239"/>
        <v>0</v>
      </c>
      <c r="AQ357" s="445">
        <f t="shared" si="239"/>
        <v>0</v>
      </c>
      <c r="AR357" s="446">
        <f t="shared" si="239"/>
        <v>0</v>
      </c>
      <c r="AS357" s="444">
        <f t="shared" si="239"/>
        <v>0</v>
      </c>
      <c r="AT357" s="445">
        <f t="shared" si="239"/>
        <v>0</v>
      </c>
      <c r="AU357" s="445">
        <f t="shared" si="239"/>
        <v>0</v>
      </c>
      <c r="AV357" s="446">
        <f t="shared" si="239"/>
        <v>0</v>
      </c>
      <c r="AW357" s="473"/>
    </row>
    <row r="358" spans="1:49" s="424" customFormat="1" ht="13.5" customHeight="1">
      <c r="A358" s="1947"/>
      <c r="B358" s="1952"/>
      <c r="C358" s="438" t="s">
        <v>882</v>
      </c>
      <c r="D358" s="443">
        <f t="shared" ref="D358:AV358" si="240">SUM(D368,D373,D378,D383,D388,D393,D398,D403,D408,D413)</f>
        <v>0</v>
      </c>
      <c r="E358" s="444">
        <f t="shared" si="240"/>
        <v>0</v>
      </c>
      <c r="F358" s="445">
        <f t="shared" si="240"/>
        <v>0</v>
      </c>
      <c r="G358" s="445">
        <f t="shared" si="240"/>
        <v>0</v>
      </c>
      <c r="H358" s="446">
        <f t="shared" si="240"/>
        <v>0</v>
      </c>
      <c r="I358" s="444">
        <f t="shared" si="240"/>
        <v>0</v>
      </c>
      <c r="J358" s="445">
        <f t="shared" si="240"/>
        <v>0</v>
      </c>
      <c r="K358" s="445">
        <f t="shared" si="240"/>
        <v>0</v>
      </c>
      <c r="L358" s="446">
        <f t="shared" si="240"/>
        <v>0</v>
      </c>
      <c r="M358" s="444">
        <f t="shared" si="240"/>
        <v>0</v>
      </c>
      <c r="N358" s="445">
        <f t="shared" si="240"/>
        <v>0</v>
      </c>
      <c r="O358" s="445">
        <f t="shared" si="240"/>
        <v>0</v>
      </c>
      <c r="P358" s="446">
        <f t="shared" si="240"/>
        <v>0</v>
      </c>
      <c r="Q358" s="444">
        <f t="shared" si="240"/>
        <v>0</v>
      </c>
      <c r="R358" s="445">
        <f t="shared" si="240"/>
        <v>0</v>
      </c>
      <c r="S358" s="445">
        <f t="shared" si="240"/>
        <v>0</v>
      </c>
      <c r="T358" s="446">
        <f t="shared" si="240"/>
        <v>0</v>
      </c>
      <c r="U358" s="444">
        <f t="shared" si="240"/>
        <v>0</v>
      </c>
      <c r="V358" s="445">
        <f t="shared" si="240"/>
        <v>0</v>
      </c>
      <c r="W358" s="445">
        <f t="shared" si="240"/>
        <v>0</v>
      </c>
      <c r="X358" s="446">
        <f t="shared" si="240"/>
        <v>0</v>
      </c>
      <c r="Y358" s="444">
        <f t="shared" si="240"/>
        <v>0</v>
      </c>
      <c r="Z358" s="445">
        <f t="shared" si="240"/>
        <v>0</v>
      </c>
      <c r="AA358" s="445">
        <f t="shared" si="240"/>
        <v>0</v>
      </c>
      <c r="AB358" s="446">
        <f t="shared" si="240"/>
        <v>0</v>
      </c>
      <c r="AC358" s="444">
        <f t="shared" si="240"/>
        <v>0</v>
      </c>
      <c r="AD358" s="445">
        <f t="shared" si="240"/>
        <v>0</v>
      </c>
      <c r="AE358" s="445">
        <f t="shared" si="240"/>
        <v>0</v>
      </c>
      <c r="AF358" s="446">
        <f t="shared" si="240"/>
        <v>0</v>
      </c>
      <c r="AG358" s="444">
        <f t="shared" si="240"/>
        <v>0</v>
      </c>
      <c r="AH358" s="445">
        <f t="shared" si="240"/>
        <v>0</v>
      </c>
      <c r="AI358" s="445">
        <f t="shared" si="240"/>
        <v>0</v>
      </c>
      <c r="AJ358" s="446">
        <f t="shared" si="240"/>
        <v>0</v>
      </c>
      <c r="AK358" s="444">
        <f t="shared" si="240"/>
        <v>0</v>
      </c>
      <c r="AL358" s="445">
        <f t="shared" si="240"/>
        <v>0</v>
      </c>
      <c r="AM358" s="445">
        <f t="shared" si="240"/>
        <v>0</v>
      </c>
      <c r="AN358" s="446">
        <f t="shared" si="240"/>
        <v>0</v>
      </c>
      <c r="AO358" s="444">
        <f t="shared" si="240"/>
        <v>0</v>
      </c>
      <c r="AP358" s="445">
        <f t="shared" si="240"/>
        <v>0</v>
      </c>
      <c r="AQ358" s="445">
        <f t="shared" si="240"/>
        <v>0</v>
      </c>
      <c r="AR358" s="446">
        <f t="shared" si="240"/>
        <v>0</v>
      </c>
      <c r="AS358" s="444">
        <f t="shared" si="240"/>
        <v>0</v>
      </c>
      <c r="AT358" s="445">
        <f t="shared" si="240"/>
        <v>0</v>
      </c>
      <c r="AU358" s="445">
        <f t="shared" si="240"/>
        <v>0</v>
      </c>
      <c r="AV358" s="446">
        <f t="shared" si="240"/>
        <v>0</v>
      </c>
      <c r="AW358" s="473"/>
    </row>
    <row r="359" spans="1:49" s="424" customFormat="1" ht="13.5" customHeight="1">
      <c r="A359" s="1947"/>
      <c r="B359" s="1953"/>
      <c r="C359" s="447" t="s">
        <v>450</v>
      </c>
      <c r="D359" s="448">
        <f t="shared" ref="D359:AV359" si="241">SUM(D369,D374,D379,D384,D389,D394,D399,D404,D409,D414)</f>
        <v>0</v>
      </c>
      <c r="E359" s="453">
        <f t="shared" si="241"/>
        <v>0</v>
      </c>
      <c r="F359" s="454">
        <f t="shared" si="241"/>
        <v>0</v>
      </c>
      <c r="G359" s="454">
        <f t="shared" si="241"/>
        <v>0</v>
      </c>
      <c r="H359" s="455">
        <f t="shared" si="241"/>
        <v>0</v>
      </c>
      <c r="I359" s="453">
        <f t="shared" si="241"/>
        <v>0</v>
      </c>
      <c r="J359" s="454">
        <f t="shared" si="241"/>
        <v>0</v>
      </c>
      <c r="K359" s="454">
        <f t="shared" si="241"/>
        <v>0</v>
      </c>
      <c r="L359" s="455">
        <f t="shared" si="241"/>
        <v>0</v>
      </c>
      <c r="M359" s="453">
        <f t="shared" si="241"/>
        <v>0</v>
      </c>
      <c r="N359" s="454">
        <f t="shared" si="241"/>
        <v>0</v>
      </c>
      <c r="O359" s="454">
        <f t="shared" si="241"/>
        <v>0</v>
      </c>
      <c r="P359" s="455">
        <f t="shared" si="241"/>
        <v>0</v>
      </c>
      <c r="Q359" s="453">
        <f t="shared" si="241"/>
        <v>0</v>
      </c>
      <c r="R359" s="454">
        <f t="shared" si="241"/>
        <v>0</v>
      </c>
      <c r="S359" s="454">
        <f t="shared" si="241"/>
        <v>0</v>
      </c>
      <c r="T359" s="455">
        <f t="shared" si="241"/>
        <v>0</v>
      </c>
      <c r="U359" s="453">
        <f t="shared" si="241"/>
        <v>0</v>
      </c>
      <c r="V359" s="454">
        <f t="shared" si="241"/>
        <v>0</v>
      </c>
      <c r="W359" s="454">
        <f t="shared" si="241"/>
        <v>0</v>
      </c>
      <c r="X359" s="455">
        <f t="shared" si="241"/>
        <v>0</v>
      </c>
      <c r="Y359" s="453">
        <f t="shared" si="241"/>
        <v>0</v>
      </c>
      <c r="Z359" s="454">
        <f t="shared" si="241"/>
        <v>0</v>
      </c>
      <c r="AA359" s="454">
        <f t="shared" si="241"/>
        <v>0</v>
      </c>
      <c r="AB359" s="455">
        <f t="shared" si="241"/>
        <v>0</v>
      </c>
      <c r="AC359" s="453">
        <f t="shared" si="241"/>
        <v>0</v>
      </c>
      <c r="AD359" s="454">
        <f t="shared" si="241"/>
        <v>0</v>
      </c>
      <c r="AE359" s="454">
        <f t="shared" si="241"/>
        <v>0</v>
      </c>
      <c r="AF359" s="455">
        <f t="shared" si="241"/>
        <v>0</v>
      </c>
      <c r="AG359" s="453">
        <f t="shared" si="241"/>
        <v>0</v>
      </c>
      <c r="AH359" s="454">
        <f t="shared" si="241"/>
        <v>0</v>
      </c>
      <c r="AI359" s="454">
        <f t="shared" si="241"/>
        <v>0</v>
      </c>
      <c r="AJ359" s="455">
        <f t="shared" si="241"/>
        <v>0</v>
      </c>
      <c r="AK359" s="453">
        <f t="shared" si="241"/>
        <v>0</v>
      </c>
      <c r="AL359" s="454">
        <f t="shared" si="241"/>
        <v>0</v>
      </c>
      <c r="AM359" s="454">
        <f t="shared" si="241"/>
        <v>0</v>
      </c>
      <c r="AN359" s="455">
        <f t="shared" si="241"/>
        <v>0</v>
      </c>
      <c r="AO359" s="453">
        <f t="shared" si="241"/>
        <v>0</v>
      </c>
      <c r="AP359" s="454">
        <f t="shared" si="241"/>
        <v>0</v>
      </c>
      <c r="AQ359" s="454">
        <f t="shared" si="241"/>
        <v>0</v>
      </c>
      <c r="AR359" s="455">
        <f t="shared" si="241"/>
        <v>0</v>
      </c>
      <c r="AS359" s="453">
        <f t="shared" si="241"/>
        <v>0</v>
      </c>
      <c r="AT359" s="454">
        <f t="shared" si="241"/>
        <v>0</v>
      </c>
      <c r="AU359" s="454">
        <f t="shared" si="241"/>
        <v>0</v>
      </c>
      <c r="AV359" s="455">
        <f t="shared" si="241"/>
        <v>0</v>
      </c>
      <c r="AW359" s="473"/>
    </row>
    <row r="360" spans="1:49" s="424" customFormat="1" ht="13.5" customHeight="1">
      <c r="A360" s="1947"/>
      <c r="B360" s="1954" t="s">
        <v>896</v>
      </c>
      <c r="C360" s="449" t="s">
        <v>884</v>
      </c>
      <c r="D360" s="434">
        <f>IF(D362=0,0,D363/D362*10000)</f>
        <v>0</v>
      </c>
      <c r="E360" s="435">
        <f t="shared" ref="E360:AV360" si="242">IF(E362=0,0,E363/E362*10000)</f>
        <v>0</v>
      </c>
      <c r="F360" s="436">
        <f t="shared" si="242"/>
        <v>0</v>
      </c>
      <c r="G360" s="436">
        <f t="shared" si="242"/>
        <v>0</v>
      </c>
      <c r="H360" s="437">
        <f t="shared" si="242"/>
        <v>0</v>
      </c>
      <c r="I360" s="435">
        <f t="shared" si="242"/>
        <v>0</v>
      </c>
      <c r="J360" s="436">
        <f t="shared" si="242"/>
        <v>0</v>
      </c>
      <c r="K360" s="436">
        <f t="shared" si="242"/>
        <v>0</v>
      </c>
      <c r="L360" s="437">
        <f t="shared" si="242"/>
        <v>0</v>
      </c>
      <c r="M360" s="435">
        <f t="shared" si="242"/>
        <v>0</v>
      </c>
      <c r="N360" s="436">
        <f t="shared" si="242"/>
        <v>0</v>
      </c>
      <c r="O360" s="436">
        <f t="shared" si="242"/>
        <v>0</v>
      </c>
      <c r="P360" s="437">
        <f t="shared" si="242"/>
        <v>0</v>
      </c>
      <c r="Q360" s="435">
        <f t="shared" si="242"/>
        <v>0</v>
      </c>
      <c r="R360" s="436">
        <f t="shared" si="242"/>
        <v>0</v>
      </c>
      <c r="S360" s="436">
        <f t="shared" si="242"/>
        <v>0</v>
      </c>
      <c r="T360" s="437">
        <f t="shared" si="242"/>
        <v>0</v>
      </c>
      <c r="U360" s="435">
        <f t="shared" si="242"/>
        <v>0</v>
      </c>
      <c r="V360" s="436">
        <f t="shared" si="242"/>
        <v>0</v>
      </c>
      <c r="W360" s="436">
        <f t="shared" si="242"/>
        <v>0</v>
      </c>
      <c r="X360" s="437">
        <f t="shared" si="242"/>
        <v>0</v>
      </c>
      <c r="Y360" s="435">
        <f t="shared" si="242"/>
        <v>0</v>
      </c>
      <c r="Z360" s="436">
        <f t="shared" si="242"/>
        <v>0</v>
      </c>
      <c r="AA360" s="436">
        <f t="shared" si="242"/>
        <v>0</v>
      </c>
      <c r="AB360" s="437">
        <f t="shared" si="242"/>
        <v>0</v>
      </c>
      <c r="AC360" s="435">
        <f t="shared" si="242"/>
        <v>0</v>
      </c>
      <c r="AD360" s="436">
        <f t="shared" si="242"/>
        <v>0</v>
      </c>
      <c r="AE360" s="436">
        <f t="shared" si="242"/>
        <v>0</v>
      </c>
      <c r="AF360" s="437">
        <f t="shared" si="242"/>
        <v>0</v>
      </c>
      <c r="AG360" s="435">
        <f t="shared" si="242"/>
        <v>0</v>
      </c>
      <c r="AH360" s="436">
        <f t="shared" si="242"/>
        <v>0</v>
      </c>
      <c r="AI360" s="436">
        <f t="shared" si="242"/>
        <v>0</v>
      </c>
      <c r="AJ360" s="437">
        <f t="shared" si="242"/>
        <v>0</v>
      </c>
      <c r="AK360" s="435">
        <f t="shared" si="242"/>
        <v>0</v>
      </c>
      <c r="AL360" s="436">
        <f t="shared" si="242"/>
        <v>0</v>
      </c>
      <c r="AM360" s="436">
        <f t="shared" si="242"/>
        <v>0</v>
      </c>
      <c r="AN360" s="437">
        <f t="shared" si="242"/>
        <v>0</v>
      </c>
      <c r="AO360" s="435">
        <f t="shared" si="242"/>
        <v>0</v>
      </c>
      <c r="AP360" s="436">
        <f t="shared" si="242"/>
        <v>0</v>
      </c>
      <c r="AQ360" s="436">
        <f t="shared" si="242"/>
        <v>0</v>
      </c>
      <c r="AR360" s="437">
        <f t="shared" si="242"/>
        <v>0</v>
      </c>
      <c r="AS360" s="435">
        <f t="shared" si="242"/>
        <v>0</v>
      </c>
      <c r="AT360" s="436">
        <f t="shared" si="242"/>
        <v>0</v>
      </c>
      <c r="AU360" s="436">
        <f t="shared" si="242"/>
        <v>0</v>
      </c>
      <c r="AV360" s="437">
        <f t="shared" si="242"/>
        <v>0</v>
      </c>
      <c r="AW360" s="473"/>
    </row>
    <row r="361" spans="1:49" ht="13.5" customHeight="1">
      <c r="A361" s="1947"/>
      <c r="B361" s="1952"/>
      <c r="C361" s="438" t="s">
        <v>881</v>
      </c>
      <c r="D361" s="439">
        <f>SUM(E361:AV361)</f>
        <v>0</v>
      </c>
      <c r="E361" s="440">
        <f t="shared" ref="E361:AV361" si="243">IFERROR(E362/$D362,0)</f>
        <v>0</v>
      </c>
      <c r="F361" s="441">
        <f t="shared" si="243"/>
        <v>0</v>
      </c>
      <c r="G361" s="441">
        <f t="shared" si="243"/>
        <v>0</v>
      </c>
      <c r="H361" s="442">
        <f t="shared" si="243"/>
        <v>0</v>
      </c>
      <c r="I361" s="440">
        <f t="shared" si="243"/>
        <v>0</v>
      </c>
      <c r="J361" s="441">
        <f t="shared" si="243"/>
        <v>0</v>
      </c>
      <c r="K361" s="441">
        <f t="shared" si="243"/>
        <v>0</v>
      </c>
      <c r="L361" s="442">
        <f t="shared" si="243"/>
        <v>0</v>
      </c>
      <c r="M361" s="440">
        <f t="shared" si="243"/>
        <v>0</v>
      </c>
      <c r="N361" s="441">
        <f t="shared" si="243"/>
        <v>0</v>
      </c>
      <c r="O361" s="441">
        <f t="shared" si="243"/>
        <v>0</v>
      </c>
      <c r="P361" s="442">
        <f t="shared" si="243"/>
        <v>0</v>
      </c>
      <c r="Q361" s="440">
        <f t="shared" si="243"/>
        <v>0</v>
      </c>
      <c r="R361" s="441">
        <f t="shared" si="243"/>
        <v>0</v>
      </c>
      <c r="S361" s="441">
        <f t="shared" si="243"/>
        <v>0</v>
      </c>
      <c r="T361" s="442">
        <f t="shared" si="243"/>
        <v>0</v>
      </c>
      <c r="U361" s="440">
        <f t="shared" si="243"/>
        <v>0</v>
      </c>
      <c r="V361" s="441">
        <f t="shared" si="243"/>
        <v>0</v>
      </c>
      <c r="W361" s="441">
        <f t="shared" si="243"/>
        <v>0</v>
      </c>
      <c r="X361" s="442">
        <f t="shared" si="243"/>
        <v>0</v>
      </c>
      <c r="Y361" s="440">
        <f t="shared" si="243"/>
        <v>0</v>
      </c>
      <c r="Z361" s="441">
        <f t="shared" si="243"/>
        <v>0</v>
      </c>
      <c r="AA361" s="441">
        <f t="shared" si="243"/>
        <v>0</v>
      </c>
      <c r="AB361" s="442">
        <f t="shared" si="243"/>
        <v>0</v>
      </c>
      <c r="AC361" s="440">
        <f t="shared" si="243"/>
        <v>0</v>
      </c>
      <c r="AD361" s="441">
        <f t="shared" si="243"/>
        <v>0</v>
      </c>
      <c r="AE361" s="441">
        <f t="shared" si="243"/>
        <v>0</v>
      </c>
      <c r="AF361" s="442">
        <f t="shared" si="243"/>
        <v>0</v>
      </c>
      <c r="AG361" s="440">
        <f t="shared" si="243"/>
        <v>0</v>
      </c>
      <c r="AH361" s="441">
        <f t="shared" si="243"/>
        <v>0</v>
      </c>
      <c r="AI361" s="441">
        <f t="shared" si="243"/>
        <v>0</v>
      </c>
      <c r="AJ361" s="442">
        <f t="shared" si="243"/>
        <v>0</v>
      </c>
      <c r="AK361" s="440">
        <f t="shared" si="243"/>
        <v>0</v>
      </c>
      <c r="AL361" s="441">
        <f t="shared" si="243"/>
        <v>0</v>
      </c>
      <c r="AM361" s="441">
        <f t="shared" si="243"/>
        <v>0</v>
      </c>
      <c r="AN361" s="442">
        <f t="shared" si="243"/>
        <v>0</v>
      </c>
      <c r="AO361" s="440">
        <f t="shared" si="243"/>
        <v>0</v>
      </c>
      <c r="AP361" s="441">
        <f t="shared" si="243"/>
        <v>0</v>
      </c>
      <c r="AQ361" s="441">
        <f t="shared" si="243"/>
        <v>0</v>
      </c>
      <c r="AR361" s="442">
        <f t="shared" si="243"/>
        <v>0</v>
      </c>
      <c r="AS361" s="440">
        <f t="shared" si="243"/>
        <v>0</v>
      </c>
      <c r="AT361" s="441">
        <f t="shared" si="243"/>
        <v>0</v>
      </c>
      <c r="AU361" s="441">
        <f t="shared" si="243"/>
        <v>0</v>
      </c>
      <c r="AV361" s="442">
        <f t="shared" si="243"/>
        <v>0</v>
      </c>
      <c r="AW361" s="78"/>
    </row>
    <row r="362" spans="1:49" s="424" customFormat="1" ht="13.5" customHeight="1">
      <c r="A362" s="1947"/>
      <c r="B362" s="1952"/>
      <c r="C362" s="438" t="s">
        <v>783</v>
      </c>
      <c r="D362" s="443">
        <f t="shared" ref="D362:AV362" si="244">SUM(D417,D422)</f>
        <v>0</v>
      </c>
      <c r="E362" s="444">
        <f t="shared" si="244"/>
        <v>0</v>
      </c>
      <c r="F362" s="445">
        <f t="shared" si="244"/>
        <v>0</v>
      </c>
      <c r="G362" s="445">
        <f t="shared" si="244"/>
        <v>0</v>
      </c>
      <c r="H362" s="446">
        <f t="shared" si="244"/>
        <v>0</v>
      </c>
      <c r="I362" s="444">
        <f t="shared" si="244"/>
        <v>0</v>
      </c>
      <c r="J362" s="445">
        <f t="shared" si="244"/>
        <v>0</v>
      </c>
      <c r="K362" s="445">
        <f t="shared" si="244"/>
        <v>0</v>
      </c>
      <c r="L362" s="446">
        <f t="shared" si="244"/>
        <v>0</v>
      </c>
      <c r="M362" s="444">
        <f t="shared" si="244"/>
        <v>0</v>
      </c>
      <c r="N362" s="445">
        <f t="shared" si="244"/>
        <v>0</v>
      </c>
      <c r="O362" s="445">
        <f t="shared" si="244"/>
        <v>0</v>
      </c>
      <c r="P362" s="446">
        <f t="shared" si="244"/>
        <v>0</v>
      </c>
      <c r="Q362" s="444">
        <f t="shared" si="244"/>
        <v>0</v>
      </c>
      <c r="R362" s="445">
        <f t="shared" si="244"/>
        <v>0</v>
      </c>
      <c r="S362" s="445">
        <f t="shared" si="244"/>
        <v>0</v>
      </c>
      <c r="T362" s="446">
        <f t="shared" si="244"/>
        <v>0</v>
      </c>
      <c r="U362" s="444">
        <f t="shared" si="244"/>
        <v>0</v>
      </c>
      <c r="V362" s="445">
        <f t="shared" si="244"/>
        <v>0</v>
      </c>
      <c r="W362" s="445">
        <f t="shared" si="244"/>
        <v>0</v>
      </c>
      <c r="X362" s="446">
        <f t="shared" si="244"/>
        <v>0</v>
      </c>
      <c r="Y362" s="444">
        <f t="shared" si="244"/>
        <v>0</v>
      </c>
      <c r="Z362" s="445">
        <f t="shared" si="244"/>
        <v>0</v>
      </c>
      <c r="AA362" s="445">
        <f t="shared" si="244"/>
        <v>0</v>
      </c>
      <c r="AB362" s="446">
        <f t="shared" si="244"/>
        <v>0</v>
      </c>
      <c r="AC362" s="444">
        <f t="shared" si="244"/>
        <v>0</v>
      </c>
      <c r="AD362" s="445">
        <f t="shared" si="244"/>
        <v>0</v>
      </c>
      <c r="AE362" s="445">
        <f t="shared" si="244"/>
        <v>0</v>
      </c>
      <c r="AF362" s="446">
        <f t="shared" si="244"/>
        <v>0</v>
      </c>
      <c r="AG362" s="444">
        <f t="shared" si="244"/>
        <v>0</v>
      </c>
      <c r="AH362" s="445">
        <f t="shared" si="244"/>
        <v>0</v>
      </c>
      <c r="AI362" s="445">
        <f t="shared" si="244"/>
        <v>0</v>
      </c>
      <c r="AJ362" s="446">
        <f t="shared" si="244"/>
        <v>0</v>
      </c>
      <c r="AK362" s="444">
        <f t="shared" si="244"/>
        <v>0</v>
      </c>
      <c r="AL362" s="445">
        <f t="shared" si="244"/>
        <v>0</v>
      </c>
      <c r="AM362" s="445">
        <f t="shared" si="244"/>
        <v>0</v>
      </c>
      <c r="AN362" s="446">
        <f t="shared" si="244"/>
        <v>0</v>
      </c>
      <c r="AO362" s="444">
        <f t="shared" si="244"/>
        <v>0</v>
      </c>
      <c r="AP362" s="445">
        <f t="shared" si="244"/>
        <v>0</v>
      </c>
      <c r="AQ362" s="445">
        <f t="shared" si="244"/>
        <v>0</v>
      </c>
      <c r="AR362" s="446">
        <f t="shared" si="244"/>
        <v>0</v>
      </c>
      <c r="AS362" s="444">
        <f t="shared" si="244"/>
        <v>0</v>
      </c>
      <c r="AT362" s="445">
        <f t="shared" si="244"/>
        <v>0</v>
      </c>
      <c r="AU362" s="445">
        <f t="shared" si="244"/>
        <v>0</v>
      </c>
      <c r="AV362" s="446">
        <f t="shared" si="244"/>
        <v>0</v>
      </c>
      <c r="AW362" s="473"/>
    </row>
    <row r="363" spans="1:49" s="424" customFormat="1" ht="13.5" customHeight="1">
      <c r="A363" s="1947"/>
      <c r="B363" s="1952"/>
      <c r="C363" s="438" t="s">
        <v>885</v>
      </c>
      <c r="D363" s="443">
        <f t="shared" ref="D363:AV363" si="245">SUM(D418,D423)</f>
        <v>0</v>
      </c>
      <c r="E363" s="444">
        <f t="shared" si="245"/>
        <v>0</v>
      </c>
      <c r="F363" s="445">
        <f t="shared" si="245"/>
        <v>0</v>
      </c>
      <c r="G363" s="445">
        <f t="shared" si="245"/>
        <v>0</v>
      </c>
      <c r="H363" s="446">
        <f t="shared" si="245"/>
        <v>0</v>
      </c>
      <c r="I363" s="444">
        <f t="shared" si="245"/>
        <v>0</v>
      </c>
      <c r="J363" s="445">
        <f t="shared" si="245"/>
        <v>0</v>
      </c>
      <c r="K363" s="445">
        <f t="shared" si="245"/>
        <v>0</v>
      </c>
      <c r="L363" s="446">
        <f t="shared" si="245"/>
        <v>0</v>
      </c>
      <c r="M363" s="444">
        <f t="shared" si="245"/>
        <v>0</v>
      </c>
      <c r="N363" s="445">
        <f t="shared" si="245"/>
        <v>0</v>
      </c>
      <c r="O363" s="445">
        <f t="shared" si="245"/>
        <v>0</v>
      </c>
      <c r="P363" s="446">
        <f t="shared" si="245"/>
        <v>0</v>
      </c>
      <c r="Q363" s="444">
        <f t="shared" si="245"/>
        <v>0</v>
      </c>
      <c r="R363" s="445">
        <f t="shared" si="245"/>
        <v>0</v>
      </c>
      <c r="S363" s="445">
        <f t="shared" si="245"/>
        <v>0</v>
      </c>
      <c r="T363" s="446">
        <f t="shared" si="245"/>
        <v>0</v>
      </c>
      <c r="U363" s="444">
        <f t="shared" si="245"/>
        <v>0</v>
      </c>
      <c r="V363" s="445">
        <f t="shared" si="245"/>
        <v>0</v>
      </c>
      <c r="W363" s="445">
        <f t="shared" si="245"/>
        <v>0</v>
      </c>
      <c r="X363" s="446">
        <f t="shared" si="245"/>
        <v>0</v>
      </c>
      <c r="Y363" s="444">
        <f t="shared" si="245"/>
        <v>0</v>
      </c>
      <c r="Z363" s="445">
        <f t="shared" si="245"/>
        <v>0</v>
      </c>
      <c r="AA363" s="445">
        <f t="shared" si="245"/>
        <v>0</v>
      </c>
      <c r="AB363" s="446">
        <f t="shared" si="245"/>
        <v>0</v>
      </c>
      <c r="AC363" s="444">
        <f t="shared" si="245"/>
        <v>0</v>
      </c>
      <c r="AD363" s="445">
        <f t="shared" si="245"/>
        <v>0</v>
      </c>
      <c r="AE363" s="445">
        <f t="shared" si="245"/>
        <v>0</v>
      </c>
      <c r="AF363" s="446">
        <f t="shared" si="245"/>
        <v>0</v>
      </c>
      <c r="AG363" s="444">
        <f t="shared" si="245"/>
        <v>0</v>
      </c>
      <c r="AH363" s="445">
        <f t="shared" si="245"/>
        <v>0</v>
      </c>
      <c r="AI363" s="445">
        <f t="shared" si="245"/>
        <v>0</v>
      </c>
      <c r="AJ363" s="446">
        <f t="shared" si="245"/>
        <v>0</v>
      </c>
      <c r="AK363" s="444">
        <f t="shared" si="245"/>
        <v>0</v>
      </c>
      <c r="AL363" s="445">
        <f t="shared" si="245"/>
        <v>0</v>
      </c>
      <c r="AM363" s="445">
        <f t="shared" si="245"/>
        <v>0</v>
      </c>
      <c r="AN363" s="446">
        <f t="shared" si="245"/>
        <v>0</v>
      </c>
      <c r="AO363" s="444">
        <f t="shared" si="245"/>
        <v>0</v>
      </c>
      <c r="AP363" s="445">
        <f t="shared" si="245"/>
        <v>0</v>
      </c>
      <c r="AQ363" s="445">
        <f t="shared" si="245"/>
        <v>0</v>
      </c>
      <c r="AR363" s="446">
        <f t="shared" si="245"/>
        <v>0</v>
      </c>
      <c r="AS363" s="444">
        <f t="shared" si="245"/>
        <v>0</v>
      </c>
      <c r="AT363" s="445">
        <f t="shared" si="245"/>
        <v>0</v>
      </c>
      <c r="AU363" s="445">
        <f t="shared" si="245"/>
        <v>0</v>
      </c>
      <c r="AV363" s="446">
        <f t="shared" si="245"/>
        <v>0</v>
      </c>
      <c r="AW363" s="473"/>
    </row>
    <row r="364" spans="1:49" s="424" customFormat="1" ht="13.5" customHeight="1">
      <c r="A364" s="1947"/>
      <c r="B364" s="1953"/>
      <c r="C364" s="447" t="s">
        <v>886</v>
      </c>
      <c r="D364" s="448">
        <f t="shared" ref="D364:AV364" si="246">SUM(D419,D424)</f>
        <v>0</v>
      </c>
      <c r="E364" s="453">
        <f t="shared" si="246"/>
        <v>0</v>
      </c>
      <c r="F364" s="454">
        <f t="shared" si="246"/>
        <v>0</v>
      </c>
      <c r="G364" s="454">
        <f t="shared" si="246"/>
        <v>0</v>
      </c>
      <c r="H364" s="455">
        <f t="shared" si="246"/>
        <v>0</v>
      </c>
      <c r="I364" s="453">
        <f t="shared" si="246"/>
        <v>0</v>
      </c>
      <c r="J364" s="454">
        <f t="shared" si="246"/>
        <v>0</v>
      </c>
      <c r="K364" s="454">
        <f t="shared" si="246"/>
        <v>0</v>
      </c>
      <c r="L364" s="455">
        <f t="shared" si="246"/>
        <v>0</v>
      </c>
      <c r="M364" s="453">
        <f t="shared" si="246"/>
        <v>0</v>
      </c>
      <c r="N364" s="454">
        <f t="shared" si="246"/>
        <v>0</v>
      </c>
      <c r="O364" s="454">
        <f t="shared" si="246"/>
        <v>0</v>
      </c>
      <c r="P364" s="455">
        <f t="shared" si="246"/>
        <v>0</v>
      </c>
      <c r="Q364" s="453">
        <f t="shared" si="246"/>
        <v>0</v>
      </c>
      <c r="R364" s="454">
        <f t="shared" si="246"/>
        <v>0</v>
      </c>
      <c r="S364" s="454">
        <f t="shared" si="246"/>
        <v>0</v>
      </c>
      <c r="T364" s="455">
        <f t="shared" si="246"/>
        <v>0</v>
      </c>
      <c r="U364" s="453">
        <f t="shared" si="246"/>
        <v>0</v>
      </c>
      <c r="V364" s="454">
        <f t="shared" si="246"/>
        <v>0</v>
      </c>
      <c r="W364" s="454">
        <f t="shared" si="246"/>
        <v>0</v>
      </c>
      <c r="X364" s="455">
        <f t="shared" si="246"/>
        <v>0</v>
      </c>
      <c r="Y364" s="453">
        <f t="shared" si="246"/>
        <v>0</v>
      </c>
      <c r="Z364" s="454">
        <f t="shared" si="246"/>
        <v>0</v>
      </c>
      <c r="AA364" s="454">
        <f t="shared" si="246"/>
        <v>0</v>
      </c>
      <c r="AB364" s="455">
        <f t="shared" si="246"/>
        <v>0</v>
      </c>
      <c r="AC364" s="453">
        <f t="shared" si="246"/>
        <v>0</v>
      </c>
      <c r="AD364" s="454">
        <f t="shared" si="246"/>
        <v>0</v>
      </c>
      <c r="AE364" s="454">
        <f t="shared" si="246"/>
        <v>0</v>
      </c>
      <c r="AF364" s="455">
        <f t="shared" si="246"/>
        <v>0</v>
      </c>
      <c r="AG364" s="453">
        <f t="shared" si="246"/>
        <v>0</v>
      </c>
      <c r="AH364" s="454">
        <f t="shared" si="246"/>
        <v>0</v>
      </c>
      <c r="AI364" s="454">
        <f t="shared" si="246"/>
        <v>0</v>
      </c>
      <c r="AJ364" s="455">
        <f t="shared" si="246"/>
        <v>0</v>
      </c>
      <c r="AK364" s="453">
        <f t="shared" si="246"/>
        <v>0</v>
      </c>
      <c r="AL364" s="454">
        <f t="shared" si="246"/>
        <v>0</v>
      </c>
      <c r="AM364" s="454">
        <f t="shared" si="246"/>
        <v>0</v>
      </c>
      <c r="AN364" s="455">
        <f t="shared" si="246"/>
        <v>0</v>
      </c>
      <c r="AO364" s="453">
        <f t="shared" si="246"/>
        <v>0</v>
      </c>
      <c r="AP364" s="454">
        <f t="shared" si="246"/>
        <v>0</v>
      </c>
      <c r="AQ364" s="454">
        <f t="shared" si="246"/>
        <v>0</v>
      </c>
      <c r="AR364" s="455">
        <f t="shared" si="246"/>
        <v>0</v>
      </c>
      <c r="AS364" s="453">
        <f t="shared" si="246"/>
        <v>0</v>
      </c>
      <c r="AT364" s="454">
        <f t="shared" si="246"/>
        <v>0</v>
      </c>
      <c r="AU364" s="454">
        <f t="shared" si="246"/>
        <v>0</v>
      </c>
      <c r="AV364" s="455">
        <f t="shared" si="246"/>
        <v>0</v>
      </c>
      <c r="AW364" s="473"/>
    </row>
    <row r="365" spans="1:49" s="424" customFormat="1" ht="13.5" customHeight="1" outlineLevel="1">
      <c r="A365" s="1947"/>
      <c r="B365" s="1949" t="str">
        <f>'9.项目开发计划表'!C57</f>
        <v>高层</v>
      </c>
      <c r="C365" s="456" t="s">
        <v>880</v>
      </c>
      <c r="D365" s="457">
        <f>IF(D367=0,0,D368/D367*10000)</f>
        <v>0</v>
      </c>
      <c r="E365" s="505"/>
      <c r="F365" s="506"/>
      <c r="G365" s="506"/>
      <c r="H365" s="507"/>
      <c r="I365" s="505"/>
      <c r="J365" s="506"/>
      <c r="K365" s="506"/>
      <c r="L365" s="507"/>
      <c r="M365" s="505"/>
      <c r="N365" s="506"/>
      <c r="O365" s="506"/>
      <c r="P365" s="507"/>
      <c r="Q365" s="505"/>
      <c r="R365" s="506"/>
      <c r="S365" s="506"/>
      <c r="T365" s="507"/>
      <c r="U365" s="505"/>
      <c r="V365" s="506"/>
      <c r="W365" s="506"/>
      <c r="X365" s="507"/>
      <c r="Y365" s="505"/>
      <c r="Z365" s="506"/>
      <c r="AA365" s="506"/>
      <c r="AB365" s="507"/>
      <c r="AC365" s="489"/>
      <c r="AD365" s="489"/>
      <c r="AE365" s="489"/>
      <c r="AF365" s="489"/>
      <c r="AG365" s="505"/>
      <c r="AH365" s="506"/>
      <c r="AI365" s="506"/>
      <c r="AJ365" s="507"/>
      <c r="AK365" s="505"/>
      <c r="AL365" s="506"/>
      <c r="AM365" s="506"/>
      <c r="AN365" s="507"/>
      <c r="AO365" s="505"/>
      <c r="AP365" s="506"/>
      <c r="AQ365" s="506"/>
      <c r="AR365" s="507"/>
      <c r="AS365" s="505"/>
      <c r="AT365" s="506"/>
      <c r="AU365" s="506"/>
      <c r="AV365" s="507"/>
      <c r="AW365" s="424" t="str">
        <f>B365</f>
        <v>高层</v>
      </c>
    </row>
    <row r="366" spans="1:49" ht="13.5" customHeight="1" outlineLevel="1">
      <c r="A366" s="1947"/>
      <c r="B366" s="1949"/>
      <c r="C366" s="461" t="s">
        <v>881</v>
      </c>
      <c r="D366" s="462">
        <f t="shared" ref="D366:D369" si="247">SUM(E366:AV366)</f>
        <v>0</v>
      </c>
      <c r="E366" s="494"/>
      <c r="F366" s="491"/>
      <c r="G366" s="491"/>
      <c r="H366" s="493"/>
      <c r="I366" s="494"/>
      <c r="J366" s="491"/>
      <c r="K366" s="491"/>
      <c r="L366" s="493"/>
      <c r="M366" s="494"/>
      <c r="N366" s="491"/>
      <c r="O366" s="491"/>
      <c r="P366" s="493"/>
      <c r="Q366" s="494"/>
      <c r="R366" s="491"/>
      <c r="S366" s="491"/>
      <c r="T366" s="493"/>
      <c r="U366" s="494"/>
      <c r="V366" s="491"/>
      <c r="W366" s="491"/>
      <c r="X366" s="493"/>
      <c r="Y366" s="494"/>
      <c r="Z366" s="491"/>
      <c r="AA366" s="491"/>
      <c r="AB366" s="493"/>
      <c r="AC366" s="490"/>
      <c r="AD366" s="490"/>
      <c r="AE366" s="490"/>
      <c r="AF366" s="490"/>
      <c r="AG366" s="494"/>
      <c r="AH366" s="491"/>
      <c r="AI366" s="491"/>
      <c r="AJ366" s="493"/>
      <c r="AK366" s="494"/>
      <c r="AL366" s="491"/>
      <c r="AM366" s="491"/>
      <c r="AN366" s="493"/>
      <c r="AO366" s="494"/>
      <c r="AP366" s="491"/>
      <c r="AQ366" s="491"/>
      <c r="AR366" s="493"/>
      <c r="AS366" s="494"/>
      <c r="AT366" s="491"/>
      <c r="AU366" s="491"/>
      <c r="AV366" s="493"/>
      <c r="AW366" s="424" t="str">
        <f t="shared" ref="AW366:AW369" si="248">AW365</f>
        <v>高层</v>
      </c>
    </row>
    <row r="367" spans="1:49" s="424" customFormat="1" ht="13.5" customHeight="1" outlineLevel="1">
      <c r="A367" s="1947"/>
      <c r="B367" s="1949"/>
      <c r="C367" s="461" t="s">
        <v>682</v>
      </c>
      <c r="D367" s="466">
        <f t="shared" si="247"/>
        <v>0</v>
      </c>
      <c r="E367" s="382">
        <f>E366*'9.项目开发计划表'!$G$57</f>
        <v>0</v>
      </c>
      <c r="F367" s="397">
        <f>F366*'9.项目开发计划表'!$G$57</f>
        <v>0</v>
      </c>
      <c r="G367" s="397">
        <f>G366*'9.项目开发计划表'!$G$57</f>
        <v>0</v>
      </c>
      <c r="H367" s="467">
        <f>H366*'9.项目开发计划表'!$G$57</f>
        <v>0</v>
      </c>
      <c r="I367" s="382">
        <f>I366*'9.项目开发计划表'!$G$57</f>
        <v>0</v>
      </c>
      <c r="J367" s="397">
        <f>J366*'9.项目开发计划表'!$G$57</f>
        <v>0</v>
      </c>
      <c r="K367" s="397">
        <f>K366*'9.项目开发计划表'!$G$57</f>
        <v>0</v>
      </c>
      <c r="L367" s="467">
        <f>L366*'9.项目开发计划表'!$G$57</f>
        <v>0</v>
      </c>
      <c r="M367" s="382">
        <f>M366*'9.项目开发计划表'!$G$57</f>
        <v>0</v>
      </c>
      <c r="N367" s="397">
        <f>N366*'9.项目开发计划表'!$G$57</f>
        <v>0</v>
      </c>
      <c r="O367" s="397">
        <f>O366*'9.项目开发计划表'!$G$57</f>
        <v>0</v>
      </c>
      <c r="P367" s="467">
        <f>P366*'9.项目开发计划表'!$G$57</f>
        <v>0</v>
      </c>
      <c r="Q367" s="382">
        <f>Q366*'9.项目开发计划表'!$G$57</f>
        <v>0</v>
      </c>
      <c r="R367" s="397">
        <f>R366*'9.项目开发计划表'!$G$57</f>
        <v>0</v>
      </c>
      <c r="S367" s="397">
        <f>S366*'9.项目开发计划表'!$G$57</f>
        <v>0</v>
      </c>
      <c r="T367" s="467">
        <f>T366*'9.项目开发计划表'!$G$57</f>
        <v>0</v>
      </c>
      <c r="U367" s="382">
        <f>U366*'9.项目开发计划表'!$G$57</f>
        <v>0</v>
      </c>
      <c r="V367" s="397">
        <f>V366*'9.项目开发计划表'!$G$57</f>
        <v>0</v>
      </c>
      <c r="W367" s="397">
        <f>W366*'9.项目开发计划表'!$G$57</f>
        <v>0</v>
      </c>
      <c r="X367" s="467">
        <f>X366*'9.项目开发计划表'!$G$57</f>
        <v>0</v>
      </c>
      <c r="Y367" s="382">
        <f>Y366*'9.项目开发计划表'!$G$57</f>
        <v>0</v>
      </c>
      <c r="Z367" s="397">
        <f>Z366*'9.项目开发计划表'!$G$57</f>
        <v>0</v>
      </c>
      <c r="AA367" s="397">
        <f>AA366*'9.项目开发计划表'!$G$57</f>
        <v>0</v>
      </c>
      <c r="AB367" s="467">
        <f>AB366*'9.项目开发计划表'!$G$57</f>
        <v>0</v>
      </c>
      <c r="AC367" s="382">
        <f>AC366*'9.项目开发计划表'!$G$57</f>
        <v>0</v>
      </c>
      <c r="AD367" s="397">
        <f>AD366*'9.项目开发计划表'!$G$57</f>
        <v>0</v>
      </c>
      <c r="AE367" s="397">
        <f>AE366*'9.项目开发计划表'!$G$57</f>
        <v>0</v>
      </c>
      <c r="AF367" s="467">
        <f>AF366*'9.项目开发计划表'!$G$57</f>
        <v>0</v>
      </c>
      <c r="AG367" s="382">
        <f>AG366*'9.项目开发计划表'!$G$57</f>
        <v>0</v>
      </c>
      <c r="AH367" s="397">
        <f>AH366*'9.项目开发计划表'!$G$57</f>
        <v>0</v>
      </c>
      <c r="AI367" s="397">
        <f>AI366*'9.项目开发计划表'!$G$57</f>
        <v>0</v>
      </c>
      <c r="AJ367" s="467">
        <f>AJ366*'9.项目开发计划表'!$G$57</f>
        <v>0</v>
      </c>
      <c r="AK367" s="382">
        <f>AK366*'9.项目开发计划表'!$G$57</f>
        <v>0</v>
      </c>
      <c r="AL367" s="397">
        <f>AL366*'9.项目开发计划表'!$G$57</f>
        <v>0</v>
      </c>
      <c r="AM367" s="397">
        <f>AM366*'9.项目开发计划表'!$G$57</f>
        <v>0</v>
      </c>
      <c r="AN367" s="467">
        <f>AN366*'9.项目开发计划表'!$G$57</f>
        <v>0</v>
      </c>
      <c r="AO367" s="382">
        <f>AO366*'9.项目开发计划表'!$G$57</f>
        <v>0</v>
      </c>
      <c r="AP367" s="397">
        <f>AP366*'9.项目开发计划表'!$G$57</f>
        <v>0</v>
      </c>
      <c r="AQ367" s="397">
        <f>AQ366*'9.项目开发计划表'!$G$57</f>
        <v>0</v>
      </c>
      <c r="AR367" s="467">
        <f>AR366*'9.项目开发计划表'!$G$57</f>
        <v>0</v>
      </c>
      <c r="AS367" s="382">
        <f>AS366*'9.项目开发计划表'!$G$57</f>
        <v>0</v>
      </c>
      <c r="AT367" s="397">
        <f>AT366*'9.项目开发计划表'!$G$57</f>
        <v>0</v>
      </c>
      <c r="AU367" s="397">
        <f>AU366*'9.项目开发计划表'!$G$57</f>
        <v>0</v>
      </c>
      <c r="AV367" s="467">
        <f>AV366*'9.项目开发计划表'!$G$57</f>
        <v>0</v>
      </c>
      <c r="AW367" s="424" t="str">
        <f t="shared" si="248"/>
        <v>高层</v>
      </c>
    </row>
    <row r="368" spans="1:49" s="424" customFormat="1" ht="13.5" customHeight="1" outlineLevel="1">
      <c r="A368" s="1947"/>
      <c r="B368" s="1949"/>
      <c r="C368" s="461" t="s">
        <v>882</v>
      </c>
      <c r="D368" s="466">
        <f t="shared" si="247"/>
        <v>0</v>
      </c>
      <c r="E368" s="382">
        <f t="shared" ref="E368:AV368" si="249">E365*E367/10000</f>
        <v>0</v>
      </c>
      <c r="F368" s="397">
        <f t="shared" si="249"/>
        <v>0</v>
      </c>
      <c r="G368" s="397">
        <f t="shared" si="249"/>
        <v>0</v>
      </c>
      <c r="H368" s="467">
        <f t="shared" si="249"/>
        <v>0</v>
      </c>
      <c r="I368" s="382">
        <f t="shared" si="249"/>
        <v>0</v>
      </c>
      <c r="J368" s="397">
        <f t="shared" si="249"/>
        <v>0</v>
      </c>
      <c r="K368" s="397">
        <f t="shared" si="249"/>
        <v>0</v>
      </c>
      <c r="L368" s="467">
        <f t="shared" si="249"/>
        <v>0</v>
      </c>
      <c r="M368" s="382">
        <f t="shared" si="249"/>
        <v>0</v>
      </c>
      <c r="N368" s="397">
        <f t="shared" si="249"/>
        <v>0</v>
      </c>
      <c r="O368" s="397">
        <f t="shared" si="249"/>
        <v>0</v>
      </c>
      <c r="P368" s="467">
        <f t="shared" si="249"/>
        <v>0</v>
      </c>
      <c r="Q368" s="382">
        <f t="shared" si="249"/>
        <v>0</v>
      </c>
      <c r="R368" s="397">
        <f t="shared" si="249"/>
        <v>0</v>
      </c>
      <c r="S368" s="397">
        <f t="shared" si="249"/>
        <v>0</v>
      </c>
      <c r="T368" s="467">
        <f t="shared" si="249"/>
        <v>0</v>
      </c>
      <c r="U368" s="382">
        <f t="shared" si="249"/>
        <v>0</v>
      </c>
      <c r="V368" s="397">
        <f t="shared" si="249"/>
        <v>0</v>
      </c>
      <c r="W368" s="397">
        <f t="shared" si="249"/>
        <v>0</v>
      </c>
      <c r="X368" s="467">
        <f t="shared" si="249"/>
        <v>0</v>
      </c>
      <c r="Y368" s="382">
        <f t="shared" si="249"/>
        <v>0</v>
      </c>
      <c r="Z368" s="397">
        <f t="shared" si="249"/>
        <v>0</v>
      </c>
      <c r="AA368" s="397">
        <f t="shared" si="249"/>
        <v>0</v>
      </c>
      <c r="AB368" s="467">
        <f t="shared" si="249"/>
        <v>0</v>
      </c>
      <c r="AC368" s="382">
        <f t="shared" si="249"/>
        <v>0</v>
      </c>
      <c r="AD368" s="397">
        <f t="shared" si="249"/>
        <v>0</v>
      </c>
      <c r="AE368" s="397">
        <f t="shared" si="249"/>
        <v>0</v>
      </c>
      <c r="AF368" s="467">
        <f t="shared" si="249"/>
        <v>0</v>
      </c>
      <c r="AG368" s="382">
        <f t="shared" si="249"/>
        <v>0</v>
      </c>
      <c r="AH368" s="397">
        <f t="shared" si="249"/>
        <v>0</v>
      </c>
      <c r="AI368" s="397">
        <f t="shared" si="249"/>
        <v>0</v>
      </c>
      <c r="AJ368" s="467">
        <f t="shared" si="249"/>
        <v>0</v>
      </c>
      <c r="AK368" s="382">
        <f t="shared" si="249"/>
        <v>0</v>
      </c>
      <c r="AL368" s="397">
        <f t="shared" si="249"/>
        <v>0</v>
      </c>
      <c r="AM368" s="397">
        <f t="shared" si="249"/>
        <v>0</v>
      </c>
      <c r="AN368" s="467">
        <f t="shared" si="249"/>
        <v>0</v>
      </c>
      <c r="AO368" s="382">
        <f t="shared" si="249"/>
        <v>0</v>
      </c>
      <c r="AP368" s="397">
        <f t="shared" si="249"/>
        <v>0</v>
      </c>
      <c r="AQ368" s="397">
        <f t="shared" si="249"/>
        <v>0</v>
      </c>
      <c r="AR368" s="467">
        <f t="shared" si="249"/>
        <v>0</v>
      </c>
      <c r="AS368" s="382">
        <f t="shared" si="249"/>
        <v>0</v>
      </c>
      <c r="AT368" s="397">
        <f t="shared" si="249"/>
        <v>0</v>
      </c>
      <c r="AU368" s="397">
        <f t="shared" si="249"/>
        <v>0</v>
      </c>
      <c r="AV368" s="467">
        <f t="shared" si="249"/>
        <v>0</v>
      </c>
      <c r="AW368" s="424" t="str">
        <f t="shared" si="248"/>
        <v>高层</v>
      </c>
    </row>
    <row r="369" spans="1:49" s="424" customFormat="1" ht="13.5" customHeight="1" outlineLevel="1">
      <c r="A369" s="1947"/>
      <c r="B369" s="1949"/>
      <c r="C369" s="508" t="s">
        <v>450</v>
      </c>
      <c r="D369" s="468">
        <f t="shared" si="247"/>
        <v>0</v>
      </c>
      <c r="E369" s="386">
        <f>SUMIF($I$1:$T$1,B365,$I$2:$T$2)*E368</f>
        <v>0</v>
      </c>
      <c r="F369" s="399">
        <f>(1-SUMIF($I$1:$T$1,B365,$I$2:$T$2))*E368+SUMIF($I$1:$T$1,B365,$I$2:$T$2)*F368</f>
        <v>0</v>
      </c>
      <c r="G369" s="399">
        <f>(1-SUMIF($I$1:$T$1,B365,$I$2:$T$2))*F368+SUMIF($I$1:$T$1,B365,$I$2:$T$2)*G368</f>
        <v>0</v>
      </c>
      <c r="H369" s="404">
        <f>(1-SUMIF($I$1:$T$1,B365,$I$2:$T$2))*G368+SUMIF($I$1:$T$1,B365,$I$2:$T$2)*H368</f>
        <v>0</v>
      </c>
      <c r="I369" s="386">
        <f>(1-SUMIF($I$1:$T$1,B365,$I$2:$T$2))*H368+SUMIF($I$1:$T$1,B365,$I$2:$T$2)*I368</f>
        <v>0</v>
      </c>
      <c r="J369" s="399">
        <f>(1-SUMIF($I$1:$T$1,B365,$I$2:$T$2))*I368+SUMIF($I$1:$T$1,B365,$I$2:$T$2)*J368</f>
        <v>0</v>
      </c>
      <c r="K369" s="399">
        <f>(1-SUMIF($I$1:$T$1,B365,$I$2:$T$2))*J368+SUMIF($I$1:$T$1,B365,$I$2:$T$2)*K368</f>
        <v>0</v>
      </c>
      <c r="L369" s="404">
        <f>(1-SUMIF($I$1:$T$1,B365,$I$2:$T$2))*K368+SUMIF($I$1:$T$1,B365,$I$2:$T$2)*L368</f>
        <v>0</v>
      </c>
      <c r="M369" s="386">
        <f>(1-SUMIF($I$1:$T$1,B365,$I$2:$T$2))*L368+SUMIF($I$1:$T$1,B365,$I$2:$T$2)*M368</f>
        <v>0</v>
      </c>
      <c r="N369" s="399">
        <f>(1-SUMIF($I$1:$T$1,B365,$I$2:$T$2))*M368+SUMIF($I$1:$T$1,B365,$I$2:$T$2)*N368</f>
        <v>0</v>
      </c>
      <c r="O369" s="399">
        <f>(1-SUMIF($I$1:$T$1,B365,$I$2:$T$2))*N368+SUMIF($I$1:$T$1,B365,$I$2:$T$2)*O368</f>
        <v>0</v>
      </c>
      <c r="P369" s="404">
        <f>(1-SUMIF($I$1:$T$1,B365,$I$2:$T$2))*O368+SUMIF($I$1:$T$1,B365,$I$2:$T$2)*P368</f>
        <v>0</v>
      </c>
      <c r="Q369" s="386">
        <f>(1-SUMIF($I$1:$T$1,B365,$I$2:$T$2))*P368+SUMIF($I$1:$T$1,B365,$I$2:$T$2)*Q368</f>
        <v>0</v>
      </c>
      <c r="R369" s="399">
        <f>(1-SUMIF($I$1:$T$1,B365,$I$2:$T$2))*Q368+SUMIF($I$1:$T$1,B365,$I$2:$T$2)*R368</f>
        <v>0</v>
      </c>
      <c r="S369" s="399">
        <f>(1-SUMIF($I$1:$T$1,B365,$I$2:$T$2))*R368+SUMIF($I$1:$T$1,B365,$I$2:$T$2)*S368</f>
        <v>0</v>
      </c>
      <c r="T369" s="404">
        <f>(1-SUMIF($I$1:$T$1,B365,$I$2:$T$2))*S368+SUMIF($I$1:$T$1,B365,$I$2:$T$2)*T368</f>
        <v>0</v>
      </c>
      <c r="U369" s="386">
        <f>(1-SUMIF($I$1:$T$1,B365,$I$2:$T$2))*T368+SUMIF($I$1:$T$1,B365,$I$2:$T$2)*U368</f>
        <v>0</v>
      </c>
      <c r="V369" s="399">
        <f>(1-SUMIF($I$1:$T$1,B365,$I$2:$T$2))*U368+SUMIF($I$1:$T$1,B365,$I$2:$T$2)*V368</f>
        <v>0</v>
      </c>
      <c r="W369" s="399">
        <f>(1-SUMIF($I$1:$T$1,B365,$I$2:$T$2))*V368+SUMIF($I$1:$T$1,B365,$I$2:$T$2)*W368</f>
        <v>0</v>
      </c>
      <c r="X369" s="404">
        <f>(1-SUMIF($I$1:$T$1,B365,$I$2:$T$2))*W368+SUMIF($I$1:$T$1,B365,$I$2:$T$2)*X368</f>
        <v>0</v>
      </c>
      <c r="Y369" s="386">
        <f>(1-SUMIF($I$1:$T$1,B365,$I$2:$T$2))*X368+SUMIF($I$1:$T$1,B365,$I$2:$T$2)*Y368</f>
        <v>0</v>
      </c>
      <c r="Z369" s="399">
        <f>(1-SUMIF($I$1:$T$1,B365,$I$2:$T$2))*Y368+SUMIF($I$1:$T$1,B365,$I$2:$T$2)*Z368</f>
        <v>0</v>
      </c>
      <c r="AA369" s="399">
        <f>(1-SUMIF($I$1:$T$1,B365,$I$2:$T$2))*Z368+SUMIF($I$1:$T$1,B365,$I$2:$T$2)*AA368</f>
        <v>0</v>
      </c>
      <c r="AB369" s="404">
        <f>(1-SUMIF($I$1:$T$1,B365,$I$2:$T$2))*AA368+SUMIF($I$1:$T$1,B365,$I$2:$T$2)*AB368</f>
        <v>0</v>
      </c>
      <c r="AC369" s="386">
        <f>(1-SUMIF($I$1:$T$1,B365,$I$2:$T$2))*AB368+SUMIF($I$1:$T$1,B365,$I$2:$T$2)*AC368</f>
        <v>0</v>
      </c>
      <c r="AD369" s="399">
        <f>(1-SUMIF($I$1:$T$1,B365,$I$2:$T$2))*AC368+SUMIF($I$1:$T$1,B365,$I$2:$T$2)*AD368</f>
        <v>0</v>
      </c>
      <c r="AE369" s="399">
        <f>(1-SUMIF($I$1:$T$1,B365,$I$2:$T$2))*AD368+SUMIF($I$1:$T$1,B365,$I$2:$T$2)*AE368</f>
        <v>0</v>
      </c>
      <c r="AF369" s="404">
        <f>(1-SUMIF($I$1:$T$1,B365,$I$2:$T$2))*AE368+SUMIF($I$1:$T$1,B365,$I$2:$T$2)*AF368</f>
        <v>0</v>
      </c>
      <c r="AG369" s="386">
        <f>(1-SUMIF($I$1:$T$1,B365,$I$2:$T$2))*AF368+SUMIF($I$1:$T$1,B365,$I$2:$T$2)*AG368</f>
        <v>0</v>
      </c>
      <c r="AH369" s="399">
        <f>(1-SUMIF($I$1:$T$1,B365,$I$2:$T$2))*AG368+SUMIF($I$1:$T$1,B365,$I$2:$T$2)*AH368</f>
        <v>0</v>
      </c>
      <c r="AI369" s="399">
        <f>(1-SUMIF($I$1:$T$1,B365,$I$2:$T$2))*AH368+SUMIF($I$1:$T$1,B365,$I$2:$T$2)*AI368</f>
        <v>0</v>
      </c>
      <c r="AJ369" s="404">
        <f>(1-SUMIF($I$1:$T$1,B365,$I$2:$T$2))*AI368+SUMIF($I$1:$T$1,B365,$I$2:$T$2)*AJ368</f>
        <v>0</v>
      </c>
      <c r="AK369" s="386">
        <f>(1-SUMIF($I$1:$T$1,B365,$I$2:$T$2))*AJ368+SUMIF($I$1:$T$1,B365,$I$2:$T$2)*AK368</f>
        <v>0</v>
      </c>
      <c r="AL369" s="399">
        <f>(1-SUMIF($I$1:$T$1,B365,$I$2:$T$2))*AK368+SUMIF($I$1:$T$1,B365,$I$2:$T$2)*AL368</f>
        <v>0</v>
      </c>
      <c r="AM369" s="399">
        <f>(1-SUMIF($I$1:$T$1,B365,$I$2:$T$2))*AL368+SUMIF($I$1:$T$1,B365,$I$2:$T$2)*AM368</f>
        <v>0</v>
      </c>
      <c r="AN369" s="404">
        <f>(1-SUMIF($I$1:$T$1,B365,$I$2:$T$2))*AM368+SUMIF($I$1:$T$1,B365,$I$2:$T$2)*AN368</f>
        <v>0</v>
      </c>
      <c r="AO369" s="386">
        <f>(1-SUMIF($I$1:$T$1,B365,$I$2:$T$2))*AN368+SUMIF($I$1:$T$1,B365,$I$2:$T$2)*AO368</f>
        <v>0</v>
      </c>
      <c r="AP369" s="399">
        <f>(1-SUMIF($I$1:$T$1,B365,$I$2:$T$2))*AO368+SUMIF($I$1:$T$1,B365,$I$2:$T$2)*AP368</f>
        <v>0</v>
      </c>
      <c r="AQ369" s="399">
        <f>(1-SUMIF($I$1:$T$1,B365,$I$2:$T$2))*AP368+SUMIF($I$1:$T$1,B365,$I$2:$T$2)*AQ368</f>
        <v>0</v>
      </c>
      <c r="AR369" s="404">
        <f>(1-SUMIF($I$1:$T$1,B365,$I$2:$T$2))*AQ368+SUMIF($I$1:$T$1,B365,$I$2:$T$2)*AR368</f>
        <v>0</v>
      </c>
      <c r="AS369" s="386">
        <f>(1-SUMIF($I$1:$T$1,B365,$I$2:$T$2))*AR368+SUMIF($I$1:$T$1,B365,$I$2:$T$2)*AS368</f>
        <v>0</v>
      </c>
      <c r="AT369" s="399">
        <f>(1-SUMIF($I$1:$T$1,B365,$I$2:$T$2))*AS368+SUMIF($I$1:$T$1,B365,$I$2:$T$2)*AT368</f>
        <v>0</v>
      </c>
      <c r="AU369" s="399">
        <f>(1-SUMIF($I$1:$T$1,B365,$I$2:$T$2))*AT368+SUMIF($I$1:$T$1,B365,$I$2:$T$2)*AU368</f>
        <v>0</v>
      </c>
      <c r="AV369" s="404">
        <f>(1-SUMIF($I$1:$T$1,B365,$I$2:$T$2))*AU368+SUMIF($I$1:$T$1,B365,$I$2:$T$2)*AV368</f>
        <v>0</v>
      </c>
      <c r="AW369" s="424" t="str">
        <f t="shared" si="248"/>
        <v>高层</v>
      </c>
    </row>
    <row r="370" spans="1:49" s="424" customFormat="1" ht="13.5" customHeight="1" outlineLevel="1">
      <c r="A370" s="1947"/>
      <c r="B370" s="1949" t="str">
        <f>'9.项目开发计划表'!C58</f>
        <v>商铺</v>
      </c>
      <c r="C370" s="456" t="s">
        <v>880</v>
      </c>
      <c r="D370" s="457">
        <f>IF(D372=0,0,D373/D372*10000)</f>
        <v>0</v>
      </c>
      <c r="E370" s="505"/>
      <c r="F370" s="506"/>
      <c r="G370" s="506"/>
      <c r="H370" s="507"/>
      <c r="I370" s="505"/>
      <c r="J370" s="506"/>
      <c r="K370" s="506"/>
      <c r="L370" s="507"/>
      <c r="M370" s="505"/>
      <c r="N370" s="506"/>
      <c r="O370" s="506"/>
      <c r="P370" s="507"/>
      <c r="Q370" s="505"/>
      <c r="R370" s="506"/>
      <c r="S370" s="506"/>
      <c r="T370" s="507"/>
      <c r="U370" s="505"/>
      <c r="V370" s="506"/>
      <c r="W370" s="506"/>
      <c r="X370" s="489"/>
      <c r="Y370" s="489"/>
      <c r="Z370" s="489"/>
      <c r="AA370" s="489"/>
      <c r="AB370" s="489"/>
      <c r="AC370" s="489"/>
      <c r="AD370" s="506"/>
      <c r="AE370" s="506"/>
      <c r="AF370" s="507"/>
      <c r="AG370" s="505"/>
      <c r="AH370" s="506"/>
      <c r="AI370" s="506"/>
      <c r="AJ370" s="507"/>
      <c r="AK370" s="505"/>
      <c r="AL370" s="506"/>
      <c r="AM370" s="506"/>
      <c r="AN370" s="507"/>
      <c r="AO370" s="505"/>
      <c r="AP370" s="506"/>
      <c r="AQ370" s="506"/>
      <c r="AR370" s="507"/>
      <c r="AS370" s="505"/>
      <c r="AT370" s="506"/>
      <c r="AU370" s="506"/>
      <c r="AV370" s="507"/>
      <c r="AW370" s="424" t="str">
        <f>B370</f>
        <v>商铺</v>
      </c>
    </row>
    <row r="371" spans="1:49" ht="13.5" customHeight="1" outlineLevel="1">
      <c r="A371" s="1947"/>
      <c r="B371" s="1949"/>
      <c r="C371" s="461" t="s">
        <v>881</v>
      </c>
      <c r="D371" s="462">
        <f t="shared" ref="D371:D374" si="250">SUM(E371:AV371)</f>
        <v>0</v>
      </c>
      <c r="E371" s="494"/>
      <c r="F371" s="491"/>
      <c r="G371" s="491"/>
      <c r="H371" s="493"/>
      <c r="I371" s="494"/>
      <c r="J371" s="491"/>
      <c r="K371" s="491"/>
      <c r="L371" s="493"/>
      <c r="M371" s="494"/>
      <c r="N371" s="491"/>
      <c r="O371" s="491"/>
      <c r="P371" s="493"/>
      <c r="Q371" s="494"/>
      <c r="R371" s="491"/>
      <c r="S371" s="491"/>
      <c r="T371" s="493"/>
      <c r="U371" s="494"/>
      <c r="V371" s="491"/>
      <c r="W371" s="491"/>
      <c r="X371" s="490"/>
      <c r="Y371" s="490"/>
      <c r="Z371" s="490"/>
      <c r="AA371" s="490"/>
      <c r="AB371" s="490"/>
      <c r="AC371" s="490"/>
      <c r="AD371" s="491"/>
      <c r="AE371" s="491"/>
      <c r="AF371" s="493"/>
      <c r="AG371" s="494"/>
      <c r="AH371" s="491"/>
      <c r="AI371" s="491"/>
      <c r="AJ371" s="493"/>
      <c r="AK371" s="494"/>
      <c r="AL371" s="491"/>
      <c r="AM371" s="491"/>
      <c r="AN371" s="493"/>
      <c r="AO371" s="494"/>
      <c r="AP371" s="491"/>
      <c r="AQ371" s="491"/>
      <c r="AR371" s="493"/>
      <c r="AS371" s="494"/>
      <c r="AT371" s="491"/>
      <c r="AU371" s="491"/>
      <c r="AV371" s="493"/>
      <c r="AW371" s="424" t="str">
        <f t="shared" ref="AW371:AW424" si="251">AW370</f>
        <v>商铺</v>
      </c>
    </row>
    <row r="372" spans="1:49" s="424" customFormat="1" ht="13.5" customHeight="1" outlineLevel="1">
      <c r="A372" s="1947"/>
      <c r="B372" s="1949"/>
      <c r="C372" s="461" t="s">
        <v>682</v>
      </c>
      <c r="D372" s="466">
        <f t="shared" si="250"/>
        <v>0</v>
      </c>
      <c r="E372" s="382">
        <f>E371*'9.项目开发计划表'!$G$58</f>
        <v>0</v>
      </c>
      <c r="F372" s="397">
        <f>F371*'9.项目开发计划表'!$G$58</f>
        <v>0</v>
      </c>
      <c r="G372" s="397">
        <f>G371*'9.项目开发计划表'!$G$58</f>
        <v>0</v>
      </c>
      <c r="H372" s="467">
        <f>H371*'9.项目开发计划表'!$G$58</f>
        <v>0</v>
      </c>
      <c r="I372" s="382">
        <f>I371*'9.项目开发计划表'!$G$58</f>
        <v>0</v>
      </c>
      <c r="J372" s="397">
        <f>J371*'9.项目开发计划表'!$G$58</f>
        <v>0</v>
      </c>
      <c r="K372" s="397">
        <f>K371*'9.项目开发计划表'!$G$58</f>
        <v>0</v>
      </c>
      <c r="L372" s="467">
        <f>L371*'9.项目开发计划表'!$G$58</f>
        <v>0</v>
      </c>
      <c r="M372" s="382">
        <f>M371*'9.项目开发计划表'!$G$58</f>
        <v>0</v>
      </c>
      <c r="N372" s="397">
        <f>N371*'9.项目开发计划表'!$G$58</f>
        <v>0</v>
      </c>
      <c r="O372" s="397">
        <f>O371*'9.项目开发计划表'!$G$58</f>
        <v>0</v>
      </c>
      <c r="P372" s="467">
        <f>P371*'9.项目开发计划表'!$G$58</f>
        <v>0</v>
      </c>
      <c r="Q372" s="382">
        <f>Q371*'9.项目开发计划表'!$G$58</f>
        <v>0</v>
      </c>
      <c r="R372" s="397">
        <f>R371*'9.项目开发计划表'!$G$58</f>
        <v>0</v>
      </c>
      <c r="S372" s="397">
        <f>S371*'9.项目开发计划表'!$G$58</f>
        <v>0</v>
      </c>
      <c r="T372" s="467">
        <f>T371*'9.项目开发计划表'!$G$58</f>
        <v>0</v>
      </c>
      <c r="U372" s="382">
        <f>U371*'9.项目开发计划表'!$G$58</f>
        <v>0</v>
      </c>
      <c r="V372" s="397">
        <f>V371*'9.项目开发计划表'!$G$58</f>
        <v>0</v>
      </c>
      <c r="W372" s="397">
        <f>W371*'9.项目开发计划表'!$G$58</f>
        <v>0</v>
      </c>
      <c r="X372" s="467">
        <f>X371*'9.项目开发计划表'!$G$58</f>
        <v>0</v>
      </c>
      <c r="Y372" s="382">
        <f>Y371*'9.项目开发计划表'!$G$58</f>
        <v>0</v>
      </c>
      <c r="Z372" s="397">
        <f>Z371*'9.项目开发计划表'!$G$58</f>
        <v>0</v>
      </c>
      <c r="AA372" s="397">
        <f>AA371*'9.项目开发计划表'!$G$58</f>
        <v>0</v>
      </c>
      <c r="AB372" s="467">
        <f>AB371*'9.项目开发计划表'!$G$58</f>
        <v>0</v>
      </c>
      <c r="AC372" s="382">
        <f>AC371*'9.项目开发计划表'!$G$58</f>
        <v>0</v>
      </c>
      <c r="AD372" s="397">
        <f>AD371*'9.项目开发计划表'!$G$58</f>
        <v>0</v>
      </c>
      <c r="AE372" s="397">
        <f>AE371*'9.项目开发计划表'!$G$58</f>
        <v>0</v>
      </c>
      <c r="AF372" s="467">
        <f>AF371*'9.项目开发计划表'!$G$58</f>
        <v>0</v>
      </c>
      <c r="AG372" s="382">
        <f>AG371*'9.项目开发计划表'!$G$58</f>
        <v>0</v>
      </c>
      <c r="AH372" s="397">
        <f>AH371*'9.项目开发计划表'!$G$58</f>
        <v>0</v>
      </c>
      <c r="AI372" s="397">
        <f>AI371*'9.项目开发计划表'!$G$58</f>
        <v>0</v>
      </c>
      <c r="AJ372" s="467">
        <f>AJ371*'9.项目开发计划表'!$G$58</f>
        <v>0</v>
      </c>
      <c r="AK372" s="382">
        <f>AK371*'9.项目开发计划表'!$G$58</f>
        <v>0</v>
      </c>
      <c r="AL372" s="397">
        <f>AL371*'9.项目开发计划表'!$G$58</f>
        <v>0</v>
      </c>
      <c r="AM372" s="397">
        <f>AM371*'9.项目开发计划表'!$G$58</f>
        <v>0</v>
      </c>
      <c r="AN372" s="467">
        <f>AN371*'9.项目开发计划表'!$G$58</f>
        <v>0</v>
      </c>
      <c r="AO372" s="382">
        <f>AO371*'9.项目开发计划表'!$G$58</f>
        <v>0</v>
      </c>
      <c r="AP372" s="397">
        <f>AP371*'9.项目开发计划表'!$G$58</f>
        <v>0</v>
      </c>
      <c r="AQ372" s="397">
        <f>AQ371*'9.项目开发计划表'!$G$58</f>
        <v>0</v>
      </c>
      <c r="AR372" s="467">
        <f>AR371*'9.项目开发计划表'!$G$58</f>
        <v>0</v>
      </c>
      <c r="AS372" s="382">
        <f>AS371*'9.项目开发计划表'!$G$58</f>
        <v>0</v>
      </c>
      <c r="AT372" s="397">
        <f>AT371*'9.项目开发计划表'!$G$58</f>
        <v>0</v>
      </c>
      <c r="AU372" s="397">
        <f>AU371*'9.项目开发计划表'!$G$58</f>
        <v>0</v>
      </c>
      <c r="AV372" s="467">
        <f>AV371*'9.项目开发计划表'!$G$58</f>
        <v>0</v>
      </c>
      <c r="AW372" s="424" t="str">
        <f t="shared" si="251"/>
        <v>商铺</v>
      </c>
    </row>
    <row r="373" spans="1:49" s="424" customFormat="1" ht="13.5" customHeight="1" outlineLevel="1">
      <c r="A373" s="1947"/>
      <c r="B373" s="1949"/>
      <c r="C373" s="461" t="s">
        <v>882</v>
      </c>
      <c r="D373" s="466">
        <f t="shared" si="250"/>
        <v>0</v>
      </c>
      <c r="E373" s="382">
        <f t="shared" ref="E373:AV373" si="252">E370*E372/10000</f>
        <v>0</v>
      </c>
      <c r="F373" s="397">
        <f t="shared" si="252"/>
        <v>0</v>
      </c>
      <c r="G373" s="397">
        <f t="shared" si="252"/>
        <v>0</v>
      </c>
      <c r="H373" s="467">
        <f t="shared" si="252"/>
        <v>0</v>
      </c>
      <c r="I373" s="382">
        <f t="shared" si="252"/>
        <v>0</v>
      </c>
      <c r="J373" s="397">
        <f t="shared" si="252"/>
        <v>0</v>
      </c>
      <c r="K373" s="397">
        <f t="shared" si="252"/>
        <v>0</v>
      </c>
      <c r="L373" s="467">
        <f t="shared" si="252"/>
        <v>0</v>
      </c>
      <c r="M373" s="382">
        <f t="shared" si="252"/>
        <v>0</v>
      </c>
      <c r="N373" s="397">
        <f t="shared" si="252"/>
        <v>0</v>
      </c>
      <c r="O373" s="397">
        <f t="shared" si="252"/>
        <v>0</v>
      </c>
      <c r="P373" s="467">
        <f t="shared" si="252"/>
        <v>0</v>
      </c>
      <c r="Q373" s="382">
        <f t="shared" si="252"/>
        <v>0</v>
      </c>
      <c r="R373" s="397">
        <f t="shared" si="252"/>
        <v>0</v>
      </c>
      <c r="S373" s="397">
        <f t="shared" si="252"/>
        <v>0</v>
      </c>
      <c r="T373" s="467">
        <f t="shared" si="252"/>
        <v>0</v>
      </c>
      <c r="U373" s="382">
        <f t="shared" si="252"/>
        <v>0</v>
      </c>
      <c r="V373" s="397">
        <f t="shared" si="252"/>
        <v>0</v>
      </c>
      <c r="W373" s="397">
        <f t="shared" si="252"/>
        <v>0</v>
      </c>
      <c r="X373" s="467">
        <f t="shared" si="252"/>
        <v>0</v>
      </c>
      <c r="Y373" s="382">
        <f t="shared" si="252"/>
        <v>0</v>
      </c>
      <c r="Z373" s="397">
        <f t="shared" si="252"/>
        <v>0</v>
      </c>
      <c r="AA373" s="397">
        <f t="shared" si="252"/>
        <v>0</v>
      </c>
      <c r="AB373" s="467">
        <f t="shared" si="252"/>
        <v>0</v>
      </c>
      <c r="AC373" s="382">
        <f t="shared" si="252"/>
        <v>0</v>
      </c>
      <c r="AD373" s="397">
        <f t="shared" si="252"/>
        <v>0</v>
      </c>
      <c r="AE373" s="397">
        <f t="shared" si="252"/>
        <v>0</v>
      </c>
      <c r="AF373" s="467">
        <f t="shared" si="252"/>
        <v>0</v>
      </c>
      <c r="AG373" s="382">
        <f t="shared" si="252"/>
        <v>0</v>
      </c>
      <c r="AH373" s="397">
        <f t="shared" si="252"/>
        <v>0</v>
      </c>
      <c r="AI373" s="397">
        <f t="shared" si="252"/>
        <v>0</v>
      </c>
      <c r="AJ373" s="467">
        <f t="shared" si="252"/>
        <v>0</v>
      </c>
      <c r="AK373" s="382">
        <f t="shared" si="252"/>
        <v>0</v>
      </c>
      <c r="AL373" s="397">
        <f t="shared" si="252"/>
        <v>0</v>
      </c>
      <c r="AM373" s="397">
        <f t="shared" si="252"/>
        <v>0</v>
      </c>
      <c r="AN373" s="467">
        <f t="shared" si="252"/>
        <v>0</v>
      </c>
      <c r="AO373" s="382">
        <f t="shared" si="252"/>
        <v>0</v>
      </c>
      <c r="AP373" s="397">
        <f t="shared" si="252"/>
        <v>0</v>
      </c>
      <c r="AQ373" s="397">
        <f t="shared" si="252"/>
        <v>0</v>
      </c>
      <c r="AR373" s="467">
        <f t="shared" si="252"/>
        <v>0</v>
      </c>
      <c r="AS373" s="382">
        <f t="shared" si="252"/>
        <v>0</v>
      </c>
      <c r="AT373" s="397">
        <f t="shared" si="252"/>
        <v>0</v>
      </c>
      <c r="AU373" s="397">
        <f t="shared" si="252"/>
        <v>0</v>
      </c>
      <c r="AV373" s="467">
        <f t="shared" si="252"/>
        <v>0</v>
      </c>
      <c r="AW373" s="424" t="str">
        <f t="shared" si="251"/>
        <v>商铺</v>
      </c>
    </row>
    <row r="374" spans="1:49" s="424" customFormat="1" ht="13.5" customHeight="1" outlineLevel="1">
      <c r="A374" s="1947"/>
      <c r="B374" s="1949"/>
      <c r="C374" s="508" t="s">
        <v>450</v>
      </c>
      <c r="D374" s="468">
        <f t="shared" si="250"/>
        <v>0</v>
      </c>
      <c r="E374" s="386">
        <f>SUMIF($I$1:$T$1,B370,$I$2:$T$2)*E373</f>
        <v>0</v>
      </c>
      <c r="F374" s="399">
        <f>(1-SUMIF($I$1:$T$1,B370,$I$2:$T$2))*E373+SUMIF($I$1:$T$1,B370,$I$2:$T$2)*F373</f>
        <v>0</v>
      </c>
      <c r="G374" s="399">
        <f>(1-SUMIF($I$1:$T$1,B370,$I$2:$T$2))*F373+SUMIF($I$1:$T$1,B370,$I$2:$T$2)*G373</f>
        <v>0</v>
      </c>
      <c r="H374" s="404">
        <f>(1-SUMIF($I$1:$T$1,B370,$I$2:$T$2))*G373+SUMIF($I$1:$T$1,B370,$I$2:$T$2)*H373</f>
        <v>0</v>
      </c>
      <c r="I374" s="386">
        <f>(1-SUMIF($I$1:$T$1,B370,$I$2:$T$2))*H373+SUMIF($I$1:$T$1,B370,$I$2:$T$2)*I373</f>
        <v>0</v>
      </c>
      <c r="J374" s="399">
        <f>(1-SUMIF($I$1:$T$1,B370,$I$2:$T$2))*I373+SUMIF($I$1:$T$1,B370,$I$2:$T$2)*J373</f>
        <v>0</v>
      </c>
      <c r="K374" s="399">
        <f>(1-SUMIF($I$1:$T$1,B370,$I$2:$T$2))*J373+SUMIF($I$1:$T$1,B370,$I$2:$T$2)*K373</f>
        <v>0</v>
      </c>
      <c r="L374" s="404">
        <f>(1-SUMIF($I$1:$T$1,B370,$I$2:$T$2))*K373+SUMIF($I$1:$T$1,B370,$I$2:$T$2)*L373</f>
        <v>0</v>
      </c>
      <c r="M374" s="386">
        <f>(1-SUMIF($I$1:$T$1,B370,$I$2:$T$2))*L373+SUMIF($I$1:$T$1,B370,$I$2:$T$2)*M373</f>
        <v>0</v>
      </c>
      <c r="N374" s="399">
        <f>(1-SUMIF($I$1:$T$1,B370,$I$2:$T$2))*M373+SUMIF($I$1:$T$1,B370,$I$2:$T$2)*N373</f>
        <v>0</v>
      </c>
      <c r="O374" s="399">
        <f>(1-SUMIF($I$1:$T$1,B370,$I$2:$T$2))*N373+SUMIF($I$1:$T$1,B370,$I$2:$T$2)*O373</f>
        <v>0</v>
      </c>
      <c r="P374" s="404">
        <f>(1-SUMIF($I$1:$T$1,B370,$I$2:$T$2))*O373+SUMIF($I$1:$T$1,B370,$I$2:$T$2)*P373</f>
        <v>0</v>
      </c>
      <c r="Q374" s="386">
        <f>(1-SUMIF($I$1:$T$1,B370,$I$2:$T$2))*P373+SUMIF($I$1:$T$1,B370,$I$2:$T$2)*Q373</f>
        <v>0</v>
      </c>
      <c r="R374" s="399">
        <f>(1-SUMIF($I$1:$T$1,B370,$I$2:$T$2))*Q373+SUMIF($I$1:$T$1,B370,$I$2:$T$2)*R373</f>
        <v>0</v>
      </c>
      <c r="S374" s="399">
        <f>(1-SUMIF($I$1:$T$1,B370,$I$2:$T$2))*R373+SUMIF($I$1:$T$1,B370,$I$2:$T$2)*S373</f>
        <v>0</v>
      </c>
      <c r="T374" s="404">
        <f>(1-SUMIF($I$1:$T$1,B370,$I$2:$T$2))*S373+SUMIF($I$1:$T$1,B370,$I$2:$T$2)*T373</f>
        <v>0</v>
      </c>
      <c r="U374" s="386">
        <f>(1-SUMIF($I$1:$T$1,B370,$I$2:$T$2))*T373+SUMIF($I$1:$T$1,B370,$I$2:$T$2)*U373</f>
        <v>0</v>
      </c>
      <c r="V374" s="399">
        <f>(1-SUMIF($I$1:$T$1,B370,$I$2:$T$2))*U373+SUMIF($I$1:$T$1,B370,$I$2:$T$2)*V373</f>
        <v>0</v>
      </c>
      <c r="W374" s="399">
        <f>(1-SUMIF($I$1:$T$1,B370,$I$2:$T$2))*V373+SUMIF($I$1:$T$1,B370,$I$2:$T$2)*W373</f>
        <v>0</v>
      </c>
      <c r="X374" s="404">
        <f>(1-SUMIF($I$1:$T$1,B370,$I$2:$T$2))*W373+SUMIF($I$1:$T$1,B370,$I$2:$T$2)*X373</f>
        <v>0</v>
      </c>
      <c r="Y374" s="386">
        <f>(1-SUMIF($I$1:$T$1,B370,$I$2:$T$2))*X373+SUMIF($I$1:$T$1,B370,$I$2:$T$2)*Y373</f>
        <v>0</v>
      </c>
      <c r="Z374" s="399">
        <f>(1-SUMIF($I$1:$T$1,B370,$I$2:$T$2))*Y373+SUMIF($I$1:$T$1,B370,$I$2:$T$2)*Z373</f>
        <v>0</v>
      </c>
      <c r="AA374" s="399">
        <f>(1-SUMIF($I$1:$T$1,B370,$I$2:$T$2))*Z373+SUMIF($I$1:$T$1,B370,$I$2:$T$2)*AA373</f>
        <v>0</v>
      </c>
      <c r="AB374" s="404">
        <f>(1-SUMIF($I$1:$T$1,B370,$I$2:$T$2))*AA373+SUMIF($I$1:$T$1,B370,$I$2:$T$2)*AB373</f>
        <v>0</v>
      </c>
      <c r="AC374" s="386">
        <f>(1-SUMIF($I$1:$T$1,B370,$I$2:$T$2))*AB373+SUMIF($I$1:$T$1,B370,$I$2:$T$2)*AC373</f>
        <v>0</v>
      </c>
      <c r="AD374" s="399">
        <f>(1-SUMIF($I$1:$T$1,B370,$I$2:$T$2))*AC373+SUMIF($I$1:$T$1,B370,$I$2:$T$2)*AD373</f>
        <v>0</v>
      </c>
      <c r="AE374" s="399">
        <f>(1-SUMIF($I$1:$T$1,B370,$I$2:$T$2))*AD373+SUMIF($I$1:$T$1,B370,$I$2:$T$2)*AE373</f>
        <v>0</v>
      </c>
      <c r="AF374" s="404">
        <f>(1-SUMIF($I$1:$T$1,B370,$I$2:$T$2))*AE373+SUMIF($I$1:$T$1,B370,$I$2:$T$2)*AF373</f>
        <v>0</v>
      </c>
      <c r="AG374" s="386">
        <f>(1-SUMIF($I$1:$T$1,B370,$I$2:$T$2))*AF373+SUMIF($I$1:$T$1,B370,$I$2:$T$2)*AG373</f>
        <v>0</v>
      </c>
      <c r="AH374" s="399">
        <f>(1-SUMIF($I$1:$T$1,B370,$I$2:$T$2))*AG373+SUMIF($I$1:$T$1,B370,$I$2:$T$2)*AH373</f>
        <v>0</v>
      </c>
      <c r="AI374" s="399">
        <f>(1-SUMIF($I$1:$T$1,B370,$I$2:$T$2))*AH373+SUMIF($I$1:$T$1,B370,$I$2:$T$2)*AI373</f>
        <v>0</v>
      </c>
      <c r="AJ374" s="404">
        <f>(1-SUMIF($I$1:$T$1,B370,$I$2:$T$2))*AI373+SUMIF($I$1:$T$1,B370,$I$2:$T$2)*AJ373</f>
        <v>0</v>
      </c>
      <c r="AK374" s="386">
        <f>(1-SUMIF($I$1:$T$1,B370,$I$2:$T$2))*AJ373+SUMIF($I$1:$T$1,B370,$I$2:$T$2)*AK373</f>
        <v>0</v>
      </c>
      <c r="AL374" s="399">
        <f>(1-SUMIF($I$1:$T$1,B370,$I$2:$T$2))*AK373+SUMIF($I$1:$T$1,B370,$I$2:$T$2)*AL373</f>
        <v>0</v>
      </c>
      <c r="AM374" s="399">
        <f>(1-SUMIF($I$1:$T$1,B370,$I$2:$T$2))*AL373+SUMIF($I$1:$T$1,B370,$I$2:$T$2)*AM373</f>
        <v>0</v>
      </c>
      <c r="AN374" s="404">
        <f>(1-SUMIF($I$1:$T$1,B370,$I$2:$T$2))*AM373+SUMIF($I$1:$T$1,B370,$I$2:$T$2)*AN373</f>
        <v>0</v>
      </c>
      <c r="AO374" s="386">
        <f>(1-SUMIF($I$1:$T$1,B370,$I$2:$T$2))*AN373+SUMIF($I$1:$T$1,B370,$I$2:$T$2)*AO373</f>
        <v>0</v>
      </c>
      <c r="AP374" s="399">
        <f>(1-SUMIF($I$1:$T$1,B370,$I$2:$T$2))*AO373+SUMIF($I$1:$T$1,B370,$I$2:$T$2)*AP373</f>
        <v>0</v>
      </c>
      <c r="AQ374" s="399">
        <f>(1-SUMIF($I$1:$T$1,B370,$I$2:$T$2))*AP373+SUMIF($I$1:$T$1,B370,$I$2:$T$2)*AQ373</f>
        <v>0</v>
      </c>
      <c r="AR374" s="404">
        <f>(1-SUMIF($I$1:$T$1,B370,$I$2:$T$2))*AQ373+SUMIF($I$1:$T$1,B370,$I$2:$T$2)*AR373</f>
        <v>0</v>
      </c>
      <c r="AS374" s="386">
        <f>(1-SUMIF($I$1:$T$1,B370,$I$2:$T$2))*AR373+SUMIF($I$1:$T$1,B370,$I$2:$T$2)*AS373</f>
        <v>0</v>
      </c>
      <c r="AT374" s="399">
        <f>(1-SUMIF($I$1:$T$1,B370,$I$2:$T$2))*AS373+SUMIF($I$1:$T$1,B370,$I$2:$T$2)*AT373</f>
        <v>0</v>
      </c>
      <c r="AU374" s="399">
        <f>(1-SUMIF($I$1:$T$1,B370,$I$2:$T$2))*AT373+SUMIF($I$1:$T$1,B370,$I$2:$T$2)*AU373</f>
        <v>0</v>
      </c>
      <c r="AV374" s="404">
        <f>(1-SUMIF($I$1:$T$1,B370,$I$2:$T$2))*AU373+SUMIF($I$1:$T$1,B370,$I$2:$T$2)*AV373</f>
        <v>0</v>
      </c>
      <c r="AW374" s="424" t="str">
        <f t="shared" si="251"/>
        <v>商铺</v>
      </c>
    </row>
    <row r="375" spans="1:49" s="424" customFormat="1" ht="13.5" customHeight="1" outlineLevel="1">
      <c r="A375" s="1947"/>
      <c r="B375" s="1949" t="str">
        <f>'9.项目开发计划表'!C59</f>
        <v>回迁商业</v>
      </c>
      <c r="C375" s="456" t="s">
        <v>880</v>
      </c>
      <c r="D375" s="457">
        <f>IF(D377=0,0,D378/D377*10000)</f>
        <v>0</v>
      </c>
      <c r="E375" s="505"/>
      <c r="F375" s="506"/>
      <c r="G375" s="506"/>
      <c r="H375" s="507"/>
      <c r="I375" s="505"/>
      <c r="J375" s="506"/>
      <c r="K375" s="506"/>
      <c r="L375" s="507"/>
      <c r="M375" s="505"/>
      <c r="N375" s="506"/>
      <c r="O375" s="506"/>
      <c r="P375" s="507"/>
      <c r="Q375" s="505"/>
      <c r="R375" s="506"/>
      <c r="S375" s="506"/>
      <c r="T375" s="507"/>
      <c r="U375" s="505"/>
      <c r="V375" s="506"/>
      <c r="W375" s="506"/>
      <c r="X375" s="489"/>
      <c r="Y375" s="489"/>
      <c r="Z375" s="489"/>
      <c r="AA375" s="489"/>
      <c r="AB375" s="489"/>
      <c r="AC375" s="489"/>
      <c r="AD375" s="489"/>
      <c r="AE375" s="489"/>
      <c r="AF375" s="507"/>
      <c r="AG375" s="505"/>
      <c r="AH375" s="506"/>
      <c r="AI375" s="506"/>
      <c r="AJ375" s="507"/>
      <c r="AK375" s="505"/>
      <c r="AL375" s="506"/>
      <c r="AM375" s="506"/>
      <c r="AN375" s="507"/>
      <c r="AO375" s="505"/>
      <c r="AP375" s="506"/>
      <c r="AQ375" s="506"/>
      <c r="AR375" s="507"/>
      <c r="AS375" s="505"/>
      <c r="AT375" s="506"/>
      <c r="AU375" s="506"/>
      <c r="AV375" s="507"/>
      <c r="AW375" s="424" t="str">
        <f>B375</f>
        <v>回迁商业</v>
      </c>
    </row>
    <row r="376" spans="1:49" ht="13.5" customHeight="1" outlineLevel="1">
      <c r="A376" s="1947"/>
      <c r="B376" s="1949"/>
      <c r="C376" s="461" t="s">
        <v>881</v>
      </c>
      <c r="D376" s="462">
        <f t="shared" ref="D376:D379" si="253">SUM(E376:AV376)</f>
        <v>0</v>
      </c>
      <c r="E376" s="494"/>
      <c r="F376" s="491"/>
      <c r="G376" s="491"/>
      <c r="H376" s="493"/>
      <c r="I376" s="494"/>
      <c r="J376" s="491"/>
      <c r="K376" s="491"/>
      <c r="L376" s="493"/>
      <c r="M376" s="494"/>
      <c r="N376" s="491"/>
      <c r="O376" s="491"/>
      <c r="P376" s="493"/>
      <c r="Q376" s="494"/>
      <c r="R376" s="491"/>
      <c r="S376" s="491"/>
      <c r="T376" s="493"/>
      <c r="U376" s="494"/>
      <c r="V376" s="491"/>
      <c r="W376" s="491"/>
      <c r="X376" s="490"/>
      <c r="Y376" s="490"/>
      <c r="Z376" s="490"/>
      <c r="AA376" s="490"/>
      <c r="AB376" s="490"/>
      <c r="AC376" s="490"/>
      <c r="AD376" s="490"/>
      <c r="AE376" s="490"/>
      <c r="AF376" s="493"/>
      <c r="AG376" s="494"/>
      <c r="AH376" s="491"/>
      <c r="AI376" s="491"/>
      <c r="AJ376" s="493"/>
      <c r="AK376" s="494"/>
      <c r="AL376" s="491"/>
      <c r="AM376" s="491"/>
      <c r="AN376" s="493"/>
      <c r="AO376" s="494"/>
      <c r="AP376" s="491"/>
      <c r="AQ376" s="491"/>
      <c r="AR376" s="493"/>
      <c r="AS376" s="494"/>
      <c r="AT376" s="491"/>
      <c r="AU376" s="491"/>
      <c r="AV376" s="493"/>
      <c r="AW376" s="424" t="str">
        <f>AW375</f>
        <v>回迁商业</v>
      </c>
    </row>
    <row r="377" spans="1:49" s="424" customFormat="1" ht="13.5" customHeight="1" outlineLevel="1">
      <c r="A377" s="1947"/>
      <c r="B377" s="1949"/>
      <c r="C377" s="461" t="s">
        <v>682</v>
      </c>
      <c r="D377" s="466">
        <f t="shared" si="253"/>
        <v>0</v>
      </c>
      <c r="E377" s="382">
        <f>E376*'9.项目开发计划表'!$G$59</f>
        <v>0</v>
      </c>
      <c r="F377" s="397">
        <f>F376*'9.项目开发计划表'!$G$59</f>
        <v>0</v>
      </c>
      <c r="G377" s="397">
        <f>G376*'9.项目开发计划表'!$G$59</f>
        <v>0</v>
      </c>
      <c r="H377" s="467">
        <f>H376*'9.项目开发计划表'!$G$59</f>
        <v>0</v>
      </c>
      <c r="I377" s="382">
        <f>I376*'9.项目开发计划表'!$G$59</f>
        <v>0</v>
      </c>
      <c r="J377" s="397">
        <f>J376*'9.项目开发计划表'!$G$59</f>
        <v>0</v>
      </c>
      <c r="K377" s="397">
        <f>K376*'9.项目开发计划表'!$G$59</f>
        <v>0</v>
      </c>
      <c r="L377" s="467">
        <f>L376*'9.项目开发计划表'!$G$59</f>
        <v>0</v>
      </c>
      <c r="M377" s="382">
        <f>M376*'9.项目开发计划表'!$G$59</f>
        <v>0</v>
      </c>
      <c r="N377" s="397">
        <f>N376*'9.项目开发计划表'!$G$59</f>
        <v>0</v>
      </c>
      <c r="O377" s="397">
        <f>O376*'9.项目开发计划表'!$G$59</f>
        <v>0</v>
      </c>
      <c r="P377" s="467">
        <f>P376*'9.项目开发计划表'!$G$59</f>
        <v>0</v>
      </c>
      <c r="Q377" s="382">
        <f>Q376*'9.项目开发计划表'!$G$59</f>
        <v>0</v>
      </c>
      <c r="R377" s="397">
        <f>R376*'9.项目开发计划表'!$G$59</f>
        <v>0</v>
      </c>
      <c r="S377" s="397">
        <f>S376*'9.项目开发计划表'!$G$59</f>
        <v>0</v>
      </c>
      <c r="T377" s="467">
        <f>T376*'9.项目开发计划表'!$G$59</f>
        <v>0</v>
      </c>
      <c r="U377" s="382">
        <f>U376*'9.项目开发计划表'!$G$59</f>
        <v>0</v>
      </c>
      <c r="V377" s="397">
        <f>V376*'9.项目开发计划表'!$G$59</f>
        <v>0</v>
      </c>
      <c r="W377" s="397">
        <f>W376*'9.项目开发计划表'!$G$59</f>
        <v>0</v>
      </c>
      <c r="X377" s="467">
        <f>X376*'9.项目开发计划表'!$G$59</f>
        <v>0</v>
      </c>
      <c r="Y377" s="382">
        <f>Y376*'9.项目开发计划表'!$G$59</f>
        <v>0</v>
      </c>
      <c r="Z377" s="397">
        <f>Z376*'9.项目开发计划表'!$G$59</f>
        <v>0</v>
      </c>
      <c r="AA377" s="397">
        <f>AA376*'9.项目开发计划表'!$G$59</f>
        <v>0</v>
      </c>
      <c r="AB377" s="467">
        <f>AB376*'9.项目开发计划表'!$G$59</f>
        <v>0</v>
      </c>
      <c r="AC377" s="382">
        <f>AC376*'9.项目开发计划表'!$G$59</f>
        <v>0</v>
      </c>
      <c r="AD377" s="397">
        <f>AD376*'9.项目开发计划表'!$G$59</f>
        <v>0</v>
      </c>
      <c r="AE377" s="397">
        <f>AE376*'9.项目开发计划表'!$G$59</f>
        <v>0</v>
      </c>
      <c r="AF377" s="467">
        <f>AF376*'9.项目开发计划表'!$G$59</f>
        <v>0</v>
      </c>
      <c r="AG377" s="382">
        <f>AG376*'9.项目开发计划表'!$G$59</f>
        <v>0</v>
      </c>
      <c r="AH377" s="397">
        <f>AH376*'9.项目开发计划表'!$G$59</f>
        <v>0</v>
      </c>
      <c r="AI377" s="397">
        <f>AI376*'9.项目开发计划表'!$G$59</f>
        <v>0</v>
      </c>
      <c r="AJ377" s="467">
        <f>AJ376*'9.项目开发计划表'!$G$59</f>
        <v>0</v>
      </c>
      <c r="AK377" s="382">
        <f>AK376*'9.项目开发计划表'!$G$59</f>
        <v>0</v>
      </c>
      <c r="AL377" s="397">
        <f>AL376*'9.项目开发计划表'!$G$59</f>
        <v>0</v>
      </c>
      <c r="AM377" s="397">
        <f>AM376*'9.项目开发计划表'!$G$59</f>
        <v>0</v>
      </c>
      <c r="AN377" s="467">
        <f>AN376*'9.项目开发计划表'!$G$59</f>
        <v>0</v>
      </c>
      <c r="AO377" s="382">
        <f>AO376*'9.项目开发计划表'!$G$59</f>
        <v>0</v>
      </c>
      <c r="AP377" s="397">
        <f>AP376*'9.项目开发计划表'!$G$59</f>
        <v>0</v>
      </c>
      <c r="AQ377" s="397">
        <f>AQ376*'9.项目开发计划表'!$G$59</f>
        <v>0</v>
      </c>
      <c r="AR377" s="467">
        <f>AR376*'9.项目开发计划表'!$G$59</f>
        <v>0</v>
      </c>
      <c r="AS377" s="382">
        <f>AS376*'9.项目开发计划表'!$G$59</f>
        <v>0</v>
      </c>
      <c r="AT377" s="397">
        <f>AT376*'9.项目开发计划表'!$G$59</f>
        <v>0</v>
      </c>
      <c r="AU377" s="397">
        <f>AU376*'9.项目开发计划表'!$G$59</f>
        <v>0</v>
      </c>
      <c r="AV377" s="467">
        <f>AV376*'9.项目开发计划表'!$G$59</f>
        <v>0</v>
      </c>
      <c r="AW377" s="424" t="str">
        <f t="shared" si="251"/>
        <v>回迁商业</v>
      </c>
    </row>
    <row r="378" spans="1:49" s="424" customFormat="1" ht="13.5" customHeight="1" outlineLevel="1">
      <c r="A378" s="1947"/>
      <c r="B378" s="1949"/>
      <c r="C378" s="461" t="s">
        <v>882</v>
      </c>
      <c r="D378" s="466">
        <f t="shared" si="253"/>
        <v>0</v>
      </c>
      <c r="E378" s="382">
        <f t="shared" ref="E378:AV378" si="254">E375*E377/10000</f>
        <v>0</v>
      </c>
      <c r="F378" s="397">
        <f t="shared" si="254"/>
        <v>0</v>
      </c>
      <c r="G378" s="397">
        <f t="shared" si="254"/>
        <v>0</v>
      </c>
      <c r="H378" s="467">
        <f t="shared" si="254"/>
        <v>0</v>
      </c>
      <c r="I378" s="382">
        <f t="shared" si="254"/>
        <v>0</v>
      </c>
      <c r="J378" s="397">
        <f t="shared" si="254"/>
        <v>0</v>
      </c>
      <c r="K378" s="397">
        <f t="shared" si="254"/>
        <v>0</v>
      </c>
      <c r="L378" s="467">
        <f t="shared" si="254"/>
        <v>0</v>
      </c>
      <c r="M378" s="382">
        <f t="shared" si="254"/>
        <v>0</v>
      </c>
      <c r="N378" s="397">
        <f t="shared" si="254"/>
        <v>0</v>
      </c>
      <c r="O378" s="397">
        <f t="shared" si="254"/>
        <v>0</v>
      </c>
      <c r="P378" s="467">
        <f t="shared" si="254"/>
        <v>0</v>
      </c>
      <c r="Q378" s="382">
        <f t="shared" si="254"/>
        <v>0</v>
      </c>
      <c r="R378" s="397">
        <f t="shared" si="254"/>
        <v>0</v>
      </c>
      <c r="S378" s="397">
        <f t="shared" si="254"/>
        <v>0</v>
      </c>
      <c r="T378" s="467">
        <f t="shared" si="254"/>
        <v>0</v>
      </c>
      <c r="U378" s="382">
        <f t="shared" si="254"/>
        <v>0</v>
      </c>
      <c r="V378" s="397">
        <f t="shared" si="254"/>
        <v>0</v>
      </c>
      <c r="W378" s="397">
        <f t="shared" si="254"/>
        <v>0</v>
      </c>
      <c r="X378" s="467">
        <f t="shared" si="254"/>
        <v>0</v>
      </c>
      <c r="Y378" s="382">
        <f t="shared" si="254"/>
        <v>0</v>
      </c>
      <c r="Z378" s="397">
        <f t="shared" si="254"/>
        <v>0</v>
      </c>
      <c r="AA378" s="397">
        <f t="shared" si="254"/>
        <v>0</v>
      </c>
      <c r="AB378" s="467">
        <f t="shared" si="254"/>
        <v>0</v>
      </c>
      <c r="AC378" s="382">
        <f t="shared" si="254"/>
        <v>0</v>
      </c>
      <c r="AD378" s="397">
        <f t="shared" si="254"/>
        <v>0</v>
      </c>
      <c r="AE378" s="397">
        <f t="shared" si="254"/>
        <v>0</v>
      </c>
      <c r="AF378" s="467">
        <f t="shared" si="254"/>
        <v>0</v>
      </c>
      <c r="AG378" s="382">
        <f t="shared" si="254"/>
        <v>0</v>
      </c>
      <c r="AH378" s="397">
        <f t="shared" si="254"/>
        <v>0</v>
      </c>
      <c r="AI378" s="397">
        <f t="shared" si="254"/>
        <v>0</v>
      </c>
      <c r="AJ378" s="467">
        <f t="shared" si="254"/>
        <v>0</v>
      </c>
      <c r="AK378" s="382">
        <f t="shared" si="254"/>
        <v>0</v>
      </c>
      <c r="AL378" s="397">
        <f t="shared" si="254"/>
        <v>0</v>
      </c>
      <c r="AM378" s="397">
        <f t="shared" si="254"/>
        <v>0</v>
      </c>
      <c r="AN378" s="467">
        <f t="shared" si="254"/>
        <v>0</v>
      </c>
      <c r="AO378" s="382">
        <f t="shared" si="254"/>
        <v>0</v>
      </c>
      <c r="AP378" s="397">
        <f t="shared" si="254"/>
        <v>0</v>
      </c>
      <c r="AQ378" s="397">
        <f t="shared" si="254"/>
        <v>0</v>
      </c>
      <c r="AR378" s="467">
        <f t="shared" si="254"/>
        <v>0</v>
      </c>
      <c r="AS378" s="382">
        <f t="shared" si="254"/>
        <v>0</v>
      </c>
      <c r="AT378" s="397">
        <f t="shared" si="254"/>
        <v>0</v>
      </c>
      <c r="AU378" s="397">
        <f t="shared" si="254"/>
        <v>0</v>
      </c>
      <c r="AV378" s="467">
        <f t="shared" si="254"/>
        <v>0</v>
      </c>
      <c r="AW378" s="424" t="str">
        <f t="shared" si="251"/>
        <v>回迁商业</v>
      </c>
    </row>
    <row r="379" spans="1:49" s="424" customFormat="1" ht="13.5" customHeight="1" outlineLevel="1">
      <c r="A379" s="1947"/>
      <c r="B379" s="1949"/>
      <c r="C379" s="508" t="s">
        <v>450</v>
      </c>
      <c r="D379" s="468">
        <f t="shared" si="253"/>
        <v>0</v>
      </c>
      <c r="E379" s="386">
        <f>SUMIF($I$1:$T$1,B375,$I$2:$T$2)*E378</f>
        <v>0</v>
      </c>
      <c r="F379" s="399">
        <f>(1-SUMIF($I$1:$T$1,B375,$I$2:$T$2))*E378+SUMIF($I$1:$T$1,B375,$I$2:$T$2)*F378</f>
        <v>0</v>
      </c>
      <c r="G379" s="399">
        <f>(1-SUMIF($I$1:$T$1,B375,$I$2:$T$2))*F378+SUMIF($I$1:$T$1,B375,$I$2:$T$2)*G378</f>
        <v>0</v>
      </c>
      <c r="H379" s="404">
        <f>(1-SUMIF($I$1:$T$1,B375,$I$2:$T$2))*G378+SUMIF($I$1:$T$1,B375,$I$2:$T$2)*H378</f>
        <v>0</v>
      </c>
      <c r="I379" s="386">
        <f>(1-SUMIF($I$1:$T$1,B375,$I$2:$T$2))*H378+SUMIF($I$1:$T$1,B375,$I$2:$T$2)*I378</f>
        <v>0</v>
      </c>
      <c r="J379" s="399">
        <f>(1-SUMIF($I$1:$T$1,B375,$I$2:$T$2))*I378+SUMIF($I$1:$T$1,B375,$I$2:$T$2)*J378</f>
        <v>0</v>
      </c>
      <c r="K379" s="399">
        <f>(1-SUMIF($I$1:$T$1,B375,$I$2:$T$2))*J378+SUMIF($I$1:$T$1,B375,$I$2:$T$2)*K378</f>
        <v>0</v>
      </c>
      <c r="L379" s="404">
        <f>(1-SUMIF($I$1:$T$1,B375,$I$2:$T$2))*K378+SUMIF($I$1:$T$1,B375,$I$2:$T$2)*L378</f>
        <v>0</v>
      </c>
      <c r="M379" s="386">
        <f>(1-SUMIF($I$1:$T$1,B375,$I$2:$T$2))*L378+SUMIF($I$1:$T$1,B375,$I$2:$T$2)*M378</f>
        <v>0</v>
      </c>
      <c r="N379" s="399">
        <f>(1-SUMIF($I$1:$T$1,B375,$I$2:$T$2))*M378+SUMIF($I$1:$T$1,B375,$I$2:$T$2)*N378</f>
        <v>0</v>
      </c>
      <c r="O379" s="399">
        <f>(1-SUMIF($I$1:$T$1,B375,$I$2:$T$2))*N378+SUMIF($I$1:$T$1,B375,$I$2:$T$2)*O378</f>
        <v>0</v>
      </c>
      <c r="P379" s="404">
        <f>(1-SUMIF($I$1:$T$1,B375,$I$2:$T$2))*O378+SUMIF($I$1:$T$1,B375,$I$2:$T$2)*P378</f>
        <v>0</v>
      </c>
      <c r="Q379" s="386">
        <f>(1-SUMIF($I$1:$T$1,B375,$I$2:$T$2))*P378+SUMIF($I$1:$T$1,B375,$I$2:$T$2)*Q378</f>
        <v>0</v>
      </c>
      <c r="R379" s="399">
        <f>(1-SUMIF($I$1:$T$1,B375,$I$2:$T$2))*Q378+SUMIF($I$1:$T$1,B375,$I$2:$T$2)*R378</f>
        <v>0</v>
      </c>
      <c r="S379" s="399">
        <f>(1-SUMIF($I$1:$T$1,B375,$I$2:$T$2))*R378+SUMIF($I$1:$T$1,B375,$I$2:$T$2)*S378</f>
        <v>0</v>
      </c>
      <c r="T379" s="404">
        <f>(1-SUMIF($I$1:$T$1,B375,$I$2:$T$2))*S378+SUMIF($I$1:$T$1,B375,$I$2:$T$2)*T378</f>
        <v>0</v>
      </c>
      <c r="U379" s="386">
        <f>(1-SUMIF($I$1:$T$1,B375,$I$2:$T$2))*T378+SUMIF($I$1:$T$1,B375,$I$2:$T$2)*U378</f>
        <v>0</v>
      </c>
      <c r="V379" s="399">
        <f>(1-SUMIF($I$1:$T$1,B375,$I$2:$T$2))*U378+SUMIF($I$1:$T$1,B375,$I$2:$T$2)*V378</f>
        <v>0</v>
      </c>
      <c r="W379" s="399">
        <f>(1-SUMIF($I$1:$T$1,B375,$I$2:$T$2))*V378+SUMIF($I$1:$T$1,B375,$I$2:$T$2)*W378</f>
        <v>0</v>
      </c>
      <c r="X379" s="404">
        <f>(1-SUMIF($I$1:$T$1,B375,$I$2:$T$2))*W378+SUMIF($I$1:$T$1,B375,$I$2:$T$2)*X378</f>
        <v>0</v>
      </c>
      <c r="Y379" s="386">
        <f>(1-SUMIF($I$1:$T$1,B375,$I$2:$T$2))*X378+SUMIF($I$1:$T$1,B375,$I$2:$T$2)*Y378</f>
        <v>0</v>
      </c>
      <c r="Z379" s="399">
        <f>(1-SUMIF($I$1:$T$1,B375,$I$2:$T$2))*Y378+SUMIF($I$1:$T$1,B375,$I$2:$T$2)*Z378</f>
        <v>0</v>
      </c>
      <c r="AA379" s="399">
        <f>(1-SUMIF($I$1:$T$1,B375,$I$2:$T$2))*Z378+SUMIF($I$1:$T$1,B375,$I$2:$T$2)*AA378</f>
        <v>0</v>
      </c>
      <c r="AB379" s="404">
        <f>(1-SUMIF($I$1:$T$1,B375,$I$2:$T$2))*AA378+SUMIF($I$1:$T$1,B375,$I$2:$T$2)*AB378</f>
        <v>0</v>
      </c>
      <c r="AC379" s="386">
        <f>(1-SUMIF($I$1:$T$1,B375,$I$2:$T$2))*AB378+SUMIF($I$1:$T$1,B375,$I$2:$T$2)*AC378</f>
        <v>0</v>
      </c>
      <c r="AD379" s="399">
        <f>(1-SUMIF($I$1:$T$1,B375,$I$2:$T$2))*AC378+SUMIF($I$1:$T$1,B375,$I$2:$T$2)*AD378</f>
        <v>0</v>
      </c>
      <c r="AE379" s="399">
        <f>(1-SUMIF($I$1:$T$1,B375,$I$2:$T$2))*AD378+SUMIF($I$1:$T$1,B375,$I$2:$T$2)*AE378</f>
        <v>0</v>
      </c>
      <c r="AF379" s="404">
        <f>(1-SUMIF($I$1:$T$1,B375,$I$2:$T$2))*AE378+SUMIF($I$1:$T$1,B375,$I$2:$T$2)*AF378</f>
        <v>0</v>
      </c>
      <c r="AG379" s="386">
        <f>(1-SUMIF($I$1:$T$1,B375,$I$2:$T$2))*AF378+SUMIF($I$1:$T$1,B375,$I$2:$T$2)*AG378</f>
        <v>0</v>
      </c>
      <c r="AH379" s="399">
        <f>(1-SUMIF($I$1:$T$1,B375,$I$2:$T$2))*AG378+SUMIF($I$1:$T$1,B375,$I$2:$T$2)*AH378</f>
        <v>0</v>
      </c>
      <c r="AI379" s="399">
        <f>(1-SUMIF($I$1:$T$1,B375,$I$2:$T$2))*AH378+SUMIF($I$1:$T$1,B375,$I$2:$T$2)*AI378</f>
        <v>0</v>
      </c>
      <c r="AJ379" s="404">
        <f>(1-SUMIF($I$1:$T$1,B375,$I$2:$T$2))*AI378+SUMIF($I$1:$T$1,B375,$I$2:$T$2)*AJ378</f>
        <v>0</v>
      </c>
      <c r="AK379" s="386">
        <f>(1-SUMIF($I$1:$T$1,B375,$I$2:$T$2))*AJ378+SUMIF($I$1:$T$1,B375,$I$2:$T$2)*AK378</f>
        <v>0</v>
      </c>
      <c r="AL379" s="399">
        <f>(1-SUMIF($I$1:$T$1,B375,$I$2:$T$2))*AK378+SUMIF($I$1:$T$1,B375,$I$2:$T$2)*AL378</f>
        <v>0</v>
      </c>
      <c r="AM379" s="399">
        <f>(1-SUMIF($I$1:$T$1,B375,$I$2:$T$2))*AL378+SUMIF($I$1:$T$1,B375,$I$2:$T$2)*AM378</f>
        <v>0</v>
      </c>
      <c r="AN379" s="404">
        <f>(1-SUMIF($I$1:$T$1,B375,$I$2:$T$2))*AM378+SUMIF($I$1:$T$1,B375,$I$2:$T$2)*AN378</f>
        <v>0</v>
      </c>
      <c r="AO379" s="386">
        <f>(1-SUMIF($I$1:$T$1,B375,$I$2:$T$2))*AN378+SUMIF($I$1:$T$1,B375,$I$2:$T$2)*AO378</f>
        <v>0</v>
      </c>
      <c r="AP379" s="399">
        <f>(1-SUMIF($I$1:$T$1,B375,$I$2:$T$2))*AO378+SUMIF($I$1:$T$1,B375,$I$2:$T$2)*AP378</f>
        <v>0</v>
      </c>
      <c r="AQ379" s="399">
        <f>(1-SUMIF($I$1:$T$1,B375,$I$2:$T$2))*AP378+SUMIF($I$1:$T$1,B375,$I$2:$T$2)*AQ378</f>
        <v>0</v>
      </c>
      <c r="AR379" s="404">
        <f>(1-SUMIF($I$1:$T$1,B375,$I$2:$T$2))*AQ378+SUMIF($I$1:$T$1,B375,$I$2:$T$2)*AR378</f>
        <v>0</v>
      </c>
      <c r="AS379" s="386">
        <f>(1-SUMIF($I$1:$T$1,B375,$I$2:$T$2))*AR378+SUMIF($I$1:$T$1,B375,$I$2:$T$2)*AS378</f>
        <v>0</v>
      </c>
      <c r="AT379" s="399">
        <f>(1-SUMIF($I$1:$T$1,B375,$I$2:$T$2))*AS378+SUMIF($I$1:$T$1,B375,$I$2:$T$2)*AT378</f>
        <v>0</v>
      </c>
      <c r="AU379" s="399">
        <f>(1-SUMIF($I$1:$T$1,B375,$I$2:$T$2))*AT378+SUMIF($I$1:$T$1,B375,$I$2:$T$2)*AU378</f>
        <v>0</v>
      </c>
      <c r="AV379" s="404">
        <f>(1-SUMIF($I$1:$T$1,B375,$I$2:$T$2))*AU378+SUMIF($I$1:$T$1,B375,$I$2:$T$2)*AV378</f>
        <v>0</v>
      </c>
      <c r="AW379" s="424" t="str">
        <f t="shared" si="251"/>
        <v>回迁商业</v>
      </c>
    </row>
    <row r="380" spans="1:49" s="424" customFormat="1" ht="13.5" customHeight="1" outlineLevel="1">
      <c r="A380" s="1947"/>
      <c r="B380" s="1949">
        <f>'9.项目开发计划表'!C60</f>
        <v>0</v>
      </c>
      <c r="C380" s="456" t="s">
        <v>880</v>
      </c>
      <c r="D380" s="457">
        <f>IF(D382=0,0,D383/D382*10000)</f>
        <v>0</v>
      </c>
      <c r="E380" s="505"/>
      <c r="F380" s="506"/>
      <c r="G380" s="506"/>
      <c r="H380" s="507"/>
      <c r="I380" s="505"/>
      <c r="J380" s="506"/>
      <c r="K380" s="506"/>
      <c r="L380" s="507"/>
      <c r="M380" s="505"/>
      <c r="N380" s="506"/>
      <c r="O380" s="506"/>
      <c r="P380" s="507"/>
      <c r="Q380" s="505"/>
      <c r="R380" s="506"/>
      <c r="S380" s="506"/>
      <c r="T380" s="507"/>
      <c r="U380" s="489"/>
      <c r="V380" s="489"/>
      <c r="W380" s="489"/>
      <c r="X380" s="489"/>
      <c r="Y380" s="489"/>
      <c r="Z380" s="489"/>
      <c r="AA380" s="489"/>
      <c r="AB380" s="489"/>
      <c r="AC380" s="489"/>
      <c r="AD380" s="489"/>
      <c r="AE380" s="506"/>
      <c r="AF380" s="507"/>
      <c r="AG380" s="505"/>
      <c r="AH380" s="506"/>
      <c r="AI380" s="506"/>
      <c r="AJ380" s="507"/>
      <c r="AK380" s="505"/>
      <c r="AL380" s="506"/>
      <c r="AM380" s="506"/>
      <c r="AN380" s="507"/>
      <c r="AO380" s="505"/>
      <c r="AP380" s="506"/>
      <c r="AQ380" s="506"/>
      <c r="AR380" s="507"/>
      <c r="AS380" s="505"/>
      <c r="AT380" s="506"/>
      <c r="AU380" s="506"/>
      <c r="AV380" s="507"/>
      <c r="AW380" s="424">
        <f>B380</f>
        <v>0</v>
      </c>
    </row>
    <row r="381" spans="1:49" ht="13.5" customHeight="1" outlineLevel="1">
      <c r="A381" s="1947"/>
      <c r="B381" s="1949"/>
      <c r="C381" s="461" t="s">
        <v>881</v>
      </c>
      <c r="D381" s="462">
        <f t="shared" ref="D381:D384" si="255">SUM(E381:AV381)</f>
        <v>0</v>
      </c>
      <c r="E381" s="494"/>
      <c r="F381" s="491"/>
      <c r="G381" s="491"/>
      <c r="H381" s="493"/>
      <c r="I381" s="494"/>
      <c r="J381" s="491"/>
      <c r="K381" s="491"/>
      <c r="L381" s="493"/>
      <c r="M381" s="494"/>
      <c r="N381" s="491"/>
      <c r="O381" s="491"/>
      <c r="P381" s="493"/>
      <c r="Q381" s="494"/>
      <c r="R381" s="491"/>
      <c r="S381" s="491"/>
      <c r="T381" s="493"/>
      <c r="U381" s="490"/>
      <c r="V381" s="490"/>
      <c r="W381" s="490"/>
      <c r="X381" s="490"/>
      <c r="Y381" s="490"/>
      <c r="Z381" s="490"/>
      <c r="AA381" s="490"/>
      <c r="AB381" s="490"/>
      <c r="AC381" s="490"/>
      <c r="AD381" s="490"/>
      <c r="AE381" s="491"/>
      <c r="AF381" s="493"/>
      <c r="AG381" s="494"/>
      <c r="AH381" s="491"/>
      <c r="AI381" s="491"/>
      <c r="AJ381" s="493"/>
      <c r="AK381" s="494"/>
      <c r="AL381" s="491"/>
      <c r="AM381" s="491"/>
      <c r="AN381" s="493"/>
      <c r="AO381" s="494"/>
      <c r="AP381" s="491"/>
      <c r="AQ381" s="491"/>
      <c r="AR381" s="493"/>
      <c r="AS381" s="494"/>
      <c r="AT381" s="491"/>
      <c r="AU381" s="491"/>
      <c r="AV381" s="493"/>
      <c r="AW381" s="424">
        <f>AW380</f>
        <v>0</v>
      </c>
    </row>
    <row r="382" spans="1:49" s="424" customFormat="1" ht="13.5" customHeight="1" outlineLevel="1">
      <c r="A382" s="1947"/>
      <c r="B382" s="1949"/>
      <c r="C382" s="461" t="s">
        <v>682</v>
      </c>
      <c r="D382" s="466">
        <f t="shared" si="255"/>
        <v>0</v>
      </c>
      <c r="E382" s="382">
        <f>E381*'9.项目开发计划表'!$G$60</f>
        <v>0</v>
      </c>
      <c r="F382" s="397">
        <f>F381*'9.项目开发计划表'!$G$60</f>
        <v>0</v>
      </c>
      <c r="G382" s="397">
        <f>G381*'9.项目开发计划表'!$G$60</f>
        <v>0</v>
      </c>
      <c r="H382" s="467">
        <f>H381*'9.项目开发计划表'!$G$60</f>
        <v>0</v>
      </c>
      <c r="I382" s="382">
        <f>I381*'9.项目开发计划表'!$G$60</f>
        <v>0</v>
      </c>
      <c r="J382" s="397">
        <f>J381*'9.项目开发计划表'!$G$60</f>
        <v>0</v>
      </c>
      <c r="K382" s="397">
        <f>K381*'9.项目开发计划表'!$G$60</f>
        <v>0</v>
      </c>
      <c r="L382" s="467">
        <f>L381*'9.项目开发计划表'!$G$60</f>
        <v>0</v>
      </c>
      <c r="M382" s="382">
        <f>M381*'9.项目开发计划表'!$G$60</f>
        <v>0</v>
      </c>
      <c r="N382" s="397">
        <f>N381*'9.项目开发计划表'!$G$60</f>
        <v>0</v>
      </c>
      <c r="O382" s="397">
        <f>O381*'9.项目开发计划表'!$G$60</f>
        <v>0</v>
      </c>
      <c r="P382" s="467">
        <f>P381*'9.项目开发计划表'!$G$60</f>
        <v>0</v>
      </c>
      <c r="Q382" s="382">
        <f>Q381*'9.项目开发计划表'!$G$60</f>
        <v>0</v>
      </c>
      <c r="R382" s="397">
        <f>R381*'9.项目开发计划表'!$G$60</f>
        <v>0</v>
      </c>
      <c r="S382" s="397">
        <f>S381*'9.项目开发计划表'!$G$60</f>
        <v>0</v>
      </c>
      <c r="T382" s="467">
        <f>T381*'9.项目开发计划表'!$G$60</f>
        <v>0</v>
      </c>
      <c r="U382" s="382">
        <f>U381*'9.项目开发计划表'!$G$60</f>
        <v>0</v>
      </c>
      <c r="V382" s="397">
        <f>V381*'9.项目开发计划表'!$G$60</f>
        <v>0</v>
      </c>
      <c r="W382" s="397">
        <f>W381*'9.项目开发计划表'!$G$60</f>
        <v>0</v>
      </c>
      <c r="X382" s="467">
        <f>X381*'9.项目开发计划表'!$G$60</f>
        <v>0</v>
      </c>
      <c r="Y382" s="382">
        <f>Y381*'9.项目开发计划表'!$G$60</f>
        <v>0</v>
      </c>
      <c r="Z382" s="397">
        <f>Z381*'9.项目开发计划表'!$G$60</f>
        <v>0</v>
      </c>
      <c r="AA382" s="397">
        <f>AA381*'9.项目开发计划表'!$G$60</f>
        <v>0</v>
      </c>
      <c r="AB382" s="467">
        <f>AB381*'9.项目开发计划表'!$G$60</f>
        <v>0</v>
      </c>
      <c r="AC382" s="382">
        <f>AC381*'9.项目开发计划表'!$G$60</f>
        <v>0</v>
      </c>
      <c r="AD382" s="397">
        <f>AD381*'9.项目开发计划表'!$G$60</f>
        <v>0</v>
      </c>
      <c r="AE382" s="397">
        <f>AE381*'9.项目开发计划表'!$G$60</f>
        <v>0</v>
      </c>
      <c r="AF382" s="467">
        <f>AF381*'9.项目开发计划表'!$G$60</f>
        <v>0</v>
      </c>
      <c r="AG382" s="382">
        <f>AG381*'9.项目开发计划表'!$G$60</f>
        <v>0</v>
      </c>
      <c r="AH382" s="397">
        <f>AH381*'9.项目开发计划表'!$G$60</f>
        <v>0</v>
      </c>
      <c r="AI382" s="397">
        <f>AI381*'9.项目开发计划表'!$G$60</f>
        <v>0</v>
      </c>
      <c r="AJ382" s="467">
        <f>AJ381*'9.项目开发计划表'!$G$60</f>
        <v>0</v>
      </c>
      <c r="AK382" s="382">
        <f>AK381*'9.项目开发计划表'!$G$60</f>
        <v>0</v>
      </c>
      <c r="AL382" s="397">
        <f>AL381*'9.项目开发计划表'!$G$60</f>
        <v>0</v>
      </c>
      <c r="AM382" s="397">
        <f>AM381*'9.项目开发计划表'!$G$60</f>
        <v>0</v>
      </c>
      <c r="AN382" s="467">
        <f>AN381*'9.项目开发计划表'!$G$60</f>
        <v>0</v>
      </c>
      <c r="AO382" s="382">
        <f>AO381*'9.项目开发计划表'!$G$60</f>
        <v>0</v>
      </c>
      <c r="AP382" s="397">
        <f>AP381*'9.项目开发计划表'!$G$60</f>
        <v>0</v>
      </c>
      <c r="AQ382" s="397">
        <f>AQ381*'9.项目开发计划表'!$G$60</f>
        <v>0</v>
      </c>
      <c r="AR382" s="467">
        <f>AR381*'9.项目开发计划表'!$G$60</f>
        <v>0</v>
      </c>
      <c r="AS382" s="382">
        <f>AS381*'9.项目开发计划表'!$G$60</f>
        <v>0</v>
      </c>
      <c r="AT382" s="397">
        <f>AT381*'9.项目开发计划表'!$G$60</f>
        <v>0</v>
      </c>
      <c r="AU382" s="397">
        <f>AU381*'9.项目开发计划表'!$G$60</f>
        <v>0</v>
      </c>
      <c r="AV382" s="467">
        <f>AV381*'9.项目开发计划表'!$G$60</f>
        <v>0</v>
      </c>
      <c r="AW382" s="424">
        <f t="shared" si="251"/>
        <v>0</v>
      </c>
    </row>
    <row r="383" spans="1:49" s="424" customFormat="1" ht="13.5" customHeight="1" outlineLevel="1">
      <c r="A383" s="1947"/>
      <c r="B383" s="1949"/>
      <c r="C383" s="461" t="s">
        <v>882</v>
      </c>
      <c r="D383" s="466">
        <f t="shared" si="255"/>
        <v>0</v>
      </c>
      <c r="E383" s="382">
        <f t="shared" ref="E383:AV383" si="256">E380*E382/10000</f>
        <v>0</v>
      </c>
      <c r="F383" s="397">
        <f t="shared" si="256"/>
        <v>0</v>
      </c>
      <c r="G383" s="397">
        <f t="shared" si="256"/>
        <v>0</v>
      </c>
      <c r="H383" s="467">
        <f t="shared" si="256"/>
        <v>0</v>
      </c>
      <c r="I383" s="382">
        <f t="shared" si="256"/>
        <v>0</v>
      </c>
      <c r="J383" s="397">
        <f t="shared" si="256"/>
        <v>0</v>
      </c>
      <c r="K383" s="397">
        <f t="shared" si="256"/>
        <v>0</v>
      </c>
      <c r="L383" s="467">
        <f t="shared" si="256"/>
        <v>0</v>
      </c>
      <c r="M383" s="382">
        <f t="shared" si="256"/>
        <v>0</v>
      </c>
      <c r="N383" s="397">
        <f t="shared" si="256"/>
        <v>0</v>
      </c>
      <c r="O383" s="397">
        <f t="shared" si="256"/>
        <v>0</v>
      </c>
      <c r="P383" s="467">
        <f t="shared" si="256"/>
        <v>0</v>
      </c>
      <c r="Q383" s="382">
        <f t="shared" si="256"/>
        <v>0</v>
      </c>
      <c r="R383" s="397">
        <f t="shared" si="256"/>
        <v>0</v>
      </c>
      <c r="S383" s="397">
        <f t="shared" si="256"/>
        <v>0</v>
      </c>
      <c r="T383" s="467">
        <f t="shared" si="256"/>
        <v>0</v>
      </c>
      <c r="U383" s="382">
        <f t="shared" si="256"/>
        <v>0</v>
      </c>
      <c r="V383" s="397">
        <f t="shared" si="256"/>
        <v>0</v>
      </c>
      <c r="W383" s="397">
        <f t="shared" si="256"/>
        <v>0</v>
      </c>
      <c r="X383" s="467">
        <f t="shared" si="256"/>
        <v>0</v>
      </c>
      <c r="Y383" s="382">
        <f t="shared" si="256"/>
        <v>0</v>
      </c>
      <c r="Z383" s="397">
        <f t="shared" si="256"/>
        <v>0</v>
      </c>
      <c r="AA383" s="397">
        <f t="shared" si="256"/>
        <v>0</v>
      </c>
      <c r="AB383" s="467">
        <f t="shared" si="256"/>
        <v>0</v>
      </c>
      <c r="AC383" s="382">
        <f t="shared" si="256"/>
        <v>0</v>
      </c>
      <c r="AD383" s="397">
        <f t="shared" si="256"/>
        <v>0</v>
      </c>
      <c r="AE383" s="397">
        <f t="shared" si="256"/>
        <v>0</v>
      </c>
      <c r="AF383" s="467">
        <f t="shared" si="256"/>
        <v>0</v>
      </c>
      <c r="AG383" s="382">
        <f t="shared" si="256"/>
        <v>0</v>
      </c>
      <c r="AH383" s="397">
        <f t="shared" si="256"/>
        <v>0</v>
      </c>
      <c r="AI383" s="397">
        <f t="shared" si="256"/>
        <v>0</v>
      </c>
      <c r="AJ383" s="467">
        <f t="shared" si="256"/>
        <v>0</v>
      </c>
      <c r="AK383" s="382">
        <f t="shared" si="256"/>
        <v>0</v>
      </c>
      <c r="AL383" s="397">
        <f t="shared" si="256"/>
        <v>0</v>
      </c>
      <c r="AM383" s="397">
        <f t="shared" si="256"/>
        <v>0</v>
      </c>
      <c r="AN383" s="467">
        <f t="shared" si="256"/>
        <v>0</v>
      </c>
      <c r="AO383" s="382">
        <f t="shared" si="256"/>
        <v>0</v>
      </c>
      <c r="AP383" s="397">
        <f t="shared" si="256"/>
        <v>0</v>
      </c>
      <c r="AQ383" s="397">
        <f t="shared" si="256"/>
        <v>0</v>
      </c>
      <c r="AR383" s="467">
        <f t="shared" si="256"/>
        <v>0</v>
      </c>
      <c r="AS383" s="382">
        <f t="shared" si="256"/>
        <v>0</v>
      </c>
      <c r="AT383" s="397">
        <f t="shared" si="256"/>
        <v>0</v>
      </c>
      <c r="AU383" s="397">
        <f t="shared" si="256"/>
        <v>0</v>
      </c>
      <c r="AV383" s="467">
        <f t="shared" si="256"/>
        <v>0</v>
      </c>
      <c r="AW383" s="424">
        <f t="shared" si="251"/>
        <v>0</v>
      </c>
    </row>
    <row r="384" spans="1:49" s="424" customFormat="1" ht="13.5" customHeight="1" outlineLevel="1">
      <c r="A384" s="1947"/>
      <c r="B384" s="1949"/>
      <c r="C384" s="508" t="s">
        <v>450</v>
      </c>
      <c r="D384" s="468">
        <f t="shared" si="255"/>
        <v>0</v>
      </c>
      <c r="E384" s="386">
        <f>SUMIF($I$1:$T$1,B380,$I$2:$T$2)*E383</f>
        <v>0</v>
      </c>
      <c r="F384" s="399">
        <f>(1-SUMIF($I$1:$T$1,B380,$I$2:$T$2))*E383+SUMIF($I$1:$T$1,B380,$I$2:$T$2)*F383</f>
        <v>0</v>
      </c>
      <c r="G384" s="399">
        <f>(1-SUMIF($I$1:$T$1,B380,$I$2:$T$2))*F383+SUMIF($I$1:$T$1,B380,$I$2:$T$2)*G383</f>
        <v>0</v>
      </c>
      <c r="H384" s="404">
        <f>(1-SUMIF($I$1:$T$1,B380,$I$2:$T$2))*G383+SUMIF($I$1:$T$1,B380,$I$2:$T$2)*H383</f>
        <v>0</v>
      </c>
      <c r="I384" s="386">
        <f>(1-SUMIF($I$1:$T$1,B380,$I$2:$T$2))*H383+SUMIF($I$1:$T$1,B380,$I$2:$T$2)*I383</f>
        <v>0</v>
      </c>
      <c r="J384" s="399">
        <f>(1-SUMIF($I$1:$T$1,B380,$I$2:$T$2))*I383+SUMIF($I$1:$T$1,B380,$I$2:$T$2)*J383</f>
        <v>0</v>
      </c>
      <c r="K384" s="399">
        <f>(1-SUMIF($I$1:$T$1,B380,$I$2:$T$2))*J383+SUMIF($I$1:$T$1,B380,$I$2:$T$2)*K383</f>
        <v>0</v>
      </c>
      <c r="L384" s="404">
        <f>(1-SUMIF($I$1:$T$1,B380,$I$2:$T$2))*K383+SUMIF($I$1:$T$1,B380,$I$2:$T$2)*L383</f>
        <v>0</v>
      </c>
      <c r="M384" s="386">
        <f>(1-SUMIF($I$1:$T$1,B380,$I$2:$T$2))*L383+SUMIF($I$1:$T$1,B380,$I$2:$T$2)*M383</f>
        <v>0</v>
      </c>
      <c r="N384" s="399">
        <f>(1-SUMIF($I$1:$T$1,B380,$I$2:$T$2))*M383+SUMIF($I$1:$T$1,B380,$I$2:$T$2)*N383</f>
        <v>0</v>
      </c>
      <c r="O384" s="399">
        <f>(1-SUMIF($I$1:$T$1,B380,$I$2:$T$2))*N383+SUMIF($I$1:$T$1,B380,$I$2:$T$2)*O383</f>
        <v>0</v>
      </c>
      <c r="P384" s="404">
        <f>(1-SUMIF($I$1:$T$1,B380,$I$2:$T$2))*O383+SUMIF($I$1:$T$1,B380,$I$2:$T$2)*P383</f>
        <v>0</v>
      </c>
      <c r="Q384" s="386">
        <f>(1-SUMIF($I$1:$T$1,B380,$I$2:$T$2))*P383+SUMIF($I$1:$T$1,B380,$I$2:$T$2)*Q383</f>
        <v>0</v>
      </c>
      <c r="R384" s="399">
        <f>(1-SUMIF($I$1:$T$1,B380,$I$2:$T$2))*Q383+SUMIF($I$1:$T$1,B380,$I$2:$T$2)*R383</f>
        <v>0</v>
      </c>
      <c r="S384" s="399">
        <f>(1-SUMIF($I$1:$T$1,B380,$I$2:$T$2))*R383+SUMIF($I$1:$T$1,B380,$I$2:$T$2)*S383</f>
        <v>0</v>
      </c>
      <c r="T384" s="404">
        <f>(1-SUMIF($I$1:$T$1,B380,$I$2:$T$2))*S383+SUMIF($I$1:$T$1,B380,$I$2:$T$2)*T383</f>
        <v>0</v>
      </c>
      <c r="U384" s="386">
        <f>(1-SUMIF($I$1:$T$1,B380,$I$2:$T$2))*T383+SUMIF($I$1:$T$1,B380,$I$2:$T$2)*U383</f>
        <v>0</v>
      </c>
      <c r="V384" s="399">
        <f>(1-SUMIF($I$1:$T$1,B380,$I$2:$T$2))*U383+SUMIF($I$1:$T$1,B380,$I$2:$T$2)*V383</f>
        <v>0</v>
      </c>
      <c r="W384" s="399">
        <f>(1-SUMIF($I$1:$T$1,B380,$I$2:$T$2))*V383+SUMIF($I$1:$T$1,B380,$I$2:$T$2)*W383</f>
        <v>0</v>
      </c>
      <c r="X384" s="404">
        <f>(1-SUMIF($I$1:$T$1,B380,$I$2:$T$2))*W383+SUMIF($I$1:$T$1,B380,$I$2:$T$2)*X383</f>
        <v>0</v>
      </c>
      <c r="Y384" s="386">
        <f>(1-SUMIF($I$1:$T$1,B380,$I$2:$T$2))*X383+SUMIF($I$1:$T$1,B380,$I$2:$T$2)*Y383</f>
        <v>0</v>
      </c>
      <c r="Z384" s="399">
        <f>(1-SUMIF($I$1:$T$1,B380,$I$2:$T$2))*Y383+SUMIF($I$1:$T$1,B380,$I$2:$T$2)*Z383</f>
        <v>0</v>
      </c>
      <c r="AA384" s="399">
        <f>(1-SUMIF($I$1:$T$1,B380,$I$2:$T$2))*Z383+SUMIF($I$1:$T$1,B380,$I$2:$T$2)*AA383</f>
        <v>0</v>
      </c>
      <c r="AB384" s="404">
        <f>(1-SUMIF($I$1:$T$1,B380,$I$2:$T$2))*AA383+SUMIF($I$1:$T$1,B380,$I$2:$T$2)*AB383</f>
        <v>0</v>
      </c>
      <c r="AC384" s="386">
        <f>(1-SUMIF($I$1:$T$1,B380,$I$2:$T$2))*AB383+SUMIF($I$1:$T$1,B380,$I$2:$T$2)*AC383</f>
        <v>0</v>
      </c>
      <c r="AD384" s="399">
        <f>(1-SUMIF($I$1:$T$1,B380,$I$2:$T$2))*AC383+SUMIF($I$1:$T$1,B380,$I$2:$T$2)*AD383</f>
        <v>0</v>
      </c>
      <c r="AE384" s="399">
        <f>(1-SUMIF($I$1:$T$1,B380,$I$2:$T$2))*AD383+SUMIF($I$1:$T$1,B380,$I$2:$T$2)*AE383</f>
        <v>0</v>
      </c>
      <c r="AF384" s="404">
        <f>(1-SUMIF($I$1:$T$1,B380,$I$2:$T$2))*AE383+SUMIF($I$1:$T$1,B380,$I$2:$T$2)*AF383</f>
        <v>0</v>
      </c>
      <c r="AG384" s="386">
        <f>(1-SUMIF($I$1:$T$1,B380,$I$2:$T$2))*AF383+SUMIF($I$1:$T$1,B380,$I$2:$T$2)*AG383</f>
        <v>0</v>
      </c>
      <c r="AH384" s="399">
        <f>(1-SUMIF($I$1:$T$1,B380,$I$2:$T$2))*AG383+SUMIF($I$1:$T$1,B380,$I$2:$T$2)*AH383</f>
        <v>0</v>
      </c>
      <c r="AI384" s="399">
        <f>(1-SUMIF($I$1:$T$1,B380,$I$2:$T$2))*AH383+SUMIF($I$1:$T$1,B380,$I$2:$T$2)*AI383</f>
        <v>0</v>
      </c>
      <c r="AJ384" s="404">
        <f>(1-SUMIF($I$1:$T$1,B380,$I$2:$T$2))*AI383+SUMIF($I$1:$T$1,B380,$I$2:$T$2)*AJ383</f>
        <v>0</v>
      </c>
      <c r="AK384" s="386">
        <f>(1-SUMIF($I$1:$T$1,B380,$I$2:$T$2))*AJ383+SUMIF($I$1:$T$1,B380,$I$2:$T$2)*AK383</f>
        <v>0</v>
      </c>
      <c r="AL384" s="399">
        <f>(1-SUMIF($I$1:$T$1,B380,$I$2:$T$2))*AK383+SUMIF($I$1:$T$1,B380,$I$2:$T$2)*AL383</f>
        <v>0</v>
      </c>
      <c r="AM384" s="399">
        <f>(1-SUMIF($I$1:$T$1,B380,$I$2:$T$2))*AL383+SUMIF($I$1:$T$1,B380,$I$2:$T$2)*AM383</f>
        <v>0</v>
      </c>
      <c r="AN384" s="404">
        <f>(1-SUMIF($I$1:$T$1,B380,$I$2:$T$2))*AM383+SUMIF($I$1:$T$1,B380,$I$2:$T$2)*AN383</f>
        <v>0</v>
      </c>
      <c r="AO384" s="386">
        <f>(1-SUMIF($I$1:$T$1,B380,$I$2:$T$2))*AN383+SUMIF($I$1:$T$1,B380,$I$2:$T$2)*AO383</f>
        <v>0</v>
      </c>
      <c r="AP384" s="399">
        <f>(1-SUMIF($I$1:$T$1,B380,$I$2:$T$2))*AO383+SUMIF($I$1:$T$1,B380,$I$2:$T$2)*AP383</f>
        <v>0</v>
      </c>
      <c r="AQ384" s="399">
        <f>(1-SUMIF($I$1:$T$1,B380,$I$2:$T$2))*AP383+SUMIF($I$1:$T$1,B380,$I$2:$T$2)*AQ383</f>
        <v>0</v>
      </c>
      <c r="AR384" s="404">
        <f>(1-SUMIF($I$1:$T$1,B380,$I$2:$T$2))*AQ383+SUMIF($I$1:$T$1,B380,$I$2:$T$2)*AR383</f>
        <v>0</v>
      </c>
      <c r="AS384" s="386">
        <f>(1-SUMIF($I$1:$T$1,B380,$I$2:$T$2))*AR383+SUMIF($I$1:$T$1,B380,$I$2:$T$2)*AS383</f>
        <v>0</v>
      </c>
      <c r="AT384" s="399">
        <f>(1-SUMIF($I$1:$T$1,B380,$I$2:$T$2))*AS383+SUMIF($I$1:$T$1,B380,$I$2:$T$2)*AT383</f>
        <v>0</v>
      </c>
      <c r="AU384" s="399">
        <f>(1-SUMIF($I$1:$T$1,B380,$I$2:$T$2))*AT383+SUMIF($I$1:$T$1,B380,$I$2:$T$2)*AU383</f>
        <v>0</v>
      </c>
      <c r="AV384" s="404">
        <f>(1-SUMIF($I$1:$T$1,B380,$I$2:$T$2))*AU383+SUMIF($I$1:$T$1,B380,$I$2:$T$2)*AV383</f>
        <v>0</v>
      </c>
      <c r="AW384" s="424">
        <f t="shared" si="251"/>
        <v>0</v>
      </c>
    </row>
    <row r="385" spans="1:49" s="424" customFormat="1" ht="13.5" customHeight="1" outlineLevel="1">
      <c r="A385" s="1947"/>
      <c r="B385" s="1949">
        <f>'9.项目开发计划表'!C61</f>
        <v>0</v>
      </c>
      <c r="C385" s="456" t="s">
        <v>880</v>
      </c>
      <c r="D385" s="457">
        <f>IF(D387=0,0,D388/D387*10000)</f>
        <v>0</v>
      </c>
      <c r="E385" s="505"/>
      <c r="F385" s="506"/>
      <c r="G385" s="506"/>
      <c r="H385" s="507"/>
      <c r="I385" s="505"/>
      <c r="J385" s="506"/>
      <c r="K385" s="506"/>
      <c r="L385" s="507"/>
      <c r="M385" s="505"/>
      <c r="N385" s="506"/>
      <c r="O385" s="506"/>
      <c r="P385" s="507"/>
      <c r="Q385" s="505"/>
      <c r="R385" s="506"/>
      <c r="S385" s="506"/>
      <c r="T385" s="507"/>
      <c r="U385" s="505"/>
      <c r="V385" s="506"/>
      <c r="W385" s="506"/>
      <c r="X385" s="507"/>
      <c r="Y385" s="505"/>
      <c r="Z385" s="489"/>
      <c r="AA385" s="489"/>
      <c r="AB385" s="489"/>
      <c r="AC385" s="489"/>
      <c r="AD385" s="489"/>
      <c r="AE385" s="489"/>
      <c r="AF385" s="507"/>
      <c r="AG385" s="505"/>
      <c r="AH385" s="506"/>
      <c r="AI385" s="506"/>
      <c r="AJ385" s="507"/>
      <c r="AK385" s="505"/>
      <c r="AL385" s="506"/>
      <c r="AM385" s="506"/>
      <c r="AN385" s="507"/>
      <c r="AO385" s="505"/>
      <c r="AP385" s="506"/>
      <c r="AQ385" s="506"/>
      <c r="AR385" s="507"/>
      <c r="AS385" s="505"/>
      <c r="AT385" s="506"/>
      <c r="AU385" s="506"/>
      <c r="AV385" s="507"/>
      <c r="AW385" s="424">
        <f>B385</f>
        <v>0</v>
      </c>
    </row>
    <row r="386" spans="1:49" ht="13.5" customHeight="1" outlineLevel="1">
      <c r="A386" s="1947"/>
      <c r="B386" s="1949"/>
      <c r="C386" s="461" t="s">
        <v>881</v>
      </c>
      <c r="D386" s="462">
        <f t="shared" ref="D386:D389" si="257">SUM(E386:AV386)</f>
        <v>0</v>
      </c>
      <c r="E386" s="494"/>
      <c r="F386" s="491"/>
      <c r="G386" s="491"/>
      <c r="H386" s="493"/>
      <c r="I386" s="494"/>
      <c r="J386" s="491"/>
      <c r="K386" s="491"/>
      <c r="L386" s="493"/>
      <c r="M386" s="494"/>
      <c r="N386" s="491"/>
      <c r="O386" s="491"/>
      <c r="P386" s="493"/>
      <c r="Q386" s="494"/>
      <c r="R386" s="491"/>
      <c r="S386" s="491"/>
      <c r="T386" s="493"/>
      <c r="U386" s="494"/>
      <c r="V386" s="491"/>
      <c r="W386" s="491"/>
      <c r="X386" s="493"/>
      <c r="Y386" s="494"/>
      <c r="Z386" s="490"/>
      <c r="AA386" s="490"/>
      <c r="AB386" s="490"/>
      <c r="AC386" s="490"/>
      <c r="AD386" s="490"/>
      <c r="AE386" s="490"/>
      <c r="AF386" s="493"/>
      <c r="AG386" s="494"/>
      <c r="AH386" s="491"/>
      <c r="AI386" s="491"/>
      <c r="AJ386" s="493"/>
      <c r="AK386" s="494"/>
      <c r="AL386" s="491"/>
      <c r="AM386" s="491"/>
      <c r="AN386" s="493"/>
      <c r="AO386" s="494"/>
      <c r="AP386" s="491"/>
      <c r="AQ386" s="491"/>
      <c r="AR386" s="493"/>
      <c r="AS386" s="494"/>
      <c r="AT386" s="491"/>
      <c r="AU386" s="491"/>
      <c r="AV386" s="493"/>
      <c r="AW386" s="424">
        <f>AW385</f>
        <v>0</v>
      </c>
    </row>
    <row r="387" spans="1:49" s="424" customFormat="1" ht="13.5" customHeight="1" outlineLevel="1">
      <c r="A387" s="1947"/>
      <c r="B387" s="1949"/>
      <c r="C387" s="461" t="s">
        <v>682</v>
      </c>
      <c r="D387" s="466">
        <f t="shared" si="257"/>
        <v>0</v>
      </c>
      <c r="E387" s="382">
        <f>E386*'9.项目开发计划表'!$G$61</f>
        <v>0</v>
      </c>
      <c r="F387" s="397">
        <f>F386*'9.项目开发计划表'!$G$61</f>
        <v>0</v>
      </c>
      <c r="G387" s="397">
        <f>G386*'9.项目开发计划表'!$G$61</f>
        <v>0</v>
      </c>
      <c r="H387" s="467">
        <f>H386*'9.项目开发计划表'!$G$61</f>
        <v>0</v>
      </c>
      <c r="I387" s="382">
        <f>I386*'9.项目开发计划表'!$G$61</f>
        <v>0</v>
      </c>
      <c r="J387" s="397">
        <f>J386*'9.项目开发计划表'!$G$61</f>
        <v>0</v>
      </c>
      <c r="K387" s="397">
        <f>K386*'9.项目开发计划表'!$G$61</f>
        <v>0</v>
      </c>
      <c r="L387" s="467">
        <f>L386*'9.项目开发计划表'!$G$61</f>
        <v>0</v>
      </c>
      <c r="M387" s="382">
        <f>M386*'9.项目开发计划表'!$G$61</f>
        <v>0</v>
      </c>
      <c r="N387" s="397">
        <f>N386*'9.项目开发计划表'!$G$61</f>
        <v>0</v>
      </c>
      <c r="O387" s="397">
        <f>O386*'9.项目开发计划表'!$G$61</f>
        <v>0</v>
      </c>
      <c r="P387" s="467">
        <f>P386*'9.项目开发计划表'!$G$61</f>
        <v>0</v>
      </c>
      <c r="Q387" s="382">
        <f>Q386*'9.项目开发计划表'!$G$61</f>
        <v>0</v>
      </c>
      <c r="R387" s="397">
        <f>R386*'9.项目开发计划表'!$G$61</f>
        <v>0</v>
      </c>
      <c r="S387" s="397">
        <f>S386*'9.项目开发计划表'!$G$61</f>
        <v>0</v>
      </c>
      <c r="T387" s="467">
        <f>T386*'9.项目开发计划表'!$G$61</f>
        <v>0</v>
      </c>
      <c r="U387" s="382">
        <f>U386*'9.项目开发计划表'!$G$61</f>
        <v>0</v>
      </c>
      <c r="V387" s="397">
        <f>V386*'9.项目开发计划表'!$G$61</f>
        <v>0</v>
      </c>
      <c r="W387" s="397">
        <f>W386*'9.项目开发计划表'!$G$61</f>
        <v>0</v>
      </c>
      <c r="X387" s="467">
        <f>X386*'9.项目开发计划表'!$G$61</f>
        <v>0</v>
      </c>
      <c r="Y387" s="382">
        <f>Y386*'9.项目开发计划表'!$G$61</f>
        <v>0</v>
      </c>
      <c r="Z387" s="397">
        <f>Z386*'9.项目开发计划表'!$G$61</f>
        <v>0</v>
      </c>
      <c r="AA387" s="397">
        <f>AA386*'9.项目开发计划表'!$G$61</f>
        <v>0</v>
      </c>
      <c r="AB387" s="467">
        <f>AB386*'9.项目开发计划表'!$G$61</f>
        <v>0</v>
      </c>
      <c r="AC387" s="382">
        <f>AC386*'9.项目开发计划表'!$G$61</f>
        <v>0</v>
      </c>
      <c r="AD387" s="397">
        <f>AD386*'9.项目开发计划表'!$G$61</f>
        <v>0</v>
      </c>
      <c r="AE387" s="397">
        <f>AE386*'9.项目开发计划表'!$G$61</f>
        <v>0</v>
      </c>
      <c r="AF387" s="467">
        <f>AF386*'9.项目开发计划表'!$G$61</f>
        <v>0</v>
      </c>
      <c r="AG387" s="382">
        <f>AG386*'9.项目开发计划表'!$G$61</f>
        <v>0</v>
      </c>
      <c r="AH387" s="397">
        <f>AH386*'9.项目开发计划表'!$G$61</f>
        <v>0</v>
      </c>
      <c r="AI387" s="397">
        <f>AI386*'9.项目开发计划表'!$G$61</f>
        <v>0</v>
      </c>
      <c r="AJ387" s="467">
        <f>AJ386*'9.项目开发计划表'!$G$61</f>
        <v>0</v>
      </c>
      <c r="AK387" s="382">
        <f>AK386*'9.项目开发计划表'!$G$61</f>
        <v>0</v>
      </c>
      <c r="AL387" s="397">
        <f>AL386*'9.项目开发计划表'!$G$61</f>
        <v>0</v>
      </c>
      <c r="AM387" s="397">
        <f>AM386*'9.项目开发计划表'!$G$61</f>
        <v>0</v>
      </c>
      <c r="AN387" s="467">
        <f>AN386*'9.项目开发计划表'!$G$61</f>
        <v>0</v>
      </c>
      <c r="AO387" s="382">
        <f>AO386*'9.项目开发计划表'!$G$61</f>
        <v>0</v>
      </c>
      <c r="AP387" s="397">
        <f>AP386*'9.项目开发计划表'!$G$61</f>
        <v>0</v>
      </c>
      <c r="AQ387" s="397">
        <f>AQ386*'9.项目开发计划表'!$G$61</f>
        <v>0</v>
      </c>
      <c r="AR387" s="467">
        <f>AR386*'9.项目开发计划表'!$G$61</f>
        <v>0</v>
      </c>
      <c r="AS387" s="382">
        <f>AS386*'9.项目开发计划表'!$G$61</f>
        <v>0</v>
      </c>
      <c r="AT387" s="397">
        <f>AT386*'9.项目开发计划表'!$G$61</f>
        <v>0</v>
      </c>
      <c r="AU387" s="397">
        <f>AU386*'9.项目开发计划表'!$G$61</f>
        <v>0</v>
      </c>
      <c r="AV387" s="467">
        <f>AV386*'9.项目开发计划表'!$G$61</f>
        <v>0</v>
      </c>
      <c r="AW387" s="424">
        <f t="shared" si="251"/>
        <v>0</v>
      </c>
    </row>
    <row r="388" spans="1:49" s="424" customFormat="1" ht="13.5" customHeight="1" outlineLevel="1">
      <c r="A388" s="1947"/>
      <c r="B388" s="1949"/>
      <c r="C388" s="461" t="s">
        <v>882</v>
      </c>
      <c r="D388" s="466">
        <f t="shared" si="257"/>
        <v>0</v>
      </c>
      <c r="E388" s="382">
        <f t="shared" ref="E388:AV388" si="258">E385*E387/10000</f>
        <v>0</v>
      </c>
      <c r="F388" s="397">
        <f t="shared" si="258"/>
        <v>0</v>
      </c>
      <c r="G388" s="397">
        <f t="shared" si="258"/>
        <v>0</v>
      </c>
      <c r="H388" s="467">
        <f t="shared" si="258"/>
        <v>0</v>
      </c>
      <c r="I388" s="382">
        <f t="shared" si="258"/>
        <v>0</v>
      </c>
      <c r="J388" s="397">
        <f t="shared" si="258"/>
        <v>0</v>
      </c>
      <c r="K388" s="397">
        <f t="shared" si="258"/>
        <v>0</v>
      </c>
      <c r="L388" s="467">
        <f t="shared" si="258"/>
        <v>0</v>
      </c>
      <c r="M388" s="382">
        <f t="shared" si="258"/>
        <v>0</v>
      </c>
      <c r="N388" s="397">
        <f t="shared" si="258"/>
        <v>0</v>
      </c>
      <c r="O388" s="397">
        <f t="shared" si="258"/>
        <v>0</v>
      </c>
      <c r="P388" s="467">
        <f t="shared" si="258"/>
        <v>0</v>
      </c>
      <c r="Q388" s="382">
        <f t="shared" si="258"/>
        <v>0</v>
      </c>
      <c r="R388" s="397">
        <f t="shared" si="258"/>
        <v>0</v>
      </c>
      <c r="S388" s="397">
        <f t="shared" si="258"/>
        <v>0</v>
      </c>
      <c r="T388" s="467">
        <f t="shared" si="258"/>
        <v>0</v>
      </c>
      <c r="U388" s="382">
        <f t="shared" si="258"/>
        <v>0</v>
      </c>
      <c r="V388" s="397">
        <f t="shared" si="258"/>
        <v>0</v>
      </c>
      <c r="W388" s="397">
        <f t="shared" si="258"/>
        <v>0</v>
      </c>
      <c r="X388" s="467">
        <f t="shared" si="258"/>
        <v>0</v>
      </c>
      <c r="Y388" s="382">
        <f t="shared" si="258"/>
        <v>0</v>
      </c>
      <c r="Z388" s="397">
        <f t="shared" si="258"/>
        <v>0</v>
      </c>
      <c r="AA388" s="397">
        <f t="shared" si="258"/>
        <v>0</v>
      </c>
      <c r="AB388" s="467">
        <f t="shared" si="258"/>
        <v>0</v>
      </c>
      <c r="AC388" s="382">
        <f t="shared" si="258"/>
        <v>0</v>
      </c>
      <c r="AD388" s="397">
        <f t="shared" si="258"/>
        <v>0</v>
      </c>
      <c r="AE388" s="397">
        <f t="shared" si="258"/>
        <v>0</v>
      </c>
      <c r="AF388" s="467">
        <f t="shared" si="258"/>
        <v>0</v>
      </c>
      <c r="AG388" s="382">
        <f t="shared" si="258"/>
        <v>0</v>
      </c>
      <c r="AH388" s="397">
        <f t="shared" si="258"/>
        <v>0</v>
      </c>
      <c r="AI388" s="397">
        <f t="shared" si="258"/>
        <v>0</v>
      </c>
      <c r="AJ388" s="467">
        <f t="shared" si="258"/>
        <v>0</v>
      </c>
      <c r="AK388" s="382">
        <f t="shared" si="258"/>
        <v>0</v>
      </c>
      <c r="AL388" s="397">
        <f t="shared" si="258"/>
        <v>0</v>
      </c>
      <c r="AM388" s="397">
        <f t="shared" si="258"/>
        <v>0</v>
      </c>
      <c r="AN388" s="467">
        <f t="shared" si="258"/>
        <v>0</v>
      </c>
      <c r="AO388" s="382">
        <f t="shared" si="258"/>
        <v>0</v>
      </c>
      <c r="AP388" s="397">
        <f t="shared" si="258"/>
        <v>0</v>
      </c>
      <c r="AQ388" s="397">
        <f t="shared" si="258"/>
        <v>0</v>
      </c>
      <c r="AR388" s="467">
        <f t="shared" si="258"/>
        <v>0</v>
      </c>
      <c r="AS388" s="382">
        <f t="shared" si="258"/>
        <v>0</v>
      </c>
      <c r="AT388" s="397">
        <f t="shared" si="258"/>
        <v>0</v>
      </c>
      <c r="AU388" s="397">
        <f t="shared" si="258"/>
        <v>0</v>
      </c>
      <c r="AV388" s="467">
        <f t="shared" si="258"/>
        <v>0</v>
      </c>
      <c r="AW388" s="424">
        <f t="shared" si="251"/>
        <v>0</v>
      </c>
    </row>
    <row r="389" spans="1:49" s="424" customFormat="1" ht="13.5" customHeight="1" outlineLevel="1">
      <c r="A389" s="1947"/>
      <c r="B389" s="1949"/>
      <c r="C389" s="508" t="s">
        <v>450</v>
      </c>
      <c r="D389" s="468">
        <f t="shared" si="257"/>
        <v>0</v>
      </c>
      <c r="E389" s="386">
        <f>SUMIF($I$1:$T$1,B385,$I$2:$T$2)*E388</f>
        <v>0</v>
      </c>
      <c r="F389" s="399">
        <f>(1-SUMIF($I$1:$T$1,B385,$I$2:$T$2))*E388+SUMIF($I$1:$T$1,B385,$I$2:$T$2)*F388</f>
        <v>0</v>
      </c>
      <c r="G389" s="399">
        <f>(1-SUMIF($I$1:$T$1,B385,$I$2:$T$2))*F388+SUMIF($I$1:$T$1,B385,$I$2:$T$2)*G388</f>
        <v>0</v>
      </c>
      <c r="H389" s="404">
        <f>(1-SUMIF($I$1:$T$1,B385,$I$2:$T$2))*G388+SUMIF($I$1:$T$1,B385,$I$2:$T$2)*H388</f>
        <v>0</v>
      </c>
      <c r="I389" s="386">
        <f>(1-SUMIF($I$1:$T$1,B385,$I$2:$T$2))*H388+SUMIF($I$1:$T$1,B385,$I$2:$T$2)*I388</f>
        <v>0</v>
      </c>
      <c r="J389" s="399">
        <f>(1-SUMIF($I$1:$T$1,B385,$I$2:$T$2))*I388+SUMIF($I$1:$T$1,B385,$I$2:$T$2)*J388</f>
        <v>0</v>
      </c>
      <c r="K389" s="399">
        <f>(1-SUMIF($I$1:$T$1,B385,$I$2:$T$2))*J388+SUMIF($I$1:$T$1,B385,$I$2:$T$2)*K388</f>
        <v>0</v>
      </c>
      <c r="L389" s="404">
        <f>(1-SUMIF($I$1:$T$1,B385,$I$2:$T$2))*K388+SUMIF($I$1:$T$1,B385,$I$2:$T$2)*L388</f>
        <v>0</v>
      </c>
      <c r="M389" s="386">
        <f>(1-SUMIF($I$1:$T$1,B385,$I$2:$T$2))*L388+SUMIF($I$1:$T$1,B385,$I$2:$T$2)*M388</f>
        <v>0</v>
      </c>
      <c r="N389" s="399">
        <f>(1-SUMIF($I$1:$T$1,B385,$I$2:$T$2))*M388+SUMIF($I$1:$T$1,B385,$I$2:$T$2)*N388</f>
        <v>0</v>
      </c>
      <c r="O389" s="399">
        <f>(1-SUMIF($I$1:$T$1,B385,$I$2:$T$2))*N388+SUMIF($I$1:$T$1,B385,$I$2:$T$2)*O388</f>
        <v>0</v>
      </c>
      <c r="P389" s="404">
        <f>(1-SUMIF($I$1:$T$1,B385,$I$2:$T$2))*O388+SUMIF($I$1:$T$1,B385,$I$2:$T$2)*P388</f>
        <v>0</v>
      </c>
      <c r="Q389" s="386">
        <f>(1-SUMIF($I$1:$T$1,B385,$I$2:$T$2))*P388+SUMIF($I$1:$T$1,B385,$I$2:$T$2)*Q388</f>
        <v>0</v>
      </c>
      <c r="R389" s="399">
        <f>(1-SUMIF($I$1:$T$1,B385,$I$2:$T$2))*Q388+SUMIF($I$1:$T$1,B385,$I$2:$T$2)*R388</f>
        <v>0</v>
      </c>
      <c r="S389" s="399">
        <f>(1-SUMIF($I$1:$T$1,B385,$I$2:$T$2))*R388+SUMIF($I$1:$T$1,B385,$I$2:$T$2)*S388</f>
        <v>0</v>
      </c>
      <c r="T389" s="404">
        <f>(1-SUMIF($I$1:$T$1,B385,$I$2:$T$2))*S388+SUMIF($I$1:$T$1,B385,$I$2:$T$2)*T388</f>
        <v>0</v>
      </c>
      <c r="U389" s="386">
        <f>(1-SUMIF($I$1:$T$1,B385,$I$2:$T$2))*T388+SUMIF($I$1:$T$1,B385,$I$2:$T$2)*U388</f>
        <v>0</v>
      </c>
      <c r="V389" s="399">
        <f>(1-SUMIF($I$1:$T$1,B385,$I$2:$T$2))*U388+SUMIF($I$1:$T$1,B385,$I$2:$T$2)*V388</f>
        <v>0</v>
      </c>
      <c r="W389" s="399">
        <f>(1-SUMIF($I$1:$T$1,B385,$I$2:$T$2))*V388+SUMIF($I$1:$T$1,B385,$I$2:$T$2)*W388</f>
        <v>0</v>
      </c>
      <c r="X389" s="404">
        <f>(1-SUMIF($I$1:$T$1,B385,$I$2:$T$2))*W388+SUMIF($I$1:$T$1,B385,$I$2:$T$2)*X388</f>
        <v>0</v>
      </c>
      <c r="Y389" s="386">
        <f>(1-SUMIF($I$1:$T$1,B385,$I$2:$T$2))*X388+SUMIF($I$1:$T$1,B385,$I$2:$T$2)*Y388</f>
        <v>0</v>
      </c>
      <c r="Z389" s="399">
        <f>(1-SUMIF($I$1:$T$1,B385,$I$2:$T$2))*Y388+SUMIF($I$1:$T$1,B385,$I$2:$T$2)*Z388</f>
        <v>0</v>
      </c>
      <c r="AA389" s="399">
        <f>(1-SUMIF($I$1:$T$1,B385,$I$2:$T$2))*Z388+SUMIF($I$1:$T$1,B385,$I$2:$T$2)*AA388</f>
        <v>0</v>
      </c>
      <c r="AB389" s="404">
        <f>(1-SUMIF($I$1:$T$1,B385,$I$2:$T$2))*AA388+SUMIF($I$1:$T$1,B385,$I$2:$T$2)*AB388</f>
        <v>0</v>
      </c>
      <c r="AC389" s="386">
        <f>(1-SUMIF($I$1:$T$1,B385,$I$2:$T$2))*AB388+SUMIF($I$1:$T$1,B385,$I$2:$T$2)*AC388</f>
        <v>0</v>
      </c>
      <c r="AD389" s="399">
        <f>(1-SUMIF($I$1:$T$1,B385,$I$2:$T$2))*AC388+SUMIF($I$1:$T$1,B385,$I$2:$T$2)*AD388</f>
        <v>0</v>
      </c>
      <c r="AE389" s="399">
        <f>(1-SUMIF($I$1:$T$1,B385,$I$2:$T$2))*AD388+SUMIF($I$1:$T$1,B385,$I$2:$T$2)*AE388</f>
        <v>0</v>
      </c>
      <c r="AF389" s="404">
        <f>(1-SUMIF($I$1:$T$1,B385,$I$2:$T$2))*AE388+SUMIF($I$1:$T$1,B385,$I$2:$T$2)*AF388</f>
        <v>0</v>
      </c>
      <c r="AG389" s="386">
        <f>(1-SUMIF($I$1:$T$1,B385,$I$2:$T$2))*AF388+SUMIF($I$1:$T$1,B385,$I$2:$T$2)*AG388</f>
        <v>0</v>
      </c>
      <c r="AH389" s="399">
        <f>(1-SUMIF($I$1:$T$1,B385,$I$2:$T$2))*AG388+SUMIF($I$1:$T$1,B385,$I$2:$T$2)*AH388</f>
        <v>0</v>
      </c>
      <c r="AI389" s="399">
        <f>(1-SUMIF($I$1:$T$1,B385,$I$2:$T$2))*AH388+SUMIF($I$1:$T$1,B385,$I$2:$T$2)*AI388</f>
        <v>0</v>
      </c>
      <c r="AJ389" s="404">
        <f>(1-SUMIF($I$1:$T$1,B385,$I$2:$T$2))*AI388+SUMIF($I$1:$T$1,B385,$I$2:$T$2)*AJ388</f>
        <v>0</v>
      </c>
      <c r="AK389" s="386">
        <f>(1-SUMIF($I$1:$T$1,B385,$I$2:$T$2))*AJ388+SUMIF($I$1:$T$1,B385,$I$2:$T$2)*AK388</f>
        <v>0</v>
      </c>
      <c r="AL389" s="399">
        <f>(1-SUMIF($I$1:$T$1,B385,$I$2:$T$2))*AK388+SUMIF($I$1:$T$1,B385,$I$2:$T$2)*AL388</f>
        <v>0</v>
      </c>
      <c r="AM389" s="399">
        <f>(1-SUMIF($I$1:$T$1,B385,$I$2:$T$2))*AL388+SUMIF($I$1:$T$1,B385,$I$2:$T$2)*AM388</f>
        <v>0</v>
      </c>
      <c r="AN389" s="404">
        <f>(1-SUMIF($I$1:$T$1,B385,$I$2:$T$2))*AM388+SUMIF($I$1:$T$1,B385,$I$2:$T$2)*AN388</f>
        <v>0</v>
      </c>
      <c r="AO389" s="386">
        <f>(1-SUMIF($I$1:$T$1,B385,$I$2:$T$2))*AN388+SUMIF($I$1:$T$1,B385,$I$2:$T$2)*AO388</f>
        <v>0</v>
      </c>
      <c r="AP389" s="399">
        <f>(1-SUMIF($I$1:$T$1,B385,$I$2:$T$2))*AO388+SUMIF($I$1:$T$1,B385,$I$2:$T$2)*AP388</f>
        <v>0</v>
      </c>
      <c r="AQ389" s="399">
        <f>(1-SUMIF($I$1:$T$1,B385,$I$2:$T$2))*AP388+SUMIF($I$1:$T$1,B385,$I$2:$T$2)*AQ388</f>
        <v>0</v>
      </c>
      <c r="AR389" s="404">
        <f>(1-SUMIF($I$1:$T$1,B385,$I$2:$T$2))*AQ388+SUMIF($I$1:$T$1,B385,$I$2:$T$2)*AR388</f>
        <v>0</v>
      </c>
      <c r="AS389" s="386">
        <f>(1-SUMIF($I$1:$T$1,B385,$I$2:$T$2))*AR388+SUMIF($I$1:$T$1,B385,$I$2:$T$2)*AS388</f>
        <v>0</v>
      </c>
      <c r="AT389" s="399">
        <f>(1-SUMIF($I$1:$T$1,B385,$I$2:$T$2))*AS388+SUMIF($I$1:$T$1,B385,$I$2:$T$2)*AT388</f>
        <v>0</v>
      </c>
      <c r="AU389" s="399">
        <f>(1-SUMIF($I$1:$T$1,B385,$I$2:$T$2))*AT388+SUMIF($I$1:$T$1,B385,$I$2:$T$2)*AU388</f>
        <v>0</v>
      </c>
      <c r="AV389" s="404">
        <f>(1-SUMIF($I$1:$T$1,B385,$I$2:$T$2))*AU388+SUMIF($I$1:$T$1,B385,$I$2:$T$2)*AV388</f>
        <v>0</v>
      </c>
      <c r="AW389" s="424">
        <f t="shared" si="251"/>
        <v>0</v>
      </c>
    </row>
    <row r="390" spans="1:49" s="424" customFormat="1" ht="13.5" customHeight="1" outlineLevel="1">
      <c r="A390" s="1947"/>
      <c r="B390" s="1949">
        <f>'9.项目开发计划表'!C62</f>
        <v>0</v>
      </c>
      <c r="C390" s="456" t="s">
        <v>880</v>
      </c>
      <c r="D390" s="457">
        <f>IF(D392=0,0,D393/D392*10000)</f>
        <v>0</v>
      </c>
      <c r="E390" s="505"/>
      <c r="F390" s="506"/>
      <c r="G390" s="506"/>
      <c r="H390" s="507"/>
      <c r="I390" s="505"/>
      <c r="J390" s="506"/>
      <c r="K390" s="506"/>
      <c r="L390" s="507"/>
      <c r="M390" s="505"/>
      <c r="N390" s="506"/>
      <c r="O390" s="506"/>
      <c r="P390" s="507"/>
      <c r="Q390" s="505"/>
      <c r="R390" s="506"/>
      <c r="S390" s="506"/>
      <c r="T390" s="507"/>
      <c r="U390" s="505"/>
      <c r="V390" s="506"/>
      <c r="W390" s="506"/>
      <c r="X390" s="507"/>
      <c r="Y390" s="505"/>
      <c r="Z390" s="506"/>
      <c r="AA390" s="506"/>
      <c r="AB390" s="507"/>
      <c r="AC390" s="505"/>
      <c r="AD390" s="506"/>
      <c r="AE390" s="506"/>
      <c r="AF390" s="507"/>
      <c r="AG390" s="505"/>
      <c r="AH390" s="506"/>
      <c r="AI390" s="506"/>
      <c r="AJ390" s="507"/>
      <c r="AK390" s="505"/>
      <c r="AL390" s="506"/>
      <c r="AM390" s="506"/>
      <c r="AN390" s="507"/>
      <c r="AO390" s="505"/>
      <c r="AP390" s="506"/>
      <c r="AQ390" s="506"/>
      <c r="AR390" s="507"/>
      <c r="AS390" s="505"/>
      <c r="AT390" s="506"/>
      <c r="AU390" s="506"/>
      <c r="AV390" s="507"/>
      <c r="AW390" s="424">
        <f>B390</f>
        <v>0</v>
      </c>
    </row>
    <row r="391" spans="1:49" ht="13.5" customHeight="1" outlineLevel="1">
      <c r="A391" s="1947"/>
      <c r="B391" s="1949"/>
      <c r="C391" s="461" t="s">
        <v>881</v>
      </c>
      <c r="D391" s="462">
        <f t="shared" ref="D391:D394" si="259">SUM(E391:AV391)</f>
        <v>0</v>
      </c>
      <c r="E391" s="494"/>
      <c r="F391" s="491"/>
      <c r="G391" s="491"/>
      <c r="H391" s="493"/>
      <c r="I391" s="494"/>
      <c r="J391" s="491"/>
      <c r="K391" s="491"/>
      <c r="L391" s="493"/>
      <c r="M391" s="494"/>
      <c r="N391" s="491"/>
      <c r="O391" s="491"/>
      <c r="P391" s="493"/>
      <c r="Q391" s="494"/>
      <c r="R391" s="491"/>
      <c r="S391" s="491"/>
      <c r="T391" s="493"/>
      <c r="U391" s="494"/>
      <c r="V391" s="491"/>
      <c r="W391" s="491"/>
      <c r="X391" s="493"/>
      <c r="Y391" s="494"/>
      <c r="Z391" s="491"/>
      <c r="AA391" s="491"/>
      <c r="AB391" s="493"/>
      <c r="AC391" s="494"/>
      <c r="AD391" s="491"/>
      <c r="AE391" s="491"/>
      <c r="AF391" s="493"/>
      <c r="AG391" s="494"/>
      <c r="AH391" s="491"/>
      <c r="AI391" s="491"/>
      <c r="AJ391" s="493"/>
      <c r="AK391" s="494"/>
      <c r="AL391" s="491"/>
      <c r="AM391" s="491"/>
      <c r="AN391" s="493"/>
      <c r="AO391" s="494"/>
      <c r="AP391" s="491"/>
      <c r="AQ391" s="491"/>
      <c r="AR391" s="493"/>
      <c r="AS391" s="494"/>
      <c r="AT391" s="491"/>
      <c r="AU391" s="491"/>
      <c r="AV391" s="493"/>
      <c r="AW391" s="424">
        <f>AW390</f>
        <v>0</v>
      </c>
    </row>
    <row r="392" spans="1:49" s="424" customFormat="1" ht="13.5" customHeight="1" outlineLevel="1">
      <c r="A392" s="1947"/>
      <c r="B392" s="1949"/>
      <c r="C392" s="461" t="s">
        <v>682</v>
      </c>
      <c r="D392" s="466">
        <f t="shared" si="259"/>
        <v>0</v>
      </c>
      <c r="E392" s="382">
        <f>E391*'9.项目开发计划表'!$G$62</f>
        <v>0</v>
      </c>
      <c r="F392" s="397">
        <f>F391*'9.项目开发计划表'!$G$62</f>
        <v>0</v>
      </c>
      <c r="G392" s="397">
        <f>G391*'9.项目开发计划表'!$G$62</f>
        <v>0</v>
      </c>
      <c r="H392" s="467">
        <f>H391*'9.项目开发计划表'!$G$62</f>
        <v>0</v>
      </c>
      <c r="I392" s="382">
        <f>I391*'9.项目开发计划表'!$G$62</f>
        <v>0</v>
      </c>
      <c r="J392" s="397">
        <f>J391*'9.项目开发计划表'!$G$62</f>
        <v>0</v>
      </c>
      <c r="K392" s="397">
        <f>K391*'9.项目开发计划表'!$G$62</f>
        <v>0</v>
      </c>
      <c r="L392" s="467">
        <f>L391*'9.项目开发计划表'!$G$62</f>
        <v>0</v>
      </c>
      <c r="M392" s="382">
        <f>M391*'9.项目开发计划表'!$G$62</f>
        <v>0</v>
      </c>
      <c r="N392" s="397">
        <f>N391*'9.项目开发计划表'!$G$62</f>
        <v>0</v>
      </c>
      <c r="O392" s="397">
        <f>O391*'9.项目开发计划表'!$G$62</f>
        <v>0</v>
      </c>
      <c r="P392" s="467">
        <f>P391*'9.项目开发计划表'!$G$62</f>
        <v>0</v>
      </c>
      <c r="Q392" s="382">
        <f>Q391*'9.项目开发计划表'!$G$62</f>
        <v>0</v>
      </c>
      <c r="R392" s="397">
        <f>R391*'9.项目开发计划表'!$G$62</f>
        <v>0</v>
      </c>
      <c r="S392" s="397">
        <f>S391*'9.项目开发计划表'!$G$62</f>
        <v>0</v>
      </c>
      <c r="T392" s="467">
        <f>T391*'9.项目开发计划表'!$G$62</f>
        <v>0</v>
      </c>
      <c r="U392" s="382">
        <f>U391*'9.项目开发计划表'!$G$62</f>
        <v>0</v>
      </c>
      <c r="V392" s="397">
        <f>V391*'9.项目开发计划表'!$G$62</f>
        <v>0</v>
      </c>
      <c r="W392" s="397">
        <f>W391*'9.项目开发计划表'!$G$62</f>
        <v>0</v>
      </c>
      <c r="X392" s="467">
        <f>X391*'9.项目开发计划表'!$G$62</f>
        <v>0</v>
      </c>
      <c r="Y392" s="382">
        <f>Y391*'9.项目开发计划表'!$G$62</f>
        <v>0</v>
      </c>
      <c r="Z392" s="397">
        <f>Z391*'9.项目开发计划表'!$G$62</f>
        <v>0</v>
      </c>
      <c r="AA392" s="397">
        <f>AA391*'9.项目开发计划表'!$G$62</f>
        <v>0</v>
      </c>
      <c r="AB392" s="467">
        <f>AB391*'9.项目开发计划表'!$G$62</f>
        <v>0</v>
      </c>
      <c r="AC392" s="382">
        <f>AC391*'9.项目开发计划表'!$G$62</f>
        <v>0</v>
      </c>
      <c r="AD392" s="397">
        <f>AD391*'9.项目开发计划表'!$G$62</f>
        <v>0</v>
      </c>
      <c r="AE392" s="397">
        <f>AE391*'9.项目开发计划表'!$G$62</f>
        <v>0</v>
      </c>
      <c r="AF392" s="467">
        <f>AF391*'9.项目开发计划表'!$G$62</f>
        <v>0</v>
      </c>
      <c r="AG392" s="382">
        <f>AG391*'9.项目开发计划表'!$G$62</f>
        <v>0</v>
      </c>
      <c r="AH392" s="397">
        <f>AH391*'9.项目开发计划表'!$G$62</f>
        <v>0</v>
      </c>
      <c r="AI392" s="397">
        <f>AI391*'9.项目开发计划表'!$G$62</f>
        <v>0</v>
      </c>
      <c r="AJ392" s="467">
        <f>AJ391*'9.项目开发计划表'!$G$62</f>
        <v>0</v>
      </c>
      <c r="AK392" s="382">
        <f>AK391*'9.项目开发计划表'!$G$62</f>
        <v>0</v>
      </c>
      <c r="AL392" s="397">
        <f>AL391*'9.项目开发计划表'!$G$62</f>
        <v>0</v>
      </c>
      <c r="AM392" s="397">
        <f>AM391*'9.项目开发计划表'!$G$62</f>
        <v>0</v>
      </c>
      <c r="AN392" s="467">
        <f>AN391*'9.项目开发计划表'!$G$62</f>
        <v>0</v>
      </c>
      <c r="AO392" s="382">
        <f>AO391*'9.项目开发计划表'!$G$62</f>
        <v>0</v>
      </c>
      <c r="AP392" s="397">
        <f>AP391*'9.项目开发计划表'!$G$62</f>
        <v>0</v>
      </c>
      <c r="AQ392" s="397">
        <f>AQ391*'9.项目开发计划表'!$G$62</f>
        <v>0</v>
      </c>
      <c r="AR392" s="467">
        <f>AR391*'9.项目开发计划表'!$G$62</f>
        <v>0</v>
      </c>
      <c r="AS392" s="382">
        <f>AS391*'9.项目开发计划表'!$G$62</f>
        <v>0</v>
      </c>
      <c r="AT392" s="397">
        <f>AT391*'9.项目开发计划表'!$G$62</f>
        <v>0</v>
      </c>
      <c r="AU392" s="397">
        <f>AU391*'9.项目开发计划表'!$G$62</f>
        <v>0</v>
      </c>
      <c r="AV392" s="467">
        <f>AV391*'9.项目开发计划表'!$G$62</f>
        <v>0</v>
      </c>
      <c r="AW392" s="424">
        <f t="shared" si="251"/>
        <v>0</v>
      </c>
    </row>
    <row r="393" spans="1:49" s="424" customFormat="1" ht="13.5" customHeight="1" outlineLevel="1">
      <c r="A393" s="1947"/>
      <c r="B393" s="1949"/>
      <c r="C393" s="461" t="s">
        <v>882</v>
      </c>
      <c r="D393" s="466">
        <f t="shared" si="259"/>
        <v>0</v>
      </c>
      <c r="E393" s="382">
        <f t="shared" ref="E393:AV393" si="260">E390*E392/10000</f>
        <v>0</v>
      </c>
      <c r="F393" s="397">
        <f t="shared" si="260"/>
        <v>0</v>
      </c>
      <c r="G393" s="397">
        <f t="shared" si="260"/>
        <v>0</v>
      </c>
      <c r="H393" s="467">
        <f t="shared" si="260"/>
        <v>0</v>
      </c>
      <c r="I393" s="382">
        <f t="shared" si="260"/>
        <v>0</v>
      </c>
      <c r="J393" s="397">
        <f t="shared" si="260"/>
        <v>0</v>
      </c>
      <c r="K393" s="397">
        <f t="shared" si="260"/>
        <v>0</v>
      </c>
      <c r="L393" s="467">
        <f t="shared" si="260"/>
        <v>0</v>
      </c>
      <c r="M393" s="382">
        <f t="shared" si="260"/>
        <v>0</v>
      </c>
      <c r="N393" s="397">
        <f t="shared" si="260"/>
        <v>0</v>
      </c>
      <c r="O393" s="397">
        <f t="shared" si="260"/>
        <v>0</v>
      </c>
      <c r="P393" s="467">
        <f t="shared" si="260"/>
        <v>0</v>
      </c>
      <c r="Q393" s="382">
        <f t="shared" si="260"/>
        <v>0</v>
      </c>
      <c r="R393" s="397">
        <f t="shared" si="260"/>
        <v>0</v>
      </c>
      <c r="S393" s="397">
        <f t="shared" si="260"/>
        <v>0</v>
      </c>
      <c r="T393" s="467">
        <f t="shared" si="260"/>
        <v>0</v>
      </c>
      <c r="U393" s="382">
        <f t="shared" si="260"/>
        <v>0</v>
      </c>
      <c r="V393" s="397">
        <f t="shared" si="260"/>
        <v>0</v>
      </c>
      <c r="W393" s="397">
        <f t="shared" si="260"/>
        <v>0</v>
      </c>
      <c r="X393" s="467">
        <f t="shared" si="260"/>
        <v>0</v>
      </c>
      <c r="Y393" s="382">
        <f t="shared" si="260"/>
        <v>0</v>
      </c>
      <c r="Z393" s="397">
        <f t="shared" si="260"/>
        <v>0</v>
      </c>
      <c r="AA393" s="397">
        <f t="shared" si="260"/>
        <v>0</v>
      </c>
      <c r="AB393" s="467">
        <f t="shared" si="260"/>
        <v>0</v>
      </c>
      <c r="AC393" s="382">
        <f t="shared" si="260"/>
        <v>0</v>
      </c>
      <c r="AD393" s="397">
        <f t="shared" si="260"/>
        <v>0</v>
      </c>
      <c r="AE393" s="397">
        <f t="shared" si="260"/>
        <v>0</v>
      </c>
      <c r="AF393" s="467">
        <f t="shared" si="260"/>
        <v>0</v>
      </c>
      <c r="AG393" s="382">
        <f t="shared" si="260"/>
        <v>0</v>
      </c>
      <c r="AH393" s="397">
        <f t="shared" si="260"/>
        <v>0</v>
      </c>
      <c r="AI393" s="397">
        <f t="shared" si="260"/>
        <v>0</v>
      </c>
      <c r="AJ393" s="467">
        <f t="shared" si="260"/>
        <v>0</v>
      </c>
      <c r="AK393" s="382">
        <f t="shared" si="260"/>
        <v>0</v>
      </c>
      <c r="AL393" s="397">
        <f t="shared" si="260"/>
        <v>0</v>
      </c>
      <c r="AM393" s="397">
        <f t="shared" si="260"/>
        <v>0</v>
      </c>
      <c r="AN393" s="467">
        <f t="shared" si="260"/>
        <v>0</v>
      </c>
      <c r="AO393" s="382">
        <f t="shared" si="260"/>
        <v>0</v>
      </c>
      <c r="AP393" s="397">
        <f t="shared" si="260"/>
        <v>0</v>
      </c>
      <c r="AQ393" s="397">
        <f t="shared" si="260"/>
        <v>0</v>
      </c>
      <c r="AR393" s="467">
        <f t="shared" si="260"/>
        <v>0</v>
      </c>
      <c r="AS393" s="382">
        <f t="shared" si="260"/>
        <v>0</v>
      </c>
      <c r="AT393" s="397">
        <f t="shared" si="260"/>
        <v>0</v>
      </c>
      <c r="AU393" s="397">
        <f t="shared" si="260"/>
        <v>0</v>
      </c>
      <c r="AV393" s="467">
        <f t="shared" si="260"/>
        <v>0</v>
      </c>
      <c r="AW393" s="424">
        <f t="shared" si="251"/>
        <v>0</v>
      </c>
    </row>
    <row r="394" spans="1:49" s="424" customFormat="1" ht="13.5" customHeight="1" outlineLevel="1">
      <c r="A394" s="1947"/>
      <c r="B394" s="1949"/>
      <c r="C394" s="508" t="s">
        <v>450</v>
      </c>
      <c r="D394" s="468">
        <f t="shared" si="259"/>
        <v>0</v>
      </c>
      <c r="E394" s="386">
        <f>SUMIF($I$1:$T$1,B390,$I$2:$T$2)*E393</f>
        <v>0</v>
      </c>
      <c r="F394" s="399">
        <f>(1-SUMIF($I$1:$T$1,B390,$I$2:$T$2))*E393+SUMIF($I$1:$T$1,B390,$I$2:$T$2)*F393</f>
        <v>0</v>
      </c>
      <c r="G394" s="399">
        <f>(1-SUMIF($I$1:$T$1,B390,$I$2:$T$2))*F393+SUMIF($I$1:$T$1,B390,$I$2:$T$2)*G393</f>
        <v>0</v>
      </c>
      <c r="H394" s="404">
        <f>(1-SUMIF($I$1:$T$1,B390,$I$2:$T$2))*G393+SUMIF($I$1:$T$1,B390,$I$2:$T$2)*H393</f>
        <v>0</v>
      </c>
      <c r="I394" s="386">
        <f>(1-SUMIF($I$1:$T$1,B390,$I$2:$T$2))*H393+SUMIF($I$1:$T$1,B390,$I$2:$T$2)*I393</f>
        <v>0</v>
      </c>
      <c r="J394" s="399">
        <f>(1-SUMIF($I$1:$T$1,B390,$I$2:$T$2))*I393+SUMIF($I$1:$T$1,B390,$I$2:$T$2)*J393</f>
        <v>0</v>
      </c>
      <c r="K394" s="399">
        <f>(1-SUMIF($I$1:$T$1,B390,$I$2:$T$2))*J393+SUMIF($I$1:$T$1,B390,$I$2:$T$2)*K393</f>
        <v>0</v>
      </c>
      <c r="L394" s="404">
        <f>(1-SUMIF($I$1:$T$1,B390,$I$2:$T$2))*K393+SUMIF($I$1:$T$1,B390,$I$2:$T$2)*L393</f>
        <v>0</v>
      </c>
      <c r="M394" s="386">
        <f>(1-SUMIF($I$1:$T$1,B390,$I$2:$T$2))*L393+SUMIF($I$1:$T$1,B390,$I$2:$T$2)*M393</f>
        <v>0</v>
      </c>
      <c r="N394" s="399">
        <f>(1-SUMIF($I$1:$T$1,B390,$I$2:$T$2))*M393+SUMIF($I$1:$T$1,B390,$I$2:$T$2)*N393</f>
        <v>0</v>
      </c>
      <c r="O394" s="399">
        <f>(1-SUMIF($I$1:$T$1,B390,$I$2:$T$2))*N393+SUMIF($I$1:$T$1,B390,$I$2:$T$2)*O393</f>
        <v>0</v>
      </c>
      <c r="P394" s="404">
        <f>(1-SUMIF($I$1:$T$1,B390,$I$2:$T$2))*O393+SUMIF($I$1:$T$1,B390,$I$2:$T$2)*P393</f>
        <v>0</v>
      </c>
      <c r="Q394" s="386">
        <f>(1-SUMIF($I$1:$T$1,B390,$I$2:$T$2))*P393+SUMIF($I$1:$T$1,B390,$I$2:$T$2)*Q393</f>
        <v>0</v>
      </c>
      <c r="R394" s="399">
        <f>(1-SUMIF($I$1:$T$1,B390,$I$2:$T$2))*Q393+SUMIF($I$1:$T$1,B390,$I$2:$T$2)*R393</f>
        <v>0</v>
      </c>
      <c r="S394" s="399">
        <f>(1-SUMIF($I$1:$T$1,B390,$I$2:$T$2))*R393+SUMIF($I$1:$T$1,B390,$I$2:$T$2)*S393</f>
        <v>0</v>
      </c>
      <c r="T394" s="404">
        <f>(1-SUMIF($I$1:$T$1,B390,$I$2:$T$2))*S393+SUMIF($I$1:$T$1,B390,$I$2:$T$2)*T393</f>
        <v>0</v>
      </c>
      <c r="U394" s="386">
        <f>(1-SUMIF($I$1:$T$1,B390,$I$2:$T$2))*T393+SUMIF($I$1:$T$1,B390,$I$2:$T$2)*U393</f>
        <v>0</v>
      </c>
      <c r="V394" s="399">
        <f>(1-SUMIF($I$1:$T$1,B390,$I$2:$T$2))*U393+SUMIF($I$1:$T$1,B390,$I$2:$T$2)*V393</f>
        <v>0</v>
      </c>
      <c r="W394" s="399">
        <f>(1-SUMIF($I$1:$T$1,B390,$I$2:$T$2))*V393+SUMIF($I$1:$T$1,B390,$I$2:$T$2)*W393</f>
        <v>0</v>
      </c>
      <c r="X394" s="404">
        <f>(1-SUMIF($I$1:$T$1,B390,$I$2:$T$2))*W393+SUMIF($I$1:$T$1,B390,$I$2:$T$2)*X393</f>
        <v>0</v>
      </c>
      <c r="Y394" s="386">
        <f>(1-SUMIF($I$1:$T$1,B390,$I$2:$T$2))*X393+SUMIF($I$1:$T$1,B390,$I$2:$T$2)*Y393</f>
        <v>0</v>
      </c>
      <c r="Z394" s="399">
        <f>(1-SUMIF($I$1:$T$1,B390,$I$2:$T$2))*Y393+SUMIF($I$1:$T$1,B390,$I$2:$T$2)*Z393</f>
        <v>0</v>
      </c>
      <c r="AA394" s="399">
        <f>(1-SUMIF($I$1:$T$1,B390,$I$2:$T$2))*Z393+SUMIF($I$1:$T$1,B390,$I$2:$T$2)*AA393</f>
        <v>0</v>
      </c>
      <c r="AB394" s="404">
        <f>(1-SUMIF($I$1:$T$1,B390,$I$2:$T$2))*AA393+SUMIF($I$1:$T$1,B390,$I$2:$T$2)*AB393</f>
        <v>0</v>
      </c>
      <c r="AC394" s="386">
        <f>(1-SUMIF($I$1:$T$1,B390,$I$2:$T$2))*AB393+SUMIF($I$1:$T$1,B390,$I$2:$T$2)*AC393</f>
        <v>0</v>
      </c>
      <c r="AD394" s="399">
        <f>(1-SUMIF($I$1:$T$1,B390,$I$2:$T$2))*AC393+SUMIF($I$1:$T$1,B390,$I$2:$T$2)*AD393</f>
        <v>0</v>
      </c>
      <c r="AE394" s="399">
        <f>(1-SUMIF($I$1:$T$1,B390,$I$2:$T$2))*AD393+SUMIF($I$1:$T$1,B390,$I$2:$T$2)*AE393</f>
        <v>0</v>
      </c>
      <c r="AF394" s="404">
        <f>(1-SUMIF($I$1:$T$1,B390,$I$2:$T$2))*AE393+SUMIF($I$1:$T$1,B390,$I$2:$T$2)*AF393</f>
        <v>0</v>
      </c>
      <c r="AG394" s="386">
        <f>(1-SUMIF($I$1:$T$1,B390,$I$2:$T$2))*AF393+SUMIF($I$1:$T$1,B390,$I$2:$T$2)*AG393</f>
        <v>0</v>
      </c>
      <c r="AH394" s="399">
        <f>(1-SUMIF($I$1:$T$1,B390,$I$2:$T$2))*AG393+SUMIF($I$1:$T$1,B390,$I$2:$T$2)*AH393</f>
        <v>0</v>
      </c>
      <c r="AI394" s="399">
        <f>(1-SUMIF($I$1:$T$1,B390,$I$2:$T$2))*AH393+SUMIF($I$1:$T$1,B390,$I$2:$T$2)*AI393</f>
        <v>0</v>
      </c>
      <c r="AJ394" s="404">
        <f>(1-SUMIF($I$1:$T$1,B390,$I$2:$T$2))*AI393+SUMIF($I$1:$T$1,B390,$I$2:$T$2)*AJ393</f>
        <v>0</v>
      </c>
      <c r="AK394" s="386">
        <f>(1-SUMIF($I$1:$T$1,B390,$I$2:$T$2))*AJ393+SUMIF($I$1:$T$1,B390,$I$2:$T$2)*AK393</f>
        <v>0</v>
      </c>
      <c r="AL394" s="399">
        <f>(1-SUMIF($I$1:$T$1,B390,$I$2:$T$2))*AK393+SUMIF($I$1:$T$1,B390,$I$2:$T$2)*AL393</f>
        <v>0</v>
      </c>
      <c r="AM394" s="399">
        <f>(1-SUMIF($I$1:$T$1,B390,$I$2:$T$2))*AL393+SUMIF($I$1:$T$1,B390,$I$2:$T$2)*AM393</f>
        <v>0</v>
      </c>
      <c r="AN394" s="404">
        <f>(1-SUMIF($I$1:$T$1,B390,$I$2:$T$2))*AM393+SUMIF($I$1:$T$1,B390,$I$2:$T$2)*AN393</f>
        <v>0</v>
      </c>
      <c r="AO394" s="386">
        <f>(1-SUMIF($I$1:$T$1,B390,$I$2:$T$2))*AN393+SUMIF($I$1:$T$1,B390,$I$2:$T$2)*AO393</f>
        <v>0</v>
      </c>
      <c r="AP394" s="399">
        <f>(1-SUMIF($I$1:$T$1,B390,$I$2:$T$2))*AO393+SUMIF($I$1:$T$1,B390,$I$2:$T$2)*AP393</f>
        <v>0</v>
      </c>
      <c r="AQ394" s="399">
        <f>(1-SUMIF($I$1:$T$1,B390,$I$2:$T$2))*AP393+SUMIF($I$1:$T$1,B390,$I$2:$T$2)*AQ393</f>
        <v>0</v>
      </c>
      <c r="AR394" s="404">
        <f>(1-SUMIF($I$1:$T$1,B390,$I$2:$T$2))*AQ393+SUMIF($I$1:$T$1,B390,$I$2:$T$2)*AR393</f>
        <v>0</v>
      </c>
      <c r="AS394" s="386">
        <f>(1-SUMIF($I$1:$T$1,B390,$I$2:$T$2))*AR393+SUMIF($I$1:$T$1,B390,$I$2:$T$2)*AS393</f>
        <v>0</v>
      </c>
      <c r="AT394" s="399">
        <f>(1-SUMIF($I$1:$T$1,B390,$I$2:$T$2))*AS393+SUMIF($I$1:$T$1,B390,$I$2:$T$2)*AT393</f>
        <v>0</v>
      </c>
      <c r="AU394" s="399">
        <f>(1-SUMIF($I$1:$T$1,B390,$I$2:$T$2))*AT393+SUMIF($I$1:$T$1,B390,$I$2:$T$2)*AU393</f>
        <v>0</v>
      </c>
      <c r="AV394" s="404">
        <f>(1-SUMIF($I$1:$T$1,B390,$I$2:$T$2))*AU393+SUMIF($I$1:$T$1,B390,$I$2:$T$2)*AV393</f>
        <v>0</v>
      </c>
      <c r="AW394" s="424">
        <f t="shared" si="251"/>
        <v>0</v>
      </c>
    </row>
    <row r="395" spans="1:49" s="424" customFormat="1" ht="13.5" customHeight="1" outlineLevel="1">
      <c r="A395" s="1947"/>
      <c r="B395" s="1949">
        <f>'9.项目开发计划表'!C63</f>
        <v>0</v>
      </c>
      <c r="C395" s="456" t="s">
        <v>880</v>
      </c>
      <c r="D395" s="457">
        <f>IF(D397=0,0,D398/D397*10000)</f>
        <v>0</v>
      </c>
      <c r="E395" s="505"/>
      <c r="F395" s="506"/>
      <c r="G395" s="506"/>
      <c r="H395" s="507"/>
      <c r="I395" s="505"/>
      <c r="J395" s="506"/>
      <c r="K395" s="506"/>
      <c r="L395" s="507"/>
      <c r="M395" s="505"/>
      <c r="N395" s="506"/>
      <c r="O395" s="506"/>
      <c r="P395" s="507"/>
      <c r="Q395" s="505"/>
      <c r="R395" s="506"/>
      <c r="S395" s="506"/>
      <c r="T395" s="507"/>
      <c r="U395" s="505"/>
      <c r="V395" s="506"/>
      <c r="W395" s="506"/>
      <c r="X395" s="507"/>
      <c r="Y395" s="505"/>
      <c r="Z395" s="506"/>
      <c r="AA395" s="506"/>
      <c r="AB395" s="507"/>
      <c r="AC395" s="505"/>
      <c r="AD395" s="506"/>
      <c r="AE395" s="506"/>
      <c r="AF395" s="507"/>
      <c r="AG395" s="505"/>
      <c r="AH395" s="506"/>
      <c r="AI395" s="506"/>
      <c r="AJ395" s="507"/>
      <c r="AK395" s="505"/>
      <c r="AL395" s="506"/>
      <c r="AM395" s="506"/>
      <c r="AN395" s="507"/>
      <c r="AO395" s="505"/>
      <c r="AP395" s="506"/>
      <c r="AQ395" s="506"/>
      <c r="AR395" s="507"/>
      <c r="AS395" s="505"/>
      <c r="AT395" s="506"/>
      <c r="AU395" s="506"/>
      <c r="AV395" s="507"/>
      <c r="AW395" s="424">
        <f>B395</f>
        <v>0</v>
      </c>
    </row>
    <row r="396" spans="1:49" ht="13.5" customHeight="1" outlineLevel="1">
      <c r="A396" s="1947"/>
      <c r="B396" s="1949"/>
      <c r="C396" s="461" t="s">
        <v>881</v>
      </c>
      <c r="D396" s="462">
        <f t="shared" ref="D396:D399" si="261">SUM(E396:AV396)</f>
        <v>0</v>
      </c>
      <c r="E396" s="494"/>
      <c r="F396" s="491"/>
      <c r="G396" s="491"/>
      <c r="H396" s="493"/>
      <c r="I396" s="494"/>
      <c r="J396" s="491"/>
      <c r="K396" s="491"/>
      <c r="L396" s="493"/>
      <c r="M396" s="494"/>
      <c r="N396" s="491"/>
      <c r="O396" s="491"/>
      <c r="P396" s="493"/>
      <c r="Q396" s="494"/>
      <c r="R396" s="491"/>
      <c r="S396" s="491"/>
      <c r="T396" s="493"/>
      <c r="U396" s="494"/>
      <c r="V396" s="491"/>
      <c r="W396" s="491"/>
      <c r="X396" s="493"/>
      <c r="Y396" s="494"/>
      <c r="Z396" s="491"/>
      <c r="AA396" s="491"/>
      <c r="AB396" s="493"/>
      <c r="AC396" s="494"/>
      <c r="AD396" s="491"/>
      <c r="AE396" s="491"/>
      <c r="AF396" s="493"/>
      <c r="AG396" s="494"/>
      <c r="AH396" s="491"/>
      <c r="AI396" s="491"/>
      <c r="AJ396" s="493"/>
      <c r="AK396" s="494"/>
      <c r="AL396" s="491"/>
      <c r="AM396" s="491"/>
      <c r="AN396" s="493"/>
      <c r="AO396" s="494"/>
      <c r="AP396" s="491"/>
      <c r="AQ396" s="491"/>
      <c r="AR396" s="493"/>
      <c r="AS396" s="494"/>
      <c r="AT396" s="491"/>
      <c r="AU396" s="491"/>
      <c r="AV396" s="493"/>
      <c r="AW396" s="424">
        <f>AW395</f>
        <v>0</v>
      </c>
    </row>
    <row r="397" spans="1:49" s="424" customFormat="1" ht="13.5" customHeight="1" outlineLevel="1">
      <c r="A397" s="1947"/>
      <c r="B397" s="1949"/>
      <c r="C397" s="461" t="s">
        <v>682</v>
      </c>
      <c r="D397" s="466">
        <f t="shared" si="261"/>
        <v>0</v>
      </c>
      <c r="E397" s="382">
        <f>E396*'9.项目开发计划表'!$G$63</f>
        <v>0</v>
      </c>
      <c r="F397" s="397">
        <f>F396*'9.项目开发计划表'!$G$63</f>
        <v>0</v>
      </c>
      <c r="G397" s="397">
        <f>G396*'9.项目开发计划表'!$G$63</f>
        <v>0</v>
      </c>
      <c r="H397" s="467">
        <f>H396*'9.项目开发计划表'!$G$63</f>
        <v>0</v>
      </c>
      <c r="I397" s="382">
        <f>I396*'9.项目开发计划表'!$G$63</f>
        <v>0</v>
      </c>
      <c r="J397" s="397">
        <f>J396*'9.项目开发计划表'!$G$63</f>
        <v>0</v>
      </c>
      <c r="K397" s="397">
        <f>K396*'9.项目开发计划表'!$G$63</f>
        <v>0</v>
      </c>
      <c r="L397" s="467">
        <f>L396*'9.项目开发计划表'!$G$63</f>
        <v>0</v>
      </c>
      <c r="M397" s="382">
        <f>M396*'9.项目开发计划表'!$G$63</f>
        <v>0</v>
      </c>
      <c r="N397" s="397">
        <f>N396*'9.项目开发计划表'!$G$63</f>
        <v>0</v>
      </c>
      <c r="O397" s="397">
        <f>O396*'9.项目开发计划表'!$G$63</f>
        <v>0</v>
      </c>
      <c r="P397" s="467">
        <f>P396*'9.项目开发计划表'!$G$63</f>
        <v>0</v>
      </c>
      <c r="Q397" s="382">
        <f>Q396*'9.项目开发计划表'!$G$63</f>
        <v>0</v>
      </c>
      <c r="R397" s="397">
        <f>R396*'9.项目开发计划表'!$G$63</f>
        <v>0</v>
      </c>
      <c r="S397" s="397">
        <f>S396*'9.项目开发计划表'!$G$63</f>
        <v>0</v>
      </c>
      <c r="T397" s="467">
        <f>T396*'9.项目开发计划表'!$G$63</f>
        <v>0</v>
      </c>
      <c r="U397" s="382">
        <f>U396*'9.项目开发计划表'!$G$63</f>
        <v>0</v>
      </c>
      <c r="V397" s="397">
        <f>V396*'9.项目开发计划表'!$G$63</f>
        <v>0</v>
      </c>
      <c r="W397" s="397">
        <f>W396*'9.项目开发计划表'!$G$63</f>
        <v>0</v>
      </c>
      <c r="X397" s="467">
        <f>X396*'9.项目开发计划表'!$G$63</f>
        <v>0</v>
      </c>
      <c r="Y397" s="382">
        <f>Y396*'9.项目开发计划表'!$G$63</f>
        <v>0</v>
      </c>
      <c r="Z397" s="397">
        <f>Z396*'9.项目开发计划表'!$G$63</f>
        <v>0</v>
      </c>
      <c r="AA397" s="397">
        <f>AA396*'9.项目开发计划表'!$G$63</f>
        <v>0</v>
      </c>
      <c r="AB397" s="467">
        <f>AB396*'9.项目开发计划表'!$G$63</f>
        <v>0</v>
      </c>
      <c r="AC397" s="382">
        <f>AC396*'9.项目开发计划表'!$G$63</f>
        <v>0</v>
      </c>
      <c r="AD397" s="397">
        <f>AD396*'9.项目开发计划表'!$G$63</f>
        <v>0</v>
      </c>
      <c r="AE397" s="397">
        <f>AE396*'9.项目开发计划表'!$G$63</f>
        <v>0</v>
      </c>
      <c r="AF397" s="467">
        <f>AF396*'9.项目开发计划表'!$G$63</f>
        <v>0</v>
      </c>
      <c r="AG397" s="382">
        <f>AG396*'9.项目开发计划表'!$G$63</f>
        <v>0</v>
      </c>
      <c r="AH397" s="397">
        <f>AH396*'9.项目开发计划表'!$G$63</f>
        <v>0</v>
      </c>
      <c r="AI397" s="397">
        <f>AI396*'9.项目开发计划表'!$G$63</f>
        <v>0</v>
      </c>
      <c r="AJ397" s="467">
        <f>AJ396*'9.项目开发计划表'!$G$63</f>
        <v>0</v>
      </c>
      <c r="AK397" s="382">
        <f>AK396*'9.项目开发计划表'!$G$63</f>
        <v>0</v>
      </c>
      <c r="AL397" s="397">
        <f>AL396*'9.项目开发计划表'!$G$63</f>
        <v>0</v>
      </c>
      <c r="AM397" s="397">
        <f>AM396*'9.项目开发计划表'!$G$63</f>
        <v>0</v>
      </c>
      <c r="AN397" s="467">
        <f>AN396*'9.项目开发计划表'!$G$63</f>
        <v>0</v>
      </c>
      <c r="AO397" s="382">
        <f>AO396*'9.项目开发计划表'!$G$63</f>
        <v>0</v>
      </c>
      <c r="AP397" s="397">
        <f>AP396*'9.项目开发计划表'!$G$63</f>
        <v>0</v>
      </c>
      <c r="AQ397" s="397">
        <f>AQ396*'9.项目开发计划表'!$G$63</f>
        <v>0</v>
      </c>
      <c r="AR397" s="467">
        <f>AR396*'9.项目开发计划表'!$G$63</f>
        <v>0</v>
      </c>
      <c r="AS397" s="382">
        <f>AS396*'9.项目开发计划表'!$G$63</f>
        <v>0</v>
      </c>
      <c r="AT397" s="397">
        <f>AT396*'9.项目开发计划表'!$G$63</f>
        <v>0</v>
      </c>
      <c r="AU397" s="397">
        <f>AU396*'9.项目开发计划表'!$G$63</f>
        <v>0</v>
      </c>
      <c r="AV397" s="467">
        <f>AV396*'9.项目开发计划表'!$G$63</f>
        <v>0</v>
      </c>
      <c r="AW397" s="424">
        <f t="shared" si="251"/>
        <v>0</v>
      </c>
    </row>
    <row r="398" spans="1:49" s="424" customFormat="1" ht="13.5" customHeight="1" outlineLevel="1">
      <c r="A398" s="1947"/>
      <c r="B398" s="1949"/>
      <c r="C398" s="461" t="s">
        <v>882</v>
      </c>
      <c r="D398" s="466">
        <f t="shared" si="261"/>
        <v>0</v>
      </c>
      <c r="E398" s="382">
        <f t="shared" ref="E398:AV398" si="262">E395*E397/10000</f>
        <v>0</v>
      </c>
      <c r="F398" s="397">
        <f t="shared" si="262"/>
        <v>0</v>
      </c>
      <c r="G398" s="397">
        <f t="shared" si="262"/>
        <v>0</v>
      </c>
      <c r="H398" s="467">
        <f t="shared" si="262"/>
        <v>0</v>
      </c>
      <c r="I398" s="382">
        <f t="shared" si="262"/>
        <v>0</v>
      </c>
      <c r="J398" s="397">
        <f t="shared" si="262"/>
        <v>0</v>
      </c>
      <c r="K398" s="397">
        <f t="shared" si="262"/>
        <v>0</v>
      </c>
      <c r="L398" s="467">
        <f t="shared" si="262"/>
        <v>0</v>
      </c>
      <c r="M398" s="382">
        <f t="shared" si="262"/>
        <v>0</v>
      </c>
      <c r="N398" s="397">
        <f t="shared" si="262"/>
        <v>0</v>
      </c>
      <c r="O398" s="397">
        <f t="shared" si="262"/>
        <v>0</v>
      </c>
      <c r="P398" s="467">
        <f t="shared" si="262"/>
        <v>0</v>
      </c>
      <c r="Q398" s="382">
        <f t="shared" si="262"/>
        <v>0</v>
      </c>
      <c r="R398" s="397">
        <f t="shared" si="262"/>
        <v>0</v>
      </c>
      <c r="S398" s="397">
        <f t="shared" si="262"/>
        <v>0</v>
      </c>
      <c r="T398" s="467">
        <f t="shared" si="262"/>
        <v>0</v>
      </c>
      <c r="U398" s="382">
        <f t="shared" si="262"/>
        <v>0</v>
      </c>
      <c r="V398" s="397">
        <f t="shared" si="262"/>
        <v>0</v>
      </c>
      <c r="W398" s="397">
        <f t="shared" si="262"/>
        <v>0</v>
      </c>
      <c r="X398" s="467">
        <f t="shared" si="262"/>
        <v>0</v>
      </c>
      <c r="Y398" s="382">
        <f t="shared" si="262"/>
        <v>0</v>
      </c>
      <c r="Z398" s="397">
        <f t="shared" si="262"/>
        <v>0</v>
      </c>
      <c r="AA398" s="397">
        <f t="shared" si="262"/>
        <v>0</v>
      </c>
      <c r="AB398" s="467">
        <f t="shared" si="262"/>
        <v>0</v>
      </c>
      <c r="AC398" s="382">
        <f t="shared" si="262"/>
        <v>0</v>
      </c>
      <c r="AD398" s="397">
        <f t="shared" si="262"/>
        <v>0</v>
      </c>
      <c r="AE398" s="397">
        <f t="shared" si="262"/>
        <v>0</v>
      </c>
      <c r="AF398" s="467">
        <f t="shared" si="262"/>
        <v>0</v>
      </c>
      <c r="AG398" s="382">
        <f t="shared" si="262"/>
        <v>0</v>
      </c>
      <c r="AH398" s="397">
        <f t="shared" si="262"/>
        <v>0</v>
      </c>
      <c r="AI398" s="397">
        <f t="shared" si="262"/>
        <v>0</v>
      </c>
      <c r="AJ398" s="467">
        <f t="shared" si="262"/>
        <v>0</v>
      </c>
      <c r="AK398" s="382">
        <f t="shared" si="262"/>
        <v>0</v>
      </c>
      <c r="AL398" s="397">
        <f t="shared" si="262"/>
        <v>0</v>
      </c>
      <c r="AM398" s="397">
        <f t="shared" si="262"/>
        <v>0</v>
      </c>
      <c r="AN398" s="467">
        <f t="shared" si="262"/>
        <v>0</v>
      </c>
      <c r="AO398" s="382">
        <f t="shared" si="262"/>
        <v>0</v>
      </c>
      <c r="AP398" s="397">
        <f t="shared" si="262"/>
        <v>0</v>
      </c>
      <c r="AQ398" s="397">
        <f t="shared" si="262"/>
        <v>0</v>
      </c>
      <c r="AR398" s="467">
        <f t="shared" si="262"/>
        <v>0</v>
      </c>
      <c r="AS398" s="382">
        <f t="shared" si="262"/>
        <v>0</v>
      </c>
      <c r="AT398" s="397">
        <f t="shared" si="262"/>
        <v>0</v>
      </c>
      <c r="AU398" s="397">
        <f t="shared" si="262"/>
        <v>0</v>
      </c>
      <c r="AV398" s="467">
        <f t="shared" si="262"/>
        <v>0</v>
      </c>
      <c r="AW398" s="424">
        <f t="shared" si="251"/>
        <v>0</v>
      </c>
    </row>
    <row r="399" spans="1:49" s="424" customFormat="1" ht="13.5" customHeight="1" outlineLevel="1">
      <c r="A399" s="1947"/>
      <c r="B399" s="1949"/>
      <c r="C399" s="508" t="s">
        <v>450</v>
      </c>
      <c r="D399" s="468">
        <f t="shared" si="261"/>
        <v>0</v>
      </c>
      <c r="E399" s="386">
        <f>SUMIF($I$1:$T$1,B395,$I$2:$T$2)*E398</f>
        <v>0</v>
      </c>
      <c r="F399" s="399">
        <f>(1-SUMIF($I$1:$T$1,B395,$I$2:$T$2))*E398+SUMIF($I$1:$T$1,B395,$I$2:$T$2)*F398</f>
        <v>0</v>
      </c>
      <c r="G399" s="399">
        <f>(1-SUMIF($I$1:$T$1,B395,$I$2:$T$2))*F398+SUMIF($I$1:$T$1,B395,$I$2:$T$2)*G398</f>
        <v>0</v>
      </c>
      <c r="H399" s="404">
        <f>(1-SUMIF($I$1:$T$1,B395,$I$2:$T$2))*G398+SUMIF($I$1:$T$1,B395,$I$2:$T$2)*H398</f>
        <v>0</v>
      </c>
      <c r="I399" s="386">
        <f>(1-SUMIF($I$1:$T$1,B395,$I$2:$T$2))*H398+SUMIF($I$1:$T$1,B395,$I$2:$T$2)*I398</f>
        <v>0</v>
      </c>
      <c r="J399" s="399">
        <f>(1-SUMIF($I$1:$T$1,B395,$I$2:$T$2))*I398+SUMIF($I$1:$T$1,B395,$I$2:$T$2)*J398</f>
        <v>0</v>
      </c>
      <c r="K399" s="399">
        <f>(1-SUMIF($I$1:$T$1,B395,$I$2:$T$2))*J398+SUMIF($I$1:$T$1,B395,$I$2:$T$2)*K398</f>
        <v>0</v>
      </c>
      <c r="L399" s="404">
        <f>(1-SUMIF($I$1:$T$1,B395,$I$2:$T$2))*K398+SUMIF($I$1:$T$1,B395,$I$2:$T$2)*L398</f>
        <v>0</v>
      </c>
      <c r="M399" s="386">
        <f>(1-SUMIF($I$1:$T$1,B395,$I$2:$T$2))*L398+SUMIF($I$1:$T$1,B395,$I$2:$T$2)*M398</f>
        <v>0</v>
      </c>
      <c r="N399" s="399">
        <f>(1-SUMIF($I$1:$T$1,B395,$I$2:$T$2))*M398+SUMIF($I$1:$T$1,B395,$I$2:$T$2)*N398</f>
        <v>0</v>
      </c>
      <c r="O399" s="399">
        <f>(1-SUMIF($I$1:$T$1,B395,$I$2:$T$2))*N398+SUMIF($I$1:$T$1,B395,$I$2:$T$2)*O398</f>
        <v>0</v>
      </c>
      <c r="P399" s="404">
        <f>(1-SUMIF($I$1:$T$1,B395,$I$2:$T$2))*O398+SUMIF($I$1:$T$1,B395,$I$2:$T$2)*P398</f>
        <v>0</v>
      </c>
      <c r="Q399" s="386">
        <f>(1-SUMIF($I$1:$T$1,B395,$I$2:$T$2))*P398+SUMIF($I$1:$T$1,B395,$I$2:$T$2)*Q398</f>
        <v>0</v>
      </c>
      <c r="R399" s="399">
        <f>(1-SUMIF($I$1:$T$1,B395,$I$2:$T$2))*Q398+SUMIF($I$1:$T$1,B395,$I$2:$T$2)*R398</f>
        <v>0</v>
      </c>
      <c r="S399" s="399">
        <f>(1-SUMIF($I$1:$T$1,B395,$I$2:$T$2))*R398+SUMIF($I$1:$T$1,B395,$I$2:$T$2)*S398</f>
        <v>0</v>
      </c>
      <c r="T399" s="404">
        <f>(1-SUMIF($I$1:$T$1,B395,$I$2:$T$2))*S398+SUMIF($I$1:$T$1,B395,$I$2:$T$2)*T398</f>
        <v>0</v>
      </c>
      <c r="U399" s="386">
        <f>(1-SUMIF($I$1:$T$1,B395,$I$2:$T$2))*T398+SUMIF($I$1:$T$1,B395,$I$2:$T$2)*U398</f>
        <v>0</v>
      </c>
      <c r="V399" s="399">
        <f>(1-SUMIF($I$1:$T$1,B395,$I$2:$T$2))*U398+SUMIF($I$1:$T$1,B395,$I$2:$T$2)*V398</f>
        <v>0</v>
      </c>
      <c r="W399" s="399">
        <f>(1-SUMIF($I$1:$T$1,B395,$I$2:$T$2))*V398+SUMIF($I$1:$T$1,B395,$I$2:$T$2)*W398</f>
        <v>0</v>
      </c>
      <c r="X399" s="404">
        <f>(1-SUMIF($I$1:$T$1,B395,$I$2:$T$2))*W398+SUMIF($I$1:$T$1,B395,$I$2:$T$2)*X398</f>
        <v>0</v>
      </c>
      <c r="Y399" s="386">
        <f>(1-SUMIF($I$1:$T$1,B395,$I$2:$T$2))*X398+SUMIF($I$1:$T$1,B395,$I$2:$T$2)*Y398</f>
        <v>0</v>
      </c>
      <c r="Z399" s="399">
        <f>(1-SUMIF($I$1:$T$1,B395,$I$2:$T$2))*Y398+SUMIF($I$1:$T$1,B395,$I$2:$T$2)*Z398</f>
        <v>0</v>
      </c>
      <c r="AA399" s="399">
        <f>(1-SUMIF($I$1:$T$1,B395,$I$2:$T$2))*Z398+SUMIF($I$1:$T$1,B395,$I$2:$T$2)*AA398</f>
        <v>0</v>
      </c>
      <c r="AB399" s="404">
        <f>(1-SUMIF($I$1:$T$1,B395,$I$2:$T$2))*AA398+SUMIF($I$1:$T$1,B395,$I$2:$T$2)*AB398</f>
        <v>0</v>
      </c>
      <c r="AC399" s="386">
        <f>(1-SUMIF($I$1:$T$1,B395,$I$2:$T$2))*AB398+SUMIF($I$1:$T$1,B395,$I$2:$T$2)*AC398</f>
        <v>0</v>
      </c>
      <c r="AD399" s="399">
        <f>(1-SUMIF($I$1:$T$1,B395,$I$2:$T$2))*AC398+SUMIF($I$1:$T$1,B395,$I$2:$T$2)*AD398</f>
        <v>0</v>
      </c>
      <c r="AE399" s="399">
        <f>(1-SUMIF($I$1:$T$1,B395,$I$2:$T$2))*AD398+SUMIF($I$1:$T$1,B395,$I$2:$T$2)*AE398</f>
        <v>0</v>
      </c>
      <c r="AF399" s="404">
        <f>(1-SUMIF($I$1:$T$1,B395,$I$2:$T$2))*AE398+SUMIF($I$1:$T$1,B395,$I$2:$T$2)*AF398</f>
        <v>0</v>
      </c>
      <c r="AG399" s="386">
        <f>(1-SUMIF($I$1:$T$1,B395,$I$2:$T$2))*AF398+SUMIF($I$1:$T$1,B395,$I$2:$T$2)*AG398</f>
        <v>0</v>
      </c>
      <c r="AH399" s="399">
        <f>(1-SUMIF($I$1:$T$1,B395,$I$2:$T$2))*AG398+SUMIF($I$1:$T$1,B395,$I$2:$T$2)*AH398</f>
        <v>0</v>
      </c>
      <c r="AI399" s="399">
        <f>(1-SUMIF($I$1:$T$1,B395,$I$2:$T$2))*AH398+SUMIF($I$1:$T$1,B395,$I$2:$T$2)*AI398</f>
        <v>0</v>
      </c>
      <c r="AJ399" s="404">
        <f>(1-SUMIF($I$1:$T$1,B395,$I$2:$T$2))*AI398+SUMIF($I$1:$T$1,B395,$I$2:$T$2)*AJ398</f>
        <v>0</v>
      </c>
      <c r="AK399" s="386">
        <f>(1-SUMIF($I$1:$T$1,B395,$I$2:$T$2))*AJ398+SUMIF($I$1:$T$1,B395,$I$2:$T$2)*AK398</f>
        <v>0</v>
      </c>
      <c r="AL399" s="399">
        <f>(1-SUMIF($I$1:$T$1,B395,$I$2:$T$2))*AK398+SUMIF($I$1:$T$1,B395,$I$2:$T$2)*AL398</f>
        <v>0</v>
      </c>
      <c r="AM399" s="399">
        <f>(1-SUMIF($I$1:$T$1,B395,$I$2:$T$2))*AL398+SUMIF($I$1:$T$1,B395,$I$2:$T$2)*AM398</f>
        <v>0</v>
      </c>
      <c r="AN399" s="404">
        <f>(1-SUMIF($I$1:$T$1,B395,$I$2:$T$2))*AM398+SUMIF($I$1:$T$1,B395,$I$2:$T$2)*AN398</f>
        <v>0</v>
      </c>
      <c r="AO399" s="386">
        <f>(1-SUMIF($I$1:$T$1,B395,$I$2:$T$2))*AN398+SUMIF($I$1:$T$1,B395,$I$2:$T$2)*AO398</f>
        <v>0</v>
      </c>
      <c r="AP399" s="399">
        <f>(1-SUMIF($I$1:$T$1,B395,$I$2:$T$2))*AO398+SUMIF($I$1:$T$1,B395,$I$2:$T$2)*AP398</f>
        <v>0</v>
      </c>
      <c r="AQ399" s="399">
        <f>(1-SUMIF($I$1:$T$1,B395,$I$2:$T$2))*AP398+SUMIF($I$1:$T$1,B395,$I$2:$T$2)*AQ398</f>
        <v>0</v>
      </c>
      <c r="AR399" s="404">
        <f>(1-SUMIF($I$1:$T$1,B395,$I$2:$T$2))*AQ398+SUMIF($I$1:$T$1,B395,$I$2:$T$2)*AR398</f>
        <v>0</v>
      </c>
      <c r="AS399" s="386">
        <f>(1-SUMIF($I$1:$T$1,B395,$I$2:$T$2))*AR398+SUMIF($I$1:$T$1,B395,$I$2:$T$2)*AS398</f>
        <v>0</v>
      </c>
      <c r="AT399" s="399">
        <f>(1-SUMIF($I$1:$T$1,B395,$I$2:$T$2))*AS398+SUMIF($I$1:$T$1,B395,$I$2:$T$2)*AT398</f>
        <v>0</v>
      </c>
      <c r="AU399" s="399">
        <f>(1-SUMIF($I$1:$T$1,B395,$I$2:$T$2))*AT398+SUMIF($I$1:$T$1,B395,$I$2:$T$2)*AU398</f>
        <v>0</v>
      </c>
      <c r="AV399" s="404">
        <f>(1-SUMIF($I$1:$T$1,B395,$I$2:$T$2))*AU398+SUMIF($I$1:$T$1,B395,$I$2:$T$2)*AV398</f>
        <v>0</v>
      </c>
      <c r="AW399" s="424">
        <f t="shared" si="251"/>
        <v>0</v>
      </c>
    </row>
    <row r="400" spans="1:49" s="424" customFormat="1" ht="13.5" customHeight="1" outlineLevel="1">
      <c r="A400" s="1947"/>
      <c r="B400" s="1949">
        <f>'9.项目开发计划表'!C64</f>
        <v>0</v>
      </c>
      <c r="C400" s="456" t="s">
        <v>880</v>
      </c>
      <c r="D400" s="457">
        <f>IF(D402=0,0,D403/D402*10000)</f>
        <v>0</v>
      </c>
      <c r="E400" s="505"/>
      <c r="F400" s="506"/>
      <c r="G400" s="506"/>
      <c r="H400" s="507"/>
      <c r="I400" s="505"/>
      <c r="J400" s="506"/>
      <c r="K400" s="506"/>
      <c r="L400" s="507"/>
      <c r="M400" s="505"/>
      <c r="N400" s="506"/>
      <c r="O400" s="506"/>
      <c r="P400" s="507"/>
      <c r="Q400" s="505"/>
      <c r="R400" s="506"/>
      <c r="S400" s="506"/>
      <c r="T400" s="507"/>
      <c r="U400" s="505"/>
      <c r="V400" s="506"/>
      <c r="W400" s="506"/>
      <c r="X400" s="507"/>
      <c r="Y400" s="505"/>
      <c r="Z400" s="506"/>
      <c r="AA400" s="506"/>
      <c r="AB400" s="507"/>
      <c r="AC400" s="505"/>
      <c r="AD400" s="506"/>
      <c r="AE400" s="506"/>
      <c r="AF400" s="507"/>
      <c r="AG400" s="505"/>
      <c r="AH400" s="506"/>
      <c r="AI400" s="506"/>
      <c r="AJ400" s="507"/>
      <c r="AK400" s="505"/>
      <c r="AL400" s="506"/>
      <c r="AM400" s="506"/>
      <c r="AN400" s="507"/>
      <c r="AO400" s="505"/>
      <c r="AP400" s="506"/>
      <c r="AQ400" s="506"/>
      <c r="AR400" s="507"/>
      <c r="AS400" s="505"/>
      <c r="AT400" s="506"/>
      <c r="AU400" s="506"/>
      <c r="AV400" s="507"/>
      <c r="AW400" s="424">
        <f>B400</f>
        <v>0</v>
      </c>
    </row>
    <row r="401" spans="1:49" ht="13.5" customHeight="1" outlineLevel="1">
      <c r="A401" s="1947"/>
      <c r="B401" s="1949"/>
      <c r="C401" s="461" t="s">
        <v>881</v>
      </c>
      <c r="D401" s="462">
        <f t="shared" ref="D401:D404" si="263">SUM(E401:AV401)</f>
        <v>0</v>
      </c>
      <c r="E401" s="494"/>
      <c r="F401" s="491"/>
      <c r="G401" s="491"/>
      <c r="H401" s="493"/>
      <c r="I401" s="494"/>
      <c r="J401" s="491"/>
      <c r="K401" s="491"/>
      <c r="L401" s="493"/>
      <c r="M401" s="494"/>
      <c r="N401" s="491"/>
      <c r="O401" s="491"/>
      <c r="P401" s="493"/>
      <c r="Q401" s="494"/>
      <c r="R401" s="491"/>
      <c r="S401" s="491"/>
      <c r="T401" s="493"/>
      <c r="U401" s="494"/>
      <c r="V401" s="491"/>
      <c r="W401" s="491"/>
      <c r="X401" s="493"/>
      <c r="Y401" s="494"/>
      <c r="Z401" s="491"/>
      <c r="AA401" s="491"/>
      <c r="AB401" s="493"/>
      <c r="AC401" s="494"/>
      <c r="AD401" s="491"/>
      <c r="AE401" s="491"/>
      <c r="AF401" s="493"/>
      <c r="AG401" s="494"/>
      <c r="AH401" s="491"/>
      <c r="AI401" s="491"/>
      <c r="AJ401" s="493"/>
      <c r="AK401" s="494"/>
      <c r="AL401" s="491"/>
      <c r="AM401" s="491"/>
      <c r="AN401" s="493"/>
      <c r="AO401" s="494"/>
      <c r="AP401" s="491"/>
      <c r="AQ401" s="491"/>
      <c r="AR401" s="493"/>
      <c r="AS401" s="494"/>
      <c r="AT401" s="491"/>
      <c r="AU401" s="491"/>
      <c r="AV401" s="493"/>
      <c r="AW401" s="424">
        <f>AW400</f>
        <v>0</v>
      </c>
    </row>
    <row r="402" spans="1:49" s="424" customFormat="1" ht="13.5" customHeight="1" outlineLevel="1">
      <c r="A402" s="1947"/>
      <c r="B402" s="1949"/>
      <c r="C402" s="461" t="s">
        <v>682</v>
      </c>
      <c r="D402" s="466">
        <f t="shared" si="263"/>
        <v>0</v>
      </c>
      <c r="E402" s="382">
        <f>E401*'9.项目开发计划表'!$G$64</f>
        <v>0</v>
      </c>
      <c r="F402" s="397">
        <f>F401*'9.项目开发计划表'!$G$64</f>
        <v>0</v>
      </c>
      <c r="G402" s="397">
        <f>G401*'9.项目开发计划表'!$G$64</f>
        <v>0</v>
      </c>
      <c r="H402" s="467">
        <f>H401*'9.项目开发计划表'!$G$64</f>
        <v>0</v>
      </c>
      <c r="I402" s="382">
        <f>I401*'9.项目开发计划表'!$G$64</f>
        <v>0</v>
      </c>
      <c r="J402" s="397">
        <f>J401*'9.项目开发计划表'!$G$64</f>
        <v>0</v>
      </c>
      <c r="K402" s="397">
        <f>K401*'9.项目开发计划表'!$G$64</f>
        <v>0</v>
      </c>
      <c r="L402" s="467">
        <f>L401*'9.项目开发计划表'!$G$64</f>
        <v>0</v>
      </c>
      <c r="M402" s="382">
        <f>M401*'9.项目开发计划表'!$G$64</f>
        <v>0</v>
      </c>
      <c r="N402" s="397">
        <f>N401*'9.项目开发计划表'!$G$64</f>
        <v>0</v>
      </c>
      <c r="O402" s="397">
        <f>O401*'9.项目开发计划表'!$G$64</f>
        <v>0</v>
      </c>
      <c r="P402" s="467">
        <f>P401*'9.项目开发计划表'!$G$64</f>
        <v>0</v>
      </c>
      <c r="Q402" s="382">
        <f>Q401*'9.项目开发计划表'!$G$64</f>
        <v>0</v>
      </c>
      <c r="R402" s="397">
        <f>R401*'9.项目开发计划表'!$G$64</f>
        <v>0</v>
      </c>
      <c r="S402" s="397">
        <f>S401*'9.项目开发计划表'!$G$64</f>
        <v>0</v>
      </c>
      <c r="T402" s="467">
        <f>T401*'9.项目开发计划表'!$G$64</f>
        <v>0</v>
      </c>
      <c r="U402" s="382">
        <f>U401*'9.项目开发计划表'!$G$64</f>
        <v>0</v>
      </c>
      <c r="V402" s="397">
        <f>V401*'9.项目开发计划表'!$G$64</f>
        <v>0</v>
      </c>
      <c r="W402" s="397">
        <f>W401*'9.项目开发计划表'!$G$64</f>
        <v>0</v>
      </c>
      <c r="X402" s="467">
        <f>X401*'9.项目开发计划表'!$G$64</f>
        <v>0</v>
      </c>
      <c r="Y402" s="382">
        <f>Y401*'9.项目开发计划表'!$G$64</f>
        <v>0</v>
      </c>
      <c r="Z402" s="397">
        <f>Z401*'9.项目开发计划表'!$G$64</f>
        <v>0</v>
      </c>
      <c r="AA402" s="397">
        <f>AA401*'9.项目开发计划表'!$G$64</f>
        <v>0</v>
      </c>
      <c r="AB402" s="467">
        <f>AB401*'9.项目开发计划表'!$G$64</f>
        <v>0</v>
      </c>
      <c r="AC402" s="382">
        <f>AC401*'9.项目开发计划表'!$G$64</f>
        <v>0</v>
      </c>
      <c r="AD402" s="397">
        <f>AD401*'9.项目开发计划表'!$G$64</f>
        <v>0</v>
      </c>
      <c r="AE402" s="397">
        <f>AE401*'9.项目开发计划表'!$G$64</f>
        <v>0</v>
      </c>
      <c r="AF402" s="467">
        <f>AF401*'9.项目开发计划表'!$G$64</f>
        <v>0</v>
      </c>
      <c r="AG402" s="382">
        <f>AG401*'9.项目开发计划表'!$G$64</f>
        <v>0</v>
      </c>
      <c r="AH402" s="397">
        <f>AH401*'9.项目开发计划表'!$G$64</f>
        <v>0</v>
      </c>
      <c r="AI402" s="397">
        <f>AI401*'9.项目开发计划表'!$G$64</f>
        <v>0</v>
      </c>
      <c r="AJ402" s="467">
        <f>AJ401*'9.项目开发计划表'!$G$64</f>
        <v>0</v>
      </c>
      <c r="AK402" s="382">
        <f>AK401*'9.项目开发计划表'!$G$64</f>
        <v>0</v>
      </c>
      <c r="AL402" s="397">
        <f>AL401*'9.项目开发计划表'!$G$64</f>
        <v>0</v>
      </c>
      <c r="AM402" s="397">
        <f>AM401*'9.项目开发计划表'!$G$64</f>
        <v>0</v>
      </c>
      <c r="AN402" s="467">
        <f>AN401*'9.项目开发计划表'!$G$64</f>
        <v>0</v>
      </c>
      <c r="AO402" s="382">
        <f>AO401*'9.项目开发计划表'!$G$64</f>
        <v>0</v>
      </c>
      <c r="AP402" s="397">
        <f>AP401*'9.项目开发计划表'!$G$64</f>
        <v>0</v>
      </c>
      <c r="AQ402" s="397">
        <f>AQ401*'9.项目开发计划表'!$G$64</f>
        <v>0</v>
      </c>
      <c r="AR402" s="467">
        <f>AR401*'9.项目开发计划表'!$G$64</f>
        <v>0</v>
      </c>
      <c r="AS402" s="382">
        <f>AS401*'9.项目开发计划表'!$G$64</f>
        <v>0</v>
      </c>
      <c r="AT402" s="397">
        <f>AT401*'9.项目开发计划表'!$G$64</f>
        <v>0</v>
      </c>
      <c r="AU402" s="397">
        <f>AU401*'9.项目开发计划表'!$G$64</f>
        <v>0</v>
      </c>
      <c r="AV402" s="467">
        <f>AV401*'9.项目开发计划表'!$G$64</f>
        <v>0</v>
      </c>
      <c r="AW402" s="424">
        <f t="shared" si="251"/>
        <v>0</v>
      </c>
    </row>
    <row r="403" spans="1:49" s="424" customFormat="1" ht="13.5" customHeight="1" outlineLevel="1">
      <c r="A403" s="1947"/>
      <c r="B403" s="1949"/>
      <c r="C403" s="461" t="s">
        <v>882</v>
      </c>
      <c r="D403" s="466">
        <f t="shared" si="263"/>
        <v>0</v>
      </c>
      <c r="E403" s="382">
        <f t="shared" ref="E403:AV403" si="264">E400*E402/10000</f>
        <v>0</v>
      </c>
      <c r="F403" s="397">
        <f t="shared" si="264"/>
        <v>0</v>
      </c>
      <c r="G403" s="397">
        <f t="shared" si="264"/>
        <v>0</v>
      </c>
      <c r="H403" s="467">
        <f t="shared" si="264"/>
        <v>0</v>
      </c>
      <c r="I403" s="382">
        <f t="shared" si="264"/>
        <v>0</v>
      </c>
      <c r="J403" s="397">
        <f t="shared" si="264"/>
        <v>0</v>
      </c>
      <c r="K403" s="397">
        <f t="shared" si="264"/>
        <v>0</v>
      </c>
      <c r="L403" s="467">
        <f t="shared" si="264"/>
        <v>0</v>
      </c>
      <c r="M403" s="382">
        <f t="shared" si="264"/>
        <v>0</v>
      </c>
      <c r="N403" s="397">
        <f t="shared" si="264"/>
        <v>0</v>
      </c>
      <c r="O403" s="397">
        <f t="shared" si="264"/>
        <v>0</v>
      </c>
      <c r="P403" s="467">
        <f t="shared" si="264"/>
        <v>0</v>
      </c>
      <c r="Q403" s="382">
        <f t="shared" si="264"/>
        <v>0</v>
      </c>
      <c r="R403" s="397">
        <f t="shared" si="264"/>
        <v>0</v>
      </c>
      <c r="S403" s="397">
        <f t="shared" si="264"/>
        <v>0</v>
      </c>
      <c r="T403" s="467">
        <f t="shared" si="264"/>
        <v>0</v>
      </c>
      <c r="U403" s="382">
        <f t="shared" si="264"/>
        <v>0</v>
      </c>
      <c r="V403" s="397">
        <f t="shared" si="264"/>
        <v>0</v>
      </c>
      <c r="W403" s="397">
        <f t="shared" si="264"/>
        <v>0</v>
      </c>
      <c r="X403" s="467">
        <f t="shared" si="264"/>
        <v>0</v>
      </c>
      <c r="Y403" s="382">
        <f t="shared" si="264"/>
        <v>0</v>
      </c>
      <c r="Z403" s="397">
        <f t="shared" si="264"/>
        <v>0</v>
      </c>
      <c r="AA403" s="397">
        <f t="shared" si="264"/>
        <v>0</v>
      </c>
      <c r="AB403" s="467">
        <f t="shared" si="264"/>
        <v>0</v>
      </c>
      <c r="AC403" s="382">
        <f t="shared" si="264"/>
        <v>0</v>
      </c>
      <c r="AD403" s="397">
        <f t="shared" si="264"/>
        <v>0</v>
      </c>
      <c r="AE403" s="397">
        <f t="shared" si="264"/>
        <v>0</v>
      </c>
      <c r="AF403" s="467">
        <f t="shared" si="264"/>
        <v>0</v>
      </c>
      <c r="AG403" s="382">
        <f t="shared" si="264"/>
        <v>0</v>
      </c>
      <c r="AH403" s="397">
        <f t="shared" si="264"/>
        <v>0</v>
      </c>
      <c r="AI403" s="397">
        <f t="shared" si="264"/>
        <v>0</v>
      </c>
      <c r="AJ403" s="467">
        <f t="shared" si="264"/>
        <v>0</v>
      </c>
      <c r="AK403" s="382">
        <f t="shared" si="264"/>
        <v>0</v>
      </c>
      <c r="AL403" s="397">
        <f t="shared" si="264"/>
        <v>0</v>
      </c>
      <c r="AM403" s="397">
        <f t="shared" si="264"/>
        <v>0</v>
      </c>
      <c r="AN403" s="467">
        <f t="shared" si="264"/>
        <v>0</v>
      </c>
      <c r="AO403" s="382">
        <f t="shared" si="264"/>
        <v>0</v>
      </c>
      <c r="AP403" s="397">
        <f t="shared" si="264"/>
        <v>0</v>
      </c>
      <c r="AQ403" s="397">
        <f t="shared" si="264"/>
        <v>0</v>
      </c>
      <c r="AR403" s="467">
        <f t="shared" si="264"/>
        <v>0</v>
      </c>
      <c r="AS403" s="382">
        <f t="shared" si="264"/>
        <v>0</v>
      </c>
      <c r="AT403" s="397">
        <f t="shared" si="264"/>
        <v>0</v>
      </c>
      <c r="AU403" s="397">
        <f t="shared" si="264"/>
        <v>0</v>
      </c>
      <c r="AV403" s="467">
        <f t="shared" si="264"/>
        <v>0</v>
      </c>
      <c r="AW403" s="424">
        <f t="shared" si="251"/>
        <v>0</v>
      </c>
    </row>
    <row r="404" spans="1:49" s="424" customFormat="1" ht="13.5" customHeight="1" outlineLevel="1">
      <c r="A404" s="1947"/>
      <c r="B404" s="1949"/>
      <c r="C404" s="508" t="s">
        <v>450</v>
      </c>
      <c r="D404" s="468">
        <f t="shared" si="263"/>
        <v>0</v>
      </c>
      <c r="E404" s="386">
        <f>SUMIF($I$1:$T$1,B400,$I$2:$T$2)*E403</f>
        <v>0</v>
      </c>
      <c r="F404" s="399">
        <f>(1-SUMIF($I$1:$T$1,B400,$I$2:$T$2))*E403+SUMIF($I$1:$T$1,B400,$I$2:$T$2)*F403</f>
        <v>0</v>
      </c>
      <c r="G404" s="399">
        <f>(1-SUMIF($I$1:$T$1,B400,$I$2:$T$2))*F403+SUMIF($I$1:$T$1,B400,$I$2:$T$2)*G403</f>
        <v>0</v>
      </c>
      <c r="H404" s="404">
        <f>(1-SUMIF($I$1:$T$1,B400,$I$2:$T$2))*G403+SUMIF($I$1:$T$1,B400,$I$2:$T$2)*H403</f>
        <v>0</v>
      </c>
      <c r="I404" s="386">
        <f>(1-SUMIF($I$1:$T$1,B400,$I$2:$T$2))*H403+SUMIF($I$1:$T$1,B400,$I$2:$T$2)*I403</f>
        <v>0</v>
      </c>
      <c r="J404" s="399">
        <f>(1-SUMIF($I$1:$T$1,B400,$I$2:$T$2))*I403+SUMIF($I$1:$T$1,B400,$I$2:$T$2)*J403</f>
        <v>0</v>
      </c>
      <c r="K404" s="399">
        <f>(1-SUMIF($I$1:$T$1,B400,$I$2:$T$2))*J403+SUMIF($I$1:$T$1,B400,$I$2:$T$2)*K403</f>
        <v>0</v>
      </c>
      <c r="L404" s="404">
        <f>(1-SUMIF($I$1:$T$1,B400,$I$2:$T$2))*K403+SUMIF($I$1:$T$1,B400,$I$2:$T$2)*L403</f>
        <v>0</v>
      </c>
      <c r="M404" s="386">
        <f>(1-SUMIF($I$1:$T$1,B400,$I$2:$T$2))*L403+SUMIF($I$1:$T$1,B400,$I$2:$T$2)*M403</f>
        <v>0</v>
      </c>
      <c r="N404" s="399">
        <f>(1-SUMIF($I$1:$T$1,B400,$I$2:$T$2))*M403+SUMIF($I$1:$T$1,B400,$I$2:$T$2)*N403</f>
        <v>0</v>
      </c>
      <c r="O404" s="399">
        <f>(1-SUMIF($I$1:$T$1,B400,$I$2:$T$2))*N403+SUMIF($I$1:$T$1,B400,$I$2:$T$2)*O403</f>
        <v>0</v>
      </c>
      <c r="P404" s="404">
        <f>(1-SUMIF($I$1:$T$1,B400,$I$2:$T$2))*O403+SUMIF($I$1:$T$1,B400,$I$2:$T$2)*P403</f>
        <v>0</v>
      </c>
      <c r="Q404" s="386">
        <f>(1-SUMIF($I$1:$T$1,B400,$I$2:$T$2))*P403+SUMIF($I$1:$T$1,B400,$I$2:$T$2)*Q403</f>
        <v>0</v>
      </c>
      <c r="R404" s="399">
        <f>(1-SUMIF($I$1:$T$1,B400,$I$2:$T$2))*Q403+SUMIF($I$1:$T$1,B400,$I$2:$T$2)*R403</f>
        <v>0</v>
      </c>
      <c r="S404" s="399">
        <f>(1-SUMIF($I$1:$T$1,B400,$I$2:$T$2))*R403+SUMIF($I$1:$T$1,B400,$I$2:$T$2)*S403</f>
        <v>0</v>
      </c>
      <c r="T404" s="404">
        <f>(1-SUMIF($I$1:$T$1,B400,$I$2:$T$2))*S403+SUMIF($I$1:$T$1,B400,$I$2:$T$2)*T403</f>
        <v>0</v>
      </c>
      <c r="U404" s="386">
        <f>(1-SUMIF($I$1:$T$1,B400,$I$2:$T$2))*T403+SUMIF($I$1:$T$1,B400,$I$2:$T$2)*U403</f>
        <v>0</v>
      </c>
      <c r="V404" s="399">
        <f>(1-SUMIF($I$1:$T$1,B400,$I$2:$T$2))*U403+SUMIF($I$1:$T$1,B400,$I$2:$T$2)*V403</f>
        <v>0</v>
      </c>
      <c r="W404" s="399">
        <f>(1-SUMIF($I$1:$T$1,B400,$I$2:$T$2))*V403+SUMIF($I$1:$T$1,B400,$I$2:$T$2)*W403</f>
        <v>0</v>
      </c>
      <c r="X404" s="404">
        <f>(1-SUMIF($I$1:$T$1,B400,$I$2:$T$2))*W403+SUMIF($I$1:$T$1,B400,$I$2:$T$2)*X403</f>
        <v>0</v>
      </c>
      <c r="Y404" s="386">
        <f>(1-SUMIF($I$1:$T$1,B400,$I$2:$T$2))*X403+SUMIF($I$1:$T$1,B400,$I$2:$T$2)*Y403</f>
        <v>0</v>
      </c>
      <c r="Z404" s="399">
        <f>(1-SUMIF($I$1:$T$1,B400,$I$2:$T$2))*Y403+SUMIF($I$1:$T$1,B400,$I$2:$T$2)*Z403</f>
        <v>0</v>
      </c>
      <c r="AA404" s="399">
        <f>(1-SUMIF($I$1:$T$1,B400,$I$2:$T$2))*Z403+SUMIF($I$1:$T$1,B400,$I$2:$T$2)*AA403</f>
        <v>0</v>
      </c>
      <c r="AB404" s="404">
        <f>(1-SUMIF($I$1:$T$1,B400,$I$2:$T$2))*AA403+SUMIF($I$1:$T$1,B400,$I$2:$T$2)*AB403</f>
        <v>0</v>
      </c>
      <c r="AC404" s="386">
        <f>(1-SUMIF($I$1:$T$1,B400,$I$2:$T$2))*AB403+SUMIF($I$1:$T$1,B400,$I$2:$T$2)*AC403</f>
        <v>0</v>
      </c>
      <c r="AD404" s="399">
        <f>(1-SUMIF($I$1:$T$1,B400,$I$2:$T$2))*AC403+SUMIF($I$1:$T$1,B400,$I$2:$T$2)*AD403</f>
        <v>0</v>
      </c>
      <c r="AE404" s="399">
        <f>(1-SUMIF($I$1:$T$1,B400,$I$2:$T$2))*AD403+SUMIF($I$1:$T$1,B400,$I$2:$T$2)*AE403</f>
        <v>0</v>
      </c>
      <c r="AF404" s="404">
        <f>(1-SUMIF($I$1:$T$1,B400,$I$2:$T$2))*AE403+SUMIF($I$1:$T$1,B400,$I$2:$T$2)*AF403</f>
        <v>0</v>
      </c>
      <c r="AG404" s="386">
        <f>(1-SUMIF($I$1:$T$1,B400,$I$2:$T$2))*AF403+SUMIF($I$1:$T$1,B400,$I$2:$T$2)*AG403</f>
        <v>0</v>
      </c>
      <c r="AH404" s="399">
        <f>(1-SUMIF($I$1:$T$1,B400,$I$2:$T$2))*AG403+SUMIF($I$1:$T$1,B400,$I$2:$T$2)*AH403</f>
        <v>0</v>
      </c>
      <c r="AI404" s="399">
        <f>(1-SUMIF($I$1:$T$1,B400,$I$2:$T$2))*AH403+SUMIF($I$1:$T$1,B400,$I$2:$T$2)*AI403</f>
        <v>0</v>
      </c>
      <c r="AJ404" s="404">
        <f>(1-SUMIF($I$1:$T$1,B400,$I$2:$T$2))*AI403+SUMIF($I$1:$T$1,B400,$I$2:$T$2)*AJ403</f>
        <v>0</v>
      </c>
      <c r="AK404" s="386">
        <f>(1-SUMIF($I$1:$T$1,B400,$I$2:$T$2))*AJ403+SUMIF($I$1:$T$1,B400,$I$2:$T$2)*AK403</f>
        <v>0</v>
      </c>
      <c r="AL404" s="399">
        <f>(1-SUMIF($I$1:$T$1,B400,$I$2:$T$2))*AK403+SUMIF($I$1:$T$1,B400,$I$2:$T$2)*AL403</f>
        <v>0</v>
      </c>
      <c r="AM404" s="399">
        <f>(1-SUMIF($I$1:$T$1,B400,$I$2:$T$2))*AL403+SUMIF($I$1:$T$1,B400,$I$2:$T$2)*AM403</f>
        <v>0</v>
      </c>
      <c r="AN404" s="404">
        <f>(1-SUMIF($I$1:$T$1,B400,$I$2:$T$2))*AM403+SUMIF($I$1:$T$1,B400,$I$2:$T$2)*AN403</f>
        <v>0</v>
      </c>
      <c r="AO404" s="386">
        <f>(1-SUMIF($I$1:$T$1,B400,$I$2:$T$2))*AN403+SUMIF($I$1:$T$1,B400,$I$2:$T$2)*AO403</f>
        <v>0</v>
      </c>
      <c r="AP404" s="399">
        <f>(1-SUMIF($I$1:$T$1,B400,$I$2:$T$2))*AO403+SUMIF($I$1:$T$1,B400,$I$2:$T$2)*AP403</f>
        <v>0</v>
      </c>
      <c r="AQ404" s="399">
        <f>(1-SUMIF($I$1:$T$1,B400,$I$2:$T$2))*AP403+SUMIF($I$1:$T$1,B400,$I$2:$T$2)*AQ403</f>
        <v>0</v>
      </c>
      <c r="AR404" s="404">
        <f>(1-SUMIF($I$1:$T$1,B400,$I$2:$T$2))*AQ403+SUMIF($I$1:$T$1,B400,$I$2:$T$2)*AR403</f>
        <v>0</v>
      </c>
      <c r="AS404" s="386">
        <f>(1-SUMIF($I$1:$T$1,B400,$I$2:$T$2))*AR403+SUMIF($I$1:$T$1,B400,$I$2:$T$2)*AS403</f>
        <v>0</v>
      </c>
      <c r="AT404" s="399">
        <f>(1-SUMIF($I$1:$T$1,B400,$I$2:$T$2))*AS403+SUMIF($I$1:$T$1,B400,$I$2:$T$2)*AT403</f>
        <v>0</v>
      </c>
      <c r="AU404" s="399">
        <f>(1-SUMIF($I$1:$T$1,B400,$I$2:$T$2))*AT403+SUMIF($I$1:$T$1,B400,$I$2:$T$2)*AU403</f>
        <v>0</v>
      </c>
      <c r="AV404" s="404">
        <f>(1-SUMIF($I$1:$T$1,B400,$I$2:$T$2))*AU403+SUMIF($I$1:$T$1,B400,$I$2:$T$2)*AV403</f>
        <v>0</v>
      </c>
      <c r="AW404" s="424">
        <f t="shared" si="251"/>
        <v>0</v>
      </c>
    </row>
    <row r="405" spans="1:49" s="424" customFormat="1" ht="13.5" customHeight="1" outlineLevel="1">
      <c r="A405" s="1947"/>
      <c r="B405" s="1949">
        <f>'9.项目开发计划表'!C65</f>
        <v>0</v>
      </c>
      <c r="C405" s="456" t="s">
        <v>880</v>
      </c>
      <c r="D405" s="457">
        <f>IF(D407=0,0,D408/D407*10000)</f>
        <v>0</v>
      </c>
      <c r="E405" s="505"/>
      <c r="F405" s="506"/>
      <c r="G405" s="506"/>
      <c r="H405" s="507"/>
      <c r="I405" s="505"/>
      <c r="J405" s="506"/>
      <c r="K405" s="506"/>
      <c r="L405" s="507"/>
      <c r="M405" s="505"/>
      <c r="N405" s="506"/>
      <c r="O405" s="506"/>
      <c r="P405" s="507"/>
      <c r="Q405" s="505"/>
      <c r="R405" s="506"/>
      <c r="S405" s="506"/>
      <c r="T405" s="507"/>
      <c r="U405" s="506"/>
      <c r="V405" s="506"/>
      <c r="W405" s="506"/>
      <c r="X405" s="506"/>
      <c r="Y405" s="506"/>
      <c r="Z405" s="506"/>
      <c r="AA405" s="506"/>
      <c r="AB405" s="506"/>
      <c r="AC405" s="506"/>
      <c r="AD405" s="506"/>
      <c r="AE405" s="505"/>
      <c r="AF405" s="505"/>
      <c r="AG405" s="505"/>
      <c r="AH405" s="505"/>
      <c r="AI405" s="505"/>
      <c r="AJ405" s="505"/>
      <c r="AK405" s="505"/>
      <c r="AL405" s="505"/>
      <c r="AM405" s="505"/>
      <c r="AN405" s="505"/>
      <c r="AO405" s="505"/>
      <c r="AP405" s="505"/>
      <c r="AQ405" s="505"/>
      <c r="AR405" s="505"/>
      <c r="AS405" s="505"/>
      <c r="AT405" s="505"/>
      <c r="AU405" s="505"/>
      <c r="AV405" s="505"/>
      <c r="AW405" s="424">
        <f>B405</f>
        <v>0</v>
      </c>
    </row>
    <row r="406" spans="1:49" ht="13.5" customHeight="1" outlineLevel="1">
      <c r="A406" s="1947"/>
      <c r="B406" s="1949"/>
      <c r="C406" s="461" t="s">
        <v>881</v>
      </c>
      <c r="D406" s="462">
        <f t="shared" ref="D406:D409" si="265">SUM(E406:AV406)</f>
        <v>0</v>
      </c>
      <c r="E406" s="494"/>
      <c r="F406" s="491"/>
      <c r="G406" s="491"/>
      <c r="H406" s="493"/>
      <c r="I406" s="494"/>
      <c r="J406" s="491"/>
      <c r="K406" s="491"/>
      <c r="L406" s="493"/>
      <c r="M406" s="494"/>
      <c r="N406" s="491"/>
      <c r="O406" s="491"/>
      <c r="P406" s="493"/>
      <c r="Q406" s="494"/>
      <c r="R406" s="491"/>
      <c r="S406" s="491"/>
      <c r="T406" s="493"/>
      <c r="U406" s="491"/>
      <c r="V406" s="491"/>
      <c r="W406" s="491"/>
      <c r="X406" s="491"/>
      <c r="Y406" s="491"/>
      <c r="Z406" s="491"/>
      <c r="AA406" s="491"/>
      <c r="AB406" s="491"/>
      <c r="AC406" s="491"/>
      <c r="AD406" s="491"/>
      <c r="AE406" s="494"/>
      <c r="AF406" s="494"/>
      <c r="AG406" s="494"/>
      <c r="AH406" s="494"/>
      <c r="AI406" s="494"/>
      <c r="AJ406" s="494"/>
      <c r="AK406" s="494"/>
      <c r="AL406" s="494"/>
      <c r="AM406" s="494"/>
      <c r="AN406" s="494"/>
      <c r="AO406" s="494"/>
      <c r="AP406" s="494"/>
      <c r="AQ406" s="494"/>
      <c r="AR406" s="494"/>
      <c r="AS406" s="494"/>
      <c r="AT406" s="494"/>
      <c r="AU406" s="494"/>
      <c r="AV406" s="494"/>
      <c r="AW406" s="424">
        <f>AW405</f>
        <v>0</v>
      </c>
    </row>
    <row r="407" spans="1:49" s="424" customFormat="1" ht="13.5" customHeight="1" outlineLevel="1">
      <c r="A407" s="1947"/>
      <c r="B407" s="1949"/>
      <c r="C407" s="461" t="s">
        <v>682</v>
      </c>
      <c r="D407" s="466">
        <f t="shared" si="265"/>
        <v>0</v>
      </c>
      <c r="E407" s="382">
        <f>E406*'9.项目开发计划表'!$G$65</f>
        <v>0</v>
      </c>
      <c r="F407" s="397">
        <f>F406*'9.项目开发计划表'!$G$65</f>
        <v>0</v>
      </c>
      <c r="G407" s="397">
        <f>G406*'9.项目开发计划表'!$G$65</f>
        <v>0</v>
      </c>
      <c r="H407" s="467">
        <f>H406*'9.项目开发计划表'!$G$65</f>
        <v>0</v>
      </c>
      <c r="I407" s="382">
        <f>I406*'9.项目开发计划表'!$G$65</f>
        <v>0</v>
      </c>
      <c r="J407" s="397">
        <f>J406*'9.项目开发计划表'!$G$65</f>
        <v>0</v>
      </c>
      <c r="K407" s="397">
        <f>K406*'9.项目开发计划表'!$G$65</f>
        <v>0</v>
      </c>
      <c r="L407" s="467">
        <f>L406*'9.项目开发计划表'!$G$65</f>
        <v>0</v>
      </c>
      <c r="M407" s="382">
        <f>M406*'9.项目开发计划表'!$G$65</f>
        <v>0</v>
      </c>
      <c r="N407" s="397">
        <f>N406*'9.项目开发计划表'!$G$65</f>
        <v>0</v>
      </c>
      <c r="O407" s="397">
        <f>O406*'9.项目开发计划表'!$G$65</f>
        <v>0</v>
      </c>
      <c r="P407" s="467">
        <f>P406*'9.项目开发计划表'!$G$65</f>
        <v>0</v>
      </c>
      <c r="Q407" s="382">
        <f>Q406*'9.项目开发计划表'!$G$65</f>
        <v>0</v>
      </c>
      <c r="R407" s="397">
        <f>R406*'9.项目开发计划表'!$G$65</f>
        <v>0</v>
      </c>
      <c r="S407" s="397">
        <f>S406*'9.项目开发计划表'!$G$65</f>
        <v>0</v>
      </c>
      <c r="T407" s="467">
        <f>T406*'9.项目开发计划表'!$G$65</f>
        <v>0</v>
      </c>
      <c r="U407" s="382">
        <f>U406*'9.项目开发计划表'!$G$65</f>
        <v>0</v>
      </c>
      <c r="V407" s="397">
        <f>V406*'9.项目开发计划表'!$G$65</f>
        <v>0</v>
      </c>
      <c r="W407" s="397">
        <f>W406*'9.项目开发计划表'!$G$65</f>
        <v>0</v>
      </c>
      <c r="X407" s="467">
        <f>X406*'9.项目开发计划表'!$G$65</f>
        <v>0</v>
      </c>
      <c r="Y407" s="382">
        <f>Y406*'9.项目开发计划表'!$G$65</f>
        <v>0</v>
      </c>
      <c r="Z407" s="397">
        <f>Z406*'9.项目开发计划表'!$G$65</f>
        <v>0</v>
      </c>
      <c r="AA407" s="397">
        <f>AA406*'9.项目开发计划表'!$G$65</f>
        <v>0</v>
      </c>
      <c r="AB407" s="467">
        <f>AB406*'9.项目开发计划表'!$G$65</f>
        <v>0</v>
      </c>
      <c r="AC407" s="382">
        <f>AC406*'9.项目开发计划表'!$G$65</f>
        <v>0</v>
      </c>
      <c r="AD407" s="397">
        <f>AD406*'9.项目开发计划表'!$G$65</f>
        <v>0</v>
      </c>
      <c r="AE407" s="397">
        <f>AE406*'9.项目开发计划表'!$G$65</f>
        <v>0</v>
      </c>
      <c r="AF407" s="467">
        <f>AF406*'9.项目开发计划表'!$G$65</f>
        <v>0</v>
      </c>
      <c r="AG407" s="382">
        <f>AG406*'9.项目开发计划表'!$G$65</f>
        <v>0</v>
      </c>
      <c r="AH407" s="397">
        <f>AH406*'9.项目开发计划表'!$G$65</f>
        <v>0</v>
      </c>
      <c r="AI407" s="397">
        <f>AI406*'9.项目开发计划表'!$G$65</f>
        <v>0</v>
      </c>
      <c r="AJ407" s="467">
        <f>AJ406*'9.项目开发计划表'!$G$65</f>
        <v>0</v>
      </c>
      <c r="AK407" s="382">
        <f>AK406*'9.项目开发计划表'!$G$65</f>
        <v>0</v>
      </c>
      <c r="AL407" s="397">
        <f>AL406*'9.项目开发计划表'!$G$65</f>
        <v>0</v>
      </c>
      <c r="AM407" s="397">
        <f>AM406*'9.项目开发计划表'!$G$65</f>
        <v>0</v>
      </c>
      <c r="AN407" s="467">
        <f>AN406*'9.项目开发计划表'!$G$65</f>
        <v>0</v>
      </c>
      <c r="AO407" s="382">
        <f>AO406*'9.项目开发计划表'!$G$65</f>
        <v>0</v>
      </c>
      <c r="AP407" s="397">
        <f>AP406*'9.项目开发计划表'!$G$65</f>
        <v>0</v>
      </c>
      <c r="AQ407" s="397">
        <f>AQ406*'9.项目开发计划表'!$G$65</f>
        <v>0</v>
      </c>
      <c r="AR407" s="467">
        <f>AR406*'9.项目开发计划表'!$G$65</f>
        <v>0</v>
      </c>
      <c r="AS407" s="382">
        <f>AS406*'9.项目开发计划表'!$G$65</f>
        <v>0</v>
      </c>
      <c r="AT407" s="397">
        <f>AT406*'9.项目开发计划表'!$G$65</f>
        <v>0</v>
      </c>
      <c r="AU407" s="397">
        <f>AU406*'9.项目开发计划表'!$G$65</f>
        <v>0</v>
      </c>
      <c r="AV407" s="467">
        <f>AV406*'9.项目开发计划表'!$G$65</f>
        <v>0</v>
      </c>
      <c r="AW407" s="424">
        <f t="shared" si="251"/>
        <v>0</v>
      </c>
    </row>
    <row r="408" spans="1:49" s="424" customFormat="1" ht="13.5" customHeight="1" outlineLevel="1">
      <c r="A408" s="1947"/>
      <c r="B408" s="1949"/>
      <c r="C408" s="461" t="s">
        <v>882</v>
      </c>
      <c r="D408" s="466">
        <f t="shared" si="265"/>
        <v>0</v>
      </c>
      <c r="E408" s="382">
        <f t="shared" ref="E408:AV408" si="266">E405*E407/10000</f>
        <v>0</v>
      </c>
      <c r="F408" s="397">
        <f t="shared" si="266"/>
        <v>0</v>
      </c>
      <c r="G408" s="397">
        <f t="shared" si="266"/>
        <v>0</v>
      </c>
      <c r="H408" s="467">
        <f t="shared" si="266"/>
        <v>0</v>
      </c>
      <c r="I408" s="382">
        <f t="shared" si="266"/>
        <v>0</v>
      </c>
      <c r="J408" s="397">
        <f t="shared" si="266"/>
        <v>0</v>
      </c>
      <c r="K408" s="397">
        <f t="shared" si="266"/>
        <v>0</v>
      </c>
      <c r="L408" s="467">
        <f t="shared" si="266"/>
        <v>0</v>
      </c>
      <c r="M408" s="382">
        <f t="shared" si="266"/>
        <v>0</v>
      </c>
      <c r="N408" s="397">
        <f t="shared" si="266"/>
        <v>0</v>
      </c>
      <c r="O408" s="397">
        <f t="shared" si="266"/>
        <v>0</v>
      </c>
      <c r="P408" s="467">
        <f t="shared" si="266"/>
        <v>0</v>
      </c>
      <c r="Q408" s="382">
        <f t="shared" si="266"/>
        <v>0</v>
      </c>
      <c r="R408" s="397">
        <f t="shared" si="266"/>
        <v>0</v>
      </c>
      <c r="S408" s="397">
        <f t="shared" si="266"/>
        <v>0</v>
      </c>
      <c r="T408" s="467">
        <f t="shared" si="266"/>
        <v>0</v>
      </c>
      <c r="U408" s="382">
        <f t="shared" si="266"/>
        <v>0</v>
      </c>
      <c r="V408" s="397">
        <f t="shared" si="266"/>
        <v>0</v>
      </c>
      <c r="W408" s="397">
        <f t="shared" si="266"/>
        <v>0</v>
      </c>
      <c r="X408" s="467">
        <f t="shared" si="266"/>
        <v>0</v>
      </c>
      <c r="Y408" s="382">
        <f t="shared" si="266"/>
        <v>0</v>
      </c>
      <c r="Z408" s="397">
        <f t="shared" si="266"/>
        <v>0</v>
      </c>
      <c r="AA408" s="397">
        <f t="shared" si="266"/>
        <v>0</v>
      </c>
      <c r="AB408" s="467">
        <f t="shared" si="266"/>
        <v>0</v>
      </c>
      <c r="AC408" s="382">
        <f t="shared" si="266"/>
        <v>0</v>
      </c>
      <c r="AD408" s="397">
        <f t="shared" si="266"/>
        <v>0</v>
      </c>
      <c r="AE408" s="397">
        <f t="shared" si="266"/>
        <v>0</v>
      </c>
      <c r="AF408" s="467">
        <f t="shared" si="266"/>
        <v>0</v>
      </c>
      <c r="AG408" s="382">
        <f t="shared" si="266"/>
        <v>0</v>
      </c>
      <c r="AH408" s="397">
        <f t="shared" si="266"/>
        <v>0</v>
      </c>
      <c r="AI408" s="397">
        <f t="shared" si="266"/>
        <v>0</v>
      </c>
      <c r="AJ408" s="467">
        <f t="shared" si="266"/>
        <v>0</v>
      </c>
      <c r="AK408" s="382">
        <f t="shared" si="266"/>
        <v>0</v>
      </c>
      <c r="AL408" s="397">
        <f t="shared" si="266"/>
        <v>0</v>
      </c>
      <c r="AM408" s="397">
        <f t="shared" si="266"/>
        <v>0</v>
      </c>
      <c r="AN408" s="467">
        <f t="shared" si="266"/>
        <v>0</v>
      </c>
      <c r="AO408" s="382">
        <f t="shared" si="266"/>
        <v>0</v>
      </c>
      <c r="AP408" s="397">
        <f t="shared" si="266"/>
        <v>0</v>
      </c>
      <c r="AQ408" s="397">
        <f t="shared" si="266"/>
        <v>0</v>
      </c>
      <c r="AR408" s="467">
        <f t="shared" si="266"/>
        <v>0</v>
      </c>
      <c r="AS408" s="382">
        <f t="shared" si="266"/>
        <v>0</v>
      </c>
      <c r="AT408" s="397">
        <f t="shared" si="266"/>
        <v>0</v>
      </c>
      <c r="AU408" s="397">
        <f t="shared" si="266"/>
        <v>0</v>
      </c>
      <c r="AV408" s="467">
        <f t="shared" si="266"/>
        <v>0</v>
      </c>
      <c r="AW408" s="424">
        <f t="shared" si="251"/>
        <v>0</v>
      </c>
    </row>
    <row r="409" spans="1:49" s="424" customFormat="1" ht="13.5" customHeight="1" outlineLevel="1">
      <c r="A409" s="1947"/>
      <c r="B409" s="1949"/>
      <c r="C409" s="508" t="s">
        <v>450</v>
      </c>
      <c r="D409" s="468">
        <f t="shared" si="265"/>
        <v>0</v>
      </c>
      <c r="E409" s="386">
        <f>SUMIF($I$1:$T$1,B405,$I$2:$T$2)*E408</f>
        <v>0</v>
      </c>
      <c r="F409" s="399">
        <f>(1-SUMIF($I$1:$T$1,B405,$I$2:$T$2))*E408+SUMIF($I$1:$T$1,B405,$I$2:$T$2)*F408</f>
        <v>0</v>
      </c>
      <c r="G409" s="399">
        <f>(1-SUMIF($I$1:$T$1,B405,$I$2:$T$2))*F408+SUMIF($I$1:$T$1,B405,$I$2:$T$2)*G408</f>
        <v>0</v>
      </c>
      <c r="H409" s="404">
        <f>(1-SUMIF($I$1:$T$1,B405,$I$2:$T$2))*G408+SUMIF($I$1:$T$1,B405,$I$2:$T$2)*H408</f>
        <v>0</v>
      </c>
      <c r="I409" s="386">
        <f>(1-SUMIF($I$1:$T$1,B405,$I$2:$T$2))*H408+SUMIF($I$1:$T$1,B405,$I$2:$T$2)*I408</f>
        <v>0</v>
      </c>
      <c r="J409" s="399">
        <f>(1-SUMIF($I$1:$T$1,B405,$I$2:$T$2))*I408+SUMIF($I$1:$T$1,B405,$I$2:$T$2)*J408</f>
        <v>0</v>
      </c>
      <c r="K409" s="399">
        <f>(1-SUMIF($I$1:$T$1,B405,$I$2:$T$2))*J408+SUMIF($I$1:$T$1,B405,$I$2:$T$2)*K408</f>
        <v>0</v>
      </c>
      <c r="L409" s="404">
        <f>(1-SUMIF($I$1:$T$1,B405,$I$2:$T$2))*K408+SUMIF($I$1:$T$1,B405,$I$2:$T$2)*L408</f>
        <v>0</v>
      </c>
      <c r="M409" s="386">
        <f>(1-SUMIF($I$1:$T$1,B405,$I$2:$T$2))*L408+SUMIF($I$1:$T$1,B405,$I$2:$T$2)*M408</f>
        <v>0</v>
      </c>
      <c r="N409" s="399">
        <f>(1-SUMIF($I$1:$T$1,B405,$I$2:$T$2))*M408+SUMIF($I$1:$T$1,B405,$I$2:$T$2)*N408</f>
        <v>0</v>
      </c>
      <c r="O409" s="399">
        <f>(1-SUMIF($I$1:$T$1,B405,$I$2:$T$2))*N408+SUMIF($I$1:$T$1,B405,$I$2:$T$2)*O408</f>
        <v>0</v>
      </c>
      <c r="P409" s="404">
        <f>(1-SUMIF($I$1:$T$1,B405,$I$2:$T$2))*O408+SUMIF($I$1:$T$1,B405,$I$2:$T$2)*P408</f>
        <v>0</v>
      </c>
      <c r="Q409" s="386">
        <f>(1-SUMIF($I$1:$T$1,B405,$I$2:$T$2))*P408+SUMIF($I$1:$T$1,B405,$I$2:$T$2)*Q408</f>
        <v>0</v>
      </c>
      <c r="R409" s="399">
        <f>(1-SUMIF($I$1:$T$1,B405,$I$2:$T$2))*Q408+SUMIF($I$1:$T$1,B405,$I$2:$T$2)*R408</f>
        <v>0</v>
      </c>
      <c r="S409" s="399">
        <f>(1-SUMIF($I$1:$T$1,B405,$I$2:$T$2))*R408+SUMIF($I$1:$T$1,B405,$I$2:$T$2)*S408</f>
        <v>0</v>
      </c>
      <c r="T409" s="404">
        <f>(1-SUMIF($I$1:$T$1,B405,$I$2:$T$2))*S408+SUMIF($I$1:$T$1,B405,$I$2:$T$2)*T408</f>
        <v>0</v>
      </c>
      <c r="U409" s="386">
        <f>(1-SUMIF($I$1:$T$1,B405,$I$2:$T$2))*T408+SUMIF($I$1:$T$1,B405,$I$2:$T$2)*U408</f>
        <v>0</v>
      </c>
      <c r="V409" s="399">
        <f>(1-SUMIF($I$1:$T$1,B405,$I$2:$T$2))*U408+SUMIF($I$1:$T$1,B405,$I$2:$T$2)*V408</f>
        <v>0</v>
      </c>
      <c r="W409" s="399">
        <f>(1-SUMIF($I$1:$T$1,B405,$I$2:$T$2))*V408+SUMIF($I$1:$T$1,B405,$I$2:$T$2)*W408</f>
        <v>0</v>
      </c>
      <c r="X409" s="404">
        <f>(1-SUMIF($I$1:$T$1,B405,$I$2:$T$2))*W408+SUMIF($I$1:$T$1,B405,$I$2:$T$2)*X408</f>
        <v>0</v>
      </c>
      <c r="Y409" s="386">
        <f>(1-SUMIF($I$1:$T$1,B405,$I$2:$T$2))*X408+SUMIF($I$1:$T$1,B405,$I$2:$T$2)*Y408</f>
        <v>0</v>
      </c>
      <c r="Z409" s="399">
        <f>(1-SUMIF($I$1:$T$1,B405,$I$2:$T$2))*Y408+SUMIF($I$1:$T$1,B405,$I$2:$T$2)*Z408</f>
        <v>0</v>
      </c>
      <c r="AA409" s="399">
        <f>(1-SUMIF($I$1:$T$1,B405,$I$2:$T$2))*Z408+SUMIF($I$1:$T$1,B405,$I$2:$T$2)*AA408</f>
        <v>0</v>
      </c>
      <c r="AB409" s="404">
        <f>(1-SUMIF($I$1:$T$1,B405,$I$2:$T$2))*AA408+SUMIF($I$1:$T$1,B405,$I$2:$T$2)*AB408</f>
        <v>0</v>
      </c>
      <c r="AC409" s="386">
        <f>(1-SUMIF($I$1:$T$1,B405,$I$2:$T$2))*AB408+SUMIF($I$1:$T$1,B405,$I$2:$T$2)*AC408</f>
        <v>0</v>
      </c>
      <c r="AD409" s="399">
        <f>(1-SUMIF($I$1:$T$1,B405,$I$2:$T$2))*AC408+SUMIF($I$1:$T$1,B405,$I$2:$T$2)*AD408</f>
        <v>0</v>
      </c>
      <c r="AE409" s="399">
        <f>(1-SUMIF($I$1:$T$1,B405,$I$2:$T$2))*AD408+SUMIF($I$1:$T$1,B405,$I$2:$T$2)*AE408</f>
        <v>0</v>
      </c>
      <c r="AF409" s="404">
        <f>(1-SUMIF($I$1:$T$1,B405,$I$2:$T$2))*AE408+SUMIF($I$1:$T$1,B405,$I$2:$T$2)*AF408</f>
        <v>0</v>
      </c>
      <c r="AG409" s="386">
        <f>(1-SUMIF($I$1:$T$1,B405,$I$2:$T$2))*AF408+SUMIF($I$1:$T$1,B405,$I$2:$T$2)*AG408</f>
        <v>0</v>
      </c>
      <c r="AH409" s="399">
        <f>(1-SUMIF($I$1:$T$1,B405,$I$2:$T$2))*AG408+SUMIF($I$1:$T$1,B405,$I$2:$T$2)*AH408</f>
        <v>0</v>
      </c>
      <c r="AI409" s="399">
        <f>(1-SUMIF($I$1:$T$1,B405,$I$2:$T$2))*AH408+SUMIF($I$1:$T$1,B405,$I$2:$T$2)*AI408</f>
        <v>0</v>
      </c>
      <c r="AJ409" s="404">
        <f>(1-SUMIF($I$1:$T$1,B405,$I$2:$T$2))*AI408+SUMIF($I$1:$T$1,B405,$I$2:$T$2)*AJ408</f>
        <v>0</v>
      </c>
      <c r="AK409" s="386">
        <f>(1-SUMIF($I$1:$T$1,B405,$I$2:$T$2))*AJ408+SUMIF($I$1:$T$1,B405,$I$2:$T$2)*AK408</f>
        <v>0</v>
      </c>
      <c r="AL409" s="399">
        <f>(1-SUMIF($I$1:$T$1,B405,$I$2:$T$2))*AK408+SUMIF($I$1:$T$1,B405,$I$2:$T$2)*AL408</f>
        <v>0</v>
      </c>
      <c r="AM409" s="399">
        <f>(1-SUMIF($I$1:$T$1,B405,$I$2:$T$2))*AL408+SUMIF($I$1:$T$1,B405,$I$2:$T$2)*AM408</f>
        <v>0</v>
      </c>
      <c r="AN409" s="404">
        <f>(1-SUMIF($I$1:$T$1,B405,$I$2:$T$2))*AM408+SUMIF($I$1:$T$1,B405,$I$2:$T$2)*AN408</f>
        <v>0</v>
      </c>
      <c r="AO409" s="386">
        <f>(1-SUMIF($I$1:$T$1,B405,$I$2:$T$2))*AN408+SUMIF($I$1:$T$1,B405,$I$2:$T$2)*AO408</f>
        <v>0</v>
      </c>
      <c r="AP409" s="399">
        <f>(1-SUMIF($I$1:$T$1,B405,$I$2:$T$2))*AO408+SUMIF($I$1:$T$1,B405,$I$2:$T$2)*AP408</f>
        <v>0</v>
      </c>
      <c r="AQ409" s="399">
        <f>(1-SUMIF($I$1:$T$1,B405,$I$2:$T$2))*AP408+SUMIF($I$1:$T$1,B405,$I$2:$T$2)*AQ408</f>
        <v>0</v>
      </c>
      <c r="AR409" s="404">
        <f>(1-SUMIF($I$1:$T$1,B405,$I$2:$T$2))*AQ408+SUMIF($I$1:$T$1,B405,$I$2:$T$2)*AR408</f>
        <v>0</v>
      </c>
      <c r="AS409" s="386">
        <f>(1-SUMIF($I$1:$T$1,B405,$I$2:$T$2))*AR408+SUMIF($I$1:$T$1,B405,$I$2:$T$2)*AS408</f>
        <v>0</v>
      </c>
      <c r="AT409" s="399">
        <f>(1-SUMIF($I$1:$T$1,B405,$I$2:$T$2))*AS408+SUMIF($I$1:$T$1,B405,$I$2:$T$2)*AT408</f>
        <v>0</v>
      </c>
      <c r="AU409" s="399">
        <f>(1-SUMIF($I$1:$T$1,B405,$I$2:$T$2))*AT408+SUMIF($I$1:$T$1,B405,$I$2:$T$2)*AU408</f>
        <v>0</v>
      </c>
      <c r="AV409" s="404">
        <f>(1-SUMIF($I$1:$T$1,B405,$I$2:$T$2))*AU408+SUMIF($I$1:$T$1,B405,$I$2:$T$2)*AV408</f>
        <v>0</v>
      </c>
      <c r="AW409" s="424">
        <f t="shared" si="251"/>
        <v>0</v>
      </c>
    </row>
    <row r="410" spans="1:49" s="424" customFormat="1" ht="13.5" customHeight="1" outlineLevel="1">
      <c r="A410" s="1947"/>
      <c r="B410" s="1949" t="str">
        <f>'9.项目开发计划表'!C66</f>
        <v>自持物业</v>
      </c>
      <c r="C410" s="456" t="s">
        <v>880</v>
      </c>
      <c r="D410" s="457">
        <f>IF(D412=0,0,D413/D412*10000)</f>
        <v>0</v>
      </c>
      <c r="E410" s="505"/>
      <c r="F410" s="506"/>
      <c r="G410" s="506"/>
      <c r="H410" s="507"/>
      <c r="I410" s="505"/>
      <c r="J410" s="506"/>
      <c r="K410" s="506"/>
      <c r="L410" s="507"/>
      <c r="M410" s="505"/>
      <c r="N410" s="506"/>
      <c r="O410" s="506"/>
      <c r="P410" s="507"/>
      <c r="Q410" s="505"/>
      <c r="R410" s="506"/>
      <c r="S410" s="506"/>
      <c r="T410" s="507"/>
      <c r="U410" s="505"/>
      <c r="V410" s="506"/>
      <c r="W410" s="506"/>
      <c r="X410" s="507"/>
      <c r="Y410" s="505"/>
      <c r="Z410" s="506"/>
      <c r="AA410" s="506"/>
      <c r="AB410" s="507"/>
      <c r="AC410" s="505"/>
      <c r="AD410" s="506"/>
      <c r="AE410" s="506"/>
      <c r="AF410" s="507"/>
      <c r="AG410" s="505"/>
      <c r="AH410" s="506"/>
      <c r="AI410" s="506"/>
      <c r="AJ410" s="507"/>
      <c r="AK410" s="505"/>
      <c r="AL410" s="506"/>
      <c r="AM410" s="506"/>
      <c r="AN410" s="507"/>
      <c r="AO410" s="505"/>
      <c r="AP410" s="506"/>
      <c r="AQ410" s="506"/>
      <c r="AR410" s="507"/>
      <c r="AS410" s="505"/>
      <c r="AT410" s="506"/>
      <c r="AU410" s="506"/>
      <c r="AV410" s="507"/>
      <c r="AW410" s="424" t="str">
        <f>B410</f>
        <v>自持物业</v>
      </c>
    </row>
    <row r="411" spans="1:49" ht="13.5" customHeight="1" outlineLevel="1">
      <c r="A411" s="1947"/>
      <c r="B411" s="1949"/>
      <c r="C411" s="461" t="s">
        <v>881</v>
      </c>
      <c r="D411" s="462">
        <f t="shared" ref="D411:D414" si="267">SUM(E411:AV411)</f>
        <v>0</v>
      </c>
      <c r="E411" s="494"/>
      <c r="F411" s="491"/>
      <c r="G411" s="491"/>
      <c r="H411" s="493"/>
      <c r="I411" s="494"/>
      <c r="J411" s="491"/>
      <c r="K411" s="491"/>
      <c r="L411" s="493"/>
      <c r="M411" s="494"/>
      <c r="N411" s="491"/>
      <c r="O411" s="491"/>
      <c r="P411" s="493"/>
      <c r="Q411" s="494"/>
      <c r="R411" s="491"/>
      <c r="S411" s="491"/>
      <c r="T411" s="493"/>
      <c r="U411" s="494"/>
      <c r="V411" s="491"/>
      <c r="W411" s="491"/>
      <c r="X411" s="493"/>
      <c r="Y411" s="494"/>
      <c r="Z411" s="491"/>
      <c r="AA411" s="491"/>
      <c r="AB411" s="493"/>
      <c r="AC411" s="494"/>
      <c r="AD411" s="491"/>
      <c r="AE411" s="491"/>
      <c r="AF411" s="493"/>
      <c r="AG411" s="494"/>
      <c r="AH411" s="491"/>
      <c r="AI411" s="491"/>
      <c r="AJ411" s="493"/>
      <c r="AK411" s="494"/>
      <c r="AL411" s="491"/>
      <c r="AM411" s="491"/>
      <c r="AN411" s="493"/>
      <c r="AO411" s="494"/>
      <c r="AP411" s="491"/>
      <c r="AQ411" s="491"/>
      <c r="AR411" s="493"/>
      <c r="AS411" s="494"/>
      <c r="AT411" s="491"/>
      <c r="AU411" s="491"/>
      <c r="AV411" s="493"/>
      <c r="AW411" s="424" t="str">
        <f>AW410</f>
        <v>自持物业</v>
      </c>
    </row>
    <row r="412" spans="1:49" s="424" customFormat="1" ht="13.5" customHeight="1" outlineLevel="1">
      <c r="A412" s="1947"/>
      <c r="B412" s="1949"/>
      <c r="C412" s="461" t="s">
        <v>682</v>
      </c>
      <c r="D412" s="466">
        <f t="shared" si="267"/>
        <v>0</v>
      </c>
      <c r="E412" s="382">
        <f>E411*'9.项目开发计划表'!$G$66</f>
        <v>0</v>
      </c>
      <c r="F412" s="397">
        <f>F411*'9.项目开发计划表'!$G$66</f>
        <v>0</v>
      </c>
      <c r="G412" s="397">
        <f>G411*'9.项目开发计划表'!$G$66</f>
        <v>0</v>
      </c>
      <c r="H412" s="467">
        <f>H411*'9.项目开发计划表'!$G$66</f>
        <v>0</v>
      </c>
      <c r="I412" s="382">
        <f>I411*'9.项目开发计划表'!$G$66</f>
        <v>0</v>
      </c>
      <c r="J412" s="397">
        <f>J411*'9.项目开发计划表'!$G$66</f>
        <v>0</v>
      </c>
      <c r="K412" s="397">
        <f>K411*'9.项目开发计划表'!$G$66</f>
        <v>0</v>
      </c>
      <c r="L412" s="467">
        <f>L411*'9.项目开发计划表'!$G$66</f>
        <v>0</v>
      </c>
      <c r="M412" s="382">
        <f>M411*'9.项目开发计划表'!$G$66</f>
        <v>0</v>
      </c>
      <c r="N412" s="397">
        <f>N411*'9.项目开发计划表'!$G$66</f>
        <v>0</v>
      </c>
      <c r="O412" s="397">
        <f>O411*'9.项目开发计划表'!$G$66</f>
        <v>0</v>
      </c>
      <c r="P412" s="467">
        <f>P411*'9.项目开发计划表'!$G$66</f>
        <v>0</v>
      </c>
      <c r="Q412" s="382">
        <f>Q411*'9.项目开发计划表'!$G$66</f>
        <v>0</v>
      </c>
      <c r="R412" s="397">
        <f>R411*'9.项目开发计划表'!$G$66</f>
        <v>0</v>
      </c>
      <c r="S412" s="397">
        <f>S411*'9.项目开发计划表'!$G$66</f>
        <v>0</v>
      </c>
      <c r="T412" s="467">
        <f>T411*'9.项目开发计划表'!$G$66</f>
        <v>0</v>
      </c>
      <c r="U412" s="382">
        <f>U411*'9.项目开发计划表'!$G$66</f>
        <v>0</v>
      </c>
      <c r="V412" s="397">
        <f>V411*'9.项目开发计划表'!$G$66</f>
        <v>0</v>
      </c>
      <c r="W412" s="397">
        <f>W411*'9.项目开发计划表'!$G$66</f>
        <v>0</v>
      </c>
      <c r="X412" s="467">
        <f>X411*'9.项目开发计划表'!$G$66</f>
        <v>0</v>
      </c>
      <c r="Y412" s="382">
        <f>Y411*'9.项目开发计划表'!$G$66</f>
        <v>0</v>
      </c>
      <c r="Z412" s="397">
        <f>Z411*'9.项目开发计划表'!$G$66</f>
        <v>0</v>
      </c>
      <c r="AA412" s="397">
        <f>AA411*'9.项目开发计划表'!$G$66</f>
        <v>0</v>
      </c>
      <c r="AB412" s="467">
        <f>AB411*'9.项目开发计划表'!$G$66</f>
        <v>0</v>
      </c>
      <c r="AC412" s="382">
        <f>AC411*'9.项目开发计划表'!$G$66</f>
        <v>0</v>
      </c>
      <c r="AD412" s="397">
        <f>AD411*'9.项目开发计划表'!$G$66</f>
        <v>0</v>
      </c>
      <c r="AE412" s="397">
        <f>AE411*'9.项目开发计划表'!$G$66</f>
        <v>0</v>
      </c>
      <c r="AF412" s="467">
        <f>AF411*'9.项目开发计划表'!$G$66</f>
        <v>0</v>
      </c>
      <c r="AG412" s="382">
        <f>AG411*'9.项目开发计划表'!$G$66</f>
        <v>0</v>
      </c>
      <c r="AH412" s="397">
        <f>AH411*'9.项目开发计划表'!$G$66</f>
        <v>0</v>
      </c>
      <c r="AI412" s="397">
        <f>AI411*'9.项目开发计划表'!$G$66</f>
        <v>0</v>
      </c>
      <c r="AJ412" s="467">
        <f>AJ411*'9.项目开发计划表'!$G$66</f>
        <v>0</v>
      </c>
      <c r="AK412" s="382">
        <f>AK411*'9.项目开发计划表'!$G$66</f>
        <v>0</v>
      </c>
      <c r="AL412" s="397">
        <f>AL411*'9.项目开发计划表'!$G$66</f>
        <v>0</v>
      </c>
      <c r="AM412" s="397">
        <f>AM411*'9.项目开发计划表'!$G$66</f>
        <v>0</v>
      </c>
      <c r="AN412" s="467">
        <f>AN411*'9.项目开发计划表'!$G$66</f>
        <v>0</v>
      </c>
      <c r="AO412" s="382">
        <f>AO411*'9.项目开发计划表'!$G$66</f>
        <v>0</v>
      </c>
      <c r="AP412" s="397">
        <f>AP411*'9.项目开发计划表'!$G$66</f>
        <v>0</v>
      </c>
      <c r="AQ412" s="397">
        <f>AQ411*'9.项目开发计划表'!$G$66</f>
        <v>0</v>
      </c>
      <c r="AR412" s="467">
        <f>AR411*'9.项目开发计划表'!$G$66</f>
        <v>0</v>
      </c>
      <c r="AS412" s="382">
        <f>AS411*'9.项目开发计划表'!$G$66</f>
        <v>0</v>
      </c>
      <c r="AT412" s="397">
        <f>AT411*'9.项目开发计划表'!$G$66</f>
        <v>0</v>
      </c>
      <c r="AU412" s="397">
        <f>AU411*'9.项目开发计划表'!$G$66</f>
        <v>0</v>
      </c>
      <c r="AV412" s="467">
        <f>AV411*'9.项目开发计划表'!$G$66</f>
        <v>0</v>
      </c>
      <c r="AW412" s="424" t="str">
        <f t="shared" si="251"/>
        <v>自持物业</v>
      </c>
    </row>
    <row r="413" spans="1:49" s="424" customFormat="1" ht="13.5" customHeight="1" outlineLevel="1">
      <c r="A413" s="1947"/>
      <c r="B413" s="1949"/>
      <c r="C413" s="461" t="s">
        <v>882</v>
      </c>
      <c r="D413" s="466">
        <f t="shared" si="267"/>
        <v>0</v>
      </c>
      <c r="E413" s="382">
        <f t="shared" ref="E413:AV413" si="268">E410*E412/10000</f>
        <v>0</v>
      </c>
      <c r="F413" s="397">
        <f t="shared" si="268"/>
        <v>0</v>
      </c>
      <c r="G413" s="397">
        <f t="shared" si="268"/>
        <v>0</v>
      </c>
      <c r="H413" s="467">
        <f t="shared" si="268"/>
        <v>0</v>
      </c>
      <c r="I413" s="382">
        <f t="shared" si="268"/>
        <v>0</v>
      </c>
      <c r="J413" s="397">
        <f t="shared" si="268"/>
        <v>0</v>
      </c>
      <c r="K413" s="397">
        <f t="shared" si="268"/>
        <v>0</v>
      </c>
      <c r="L413" s="467">
        <f t="shared" si="268"/>
        <v>0</v>
      </c>
      <c r="M413" s="382">
        <f t="shared" si="268"/>
        <v>0</v>
      </c>
      <c r="N413" s="397">
        <f t="shared" si="268"/>
        <v>0</v>
      </c>
      <c r="O413" s="397">
        <f t="shared" si="268"/>
        <v>0</v>
      </c>
      <c r="P413" s="467">
        <f t="shared" si="268"/>
        <v>0</v>
      </c>
      <c r="Q413" s="382">
        <f t="shared" si="268"/>
        <v>0</v>
      </c>
      <c r="R413" s="397">
        <f t="shared" si="268"/>
        <v>0</v>
      </c>
      <c r="S413" s="397">
        <f t="shared" si="268"/>
        <v>0</v>
      </c>
      <c r="T413" s="467">
        <f t="shared" si="268"/>
        <v>0</v>
      </c>
      <c r="U413" s="382">
        <f t="shared" si="268"/>
        <v>0</v>
      </c>
      <c r="V413" s="397">
        <f t="shared" si="268"/>
        <v>0</v>
      </c>
      <c r="W413" s="397">
        <f t="shared" si="268"/>
        <v>0</v>
      </c>
      <c r="X413" s="467">
        <f t="shared" si="268"/>
        <v>0</v>
      </c>
      <c r="Y413" s="382">
        <f t="shared" si="268"/>
        <v>0</v>
      </c>
      <c r="Z413" s="397">
        <f t="shared" si="268"/>
        <v>0</v>
      </c>
      <c r="AA413" s="397">
        <f t="shared" si="268"/>
        <v>0</v>
      </c>
      <c r="AB413" s="467">
        <f t="shared" si="268"/>
        <v>0</v>
      </c>
      <c r="AC413" s="382">
        <f t="shared" si="268"/>
        <v>0</v>
      </c>
      <c r="AD413" s="397">
        <f t="shared" si="268"/>
        <v>0</v>
      </c>
      <c r="AE413" s="397">
        <f t="shared" si="268"/>
        <v>0</v>
      </c>
      <c r="AF413" s="467">
        <f t="shared" si="268"/>
        <v>0</v>
      </c>
      <c r="AG413" s="382">
        <f t="shared" si="268"/>
        <v>0</v>
      </c>
      <c r="AH413" s="397">
        <f t="shared" si="268"/>
        <v>0</v>
      </c>
      <c r="AI413" s="397">
        <f t="shared" si="268"/>
        <v>0</v>
      </c>
      <c r="AJ413" s="467">
        <f t="shared" si="268"/>
        <v>0</v>
      </c>
      <c r="AK413" s="382">
        <f t="shared" si="268"/>
        <v>0</v>
      </c>
      <c r="AL413" s="397">
        <f t="shared" si="268"/>
        <v>0</v>
      </c>
      <c r="AM413" s="397">
        <f t="shared" si="268"/>
        <v>0</v>
      </c>
      <c r="AN413" s="467">
        <f t="shared" si="268"/>
        <v>0</v>
      </c>
      <c r="AO413" s="382">
        <f t="shared" si="268"/>
        <v>0</v>
      </c>
      <c r="AP413" s="397">
        <f t="shared" si="268"/>
        <v>0</v>
      </c>
      <c r="AQ413" s="397">
        <f t="shared" si="268"/>
        <v>0</v>
      </c>
      <c r="AR413" s="467">
        <f t="shared" si="268"/>
        <v>0</v>
      </c>
      <c r="AS413" s="382">
        <f t="shared" si="268"/>
        <v>0</v>
      </c>
      <c r="AT413" s="397">
        <f t="shared" si="268"/>
        <v>0</v>
      </c>
      <c r="AU413" s="397">
        <f t="shared" si="268"/>
        <v>0</v>
      </c>
      <c r="AV413" s="467">
        <f t="shared" si="268"/>
        <v>0</v>
      </c>
      <c r="AW413" s="424" t="str">
        <f t="shared" si="251"/>
        <v>自持物业</v>
      </c>
    </row>
    <row r="414" spans="1:49" s="424" customFormat="1" ht="13.5" customHeight="1" outlineLevel="1">
      <c r="A414" s="1947"/>
      <c r="B414" s="1949"/>
      <c r="C414" s="508" t="s">
        <v>450</v>
      </c>
      <c r="D414" s="468">
        <f t="shared" si="267"/>
        <v>0</v>
      </c>
      <c r="E414" s="386">
        <f>SUMIF($I$1:$T$1,B410,$I$2:$T$2)*E413</f>
        <v>0</v>
      </c>
      <c r="F414" s="399">
        <f>(1-SUMIF($I$1:$T$1,B410,$I$2:$T$2))*E413+SUMIF($I$1:$T$1,B410,$I$2:$T$2)*F413</f>
        <v>0</v>
      </c>
      <c r="G414" s="399">
        <f>(1-SUMIF($I$1:$T$1,B410,$I$2:$T$2))*F413+SUMIF($I$1:$T$1,B410,$I$2:$T$2)*G413</f>
        <v>0</v>
      </c>
      <c r="H414" s="404">
        <f>(1-SUMIF($I$1:$T$1,B410,$I$2:$T$2))*G413+SUMIF($I$1:$T$1,B410,$I$2:$T$2)*H413</f>
        <v>0</v>
      </c>
      <c r="I414" s="386">
        <f>(1-SUMIF($I$1:$T$1,B410,$I$2:$T$2))*H413+SUMIF($I$1:$T$1,B410,$I$2:$T$2)*I413</f>
        <v>0</v>
      </c>
      <c r="J414" s="399">
        <f>(1-SUMIF($I$1:$T$1,B410,$I$2:$T$2))*I413+SUMIF($I$1:$T$1,B410,$I$2:$T$2)*J413</f>
        <v>0</v>
      </c>
      <c r="K414" s="399">
        <f>(1-SUMIF($I$1:$T$1,B410,$I$2:$T$2))*J413+SUMIF($I$1:$T$1,B410,$I$2:$T$2)*K413</f>
        <v>0</v>
      </c>
      <c r="L414" s="404">
        <f>(1-SUMIF($I$1:$T$1,B410,$I$2:$T$2))*K413+SUMIF($I$1:$T$1,B410,$I$2:$T$2)*L413</f>
        <v>0</v>
      </c>
      <c r="M414" s="386">
        <f>(1-SUMIF($I$1:$T$1,B410,$I$2:$T$2))*L413+SUMIF($I$1:$T$1,B410,$I$2:$T$2)*M413</f>
        <v>0</v>
      </c>
      <c r="N414" s="399">
        <f>(1-SUMIF($I$1:$T$1,B410,$I$2:$T$2))*M413+SUMIF($I$1:$T$1,B410,$I$2:$T$2)*N413</f>
        <v>0</v>
      </c>
      <c r="O414" s="399">
        <f>(1-SUMIF($I$1:$T$1,B410,$I$2:$T$2))*N413+SUMIF($I$1:$T$1,B410,$I$2:$T$2)*O413</f>
        <v>0</v>
      </c>
      <c r="P414" s="404">
        <f>(1-SUMIF($I$1:$T$1,B410,$I$2:$T$2))*O413+SUMIF($I$1:$T$1,B410,$I$2:$T$2)*P413</f>
        <v>0</v>
      </c>
      <c r="Q414" s="386">
        <f>(1-SUMIF($I$1:$T$1,B410,$I$2:$T$2))*P413+SUMIF($I$1:$T$1,B410,$I$2:$T$2)*Q413</f>
        <v>0</v>
      </c>
      <c r="R414" s="399">
        <f>(1-SUMIF($I$1:$T$1,B410,$I$2:$T$2))*Q413+SUMIF($I$1:$T$1,B410,$I$2:$T$2)*R413</f>
        <v>0</v>
      </c>
      <c r="S414" s="399">
        <f>(1-SUMIF($I$1:$T$1,B410,$I$2:$T$2))*R413+SUMIF($I$1:$T$1,B410,$I$2:$T$2)*S413</f>
        <v>0</v>
      </c>
      <c r="T414" s="404">
        <f>(1-SUMIF($I$1:$T$1,B410,$I$2:$T$2))*S413+SUMIF($I$1:$T$1,B410,$I$2:$T$2)*T413</f>
        <v>0</v>
      </c>
      <c r="U414" s="386">
        <f>(1-SUMIF($I$1:$T$1,B410,$I$2:$T$2))*T413+SUMIF($I$1:$T$1,B410,$I$2:$T$2)*U413</f>
        <v>0</v>
      </c>
      <c r="V414" s="399">
        <f>(1-SUMIF($I$1:$T$1,B410,$I$2:$T$2))*U413+SUMIF($I$1:$T$1,B410,$I$2:$T$2)*V413</f>
        <v>0</v>
      </c>
      <c r="W414" s="399">
        <f>(1-SUMIF($I$1:$T$1,B410,$I$2:$T$2))*V413+SUMIF($I$1:$T$1,B410,$I$2:$T$2)*W413</f>
        <v>0</v>
      </c>
      <c r="X414" s="404">
        <f>(1-SUMIF($I$1:$T$1,B410,$I$2:$T$2))*W413+SUMIF($I$1:$T$1,B410,$I$2:$T$2)*X413</f>
        <v>0</v>
      </c>
      <c r="Y414" s="386">
        <f>(1-SUMIF($I$1:$T$1,B410,$I$2:$T$2))*X413+SUMIF($I$1:$T$1,B410,$I$2:$T$2)*Y413</f>
        <v>0</v>
      </c>
      <c r="Z414" s="399">
        <f>(1-SUMIF($I$1:$T$1,B410,$I$2:$T$2))*Y413+SUMIF($I$1:$T$1,B410,$I$2:$T$2)*Z413</f>
        <v>0</v>
      </c>
      <c r="AA414" s="399">
        <f>(1-SUMIF($I$1:$T$1,B410,$I$2:$T$2))*Z413+SUMIF($I$1:$T$1,B410,$I$2:$T$2)*AA413</f>
        <v>0</v>
      </c>
      <c r="AB414" s="404">
        <f>(1-SUMIF($I$1:$T$1,B410,$I$2:$T$2))*AA413+SUMIF($I$1:$T$1,B410,$I$2:$T$2)*AB413</f>
        <v>0</v>
      </c>
      <c r="AC414" s="386">
        <f>(1-SUMIF($I$1:$T$1,B410,$I$2:$T$2))*AB413+SUMIF($I$1:$T$1,B410,$I$2:$T$2)*AC413</f>
        <v>0</v>
      </c>
      <c r="AD414" s="399">
        <f>(1-SUMIF($I$1:$T$1,B410,$I$2:$T$2))*AC413+SUMIF($I$1:$T$1,B410,$I$2:$T$2)*AD413</f>
        <v>0</v>
      </c>
      <c r="AE414" s="399">
        <f>(1-SUMIF($I$1:$T$1,B410,$I$2:$T$2))*AD413+SUMIF($I$1:$T$1,B410,$I$2:$T$2)*AE413</f>
        <v>0</v>
      </c>
      <c r="AF414" s="404">
        <f>(1-SUMIF($I$1:$T$1,B410,$I$2:$T$2))*AE413+SUMIF($I$1:$T$1,B410,$I$2:$T$2)*AF413</f>
        <v>0</v>
      </c>
      <c r="AG414" s="386">
        <f>(1-SUMIF($I$1:$T$1,B410,$I$2:$T$2))*AF413+SUMIF($I$1:$T$1,B410,$I$2:$T$2)*AG413</f>
        <v>0</v>
      </c>
      <c r="AH414" s="399">
        <f>(1-SUMIF($I$1:$T$1,B410,$I$2:$T$2))*AG413+SUMIF($I$1:$T$1,B410,$I$2:$T$2)*AH413</f>
        <v>0</v>
      </c>
      <c r="AI414" s="399">
        <f>(1-SUMIF($I$1:$T$1,B410,$I$2:$T$2))*AH413+SUMIF($I$1:$T$1,B410,$I$2:$T$2)*AI413</f>
        <v>0</v>
      </c>
      <c r="AJ414" s="404">
        <f>(1-SUMIF($I$1:$T$1,B410,$I$2:$T$2))*AI413+SUMIF($I$1:$T$1,B410,$I$2:$T$2)*AJ413</f>
        <v>0</v>
      </c>
      <c r="AK414" s="386">
        <f>(1-SUMIF($I$1:$T$1,B410,$I$2:$T$2))*AJ413+SUMIF($I$1:$T$1,B410,$I$2:$T$2)*AK413</f>
        <v>0</v>
      </c>
      <c r="AL414" s="399">
        <f>(1-SUMIF($I$1:$T$1,B410,$I$2:$T$2))*AK413+SUMIF($I$1:$T$1,B410,$I$2:$T$2)*AL413</f>
        <v>0</v>
      </c>
      <c r="AM414" s="399">
        <f>(1-SUMIF($I$1:$T$1,B410,$I$2:$T$2))*AL413+SUMIF($I$1:$T$1,B410,$I$2:$T$2)*AM413</f>
        <v>0</v>
      </c>
      <c r="AN414" s="404">
        <f>(1-SUMIF($I$1:$T$1,B410,$I$2:$T$2))*AM413+SUMIF($I$1:$T$1,B410,$I$2:$T$2)*AN413</f>
        <v>0</v>
      </c>
      <c r="AO414" s="386">
        <f>(1-SUMIF($I$1:$T$1,B410,$I$2:$T$2))*AN413+SUMIF($I$1:$T$1,B410,$I$2:$T$2)*AO413</f>
        <v>0</v>
      </c>
      <c r="AP414" s="399">
        <f>(1-SUMIF($I$1:$T$1,B410,$I$2:$T$2))*AO413+SUMIF($I$1:$T$1,B410,$I$2:$T$2)*AP413</f>
        <v>0</v>
      </c>
      <c r="AQ414" s="399">
        <f>(1-SUMIF($I$1:$T$1,B410,$I$2:$T$2))*AP413+SUMIF($I$1:$T$1,B410,$I$2:$T$2)*AQ413</f>
        <v>0</v>
      </c>
      <c r="AR414" s="404">
        <f>(1-SUMIF($I$1:$T$1,B410,$I$2:$T$2))*AQ413+SUMIF($I$1:$T$1,B410,$I$2:$T$2)*AR413</f>
        <v>0</v>
      </c>
      <c r="AS414" s="386">
        <f>(1-SUMIF($I$1:$T$1,B410,$I$2:$T$2))*AR413+SUMIF($I$1:$T$1,B410,$I$2:$T$2)*AS413</f>
        <v>0</v>
      </c>
      <c r="AT414" s="399">
        <f>(1-SUMIF($I$1:$T$1,B410,$I$2:$T$2))*AS413+SUMIF($I$1:$T$1,B410,$I$2:$T$2)*AT413</f>
        <v>0</v>
      </c>
      <c r="AU414" s="399">
        <f>(1-SUMIF($I$1:$T$1,B410,$I$2:$T$2))*AT413+SUMIF($I$1:$T$1,B410,$I$2:$T$2)*AU413</f>
        <v>0</v>
      </c>
      <c r="AV414" s="404">
        <f>(1-SUMIF($I$1:$T$1,B410,$I$2:$T$2))*AU413+SUMIF($I$1:$T$1,B410,$I$2:$T$2)*AV413</f>
        <v>0</v>
      </c>
      <c r="AW414" s="424" t="str">
        <f t="shared" si="251"/>
        <v>自持物业</v>
      </c>
    </row>
    <row r="415" spans="1:49" s="424" customFormat="1" ht="13.5" customHeight="1" outlineLevel="1">
      <c r="A415" s="1947"/>
      <c r="B415" s="1949" t="str">
        <f>'9.项目开发计划表'!C67</f>
        <v>有产权车库(个)</v>
      </c>
      <c r="C415" s="456" t="s">
        <v>880</v>
      </c>
      <c r="D415" s="457">
        <f>IF(D417=0,0,D418/D417*10000)</f>
        <v>0</v>
      </c>
      <c r="E415" s="505"/>
      <c r="F415" s="506"/>
      <c r="G415" s="506"/>
      <c r="H415" s="507"/>
      <c r="I415" s="505"/>
      <c r="J415" s="506"/>
      <c r="K415" s="506"/>
      <c r="L415" s="507"/>
      <c r="M415" s="505"/>
      <c r="N415" s="506"/>
      <c r="O415" s="506"/>
      <c r="P415" s="507"/>
      <c r="Q415" s="505"/>
      <c r="R415" s="506"/>
      <c r="S415" s="506"/>
      <c r="T415" s="507"/>
      <c r="U415" s="505"/>
      <c r="V415" s="506"/>
      <c r="W415" s="506"/>
      <c r="X415" s="506"/>
      <c r="Y415" s="506"/>
      <c r="Z415" s="506"/>
      <c r="AA415" s="506"/>
      <c r="AB415" s="506"/>
      <c r="AC415" s="506"/>
      <c r="AD415" s="506"/>
      <c r="AE415" s="506"/>
      <c r="AF415" s="506"/>
      <c r="AG415" s="506"/>
      <c r="AH415" s="506"/>
      <c r="AI415" s="506"/>
      <c r="AJ415" s="506"/>
      <c r="AK415" s="506"/>
      <c r="AL415" s="506"/>
      <c r="AM415" s="506"/>
      <c r="AN415" s="506"/>
      <c r="AO415" s="506"/>
      <c r="AP415" s="506"/>
      <c r="AQ415" s="506"/>
      <c r="AR415" s="506"/>
      <c r="AS415" s="506"/>
      <c r="AT415" s="506"/>
      <c r="AU415" s="506"/>
      <c r="AV415" s="506"/>
      <c r="AW415" s="424" t="str">
        <f>B415</f>
        <v>有产权车库(个)</v>
      </c>
    </row>
    <row r="416" spans="1:49" ht="13.5" customHeight="1" outlineLevel="1">
      <c r="A416" s="1947"/>
      <c r="B416" s="1949"/>
      <c r="C416" s="461" t="s">
        <v>881</v>
      </c>
      <c r="D416" s="462">
        <f t="shared" ref="D416:D419" si="269">SUM(E416:AV416)</f>
        <v>0</v>
      </c>
      <c r="E416" s="494"/>
      <c r="F416" s="491"/>
      <c r="G416" s="491"/>
      <c r="H416" s="493"/>
      <c r="I416" s="494"/>
      <c r="J416" s="491"/>
      <c r="K416" s="491"/>
      <c r="L416" s="493"/>
      <c r="M416" s="494"/>
      <c r="N416" s="491"/>
      <c r="O416" s="491"/>
      <c r="P416" s="493"/>
      <c r="Q416" s="494"/>
      <c r="R416" s="491"/>
      <c r="S416" s="491"/>
      <c r="T416" s="493"/>
      <c r="U416" s="494"/>
      <c r="V416" s="491"/>
      <c r="W416" s="491"/>
      <c r="X416" s="491"/>
      <c r="Y416" s="491"/>
      <c r="Z416" s="491"/>
      <c r="AA416" s="491"/>
      <c r="AB416" s="491"/>
      <c r="AC416" s="491"/>
      <c r="AD416" s="491"/>
      <c r="AE416" s="491"/>
      <c r="AF416" s="491"/>
      <c r="AG416" s="491"/>
      <c r="AH416" s="491"/>
      <c r="AI416" s="491"/>
      <c r="AJ416" s="491"/>
      <c r="AK416" s="491"/>
      <c r="AL416" s="491"/>
      <c r="AM416" s="491"/>
      <c r="AN416" s="491"/>
      <c r="AO416" s="491"/>
      <c r="AP416" s="491"/>
      <c r="AQ416" s="491"/>
      <c r="AR416" s="491"/>
      <c r="AS416" s="491"/>
      <c r="AT416" s="491"/>
      <c r="AU416" s="491"/>
      <c r="AV416" s="491"/>
      <c r="AW416" s="424" t="str">
        <f>AW415</f>
        <v>有产权车库(个)</v>
      </c>
    </row>
    <row r="417" spans="1:49" s="424" customFormat="1" ht="13.5" customHeight="1" outlineLevel="1">
      <c r="A417" s="1947"/>
      <c r="B417" s="1949"/>
      <c r="C417" s="461" t="s">
        <v>682</v>
      </c>
      <c r="D417" s="466">
        <f t="shared" si="269"/>
        <v>0</v>
      </c>
      <c r="E417" s="382">
        <f>E416*'9.项目开发计划表'!$G$67</f>
        <v>0</v>
      </c>
      <c r="F417" s="397">
        <f>F416*'9.项目开发计划表'!$G$67</f>
        <v>0</v>
      </c>
      <c r="G417" s="397">
        <f>G416*'9.项目开发计划表'!$G$67</f>
        <v>0</v>
      </c>
      <c r="H417" s="467">
        <f>H416*'9.项目开发计划表'!$G$67</f>
        <v>0</v>
      </c>
      <c r="I417" s="382">
        <f>I416*'9.项目开发计划表'!$G$67</f>
        <v>0</v>
      </c>
      <c r="J417" s="397">
        <f>J416*'9.项目开发计划表'!$G$67</f>
        <v>0</v>
      </c>
      <c r="K417" s="397">
        <f>K416*'9.项目开发计划表'!$G$67</f>
        <v>0</v>
      </c>
      <c r="L417" s="467">
        <f>L416*'9.项目开发计划表'!$G$67</f>
        <v>0</v>
      </c>
      <c r="M417" s="382">
        <f>M416*'9.项目开发计划表'!$G$67</f>
        <v>0</v>
      </c>
      <c r="N417" s="397">
        <f>N416*'9.项目开发计划表'!$G$67</f>
        <v>0</v>
      </c>
      <c r="O417" s="397">
        <f>O416*'9.项目开发计划表'!$G$67</f>
        <v>0</v>
      </c>
      <c r="P417" s="467">
        <f>P416*'9.项目开发计划表'!$G$67</f>
        <v>0</v>
      </c>
      <c r="Q417" s="382">
        <f>Q416*'9.项目开发计划表'!$G$67</f>
        <v>0</v>
      </c>
      <c r="R417" s="397">
        <f>R416*'9.项目开发计划表'!$G$67</f>
        <v>0</v>
      </c>
      <c r="S417" s="397">
        <f>S416*'9.项目开发计划表'!$G$67</f>
        <v>0</v>
      </c>
      <c r="T417" s="467">
        <f>T416*'9.项目开发计划表'!$G$67</f>
        <v>0</v>
      </c>
      <c r="U417" s="382">
        <f>U416*'9.项目开发计划表'!$G$67</f>
        <v>0</v>
      </c>
      <c r="V417" s="397">
        <f>V416*'9.项目开发计划表'!$G$67</f>
        <v>0</v>
      </c>
      <c r="W417" s="397">
        <f>W416*'9.项目开发计划表'!$G$67</f>
        <v>0</v>
      </c>
      <c r="X417" s="467">
        <f>X416*'9.项目开发计划表'!$G$67</f>
        <v>0</v>
      </c>
      <c r="Y417" s="382">
        <f>Y416*'9.项目开发计划表'!$G$67</f>
        <v>0</v>
      </c>
      <c r="Z417" s="397">
        <f>Z416*'9.项目开发计划表'!$G$67</f>
        <v>0</v>
      </c>
      <c r="AA417" s="397">
        <f>AA416*'9.项目开发计划表'!$G$67</f>
        <v>0</v>
      </c>
      <c r="AB417" s="467">
        <f>AB416*'9.项目开发计划表'!$G$67</f>
        <v>0</v>
      </c>
      <c r="AC417" s="382">
        <f>AC416*'9.项目开发计划表'!$G$67</f>
        <v>0</v>
      </c>
      <c r="AD417" s="397">
        <f>AD416*'9.项目开发计划表'!$G$67</f>
        <v>0</v>
      </c>
      <c r="AE417" s="397">
        <f>AE416*'9.项目开发计划表'!$G$67</f>
        <v>0</v>
      </c>
      <c r="AF417" s="467">
        <f>AF416*'9.项目开发计划表'!$G$67</f>
        <v>0</v>
      </c>
      <c r="AG417" s="382">
        <f>AG416*'9.项目开发计划表'!$G$67</f>
        <v>0</v>
      </c>
      <c r="AH417" s="397">
        <f>AH416*'9.项目开发计划表'!$G$67</f>
        <v>0</v>
      </c>
      <c r="AI417" s="397">
        <f>AI416*'9.项目开发计划表'!$G$67</f>
        <v>0</v>
      </c>
      <c r="AJ417" s="467">
        <f>AJ416*'9.项目开发计划表'!$G$67</f>
        <v>0</v>
      </c>
      <c r="AK417" s="382">
        <f>AK416*'9.项目开发计划表'!$G$67</f>
        <v>0</v>
      </c>
      <c r="AL417" s="397">
        <f>AL416*'9.项目开发计划表'!$G$67</f>
        <v>0</v>
      </c>
      <c r="AM417" s="397">
        <f>AM416*'9.项目开发计划表'!$G$67</f>
        <v>0</v>
      </c>
      <c r="AN417" s="467">
        <f>AN416*'9.项目开发计划表'!$G$67</f>
        <v>0</v>
      </c>
      <c r="AO417" s="382">
        <f>AO416*'9.项目开发计划表'!$G$67</f>
        <v>0</v>
      </c>
      <c r="AP417" s="397">
        <f>AP416*'9.项目开发计划表'!$G$67</f>
        <v>0</v>
      </c>
      <c r="AQ417" s="397">
        <f>AQ416*'9.项目开发计划表'!$G$67</f>
        <v>0</v>
      </c>
      <c r="AR417" s="467">
        <f>AR416*'9.项目开发计划表'!$G$67</f>
        <v>0</v>
      </c>
      <c r="AS417" s="382">
        <f>AS416*'9.项目开发计划表'!$G$67</f>
        <v>0</v>
      </c>
      <c r="AT417" s="397">
        <f>AT416*'9.项目开发计划表'!$G$67</f>
        <v>0</v>
      </c>
      <c r="AU417" s="397">
        <f>AU416*'9.项目开发计划表'!$G$67</f>
        <v>0</v>
      </c>
      <c r="AV417" s="467">
        <f>AV416*'9.项目开发计划表'!$G$67</f>
        <v>0</v>
      </c>
      <c r="AW417" s="424" t="str">
        <f t="shared" si="251"/>
        <v>有产权车库(个)</v>
      </c>
    </row>
    <row r="418" spans="1:49" s="424" customFormat="1" ht="13.5" customHeight="1" outlineLevel="1">
      <c r="A418" s="1947"/>
      <c r="B418" s="1949"/>
      <c r="C418" s="461" t="s">
        <v>882</v>
      </c>
      <c r="D418" s="466">
        <f t="shared" si="269"/>
        <v>0</v>
      </c>
      <c r="E418" s="382">
        <f t="shared" ref="E418:AV418" si="270">E415*E417/10000</f>
        <v>0</v>
      </c>
      <c r="F418" s="397">
        <f t="shared" si="270"/>
        <v>0</v>
      </c>
      <c r="G418" s="397">
        <f t="shared" si="270"/>
        <v>0</v>
      </c>
      <c r="H418" s="467">
        <f t="shared" si="270"/>
        <v>0</v>
      </c>
      <c r="I418" s="382">
        <f t="shared" si="270"/>
        <v>0</v>
      </c>
      <c r="J418" s="397">
        <f t="shared" si="270"/>
        <v>0</v>
      </c>
      <c r="K418" s="397">
        <f t="shared" si="270"/>
        <v>0</v>
      </c>
      <c r="L418" s="467">
        <f t="shared" si="270"/>
        <v>0</v>
      </c>
      <c r="M418" s="382">
        <f t="shared" si="270"/>
        <v>0</v>
      </c>
      <c r="N418" s="397">
        <f t="shared" si="270"/>
        <v>0</v>
      </c>
      <c r="O418" s="397">
        <f t="shared" si="270"/>
        <v>0</v>
      </c>
      <c r="P418" s="467">
        <f t="shared" si="270"/>
        <v>0</v>
      </c>
      <c r="Q418" s="382">
        <f t="shared" si="270"/>
        <v>0</v>
      </c>
      <c r="R418" s="397">
        <f t="shared" si="270"/>
        <v>0</v>
      </c>
      <c r="S418" s="397">
        <f t="shared" si="270"/>
        <v>0</v>
      </c>
      <c r="T418" s="467">
        <f t="shared" si="270"/>
        <v>0</v>
      </c>
      <c r="U418" s="382">
        <f t="shared" si="270"/>
        <v>0</v>
      </c>
      <c r="V418" s="397">
        <f t="shared" si="270"/>
        <v>0</v>
      </c>
      <c r="W418" s="397">
        <f t="shared" si="270"/>
        <v>0</v>
      </c>
      <c r="X418" s="467">
        <f t="shared" si="270"/>
        <v>0</v>
      </c>
      <c r="Y418" s="382">
        <f t="shared" si="270"/>
        <v>0</v>
      </c>
      <c r="Z418" s="397">
        <f t="shared" si="270"/>
        <v>0</v>
      </c>
      <c r="AA418" s="397">
        <f t="shared" si="270"/>
        <v>0</v>
      </c>
      <c r="AB418" s="467">
        <f t="shared" si="270"/>
        <v>0</v>
      </c>
      <c r="AC418" s="382">
        <f t="shared" si="270"/>
        <v>0</v>
      </c>
      <c r="AD418" s="397">
        <f t="shared" si="270"/>
        <v>0</v>
      </c>
      <c r="AE418" s="397">
        <f t="shared" si="270"/>
        <v>0</v>
      </c>
      <c r="AF418" s="467">
        <f t="shared" si="270"/>
        <v>0</v>
      </c>
      <c r="AG418" s="382">
        <f t="shared" si="270"/>
        <v>0</v>
      </c>
      <c r="AH418" s="397">
        <f t="shared" si="270"/>
        <v>0</v>
      </c>
      <c r="AI418" s="397">
        <f t="shared" si="270"/>
        <v>0</v>
      </c>
      <c r="AJ418" s="467">
        <f t="shared" si="270"/>
        <v>0</v>
      </c>
      <c r="AK418" s="382">
        <f t="shared" si="270"/>
        <v>0</v>
      </c>
      <c r="AL418" s="397">
        <f t="shared" si="270"/>
        <v>0</v>
      </c>
      <c r="AM418" s="397">
        <f t="shared" si="270"/>
        <v>0</v>
      </c>
      <c r="AN418" s="467">
        <f t="shared" si="270"/>
        <v>0</v>
      </c>
      <c r="AO418" s="382">
        <f t="shared" si="270"/>
        <v>0</v>
      </c>
      <c r="AP418" s="397">
        <f t="shared" si="270"/>
        <v>0</v>
      </c>
      <c r="AQ418" s="397">
        <f t="shared" si="270"/>
        <v>0</v>
      </c>
      <c r="AR418" s="467">
        <f t="shared" si="270"/>
        <v>0</v>
      </c>
      <c r="AS418" s="382">
        <f t="shared" si="270"/>
        <v>0</v>
      </c>
      <c r="AT418" s="397">
        <f t="shared" si="270"/>
        <v>0</v>
      </c>
      <c r="AU418" s="397">
        <f t="shared" si="270"/>
        <v>0</v>
      </c>
      <c r="AV418" s="467">
        <f t="shared" si="270"/>
        <v>0</v>
      </c>
      <c r="AW418" s="424" t="str">
        <f t="shared" si="251"/>
        <v>有产权车库(个)</v>
      </c>
    </row>
    <row r="419" spans="1:49" s="424" customFormat="1" ht="13.5" customHeight="1" outlineLevel="1">
      <c r="A419" s="1947"/>
      <c r="B419" s="1949"/>
      <c r="C419" s="508" t="s">
        <v>450</v>
      </c>
      <c r="D419" s="468">
        <f t="shared" si="269"/>
        <v>0</v>
      </c>
      <c r="E419" s="386">
        <f>SUMIF($I$1:$T$1,B415,$I$2:$T$2)*E418</f>
        <v>0</v>
      </c>
      <c r="F419" s="399">
        <f>(1-SUMIF($I$1:$T$1,B415,$I$2:$T$2))*E418+SUMIF($I$1:$T$1,B415,$I$2:$T$2)*F418</f>
        <v>0</v>
      </c>
      <c r="G419" s="399">
        <f>(1-SUMIF($I$1:$T$1,B415,$I$2:$T$2))*F418+SUMIF($I$1:$T$1,B415,$I$2:$T$2)*G418</f>
        <v>0</v>
      </c>
      <c r="H419" s="404">
        <f>(1-SUMIF($I$1:$T$1,B415,$I$2:$T$2))*G418+SUMIF($I$1:$T$1,B415,$I$2:$T$2)*H418</f>
        <v>0</v>
      </c>
      <c r="I419" s="386">
        <f>(1-SUMIF($I$1:$T$1,B415,$I$2:$T$2))*H418+SUMIF($I$1:$T$1,B415,$I$2:$T$2)*I418</f>
        <v>0</v>
      </c>
      <c r="J419" s="399">
        <f>(1-SUMIF($I$1:$T$1,B415,$I$2:$T$2))*I418+SUMIF($I$1:$T$1,B415,$I$2:$T$2)*J418</f>
        <v>0</v>
      </c>
      <c r="K419" s="399">
        <f>(1-SUMIF($I$1:$T$1,B415,$I$2:$T$2))*J418+SUMIF($I$1:$T$1,B415,$I$2:$T$2)*K418</f>
        <v>0</v>
      </c>
      <c r="L419" s="404">
        <f>(1-SUMIF($I$1:$T$1,B415,$I$2:$T$2))*K418+SUMIF($I$1:$T$1,B415,$I$2:$T$2)*L418</f>
        <v>0</v>
      </c>
      <c r="M419" s="386">
        <f>(1-SUMIF($I$1:$T$1,B415,$I$2:$T$2))*L418+SUMIF($I$1:$T$1,B415,$I$2:$T$2)*M418</f>
        <v>0</v>
      </c>
      <c r="N419" s="399">
        <f>(1-SUMIF($I$1:$T$1,B415,$I$2:$T$2))*M418+SUMIF($I$1:$T$1,B415,$I$2:$T$2)*N418</f>
        <v>0</v>
      </c>
      <c r="O419" s="399">
        <f>(1-SUMIF($I$1:$T$1,B415,$I$2:$T$2))*N418+SUMIF($I$1:$T$1,B415,$I$2:$T$2)*O418</f>
        <v>0</v>
      </c>
      <c r="P419" s="404">
        <f>(1-SUMIF($I$1:$T$1,B415,$I$2:$T$2))*O418+SUMIF($I$1:$T$1,B415,$I$2:$T$2)*P418</f>
        <v>0</v>
      </c>
      <c r="Q419" s="386">
        <f>(1-SUMIF($I$1:$T$1,B415,$I$2:$T$2))*P418+SUMIF($I$1:$T$1,B415,$I$2:$T$2)*Q418</f>
        <v>0</v>
      </c>
      <c r="R419" s="399">
        <f>(1-SUMIF($I$1:$T$1,B415,$I$2:$T$2))*Q418+SUMIF($I$1:$T$1,B415,$I$2:$T$2)*R418</f>
        <v>0</v>
      </c>
      <c r="S419" s="399">
        <f>(1-SUMIF($I$1:$T$1,B415,$I$2:$T$2))*R418+SUMIF($I$1:$T$1,B415,$I$2:$T$2)*S418</f>
        <v>0</v>
      </c>
      <c r="T419" s="404">
        <f>(1-SUMIF($I$1:$T$1,B415,$I$2:$T$2))*S418+SUMIF($I$1:$T$1,B415,$I$2:$T$2)*T418</f>
        <v>0</v>
      </c>
      <c r="U419" s="386">
        <f>(1-SUMIF($I$1:$T$1,B415,$I$2:$T$2))*T418+SUMIF($I$1:$T$1,B415,$I$2:$T$2)*U418</f>
        <v>0</v>
      </c>
      <c r="V419" s="399">
        <f>(1-SUMIF($I$1:$T$1,B415,$I$2:$T$2))*U418+SUMIF($I$1:$T$1,B415,$I$2:$T$2)*V418</f>
        <v>0</v>
      </c>
      <c r="W419" s="399">
        <f>(1-SUMIF($I$1:$T$1,B415,$I$2:$T$2))*V418+SUMIF($I$1:$T$1,B415,$I$2:$T$2)*W418</f>
        <v>0</v>
      </c>
      <c r="X419" s="404">
        <f>(1-SUMIF($I$1:$T$1,B415,$I$2:$T$2))*W418+SUMIF($I$1:$T$1,B415,$I$2:$T$2)*X418</f>
        <v>0</v>
      </c>
      <c r="Y419" s="386">
        <f>(1-SUMIF($I$1:$T$1,B415,$I$2:$T$2))*X418+SUMIF($I$1:$T$1,B415,$I$2:$T$2)*Y418</f>
        <v>0</v>
      </c>
      <c r="Z419" s="399">
        <f>(1-SUMIF($I$1:$T$1,B415,$I$2:$T$2))*Y418+SUMIF($I$1:$T$1,B415,$I$2:$T$2)*Z418</f>
        <v>0</v>
      </c>
      <c r="AA419" s="399">
        <f>(1-SUMIF($I$1:$T$1,B415,$I$2:$T$2))*Z418+SUMIF($I$1:$T$1,B415,$I$2:$T$2)*AA418</f>
        <v>0</v>
      </c>
      <c r="AB419" s="404">
        <f>(1-SUMIF($I$1:$T$1,B415,$I$2:$T$2))*AA418+SUMIF($I$1:$T$1,B415,$I$2:$T$2)*AB418</f>
        <v>0</v>
      </c>
      <c r="AC419" s="386">
        <f>(1-SUMIF($I$1:$T$1,B415,$I$2:$T$2))*AB418+SUMIF($I$1:$T$1,B415,$I$2:$T$2)*AC418</f>
        <v>0</v>
      </c>
      <c r="AD419" s="399">
        <f>(1-SUMIF($I$1:$T$1,B415,$I$2:$T$2))*AC418+SUMIF($I$1:$T$1,B415,$I$2:$T$2)*AD418</f>
        <v>0</v>
      </c>
      <c r="AE419" s="399">
        <f>(1-SUMIF($I$1:$T$1,B415,$I$2:$T$2))*AD418+SUMIF($I$1:$T$1,B415,$I$2:$T$2)*AE418</f>
        <v>0</v>
      </c>
      <c r="AF419" s="404">
        <f>(1-SUMIF($I$1:$T$1,B415,$I$2:$T$2))*AE418+SUMIF($I$1:$T$1,B415,$I$2:$T$2)*AF418</f>
        <v>0</v>
      </c>
      <c r="AG419" s="386">
        <f>(1-SUMIF($I$1:$T$1,B415,$I$2:$T$2))*AF418+SUMIF($I$1:$T$1,B415,$I$2:$T$2)*AG418</f>
        <v>0</v>
      </c>
      <c r="AH419" s="399">
        <f>(1-SUMIF($I$1:$T$1,B415,$I$2:$T$2))*AG418+SUMIF($I$1:$T$1,B415,$I$2:$T$2)*AH418</f>
        <v>0</v>
      </c>
      <c r="AI419" s="399">
        <f>(1-SUMIF($I$1:$T$1,B415,$I$2:$T$2))*AH418+SUMIF($I$1:$T$1,B415,$I$2:$T$2)*AI418</f>
        <v>0</v>
      </c>
      <c r="AJ419" s="404">
        <f>(1-SUMIF($I$1:$T$1,B415,$I$2:$T$2))*AI418+SUMIF($I$1:$T$1,B415,$I$2:$T$2)*AJ418</f>
        <v>0</v>
      </c>
      <c r="AK419" s="386">
        <f>(1-SUMIF($I$1:$T$1,B415,$I$2:$T$2))*AJ418+SUMIF($I$1:$T$1,B415,$I$2:$T$2)*AK418</f>
        <v>0</v>
      </c>
      <c r="AL419" s="399">
        <f>(1-SUMIF($I$1:$T$1,B415,$I$2:$T$2))*AK418+SUMIF($I$1:$T$1,B415,$I$2:$T$2)*AL418</f>
        <v>0</v>
      </c>
      <c r="AM419" s="399">
        <f>(1-SUMIF($I$1:$T$1,B415,$I$2:$T$2))*AL418+SUMIF($I$1:$T$1,B415,$I$2:$T$2)*AM418</f>
        <v>0</v>
      </c>
      <c r="AN419" s="404">
        <f>(1-SUMIF($I$1:$T$1,B415,$I$2:$T$2))*AM418+SUMIF($I$1:$T$1,B415,$I$2:$T$2)*AN418</f>
        <v>0</v>
      </c>
      <c r="AO419" s="386">
        <f>(1-SUMIF($I$1:$T$1,B415,$I$2:$T$2))*AN418+SUMIF($I$1:$T$1,B415,$I$2:$T$2)*AO418</f>
        <v>0</v>
      </c>
      <c r="AP419" s="399">
        <f>(1-SUMIF($I$1:$T$1,B415,$I$2:$T$2))*AO418+SUMIF($I$1:$T$1,B415,$I$2:$T$2)*AP418</f>
        <v>0</v>
      </c>
      <c r="AQ419" s="399">
        <f>(1-SUMIF($I$1:$T$1,B415,$I$2:$T$2))*AP418+SUMIF($I$1:$T$1,B415,$I$2:$T$2)*AQ418</f>
        <v>0</v>
      </c>
      <c r="AR419" s="404">
        <f>(1-SUMIF($I$1:$T$1,B415,$I$2:$T$2))*AQ418+SUMIF($I$1:$T$1,B415,$I$2:$T$2)*AR418</f>
        <v>0</v>
      </c>
      <c r="AS419" s="386">
        <f>(1-SUMIF($I$1:$T$1,B415,$I$2:$T$2))*AR418+SUMIF($I$1:$T$1,B415,$I$2:$T$2)*AS418</f>
        <v>0</v>
      </c>
      <c r="AT419" s="399">
        <f>(1-SUMIF($I$1:$T$1,B415,$I$2:$T$2))*AS418+SUMIF($I$1:$T$1,B415,$I$2:$T$2)*AT418</f>
        <v>0</v>
      </c>
      <c r="AU419" s="399">
        <f>(1-SUMIF($I$1:$T$1,B415,$I$2:$T$2))*AT418+SUMIF($I$1:$T$1,B415,$I$2:$T$2)*AU418</f>
        <v>0</v>
      </c>
      <c r="AV419" s="404">
        <f>(1-SUMIF($I$1:$T$1,B415,$I$2:$T$2))*AU418+SUMIF($I$1:$T$1,B415,$I$2:$T$2)*AV418</f>
        <v>0</v>
      </c>
      <c r="AW419" s="424" t="str">
        <f t="shared" si="251"/>
        <v>有产权车库(个)</v>
      </c>
    </row>
    <row r="420" spans="1:49" s="424" customFormat="1" ht="13.5" customHeight="1" outlineLevel="1">
      <c r="A420" s="1947"/>
      <c r="B420" s="1949" t="str">
        <f>'9.项目开发计划表'!C68</f>
        <v>无产权车库(个)</v>
      </c>
      <c r="C420" s="456" t="s">
        <v>880</v>
      </c>
      <c r="D420" s="457">
        <f>IF(D422=0,0,D423/D422*10000)</f>
        <v>0</v>
      </c>
      <c r="E420" s="505"/>
      <c r="F420" s="506"/>
      <c r="G420" s="506"/>
      <c r="H420" s="507"/>
      <c r="I420" s="505"/>
      <c r="J420" s="506"/>
      <c r="K420" s="506"/>
      <c r="L420" s="507"/>
      <c r="M420" s="505"/>
      <c r="N420" s="506"/>
      <c r="O420" s="506"/>
      <c r="P420" s="507"/>
      <c r="Q420" s="505"/>
      <c r="R420" s="506"/>
      <c r="S420" s="506"/>
      <c r="T420" s="507"/>
      <c r="U420" s="505"/>
      <c r="V420" s="506"/>
      <c r="W420" s="506"/>
      <c r="X420" s="507"/>
      <c r="Y420" s="505"/>
      <c r="Z420" s="506"/>
      <c r="AA420" s="506"/>
      <c r="AB420" s="507"/>
      <c r="AC420" s="505"/>
      <c r="AD420" s="506"/>
      <c r="AE420" s="506"/>
      <c r="AF420" s="507"/>
      <c r="AG420" s="505"/>
      <c r="AH420" s="506"/>
      <c r="AI420" s="506"/>
      <c r="AJ420" s="507"/>
      <c r="AK420" s="505"/>
      <c r="AL420" s="506"/>
      <c r="AM420" s="506"/>
      <c r="AN420" s="507"/>
      <c r="AO420" s="505"/>
      <c r="AP420" s="506"/>
      <c r="AQ420" s="506"/>
      <c r="AR420" s="507"/>
      <c r="AS420" s="505"/>
      <c r="AT420" s="506"/>
      <c r="AU420" s="506"/>
      <c r="AV420" s="507"/>
      <c r="AW420" s="424" t="str">
        <f>B420</f>
        <v>无产权车库(个)</v>
      </c>
    </row>
    <row r="421" spans="1:49" ht="13.5" customHeight="1" outlineLevel="1">
      <c r="A421" s="1947"/>
      <c r="B421" s="1949"/>
      <c r="C421" s="461" t="s">
        <v>881</v>
      </c>
      <c r="D421" s="462">
        <f t="shared" ref="D421:D424" si="271">SUM(E421:AV421)</f>
        <v>0</v>
      </c>
      <c r="E421" s="494"/>
      <c r="F421" s="491"/>
      <c r="G421" s="491"/>
      <c r="H421" s="493"/>
      <c r="I421" s="494"/>
      <c r="J421" s="491"/>
      <c r="K421" s="491"/>
      <c r="L421" s="493"/>
      <c r="M421" s="494"/>
      <c r="N421" s="491"/>
      <c r="O421" s="491"/>
      <c r="P421" s="493"/>
      <c r="Q421" s="494"/>
      <c r="R421" s="491"/>
      <c r="S421" s="491"/>
      <c r="T421" s="493"/>
      <c r="U421" s="494"/>
      <c r="V421" s="491"/>
      <c r="W421" s="491"/>
      <c r="X421" s="493"/>
      <c r="Y421" s="494"/>
      <c r="Z421" s="491"/>
      <c r="AA421" s="491"/>
      <c r="AB421" s="493"/>
      <c r="AC421" s="494"/>
      <c r="AD421" s="491"/>
      <c r="AE421" s="491"/>
      <c r="AF421" s="493"/>
      <c r="AG421" s="494"/>
      <c r="AH421" s="491"/>
      <c r="AI421" s="491"/>
      <c r="AJ421" s="493"/>
      <c r="AK421" s="494"/>
      <c r="AL421" s="491"/>
      <c r="AM421" s="491"/>
      <c r="AN421" s="493"/>
      <c r="AO421" s="494"/>
      <c r="AP421" s="491"/>
      <c r="AQ421" s="491"/>
      <c r="AR421" s="493"/>
      <c r="AS421" s="494"/>
      <c r="AT421" s="491"/>
      <c r="AU421" s="491"/>
      <c r="AV421" s="493"/>
      <c r="AW421" s="424" t="str">
        <f>AW420</f>
        <v>无产权车库(个)</v>
      </c>
    </row>
    <row r="422" spans="1:49" s="424" customFormat="1" ht="13.5" customHeight="1" outlineLevel="1">
      <c r="A422" s="1947"/>
      <c r="B422" s="1949"/>
      <c r="C422" s="461" t="s">
        <v>682</v>
      </c>
      <c r="D422" s="466">
        <f t="shared" si="271"/>
        <v>0</v>
      </c>
      <c r="E422" s="382">
        <f>E421*'9.项目开发计划表'!$G$68</f>
        <v>0</v>
      </c>
      <c r="F422" s="397">
        <f>F421*'9.项目开发计划表'!$G$68</f>
        <v>0</v>
      </c>
      <c r="G422" s="397">
        <f>G421*'9.项目开发计划表'!$G$68</f>
        <v>0</v>
      </c>
      <c r="H422" s="467">
        <f>H421*'9.项目开发计划表'!$G$68</f>
        <v>0</v>
      </c>
      <c r="I422" s="382">
        <f>I421*'9.项目开发计划表'!$G$68</f>
        <v>0</v>
      </c>
      <c r="J422" s="397">
        <f>J421*'9.项目开发计划表'!$G$68</f>
        <v>0</v>
      </c>
      <c r="K422" s="397">
        <f>K421*'9.项目开发计划表'!$G$68</f>
        <v>0</v>
      </c>
      <c r="L422" s="467">
        <f>L421*'9.项目开发计划表'!$G$68</f>
        <v>0</v>
      </c>
      <c r="M422" s="382">
        <f>M421*'9.项目开发计划表'!$G$68</f>
        <v>0</v>
      </c>
      <c r="N422" s="397">
        <f>N421*'9.项目开发计划表'!$G$68</f>
        <v>0</v>
      </c>
      <c r="O422" s="397">
        <f>O421*'9.项目开发计划表'!$G$68</f>
        <v>0</v>
      </c>
      <c r="P422" s="467">
        <f>P421*'9.项目开发计划表'!$G$68</f>
        <v>0</v>
      </c>
      <c r="Q422" s="382">
        <f>Q421*'9.项目开发计划表'!$G$68</f>
        <v>0</v>
      </c>
      <c r="R422" s="397">
        <f>R421*'9.项目开发计划表'!$G$68</f>
        <v>0</v>
      </c>
      <c r="S422" s="397">
        <f>S421*'9.项目开发计划表'!$G$68</f>
        <v>0</v>
      </c>
      <c r="T422" s="467">
        <f>T421*'9.项目开发计划表'!$G$68</f>
        <v>0</v>
      </c>
      <c r="U422" s="382">
        <f>U421*'9.项目开发计划表'!$G$68</f>
        <v>0</v>
      </c>
      <c r="V422" s="397">
        <f>V421*'9.项目开发计划表'!$G$68</f>
        <v>0</v>
      </c>
      <c r="W422" s="397">
        <f>W421*'9.项目开发计划表'!$G$68</f>
        <v>0</v>
      </c>
      <c r="X422" s="467">
        <f>X421*'9.项目开发计划表'!$G$68</f>
        <v>0</v>
      </c>
      <c r="Y422" s="382">
        <f>Y421*'9.项目开发计划表'!$G$68</f>
        <v>0</v>
      </c>
      <c r="Z422" s="397">
        <f>Z421*'9.项目开发计划表'!$G$68</f>
        <v>0</v>
      </c>
      <c r="AA422" s="397">
        <f>AA421*'9.项目开发计划表'!$G$68</f>
        <v>0</v>
      </c>
      <c r="AB422" s="467">
        <f>AB421*'9.项目开发计划表'!$G$68</f>
        <v>0</v>
      </c>
      <c r="AC422" s="382">
        <f>AC421*'9.项目开发计划表'!$G$68</f>
        <v>0</v>
      </c>
      <c r="AD422" s="397">
        <f>AD421*'9.项目开发计划表'!$G$68</f>
        <v>0</v>
      </c>
      <c r="AE422" s="397">
        <f>AE421*'9.项目开发计划表'!$G$68</f>
        <v>0</v>
      </c>
      <c r="AF422" s="467">
        <f>AF421*'9.项目开发计划表'!$G$68</f>
        <v>0</v>
      </c>
      <c r="AG422" s="382">
        <f>AG421*'9.项目开发计划表'!$G$68</f>
        <v>0</v>
      </c>
      <c r="AH422" s="397">
        <f>AH421*'9.项目开发计划表'!$G$68</f>
        <v>0</v>
      </c>
      <c r="AI422" s="397">
        <f>AI421*'9.项目开发计划表'!$G$68</f>
        <v>0</v>
      </c>
      <c r="AJ422" s="467">
        <f>AJ421*'9.项目开发计划表'!$G$68</f>
        <v>0</v>
      </c>
      <c r="AK422" s="382">
        <f>AK421*'9.项目开发计划表'!$G$68</f>
        <v>0</v>
      </c>
      <c r="AL422" s="397">
        <f>AL421*'9.项目开发计划表'!$G$68</f>
        <v>0</v>
      </c>
      <c r="AM422" s="397">
        <f>AM421*'9.项目开发计划表'!$G$68</f>
        <v>0</v>
      </c>
      <c r="AN422" s="467">
        <f>AN421*'9.项目开发计划表'!$G$68</f>
        <v>0</v>
      </c>
      <c r="AO422" s="382">
        <f>AO421*'9.项目开发计划表'!$G$68</f>
        <v>0</v>
      </c>
      <c r="AP422" s="397">
        <f>AP421*'9.项目开发计划表'!$G$68</f>
        <v>0</v>
      </c>
      <c r="AQ422" s="397">
        <f>AQ421*'9.项目开发计划表'!$G$68</f>
        <v>0</v>
      </c>
      <c r="AR422" s="467">
        <f>AR421*'9.项目开发计划表'!$G$68</f>
        <v>0</v>
      </c>
      <c r="AS422" s="382">
        <f>AS421*'9.项目开发计划表'!$G$68</f>
        <v>0</v>
      </c>
      <c r="AT422" s="397">
        <f>AT421*'9.项目开发计划表'!$G$68</f>
        <v>0</v>
      </c>
      <c r="AU422" s="397">
        <f>AU421*'9.项目开发计划表'!$G$68</f>
        <v>0</v>
      </c>
      <c r="AV422" s="467">
        <f>AV421*'9.项目开发计划表'!$G$68</f>
        <v>0</v>
      </c>
      <c r="AW422" s="424" t="str">
        <f t="shared" si="251"/>
        <v>无产权车库(个)</v>
      </c>
    </row>
    <row r="423" spans="1:49" s="424" customFormat="1" ht="13.5" customHeight="1" outlineLevel="1">
      <c r="A423" s="1947"/>
      <c r="B423" s="1949"/>
      <c r="C423" s="461" t="s">
        <v>882</v>
      </c>
      <c r="D423" s="466">
        <f t="shared" si="271"/>
        <v>0</v>
      </c>
      <c r="E423" s="382">
        <f t="shared" ref="E423:AV423" si="272">E420*E422/10000</f>
        <v>0</v>
      </c>
      <c r="F423" s="397">
        <f t="shared" si="272"/>
        <v>0</v>
      </c>
      <c r="G423" s="397">
        <f t="shared" si="272"/>
        <v>0</v>
      </c>
      <c r="H423" s="467">
        <f t="shared" si="272"/>
        <v>0</v>
      </c>
      <c r="I423" s="382">
        <f t="shared" si="272"/>
        <v>0</v>
      </c>
      <c r="J423" s="397">
        <f t="shared" si="272"/>
        <v>0</v>
      </c>
      <c r="K423" s="397">
        <f t="shared" si="272"/>
        <v>0</v>
      </c>
      <c r="L423" s="467">
        <f t="shared" si="272"/>
        <v>0</v>
      </c>
      <c r="M423" s="382">
        <f t="shared" si="272"/>
        <v>0</v>
      </c>
      <c r="N423" s="397">
        <f t="shared" si="272"/>
        <v>0</v>
      </c>
      <c r="O423" s="397">
        <f t="shared" si="272"/>
        <v>0</v>
      </c>
      <c r="P423" s="467">
        <f t="shared" si="272"/>
        <v>0</v>
      </c>
      <c r="Q423" s="382">
        <f t="shared" si="272"/>
        <v>0</v>
      </c>
      <c r="R423" s="397">
        <f t="shared" si="272"/>
        <v>0</v>
      </c>
      <c r="S423" s="397">
        <f t="shared" si="272"/>
        <v>0</v>
      </c>
      <c r="T423" s="467">
        <f t="shared" si="272"/>
        <v>0</v>
      </c>
      <c r="U423" s="382">
        <f t="shared" si="272"/>
        <v>0</v>
      </c>
      <c r="V423" s="397">
        <f t="shared" si="272"/>
        <v>0</v>
      </c>
      <c r="W423" s="397">
        <f t="shared" si="272"/>
        <v>0</v>
      </c>
      <c r="X423" s="467">
        <f t="shared" si="272"/>
        <v>0</v>
      </c>
      <c r="Y423" s="382">
        <f t="shared" si="272"/>
        <v>0</v>
      </c>
      <c r="Z423" s="397">
        <f t="shared" si="272"/>
        <v>0</v>
      </c>
      <c r="AA423" s="397">
        <f t="shared" si="272"/>
        <v>0</v>
      </c>
      <c r="AB423" s="467">
        <f t="shared" si="272"/>
        <v>0</v>
      </c>
      <c r="AC423" s="382">
        <f t="shared" si="272"/>
        <v>0</v>
      </c>
      <c r="AD423" s="397">
        <f t="shared" si="272"/>
        <v>0</v>
      </c>
      <c r="AE423" s="397">
        <f t="shared" si="272"/>
        <v>0</v>
      </c>
      <c r="AF423" s="467">
        <f t="shared" si="272"/>
        <v>0</v>
      </c>
      <c r="AG423" s="382">
        <f t="shared" si="272"/>
        <v>0</v>
      </c>
      <c r="AH423" s="397">
        <f t="shared" si="272"/>
        <v>0</v>
      </c>
      <c r="AI423" s="397">
        <f t="shared" si="272"/>
        <v>0</v>
      </c>
      <c r="AJ423" s="467">
        <f t="shared" si="272"/>
        <v>0</v>
      </c>
      <c r="AK423" s="382">
        <f t="shared" si="272"/>
        <v>0</v>
      </c>
      <c r="AL423" s="397">
        <f t="shared" si="272"/>
        <v>0</v>
      </c>
      <c r="AM423" s="397">
        <f t="shared" si="272"/>
        <v>0</v>
      </c>
      <c r="AN423" s="467">
        <f t="shared" si="272"/>
        <v>0</v>
      </c>
      <c r="AO423" s="382">
        <f t="shared" si="272"/>
        <v>0</v>
      </c>
      <c r="AP423" s="397">
        <f t="shared" si="272"/>
        <v>0</v>
      </c>
      <c r="AQ423" s="397">
        <f t="shared" si="272"/>
        <v>0</v>
      </c>
      <c r="AR423" s="467">
        <f t="shared" si="272"/>
        <v>0</v>
      </c>
      <c r="AS423" s="382">
        <f t="shared" si="272"/>
        <v>0</v>
      </c>
      <c r="AT423" s="397">
        <f t="shared" si="272"/>
        <v>0</v>
      </c>
      <c r="AU423" s="397">
        <f t="shared" si="272"/>
        <v>0</v>
      </c>
      <c r="AV423" s="467">
        <f t="shared" si="272"/>
        <v>0</v>
      </c>
      <c r="AW423" s="424" t="str">
        <f t="shared" si="251"/>
        <v>无产权车库(个)</v>
      </c>
    </row>
    <row r="424" spans="1:49" s="424" customFormat="1" ht="13.5" customHeight="1" outlineLevel="1">
      <c r="A424" s="1948"/>
      <c r="B424" s="1950"/>
      <c r="C424" s="498" t="s">
        <v>450</v>
      </c>
      <c r="D424" s="499">
        <f t="shared" si="271"/>
        <v>0</v>
      </c>
      <c r="E424" s="386">
        <f>SUMIF($I$1:$T$1,B420,$I$2:$T$2)*E423</f>
        <v>0</v>
      </c>
      <c r="F424" s="399">
        <f>(1-SUMIF($I$1:$T$1,B420,$I$2:$T$2))*E423+SUMIF($I$1:$T$1,B420,$I$2:$T$2)*F423</f>
        <v>0</v>
      </c>
      <c r="G424" s="399">
        <f>(1-SUMIF($I$1:$T$1,B420,$I$2:$T$2))*F423+SUMIF($I$1:$T$1,B420,$I$2:$T$2)*G423</f>
        <v>0</v>
      </c>
      <c r="H424" s="404">
        <f>(1-SUMIF($I$1:$T$1,B420,$I$2:$T$2))*G423+SUMIF($I$1:$T$1,B420,$I$2:$T$2)*H423</f>
        <v>0</v>
      </c>
      <c r="I424" s="386">
        <f>(1-SUMIF($I$1:$T$1,B420,$I$2:$T$2))*H423+SUMIF($I$1:$T$1,B420,$I$2:$T$2)*I423</f>
        <v>0</v>
      </c>
      <c r="J424" s="399">
        <f>(1-SUMIF($I$1:$T$1,B420,$I$2:$T$2))*I423+SUMIF($I$1:$T$1,B420,$I$2:$T$2)*J423</f>
        <v>0</v>
      </c>
      <c r="K424" s="399">
        <f>(1-SUMIF($I$1:$T$1,B420,$I$2:$T$2))*J423+SUMIF($I$1:$T$1,B420,$I$2:$T$2)*K423</f>
        <v>0</v>
      </c>
      <c r="L424" s="404">
        <f>(1-SUMIF($I$1:$T$1,B420,$I$2:$T$2))*K423+SUMIF($I$1:$T$1,B420,$I$2:$T$2)*L423</f>
        <v>0</v>
      </c>
      <c r="M424" s="386">
        <f>(1-SUMIF($I$1:$T$1,B420,$I$2:$T$2))*L423+SUMIF($I$1:$T$1,B420,$I$2:$T$2)*M423</f>
        <v>0</v>
      </c>
      <c r="N424" s="399">
        <f>(1-SUMIF($I$1:$T$1,B420,$I$2:$T$2))*M423+SUMIF($I$1:$T$1,B420,$I$2:$T$2)*N423</f>
        <v>0</v>
      </c>
      <c r="O424" s="399">
        <f>(1-SUMIF($I$1:$T$1,B420,$I$2:$T$2))*N423+SUMIF($I$1:$T$1,B420,$I$2:$T$2)*O423</f>
        <v>0</v>
      </c>
      <c r="P424" s="404">
        <f>(1-SUMIF($I$1:$T$1,B420,$I$2:$T$2))*O423+SUMIF($I$1:$T$1,B420,$I$2:$T$2)*P423</f>
        <v>0</v>
      </c>
      <c r="Q424" s="386">
        <f>(1-SUMIF($I$1:$T$1,B420,$I$2:$T$2))*P423+SUMIF($I$1:$T$1,B420,$I$2:$T$2)*Q423</f>
        <v>0</v>
      </c>
      <c r="R424" s="399">
        <f>(1-SUMIF($I$1:$T$1,B420,$I$2:$T$2))*Q423+SUMIF($I$1:$T$1,B420,$I$2:$T$2)*R423</f>
        <v>0</v>
      </c>
      <c r="S424" s="399">
        <f>(1-SUMIF($I$1:$T$1,B420,$I$2:$T$2))*R423+SUMIF($I$1:$T$1,B420,$I$2:$T$2)*S423</f>
        <v>0</v>
      </c>
      <c r="T424" s="404">
        <f>(1-SUMIF($I$1:$T$1,B420,$I$2:$T$2))*S423+SUMIF($I$1:$T$1,B420,$I$2:$T$2)*T423</f>
        <v>0</v>
      </c>
      <c r="U424" s="386">
        <f>(1-SUMIF($I$1:$T$1,B420,$I$2:$T$2))*T423+SUMIF($I$1:$T$1,B420,$I$2:$T$2)*U423</f>
        <v>0</v>
      </c>
      <c r="V424" s="399">
        <f>(1-SUMIF($I$1:$T$1,B420,$I$2:$T$2))*U423+SUMIF($I$1:$T$1,B420,$I$2:$T$2)*V423</f>
        <v>0</v>
      </c>
      <c r="W424" s="399">
        <f>(1-SUMIF($I$1:$T$1,B420,$I$2:$T$2))*V423+SUMIF($I$1:$T$1,B420,$I$2:$T$2)*W423</f>
        <v>0</v>
      </c>
      <c r="X424" s="404">
        <f>(1-SUMIF($I$1:$T$1,B420,$I$2:$T$2))*W423+SUMIF($I$1:$T$1,B420,$I$2:$T$2)*X423</f>
        <v>0</v>
      </c>
      <c r="Y424" s="386">
        <f>(1-SUMIF($I$1:$T$1,B420,$I$2:$T$2))*X423+SUMIF($I$1:$T$1,B420,$I$2:$T$2)*Y423</f>
        <v>0</v>
      </c>
      <c r="Z424" s="399">
        <f>(1-SUMIF($I$1:$T$1,B420,$I$2:$T$2))*Y423+SUMIF($I$1:$T$1,B420,$I$2:$T$2)*Z423</f>
        <v>0</v>
      </c>
      <c r="AA424" s="399">
        <f>(1-SUMIF($I$1:$T$1,B420,$I$2:$T$2))*Z423+SUMIF($I$1:$T$1,B420,$I$2:$T$2)*AA423</f>
        <v>0</v>
      </c>
      <c r="AB424" s="404">
        <f>(1-SUMIF($I$1:$T$1,B420,$I$2:$T$2))*AA423+SUMIF($I$1:$T$1,B420,$I$2:$T$2)*AB423</f>
        <v>0</v>
      </c>
      <c r="AC424" s="386">
        <f>(1-SUMIF($I$1:$T$1,B420,$I$2:$T$2))*AB423+SUMIF($I$1:$T$1,B420,$I$2:$T$2)*AC423</f>
        <v>0</v>
      </c>
      <c r="AD424" s="399">
        <f>(1-SUMIF($I$1:$T$1,B420,$I$2:$T$2))*AC423+SUMIF($I$1:$T$1,B420,$I$2:$T$2)*AD423</f>
        <v>0</v>
      </c>
      <c r="AE424" s="399">
        <f>(1-SUMIF($I$1:$T$1,B420,$I$2:$T$2))*AD423+SUMIF($I$1:$T$1,B420,$I$2:$T$2)*AE423</f>
        <v>0</v>
      </c>
      <c r="AF424" s="404">
        <f>(1-SUMIF($I$1:$T$1,B420,$I$2:$T$2))*AE423+SUMIF($I$1:$T$1,B420,$I$2:$T$2)*AF423</f>
        <v>0</v>
      </c>
      <c r="AG424" s="386">
        <f>(1-SUMIF($I$1:$T$1,B420,$I$2:$T$2))*AF423+SUMIF($I$1:$T$1,B420,$I$2:$T$2)*AG423</f>
        <v>0</v>
      </c>
      <c r="AH424" s="399">
        <f>(1-SUMIF($I$1:$T$1,B420,$I$2:$T$2))*AG423+SUMIF($I$1:$T$1,B420,$I$2:$T$2)*AH423</f>
        <v>0</v>
      </c>
      <c r="AI424" s="399">
        <f>(1-SUMIF($I$1:$T$1,B420,$I$2:$T$2))*AH423+SUMIF($I$1:$T$1,B420,$I$2:$T$2)*AI423</f>
        <v>0</v>
      </c>
      <c r="AJ424" s="404">
        <f>(1-SUMIF($I$1:$T$1,B420,$I$2:$T$2))*AI423+SUMIF($I$1:$T$1,B420,$I$2:$T$2)*AJ423</f>
        <v>0</v>
      </c>
      <c r="AK424" s="386">
        <f>(1-SUMIF($I$1:$T$1,B420,$I$2:$T$2))*AJ423+SUMIF($I$1:$T$1,B420,$I$2:$T$2)*AK423</f>
        <v>0</v>
      </c>
      <c r="AL424" s="399">
        <f>(1-SUMIF($I$1:$T$1,B420,$I$2:$T$2))*AK423+SUMIF($I$1:$T$1,B420,$I$2:$T$2)*AL423</f>
        <v>0</v>
      </c>
      <c r="AM424" s="399">
        <f>(1-SUMIF($I$1:$T$1,B420,$I$2:$T$2))*AL423+SUMIF($I$1:$T$1,B420,$I$2:$T$2)*AM423</f>
        <v>0</v>
      </c>
      <c r="AN424" s="404">
        <f>(1-SUMIF($I$1:$T$1,B420,$I$2:$T$2))*AM423+SUMIF($I$1:$T$1,B420,$I$2:$T$2)*AN423</f>
        <v>0</v>
      </c>
      <c r="AO424" s="386">
        <f>(1-SUMIF($I$1:$T$1,B420,$I$2:$T$2))*AN423+SUMIF($I$1:$T$1,B420,$I$2:$T$2)*AO423</f>
        <v>0</v>
      </c>
      <c r="AP424" s="399">
        <f>(1-SUMIF($I$1:$T$1,B420,$I$2:$T$2))*AO423+SUMIF($I$1:$T$1,B420,$I$2:$T$2)*AP423</f>
        <v>0</v>
      </c>
      <c r="AQ424" s="399">
        <f>(1-SUMIF($I$1:$T$1,B420,$I$2:$T$2))*AP423+SUMIF($I$1:$T$1,B420,$I$2:$T$2)*AQ423</f>
        <v>0</v>
      </c>
      <c r="AR424" s="404">
        <f>(1-SUMIF($I$1:$T$1,B420,$I$2:$T$2))*AQ423+SUMIF($I$1:$T$1,B420,$I$2:$T$2)*AR423</f>
        <v>0</v>
      </c>
      <c r="AS424" s="386">
        <f>(1-SUMIF($I$1:$T$1,B420,$I$2:$T$2))*AR423+SUMIF($I$1:$T$1,B420,$I$2:$T$2)*AS423</f>
        <v>0</v>
      </c>
      <c r="AT424" s="399">
        <f>(1-SUMIF($I$1:$T$1,B420,$I$2:$T$2))*AS423+SUMIF($I$1:$T$1,B420,$I$2:$T$2)*AT423</f>
        <v>0</v>
      </c>
      <c r="AU424" s="399">
        <f>(1-SUMIF($I$1:$T$1,B420,$I$2:$T$2))*AT423+SUMIF($I$1:$T$1,B420,$I$2:$T$2)*AU423</f>
        <v>0</v>
      </c>
      <c r="AV424" s="404">
        <f>(1-SUMIF($I$1:$T$1,B420,$I$2:$T$2))*AU423+SUMIF($I$1:$T$1,B420,$I$2:$T$2)*AV423</f>
        <v>0</v>
      </c>
      <c r="AW424" s="424" t="str">
        <f t="shared" si="251"/>
        <v>无产权车库(个)</v>
      </c>
    </row>
    <row r="425" spans="1:49" s="424" customFormat="1" ht="13.5" customHeight="1">
      <c r="A425" s="1946" t="s">
        <v>24</v>
      </c>
      <c r="B425" s="1951" t="s">
        <v>897</v>
      </c>
      <c r="C425" s="500" t="s">
        <v>880</v>
      </c>
      <c r="D425" s="501">
        <f>IF(D427=0,0,D428/D427*10000)</f>
        <v>0</v>
      </c>
      <c r="E425" s="502">
        <f t="shared" ref="E425:AV425" si="273">IF(E427=0,0,E428/E427*10000)</f>
        <v>0</v>
      </c>
      <c r="F425" s="503">
        <f t="shared" si="273"/>
        <v>0</v>
      </c>
      <c r="G425" s="503">
        <f t="shared" si="273"/>
        <v>0</v>
      </c>
      <c r="H425" s="504">
        <f t="shared" si="273"/>
        <v>0</v>
      </c>
      <c r="I425" s="502">
        <f t="shared" si="273"/>
        <v>0</v>
      </c>
      <c r="J425" s="503">
        <f t="shared" si="273"/>
        <v>0</v>
      </c>
      <c r="K425" s="503">
        <f t="shared" si="273"/>
        <v>0</v>
      </c>
      <c r="L425" s="504">
        <f t="shared" si="273"/>
        <v>0</v>
      </c>
      <c r="M425" s="502">
        <f t="shared" si="273"/>
        <v>0</v>
      </c>
      <c r="N425" s="503">
        <f t="shared" si="273"/>
        <v>0</v>
      </c>
      <c r="O425" s="503">
        <f t="shared" si="273"/>
        <v>0</v>
      </c>
      <c r="P425" s="504">
        <f t="shared" si="273"/>
        <v>0</v>
      </c>
      <c r="Q425" s="502">
        <f t="shared" si="273"/>
        <v>0</v>
      </c>
      <c r="R425" s="503">
        <f t="shared" si="273"/>
        <v>0</v>
      </c>
      <c r="S425" s="503">
        <f t="shared" si="273"/>
        <v>0</v>
      </c>
      <c r="T425" s="504">
        <f t="shared" si="273"/>
        <v>0</v>
      </c>
      <c r="U425" s="502">
        <f t="shared" si="273"/>
        <v>0</v>
      </c>
      <c r="V425" s="503">
        <f t="shared" si="273"/>
        <v>0</v>
      </c>
      <c r="W425" s="503">
        <f t="shared" si="273"/>
        <v>0</v>
      </c>
      <c r="X425" s="504">
        <f t="shared" si="273"/>
        <v>0</v>
      </c>
      <c r="Y425" s="502">
        <f t="shared" si="273"/>
        <v>0</v>
      </c>
      <c r="Z425" s="503">
        <f t="shared" si="273"/>
        <v>0</v>
      </c>
      <c r="AA425" s="503">
        <f t="shared" si="273"/>
        <v>0</v>
      </c>
      <c r="AB425" s="504">
        <f t="shared" si="273"/>
        <v>0</v>
      </c>
      <c r="AC425" s="502">
        <f t="shared" si="273"/>
        <v>0</v>
      </c>
      <c r="AD425" s="503">
        <f t="shared" si="273"/>
        <v>0</v>
      </c>
      <c r="AE425" s="503">
        <f t="shared" si="273"/>
        <v>0</v>
      </c>
      <c r="AF425" s="504">
        <f t="shared" si="273"/>
        <v>0</v>
      </c>
      <c r="AG425" s="502">
        <f t="shared" si="273"/>
        <v>0</v>
      </c>
      <c r="AH425" s="503">
        <f t="shared" si="273"/>
        <v>0</v>
      </c>
      <c r="AI425" s="503">
        <f t="shared" si="273"/>
        <v>0</v>
      </c>
      <c r="AJ425" s="504">
        <f t="shared" si="273"/>
        <v>0</v>
      </c>
      <c r="AK425" s="502">
        <f t="shared" si="273"/>
        <v>0</v>
      </c>
      <c r="AL425" s="503">
        <f t="shared" si="273"/>
        <v>0</v>
      </c>
      <c r="AM425" s="503">
        <f t="shared" si="273"/>
        <v>0</v>
      </c>
      <c r="AN425" s="504">
        <f t="shared" si="273"/>
        <v>0</v>
      </c>
      <c r="AO425" s="502">
        <f t="shared" si="273"/>
        <v>0</v>
      </c>
      <c r="AP425" s="503">
        <f t="shared" si="273"/>
        <v>0</v>
      </c>
      <c r="AQ425" s="503">
        <f t="shared" si="273"/>
        <v>0</v>
      </c>
      <c r="AR425" s="504">
        <f t="shared" si="273"/>
        <v>0</v>
      </c>
      <c r="AS425" s="502">
        <f t="shared" si="273"/>
        <v>0</v>
      </c>
      <c r="AT425" s="503">
        <f t="shared" si="273"/>
        <v>0</v>
      </c>
      <c r="AU425" s="503">
        <f t="shared" si="273"/>
        <v>0</v>
      </c>
      <c r="AV425" s="504">
        <f t="shared" si="273"/>
        <v>0</v>
      </c>
      <c r="AW425" s="473"/>
    </row>
    <row r="426" spans="1:49" ht="13.5" customHeight="1">
      <c r="A426" s="1947"/>
      <c r="B426" s="1952"/>
      <c r="C426" s="438" t="s">
        <v>881</v>
      </c>
      <c r="D426" s="439">
        <f>SUM(E426:AV426)</f>
        <v>0</v>
      </c>
      <c r="E426" s="440">
        <f t="shared" ref="E426:AV426" si="274">IFERROR(E427/$D427,0)</f>
        <v>0</v>
      </c>
      <c r="F426" s="441">
        <f t="shared" si="274"/>
        <v>0</v>
      </c>
      <c r="G426" s="441">
        <f t="shared" si="274"/>
        <v>0</v>
      </c>
      <c r="H426" s="442">
        <f t="shared" si="274"/>
        <v>0</v>
      </c>
      <c r="I426" s="440">
        <f t="shared" si="274"/>
        <v>0</v>
      </c>
      <c r="J426" s="441">
        <f t="shared" si="274"/>
        <v>0</v>
      </c>
      <c r="K426" s="441">
        <f t="shared" si="274"/>
        <v>0</v>
      </c>
      <c r="L426" s="442">
        <f t="shared" si="274"/>
        <v>0</v>
      </c>
      <c r="M426" s="440">
        <f t="shared" si="274"/>
        <v>0</v>
      </c>
      <c r="N426" s="441">
        <f t="shared" si="274"/>
        <v>0</v>
      </c>
      <c r="O426" s="441">
        <f t="shared" si="274"/>
        <v>0</v>
      </c>
      <c r="P426" s="442">
        <f t="shared" si="274"/>
        <v>0</v>
      </c>
      <c r="Q426" s="440">
        <f t="shared" si="274"/>
        <v>0</v>
      </c>
      <c r="R426" s="441">
        <f t="shared" si="274"/>
        <v>0</v>
      </c>
      <c r="S426" s="441">
        <f t="shared" si="274"/>
        <v>0</v>
      </c>
      <c r="T426" s="442">
        <f t="shared" si="274"/>
        <v>0</v>
      </c>
      <c r="U426" s="440">
        <f t="shared" si="274"/>
        <v>0</v>
      </c>
      <c r="V426" s="441">
        <f t="shared" si="274"/>
        <v>0</v>
      </c>
      <c r="W426" s="441">
        <f t="shared" si="274"/>
        <v>0</v>
      </c>
      <c r="X426" s="442">
        <f t="shared" si="274"/>
        <v>0</v>
      </c>
      <c r="Y426" s="440">
        <f t="shared" si="274"/>
        <v>0</v>
      </c>
      <c r="Z426" s="441">
        <f t="shared" si="274"/>
        <v>0</v>
      </c>
      <c r="AA426" s="441">
        <f t="shared" si="274"/>
        <v>0</v>
      </c>
      <c r="AB426" s="442">
        <f t="shared" si="274"/>
        <v>0</v>
      </c>
      <c r="AC426" s="440">
        <f t="shared" si="274"/>
        <v>0</v>
      </c>
      <c r="AD426" s="441">
        <f t="shared" si="274"/>
        <v>0</v>
      </c>
      <c r="AE426" s="441">
        <f t="shared" si="274"/>
        <v>0</v>
      </c>
      <c r="AF426" s="442">
        <f t="shared" si="274"/>
        <v>0</v>
      </c>
      <c r="AG426" s="440">
        <f t="shared" si="274"/>
        <v>0</v>
      </c>
      <c r="AH426" s="441">
        <f t="shared" si="274"/>
        <v>0</v>
      </c>
      <c r="AI426" s="441">
        <f t="shared" si="274"/>
        <v>0</v>
      </c>
      <c r="AJ426" s="442">
        <f t="shared" si="274"/>
        <v>0</v>
      </c>
      <c r="AK426" s="440">
        <f t="shared" si="274"/>
        <v>0</v>
      </c>
      <c r="AL426" s="441">
        <f t="shared" si="274"/>
        <v>0</v>
      </c>
      <c r="AM426" s="441">
        <f t="shared" si="274"/>
        <v>0</v>
      </c>
      <c r="AN426" s="442">
        <f t="shared" si="274"/>
        <v>0</v>
      </c>
      <c r="AO426" s="440">
        <f t="shared" si="274"/>
        <v>0</v>
      </c>
      <c r="AP426" s="441">
        <f t="shared" si="274"/>
        <v>0</v>
      </c>
      <c r="AQ426" s="441">
        <f t="shared" si="274"/>
        <v>0</v>
      </c>
      <c r="AR426" s="442">
        <f t="shared" si="274"/>
        <v>0</v>
      </c>
      <c r="AS426" s="440">
        <f t="shared" si="274"/>
        <v>0</v>
      </c>
      <c r="AT426" s="441">
        <f t="shared" si="274"/>
        <v>0</v>
      </c>
      <c r="AU426" s="441">
        <f t="shared" si="274"/>
        <v>0</v>
      </c>
      <c r="AV426" s="442">
        <f t="shared" si="274"/>
        <v>0</v>
      </c>
      <c r="AW426" s="78"/>
    </row>
    <row r="427" spans="1:49" s="424" customFormat="1" ht="13.5" customHeight="1">
      <c r="A427" s="1947"/>
      <c r="B427" s="1952"/>
      <c r="C427" s="438" t="s">
        <v>682</v>
      </c>
      <c r="D427" s="443">
        <f t="shared" ref="D427:AV427" si="275">SUM(D437,D442,D447,D452,D457,D462,D467,D472,D477,D482)</f>
        <v>0</v>
      </c>
      <c r="E427" s="444">
        <f t="shared" si="275"/>
        <v>0</v>
      </c>
      <c r="F427" s="445">
        <f t="shared" si="275"/>
        <v>0</v>
      </c>
      <c r="G427" s="445">
        <f t="shared" si="275"/>
        <v>0</v>
      </c>
      <c r="H427" s="446">
        <f t="shared" si="275"/>
        <v>0</v>
      </c>
      <c r="I427" s="444">
        <f t="shared" si="275"/>
        <v>0</v>
      </c>
      <c r="J427" s="445">
        <f t="shared" si="275"/>
        <v>0</v>
      </c>
      <c r="K427" s="445">
        <f t="shared" si="275"/>
        <v>0</v>
      </c>
      <c r="L427" s="446">
        <f t="shared" si="275"/>
        <v>0</v>
      </c>
      <c r="M427" s="444">
        <f t="shared" si="275"/>
        <v>0</v>
      </c>
      <c r="N427" s="445">
        <f t="shared" si="275"/>
        <v>0</v>
      </c>
      <c r="O427" s="445">
        <f t="shared" si="275"/>
        <v>0</v>
      </c>
      <c r="P427" s="446">
        <f t="shared" si="275"/>
        <v>0</v>
      </c>
      <c r="Q427" s="444">
        <f t="shared" si="275"/>
        <v>0</v>
      </c>
      <c r="R427" s="445">
        <f t="shared" si="275"/>
        <v>0</v>
      </c>
      <c r="S427" s="445">
        <f t="shared" si="275"/>
        <v>0</v>
      </c>
      <c r="T427" s="446">
        <f t="shared" si="275"/>
        <v>0</v>
      </c>
      <c r="U427" s="444">
        <f t="shared" si="275"/>
        <v>0</v>
      </c>
      <c r="V427" s="445">
        <f t="shared" si="275"/>
        <v>0</v>
      </c>
      <c r="W427" s="445">
        <f t="shared" si="275"/>
        <v>0</v>
      </c>
      <c r="X427" s="446">
        <f t="shared" si="275"/>
        <v>0</v>
      </c>
      <c r="Y427" s="444">
        <f t="shared" si="275"/>
        <v>0</v>
      </c>
      <c r="Z427" s="445">
        <f t="shared" si="275"/>
        <v>0</v>
      </c>
      <c r="AA427" s="445">
        <f t="shared" si="275"/>
        <v>0</v>
      </c>
      <c r="AB427" s="446">
        <f t="shared" si="275"/>
        <v>0</v>
      </c>
      <c r="AC427" s="444">
        <f t="shared" si="275"/>
        <v>0</v>
      </c>
      <c r="AD427" s="445">
        <f t="shared" si="275"/>
        <v>0</v>
      </c>
      <c r="AE427" s="445">
        <f t="shared" si="275"/>
        <v>0</v>
      </c>
      <c r="AF427" s="446">
        <f t="shared" si="275"/>
        <v>0</v>
      </c>
      <c r="AG427" s="444">
        <f t="shared" si="275"/>
        <v>0</v>
      </c>
      <c r="AH427" s="445">
        <f t="shared" si="275"/>
        <v>0</v>
      </c>
      <c r="AI427" s="445">
        <f t="shared" si="275"/>
        <v>0</v>
      </c>
      <c r="AJ427" s="446">
        <f t="shared" si="275"/>
        <v>0</v>
      </c>
      <c r="AK427" s="444">
        <f t="shared" si="275"/>
        <v>0</v>
      </c>
      <c r="AL427" s="445">
        <f t="shared" si="275"/>
        <v>0</v>
      </c>
      <c r="AM427" s="445">
        <f t="shared" si="275"/>
        <v>0</v>
      </c>
      <c r="AN427" s="446">
        <f t="shared" si="275"/>
        <v>0</v>
      </c>
      <c r="AO427" s="444">
        <f t="shared" si="275"/>
        <v>0</v>
      </c>
      <c r="AP427" s="445">
        <f t="shared" si="275"/>
        <v>0</v>
      </c>
      <c r="AQ427" s="445">
        <f t="shared" si="275"/>
        <v>0</v>
      </c>
      <c r="AR427" s="446">
        <f t="shared" si="275"/>
        <v>0</v>
      </c>
      <c r="AS427" s="444">
        <f t="shared" si="275"/>
        <v>0</v>
      </c>
      <c r="AT427" s="445">
        <f t="shared" si="275"/>
        <v>0</v>
      </c>
      <c r="AU427" s="445">
        <f t="shared" si="275"/>
        <v>0</v>
      </c>
      <c r="AV427" s="446">
        <f t="shared" si="275"/>
        <v>0</v>
      </c>
      <c r="AW427" s="473"/>
    </row>
    <row r="428" spans="1:49" s="424" customFormat="1" ht="13.5" customHeight="1">
      <c r="A428" s="1947"/>
      <c r="B428" s="1952"/>
      <c r="C428" s="438" t="s">
        <v>882</v>
      </c>
      <c r="D428" s="443">
        <f t="shared" ref="D428:AV428" si="276">SUM(D438,D443,D448,D453,D458,D463,D468,D473,D478,D483)</f>
        <v>0</v>
      </c>
      <c r="E428" s="444">
        <f t="shared" si="276"/>
        <v>0</v>
      </c>
      <c r="F428" s="445">
        <f t="shared" si="276"/>
        <v>0</v>
      </c>
      <c r="G428" s="445">
        <f t="shared" si="276"/>
        <v>0</v>
      </c>
      <c r="H428" s="446">
        <f t="shared" si="276"/>
        <v>0</v>
      </c>
      <c r="I428" s="444">
        <f t="shared" si="276"/>
        <v>0</v>
      </c>
      <c r="J428" s="445">
        <f t="shared" si="276"/>
        <v>0</v>
      </c>
      <c r="K428" s="445">
        <f t="shared" si="276"/>
        <v>0</v>
      </c>
      <c r="L428" s="446">
        <f t="shared" si="276"/>
        <v>0</v>
      </c>
      <c r="M428" s="444">
        <f t="shared" si="276"/>
        <v>0</v>
      </c>
      <c r="N428" s="445">
        <f t="shared" si="276"/>
        <v>0</v>
      </c>
      <c r="O428" s="445">
        <f t="shared" si="276"/>
        <v>0</v>
      </c>
      <c r="P428" s="446">
        <f t="shared" si="276"/>
        <v>0</v>
      </c>
      <c r="Q428" s="444">
        <f t="shared" si="276"/>
        <v>0</v>
      </c>
      <c r="R428" s="445">
        <f t="shared" si="276"/>
        <v>0</v>
      </c>
      <c r="S428" s="445">
        <f t="shared" si="276"/>
        <v>0</v>
      </c>
      <c r="T428" s="446">
        <f t="shared" si="276"/>
        <v>0</v>
      </c>
      <c r="U428" s="444">
        <f t="shared" si="276"/>
        <v>0</v>
      </c>
      <c r="V428" s="445">
        <f t="shared" si="276"/>
        <v>0</v>
      </c>
      <c r="W428" s="445">
        <f t="shared" si="276"/>
        <v>0</v>
      </c>
      <c r="X428" s="446">
        <f t="shared" si="276"/>
        <v>0</v>
      </c>
      <c r="Y428" s="444">
        <f t="shared" si="276"/>
        <v>0</v>
      </c>
      <c r="Z428" s="445">
        <f t="shared" si="276"/>
        <v>0</v>
      </c>
      <c r="AA428" s="445">
        <f t="shared" si="276"/>
        <v>0</v>
      </c>
      <c r="AB428" s="446">
        <f t="shared" si="276"/>
        <v>0</v>
      </c>
      <c r="AC428" s="444">
        <f t="shared" si="276"/>
        <v>0</v>
      </c>
      <c r="AD428" s="445">
        <f t="shared" si="276"/>
        <v>0</v>
      </c>
      <c r="AE428" s="445">
        <f t="shared" si="276"/>
        <v>0</v>
      </c>
      <c r="AF428" s="446">
        <f t="shared" si="276"/>
        <v>0</v>
      </c>
      <c r="AG428" s="444">
        <f t="shared" si="276"/>
        <v>0</v>
      </c>
      <c r="AH428" s="445">
        <f t="shared" si="276"/>
        <v>0</v>
      </c>
      <c r="AI428" s="445">
        <f t="shared" si="276"/>
        <v>0</v>
      </c>
      <c r="AJ428" s="446">
        <f t="shared" si="276"/>
        <v>0</v>
      </c>
      <c r="AK428" s="444">
        <f t="shared" si="276"/>
        <v>0</v>
      </c>
      <c r="AL428" s="445">
        <f t="shared" si="276"/>
        <v>0</v>
      </c>
      <c r="AM428" s="445">
        <f t="shared" si="276"/>
        <v>0</v>
      </c>
      <c r="AN428" s="446">
        <f t="shared" si="276"/>
        <v>0</v>
      </c>
      <c r="AO428" s="444">
        <f t="shared" si="276"/>
        <v>0</v>
      </c>
      <c r="AP428" s="445">
        <f t="shared" si="276"/>
        <v>0</v>
      </c>
      <c r="AQ428" s="445">
        <f t="shared" si="276"/>
        <v>0</v>
      </c>
      <c r="AR428" s="446">
        <f t="shared" si="276"/>
        <v>0</v>
      </c>
      <c r="AS428" s="444">
        <f t="shared" si="276"/>
        <v>0</v>
      </c>
      <c r="AT428" s="445">
        <f t="shared" si="276"/>
        <v>0</v>
      </c>
      <c r="AU428" s="445">
        <f t="shared" si="276"/>
        <v>0</v>
      </c>
      <c r="AV428" s="446">
        <f t="shared" si="276"/>
        <v>0</v>
      </c>
      <c r="AW428" s="473"/>
    </row>
    <row r="429" spans="1:49" s="424" customFormat="1" ht="13.5" customHeight="1">
      <c r="A429" s="1947"/>
      <c r="B429" s="1953"/>
      <c r="C429" s="447" t="s">
        <v>450</v>
      </c>
      <c r="D429" s="448">
        <f t="shared" ref="D429:AV429" si="277">SUM(D439,D444,D449,D454,D459,D464,D469,D474,D479,D484)</f>
        <v>0</v>
      </c>
      <c r="E429" s="453">
        <f t="shared" si="277"/>
        <v>0</v>
      </c>
      <c r="F429" s="454">
        <f t="shared" si="277"/>
        <v>0</v>
      </c>
      <c r="G429" s="454">
        <f t="shared" si="277"/>
        <v>0</v>
      </c>
      <c r="H429" s="455">
        <f t="shared" si="277"/>
        <v>0</v>
      </c>
      <c r="I429" s="453">
        <f t="shared" si="277"/>
        <v>0</v>
      </c>
      <c r="J429" s="454">
        <f t="shared" si="277"/>
        <v>0</v>
      </c>
      <c r="K429" s="454">
        <f t="shared" si="277"/>
        <v>0</v>
      </c>
      <c r="L429" s="455">
        <f t="shared" si="277"/>
        <v>0</v>
      </c>
      <c r="M429" s="453">
        <f t="shared" si="277"/>
        <v>0</v>
      </c>
      <c r="N429" s="454">
        <f t="shared" si="277"/>
        <v>0</v>
      </c>
      <c r="O429" s="454">
        <f t="shared" si="277"/>
        <v>0</v>
      </c>
      <c r="P429" s="455">
        <f t="shared" si="277"/>
        <v>0</v>
      </c>
      <c r="Q429" s="453">
        <f t="shared" si="277"/>
        <v>0</v>
      </c>
      <c r="R429" s="454">
        <f t="shared" si="277"/>
        <v>0</v>
      </c>
      <c r="S429" s="454">
        <f t="shared" si="277"/>
        <v>0</v>
      </c>
      <c r="T429" s="455">
        <f t="shared" si="277"/>
        <v>0</v>
      </c>
      <c r="U429" s="453">
        <f t="shared" si="277"/>
        <v>0</v>
      </c>
      <c r="V429" s="454">
        <f t="shared" si="277"/>
        <v>0</v>
      </c>
      <c r="W429" s="454">
        <f t="shared" si="277"/>
        <v>0</v>
      </c>
      <c r="X429" s="455">
        <f t="shared" si="277"/>
        <v>0</v>
      </c>
      <c r="Y429" s="453">
        <f t="shared" si="277"/>
        <v>0</v>
      </c>
      <c r="Z429" s="454">
        <f t="shared" si="277"/>
        <v>0</v>
      </c>
      <c r="AA429" s="454">
        <f t="shared" si="277"/>
        <v>0</v>
      </c>
      <c r="AB429" s="455">
        <f t="shared" si="277"/>
        <v>0</v>
      </c>
      <c r="AC429" s="453">
        <f t="shared" si="277"/>
        <v>0</v>
      </c>
      <c r="AD429" s="454">
        <f t="shared" si="277"/>
        <v>0</v>
      </c>
      <c r="AE429" s="454">
        <f t="shared" si="277"/>
        <v>0</v>
      </c>
      <c r="AF429" s="455">
        <f t="shared" si="277"/>
        <v>0</v>
      </c>
      <c r="AG429" s="453">
        <f t="shared" si="277"/>
        <v>0</v>
      </c>
      <c r="AH429" s="454">
        <f t="shared" si="277"/>
        <v>0</v>
      </c>
      <c r="AI429" s="454">
        <f t="shared" si="277"/>
        <v>0</v>
      </c>
      <c r="AJ429" s="455">
        <f t="shared" si="277"/>
        <v>0</v>
      </c>
      <c r="AK429" s="453">
        <f t="shared" si="277"/>
        <v>0</v>
      </c>
      <c r="AL429" s="454">
        <f t="shared" si="277"/>
        <v>0</v>
      </c>
      <c r="AM429" s="454">
        <f t="shared" si="277"/>
        <v>0</v>
      </c>
      <c r="AN429" s="455">
        <f t="shared" si="277"/>
        <v>0</v>
      </c>
      <c r="AO429" s="453">
        <f t="shared" si="277"/>
        <v>0</v>
      </c>
      <c r="AP429" s="454">
        <f t="shared" si="277"/>
        <v>0</v>
      </c>
      <c r="AQ429" s="454">
        <f t="shared" si="277"/>
        <v>0</v>
      </c>
      <c r="AR429" s="455">
        <f t="shared" si="277"/>
        <v>0</v>
      </c>
      <c r="AS429" s="453">
        <f t="shared" si="277"/>
        <v>0</v>
      </c>
      <c r="AT429" s="454">
        <f t="shared" si="277"/>
        <v>0</v>
      </c>
      <c r="AU429" s="454">
        <f t="shared" si="277"/>
        <v>0</v>
      </c>
      <c r="AV429" s="455">
        <f t="shared" si="277"/>
        <v>0</v>
      </c>
      <c r="AW429" s="473"/>
    </row>
    <row r="430" spans="1:49" s="424" customFormat="1" ht="13.5" customHeight="1">
      <c r="A430" s="1947"/>
      <c r="B430" s="1954" t="s">
        <v>898</v>
      </c>
      <c r="C430" s="449" t="s">
        <v>884</v>
      </c>
      <c r="D430" s="434">
        <f>IF(D432=0,0,D433/D432*10000)</f>
        <v>0</v>
      </c>
      <c r="E430" s="435">
        <f t="shared" ref="E430:AV430" si="278">IF(E432=0,0,E433/E432*10000)</f>
        <v>0</v>
      </c>
      <c r="F430" s="436">
        <f t="shared" si="278"/>
        <v>0</v>
      </c>
      <c r="G430" s="436">
        <f t="shared" si="278"/>
        <v>0</v>
      </c>
      <c r="H430" s="437">
        <f t="shared" si="278"/>
        <v>0</v>
      </c>
      <c r="I430" s="435">
        <f t="shared" si="278"/>
        <v>0</v>
      </c>
      <c r="J430" s="436">
        <f t="shared" si="278"/>
        <v>0</v>
      </c>
      <c r="K430" s="436">
        <f t="shared" si="278"/>
        <v>0</v>
      </c>
      <c r="L430" s="437">
        <f t="shared" si="278"/>
        <v>0</v>
      </c>
      <c r="M430" s="435">
        <f t="shared" si="278"/>
        <v>0</v>
      </c>
      <c r="N430" s="436">
        <f t="shared" si="278"/>
        <v>0</v>
      </c>
      <c r="O430" s="436">
        <f t="shared" si="278"/>
        <v>0</v>
      </c>
      <c r="P430" s="437">
        <f t="shared" si="278"/>
        <v>0</v>
      </c>
      <c r="Q430" s="435">
        <f t="shared" si="278"/>
        <v>0</v>
      </c>
      <c r="R430" s="436">
        <f t="shared" si="278"/>
        <v>0</v>
      </c>
      <c r="S430" s="436">
        <f t="shared" si="278"/>
        <v>0</v>
      </c>
      <c r="T430" s="437">
        <f t="shared" si="278"/>
        <v>0</v>
      </c>
      <c r="U430" s="435">
        <f t="shared" si="278"/>
        <v>0</v>
      </c>
      <c r="V430" s="436">
        <f t="shared" si="278"/>
        <v>0</v>
      </c>
      <c r="W430" s="436">
        <f t="shared" si="278"/>
        <v>0</v>
      </c>
      <c r="X430" s="437">
        <f t="shared" si="278"/>
        <v>0</v>
      </c>
      <c r="Y430" s="435">
        <f t="shared" si="278"/>
        <v>0</v>
      </c>
      <c r="Z430" s="436">
        <f t="shared" si="278"/>
        <v>0</v>
      </c>
      <c r="AA430" s="436">
        <f t="shared" si="278"/>
        <v>0</v>
      </c>
      <c r="AB430" s="437">
        <f t="shared" si="278"/>
        <v>0</v>
      </c>
      <c r="AC430" s="435">
        <f t="shared" si="278"/>
        <v>0</v>
      </c>
      <c r="AD430" s="436">
        <f t="shared" si="278"/>
        <v>0</v>
      </c>
      <c r="AE430" s="436">
        <f t="shared" si="278"/>
        <v>0</v>
      </c>
      <c r="AF430" s="437">
        <f t="shared" si="278"/>
        <v>0</v>
      </c>
      <c r="AG430" s="435">
        <f t="shared" si="278"/>
        <v>0</v>
      </c>
      <c r="AH430" s="436">
        <f t="shared" si="278"/>
        <v>0</v>
      </c>
      <c r="AI430" s="436">
        <f t="shared" si="278"/>
        <v>0</v>
      </c>
      <c r="AJ430" s="437">
        <f t="shared" si="278"/>
        <v>0</v>
      </c>
      <c r="AK430" s="435">
        <f t="shared" si="278"/>
        <v>0</v>
      </c>
      <c r="AL430" s="436">
        <f t="shared" si="278"/>
        <v>0</v>
      </c>
      <c r="AM430" s="436">
        <f t="shared" si="278"/>
        <v>0</v>
      </c>
      <c r="AN430" s="437">
        <f t="shared" si="278"/>
        <v>0</v>
      </c>
      <c r="AO430" s="435">
        <f t="shared" si="278"/>
        <v>0</v>
      </c>
      <c r="AP430" s="436">
        <f t="shared" si="278"/>
        <v>0</v>
      </c>
      <c r="AQ430" s="436">
        <f t="shared" si="278"/>
        <v>0</v>
      </c>
      <c r="AR430" s="437">
        <f t="shared" si="278"/>
        <v>0</v>
      </c>
      <c r="AS430" s="435">
        <f t="shared" si="278"/>
        <v>0</v>
      </c>
      <c r="AT430" s="436">
        <f t="shared" si="278"/>
        <v>0</v>
      </c>
      <c r="AU430" s="436">
        <f t="shared" si="278"/>
        <v>0</v>
      </c>
      <c r="AV430" s="437">
        <f t="shared" si="278"/>
        <v>0</v>
      </c>
      <c r="AW430" s="473"/>
    </row>
    <row r="431" spans="1:49" ht="13.5" customHeight="1">
      <c r="A431" s="1947"/>
      <c r="B431" s="1952"/>
      <c r="C431" s="438" t="s">
        <v>881</v>
      </c>
      <c r="D431" s="439">
        <f>SUM(E431:AV431)</f>
        <v>0</v>
      </c>
      <c r="E431" s="440">
        <f t="shared" ref="E431:AV431" si="279">IFERROR(E432/$D432,0)</f>
        <v>0</v>
      </c>
      <c r="F431" s="441">
        <f t="shared" si="279"/>
        <v>0</v>
      </c>
      <c r="G431" s="441">
        <f t="shared" si="279"/>
        <v>0</v>
      </c>
      <c r="H431" s="442">
        <f t="shared" si="279"/>
        <v>0</v>
      </c>
      <c r="I431" s="440">
        <f t="shared" si="279"/>
        <v>0</v>
      </c>
      <c r="J431" s="441">
        <f t="shared" si="279"/>
        <v>0</v>
      </c>
      <c r="K431" s="441">
        <f t="shared" si="279"/>
        <v>0</v>
      </c>
      <c r="L431" s="442">
        <f t="shared" si="279"/>
        <v>0</v>
      </c>
      <c r="M431" s="440">
        <f t="shared" si="279"/>
        <v>0</v>
      </c>
      <c r="N431" s="441">
        <f t="shared" si="279"/>
        <v>0</v>
      </c>
      <c r="O431" s="441">
        <f t="shared" si="279"/>
        <v>0</v>
      </c>
      <c r="P431" s="442">
        <f t="shared" si="279"/>
        <v>0</v>
      </c>
      <c r="Q431" s="440">
        <f t="shared" si="279"/>
        <v>0</v>
      </c>
      <c r="R431" s="441">
        <f t="shared" si="279"/>
        <v>0</v>
      </c>
      <c r="S431" s="441">
        <f t="shared" si="279"/>
        <v>0</v>
      </c>
      <c r="T431" s="442">
        <f t="shared" si="279"/>
        <v>0</v>
      </c>
      <c r="U431" s="440">
        <f t="shared" si="279"/>
        <v>0</v>
      </c>
      <c r="V431" s="441">
        <f t="shared" si="279"/>
        <v>0</v>
      </c>
      <c r="W431" s="441">
        <f t="shared" si="279"/>
        <v>0</v>
      </c>
      <c r="X431" s="442">
        <f t="shared" si="279"/>
        <v>0</v>
      </c>
      <c r="Y431" s="440">
        <f t="shared" si="279"/>
        <v>0</v>
      </c>
      <c r="Z431" s="441">
        <f t="shared" si="279"/>
        <v>0</v>
      </c>
      <c r="AA431" s="441">
        <f t="shared" si="279"/>
        <v>0</v>
      </c>
      <c r="AB431" s="442">
        <f t="shared" si="279"/>
        <v>0</v>
      </c>
      <c r="AC431" s="440">
        <f t="shared" si="279"/>
        <v>0</v>
      </c>
      <c r="AD431" s="441">
        <f t="shared" si="279"/>
        <v>0</v>
      </c>
      <c r="AE431" s="441">
        <f t="shared" si="279"/>
        <v>0</v>
      </c>
      <c r="AF431" s="442">
        <f t="shared" si="279"/>
        <v>0</v>
      </c>
      <c r="AG431" s="440">
        <f t="shared" si="279"/>
        <v>0</v>
      </c>
      <c r="AH431" s="441">
        <f t="shared" si="279"/>
        <v>0</v>
      </c>
      <c r="AI431" s="441">
        <f t="shared" si="279"/>
        <v>0</v>
      </c>
      <c r="AJ431" s="442">
        <f t="shared" si="279"/>
        <v>0</v>
      </c>
      <c r="AK431" s="440">
        <f t="shared" si="279"/>
        <v>0</v>
      </c>
      <c r="AL431" s="441">
        <f t="shared" si="279"/>
        <v>0</v>
      </c>
      <c r="AM431" s="441">
        <f t="shared" si="279"/>
        <v>0</v>
      </c>
      <c r="AN431" s="442">
        <f t="shared" si="279"/>
        <v>0</v>
      </c>
      <c r="AO431" s="440">
        <f t="shared" si="279"/>
        <v>0</v>
      </c>
      <c r="AP431" s="441">
        <f t="shared" si="279"/>
        <v>0</v>
      </c>
      <c r="AQ431" s="441">
        <f t="shared" si="279"/>
        <v>0</v>
      </c>
      <c r="AR431" s="442">
        <f t="shared" si="279"/>
        <v>0</v>
      </c>
      <c r="AS431" s="440">
        <f t="shared" si="279"/>
        <v>0</v>
      </c>
      <c r="AT431" s="441">
        <f t="shared" si="279"/>
        <v>0</v>
      </c>
      <c r="AU431" s="441">
        <f t="shared" si="279"/>
        <v>0</v>
      </c>
      <c r="AV431" s="442">
        <f t="shared" si="279"/>
        <v>0</v>
      </c>
      <c r="AW431" s="78"/>
    </row>
    <row r="432" spans="1:49" s="424" customFormat="1" ht="13.5" customHeight="1">
      <c r="A432" s="1947"/>
      <c r="B432" s="1952"/>
      <c r="C432" s="438" t="s">
        <v>783</v>
      </c>
      <c r="D432" s="443">
        <f t="shared" ref="D432:AV432" si="280">SUM(D487,D492)</f>
        <v>0</v>
      </c>
      <c r="E432" s="444">
        <f t="shared" si="280"/>
        <v>0</v>
      </c>
      <c r="F432" s="445">
        <f t="shared" si="280"/>
        <v>0</v>
      </c>
      <c r="G432" s="445">
        <f t="shared" si="280"/>
        <v>0</v>
      </c>
      <c r="H432" s="446">
        <f t="shared" si="280"/>
        <v>0</v>
      </c>
      <c r="I432" s="444">
        <f t="shared" si="280"/>
        <v>0</v>
      </c>
      <c r="J432" s="445">
        <f t="shared" si="280"/>
        <v>0</v>
      </c>
      <c r="K432" s="445">
        <f t="shared" si="280"/>
        <v>0</v>
      </c>
      <c r="L432" s="446">
        <f t="shared" si="280"/>
        <v>0</v>
      </c>
      <c r="M432" s="444">
        <f t="shared" si="280"/>
        <v>0</v>
      </c>
      <c r="N432" s="445">
        <f t="shared" si="280"/>
        <v>0</v>
      </c>
      <c r="O432" s="445">
        <f t="shared" si="280"/>
        <v>0</v>
      </c>
      <c r="P432" s="446">
        <f t="shared" si="280"/>
        <v>0</v>
      </c>
      <c r="Q432" s="444">
        <f t="shared" si="280"/>
        <v>0</v>
      </c>
      <c r="R432" s="445">
        <f t="shared" si="280"/>
        <v>0</v>
      </c>
      <c r="S432" s="445">
        <f t="shared" si="280"/>
        <v>0</v>
      </c>
      <c r="T432" s="446">
        <f t="shared" si="280"/>
        <v>0</v>
      </c>
      <c r="U432" s="444">
        <f t="shared" si="280"/>
        <v>0</v>
      </c>
      <c r="V432" s="445">
        <f t="shared" si="280"/>
        <v>0</v>
      </c>
      <c r="W432" s="445">
        <f t="shared" si="280"/>
        <v>0</v>
      </c>
      <c r="X432" s="446">
        <f t="shared" si="280"/>
        <v>0</v>
      </c>
      <c r="Y432" s="444">
        <f t="shared" si="280"/>
        <v>0</v>
      </c>
      <c r="Z432" s="445">
        <f t="shared" si="280"/>
        <v>0</v>
      </c>
      <c r="AA432" s="445">
        <f t="shared" si="280"/>
        <v>0</v>
      </c>
      <c r="AB432" s="446">
        <f t="shared" si="280"/>
        <v>0</v>
      </c>
      <c r="AC432" s="444">
        <f t="shared" si="280"/>
        <v>0</v>
      </c>
      <c r="AD432" s="445">
        <f t="shared" si="280"/>
        <v>0</v>
      </c>
      <c r="AE432" s="445">
        <f t="shared" si="280"/>
        <v>0</v>
      </c>
      <c r="AF432" s="446">
        <f t="shared" si="280"/>
        <v>0</v>
      </c>
      <c r="AG432" s="444">
        <f t="shared" si="280"/>
        <v>0</v>
      </c>
      <c r="AH432" s="445">
        <f t="shared" si="280"/>
        <v>0</v>
      </c>
      <c r="AI432" s="445">
        <f t="shared" si="280"/>
        <v>0</v>
      </c>
      <c r="AJ432" s="446">
        <f t="shared" si="280"/>
        <v>0</v>
      </c>
      <c r="AK432" s="444">
        <f t="shared" si="280"/>
        <v>0</v>
      </c>
      <c r="AL432" s="445">
        <f t="shared" si="280"/>
        <v>0</v>
      </c>
      <c r="AM432" s="445">
        <f t="shared" si="280"/>
        <v>0</v>
      </c>
      <c r="AN432" s="446">
        <f t="shared" si="280"/>
        <v>0</v>
      </c>
      <c r="AO432" s="444">
        <f t="shared" si="280"/>
        <v>0</v>
      </c>
      <c r="AP432" s="445">
        <f t="shared" si="280"/>
        <v>0</v>
      </c>
      <c r="AQ432" s="445">
        <f t="shared" si="280"/>
        <v>0</v>
      </c>
      <c r="AR432" s="446">
        <f t="shared" si="280"/>
        <v>0</v>
      </c>
      <c r="AS432" s="444">
        <f t="shared" si="280"/>
        <v>0</v>
      </c>
      <c r="AT432" s="445">
        <f t="shared" si="280"/>
        <v>0</v>
      </c>
      <c r="AU432" s="445">
        <f t="shared" si="280"/>
        <v>0</v>
      </c>
      <c r="AV432" s="446">
        <f t="shared" si="280"/>
        <v>0</v>
      </c>
      <c r="AW432" s="473"/>
    </row>
    <row r="433" spans="1:49" s="424" customFormat="1" ht="13.5" customHeight="1">
      <c r="A433" s="1947"/>
      <c r="B433" s="1952"/>
      <c r="C433" s="438" t="s">
        <v>885</v>
      </c>
      <c r="D433" s="443">
        <f t="shared" ref="D433:AV433" si="281">SUM(D488,D493)</f>
        <v>0</v>
      </c>
      <c r="E433" s="444">
        <f t="shared" si="281"/>
        <v>0</v>
      </c>
      <c r="F433" s="445">
        <f t="shared" si="281"/>
        <v>0</v>
      </c>
      <c r="G433" s="445">
        <f t="shared" si="281"/>
        <v>0</v>
      </c>
      <c r="H433" s="446">
        <f t="shared" si="281"/>
        <v>0</v>
      </c>
      <c r="I433" s="444">
        <f t="shared" si="281"/>
        <v>0</v>
      </c>
      <c r="J433" s="445">
        <f t="shared" si="281"/>
        <v>0</v>
      </c>
      <c r="K433" s="445">
        <f t="shared" si="281"/>
        <v>0</v>
      </c>
      <c r="L433" s="446">
        <f t="shared" si="281"/>
        <v>0</v>
      </c>
      <c r="M433" s="444">
        <f t="shared" si="281"/>
        <v>0</v>
      </c>
      <c r="N433" s="445">
        <f t="shared" si="281"/>
        <v>0</v>
      </c>
      <c r="O433" s="445">
        <f t="shared" si="281"/>
        <v>0</v>
      </c>
      <c r="P433" s="446">
        <f t="shared" si="281"/>
        <v>0</v>
      </c>
      <c r="Q433" s="444">
        <f t="shared" si="281"/>
        <v>0</v>
      </c>
      <c r="R433" s="445">
        <f t="shared" si="281"/>
        <v>0</v>
      </c>
      <c r="S433" s="445">
        <f t="shared" si="281"/>
        <v>0</v>
      </c>
      <c r="T433" s="446">
        <f t="shared" si="281"/>
        <v>0</v>
      </c>
      <c r="U433" s="444">
        <f t="shared" si="281"/>
        <v>0</v>
      </c>
      <c r="V433" s="445">
        <f t="shared" si="281"/>
        <v>0</v>
      </c>
      <c r="W433" s="445">
        <f t="shared" si="281"/>
        <v>0</v>
      </c>
      <c r="X433" s="446">
        <f t="shared" si="281"/>
        <v>0</v>
      </c>
      <c r="Y433" s="444">
        <f t="shared" si="281"/>
        <v>0</v>
      </c>
      <c r="Z433" s="445">
        <f t="shared" si="281"/>
        <v>0</v>
      </c>
      <c r="AA433" s="445">
        <f t="shared" si="281"/>
        <v>0</v>
      </c>
      <c r="AB433" s="446">
        <f t="shared" si="281"/>
        <v>0</v>
      </c>
      <c r="AC433" s="444">
        <f t="shared" si="281"/>
        <v>0</v>
      </c>
      <c r="AD433" s="445">
        <f t="shared" si="281"/>
        <v>0</v>
      </c>
      <c r="AE433" s="445">
        <f t="shared" si="281"/>
        <v>0</v>
      </c>
      <c r="AF433" s="446">
        <f t="shared" si="281"/>
        <v>0</v>
      </c>
      <c r="AG433" s="444">
        <f t="shared" si="281"/>
        <v>0</v>
      </c>
      <c r="AH433" s="445">
        <f t="shared" si="281"/>
        <v>0</v>
      </c>
      <c r="AI433" s="445">
        <f t="shared" si="281"/>
        <v>0</v>
      </c>
      <c r="AJ433" s="446">
        <f t="shared" si="281"/>
        <v>0</v>
      </c>
      <c r="AK433" s="444">
        <f t="shared" si="281"/>
        <v>0</v>
      </c>
      <c r="AL433" s="445">
        <f t="shared" si="281"/>
        <v>0</v>
      </c>
      <c r="AM433" s="445">
        <f t="shared" si="281"/>
        <v>0</v>
      </c>
      <c r="AN433" s="446">
        <f t="shared" si="281"/>
        <v>0</v>
      </c>
      <c r="AO433" s="444">
        <f t="shared" si="281"/>
        <v>0</v>
      </c>
      <c r="AP433" s="445">
        <f t="shared" si="281"/>
        <v>0</v>
      </c>
      <c r="AQ433" s="445">
        <f t="shared" si="281"/>
        <v>0</v>
      </c>
      <c r="AR433" s="446">
        <f t="shared" si="281"/>
        <v>0</v>
      </c>
      <c r="AS433" s="444">
        <f t="shared" si="281"/>
        <v>0</v>
      </c>
      <c r="AT433" s="445">
        <f t="shared" si="281"/>
        <v>0</v>
      </c>
      <c r="AU433" s="445">
        <f t="shared" si="281"/>
        <v>0</v>
      </c>
      <c r="AV433" s="446">
        <f t="shared" si="281"/>
        <v>0</v>
      </c>
      <c r="AW433" s="473"/>
    </row>
    <row r="434" spans="1:49" s="424" customFormat="1" ht="13.5" customHeight="1">
      <c r="A434" s="1947"/>
      <c r="B434" s="1953"/>
      <c r="C434" s="447" t="s">
        <v>886</v>
      </c>
      <c r="D434" s="448">
        <f t="shared" ref="D434:AV434" si="282">SUM(D489,D494)</f>
        <v>0</v>
      </c>
      <c r="E434" s="453">
        <f t="shared" si="282"/>
        <v>0</v>
      </c>
      <c r="F434" s="454">
        <f t="shared" si="282"/>
        <v>0</v>
      </c>
      <c r="G434" s="454">
        <f t="shared" si="282"/>
        <v>0</v>
      </c>
      <c r="H434" s="455">
        <f t="shared" si="282"/>
        <v>0</v>
      </c>
      <c r="I434" s="453">
        <f t="shared" si="282"/>
        <v>0</v>
      </c>
      <c r="J434" s="454">
        <f t="shared" si="282"/>
        <v>0</v>
      </c>
      <c r="K434" s="454">
        <f t="shared" si="282"/>
        <v>0</v>
      </c>
      <c r="L434" s="455">
        <f t="shared" si="282"/>
        <v>0</v>
      </c>
      <c r="M434" s="453">
        <f t="shared" si="282"/>
        <v>0</v>
      </c>
      <c r="N434" s="454">
        <f t="shared" si="282"/>
        <v>0</v>
      </c>
      <c r="O434" s="454">
        <f t="shared" si="282"/>
        <v>0</v>
      </c>
      <c r="P434" s="455">
        <f t="shared" si="282"/>
        <v>0</v>
      </c>
      <c r="Q434" s="453">
        <f t="shared" si="282"/>
        <v>0</v>
      </c>
      <c r="R434" s="454">
        <f t="shared" si="282"/>
        <v>0</v>
      </c>
      <c r="S434" s="454">
        <f t="shared" si="282"/>
        <v>0</v>
      </c>
      <c r="T434" s="455">
        <f t="shared" si="282"/>
        <v>0</v>
      </c>
      <c r="U434" s="453">
        <f t="shared" si="282"/>
        <v>0</v>
      </c>
      <c r="V434" s="454">
        <f t="shared" si="282"/>
        <v>0</v>
      </c>
      <c r="W434" s="454">
        <f t="shared" si="282"/>
        <v>0</v>
      </c>
      <c r="X434" s="455">
        <f t="shared" si="282"/>
        <v>0</v>
      </c>
      <c r="Y434" s="453">
        <f t="shared" si="282"/>
        <v>0</v>
      </c>
      <c r="Z434" s="454">
        <f t="shared" si="282"/>
        <v>0</v>
      </c>
      <c r="AA434" s="454">
        <f t="shared" si="282"/>
        <v>0</v>
      </c>
      <c r="AB434" s="455">
        <f t="shared" si="282"/>
        <v>0</v>
      </c>
      <c r="AC434" s="453">
        <f t="shared" si="282"/>
        <v>0</v>
      </c>
      <c r="AD434" s="454">
        <f t="shared" si="282"/>
        <v>0</v>
      </c>
      <c r="AE434" s="454">
        <f t="shared" si="282"/>
        <v>0</v>
      </c>
      <c r="AF434" s="455">
        <f t="shared" si="282"/>
        <v>0</v>
      </c>
      <c r="AG434" s="453">
        <f t="shared" si="282"/>
        <v>0</v>
      </c>
      <c r="AH434" s="454">
        <f t="shared" si="282"/>
        <v>0</v>
      </c>
      <c r="AI434" s="454">
        <f t="shared" si="282"/>
        <v>0</v>
      </c>
      <c r="AJ434" s="455">
        <f t="shared" si="282"/>
        <v>0</v>
      </c>
      <c r="AK434" s="453">
        <f t="shared" si="282"/>
        <v>0</v>
      </c>
      <c r="AL434" s="454">
        <f t="shared" si="282"/>
        <v>0</v>
      </c>
      <c r="AM434" s="454">
        <f t="shared" si="282"/>
        <v>0</v>
      </c>
      <c r="AN434" s="455">
        <f t="shared" si="282"/>
        <v>0</v>
      </c>
      <c r="AO434" s="453">
        <f t="shared" si="282"/>
        <v>0</v>
      </c>
      <c r="AP434" s="454">
        <f t="shared" si="282"/>
        <v>0</v>
      </c>
      <c r="AQ434" s="454">
        <f t="shared" si="282"/>
        <v>0</v>
      </c>
      <c r="AR434" s="455">
        <f t="shared" si="282"/>
        <v>0</v>
      </c>
      <c r="AS434" s="453">
        <f t="shared" si="282"/>
        <v>0</v>
      </c>
      <c r="AT434" s="454">
        <f t="shared" si="282"/>
        <v>0</v>
      </c>
      <c r="AU434" s="454">
        <f t="shared" si="282"/>
        <v>0</v>
      </c>
      <c r="AV434" s="455">
        <f t="shared" si="282"/>
        <v>0</v>
      </c>
      <c r="AW434" s="473"/>
    </row>
    <row r="435" spans="1:49" s="424" customFormat="1" ht="13.5" customHeight="1" outlineLevel="1">
      <c r="A435" s="1947"/>
      <c r="B435" s="1949" t="str">
        <f>'9.项目开发计划表'!C70</f>
        <v>高层</v>
      </c>
      <c r="C435" s="456" t="s">
        <v>880</v>
      </c>
      <c r="D435" s="457">
        <f>IF(D437=0,0,D438/D437*10000)</f>
        <v>0</v>
      </c>
      <c r="E435" s="505"/>
      <c r="F435" s="506"/>
      <c r="G435" s="506"/>
      <c r="H435" s="507"/>
      <c r="I435" s="505"/>
      <c r="J435" s="506"/>
      <c r="K435" s="506"/>
      <c r="L435" s="507"/>
      <c r="M435" s="505"/>
      <c r="N435" s="506"/>
      <c r="O435" s="506"/>
      <c r="P435" s="507"/>
      <c r="Q435" s="505"/>
      <c r="R435" s="506"/>
      <c r="S435" s="506"/>
      <c r="T435" s="507"/>
      <c r="U435" s="505"/>
      <c r="V435" s="506"/>
      <c r="W435" s="506"/>
      <c r="X435" s="507"/>
      <c r="Y435" s="505"/>
      <c r="Z435" s="506"/>
      <c r="AA435" s="506"/>
      <c r="AB435" s="507"/>
      <c r="AC435" s="505"/>
      <c r="AD435" s="506"/>
      <c r="AE435" s="506"/>
      <c r="AF435" s="507"/>
      <c r="AG435" s="505"/>
      <c r="AH435" s="506"/>
      <c r="AI435" s="506"/>
      <c r="AJ435" s="507"/>
      <c r="AK435" s="505"/>
      <c r="AL435" s="506"/>
      <c r="AM435" s="506"/>
      <c r="AN435" s="507"/>
      <c r="AO435" s="505"/>
      <c r="AP435" s="506"/>
      <c r="AQ435" s="506"/>
      <c r="AR435" s="507"/>
      <c r="AS435" s="505"/>
      <c r="AT435" s="506"/>
      <c r="AU435" s="506"/>
      <c r="AV435" s="507"/>
      <c r="AW435" s="424" t="str">
        <f>B435</f>
        <v>高层</v>
      </c>
    </row>
    <row r="436" spans="1:49" ht="13.5" customHeight="1" outlineLevel="1">
      <c r="A436" s="1947"/>
      <c r="B436" s="1949"/>
      <c r="C436" s="461" t="s">
        <v>881</v>
      </c>
      <c r="D436" s="462">
        <f t="shared" ref="D436:D439" si="283">SUM(E436:AV436)</f>
        <v>0</v>
      </c>
      <c r="E436" s="494"/>
      <c r="F436" s="491"/>
      <c r="G436" s="491"/>
      <c r="H436" s="493"/>
      <c r="I436" s="494"/>
      <c r="J436" s="491"/>
      <c r="K436" s="491"/>
      <c r="L436" s="493"/>
      <c r="M436" s="494"/>
      <c r="N436" s="491"/>
      <c r="O436" s="491"/>
      <c r="P436" s="493"/>
      <c r="Q436" s="494"/>
      <c r="R436" s="491"/>
      <c r="S436" s="491"/>
      <c r="T436" s="493"/>
      <c r="U436" s="494"/>
      <c r="V436" s="491"/>
      <c r="W436" s="491"/>
      <c r="X436" s="493"/>
      <c r="Y436" s="494"/>
      <c r="Z436" s="491"/>
      <c r="AA436" s="491"/>
      <c r="AB436" s="493"/>
      <c r="AC436" s="494"/>
      <c r="AD436" s="491"/>
      <c r="AE436" s="491"/>
      <c r="AF436" s="493"/>
      <c r="AG436" s="494"/>
      <c r="AH436" s="491"/>
      <c r="AI436" s="491"/>
      <c r="AJ436" s="493"/>
      <c r="AK436" s="494"/>
      <c r="AL436" s="491"/>
      <c r="AM436" s="491"/>
      <c r="AN436" s="493"/>
      <c r="AO436" s="494"/>
      <c r="AP436" s="491"/>
      <c r="AQ436" s="491"/>
      <c r="AR436" s="493"/>
      <c r="AS436" s="494"/>
      <c r="AT436" s="491"/>
      <c r="AU436" s="491"/>
      <c r="AV436" s="493"/>
      <c r="AW436" s="424" t="str">
        <f t="shared" ref="AW436:AW439" si="284">AW435</f>
        <v>高层</v>
      </c>
    </row>
    <row r="437" spans="1:49" s="424" customFormat="1" ht="13.5" customHeight="1" outlineLevel="1">
      <c r="A437" s="1947"/>
      <c r="B437" s="1949"/>
      <c r="C437" s="461" t="s">
        <v>682</v>
      </c>
      <c r="D437" s="466">
        <f t="shared" si="283"/>
        <v>0</v>
      </c>
      <c r="E437" s="382">
        <f>E436*'9.项目开发计划表'!$G$70</f>
        <v>0</v>
      </c>
      <c r="F437" s="397">
        <f>F436*'9.项目开发计划表'!$G$70</f>
        <v>0</v>
      </c>
      <c r="G437" s="397">
        <f>G436*'9.项目开发计划表'!$G$70</f>
        <v>0</v>
      </c>
      <c r="H437" s="467">
        <f>H436*'9.项目开发计划表'!$G$70</f>
        <v>0</v>
      </c>
      <c r="I437" s="382">
        <f>I436*'9.项目开发计划表'!$G$70</f>
        <v>0</v>
      </c>
      <c r="J437" s="397">
        <f>J436*'9.项目开发计划表'!$G$70</f>
        <v>0</v>
      </c>
      <c r="K437" s="397">
        <f>K436*'9.项目开发计划表'!$G$70</f>
        <v>0</v>
      </c>
      <c r="L437" s="467">
        <f>L436*'9.项目开发计划表'!$G$70</f>
        <v>0</v>
      </c>
      <c r="M437" s="382">
        <f>M436*'9.项目开发计划表'!$G$70</f>
        <v>0</v>
      </c>
      <c r="N437" s="397">
        <f>N436*'9.项目开发计划表'!$G$70</f>
        <v>0</v>
      </c>
      <c r="O437" s="397">
        <f>O436*'9.项目开发计划表'!$G$70</f>
        <v>0</v>
      </c>
      <c r="P437" s="467">
        <f>P436*'9.项目开发计划表'!$G$70</f>
        <v>0</v>
      </c>
      <c r="Q437" s="382">
        <f>Q436*'9.项目开发计划表'!$G$70</f>
        <v>0</v>
      </c>
      <c r="R437" s="397">
        <f>R436*'9.项目开发计划表'!$G$70</f>
        <v>0</v>
      </c>
      <c r="S437" s="397">
        <f>S436*'9.项目开发计划表'!$G$70</f>
        <v>0</v>
      </c>
      <c r="T437" s="467">
        <f>T436*'9.项目开发计划表'!$G$70</f>
        <v>0</v>
      </c>
      <c r="U437" s="382">
        <f>U436*'9.项目开发计划表'!$G$70</f>
        <v>0</v>
      </c>
      <c r="V437" s="397">
        <f>V436*'9.项目开发计划表'!$G$70</f>
        <v>0</v>
      </c>
      <c r="W437" s="397">
        <f>W436*'9.项目开发计划表'!$G$70</f>
        <v>0</v>
      </c>
      <c r="X437" s="467">
        <f>X436*'9.项目开发计划表'!$G$70</f>
        <v>0</v>
      </c>
      <c r="Y437" s="382">
        <f>Y436*'9.项目开发计划表'!$G$70</f>
        <v>0</v>
      </c>
      <c r="Z437" s="397">
        <f>Z436*'9.项目开发计划表'!$G$70</f>
        <v>0</v>
      </c>
      <c r="AA437" s="397">
        <f>AA436*'9.项目开发计划表'!$G$70</f>
        <v>0</v>
      </c>
      <c r="AB437" s="467">
        <f>AB436*'9.项目开发计划表'!$G$70</f>
        <v>0</v>
      </c>
      <c r="AC437" s="382">
        <f>AC436*'9.项目开发计划表'!$G$70</f>
        <v>0</v>
      </c>
      <c r="AD437" s="397">
        <f>AD436*'9.项目开发计划表'!$G$70</f>
        <v>0</v>
      </c>
      <c r="AE437" s="397">
        <f>AE436*'9.项目开发计划表'!$G$70</f>
        <v>0</v>
      </c>
      <c r="AF437" s="467">
        <f>AF436*'9.项目开发计划表'!$G$70</f>
        <v>0</v>
      </c>
      <c r="AG437" s="382">
        <f>AG436*'9.项目开发计划表'!$G$70</f>
        <v>0</v>
      </c>
      <c r="AH437" s="397">
        <f>AH436*'9.项目开发计划表'!$G$70</f>
        <v>0</v>
      </c>
      <c r="AI437" s="397">
        <f>AI436*'9.项目开发计划表'!$G$70</f>
        <v>0</v>
      </c>
      <c r="AJ437" s="467">
        <f>AJ436*'9.项目开发计划表'!$G$70</f>
        <v>0</v>
      </c>
      <c r="AK437" s="382">
        <f>AK436*'9.项目开发计划表'!$G$70</f>
        <v>0</v>
      </c>
      <c r="AL437" s="397">
        <f>AL436*'9.项目开发计划表'!$G$70</f>
        <v>0</v>
      </c>
      <c r="AM437" s="397">
        <f>AM436*'9.项目开发计划表'!$G$70</f>
        <v>0</v>
      </c>
      <c r="AN437" s="467">
        <f>AN436*'9.项目开发计划表'!$G$70</f>
        <v>0</v>
      </c>
      <c r="AO437" s="382">
        <f>AO436*'9.项目开发计划表'!$G$70</f>
        <v>0</v>
      </c>
      <c r="AP437" s="397">
        <f>AP436*'9.项目开发计划表'!$G$70</f>
        <v>0</v>
      </c>
      <c r="AQ437" s="397">
        <f>AQ436*'9.项目开发计划表'!$G$70</f>
        <v>0</v>
      </c>
      <c r="AR437" s="467">
        <f>AR436*'9.项目开发计划表'!$G$70</f>
        <v>0</v>
      </c>
      <c r="AS437" s="382">
        <f>AS436*'9.项目开发计划表'!$G$70</f>
        <v>0</v>
      </c>
      <c r="AT437" s="397">
        <f>AT436*'9.项目开发计划表'!$G$70</f>
        <v>0</v>
      </c>
      <c r="AU437" s="397">
        <f>AU436*'9.项目开发计划表'!$G$70</f>
        <v>0</v>
      </c>
      <c r="AV437" s="467">
        <f>AV436*'9.项目开发计划表'!$G$70</f>
        <v>0</v>
      </c>
      <c r="AW437" s="424" t="str">
        <f t="shared" si="284"/>
        <v>高层</v>
      </c>
    </row>
    <row r="438" spans="1:49" s="424" customFormat="1" ht="13.5" customHeight="1" outlineLevel="1">
      <c r="A438" s="1947"/>
      <c r="B438" s="1949"/>
      <c r="C438" s="461" t="s">
        <v>882</v>
      </c>
      <c r="D438" s="466">
        <f t="shared" si="283"/>
        <v>0</v>
      </c>
      <c r="E438" s="382">
        <f t="shared" ref="E438:AV438" si="285">E435*E437/10000</f>
        <v>0</v>
      </c>
      <c r="F438" s="397">
        <f t="shared" si="285"/>
        <v>0</v>
      </c>
      <c r="G438" s="397">
        <f t="shared" si="285"/>
        <v>0</v>
      </c>
      <c r="H438" s="467">
        <f t="shared" si="285"/>
        <v>0</v>
      </c>
      <c r="I438" s="382">
        <f t="shared" si="285"/>
        <v>0</v>
      </c>
      <c r="J438" s="397">
        <f t="shared" si="285"/>
        <v>0</v>
      </c>
      <c r="K438" s="397">
        <f t="shared" si="285"/>
        <v>0</v>
      </c>
      <c r="L438" s="467">
        <f t="shared" si="285"/>
        <v>0</v>
      </c>
      <c r="M438" s="382">
        <f t="shared" si="285"/>
        <v>0</v>
      </c>
      <c r="N438" s="397">
        <f t="shared" si="285"/>
        <v>0</v>
      </c>
      <c r="O438" s="397">
        <f t="shared" si="285"/>
        <v>0</v>
      </c>
      <c r="P438" s="467">
        <f t="shared" si="285"/>
        <v>0</v>
      </c>
      <c r="Q438" s="382">
        <f t="shared" si="285"/>
        <v>0</v>
      </c>
      <c r="R438" s="397">
        <f t="shared" si="285"/>
        <v>0</v>
      </c>
      <c r="S438" s="397">
        <f t="shared" si="285"/>
        <v>0</v>
      </c>
      <c r="T438" s="467">
        <f t="shared" si="285"/>
        <v>0</v>
      </c>
      <c r="U438" s="382">
        <f t="shared" si="285"/>
        <v>0</v>
      </c>
      <c r="V438" s="397">
        <f t="shared" si="285"/>
        <v>0</v>
      </c>
      <c r="W438" s="397">
        <f t="shared" si="285"/>
        <v>0</v>
      </c>
      <c r="X438" s="467">
        <f t="shared" si="285"/>
        <v>0</v>
      </c>
      <c r="Y438" s="382">
        <f t="shared" si="285"/>
        <v>0</v>
      </c>
      <c r="Z438" s="397">
        <f t="shared" si="285"/>
        <v>0</v>
      </c>
      <c r="AA438" s="397">
        <f t="shared" si="285"/>
        <v>0</v>
      </c>
      <c r="AB438" s="467">
        <f t="shared" si="285"/>
        <v>0</v>
      </c>
      <c r="AC438" s="382">
        <f t="shared" si="285"/>
        <v>0</v>
      </c>
      <c r="AD438" s="397">
        <f t="shared" si="285"/>
        <v>0</v>
      </c>
      <c r="AE438" s="397">
        <f t="shared" si="285"/>
        <v>0</v>
      </c>
      <c r="AF438" s="467">
        <f t="shared" si="285"/>
        <v>0</v>
      </c>
      <c r="AG438" s="382">
        <f t="shared" si="285"/>
        <v>0</v>
      </c>
      <c r="AH438" s="397">
        <f t="shared" si="285"/>
        <v>0</v>
      </c>
      <c r="AI438" s="397">
        <f t="shared" si="285"/>
        <v>0</v>
      </c>
      <c r="AJ438" s="467">
        <f t="shared" si="285"/>
        <v>0</v>
      </c>
      <c r="AK438" s="382">
        <f t="shared" si="285"/>
        <v>0</v>
      </c>
      <c r="AL438" s="397">
        <f t="shared" si="285"/>
        <v>0</v>
      </c>
      <c r="AM438" s="397">
        <f t="shared" si="285"/>
        <v>0</v>
      </c>
      <c r="AN438" s="467">
        <f t="shared" si="285"/>
        <v>0</v>
      </c>
      <c r="AO438" s="382">
        <f t="shared" si="285"/>
        <v>0</v>
      </c>
      <c r="AP438" s="397">
        <f t="shared" si="285"/>
        <v>0</v>
      </c>
      <c r="AQ438" s="397">
        <f t="shared" si="285"/>
        <v>0</v>
      </c>
      <c r="AR438" s="467">
        <f t="shared" si="285"/>
        <v>0</v>
      </c>
      <c r="AS438" s="382">
        <f t="shared" si="285"/>
        <v>0</v>
      </c>
      <c r="AT438" s="397">
        <f t="shared" si="285"/>
        <v>0</v>
      </c>
      <c r="AU438" s="397">
        <f t="shared" si="285"/>
        <v>0</v>
      </c>
      <c r="AV438" s="467">
        <f t="shared" si="285"/>
        <v>0</v>
      </c>
      <c r="AW438" s="424" t="str">
        <f t="shared" si="284"/>
        <v>高层</v>
      </c>
    </row>
    <row r="439" spans="1:49" s="424" customFormat="1" ht="13.5" customHeight="1" outlineLevel="1">
      <c r="A439" s="1947"/>
      <c r="B439" s="1949"/>
      <c r="C439" s="508" t="s">
        <v>450</v>
      </c>
      <c r="D439" s="468">
        <f t="shared" si="283"/>
        <v>0</v>
      </c>
      <c r="E439" s="386">
        <f>SUMIF($I$1:$T$1,B435,$I$2:$T$2)*E438</f>
        <v>0</v>
      </c>
      <c r="F439" s="399">
        <f>(1-SUMIF($I$1:$T$1,B435,$I$2:$T$2))*E438+SUMIF($I$1:$T$1,B435,$I$2:$T$2)*F438</f>
        <v>0</v>
      </c>
      <c r="G439" s="399">
        <f>(1-SUMIF($I$1:$T$1,B435,$I$2:$T$2))*F438+SUMIF($I$1:$T$1,B435,$I$2:$T$2)*G438</f>
        <v>0</v>
      </c>
      <c r="H439" s="404">
        <f>(1-SUMIF($I$1:$T$1,B435,$I$2:$T$2))*G438+SUMIF($I$1:$T$1,B435,$I$2:$T$2)*H438</f>
        <v>0</v>
      </c>
      <c r="I439" s="386">
        <f>(1-SUMIF($I$1:$T$1,B435,$I$2:$T$2))*H438+SUMIF($I$1:$T$1,B435,$I$2:$T$2)*I438</f>
        <v>0</v>
      </c>
      <c r="J439" s="399">
        <f>(1-SUMIF($I$1:$T$1,B435,$I$2:$T$2))*I438+SUMIF($I$1:$T$1,B435,$I$2:$T$2)*J438</f>
        <v>0</v>
      </c>
      <c r="K439" s="399">
        <f>(1-SUMIF($I$1:$T$1,B435,$I$2:$T$2))*J438+SUMIF($I$1:$T$1,B435,$I$2:$T$2)*K438</f>
        <v>0</v>
      </c>
      <c r="L439" s="404">
        <f>(1-SUMIF($I$1:$T$1,B435,$I$2:$T$2))*K438+SUMIF($I$1:$T$1,B435,$I$2:$T$2)*L438</f>
        <v>0</v>
      </c>
      <c r="M439" s="386">
        <f>(1-SUMIF($I$1:$T$1,B435,$I$2:$T$2))*L438+SUMIF($I$1:$T$1,B435,$I$2:$T$2)*M438</f>
        <v>0</v>
      </c>
      <c r="N439" s="399">
        <f>(1-SUMIF($I$1:$T$1,B435,$I$2:$T$2))*M438+SUMIF($I$1:$T$1,B435,$I$2:$T$2)*N438</f>
        <v>0</v>
      </c>
      <c r="O439" s="399">
        <f>(1-SUMIF($I$1:$T$1,B435,$I$2:$T$2))*N438+SUMIF($I$1:$T$1,B435,$I$2:$T$2)*O438</f>
        <v>0</v>
      </c>
      <c r="P439" s="404">
        <f>(1-SUMIF($I$1:$T$1,B435,$I$2:$T$2))*O438+SUMIF($I$1:$T$1,B435,$I$2:$T$2)*P438</f>
        <v>0</v>
      </c>
      <c r="Q439" s="386">
        <f>(1-SUMIF($I$1:$T$1,B435,$I$2:$T$2))*P438+SUMIF($I$1:$T$1,B435,$I$2:$T$2)*Q438</f>
        <v>0</v>
      </c>
      <c r="R439" s="399">
        <f>(1-SUMIF($I$1:$T$1,B435,$I$2:$T$2))*Q438+SUMIF($I$1:$T$1,B435,$I$2:$T$2)*R438</f>
        <v>0</v>
      </c>
      <c r="S439" s="399">
        <f>(1-SUMIF($I$1:$T$1,B435,$I$2:$T$2))*R438+SUMIF($I$1:$T$1,B435,$I$2:$T$2)*S438</f>
        <v>0</v>
      </c>
      <c r="T439" s="404">
        <f>(1-SUMIF($I$1:$T$1,B435,$I$2:$T$2))*S438+SUMIF($I$1:$T$1,B435,$I$2:$T$2)*T438</f>
        <v>0</v>
      </c>
      <c r="U439" s="386">
        <f>(1-SUMIF($I$1:$T$1,B435,$I$2:$T$2))*T438+SUMIF($I$1:$T$1,B435,$I$2:$T$2)*U438</f>
        <v>0</v>
      </c>
      <c r="V439" s="399">
        <f>(1-SUMIF($I$1:$T$1,B435,$I$2:$T$2))*U438+SUMIF($I$1:$T$1,B435,$I$2:$T$2)*V438</f>
        <v>0</v>
      </c>
      <c r="W439" s="399">
        <f>(1-SUMIF($I$1:$T$1,B435,$I$2:$T$2))*V438+SUMIF($I$1:$T$1,B435,$I$2:$T$2)*W438</f>
        <v>0</v>
      </c>
      <c r="X439" s="404">
        <f>(1-SUMIF($I$1:$T$1,B435,$I$2:$T$2))*W438+SUMIF($I$1:$T$1,B435,$I$2:$T$2)*X438</f>
        <v>0</v>
      </c>
      <c r="Y439" s="386">
        <f>(1-SUMIF($I$1:$T$1,B435,$I$2:$T$2))*X438+SUMIF($I$1:$T$1,B435,$I$2:$T$2)*Y438</f>
        <v>0</v>
      </c>
      <c r="Z439" s="399">
        <f>(1-SUMIF($I$1:$T$1,B435,$I$2:$T$2))*Y438+SUMIF($I$1:$T$1,B435,$I$2:$T$2)*Z438</f>
        <v>0</v>
      </c>
      <c r="AA439" s="399">
        <f>(1-SUMIF($I$1:$T$1,B435,$I$2:$T$2))*Z438+SUMIF($I$1:$T$1,B435,$I$2:$T$2)*AA438</f>
        <v>0</v>
      </c>
      <c r="AB439" s="404">
        <f>(1-SUMIF($I$1:$T$1,B435,$I$2:$T$2))*AA438+SUMIF($I$1:$T$1,B435,$I$2:$T$2)*AB438</f>
        <v>0</v>
      </c>
      <c r="AC439" s="386">
        <f>(1-SUMIF($I$1:$T$1,B435,$I$2:$T$2))*AB438+SUMIF($I$1:$T$1,B435,$I$2:$T$2)*AC438</f>
        <v>0</v>
      </c>
      <c r="AD439" s="399">
        <f>(1-SUMIF($I$1:$T$1,B435,$I$2:$T$2))*AC438+SUMIF($I$1:$T$1,B435,$I$2:$T$2)*AD438</f>
        <v>0</v>
      </c>
      <c r="AE439" s="399">
        <f>(1-SUMIF($I$1:$T$1,B435,$I$2:$T$2))*AD438+SUMIF($I$1:$T$1,B435,$I$2:$T$2)*AE438</f>
        <v>0</v>
      </c>
      <c r="AF439" s="404">
        <f>(1-SUMIF($I$1:$T$1,B435,$I$2:$T$2))*AE438+SUMIF($I$1:$T$1,B435,$I$2:$T$2)*AF438</f>
        <v>0</v>
      </c>
      <c r="AG439" s="386">
        <f>(1-SUMIF($I$1:$T$1,B435,$I$2:$T$2))*AF438+SUMIF($I$1:$T$1,B435,$I$2:$T$2)*AG438</f>
        <v>0</v>
      </c>
      <c r="AH439" s="399">
        <f>(1-SUMIF($I$1:$T$1,B435,$I$2:$T$2))*AG438+SUMIF($I$1:$T$1,B435,$I$2:$T$2)*AH438</f>
        <v>0</v>
      </c>
      <c r="AI439" s="399">
        <f>(1-SUMIF($I$1:$T$1,B435,$I$2:$T$2))*AH438+SUMIF($I$1:$T$1,B435,$I$2:$T$2)*AI438</f>
        <v>0</v>
      </c>
      <c r="AJ439" s="404">
        <f>(1-SUMIF($I$1:$T$1,B435,$I$2:$T$2))*AI438+SUMIF($I$1:$T$1,B435,$I$2:$T$2)*AJ438</f>
        <v>0</v>
      </c>
      <c r="AK439" s="386">
        <f>(1-SUMIF($I$1:$T$1,B435,$I$2:$T$2))*AJ438+SUMIF($I$1:$T$1,B435,$I$2:$T$2)*AK438</f>
        <v>0</v>
      </c>
      <c r="AL439" s="399">
        <f>(1-SUMIF($I$1:$T$1,B435,$I$2:$T$2))*AK438+SUMIF($I$1:$T$1,B435,$I$2:$T$2)*AL438</f>
        <v>0</v>
      </c>
      <c r="AM439" s="399">
        <f>(1-SUMIF($I$1:$T$1,B435,$I$2:$T$2))*AL438+SUMIF($I$1:$T$1,B435,$I$2:$T$2)*AM438</f>
        <v>0</v>
      </c>
      <c r="AN439" s="404">
        <f>(1-SUMIF($I$1:$T$1,B435,$I$2:$T$2))*AM438+SUMIF($I$1:$T$1,B435,$I$2:$T$2)*AN438</f>
        <v>0</v>
      </c>
      <c r="AO439" s="386">
        <f>(1-SUMIF($I$1:$T$1,B435,$I$2:$T$2))*AN438+SUMIF($I$1:$T$1,B435,$I$2:$T$2)*AO438</f>
        <v>0</v>
      </c>
      <c r="AP439" s="399">
        <f>(1-SUMIF($I$1:$T$1,B435,$I$2:$T$2))*AO438+SUMIF($I$1:$T$1,B435,$I$2:$T$2)*AP438</f>
        <v>0</v>
      </c>
      <c r="AQ439" s="399">
        <f>(1-SUMIF($I$1:$T$1,B435,$I$2:$T$2))*AP438+SUMIF($I$1:$T$1,B435,$I$2:$T$2)*AQ438</f>
        <v>0</v>
      </c>
      <c r="AR439" s="404">
        <f>(1-SUMIF($I$1:$T$1,B435,$I$2:$T$2))*AQ438+SUMIF($I$1:$T$1,B435,$I$2:$T$2)*AR438</f>
        <v>0</v>
      </c>
      <c r="AS439" s="386">
        <f>(1-SUMIF($I$1:$T$1,B435,$I$2:$T$2))*AR438+SUMIF($I$1:$T$1,B435,$I$2:$T$2)*AS438</f>
        <v>0</v>
      </c>
      <c r="AT439" s="399">
        <f>(1-SUMIF($I$1:$T$1,B435,$I$2:$T$2))*AS438+SUMIF($I$1:$T$1,B435,$I$2:$T$2)*AT438</f>
        <v>0</v>
      </c>
      <c r="AU439" s="399">
        <f>(1-SUMIF($I$1:$T$1,B435,$I$2:$T$2))*AT438+SUMIF($I$1:$T$1,B435,$I$2:$T$2)*AU438</f>
        <v>0</v>
      </c>
      <c r="AV439" s="404">
        <f>(1-SUMIF($I$1:$T$1,B435,$I$2:$T$2))*AU438+SUMIF($I$1:$T$1,B435,$I$2:$T$2)*AV438</f>
        <v>0</v>
      </c>
      <c r="AW439" s="424" t="str">
        <f t="shared" si="284"/>
        <v>高层</v>
      </c>
    </row>
    <row r="440" spans="1:49" s="424" customFormat="1" ht="13.5" customHeight="1" outlineLevel="1">
      <c r="A440" s="1947"/>
      <c r="B440" s="1949" t="str">
        <f>'9.项目开发计划表'!C71</f>
        <v>商铺</v>
      </c>
      <c r="C440" s="456" t="s">
        <v>880</v>
      </c>
      <c r="D440" s="457">
        <f>IF(D442=0,0,D443/D442*10000)</f>
        <v>0</v>
      </c>
      <c r="E440" s="505"/>
      <c r="F440" s="506"/>
      <c r="G440" s="506"/>
      <c r="H440" s="507"/>
      <c r="I440" s="505"/>
      <c r="J440" s="506"/>
      <c r="K440" s="506"/>
      <c r="L440" s="507"/>
      <c r="M440" s="505"/>
      <c r="N440" s="506"/>
      <c r="O440" s="506"/>
      <c r="P440" s="507"/>
      <c r="Q440" s="505"/>
      <c r="R440" s="506"/>
      <c r="S440" s="506"/>
      <c r="T440" s="507"/>
      <c r="U440" s="505"/>
      <c r="V440" s="506"/>
      <c r="W440" s="506"/>
      <c r="X440" s="507"/>
      <c r="Y440" s="505"/>
      <c r="Z440" s="506"/>
      <c r="AA440" s="506"/>
      <c r="AB440" s="507"/>
      <c r="AC440" s="505"/>
      <c r="AD440" s="506"/>
      <c r="AE440" s="506"/>
      <c r="AF440" s="507"/>
      <c r="AG440" s="505"/>
      <c r="AH440" s="506"/>
      <c r="AI440" s="506"/>
      <c r="AJ440" s="507"/>
      <c r="AK440" s="505"/>
      <c r="AL440" s="506"/>
      <c r="AM440" s="506"/>
      <c r="AN440" s="507"/>
      <c r="AO440" s="505"/>
      <c r="AP440" s="506"/>
      <c r="AQ440" s="506"/>
      <c r="AR440" s="507"/>
      <c r="AS440" s="505"/>
      <c r="AT440" s="506"/>
      <c r="AU440" s="506"/>
      <c r="AV440" s="507"/>
      <c r="AW440" s="424" t="str">
        <f>B440</f>
        <v>商铺</v>
      </c>
    </row>
    <row r="441" spans="1:49" ht="13.5" customHeight="1" outlineLevel="1">
      <c r="A441" s="1947"/>
      <c r="B441" s="1949"/>
      <c r="C441" s="461" t="s">
        <v>881</v>
      </c>
      <c r="D441" s="462">
        <f t="shared" ref="D441:D444" si="286">SUM(E441:AV441)</f>
        <v>0</v>
      </c>
      <c r="E441" s="494"/>
      <c r="F441" s="491"/>
      <c r="G441" s="491"/>
      <c r="H441" s="493"/>
      <c r="I441" s="494"/>
      <c r="J441" s="491"/>
      <c r="K441" s="491"/>
      <c r="L441" s="493"/>
      <c r="M441" s="494"/>
      <c r="N441" s="491"/>
      <c r="O441" s="491"/>
      <c r="P441" s="493"/>
      <c r="Q441" s="494"/>
      <c r="R441" s="491"/>
      <c r="S441" s="491"/>
      <c r="T441" s="493"/>
      <c r="U441" s="494"/>
      <c r="V441" s="491"/>
      <c r="W441" s="491"/>
      <c r="X441" s="493"/>
      <c r="Y441" s="494"/>
      <c r="Z441" s="491"/>
      <c r="AA441" s="491"/>
      <c r="AB441" s="493"/>
      <c r="AC441" s="494"/>
      <c r="AD441" s="491"/>
      <c r="AE441" s="491"/>
      <c r="AF441" s="493"/>
      <c r="AG441" s="494"/>
      <c r="AH441" s="491"/>
      <c r="AI441" s="491"/>
      <c r="AJ441" s="493"/>
      <c r="AK441" s="494"/>
      <c r="AL441" s="491"/>
      <c r="AM441" s="491"/>
      <c r="AN441" s="493"/>
      <c r="AO441" s="494"/>
      <c r="AP441" s="491"/>
      <c r="AQ441" s="491"/>
      <c r="AR441" s="493"/>
      <c r="AS441" s="494"/>
      <c r="AT441" s="491"/>
      <c r="AU441" s="491"/>
      <c r="AV441" s="493"/>
      <c r="AW441" s="424" t="str">
        <f t="shared" ref="AW441:AW494" si="287">AW440</f>
        <v>商铺</v>
      </c>
    </row>
    <row r="442" spans="1:49" s="424" customFormat="1" ht="13.5" customHeight="1" outlineLevel="1">
      <c r="A442" s="1947"/>
      <c r="B442" s="1949"/>
      <c r="C442" s="461" t="s">
        <v>682</v>
      </c>
      <c r="D442" s="466">
        <f t="shared" si="286"/>
        <v>0</v>
      </c>
      <c r="E442" s="382">
        <f>E441*'9.项目开发计划表'!$G$71</f>
        <v>0</v>
      </c>
      <c r="F442" s="397">
        <f>F441*'9.项目开发计划表'!$G$71</f>
        <v>0</v>
      </c>
      <c r="G442" s="397">
        <f>G441*'9.项目开发计划表'!$G$71</f>
        <v>0</v>
      </c>
      <c r="H442" s="467">
        <f>H441*'9.项目开发计划表'!$G$71</f>
        <v>0</v>
      </c>
      <c r="I442" s="382">
        <f>I441*'9.项目开发计划表'!$G$71</f>
        <v>0</v>
      </c>
      <c r="J442" s="397">
        <f>J441*'9.项目开发计划表'!$G$71</f>
        <v>0</v>
      </c>
      <c r="K442" s="397">
        <f>K441*'9.项目开发计划表'!$G$71</f>
        <v>0</v>
      </c>
      <c r="L442" s="467">
        <f>L441*'9.项目开发计划表'!$G$71</f>
        <v>0</v>
      </c>
      <c r="M442" s="382">
        <f>M441*'9.项目开发计划表'!$G$71</f>
        <v>0</v>
      </c>
      <c r="N442" s="397">
        <f>N441*'9.项目开发计划表'!$G$71</f>
        <v>0</v>
      </c>
      <c r="O442" s="397">
        <f>O441*'9.项目开发计划表'!$G$71</f>
        <v>0</v>
      </c>
      <c r="P442" s="467">
        <f>P441*'9.项目开发计划表'!$G$71</f>
        <v>0</v>
      </c>
      <c r="Q442" s="382">
        <f>Q441*'9.项目开发计划表'!$G$71</f>
        <v>0</v>
      </c>
      <c r="R442" s="397">
        <f>R441*'9.项目开发计划表'!$G$71</f>
        <v>0</v>
      </c>
      <c r="S442" s="397">
        <f>S441*'9.项目开发计划表'!$G$71</f>
        <v>0</v>
      </c>
      <c r="T442" s="467">
        <f>T441*'9.项目开发计划表'!$G$71</f>
        <v>0</v>
      </c>
      <c r="U442" s="382">
        <f>U441*'9.项目开发计划表'!$G$71</f>
        <v>0</v>
      </c>
      <c r="V442" s="397">
        <f>V441*'9.项目开发计划表'!$G$71</f>
        <v>0</v>
      </c>
      <c r="W442" s="397">
        <f>W441*'9.项目开发计划表'!$G$71</f>
        <v>0</v>
      </c>
      <c r="X442" s="467">
        <f>X441*'9.项目开发计划表'!$G$71</f>
        <v>0</v>
      </c>
      <c r="Y442" s="382">
        <f>Y441*'9.项目开发计划表'!$G$71</f>
        <v>0</v>
      </c>
      <c r="Z442" s="397">
        <f>Z441*'9.项目开发计划表'!$G$71</f>
        <v>0</v>
      </c>
      <c r="AA442" s="397">
        <f>AA441*'9.项目开发计划表'!$G$71</f>
        <v>0</v>
      </c>
      <c r="AB442" s="467">
        <f>AB441*'9.项目开发计划表'!$G$71</f>
        <v>0</v>
      </c>
      <c r="AC442" s="382">
        <f>AC441*'9.项目开发计划表'!$G$71</f>
        <v>0</v>
      </c>
      <c r="AD442" s="397">
        <f>AD441*'9.项目开发计划表'!$G$71</f>
        <v>0</v>
      </c>
      <c r="AE442" s="397">
        <f>AE441*'9.项目开发计划表'!$G$71</f>
        <v>0</v>
      </c>
      <c r="AF442" s="467">
        <f>AF441*'9.项目开发计划表'!$G$71</f>
        <v>0</v>
      </c>
      <c r="AG442" s="382">
        <f>AG441*'9.项目开发计划表'!$G$71</f>
        <v>0</v>
      </c>
      <c r="AH442" s="397">
        <f>AH441*'9.项目开发计划表'!$G$71</f>
        <v>0</v>
      </c>
      <c r="AI442" s="397">
        <f>AI441*'9.项目开发计划表'!$G$71</f>
        <v>0</v>
      </c>
      <c r="AJ442" s="467">
        <f>AJ441*'9.项目开发计划表'!$G$71</f>
        <v>0</v>
      </c>
      <c r="AK442" s="382">
        <f>AK441*'9.项目开发计划表'!$G$71</f>
        <v>0</v>
      </c>
      <c r="AL442" s="397">
        <f>AL441*'9.项目开发计划表'!$G$71</f>
        <v>0</v>
      </c>
      <c r="AM442" s="397">
        <f>AM441*'9.项目开发计划表'!$G$71</f>
        <v>0</v>
      </c>
      <c r="AN442" s="467">
        <f>AN441*'9.项目开发计划表'!$G$71</f>
        <v>0</v>
      </c>
      <c r="AO442" s="382">
        <f>AO441*'9.项目开发计划表'!$G$71</f>
        <v>0</v>
      </c>
      <c r="AP442" s="397">
        <f>AP441*'9.项目开发计划表'!$G$71</f>
        <v>0</v>
      </c>
      <c r="AQ442" s="397">
        <f>AQ441*'9.项目开发计划表'!$G$71</f>
        <v>0</v>
      </c>
      <c r="AR442" s="467">
        <f>AR441*'9.项目开发计划表'!$G$71</f>
        <v>0</v>
      </c>
      <c r="AS442" s="382">
        <f>AS441*'9.项目开发计划表'!$G$71</f>
        <v>0</v>
      </c>
      <c r="AT442" s="397">
        <f>AT441*'9.项目开发计划表'!$G$71</f>
        <v>0</v>
      </c>
      <c r="AU442" s="397">
        <f>AU441*'9.项目开发计划表'!$G$71</f>
        <v>0</v>
      </c>
      <c r="AV442" s="467">
        <f>AV441*'9.项目开发计划表'!$G$71</f>
        <v>0</v>
      </c>
      <c r="AW442" s="424" t="str">
        <f t="shared" si="287"/>
        <v>商铺</v>
      </c>
    </row>
    <row r="443" spans="1:49" s="424" customFormat="1" ht="13.5" customHeight="1" outlineLevel="1">
      <c r="A443" s="1947"/>
      <c r="B443" s="1949"/>
      <c r="C443" s="461" t="s">
        <v>882</v>
      </c>
      <c r="D443" s="466">
        <f t="shared" si="286"/>
        <v>0</v>
      </c>
      <c r="E443" s="382">
        <f t="shared" ref="E443:AV443" si="288">E440*E442/10000</f>
        <v>0</v>
      </c>
      <c r="F443" s="397">
        <f t="shared" si="288"/>
        <v>0</v>
      </c>
      <c r="G443" s="397">
        <f t="shared" si="288"/>
        <v>0</v>
      </c>
      <c r="H443" s="467">
        <f t="shared" si="288"/>
        <v>0</v>
      </c>
      <c r="I443" s="382">
        <f t="shared" si="288"/>
        <v>0</v>
      </c>
      <c r="J443" s="397">
        <f t="shared" si="288"/>
        <v>0</v>
      </c>
      <c r="K443" s="397">
        <f t="shared" si="288"/>
        <v>0</v>
      </c>
      <c r="L443" s="467">
        <f t="shared" si="288"/>
        <v>0</v>
      </c>
      <c r="M443" s="382">
        <f t="shared" si="288"/>
        <v>0</v>
      </c>
      <c r="N443" s="397">
        <f t="shared" si="288"/>
        <v>0</v>
      </c>
      <c r="O443" s="397">
        <f t="shared" si="288"/>
        <v>0</v>
      </c>
      <c r="P443" s="467">
        <f t="shared" si="288"/>
        <v>0</v>
      </c>
      <c r="Q443" s="382">
        <f t="shared" si="288"/>
        <v>0</v>
      </c>
      <c r="R443" s="397">
        <f t="shared" si="288"/>
        <v>0</v>
      </c>
      <c r="S443" s="397">
        <f t="shared" si="288"/>
        <v>0</v>
      </c>
      <c r="T443" s="467">
        <f t="shared" si="288"/>
        <v>0</v>
      </c>
      <c r="U443" s="382">
        <f t="shared" si="288"/>
        <v>0</v>
      </c>
      <c r="V443" s="397">
        <f t="shared" si="288"/>
        <v>0</v>
      </c>
      <c r="W443" s="397">
        <f t="shared" si="288"/>
        <v>0</v>
      </c>
      <c r="X443" s="467">
        <f t="shared" si="288"/>
        <v>0</v>
      </c>
      <c r="Y443" s="382">
        <f t="shared" si="288"/>
        <v>0</v>
      </c>
      <c r="Z443" s="397">
        <f t="shared" si="288"/>
        <v>0</v>
      </c>
      <c r="AA443" s="397">
        <f t="shared" si="288"/>
        <v>0</v>
      </c>
      <c r="AB443" s="467">
        <f t="shared" si="288"/>
        <v>0</v>
      </c>
      <c r="AC443" s="382">
        <f t="shared" si="288"/>
        <v>0</v>
      </c>
      <c r="AD443" s="397">
        <f t="shared" si="288"/>
        <v>0</v>
      </c>
      <c r="AE443" s="397">
        <f t="shared" si="288"/>
        <v>0</v>
      </c>
      <c r="AF443" s="467">
        <f t="shared" si="288"/>
        <v>0</v>
      </c>
      <c r="AG443" s="382">
        <f t="shared" si="288"/>
        <v>0</v>
      </c>
      <c r="AH443" s="397">
        <f t="shared" si="288"/>
        <v>0</v>
      </c>
      <c r="AI443" s="397">
        <f t="shared" si="288"/>
        <v>0</v>
      </c>
      <c r="AJ443" s="467">
        <f t="shared" si="288"/>
        <v>0</v>
      </c>
      <c r="AK443" s="382">
        <f t="shared" si="288"/>
        <v>0</v>
      </c>
      <c r="AL443" s="397">
        <f t="shared" si="288"/>
        <v>0</v>
      </c>
      <c r="AM443" s="397">
        <f t="shared" si="288"/>
        <v>0</v>
      </c>
      <c r="AN443" s="467">
        <f t="shared" si="288"/>
        <v>0</v>
      </c>
      <c r="AO443" s="382">
        <f t="shared" si="288"/>
        <v>0</v>
      </c>
      <c r="AP443" s="397">
        <f t="shared" si="288"/>
        <v>0</v>
      </c>
      <c r="AQ443" s="397">
        <f t="shared" si="288"/>
        <v>0</v>
      </c>
      <c r="AR443" s="467">
        <f t="shared" si="288"/>
        <v>0</v>
      </c>
      <c r="AS443" s="382">
        <f t="shared" si="288"/>
        <v>0</v>
      </c>
      <c r="AT443" s="397">
        <f t="shared" si="288"/>
        <v>0</v>
      </c>
      <c r="AU443" s="397">
        <f t="shared" si="288"/>
        <v>0</v>
      </c>
      <c r="AV443" s="467">
        <f t="shared" si="288"/>
        <v>0</v>
      </c>
      <c r="AW443" s="424" t="str">
        <f t="shared" si="287"/>
        <v>商铺</v>
      </c>
    </row>
    <row r="444" spans="1:49" s="424" customFormat="1" ht="13.5" customHeight="1" outlineLevel="1">
      <c r="A444" s="1947"/>
      <c r="B444" s="1949"/>
      <c r="C444" s="508" t="s">
        <v>450</v>
      </c>
      <c r="D444" s="468">
        <f t="shared" si="286"/>
        <v>0</v>
      </c>
      <c r="E444" s="386">
        <f>SUMIF($I$1:$T$1,B440,$I$2:$T$2)*E443</f>
        <v>0</v>
      </c>
      <c r="F444" s="399">
        <f>(1-SUMIF($I$1:$T$1,B440,$I$2:$T$2))*E443+SUMIF($I$1:$T$1,B440,$I$2:$T$2)*F443</f>
        <v>0</v>
      </c>
      <c r="G444" s="399">
        <f>(1-SUMIF($I$1:$T$1,B440,$I$2:$T$2))*F443+SUMIF($I$1:$T$1,B440,$I$2:$T$2)*G443</f>
        <v>0</v>
      </c>
      <c r="H444" s="404">
        <f>(1-SUMIF($I$1:$T$1,B440,$I$2:$T$2))*G443+SUMIF($I$1:$T$1,B440,$I$2:$T$2)*H443</f>
        <v>0</v>
      </c>
      <c r="I444" s="386">
        <f>(1-SUMIF($I$1:$T$1,B440,$I$2:$T$2))*H443+SUMIF($I$1:$T$1,B440,$I$2:$T$2)*I443</f>
        <v>0</v>
      </c>
      <c r="J444" s="399">
        <f>(1-SUMIF($I$1:$T$1,B440,$I$2:$T$2))*I443+SUMIF($I$1:$T$1,B440,$I$2:$T$2)*J443</f>
        <v>0</v>
      </c>
      <c r="K444" s="399">
        <f>(1-SUMIF($I$1:$T$1,B440,$I$2:$T$2))*J443+SUMIF($I$1:$T$1,B440,$I$2:$T$2)*K443</f>
        <v>0</v>
      </c>
      <c r="L444" s="404">
        <f>(1-SUMIF($I$1:$T$1,B440,$I$2:$T$2))*K443+SUMIF($I$1:$T$1,B440,$I$2:$T$2)*L443</f>
        <v>0</v>
      </c>
      <c r="M444" s="386">
        <f>(1-SUMIF($I$1:$T$1,B440,$I$2:$T$2))*L443+SUMIF($I$1:$T$1,B440,$I$2:$T$2)*M443</f>
        <v>0</v>
      </c>
      <c r="N444" s="399">
        <f>(1-SUMIF($I$1:$T$1,B440,$I$2:$T$2))*M443+SUMIF($I$1:$T$1,B440,$I$2:$T$2)*N443</f>
        <v>0</v>
      </c>
      <c r="O444" s="399">
        <f>(1-SUMIF($I$1:$T$1,B440,$I$2:$T$2))*N443+SUMIF($I$1:$T$1,B440,$I$2:$T$2)*O443</f>
        <v>0</v>
      </c>
      <c r="P444" s="404">
        <f>(1-SUMIF($I$1:$T$1,B440,$I$2:$T$2))*O443+SUMIF($I$1:$T$1,B440,$I$2:$T$2)*P443</f>
        <v>0</v>
      </c>
      <c r="Q444" s="386">
        <f>(1-SUMIF($I$1:$T$1,B440,$I$2:$T$2))*P443+SUMIF($I$1:$T$1,B440,$I$2:$T$2)*Q443</f>
        <v>0</v>
      </c>
      <c r="R444" s="399">
        <f>(1-SUMIF($I$1:$T$1,B440,$I$2:$T$2))*Q443+SUMIF($I$1:$T$1,B440,$I$2:$T$2)*R443</f>
        <v>0</v>
      </c>
      <c r="S444" s="399">
        <f>(1-SUMIF($I$1:$T$1,B440,$I$2:$T$2))*R443+SUMIF($I$1:$T$1,B440,$I$2:$T$2)*S443</f>
        <v>0</v>
      </c>
      <c r="T444" s="404">
        <f>(1-SUMIF($I$1:$T$1,B440,$I$2:$T$2))*S443+SUMIF($I$1:$T$1,B440,$I$2:$T$2)*T443</f>
        <v>0</v>
      </c>
      <c r="U444" s="386">
        <f>(1-SUMIF($I$1:$T$1,B440,$I$2:$T$2))*T443+SUMIF($I$1:$T$1,B440,$I$2:$T$2)*U443</f>
        <v>0</v>
      </c>
      <c r="V444" s="399">
        <f>(1-SUMIF($I$1:$T$1,B440,$I$2:$T$2))*U443+SUMIF($I$1:$T$1,B440,$I$2:$T$2)*V443</f>
        <v>0</v>
      </c>
      <c r="W444" s="399">
        <f>(1-SUMIF($I$1:$T$1,B440,$I$2:$T$2))*V443+SUMIF($I$1:$T$1,B440,$I$2:$T$2)*W443</f>
        <v>0</v>
      </c>
      <c r="X444" s="404">
        <f>(1-SUMIF($I$1:$T$1,B440,$I$2:$T$2))*W443+SUMIF($I$1:$T$1,B440,$I$2:$T$2)*X443</f>
        <v>0</v>
      </c>
      <c r="Y444" s="386">
        <f>(1-SUMIF($I$1:$T$1,B440,$I$2:$T$2))*X443+SUMIF($I$1:$T$1,B440,$I$2:$T$2)*Y443</f>
        <v>0</v>
      </c>
      <c r="Z444" s="399">
        <f>(1-SUMIF($I$1:$T$1,B440,$I$2:$T$2))*Y443+SUMIF($I$1:$T$1,B440,$I$2:$T$2)*Z443</f>
        <v>0</v>
      </c>
      <c r="AA444" s="399">
        <f>(1-SUMIF($I$1:$T$1,B440,$I$2:$T$2))*Z443+SUMIF($I$1:$T$1,B440,$I$2:$T$2)*AA443</f>
        <v>0</v>
      </c>
      <c r="AB444" s="404">
        <f>(1-SUMIF($I$1:$T$1,B440,$I$2:$T$2))*AA443+SUMIF($I$1:$T$1,B440,$I$2:$T$2)*AB443</f>
        <v>0</v>
      </c>
      <c r="AC444" s="386">
        <f>(1-SUMIF($I$1:$T$1,B440,$I$2:$T$2))*AB443+SUMIF($I$1:$T$1,B440,$I$2:$T$2)*AC443</f>
        <v>0</v>
      </c>
      <c r="AD444" s="399">
        <f>(1-SUMIF($I$1:$T$1,B440,$I$2:$T$2))*AC443+SUMIF($I$1:$T$1,B440,$I$2:$T$2)*AD443</f>
        <v>0</v>
      </c>
      <c r="AE444" s="399">
        <f>(1-SUMIF($I$1:$T$1,B440,$I$2:$T$2))*AD443+SUMIF($I$1:$T$1,B440,$I$2:$T$2)*AE443</f>
        <v>0</v>
      </c>
      <c r="AF444" s="404">
        <f>(1-SUMIF($I$1:$T$1,B440,$I$2:$T$2))*AE443+SUMIF($I$1:$T$1,B440,$I$2:$T$2)*AF443</f>
        <v>0</v>
      </c>
      <c r="AG444" s="386">
        <f>(1-SUMIF($I$1:$T$1,B440,$I$2:$T$2))*AF443+SUMIF($I$1:$T$1,B440,$I$2:$T$2)*AG443</f>
        <v>0</v>
      </c>
      <c r="AH444" s="399">
        <f>(1-SUMIF($I$1:$T$1,B440,$I$2:$T$2))*AG443+SUMIF($I$1:$T$1,B440,$I$2:$T$2)*AH443</f>
        <v>0</v>
      </c>
      <c r="AI444" s="399">
        <f>(1-SUMIF($I$1:$T$1,B440,$I$2:$T$2))*AH443+SUMIF($I$1:$T$1,B440,$I$2:$T$2)*AI443</f>
        <v>0</v>
      </c>
      <c r="AJ444" s="404">
        <f>(1-SUMIF($I$1:$T$1,B440,$I$2:$T$2))*AI443+SUMIF($I$1:$T$1,B440,$I$2:$T$2)*AJ443</f>
        <v>0</v>
      </c>
      <c r="AK444" s="386">
        <f>(1-SUMIF($I$1:$T$1,B440,$I$2:$T$2))*AJ443+SUMIF($I$1:$T$1,B440,$I$2:$T$2)*AK443</f>
        <v>0</v>
      </c>
      <c r="AL444" s="399">
        <f>(1-SUMIF($I$1:$T$1,B440,$I$2:$T$2))*AK443+SUMIF($I$1:$T$1,B440,$I$2:$T$2)*AL443</f>
        <v>0</v>
      </c>
      <c r="AM444" s="399">
        <f>(1-SUMIF($I$1:$T$1,B440,$I$2:$T$2))*AL443+SUMIF($I$1:$T$1,B440,$I$2:$T$2)*AM443</f>
        <v>0</v>
      </c>
      <c r="AN444" s="404">
        <f>(1-SUMIF($I$1:$T$1,B440,$I$2:$T$2))*AM443+SUMIF($I$1:$T$1,B440,$I$2:$T$2)*AN443</f>
        <v>0</v>
      </c>
      <c r="AO444" s="386">
        <f>(1-SUMIF($I$1:$T$1,B440,$I$2:$T$2))*AN443+SUMIF($I$1:$T$1,B440,$I$2:$T$2)*AO443</f>
        <v>0</v>
      </c>
      <c r="AP444" s="399">
        <f>(1-SUMIF($I$1:$T$1,B440,$I$2:$T$2))*AO443+SUMIF($I$1:$T$1,B440,$I$2:$T$2)*AP443</f>
        <v>0</v>
      </c>
      <c r="AQ444" s="399">
        <f>(1-SUMIF($I$1:$T$1,B440,$I$2:$T$2))*AP443+SUMIF($I$1:$T$1,B440,$I$2:$T$2)*AQ443</f>
        <v>0</v>
      </c>
      <c r="AR444" s="404">
        <f>(1-SUMIF($I$1:$T$1,B440,$I$2:$T$2))*AQ443+SUMIF($I$1:$T$1,B440,$I$2:$T$2)*AR443</f>
        <v>0</v>
      </c>
      <c r="AS444" s="386">
        <f>(1-SUMIF($I$1:$T$1,B440,$I$2:$T$2))*AR443+SUMIF($I$1:$T$1,B440,$I$2:$T$2)*AS443</f>
        <v>0</v>
      </c>
      <c r="AT444" s="399">
        <f>(1-SUMIF($I$1:$T$1,B440,$I$2:$T$2))*AS443+SUMIF($I$1:$T$1,B440,$I$2:$T$2)*AT443</f>
        <v>0</v>
      </c>
      <c r="AU444" s="399">
        <f>(1-SUMIF($I$1:$T$1,B440,$I$2:$T$2))*AT443+SUMIF($I$1:$T$1,B440,$I$2:$T$2)*AU443</f>
        <v>0</v>
      </c>
      <c r="AV444" s="404">
        <f>(1-SUMIF($I$1:$T$1,B440,$I$2:$T$2))*AU443+SUMIF($I$1:$T$1,B440,$I$2:$T$2)*AV443</f>
        <v>0</v>
      </c>
      <c r="AW444" s="424" t="str">
        <f t="shared" si="287"/>
        <v>商铺</v>
      </c>
    </row>
    <row r="445" spans="1:49" s="424" customFormat="1" ht="13.5" customHeight="1" outlineLevel="1">
      <c r="A445" s="1947"/>
      <c r="B445" s="1949" t="str">
        <f>'9.项目开发计划表'!C72</f>
        <v>回迁商业</v>
      </c>
      <c r="C445" s="456" t="s">
        <v>880</v>
      </c>
      <c r="D445" s="457">
        <f>IF(D447=0,0,D448/D447*10000)</f>
        <v>0</v>
      </c>
      <c r="E445" s="505"/>
      <c r="F445" s="506"/>
      <c r="G445" s="506"/>
      <c r="H445" s="507"/>
      <c r="I445" s="505"/>
      <c r="J445" s="506"/>
      <c r="K445" s="506"/>
      <c r="L445" s="507"/>
      <c r="M445" s="505"/>
      <c r="N445" s="506"/>
      <c r="O445" s="506"/>
      <c r="P445" s="507"/>
      <c r="Q445" s="505"/>
      <c r="R445" s="506"/>
      <c r="S445" s="506"/>
      <c r="T445" s="507"/>
      <c r="U445" s="505"/>
      <c r="V445" s="506"/>
      <c r="W445" s="506"/>
      <c r="X445" s="507"/>
      <c r="Y445" s="505"/>
      <c r="Z445" s="506"/>
      <c r="AA445" s="506"/>
      <c r="AB445" s="507"/>
      <c r="AC445" s="505"/>
      <c r="AD445" s="506"/>
      <c r="AE445" s="506"/>
      <c r="AF445" s="507"/>
      <c r="AG445" s="505"/>
      <c r="AH445" s="506"/>
      <c r="AI445" s="506"/>
      <c r="AJ445" s="507"/>
      <c r="AK445" s="505"/>
      <c r="AL445" s="506"/>
      <c r="AM445" s="506"/>
      <c r="AN445" s="507"/>
      <c r="AO445" s="505"/>
      <c r="AP445" s="506"/>
      <c r="AQ445" s="506"/>
      <c r="AR445" s="507"/>
      <c r="AS445" s="505"/>
      <c r="AT445" s="506"/>
      <c r="AU445" s="506"/>
      <c r="AV445" s="507"/>
      <c r="AW445" s="424" t="str">
        <f>B445</f>
        <v>回迁商业</v>
      </c>
    </row>
    <row r="446" spans="1:49" ht="13.5" customHeight="1" outlineLevel="1">
      <c r="A446" s="1947"/>
      <c r="B446" s="1949"/>
      <c r="C446" s="461" t="s">
        <v>881</v>
      </c>
      <c r="D446" s="462">
        <f t="shared" ref="D446:D449" si="289">SUM(E446:AV446)</f>
        <v>0</v>
      </c>
      <c r="E446" s="494"/>
      <c r="F446" s="491"/>
      <c r="G446" s="491"/>
      <c r="H446" s="493"/>
      <c r="I446" s="494"/>
      <c r="J446" s="491"/>
      <c r="K446" s="491"/>
      <c r="L446" s="493"/>
      <c r="M446" s="494"/>
      <c r="N446" s="491"/>
      <c r="O446" s="491"/>
      <c r="P446" s="493"/>
      <c r="Q446" s="494"/>
      <c r="R446" s="491"/>
      <c r="S446" s="491"/>
      <c r="T446" s="493"/>
      <c r="U446" s="494"/>
      <c r="V446" s="491"/>
      <c r="W446" s="491"/>
      <c r="X446" s="493"/>
      <c r="Y446" s="494"/>
      <c r="Z446" s="491"/>
      <c r="AA446" s="491"/>
      <c r="AB446" s="493"/>
      <c r="AC446" s="494"/>
      <c r="AD446" s="491"/>
      <c r="AE446" s="491"/>
      <c r="AF446" s="493"/>
      <c r="AG446" s="494"/>
      <c r="AH446" s="491"/>
      <c r="AI446" s="491"/>
      <c r="AJ446" s="493"/>
      <c r="AK446" s="494"/>
      <c r="AL446" s="491"/>
      <c r="AM446" s="491"/>
      <c r="AN446" s="493"/>
      <c r="AO446" s="494"/>
      <c r="AP446" s="491"/>
      <c r="AQ446" s="491"/>
      <c r="AR446" s="493"/>
      <c r="AS446" s="494"/>
      <c r="AT446" s="491"/>
      <c r="AU446" s="491"/>
      <c r="AV446" s="493"/>
      <c r="AW446" s="424" t="str">
        <f>AW445</f>
        <v>回迁商业</v>
      </c>
    </row>
    <row r="447" spans="1:49" s="424" customFormat="1" ht="13.5" customHeight="1" outlineLevel="1">
      <c r="A447" s="1947"/>
      <c r="B447" s="1949"/>
      <c r="C447" s="461" t="s">
        <v>682</v>
      </c>
      <c r="D447" s="466">
        <f t="shared" si="289"/>
        <v>0</v>
      </c>
      <c r="E447" s="382">
        <f>E446*'9.项目开发计划表'!$G$72</f>
        <v>0</v>
      </c>
      <c r="F447" s="397">
        <f>F446*'9.项目开发计划表'!$G$72</f>
        <v>0</v>
      </c>
      <c r="G447" s="397">
        <f>G446*'9.项目开发计划表'!$G$72</f>
        <v>0</v>
      </c>
      <c r="H447" s="467">
        <f>H446*'9.项目开发计划表'!$G$72</f>
        <v>0</v>
      </c>
      <c r="I447" s="382">
        <f>I446*'9.项目开发计划表'!$G$72</f>
        <v>0</v>
      </c>
      <c r="J447" s="397">
        <f>J446*'9.项目开发计划表'!$G$72</f>
        <v>0</v>
      </c>
      <c r="K447" s="397">
        <f>K446*'9.项目开发计划表'!$G$72</f>
        <v>0</v>
      </c>
      <c r="L447" s="467">
        <f>L446*'9.项目开发计划表'!$G$72</f>
        <v>0</v>
      </c>
      <c r="M447" s="382">
        <f>M446*'9.项目开发计划表'!$G$72</f>
        <v>0</v>
      </c>
      <c r="N447" s="397">
        <f>N446*'9.项目开发计划表'!$G$72</f>
        <v>0</v>
      </c>
      <c r="O447" s="397">
        <f>O446*'9.项目开发计划表'!$G$72</f>
        <v>0</v>
      </c>
      <c r="P447" s="467">
        <f>P446*'9.项目开发计划表'!$G$72</f>
        <v>0</v>
      </c>
      <c r="Q447" s="382">
        <f>Q446*'9.项目开发计划表'!$G$72</f>
        <v>0</v>
      </c>
      <c r="R447" s="397">
        <f>R446*'9.项目开发计划表'!$G$72</f>
        <v>0</v>
      </c>
      <c r="S447" s="397">
        <f>S446*'9.项目开发计划表'!$G$72</f>
        <v>0</v>
      </c>
      <c r="T447" s="467">
        <f>T446*'9.项目开发计划表'!$G$72</f>
        <v>0</v>
      </c>
      <c r="U447" s="382">
        <f>U446*'9.项目开发计划表'!$G$72</f>
        <v>0</v>
      </c>
      <c r="V447" s="397">
        <f>V446*'9.项目开发计划表'!$G$72</f>
        <v>0</v>
      </c>
      <c r="W447" s="397">
        <f>W446*'9.项目开发计划表'!$G$72</f>
        <v>0</v>
      </c>
      <c r="X447" s="467">
        <f>X446*'9.项目开发计划表'!$G$72</f>
        <v>0</v>
      </c>
      <c r="Y447" s="382">
        <f>Y446*'9.项目开发计划表'!$G$72</f>
        <v>0</v>
      </c>
      <c r="Z447" s="397">
        <f>Z446*'9.项目开发计划表'!$G$72</f>
        <v>0</v>
      </c>
      <c r="AA447" s="397">
        <f>AA446*'9.项目开发计划表'!$G$72</f>
        <v>0</v>
      </c>
      <c r="AB447" s="467">
        <f>AB446*'9.项目开发计划表'!$G$72</f>
        <v>0</v>
      </c>
      <c r="AC447" s="382">
        <f>AC446*'9.项目开发计划表'!$G$72</f>
        <v>0</v>
      </c>
      <c r="AD447" s="397">
        <f>AD446*'9.项目开发计划表'!$G$72</f>
        <v>0</v>
      </c>
      <c r="AE447" s="397">
        <f>AE446*'9.项目开发计划表'!$G$72</f>
        <v>0</v>
      </c>
      <c r="AF447" s="467">
        <f>AF446*'9.项目开发计划表'!$G$72</f>
        <v>0</v>
      </c>
      <c r="AG447" s="382">
        <f>AG446*'9.项目开发计划表'!$G$72</f>
        <v>0</v>
      </c>
      <c r="AH447" s="397">
        <f>AH446*'9.项目开发计划表'!$G$72</f>
        <v>0</v>
      </c>
      <c r="AI447" s="397">
        <f>AI446*'9.项目开发计划表'!$G$72</f>
        <v>0</v>
      </c>
      <c r="AJ447" s="467">
        <f>AJ446*'9.项目开发计划表'!$G$72</f>
        <v>0</v>
      </c>
      <c r="AK447" s="382">
        <f>AK446*'9.项目开发计划表'!$G$72</f>
        <v>0</v>
      </c>
      <c r="AL447" s="397">
        <f>AL446*'9.项目开发计划表'!$G$72</f>
        <v>0</v>
      </c>
      <c r="AM447" s="397">
        <f>AM446*'9.项目开发计划表'!$G$72</f>
        <v>0</v>
      </c>
      <c r="AN447" s="467">
        <f>AN446*'9.项目开发计划表'!$G$72</f>
        <v>0</v>
      </c>
      <c r="AO447" s="382">
        <f>AO446*'9.项目开发计划表'!$G$72</f>
        <v>0</v>
      </c>
      <c r="AP447" s="397">
        <f>AP446*'9.项目开发计划表'!$G$72</f>
        <v>0</v>
      </c>
      <c r="AQ447" s="397">
        <f>AQ446*'9.项目开发计划表'!$G$72</f>
        <v>0</v>
      </c>
      <c r="AR447" s="467">
        <f>AR446*'9.项目开发计划表'!$G$72</f>
        <v>0</v>
      </c>
      <c r="AS447" s="382">
        <f>AS446*'9.项目开发计划表'!$G$72</f>
        <v>0</v>
      </c>
      <c r="AT447" s="397">
        <f>AT446*'9.项目开发计划表'!$G$72</f>
        <v>0</v>
      </c>
      <c r="AU447" s="397">
        <f>AU446*'9.项目开发计划表'!$G$72</f>
        <v>0</v>
      </c>
      <c r="AV447" s="467">
        <f>AV446*'9.项目开发计划表'!$G$72</f>
        <v>0</v>
      </c>
      <c r="AW447" s="424" t="str">
        <f t="shared" si="287"/>
        <v>回迁商业</v>
      </c>
    </row>
    <row r="448" spans="1:49" s="424" customFormat="1" ht="13.5" customHeight="1" outlineLevel="1">
      <c r="A448" s="1947"/>
      <c r="B448" s="1949"/>
      <c r="C448" s="461" t="s">
        <v>882</v>
      </c>
      <c r="D448" s="466">
        <f t="shared" si="289"/>
        <v>0</v>
      </c>
      <c r="E448" s="382">
        <f t="shared" ref="E448:AV448" si="290">E445*E447/10000</f>
        <v>0</v>
      </c>
      <c r="F448" s="397">
        <f t="shared" si="290"/>
        <v>0</v>
      </c>
      <c r="G448" s="397">
        <f t="shared" si="290"/>
        <v>0</v>
      </c>
      <c r="H448" s="467">
        <f t="shared" si="290"/>
        <v>0</v>
      </c>
      <c r="I448" s="382">
        <f t="shared" si="290"/>
        <v>0</v>
      </c>
      <c r="J448" s="397">
        <f t="shared" si="290"/>
        <v>0</v>
      </c>
      <c r="K448" s="397">
        <f t="shared" si="290"/>
        <v>0</v>
      </c>
      <c r="L448" s="467">
        <f t="shared" si="290"/>
        <v>0</v>
      </c>
      <c r="M448" s="382">
        <f t="shared" si="290"/>
        <v>0</v>
      </c>
      <c r="N448" s="397">
        <f t="shared" si="290"/>
        <v>0</v>
      </c>
      <c r="O448" s="397">
        <f t="shared" si="290"/>
        <v>0</v>
      </c>
      <c r="P448" s="467">
        <f t="shared" si="290"/>
        <v>0</v>
      </c>
      <c r="Q448" s="382">
        <f t="shared" si="290"/>
        <v>0</v>
      </c>
      <c r="R448" s="397">
        <f t="shared" si="290"/>
        <v>0</v>
      </c>
      <c r="S448" s="397">
        <f t="shared" si="290"/>
        <v>0</v>
      </c>
      <c r="T448" s="467">
        <f t="shared" si="290"/>
        <v>0</v>
      </c>
      <c r="U448" s="382">
        <f t="shared" si="290"/>
        <v>0</v>
      </c>
      <c r="V448" s="397">
        <f t="shared" si="290"/>
        <v>0</v>
      </c>
      <c r="W448" s="397">
        <f t="shared" si="290"/>
        <v>0</v>
      </c>
      <c r="X448" s="467">
        <f t="shared" si="290"/>
        <v>0</v>
      </c>
      <c r="Y448" s="382">
        <f t="shared" si="290"/>
        <v>0</v>
      </c>
      <c r="Z448" s="397">
        <f t="shared" si="290"/>
        <v>0</v>
      </c>
      <c r="AA448" s="397">
        <f t="shared" si="290"/>
        <v>0</v>
      </c>
      <c r="AB448" s="467">
        <f t="shared" si="290"/>
        <v>0</v>
      </c>
      <c r="AC448" s="382">
        <f t="shared" si="290"/>
        <v>0</v>
      </c>
      <c r="AD448" s="397">
        <f t="shared" si="290"/>
        <v>0</v>
      </c>
      <c r="AE448" s="397">
        <f t="shared" si="290"/>
        <v>0</v>
      </c>
      <c r="AF448" s="467">
        <f t="shared" si="290"/>
        <v>0</v>
      </c>
      <c r="AG448" s="382">
        <f t="shared" si="290"/>
        <v>0</v>
      </c>
      <c r="AH448" s="397">
        <f t="shared" si="290"/>
        <v>0</v>
      </c>
      <c r="AI448" s="397">
        <f t="shared" si="290"/>
        <v>0</v>
      </c>
      <c r="AJ448" s="467">
        <f t="shared" si="290"/>
        <v>0</v>
      </c>
      <c r="AK448" s="382">
        <f t="shared" si="290"/>
        <v>0</v>
      </c>
      <c r="AL448" s="397">
        <f t="shared" si="290"/>
        <v>0</v>
      </c>
      <c r="AM448" s="397">
        <f t="shared" si="290"/>
        <v>0</v>
      </c>
      <c r="AN448" s="467">
        <f t="shared" si="290"/>
        <v>0</v>
      </c>
      <c r="AO448" s="382">
        <f t="shared" si="290"/>
        <v>0</v>
      </c>
      <c r="AP448" s="397">
        <f t="shared" si="290"/>
        <v>0</v>
      </c>
      <c r="AQ448" s="397">
        <f t="shared" si="290"/>
        <v>0</v>
      </c>
      <c r="AR448" s="467">
        <f t="shared" si="290"/>
        <v>0</v>
      </c>
      <c r="AS448" s="382">
        <f t="shared" si="290"/>
        <v>0</v>
      </c>
      <c r="AT448" s="397">
        <f t="shared" si="290"/>
        <v>0</v>
      </c>
      <c r="AU448" s="397">
        <f t="shared" si="290"/>
        <v>0</v>
      </c>
      <c r="AV448" s="467">
        <f t="shared" si="290"/>
        <v>0</v>
      </c>
      <c r="AW448" s="424" t="str">
        <f t="shared" si="287"/>
        <v>回迁商业</v>
      </c>
    </row>
    <row r="449" spans="1:49" s="424" customFormat="1" ht="13.5" customHeight="1" outlineLevel="1">
      <c r="A449" s="1947"/>
      <c r="B449" s="1949"/>
      <c r="C449" s="508" t="s">
        <v>450</v>
      </c>
      <c r="D449" s="468">
        <f t="shared" si="289"/>
        <v>0</v>
      </c>
      <c r="E449" s="386">
        <f>SUMIF($I$1:$T$1,B445,$I$2:$T$2)*E448</f>
        <v>0</v>
      </c>
      <c r="F449" s="399">
        <f>(1-SUMIF($I$1:$T$1,B445,$I$2:$T$2))*E448+SUMIF($I$1:$T$1,B445,$I$2:$T$2)*F448</f>
        <v>0</v>
      </c>
      <c r="G449" s="399">
        <f>(1-SUMIF($I$1:$T$1,B445,$I$2:$T$2))*F448+SUMIF($I$1:$T$1,B445,$I$2:$T$2)*G448</f>
        <v>0</v>
      </c>
      <c r="H449" s="404">
        <f>(1-SUMIF($I$1:$T$1,B445,$I$2:$T$2))*G448+SUMIF($I$1:$T$1,B445,$I$2:$T$2)*H448</f>
        <v>0</v>
      </c>
      <c r="I449" s="386">
        <f>(1-SUMIF($I$1:$T$1,B445,$I$2:$T$2))*H448+SUMIF($I$1:$T$1,B445,$I$2:$T$2)*I448</f>
        <v>0</v>
      </c>
      <c r="J449" s="399">
        <f>(1-SUMIF($I$1:$T$1,B445,$I$2:$T$2))*I448+SUMIF($I$1:$T$1,B445,$I$2:$T$2)*J448</f>
        <v>0</v>
      </c>
      <c r="K449" s="399">
        <f>(1-SUMIF($I$1:$T$1,B445,$I$2:$T$2))*J448+SUMIF($I$1:$T$1,B445,$I$2:$T$2)*K448</f>
        <v>0</v>
      </c>
      <c r="L449" s="404">
        <f>(1-SUMIF($I$1:$T$1,B445,$I$2:$T$2))*K448+SUMIF($I$1:$T$1,B445,$I$2:$T$2)*L448</f>
        <v>0</v>
      </c>
      <c r="M449" s="386">
        <f>(1-SUMIF($I$1:$T$1,B445,$I$2:$T$2))*L448+SUMIF($I$1:$T$1,B445,$I$2:$T$2)*M448</f>
        <v>0</v>
      </c>
      <c r="N449" s="399">
        <f>(1-SUMIF($I$1:$T$1,B445,$I$2:$T$2))*M448+SUMIF($I$1:$T$1,B445,$I$2:$T$2)*N448</f>
        <v>0</v>
      </c>
      <c r="O449" s="399">
        <f>(1-SUMIF($I$1:$T$1,B445,$I$2:$T$2))*N448+SUMIF($I$1:$T$1,B445,$I$2:$T$2)*O448</f>
        <v>0</v>
      </c>
      <c r="P449" s="404">
        <f>(1-SUMIF($I$1:$T$1,B445,$I$2:$T$2))*O448+SUMIF($I$1:$T$1,B445,$I$2:$T$2)*P448</f>
        <v>0</v>
      </c>
      <c r="Q449" s="386">
        <f>(1-SUMIF($I$1:$T$1,B445,$I$2:$T$2))*P448+SUMIF($I$1:$T$1,B445,$I$2:$T$2)*Q448</f>
        <v>0</v>
      </c>
      <c r="R449" s="399">
        <f>(1-SUMIF($I$1:$T$1,B445,$I$2:$T$2))*Q448+SUMIF($I$1:$T$1,B445,$I$2:$T$2)*R448</f>
        <v>0</v>
      </c>
      <c r="S449" s="399">
        <f>(1-SUMIF($I$1:$T$1,B445,$I$2:$T$2))*R448+SUMIF($I$1:$T$1,B445,$I$2:$T$2)*S448</f>
        <v>0</v>
      </c>
      <c r="T449" s="404">
        <f>(1-SUMIF($I$1:$T$1,B445,$I$2:$T$2))*S448+SUMIF($I$1:$T$1,B445,$I$2:$T$2)*T448</f>
        <v>0</v>
      </c>
      <c r="U449" s="386">
        <f>(1-SUMIF($I$1:$T$1,B445,$I$2:$T$2))*T448+SUMIF($I$1:$T$1,B445,$I$2:$T$2)*U448</f>
        <v>0</v>
      </c>
      <c r="V449" s="399">
        <f>(1-SUMIF($I$1:$T$1,B445,$I$2:$T$2))*U448+SUMIF($I$1:$T$1,B445,$I$2:$T$2)*V448</f>
        <v>0</v>
      </c>
      <c r="W449" s="399">
        <f>(1-SUMIF($I$1:$T$1,B445,$I$2:$T$2))*V448+SUMIF($I$1:$T$1,B445,$I$2:$T$2)*W448</f>
        <v>0</v>
      </c>
      <c r="X449" s="404">
        <f>(1-SUMIF($I$1:$T$1,B445,$I$2:$T$2))*W448+SUMIF($I$1:$T$1,B445,$I$2:$T$2)*X448</f>
        <v>0</v>
      </c>
      <c r="Y449" s="386">
        <f>(1-SUMIF($I$1:$T$1,B445,$I$2:$T$2))*X448+SUMIF($I$1:$T$1,B445,$I$2:$T$2)*Y448</f>
        <v>0</v>
      </c>
      <c r="Z449" s="399">
        <f>(1-SUMIF($I$1:$T$1,B445,$I$2:$T$2))*Y448+SUMIF($I$1:$T$1,B445,$I$2:$T$2)*Z448</f>
        <v>0</v>
      </c>
      <c r="AA449" s="399">
        <f>(1-SUMIF($I$1:$T$1,B445,$I$2:$T$2))*Z448+SUMIF($I$1:$T$1,B445,$I$2:$T$2)*AA448</f>
        <v>0</v>
      </c>
      <c r="AB449" s="404">
        <f>(1-SUMIF($I$1:$T$1,B445,$I$2:$T$2))*AA448+SUMIF($I$1:$T$1,B445,$I$2:$T$2)*AB448</f>
        <v>0</v>
      </c>
      <c r="AC449" s="386">
        <f>(1-SUMIF($I$1:$T$1,B445,$I$2:$T$2))*AB448+SUMIF($I$1:$T$1,B445,$I$2:$T$2)*AC448</f>
        <v>0</v>
      </c>
      <c r="AD449" s="399">
        <f>(1-SUMIF($I$1:$T$1,B445,$I$2:$T$2))*AC448+SUMIF($I$1:$T$1,B445,$I$2:$T$2)*AD448</f>
        <v>0</v>
      </c>
      <c r="AE449" s="399">
        <f>(1-SUMIF($I$1:$T$1,B445,$I$2:$T$2))*AD448+SUMIF($I$1:$T$1,B445,$I$2:$T$2)*AE448</f>
        <v>0</v>
      </c>
      <c r="AF449" s="404">
        <f>(1-SUMIF($I$1:$T$1,B445,$I$2:$T$2))*AE448+SUMIF($I$1:$T$1,B445,$I$2:$T$2)*AF448</f>
        <v>0</v>
      </c>
      <c r="AG449" s="386">
        <f>(1-SUMIF($I$1:$T$1,B445,$I$2:$T$2))*AF448+SUMIF($I$1:$T$1,B445,$I$2:$T$2)*AG448</f>
        <v>0</v>
      </c>
      <c r="AH449" s="399">
        <f>(1-SUMIF($I$1:$T$1,B445,$I$2:$T$2))*AG448+SUMIF($I$1:$T$1,B445,$I$2:$T$2)*AH448</f>
        <v>0</v>
      </c>
      <c r="AI449" s="399">
        <f>(1-SUMIF($I$1:$T$1,B445,$I$2:$T$2))*AH448+SUMIF($I$1:$T$1,B445,$I$2:$T$2)*AI448</f>
        <v>0</v>
      </c>
      <c r="AJ449" s="404">
        <f>(1-SUMIF($I$1:$T$1,B445,$I$2:$T$2))*AI448+SUMIF($I$1:$T$1,B445,$I$2:$T$2)*AJ448</f>
        <v>0</v>
      </c>
      <c r="AK449" s="386">
        <f>(1-SUMIF($I$1:$T$1,B445,$I$2:$T$2))*AJ448+SUMIF($I$1:$T$1,B445,$I$2:$T$2)*AK448</f>
        <v>0</v>
      </c>
      <c r="AL449" s="399">
        <f>(1-SUMIF($I$1:$T$1,B445,$I$2:$T$2))*AK448+SUMIF($I$1:$T$1,B445,$I$2:$T$2)*AL448</f>
        <v>0</v>
      </c>
      <c r="AM449" s="399">
        <f>(1-SUMIF($I$1:$T$1,B445,$I$2:$T$2))*AL448+SUMIF($I$1:$T$1,B445,$I$2:$T$2)*AM448</f>
        <v>0</v>
      </c>
      <c r="AN449" s="404">
        <f>(1-SUMIF($I$1:$T$1,B445,$I$2:$T$2))*AM448+SUMIF($I$1:$T$1,B445,$I$2:$T$2)*AN448</f>
        <v>0</v>
      </c>
      <c r="AO449" s="386">
        <f>(1-SUMIF($I$1:$T$1,B445,$I$2:$T$2))*AN448+SUMIF($I$1:$T$1,B445,$I$2:$T$2)*AO448</f>
        <v>0</v>
      </c>
      <c r="AP449" s="399">
        <f>(1-SUMIF($I$1:$T$1,B445,$I$2:$T$2))*AO448+SUMIF($I$1:$T$1,B445,$I$2:$T$2)*AP448</f>
        <v>0</v>
      </c>
      <c r="AQ449" s="399">
        <f>(1-SUMIF($I$1:$T$1,B445,$I$2:$T$2))*AP448+SUMIF($I$1:$T$1,B445,$I$2:$T$2)*AQ448</f>
        <v>0</v>
      </c>
      <c r="AR449" s="404">
        <f>(1-SUMIF($I$1:$T$1,B445,$I$2:$T$2))*AQ448+SUMIF($I$1:$T$1,B445,$I$2:$T$2)*AR448</f>
        <v>0</v>
      </c>
      <c r="AS449" s="386">
        <f>(1-SUMIF($I$1:$T$1,B445,$I$2:$T$2))*AR448+SUMIF($I$1:$T$1,B445,$I$2:$T$2)*AS448</f>
        <v>0</v>
      </c>
      <c r="AT449" s="399">
        <f>(1-SUMIF($I$1:$T$1,B445,$I$2:$T$2))*AS448+SUMIF($I$1:$T$1,B445,$I$2:$T$2)*AT448</f>
        <v>0</v>
      </c>
      <c r="AU449" s="399">
        <f>(1-SUMIF($I$1:$T$1,B445,$I$2:$T$2))*AT448+SUMIF($I$1:$T$1,B445,$I$2:$T$2)*AU448</f>
        <v>0</v>
      </c>
      <c r="AV449" s="404">
        <f>(1-SUMIF($I$1:$T$1,B445,$I$2:$T$2))*AU448+SUMIF($I$1:$T$1,B445,$I$2:$T$2)*AV448</f>
        <v>0</v>
      </c>
      <c r="AW449" s="424" t="str">
        <f t="shared" si="287"/>
        <v>回迁商业</v>
      </c>
    </row>
    <row r="450" spans="1:49" s="424" customFormat="1" ht="13.5" customHeight="1" outlineLevel="1">
      <c r="A450" s="1947"/>
      <c r="B450" s="1949">
        <f>'9.项目开发计划表'!C73</f>
        <v>0</v>
      </c>
      <c r="C450" s="456" t="s">
        <v>880</v>
      </c>
      <c r="D450" s="457">
        <f>IF(D452=0,0,D453/D452*10000)</f>
        <v>0</v>
      </c>
      <c r="E450" s="505"/>
      <c r="F450" s="506"/>
      <c r="G450" s="506"/>
      <c r="H450" s="507"/>
      <c r="I450" s="505"/>
      <c r="J450" s="506"/>
      <c r="K450" s="506"/>
      <c r="L450" s="507"/>
      <c r="M450" s="505"/>
      <c r="N450" s="506"/>
      <c r="O450" s="506"/>
      <c r="P450" s="507"/>
      <c r="Q450" s="505"/>
      <c r="R450" s="506"/>
      <c r="S450" s="506"/>
      <c r="T450" s="507"/>
      <c r="U450" s="505"/>
      <c r="V450" s="506"/>
      <c r="W450" s="506"/>
      <c r="X450" s="506"/>
      <c r="Y450" s="506"/>
      <c r="Z450" s="506"/>
      <c r="AA450" s="506"/>
      <c r="AB450" s="506"/>
      <c r="AC450" s="506"/>
      <c r="AD450" s="506"/>
      <c r="AE450" s="506"/>
      <c r="AF450" s="506"/>
      <c r="AG450" s="507"/>
      <c r="AH450" s="506"/>
      <c r="AI450" s="506"/>
      <c r="AJ450" s="507"/>
      <c r="AK450" s="505"/>
      <c r="AL450" s="506"/>
      <c r="AM450" s="506"/>
      <c r="AN450" s="507"/>
      <c r="AO450" s="505"/>
      <c r="AP450" s="506"/>
      <c r="AQ450" s="506"/>
      <c r="AR450" s="507"/>
      <c r="AS450" s="505"/>
      <c r="AT450" s="506"/>
      <c r="AU450" s="506"/>
      <c r="AV450" s="507"/>
      <c r="AW450" s="424">
        <f>B450</f>
        <v>0</v>
      </c>
    </row>
    <row r="451" spans="1:49" ht="13.5" customHeight="1" outlineLevel="1">
      <c r="A451" s="1947"/>
      <c r="B451" s="1949"/>
      <c r="C451" s="461" t="s">
        <v>881</v>
      </c>
      <c r="D451" s="462">
        <f t="shared" ref="D451:D454" si="291">SUM(E451:AV451)</f>
        <v>0</v>
      </c>
      <c r="E451" s="494"/>
      <c r="F451" s="491"/>
      <c r="G451" s="491"/>
      <c r="H451" s="493"/>
      <c r="I451" s="494"/>
      <c r="J451" s="491"/>
      <c r="K451" s="491"/>
      <c r="L451" s="493"/>
      <c r="M451" s="494"/>
      <c r="N451" s="491"/>
      <c r="O451" s="491"/>
      <c r="P451" s="493"/>
      <c r="Q451" s="494"/>
      <c r="R451" s="491"/>
      <c r="S451" s="491"/>
      <c r="T451" s="493"/>
      <c r="U451" s="494"/>
      <c r="V451" s="491"/>
      <c r="W451" s="491"/>
      <c r="X451" s="491"/>
      <c r="Y451" s="491"/>
      <c r="Z451" s="491"/>
      <c r="AA451" s="491"/>
      <c r="AB451" s="491"/>
      <c r="AC451" s="491"/>
      <c r="AD451" s="491"/>
      <c r="AE451" s="491"/>
      <c r="AF451" s="491"/>
      <c r="AG451" s="493"/>
      <c r="AH451" s="491"/>
      <c r="AI451" s="491"/>
      <c r="AJ451" s="493"/>
      <c r="AK451" s="494"/>
      <c r="AL451" s="491"/>
      <c r="AM451" s="491"/>
      <c r="AN451" s="493"/>
      <c r="AO451" s="494"/>
      <c r="AP451" s="491"/>
      <c r="AQ451" s="491"/>
      <c r="AR451" s="493"/>
      <c r="AS451" s="494"/>
      <c r="AT451" s="491"/>
      <c r="AU451" s="491"/>
      <c r="AV451" s="493"/>
      <c r="AW451" s="424">
        <f>AW450</f>
        <v>0</v>
      </c>
    </row>
    <row r="452" spans="1:49" s="424" customFormat="1" ht="13.5" customHeight="1" outlineLevel="1">
      <c r="A452" s="1947"/>
      <c r="B452" s="1949"/>
      <c r="C452" s="461" t="s">
        <v>682</v>
      </c>
      <c r="D452" s="466">
        <f t="shared" si="291"/>
        <v>0</v>
      </c>
      <c r="E452" s="382">
        <f>E451*'9.项目开发计划表'!$G$73</f>
        <v>0</v>
      </c>
      <c r="F452" s="397">
        <f>F451*'9.项目开发计划表'!$G$73</f>
        <v>0</v>
      </c>
      <c r="G452" s="397">
        <f>G451*'9.项目开发计划表'!$G$73</f>
        <v>0</v>
      </c>
      <c r="H452" s="467">
        <f>H451*'9.项目开发计划表'!$G$73</f>
        <v>0</v>
      </c>
      <c r="I452" s="382">
        <f>I451*'9.项目开发计划表'!$G$73</f>
        <v>0</v>
      </c>
      <c r="J452" s="397">
        <f>J451*'9.项目开发计划表'!$G$73</f>
        <v>0</v>
      </c>
      <c r="K452" s="397">
        <f>K451*'9.项目开发计划表'!$G$73</f>
        <v>0</v>
      </c>
      <c r="L452" s="467">
        <f>L451*'9.项目开发计划表'!$G$73</f>
        <v>0</v>
      </c>
      <c r="M452" s="382">
        <f>M451*'9.项目开发计划表'!$G$73</f>
        <v>0</v>
      </c>
      <c r="N452" s="397">
        <f>N451*'9.项目开发计划表'!$G$73</f>
        <v>0</v>
      </c>
      <c r="O452" s="397">
        <f>O451*'9.项目开发计划表'!$G$73</f>
        <v>0</v>
      </c>
      <c r="P452" s="467">
        <f>P451*'9.项目开发计划表'!$G$73</f>
        <v>0</v>
      </c>
      <c r="Q452" s="382">
        <f>Q451*'9.项目开发计划表'!$G$73</f>
        <v>0</v>
      </c>
      <c r="R452" s="397">
        <f>R451*'9.项目开发计划表'!$G$73</f>
        <v>0</v>
      </c>
      <c r="S452" s="397">
        <f>S451*'9.项目开发计划表'!$G$73</f>
        <v>0</v>
      </c>
      <c r="T452" s="467">
        <f>T451*'9.项目开发计划表'!$G$73</f>
        <v>0</v>
      </c>
      <c r="U452" s="382">
        <f>U451*'9.项目开发计划表'!$G$73</f>
        <v>0</v>
      </c>
      <c r="V452" s="397">
        <f>V451*'9.项目开发计划表'!$G$73</f>
        <v>0</v>
      </c>
      <c r="W452" s="397">
        <f>W451*'9.项目开发计划表'!$G$73</f>
        <v>0</v>
      </c>
      <c r="X452" s="467">
        <f>X451*'9.项目开发计划表'!$G$73</f>
        <v>0</v>
      </c>
      <c r="Y452" s="382">
        <f>Y451*'9.项目开发计划表'!$G$73</f>
        <v>0</v>
      </c>
      <c r="Z452" s="397">
        <f>Z451*'9.项目开发计划表'!$G$73</f>
        <v>0</v>
      </c>
      <c r="AA452" s="397">
        <f>AA451*'9.项目开发计划表'!$G$73</f>
        <v>0</v>
      </c>
      <c r="AB452" s="467">
        <f>AB451*'9.项目开发计划表'!$G$73</f>
        <v>0</v>
      </c>
      <c r="AC452" s="382">
        <f>AC451*'9.项目开发计划表'!$G$73</f>
        <v>0</v>
      </c>
      <c r="AD452" s="397">
        <f>AD451*'9.项目开发计划表'!$G$73</f>
        <v>0</v>
      </c>
      <c r="AE452" s="397">
        <f>AE451*'9.项目开发计划表'!$G$73</f>
        <v>0</v>
      </c>
      <c r="AF452" s="467">
        <f>AF451*'9.项目开发计划表'!$G$73</f>
        <v>0</v>
      </c>
      <c r="AG452" s="382">
        <f>AG451*'9.项目开发计划表'!$G$73</f>
        <v>0</v>
      </c>
      <c r="AH452" s="397">
        <f>AH451*'9.项目开发计划表'!$G$73</f>
        <v>0</v>
      </c>
      <c r="AI452" s="397">
        <f>AI451*'9.项目开发计划表'!$G$73</f>
        <v>0</v>
      </c>
      <c r="AJ452" s="467">
        <f>AJ451*'9.项目开发计划表'!$G$73</f>
        <v>0</v>
      </c>
      <c r="AK452" s="382">
        <f>AK451*'9.项目开发计划表'!$G$73</f>
        <v>0</v>
      </c>
      <c r="AL452" s="397">
        <f>AL451*'9.项目开发计划表'!$G$73</f>
        <v>0</v>
      </c>
      <c r="AM452" s="397">
        <f>AM451*'9.项目开发计划表'!$G$73</f>
        <v>0</v>
      </c>
      <c r="AN452" s="467">
        <f>AN451*'9.项目开发计划表'!$G$73</f>
        <v>0</v>
      </c>
      <c r="AO452" s="382">
        <f>AO451*'9.项目开发计划表'!$G$73</f>
        <v>0</v>
      </c>
      <c r="AP452" s="397">
        <f>AP451*'9.项目开发计划表'!$G$73</f>
        <v>0</v>
      </c>
      <c r="AQ452" s="397">
        <f>AQ451*'9.项目开发计划表'!$G$73</f>
        <v>0</v>
      </c>
      <c r="AR452" s="467">
        <f>AR451*'9.项目开发计划表'!$G$73</f>
        <v>0</v>
      </c>
      <c r="AS452" s="382">
        <f>AS451*'9.项目开发计划表'!$G$73</f>
        <v>0</v>
      </c>
      <c r="AT452" s="397">
        <f>AT451*'9.项目开发计划表'!$G$73</f>
        <v>0</v>
      </c>
      <c r="AU452" s="397">
        <f>AU451*'9.项目开发计划表'!$G$73</f>
        <v>0</v>
      </c>
      <c r="AV452" s="467">
        <f>AV451*'9.项目开发计划表'!$G$73</f>
        <v>0</v>
      </c>
      <c r="AW452" s="424">
        <f t="shared" si="287"/>
        <v>0</v>
      </c>
    </row>
    <row r="453" spans="1:49" s="424" customFormat="1" ht="13.5" customHeight="1" outlineLevel="1">
      <c r="A453" s="1947"/>
      <c r="B453" s="1949"/>
      <c r="C453" s="461" t="s">
        <v>882</v>
      </c>
      <c r="D453" s="466">
        <f t="shared" si="291"/>
        <v>0</v>
      </c>
      <c r="E453" s="382">
        <f t="shared" ref="E453:AV453" si="292">E450*E452/10000</f>
        <v>0</v>
      </c>
      <c r="F453" s="397">
        <f t="shared" si="292"/>
        <v>0</v>
      </c>
      <c r="G453" s="397">
        <f t="shared" si="292"/>
        <v>0</v>
      </c>
      <c r="H453" s="467">
        <f t="shared" si="292"/>
        <v>0</v>
      </c>
      <c r="I453" s="382">
        <f t="shared" si="292"/>
        <v>0</v>
      </c>
      <c r="J453" s="397">
        <f t="shared" si="292"/>
        <v>0</v>
      </c>
      <c r="K453" s="397">
        <f t="shared" si="292"/>
        <v>0</v>
      </c>
      <c r="L453" s="467">
        <f t="shared" si="292"/>
        <v>0</v>
      </c>
      <c r="M453" s="382">
        <f t="shared" si="292"/>
        <v>0</v>
      </c>
      <c r="N453" s="397">
        <f t="shared" si="292"/>
        <v>0</v>
      </c>
      <c r="O453" s="397">
        <f t="shared" si="292"/>
        <v>0</v>
      </c>
      <c r="P453" s="467">
        <f t="shared" si="292"/>
        <v>0</v>
      </c>
      <c r="Q453" s="382">
        <f t="shared" si="292"/>
        <v>0</v>
      </c>
      <c r="R453" s="397">
        <f t="shared" si="292"/>
        <v>0</v>
      </c>
      <c r="S453" s="397">
        <f t="shared" si="292"/>
        <v>0</v>
      </c>
      <c r="T453" s="467">
        <f t="shared" si="292"/>
        <v>0</v>
      </c>
      <c r="U453" s="382">
        <f t="shared" si="292"/>
        <v>0</v>
      </c>
      <c r="V453" s="397">
        <f t="shared" si="292"/>
        <v>0</v>
      </c>
      <c r="W453" s="397">
        <f t="shared" si="292"/>
        <v>0</v>
      </c>
      <c r="X453" s="467">
        <f t="shared" si="292"/>
        <v>0</v>
      </c>
      <c r="Y453" s="382">
        <f t="shared" si="292"/>
        <v>0</v>
      </c>
      <c r="Z453" s="397">
        <f t="shared" si="292"/>
        <v>0</v>
      </c>
      <c r="AA453" s="397">
        <f t="shared" si="292"/>
        <v>0</v>
      </c>
      <c r="AB453" s="467">
        <f t="shared" si="292"/>
        <v>0</v>
      </c>
      <c r="AC453" s="382">
        <f t="shared" si="292"/>
        <v>0</v>
      </c>
      <c r="AD453" s="397">
        <f t="shared" si="292"/>
        <v>0</v>
      </c>
      <c r="AE453" s="397">
        <f t="shared" si="292"/>
        <v>0</v>
      </c>
      <c r="AF453" s="467">
        <f t="shared" si="292"/>
        <v>0</v>
      </c>
      <c r="AG453" s="382">
        <f t="shared" si="292"/>
        <v>0</v>
      </c>
      <c r="AH453" s="397">
        <f t="shared" si="292"/>
        <v>0</v>
      </c>
      <c r="AI453" s="397">
        <f t="shared" si="292"/>
        <v>0</v>
      </c>
      <c r="AJ453" s="467">
        <f t="shared" si="292"/>
        <v>0</v>
      </c>
      <c r="AK453" s="382">
        <f t="shared" si="292"/>
        <v>0</v>
      </c>
      <c r="AL453" s="397">
        <f t="shared" si="292"/>
        <v>0</v>
      </c>
      <c r="AM453" s="397">
        <f t="shared" si="292"/>
        <v>0</v>
      </c>
      <c r="AN453" s="467">
        <f t="shared" si="292"/>
        <v>0</v>
      </c>
      <c r="AO453" s="382">
        <f t="shared" si="292"/>
        <v>0</v>
      </c>
      <c r="AP453" s="397">
        <f t="shared" si="292"/>
        <v>0</v>
      </c>
      <c r="AQ453" s="397">
        <f t="shared" si="292"/>
        <v>0</v>
      </c>
      <c r="AR453" s="467">
        <f t="shared" si="292"/>
        <v>0</v>
      </c>
      <c r="AS453" s="382">
        <f t="shared" si="292"/>
        <v>0</v>
      </c>
      <c r="AT453" s="397">
        <f t="shared" si="292"/>
        <v>0</v>
      </c>
      <c r="AU453" s="397">
        <f t="shared" si="292"/>
        <v>0</v>
      </c>
      <c r="AV453" s="467">
        <f t="shared" si="292"/>
        <v>0</v>
      </c>
      <c r="AW453" s="424">
        <f t="shared" si="287"/>
        <v>0</v>
      </c>
    </row>
    <row r="454" spans="1:49" s="424" customFormat="1" ht="13.5" customHeight="1" outlineLevel="1">
      <c r="A454" s="1947"/>
      <c r="B454" s="1949"/>
      <c r="C454" s="508" t="s">
        <v>450</v>
      </c>
      <c r="D454" s="468">
        <f t="shared" si="291"/>
        <v>0</v>
      </c>
      <c r="E454" s="386">
        <f>SUMIF($I$1:$T$1,B450,$I$2:$T$2)*E453</f>
        <v>0</v>
      </c>
      <c r="F454" s="399">
        <f>(1-SUMIF($I$1:$T$1,B450,$I$2:$T$2))*E453+SUMIF($I$1:$T$1,B450,$I$2:$T$2)*F453</f>
        <v>0</v>
      </c>
      <c r="G454" s="399">
        <f>(1-SUMIF($I$1:$T$1,B450,$I$2:$T$2))*F453+SUMIF($I$1:$T$1,B450,$I$2:$T$2)*G453</f>
        <v>0</v>
      </c>
      <c r="H454" s="404">
        <f>(1-SUMIF($I$1:$T$1,B450,$I$2:$T$2))*G453+SUMIF($I$1:$T$1,B450,$I$2:$T$2)*H453</f>
        <v>0</v>
      </c>
      <c r="I454" s="386">
        <f>(1-SUMIF($I$1:$T$1,B450,$I$2:$T$2))*H453+SUMIF($I$1:$T$1,B450,$I$2:$T$2)*I453</f>
        <v>0</v>
      </c>
      <c r="J454" s="399">
        <f>(1-SUMIF($I$1:$T$1,B450,$I$2:$T$2))*I453+SUMIF($I$1:$T$1,B450,$I$2:$T$2)*J453</f>
        <v>0</v>
      </c>
      <c r="K454" s="399">
        <f>(1-SUMIF($I$1:$T$1,B450,$I$2:$T$2))*J453+SUMIF($I$1:$T$1,B450,$I$2:$T$2)*K453</f>
        <v>0</v>
      </c>
      <c r="L454" s="404">
        <f>(1-SUMIF($I$1:$T$1,B450,$I$2:$T$2))*K453+SUMIF($I$1:$T$1,B450,$I$2:$T$2)*L453</f>
        <v>0</v>
      </c>
      <c r="M454" s="386">
        <f>(1-SUMIF($I$1:$T$1,B450,$I$2:$T$2))*L453+SUMIF($I$1:$T$1,B450,$I$2:$T$2)*M453</f>
        <v>0</v>
      </c>
      <c r="N454" s="399">
        <f>(1-SUMIF($I$1:$T$1,B450,$I$2:$T$2))*M453+SUMIF($I$1:$T$1,B450,$I$2:$T$2)*N453</f>
        <v>0</v>
      </c>
      <c r="O454" s="399">
        <f>(1-SUMIF($I$1:$T$1,B450,$I$2:$T$2))*N453+SUMIF($I$1:$T$1,B450,$I$2:$T$2)*O453</f>
        <v>0</v>
      </c>
      <c r="P454" s="404">
        <f>(1-SUMIF($I$1:$T$1,B450,$I$2:$T$2))*O453+SUMIF($I$1:$T$1,B450,$I$2:$T$2)*P453</f>
        <v>0</v>
      </c>
      <c r="Q454" s="386">
        <f>(1-SUMIF($I$1:$T$1,B450,$I$2:$T$2))*P453+SUMIF($I$1:$T$1,B450,$I$2:$T$2)*Q453</f>
        <v>0</v>
      </c>
      <c r="R454" s="399">
        <f>(1-SUMIF($I$1:$T$1,B450,$I$2:$T$2))*Q453+SUMIF($I$1:$T$1,B450,$I$2:$T$2)*R453</f>
        <v>0</v>
      </c>
      <c r="S454" s="399">
        <f>(1-SUMIF($I$1:$T$1,B450,$I$2:$T$2))*R453+SUMIF($I$1:$T$1,B450,$I$2:$T$2)*S453</f>
        <v>0</v>
      </c>
      <c r="T454" s="404">
        <f>(1-SUMIF($I$1:$T$1,B450,$I$2:$T$2))*S453+SUMIF($I$1:$T$1,B450,$I$2:$T$2)*T453</f>
        <v>0</v>
      </c>
      <c r="U454" s="386">
        <f>(1-SUMIF($I$1:$T$1,B450,$I$2:$T$2))*T453+SUMIF($I$1:$T$1,B450,$I$2:$T$2)*U453</f>
        <v>0</v>
      </c>
      <c r="V454" s="399">
        <f>(1-SUMIF($I$1:$T$1,B450,$I$2:$T$2))*U453+SUMIF($I$1:$T$1,B450,$I$2:$T$2)*V453</f>
        <v>0</v>
      </c>
      <c r="W454" s="399">
        <f>(1-SUMIF($I$1:$T$1,B450,$I$2:$T$2))*V453+SUMIF($I$1:$T$1,B450,$I$2:$T$2)*W453</f>
        <v>0</v>
      </c>
      <c r="X454" s="404">
        <f>(1-SUMIF($I$1:$T$1,B450,$I$2:$T$2))*W453+SUMIF($I$1:$T$1,B450,$I$2:$T$2)*X453</f>
        <v>0</v>
      </c>
      <c r="Y454" s="386">
        <f>(1-SUMIF($I$1:$T$1,B450,$I$2:$T$2))*X453+SUMIF($I$1:$T$1,B450,$I$2:$T$2)*Y453</f>
        <v>0</v>
      </c>
      <c r="Z454" s="399">
        <f>(1-SUMIF($I$1:$T$1,B450,$I$2:$T$2))*Y453+SUMIF($I$1:$T$1,B450,$I$2:$T$2)*Z453</f>
        <v>0</v>
      </c>
      <c r="AA454" s="399">
        <f>(1-SUMIF($I$1:$T$1,B450,$I$2:$T$2))*Z453+SUMIF($I$1:$T$1,B450,$I$2:$T$2)*AA453</f>
        <v>0</v>
      </c>
      <c r="AB454" s="404">
        <f>(1-SUMIF($I$1:$T$1,B450,$I$2:$T$2))*AA453+SUMIF($I$1:$T$1,B450,$I$2:$T$2)*AB453</f>
        <v>0</v>
      </c>
      <c r="AC454" s="386">
        <f>(1-SUMIF($I$1:$T$1,B450,$I$2:$T$2))*AB453+SUMIF($I$1:$T$1,B450,$I$2:$T$2)*AC453</f>
        <v>0</v>
      </c>
      <c r="AD454" s="399">
        <f>(1-SUMIF($I$1:$T$1,B450,$I$2:$T$2))*AC453+SUMIF($I$1:$T$1,B450,$I$2:$T$2)*AD453</f>
        <v>0</v>
      </c>
      <c r="AE454" s="399">
        <f>(1-SUMIF($I$1:$T$1,B450,$I$2:$T$2))*AD453+SUMIF($I$1:$T$1,B450,$I$2:$T$2)*AE453</f>
        <v>0</v>
      </c>
      <c r="AF454" s="404">
        <f>(1-SUMIF($I$1:$T$1,B450,$I$2:$T$2))*AE453+SUMIF($I$1:$T$1,B450,$I$2:$T$2)*AF453</f>
        <v>0</v>
      </c>
      <c r="AG454" s="386">
        <f>(1-SUMIF($I$1:$T$1,B450,$I$2:$T$2))*AF453+SUMIF($I$1:$T$1,B450,$I$2:$T$2)*AG453</f>
        <v>0</v>
      </c>
      <c r="AH454" s="399">
        <f>(1-SUMIF($I$1:$T$1,B450,$I$2:$T$2))*AG453+SUMIF($I$1:$T$1,B450,$I$2:$T$2)*AH453</f>
        <v>0</v>
      </c>
      <c r="AI454" s="399">
        <f>(1-SUMIF($I$1:$T$1,B450,$I$2:$T$2))*AH453+SUMIF($I$1:$T$1,B450,$I$2:$T$2)*AI453</f>
        <v>0</v>
      </c>
      <c r="AJ454" s="404">
        <f>(1-SUMIF($I$1:$T$1,B450,$I$2:$T$2))*AI453+SUMIF($I$1:$T$1,B450,$I$2:$T$2)*AJ453</f>
        <v>0</v>
      </c>
      <c r="AK454" s="386">
        <f>(1-SUMIF($I$1:$T$1,B450,$I$2:$T$2))*AJ453+SUMIF($I$1:$T$1,B450,$I$2:$T$2)*AK453</f>
        <v>0</v>
      </c>
      <c r="AL454" s="399">
        <f>(1-SUMIF($I$1:$T$1,B450,$I$2:$T$2))*AK453+SUMIF($I$1:$T$1,B450,$I$2:$T$2)*AL453</f>
        <v>0</v>
      </c>
      <c r="AM454" s="399">
        <f>(1-SUMIF($I$1:$T$1,B450,$I$2:$T$2))*AL453+SUMIF($I$1:$T$1,B450,$I$2:$T$2)*AM453</f>
        <v>0</v>
      </c>
      <c r="AN454" s="404">
        <f>(1-SUMIF($I$1:$T$1,B450,$I$2:$T$2))*AM453+SUMIF($I$1:$T$1,B450,$I$2:$T$2)*AN453</f>
        <v>0</v>
      </c>
      <c r="AO454" s="386">
        <f>(1-SUMIF($I$1:$T$1,B450,$I$2:$T$2))*AN453+SUMIF($I$1:$T$1,B450,$I$2:$T$2)*AO453</f>
        <v>0</v>
      </c>
      <c r="AP454" s="399">
        <f>(1-SUMIF($I$1:$T$1,B450,$I$2:$T$2))*AO453+SUMIF($I$1:$T$1,B450,$I$2:$T$2)*AP453</f>
        <v>0</v>
      </c>
      <c r="AQ454" s="399">
        <f>(1-SUMIF($I$1:$T$1,B450,$I$2:$T$2))*AP453+SUMIF($I$1:$T$1,B450,$I$2:$T$2)*AQ453</f>
        <v>0</v>
      </c>
      <c r="AR454" s="404">
        <f>(1-SUMIF($I$1:$T$1,B450,$I$2:$T$2))*AQ453+SUMIF($I$1:$T$1,B450,$I$2:$T$2)*AR453</f>
        <v>0</v>
      </c>
      <c r="AS454" s="386">
        <f>(1-SUMIF($I$1:$T$1,B450,$I$2:$T$2))*AR453+SUMIF($I$1:$T$1,B450,$I$2:$T$2)*AS453</f>
        <v>0</v>
      </c>
      <c r="AT454" s="399">
        <f>(1-SUMIF($I$1:$T$1,B450,$I$2:$T$2))*AS453+SUMIF($I$1:$T$1,B450,$I$2:$T$2)*AT453</f>
        <v>0</v>
      </c>
      <c r="AU454" s="399">
        <f>(1-SUMIF($I$1:$T$1,B450,$I$2:$T$2))*AT453+SUMIF($I$1:$T$1,B450,$I$2:$T$2)*AU453</f>
        <v>0</v>
      </c>
      <c r="AV454" s="404">
        <f>(1-SUMIF($I$1:$T$1,B450,$I$2:$T$2))*AU453+SUMIF($I$1:$T$1,B450,$I$2:$T$2)*AV453</f>
        <v>0</v>
      </c>
      <c r="AW454" s="424">
        <f t="shared" si="287"/>
        <v>0</v>
      </c>
    </row>
    <row r="455" spans="1:49" s="424" customFormat="1" ht="13.5" customHeight="1" outlineLevel="1">
      <c r="A455" s="1947"/>
      <c r="B455" s="1949">
        <f>'9.项目开发计划表'!C74</f>
        <v>0</v>
      </c>
      <c r="C455" s="456" t="s">
        <v>880</v>
      </c>
      <c r="D455" s="457">
        <f>IF(D457=0,0,D458/D457*10000)</f>
        <v>0</v>
      </c>
      <c r="E455" s="505"/>
      <c r="F455" s="506"/>
      <c r="G455" s="506"/>
      <c r="H455" s="507"/>
      <c r="I455" s="505"/>
      <c r="J455" s="506"/>
      <c r="K455" s="506"/>
      <c r="L455" s="507"/>
      <c r="M455" s="505"/>
      <c r="N455" s="506"/>
      <c r="O455" s="506"/>
      <c r="P455" s="507"/>
      <c r="Q455" s="505"/>
      <c r="R455" s="506"/>
      <c r="S455" s="506"/>
      <c r="T455" s="507"/>
      <c r="U455" s="505"/>
      <c r="V455" s="506"/>
      <c r="W455" s="506"/>
      <c r="X455" s="507"/>
      <c r="Y455" s="505"/>
      <c r="Z455" s="506"/>
      <c r="AA455" s="506"/>
      <c r="AB455" s="507"/>
      <c r="AC455" s="505"/>
      <c r="AD455" s="506"/>
      <c r="AE455" s="506"/>
      <c r="AF455" s="507"/>
      <c r="AG455" s="505"/>
      <c r="AH455" s="506"/>
      <c r="AI455" s="506"/>
      <c r="AJ455" s="507"/>
      <c r="AK455" s="505"/>
      <c r="AL455" s="506"/>
      <c r="AM455" s="506"/>
      <c r="AN455" s="507"/>
      <c r="AO455" s="505"/>
      <c r="AP455" s="506"/>
      <c r="AQ455" s="506"/>
      <c r="AR455" s="507"/>
      <c r="AS455" s="505"/>
      <c r="AT455" s="506"/>
      <c r="AU455" s="506"/>
      <c r="AV455" s="507"/>
      <c r="AW455" s="424">
        <f>B455</f>
        <v>0</v>
      </c>
    </row>
    <row r="456" spans="1:49" ht="13.5" customHeight="1" outlineLevel="1">
      <c r="A456" s="1947"/>
      <c r="B456" s="1949"/>
      <c r="C456" s="461" t="s">
        <v>881</v>
      </c>
      <c r="D456" s="462">
        <f t="shared" ref="D456:D459" si="293">SUM(E456:AV456)</f>
        <v>0</v>
      </c>
      <c r="E456" s="494"/>
      <c r="F456" s="491"/>
      <c r="G456" s="491"/>
      <c r="H456" s="493"/>
      <c r="I456" s="494"/>
      <c r="J456" s="491"/>
      <c r="K456" s="491"/>
      <c r="L456" s="493"/>
      <c r="M456" s="494"/>
      <c r="N456" s="491"/>
      <c r="O456" s="491"/>
      <c r="P456" s="493"/>
      <c r="Q456" s="494"/>
      <c r="R456" s="491"/>
      <c r="S456" s="491"/>
      <c r="T456" s="493"/>
      <c r="U456" s="494"/>
      <c r="V456" s="491"/>
      <c r="W456" s="491"/>
      <c r="X456" s="493"/>
      <c r="Y456" s="494"/>
      <c r="Z456" s="491"/>
      <c r="AA456" s="491"/>
      <c r="AB456" s="493"/>
      <c r="AC456" s="494"/>
      <c r="AD456" s="491"/>
      <c r="AE456" s="491"/>
      <c r="AF456" s="493"/>
      <c r="AG456" s="494"/>
      <c r="AH456" s="491"/>
      <c r="AI456" s="491"/>
      <c r="AJ456" s="493"/>
      <c r="AK456" s="494"/>
      <c r="AL456" s="491"/>
      <c r="AM456" s="491"/>
      <c r="AN456" s="493"/>
      <c r="AO456" s="494"/>
      <c r="AP456" s="491"/>
      <c r="AQ456" s="491"/>
      <c r="AR456" s="493"/>
      <c r="AS456" s="494"/>
      <c r="AT456" s="491"/>
      <c r="AU456" s="491"/>
      <c r="AV456" s="493"/>
      <c r="AW456" s="424">
        <f>AW455</f>
        <v>0</v>
      </c>
    </row>
    <row r="457" spans="1:49" s="424" customFormat="1" ht="13.5" customHeight="1" outlineLevel="1">
      <c r="A457" s="1947"/>
      <c r="B457" s="1949"/>
      <c r="C457" s="461" t="s">
        <v>682</v>
      </c>
      <c r="D457" s="466">
        <f t="shared" si="293"/>
        <v>0</v>
      </c>
      <c r="E457" s="382">
        <f>E456*'9.项目开发计划表'!$G$74</f>
        <v>0</v>
      </c>
      <c r="F457" s="397">
        <f>F456*'9.项目开发计划表'!$G$74</f>
        <v>0</v>
      </c>
      <c r="G457" s="397">
        <f>G456*'9.项目开发计划表'!$G$74</f>
        <v>0</v>
      </c>
      <c r="H457" s="467">
        <f>H456*'9.项目开发计划表'!$G$74</f>
        <v>0</v>
      </c>
      <c r="I457" s="382">
        <f>I456*'9.项目开发计划表'!$G$74</f>
        <v>0</v>
      </c>
      <c r="J457" s="397">
        <f>J456*'9.项目开发计划表'!$G$74</f>
        <v>0</v>
      </c>
      <c r="K457" s="397">
        <f>K456*'9.项目开发计划表'!$G$74</f>
        <v>0</v>
      </c>
      <c r="L457" s="467">
        <f>L456*'9.项目开发计划表'!$G$74</f>
        <v>0</v>
      </c>
      <c r="M457" s="382">
        <f>M456*'9.项目开发计划表'!$G$74</f>
        <v>0</v>
      </c>
      <c r="N457" s="397">
        <f>N456*'9.项目开发计划表'!$G$74</f>
        <v>0</v>
      </c>
      <c r="O457" s="397">
        <f>O456*'9.项目开发计划表'!$G$74</f>
        <v>0</v>
      </c>
      <c r="P457" s="467">
        <f>P456*'9.项目开发计划表'!$G$74</f>
        <v>0</v>
      </c>
      <c r="Q457" s="382">
        <f>Q456*'9.项目开发计划表'!$G$74</f>
        <v>0</v>
      </c>
      <c r="R457" s="397">
        <f>R456*'9.项目开发计划表'!$G$74</f>
        <v>0</v>
      </c>
      <c r="S457" s="397">
        <f>S456*'9.项目开发计划表'!$G$74</f>
        <v>0</v>
      </c>
      <c r="T457" s="467">
        <f>T456*'9.项目开发计划表'!$G$74</f>
        <v>0</v>
      </c>
      <c r="U457" s="382">
        <f>U456*'9.项目开发计划表'!$G$74</f>
        <v>0</v>
      </c>
      <c r="V457" s="397">
        <f>V456*'9.项目开发计划表'!$G$74</f>
        <v>0</v>
      </c>
      <c r="W457" s="397">
        <f>W456*'9.项目开发计划表'!$G$74</f>
        <v>0</v>
      </c>
      <c r="X457" s="467">
        <f>X456*'9.项目开发计划表'!$G$74</f>
        <v>0</v>
      </c>
      <c r="Y457" s="382">
        <f>Y456*'9.项目开发计划表'!$G$74</f>
        <v>0</v>
      </c>
      <c r="Z457" s="397">
        <f>Z456*'9.项目开发计划表'!$G$74</f>
        <v>0</v>
      </c>
      <c r="AA457" s="397">
        <f>AA456*'9.项目开发计划表'!$G$74</f>
        <v>0</v>
      </c>
      <c r="AB457" s="467">
        <f>AB456*'9.项目开发计划表'!$G$74</f>
        <v>0</v>
      </c>
      <c r="AC457" s="382">
        <f>AC456*'9.项目开发计划表'!$G$74</f>
        <v>0</v>
      </c>
      <c r="AD457" s="397">
        <f>AD456*'9.项目开发计划表'!$G$74</f>
        <v>0</v>
      </c>
      <c r="AE457" s="397">
        <f>AE456*'9.项目开发计划表'!$G$74</f>
        <v>0</v>
      </c>
      <c r="AF457" s="467">
        <f>AF456*'9.项目开发计划表'!$G$74</f>
        <v>0</v>
      </c>
      <c r="AG457" s="382">
        <f>AG456*'9.项目开发计划表'!$G$74</f>
        <v>0</v>
      </c>
      <c r="AH457" s="397">
        <f>AH456*'9.项目开发计划表'!$G$74</f>
        <v>0</v>
      </c>
      <c r="AI457" s="397">
        <f>AI456*'9.项目开发计划表'!$G$74</f>
        <v>0</v>
      </c>
      <c r="AJ457" s="467">
        <f>AJ456*'9.项目开发计划表'!$G$74</f>
        <v>0</v>
      </c>
      <c r="AK457" s="382">
        <f>AK456*'9.项目开发计划表'!$G$74</f>
        <v>0</v>
      </c>
      <c r="AL457" s="397">
        <f>AL456*'9.项目开发计划表'!$G$74</f>
        <v>0</v>
      </c>
      <c r="AM457" s="397">
        <f>AM456*'9.项目开发计划表'!$G$74</f>
        <v>0</v>
      </c>
      <c r="AN457" s="467">
        <f>AN456*'9.项目开发计划表'!$G$74</f>
        <v>0</v>
      </c>
      <c r="AO457" s="382">
        <f>AO456*'9.项目开发计划表'!$G$74</f>
        <v>0</v>
      </c>
      <c r="AP457" s="397">
        <f>AP456*'9.项目开发计划表'!$G$74</f>
        <v>0</v>
      </c>
      <c r="AQ457" s="397">
        <f>AQ456*'9.项目开发计划表'!$G$74</f>
        <v>0</v>
      </c>
      <c r="AR457" s="467">
        <f>AR456*'9.项目开发计划表'!$G$74</f>
        <v>0</v>
      </c>
      <c r="AS457" s="382">
        <f>AS456*'9.项目开发计划表'!$G$74</f>
        <v>0</v>
      </c>
      <c r="AT457" s="397">
        <f>AT456*'9.项目开发计划表'!$G$74</f>
        <v>0</v>
      </c>
      <c r="AU457" s="397">
        <f>AU456*'9.项目开发计划表'!$G$74</f>
        <v>0</v>
      </c>
      <c r="AV457" s="467">
        <f>AV456*'9.项目开发计划表'!$G$74</f>
        <v>0</v>
      </c>
      <c r="AW457" s="424">
        <f t="shared" si="287"/>
        <v>0</v>
      </c>
    </row>
    <row r="458" spans="1:49" s="424" customFormat="1" ht="13.5" customHeight="1" outlineLevel="1">
      <c r="A458" s="1947"/>
      <c r="B458" s="1949"/>
      <c r="C458" s="461" t="s">
        <v>882</v>
      </c>
      <c r="D458" s="466">
        <f t="shared" si="293"/>
        <v>0</v>
      </c>
      <c r="E458" s="382">
        <f t="shared" ref="E458:AV458" si="294">E455*E457/10000</f>
        <v>0</v>
      </c>
      <c r="F458" s="397">
        <f t="shared" si="294"/>
        <v>0</v>
      </c>
      <c r="G458" s="397">
        <f t="shared" si="294"/>
        <v>0</v>
      </c>
      <c r="H458" s="467">
        <f t="shared" si="294"/>
        <v>0</v>
      </c>
      <c r="I458" s="382">
        <f t="shared" si="294"/>
        <v>0</v>
      </c>
      <c r="J458" s="397">
        <f t="shared" si="294"/>
        <v>0</v>
      </c>
      <c r="K458" s="397">
        <f t="shared" si="294"/>
        <v>0</v>
      </c>
      <c r="L458" s="467">
        <f t="shared" si="294"/>
        <v>0</v>
      </c>
      <c r="M458" s="382">
        <f t="shared" si="294"/>
        <v>0</v>
      </c>
      <c r="N458" s="397">
        <f t="shared" si="294"/>
        <v>0</v>
      </c>
      <c r="O458" s="397">
        <f t="shared" si="294"/>
        <v>0</v>
      </c>
      <c r="P458" s="467">
        <f t="shared" si="294"/>
        <v>0</v>
      </c>
      <c r="Q458" s="382">
        <f t="shared" si="294"/>
        <v>0</v>
      </c>
      <c r="R458" s="397">
        <f t="shared" si="294"/>
        <v>0</v>
      </c>
      <c r="S458" s="397">
        <f t="shared" si="294"/>
        <v>0</v>
      </c>
      <c r="T458" s="467">
        <f t="shared" si="294"/>
        <v>0</v>
      </c>
      <c r="U458" s="382">
        <f t="shared" si="294"/>
        <v>0</v>
      </c>
      <c r="V458" s="397">
        <f t="shared" si="294"/>
        <v>0</v>
      </c>
      <c r="W458" s="397">
        <f t="shared" si="294"/>
        <v>0</v>
      </c>
      <c r="X458" s="467">
        <f t="shared" si="294"/>
        <v>0</v>
      </c>
      <c r="Y458" s="382">
        <f t="shared" si="294"/>
        <v>0</v>
      </c>
      <c r="Z458" s="397">
        <f t="shared" si="294"/>
        <v>0</v>
      </c>
      <c r="AA458" s="397">
        <f t="shared" si="294"/>
        <v>0</v>
      </c>
      <c r="AB458" s="467">
        <f t="shared" si="294"/>
        <v>0</v>
      </c>
      <c r="AC458" s="382">
        <f t="shared" si="294"/>
        <v>0</v>
      </c>
      <c r="AD458" s="397">
        <f t="shared" si="294"/>
        <v>0</v>
      </c>
      <c r="AE458" s="397">
        <f t="shared" si="294"/>
        <v>0</v>
      </c>
      <c r="AF458" s="467">
        <f t="shared" si="294"/>
        <v>0</v>
      </c>
      <c r="AG458" s="382">
        <f t="shared" si="294"/>
        <v>0</v>
      </c>
      <c r="AH458" s="397">
        <f t="shared" si="294"/>
        <v>0</v>
      </c>
      <c r="AI458" s="397">
        <f t="shared" si="294"/>
        <v>0</v>
      </c>
      <c r="AJ458" s="467">
        <f t="shared" si="294"/>
        <v>0</v>
      </c>
      <c r="AK458" s="382">
        <f t="shared" si="294"/>
        <v>0</v>
      </c>
      <c r="AL458" s="397">
        <f t="shared" si="294"/>
        <v>0</v>
      </c>
      <c r="AM458" s="397">
        <f t="shared" si="294"/>
        <v>0</v>
      </c>
      <c r="AN458" s="467">
        <f t="shared" si="294"/>
        <v>0</v>
      </c>
      <c r="AO458" s="382">
        <f t="shared" si="294"/>
        <v>0</v>
      </c>
      <c r="AP458" s="397">
        <f t="shared" si="294"/>
        <v>0</v>
      </c>
      <c r="AQ458" s="397">
        <f t="shared" si="294"/>
        <v>0</v>
      </c>
      <c r="AR458" s="467">
        <f t="shared" si="294"/>
        <v>0</v>
      </c>
      <c r="AS458" s="382">
        <f t="shared" si="294"/>
        <v>0</v>
      </c>
      <c r="AT458" s="397">
        <f t="shared" si="294"/>
        <v>0</v>
      </c>
      <c r="AU458" s="397">
        <f t="shared" si="294"/>
        <v>0</v>
      </c>
      <c r="AV458" s="467">
        <f t="shared" si="294"/>
        <v>0</v>
      </c>
      <c r="AW458" s="424">
        <f t="shared" si="287"/>
        <v>0</v>
      </c>
    </row>
    <row r="459" spans="1:49" s="424" customFormat="1" ht="13.5" customHeight="1" outlineLevel="1">
      <c r="A459" s="1947"/>
      <c r="B459" s="1949"/>
      <c r="C459" s="508" t="s">
        <v>450</v>
      </c>
      <c r="D459" s="468">
        <f t="shared" si="293"/>
        <v>0</v>
      </c>
      <c r="E459" s="386">
        <f>SUMIF($I$1:$T$1,B455,$I$2:$T$2)*E458</f>
        <v>0</v>
      </c>
      <c r="F459" s="399">
        <f>(1-SUMIF($I$1:$T$1,B455,$I$2:$T$2))*E458+SUMIF($I$1:$T$1,B455,$I$2:$T$2)*F458</f>
        <v>0</v>
      </c>
      <c r="G459" s="399">
        <f>(1-SUMIF($I$1:$T$1,B455,$I$2:$T$2))*F458+SUMIF($I$1:$T$1,B455,$I$2:$T$2)*G458</f>
        <v>0</v>
      </c>
      <c r="H459" s="404">
        <f>(1-SUMIF($I$1:$T$1,B455,$I$2:$T$2))*G458+SUMIF($I$1:$T$1,B455,$I$2:$T$2)*H458</f>
        <v>0</v>
      </c>
      <c r="I459" s="386">
        <f>(1-SUMIF($I$1:$T$1,B455,$I$2:$T$2))*H458+SUMIF($I$1:$T$1,B455,$I$2:$T$2)*I458</f>
        <v>0</v>
      </c>
      <c r="J459" s="399">
        <f>(1-SUMIF($I$1:$T$1,B455,$I$2:$T$2))*I458+SUMIF($I$1:$T$1,B455,$I$2:$T$2)*J458</f>
        <v>0</v>
      </c>
      <c r="K459" s="399">
        <f>(1-SUMIF($I$1:$T$1,B455,$I$2:$T$2))*J458+SUMIF($I$1:$T$1,B455,$I$2:$T$2)*K458</f>
        <v>0</v>
      </c>
      <c r="L459" s="404">
        <f>(1-SUMIF($I$1:$T$1,B455,$I$2:$T$2))*K458+SUMIF($I$1:$T$1,B455,$I$2:$T$2)*L458</f>
        <v>0</v>
      </c>
      <c r="M459" s="386">
        <f>(1-SUMIF($I$1:$T$1,B455,$I$2:$T$2))*L458+SUMIF($I$1:$T$1,B455,$I$2:$T$2)*M458</f>
        <v>0</v>
      </c>
      <c r="N459" s="399">
        <f>(1-SUMIF($I$1:$T$1,B455,$I$2:$T$2))*M458+SUMIF($I$1:$T$1,B455,$I$2:$T$2)*N458</f>
        <v>0</v>
      </c>
      <c r="O459" s="399">
        <f>(1-SUMIF($I$1:$T$1,B455,$I$2:$T$2))*N458+SUMIF($I$1:$T$1,B455,$I$2:$T$2)*O458</f>
        <v>0</v>
      </c>
      <c r="P459" s="404">
        <f>(1-SUMIF($I$1:$T$1,B455,$I$2:$T$2))*O458+SUMIF($I$1:$T$1,B455,$I$2:$T$2)*P458</f>
        <v>0</v>
      </c>
      <c r="Q459" s="386">
        <f>(1-SUMIF($I$1:$T$1,B455,$I$2:$T$2))*P458+SUMIF($I$1:$T$1,B455,$I$2:$T$2)*Q458</f>
        <v>0</v>
      </c>
      <c r="R459" s="399">
        <f>(1-SUMIF($I$1:$T$1,B455,$I$2:$T$2))*Q458+SUMIF($I$1:$T$1,B455,$I$2:$T$2)*R458</f>
        <v>0</v>
      </c>
      <c r="S459" s="399">
        <f>(1-SUMIF($I$1:$T$1,B455,$I$2:$T$2))*R458+SUMIF($I$1:$T$1,B455,$I$2:$T$2)*S458</f>
        <v>0</v>
      </c>
      <c r="T459" s="404">
        <f>(1-SUMIF($I$1:$T$1,B455,$I$2:$T$2))*S458+SUMIF($I$1:$T$1,B455,$I$2:$T$2)*T458</f>
        <v>0</v>
      </c>
      <c r="U459" s="386">
        <f>(1-SUMIF($I$1:$T$1,B455,$I$2:$T$2))*T458+SUMIF($I$1:$T$1,B455,$I$2:$T$2)*U458</f>
        <v>0</v>
      </c>
      <c r="V459" s="399">
        <f>(1-SUMIF($I$1:$T$1,B455,$I$2:$T$2))*U458+SUMIF($I$1:$T$1,B455,$I$2:$T$2)*V458</f>
        <v>0</v>
      </c>
      <c r="W459" s="399">
        <f>(1-SUMIF($I$1:$T$1,B455,$I$2:$T$2))*V458+SUMIF($I$1:$T$1,B455,$I$2:$T$2)*W458</f>
        <v>0</v>
      </c>
      <c r="X459" s="404">
        <f>(1-SUMIF($I$1:$T$1,B455,$I$2:$T$2))*W458+SUMIF($I$1:$T$1,B455,$I$2:$T$2)*X458</f>
        <v>0</v>
      </c>
      <c r="Y459" s="386">
        <f>(1-SUMIF($I$1:$T$1,B455,$I$2:$T$2))*X458+SUMIF($I$1:$T$1,B455,$I$2:$T$2)*Y458</f>
        <v>0</v>
      </c>
      <c r="Z459" s="399">
        <f>(1-SUMIF($I$1:$T$1,B455,$I$2:$T$2))*Y458+SUMIF($I$1:$T$1,B455,$I$2:$T$2)*Z458</f>
        <v>0</v>
      </c>
      <c r="AA459" s="399">
        <f>(1-SUMIF($I$1:$T$1,B455,$I$2:$T$2))*Z458+SUMIF($I$1:$T$1,B455,$I$2:$T$2)*AA458</f>
        <v>0</v>
      </c>
      <c r="AB459" s="404">
        <f>(1-SUMIF($I$1:$T$1,B455,$I$2:$T$2))*AA458+SUMIF($I$1:$T$1,B455,$I$2:$T$2)*AB458</f>
        <v>0</v>
      </c>
      <c r="AC459" s="386">
        <f>(1-SUMIF($I$1:$T$1,B455,$I$2:$T$2))*AB458+SUMIF($I$1:$T$1,B455,$I$2:$T$2)*AC458</f>
        <v>0</v>
      </c>
      <c r="AD459" s="399">
        <f>(1-SUMIF($I$1:$T$1,B455,$I$2:$T$2))*AC458+SUMIF($I$1:$T$1,B455,$I$2:$T$2)*AD458</f>
        <v>0</v>
      </c>
      <c r="AE459" s="399">
        <f>(1-SUMIF($I$1:$T$1,B455,$I$2:$T$2))*AD458+SUMIF($I$1:$T$1,B455,$I$2:$T$2)*AE458</f>
        <v>0</v>
      </c>
      <c r="AF459" s="404">
        <f>(1-SUMIF($I$1:$T$1,B455,$I$2:$T$2))*AE458+SUMIF($I$1:$T$1,B455,$I$2:$T$2)*AF458</f>
        <v>0</v>
      </c>
      <c r="AG459" s="386">
        <f>(1-SUMIF($I$1:$T$1,B455,$I$2:$T$2))*AF458+SUMIF($I$1:$T$1,B455,$I$2:$T$2)*AG458</f>
        <v>0</v>
      </c>
      <c r="AH459" s="399">
        <f>(1-SUMIF($I$1:$T$1,B455,$I$2:$T$2))*AG458+SUMIF($I$1:$T$1,B455,$I$2:$T$2)*AH458</f>
        <v>0</v>
      </c>
      <c r="AI459" s="399">
        <f>(1-SUMIF($I$1:$T$1,B455,$I$2:$T$2))*AH458+SUMIF($I$1:$T$1,B455,$I$2:$T$2)*AI458</f>
        <v>0</v>
      </c>
      <c r="AJ459" s="404">
        <f>(1-SUMIF($I$1:$T$1,B455,$I$2:$T$2))*AI458+SUMIF($I$1:$T$1,B455,$I$2:$T$2)*AJ458</f>
        <v>0</v>
      </c>
      <c r="AK459" s="386">
        <f>(1-SUMIF($I$1:$T$1,B455,$I$2:$T$2))*AJ458+SUMIF($I$1:$T$1,B455,$I$2:$T$2)*AK458</f>
        <v>0</v>
      </c>
      <c r="AL459" s="399">
        <f>(1-SUMIF($I$1:$T$1,B455,$I$2:$T$2))*AK458+SUMIF($I$1:$T$1,B455,$I$2:$T$2)*AL458</f>
        <v>0</v>
      </c>
      <c r="AM459" s="399">
        <f>(1-SUMIF($I$1:$T$1,B455,$I$2:$T$2))*AL458+SUMIF($I$1:$T$1,B455,$I$2:$T$2)*AM458</f>
        <v>0</v>
      </c>
      <c r="AN459" s="404">
        <f>(1-SUMIF($I$1:$T$1,B455,$I$2:$T$2))*AM458+SUMIF($I$1:$T$1,B455,$I$2:$T$2)*AN458</f>
        <v>0</v>
      </c>
      <c r="AO459" s="386">
        <f>(1-SUMIF($I$1:$T$1,B455,$I$2:$T$2))*AN458+SUMIF($I$1:$T$1,B455,$I$2:$T$2)*AO458</f>
        <v>0</v>
      </c>
      <c r="AP459" s="399">
        <f>(1-SUMIF($I$1:$T$1,B455,$I$2:$T$2))*AO458+SUMIF($I$1:$T$1,B455,$I$2:$T$2)*AP458</f>
        <v>0</v>
      </c>
      <c r="AQ459" s="399">
        <f>(1-SUMIF($I$1:$T$1,B455,$I$2:$T$2))*AP458+SUMIF($I$1:$T$1,B455,$I$2:$T$2)*AQ458</f>
        <v>0</v>
      </c>
      <c r="AR459" s="404">
        <f>(1-SUMIF($I$1:$T$1,B455,$I$2:$T$2))*AQ458+SUMIF($I$1:$T$1,B455,$I$2:$T$2)*AR458</f>
        <v>0</v>
      </c>
      <c r="AS459" s="386">
        <f>(1-SUMIF($I$1:$T$1,B455,$I$2:$T$2))*AR458+SUMIF($I$1:$T$1,B455,$I$2:$T$2)*AS458</f>
        <v>0</v>
      </c>
      <c r="AT459" s="399">
        <f>(1-SUMIF($I$1:$T$1,B455,$I$2:$T$2))*AS458+SUMIF($I$1:$T$1,B455,$I$2:$T$2)*AT458</f>
        <v>0</v>
      </c>
      <c r="AU459" s="399">
        <f>(1-SUMIF($I$1:$T$1,B455,$I$2:$T$2))*AT458+SUMIF($I$1:$T$1,B455,$I$2:$T$2)*AU458</f>
        <v>0</v>
      </c>
      <c r="AV459" s="404">
        <f>(1-SUMIF($I$1:$T$1,B455,$I$2:$T$2))*AU458+SUMIF($I$1:$T$1,B455,$I$2:$T$2)*AV458</f>
        <v>0</v>
      </c>
      <c r="AW459" s="424">
        <f t="shared" si="287"/>
        <v>0</v>
      </c>
    </row>
    <row r="460" spans="1:49" s="424" customFormat="1" ht="13.5" customHeight="1" outlineLevel="1">
      <c r="A460" s="1947"/>
      <c r="B460" s="1949">
        <f>'9.项目开发计划表'!C75</f>
        <v>0</v>
      </c>
      <c r="C460" s="456" t="s">
        <v>880</v>
      </c>
      <c r="D460" s="457">
        <f>IF(D462=0,0,D463/D462*10000)</f>
        <v>0</v>
      </c>
      <c r="E460" s="505"/>
      <c r="F460" s="506"/>
      <c r="G460" s="506"/>
      <c r="H460" s="507"/>
      <c r="I460" s="505"/>
      <c r="J460" s="506"/>
      <c r="K460" s="506"/>
      <c r="L460" s="507"/>
      <c r="M460" s="505"/>
      <c r="N460" s="506"/>
      <c r="O460" s="506"/>
      <c r="P460" s="507"/>
      <c r="Q460" s="505"/>
      <c r="R460" s="506"/>
      <c r="S460" s="506"/>
      <c r="T460" s="507"/>
      <c r="U460" s="505"/>
      <c r="V460" s="506"/>
      <c r="W460" s="506"/>
      <c r="X460" s="507"/>
      <c r="Y460" s="505"/>
      <c r="Z460" s="506"/>
      <c r="AA460" s="506"/>
      <c r="AB460" s="507"/>
      <c r="AC460" s="505"/>
      <c r="AD460" s="506"/>
      <c r="AE460" s="506"/>
      <c r="AF460" s="507"/>
      <c r="AG460" s="505"/>
      <c r="AH460" s="506"/>
      <c r="AI460" s="506"/>
      <c r="AJ460" s="507"/>
      <c r="AK460" s="505"/>
      <c r="AL460" s="506"/>
      <c r="AM460" s="506"/>
      <c r="AN460" s="507"/>
      <c r="AO460" s="505"/>
      <c r="AP460" s="506"/>
      <c r="AQ460" s="506"/>
      <c r="AR460" s="507"/>
      <c r="AS460" s="505"/>
      <c r="AT460" s="506"/>
      <c r="AU460" s="506"/>
      <c r="AV460" s="507"/>
      <c r="AW460" s="424">
        <f>B460</f>
        <v>0</v>
      </c>
    </row>
    <row r="461" spans="1:49" ht="13.5" customHeight="1" outlineLevel="1">
      <c r="A461" s="1947"/>
      <c r="B461" s="1949"/>
      <c r="C461" s="461" t="s">
        <v>881</v>
      </c>
      <c r="D461" s="462">
        <f t="shared" ref="D461:D464" si="295">SUM(E461:AV461)</f>
        <v>0</v>
      </c>
      <c r="E461" s="494"/>
      <c r="F461" s="491"/>
      <c r="G461" s="491"/>
      <c r="H461" s="493"/>
      <c r="I461" s="494"/>
      <c r="J461" s="491"/>
      <c r="K461" s="491"/>
      <c r="L461" s="493"/>
      <c r="M461" s="494"/>
      <c r="N461" s="491"/>
      <c r="O461" s="491"/>
      <c r="P461" s="493"/>
      <c r="Q461" s="494"/>
      <c r="R461" s="491"/>
      <c r="S461" s="491"/>
      <c r="T461" s="493"/>
      <c r="U461" s="494"/>
      <c r="V461" s="491"/>
      <c r="W461" s="491"/>
      <c r="X461" s="493"/>
      <c r="Y461" s="494"/>
      <c r="Z461" s="491"/>
      <c r="AA461" s="491"/>
      <c r="AB461" s="493"/>
      <c r="AC461" s="494"/>
      <c r="AD461" s="491"/>
      <c r="AE461" s="491"/>
      <c r="AF461" s="493"/>
      <c r="AG461" s="494"/>
      <c r="AH461" s="491"/>
      <c r="AI461" s="491"/>
      <c r="AJ461" s="493"/>
      <c r="AK461" s="494"/>
      <c r="AL461" s="491"/>
      <c r="AM461" s="491"/>
      <c r="AN461" s="493"/>
      <c r="AO461" s="494"/>
      <c r="AP461" s="491"/>
      <c r="AQ461" s="491"/>
      <c r="AR461" s="493"/>
      <c r="AS461" s="494"/>
      <c r="AT461" s="491"/>
      <c r="AU461" s="491"/>
      <c r="AV461" s="493"/>
      <c r="AW461" s="424">
        <f>AW460</f>
        <v>0</v>
      </c>
    </row>
    <row r="462" spans="1:49" s="424" customFormat="1" ht="13.5" customHeight="1" outlineLevel="1">
      <c r="A462" s="1947"/>
      <c r="B462" s="1949"/>
      <c r="C462" s="461" t="s">
        <v>682</v>
      </c>
      <c r="D462" s="466">
        <f t="shared" si="295"/>
        <v>0</v>
      </c>
      <c r="E462" s="382">
        <f>E461*'9.项目开发计划表'!$G$75</f>
        <v>0</v>
      </c>
      <c r="F462" s="397">
        <f>F461*'9.项目开发计划表'!$G$75</f>
        <v>0</v>
      </c>
      <c r="G462" s="397">
        <f>G461*'9.项目开发计划表'!$G$75</f>
        <v>0</v>
      </c>
      <c r="H462" s="467">
        <f>H461*'9.项目开发计划表'!$G$75</f>
        <v>0</v>
      </c>
      <c r="I462" s="382">
        <f>I461*'9.项目开发计划表'!$G$75</f>
        <v>0</v>
      </c>
      <c r="J462" s="397">
        <f>J461*'9.项目开发计划表'!$G$75</f>
        <v>0</v>
      </c>
      <c r="K462" s="397">
        <f>K461*'9.项目开发计划表'!$G$75</f>
        <v>0</v>
      </c>
      <c r="L462" s="467">
        <f>L461*'9.项目开发计划表'!$G$75</f>
        <v>0</v>
      </c>
      <c r="M462" s="382">
        <f>M461*'9.项目开发计划表'!$G$75</f>
        <v>0</v>
      </c>
      <c r="N462" s="397">
        <f>N461*'9.项目开发计划表'!$G$75</f>
        <v>0</v>
      </c>
      <c r="O462" s="397">
        <f>O461*'9.项目开发计划表'!$G$75</f>
        <v>0</v>
      </c>
      <c r="P462" s="467">
        <f>P461*'9.项目开发计划表'!$G$75</f>
        <v>0</v>
      </c>
      <c r="Q462" s="382">
        <f>Q461*'9.项目开发计划表'!$G$75</f>
        <v>0</v>
      </c>
      <c r="R462" s="397">
        <f>R461*'9.项目开发计划表'!$G$75</f>
        <v>0</v>
      </c>
      <c r="S462" s="397">
        <f>S461*'9.项目开发计划表'!$G$75</f>
        <v>0</v>
      </c>
      <c r="T462" s="467">
        <f>T461*'9.项目开发计划表'!$G$75</f>
        <v>0</v>
      </c>
      <c r="U462" s="382">
        <f>U461*'9.项目开发计划表'!$G$75</f>
        <v>0</v>
      </c>
      <c r="V462" s="397">
        <f>V461*'9.项目开发计划表'!$G$75</f>
        <v>0</v>
      </c>
      <c r="W462" s="397">
        <f>W461*'9.项目开发计划表'!$G$75</f>
        <v>0</v>
      </c>
      <c r="X462" s="467">
        <f>X461*'9.项目开发计划表'!$G$75</f>
        <v>0</v>
      </c>
      <c r="Y462" s="382">
        <f>Y461*'9.项目开发计划表'!$G$75</f>
        <v>0</v>
      </c>
      <c r="Z462" s="397">
        <f>Z461*'9.项目开发计划表'!$G$75</f>
        <v>0</v>
      </c>
      <c r="AA462" s="397">
        <f>AA461*'9.项目开发计划表'!$G$75</f>
        <v>0</v>
      </c>
      <c r="AB462" s="467">
        <f>AB461*'9.项目开发计划表'!$G$75</f>
        <v>0</v>
      </c>
      <c r="AC462" s="382">
        <f>AC461*'9.项目开发计划表'!$G$75</f>
        <v>0</v>
      </c>
      <c r="AD462" s="397">
        <f>AD461*'9.项目开发计划表'!$G$75</f>
        <v>0</v>
      </c>
      <c r="AE462" s="397">
        <f>AE461*'9.项目开发计划表'!$G$75</f>
        <v>0</v>
      </c>
      <c r="AF462" s="467">
        <f>AF461*'9.项目开发计划表'!$G$75</f>
        <v>0</v>
      </c>
      <c r="AG462" s="382">
        <f>AG461*'9.项目开发计划表'!$G$75</f>
        <v>0</v>
      </c>
      <c r="AH462" s="397">
        <f>AH461*'9.项目开发计划表'!$G$75</f>
        <v>0</v>
      </c>
      <c r="AI462" s="397">
        <f>AI461*'9.项目开发计划表'!$G$75</f>
        <v>0</v>
      </c>
      <c r="AJ462" s="467">
        <f>AJ461*'9.项目开发计划表'!$G$75</f>
        <v>0</v>
      </c>
      <c r="AK462" s="382">
        <f>AK461*'9.项目开发计划表'!$G$75</f>
        <v>0</v>
      </c>
      <c r="AL462" s="397">
        <f>AL461*'9.项目开发计划表'!$G$75</f>
        <v>0</v>
      </c>
      <c r="AM462" s="397">
        <f>AM461*'9.项目开发计划表'!$G$75</f>
        <v>0</v>
      </c>
      <c r="AN462" s="467">
        <f>AN461*'9.项目开发计划表'!$G$75</f>
        <v>0</v>
      </c>
      <c r="AO462" s="382">
        <f>AO461*'9.项目开发计划表'!$G$75</f>
        <v>0</v>
      </c>
      <c r="AP462" s="397">
        <f>AP461*'9.项目开发计划表'!$G$75</f>
        <v>0</v>
      </c>
      <c r="AQ462" s="397">
        <f>AQ461*'9.项目开发计划表'!$G$75</f>
        <v>0</v>
      </c>
      <c r="AR462" s="467">
        <f>AR461*'9.项目开发计划表'!$G$75</f>
        <v>0</v>
      </c>
      <c r="AS462" s="382">
        <f>AS461*'9.项目开发计划表'!$G$75</f>
        <v>0</v>
      </c>
      <c r="AT462" s="397">
        <f>AT461*'9.项目开发计划表'!$G$75</f>
        <v>0</v>
      </c>
      <c r="AU462" s="397">
        <f>AU461*'9.项目开发计划表'!$G$75</f>
        <v>0</v>
      </c>
      <c r="AV462" s="467">
        <f>AV461*'9.项目开发计划表'!$G$75</f>
        <v>0</v>
      </c>
      <c r="AW462" s="424">
        <f t="shared" si="287"/>
        <v>0</v>
      </c>
    </row>
    <row r="463" spans="1:49" s="424" customFormat="1" ht="13.5" customHeight="1" outlineLevel="1">
      <c r="A463" s="1947"/>
      <c r="B463" s="1949"/>
      <c r="C463" s="461" t="s">
        <v>882</v>
      </c>
      <c r="D463" s="466">
        <f t="shared" si="295"/>
        <v>0</v>
      </c>
      <c r="E463" s="382">
        <f t="shared" ref="E463:AV463" si="296">E460*E462/10000</f>
        <v>0</v>
      </c>
      <c r="F463" s="397">
        <f t="shared" si="296"/>
        <v>0</v>
      </c>
      <c r="G463" s="397">
        <f t="shared" si="296"/>
        <v>0</v>
      </c>
      <c r="H463" s="467">
        <f t="shared" si="296"/>
        <v>0</v>
      </c>
      <c r="I463" s="382">
        <f t="shared" si="296"/>
        <v>0</v>
      </c>
      <c r="J463" s="397">
        <f t="shared" si="296"/>
        <v>0</v>
      </c>
      <c r="K463" s="397">
        <f t="shared" si="296"/>
        <v>0</v>
      </c>
      <c r="L463" s="467">
        <f t="shared" si="296"/>
        <v>0</v>
      </c>
      <c r="M463" s="382">
        <f t="shared" si="296"/>
        <v>0</v>
      </c>
      <c r="N463" s="397">
        <f t="shared" si="296"/>
        <v>0</v>
      </c>
      <c r="O463" s="397">
        <f t="shared" si="296"/>
        <v>0</v>
      </c>
      <c r="P463" s="467">
        <f t="shared" si="296"/>
        <v>0</v>
      </c>
      <c r="Q463" s="382">
        <f t="shared" si="296"/>
        <v>0</v>
      </c>
      <c r="R463" s="397">
        <f t="shared" si="296"/>
        <v>0</v>
      </c>
      <c r="S463" s="397">
        <f t="shared" si="296"/>
        <v>0</v>
      </c>
      <c r="T463" s="467">
        <f t="shared" si="296"/>
        <v>0</v>
      </c>
      <c r="U463" s="382">
        <f t="shared" si="296"/>
        <v>0</v>
      </c>
      <c r="V463" s="397">
        <f t="shared" si="296"/>
        <v>0</v>
      </c>
      <c r="W463" s="397">
        <f t="shared" si="296"/>
        <v>0</v>
      </c>
      <c r="X463" s="467">
        <f t="shared" si="296"/>
        <v>0</v>
      </c>
      <c r="Y463" s="382">
        <f t="shared" si="296"/>
        <v>0</v>
      </c>
      <c r="Z463" s="397">
        <f t="shared" si="296"/>
        <v>0</v>
      </c>
      <c r="AA463" s="397">
        <f t="shared" si="296"/>
        <v>0</v>
      </c>
      <c r="AB463" s="467">
        <f t="shared" si="296"/>
        <v>0</v>
      </c>
      <c r="AC463" s="382">
        <f t="shared" si="296"/>
        <v>0</v>
      </c>
      <c r="AD463" s="397">
        <f t="shared" si="296"/>
        <v>0</v>
      </c>
      <c r="AE463" s="397">
        <f t="shared" si="296"/>
        <v>0</v>
      </c>
      <c r="AF463" s="467">
        <f t="shared" si="296"/>
        <v>0</v>
      </c>
      <c r="AG463" s="382">
        <f t="shared" si="296"/>
        <v>0</v>
      </c>
      <c r="AH463" s="397">
        <f t="shared" si="296"/>
        <v>0</v>
      </c>
      <c r="AI463" s="397">
        <f t="shared" si="296"/>
        <v>0</v>
      </c>
      <c r="AJ463" s="467">
        <f t="shared" si="296"/>
        <v>0</v>
      </c>
      <c r="AK463" s="382">
        <f t="shared" si="296"/>
        <v>0</v>
      </c>
      <c r="AL463" s="397">
        <f t="shared" si="296"/>
        <v>0</v>
      </c>
      <c r="AM463" s="397">
        <f t="shared" si="296"/>
        <v>0</v>
      </c>
      <c r="AN463" s="467">
        <f t="shared" si="296"/>
        <v>0</v>
      </c>
      <c r="AO463" s="382">
        <f t="shared" si="296"/>
        <v>0</v>
      </c>
      <c r="AP463" s="397">
        <f t="shared" si="296"/>
        <v>0</v>
      </c>
      <c r="AQ463" s="397">
        <f t="shared" si="296"/>
        <v>0</v>
      </c>
      <c r="AR463" s="467">
        <f t="shared" si="296"/>
        <v>0</v>
      </c>
      <c r="AS463" s="382">
        <f t="shared" si="296"/>
        <v>0</v>
      </c>
      <c r="AT463" s="397">
        <f t="shared" si="296"/>
        <v>0</v>
      </c>
      <c r="AU463" s="397">
        <f t="shared" si="296"/>
        <v>0</v>
      </c>
      <c r="AV463" s="467">
        <f t="shared" si="296"/>
        <v>0</v>
      </c>
      <c r="AW463" s="424">
        <f t="shared" si="287"/>
        <v>0</v>
      </c>
    </row>
    <row r="464" spans="1:49" s="424" customFormat="1" ht="13.5" customHeight="1" outlineLevel="1">
      <c r="A464" s="1947"/>
      <c r="B464" s="1949"/>
      <c r="C464" s="508" t="s">
        <v>450</v>
      </c>
      <c r="D464" s="468">
        <f t="shared" si="295"/>
        <v>0</v>
      </c>
      <c r="E464" s="386">
        <f>SUMIF($I$1:$T$1,B460,$I$2:$T$2)*E463</f>
        <v>0</v>
      </c>
      <c r="F464" s="399">
        <f>(1-SUMIF($I$1:$T$1,B460,$I$2:$T$2))*E463+SUMIF($I$1:$T$1,B460,$I$2:$T$2)*F463</f>
        <v>0</v>
      </c>
      <c r="G464" s="399">
        <f>(1-SUMIF($I$1:$T$1,B460,$I$2:$T$2))*F463+SUMIF($I$1:$T$1,B460,$I$2:$T$2)*G463</f>
        <v>0</v>
      </c>
      <c r="H464" s="404">
        <f>(1-SUMIF($I$1:$T$1,B460,$I$2:$T$2))*G463+SUMIF($I$1:$T$1,B460,$I$2:$T$2)*H463</f>
        <v>0</v>
      </c>
      <c r="I464" s="386">
        <f>(1-SUMIF($I$1:$T$1,B460,$I$2:$T$2))*H463+SUMIF($I$1:$T$1,B460,$I$2:$T$2)*I463</f>
        <v>0</v>
      </c>
      <c r="J464" s="399">
        <f>(1-SUMIF($I$1:$T$1,B460,$I$2:$T$2))*I463+SUMIF($I$1:$T$1,B460,$I$2:$T$2)*J463</f>
        <v>0</v>
      </c>
      <c r="K464" s="399">
        <f>(1-SUMIF($I$1:$T$1,B460,$I$2:$T$2))*J463+SUMIF($I$1:$T$1,B460,$I$2:$T$2)*K463</f>
        <v>0</v>
      </c>
      <c r="L464" s="404">
        <f>(1-SUMIF($I$1:$T$1,B460,$I$2:$T$2))*K463+SUMIF($I$1:$T$1,B460,$I$2:$T$2)*L463</f>
        <v>0</v>
      </c>
      <c r="M464" s="386">
        <f>(1-SUMIF($I$1:$T$1,B460,$I$2:$T$2))*L463+SUMIF($I$1:$T$1,B460,$I$2:$T$2)*M463</f>
        <v>0</v>
      </c>
      <c r="N464" s="399">
        <f>(1-SUMIF($I$1:$T$1,B460,$I$2:$T$2))*M463+SUMIF($I$1:$T$1,B460,$I$2:$T$2)*N463</f>
        <v>0</v>
      </c>
      <c r="O464" s="399">
        <f>(1-SUMIF($I$1:$T$1,B460,$I$2:$T$2))*N463+SUMIF($I$1:$T$1,B460,$I$2:$T$2)*O463</f>
        <v>0</v>
      </c>
      <c r="P464" s="404">
        <f>(1-SUMIF($I$1:$T$1,B460,$I$2:$T$2))*O463+SUMIF($I$1:$T$1,B460,$I$2:$T$2)*P463</f>
        <v>0</v>
      </c>
      <c r="Q464" s="386">
        <f>(1-SUMIF($I$1:$T$1,B460,$I$2:$T$2))*P463+SUMIF($I$1:$T$1,B460,$I$2:$T$2)*Q463</f>
        <v>0</v>
      </c>
      <c r="R464" s="399">
        <f>(1-SUMIF($I$1:$T$1,B460,$I$2:$T$2))*Q463+SUMIF($I$1:$T$1,B460,$I$2:$T$2)*R463</f>
        <v>0</v>
      </c>
      <c r="S464" s="399">
        <f>(1-SUMIF($I$1:$T$1,B460,$I$2:$T$2))*R463+SUMIF($I$1:$T$1,B460,$I$2:$T$2)*S463</f>
        <v>0</v>
      </c>
      <c r="T464" s="404">
        <f>(1-SUMIF($I$1:$T$1,B460,$I$2:$T$2))*S463+SUMIF($I$1:$T$1,B460,$I$2:$T$2)*T463</f>
        <v>0</v>
      </c>
      <c r="U464" s="386">
        <f>(1-SUMIF($I$1:$T$1,B460,$I$2:$T$2))*T463+SUMIF($I$1:$T$1,B460,$I$2:$T$2)*U463</f>
        <v>0</v>
      </c>
      <c r="V464" s="399">
        <f>(1-SUMIF($I$1:$T$1,B460,$I$2:$T$2))*U463+SUMIF($I$1:$T$1,B460,$I$2:$T$2)*V463</f>
        <v>0</v>
      </c>
      <c r="W464" s="399">
        <f>(1-SUMIF($I$1:$T$1,B460,$I$2:$T$2))*V463+SUMIF($I$1:$T$1,B460,$I$2:$T$2)*W463</f>
        <v>0</v>
      </c>
      <c r="X464" s="404">
        <f>(1-SUMIF($I$1:$T$1,B460,$I$2:$T$2))*W463+SUMIF($I$1:$T$1,B460,$I$2:$T$2)*X463</f>
        <v>0</v>
      </c>
      <c r="Y464" s="386">
        <f>(1-SUMIF($I$1:$T$1,B460,$I$2:$T$2))*X463+SUMIF($I$1:$T$1,B460,$I$2:$T$2)*Y463</f>
        <v>0</v>
      </c>
      <c r="Z464" s="399">
        <f>(1-SUMIF($I$1:$T$1,B460,$I$2:$T$2))*Y463+SUMIF($I$1:$T$1,B460,$I$2:$T$2)*Z463</f>
        <v>0</v>
      </c>
      <c r="AA464" s="399">
        <f>(1-SUMIF($I$1:$T$1,B460,$I$2:$T$2))*Z463+SUMIF($I$1:$T$1,B460,$I$2:$T$2)*AA463</f>
        <v>0</v>
      </c>
      <c r="AB464" s="404">
        <f>(1-SUMIF($I$1:$T$1,B460,$I$2:$T$2))*AA463+SUMIF($I$1:$T$1,B460,$I$2:$T$2)*AB463</f>
        <v>0</v>
      </c>
      <c r="AC464" s="386">
        <f>(1-SUMIF($I$1:$T$1,B460,$I$2:$T$2))*AB463+SUMIF($I$1:$T$1,B460,$I$2:$T$2)*AC463</f>
        <v>0</v>
      </c>
      <c r="AD464" s="399">
        <f>(1-SUMIF($I$1:$T$1,B460,$I$2:$T$2))*AC463+SUMIF($I$1:$T$1,B460,$I$2:$T$2)*AD463</f>
        <v>0</v>
      </c>
      <c r="AE464" s="399">
        <f>(1-SUMIF($I$1:$T$1,B460,$I$2:$T$2))*AD463+SUMIF($I$1:$T$1,B460,$I$2:$T$2)*AE463</f>
        <v>0</v>
      </c>
      <c r="AF464" s="404">
        <f>(1-SUMIF($I$1:$T$1,B460,$I$2:$T$2))*AE463+SUMIF($I$1:$T$1,B460,$I$2:$T$2)*AF463</f>
        <v>0</v>
      </c>
      <c r="AG464" s="386">
        <f>(1-SUMIF($I$1:$T$1,B460,$I$2:$T$2))*AF463+SUMIF($I$1:$T$1,B460,$I$2:$T$2)*AG463</f>
        <v>0</v>
      </c>
      <c r="AH464" s="399">
        <f>(1-SUMIF($I$1:$T$1,B460,$I$2:$T$2))*AG463+SUMIF($I$1:$T$1,B460,$I$2:$T$2)*AH463</f>
        <v>0</v>
      </c>
      <c r="AI464" s="399">
        <f>(1-SUMIF($I$1:$T$1,B460,$I$2:$T$2))*AH463+SUMIF($I$1:$T$1,B460,$I$2:$T$2)*AI463</f>
        <v>0</v>
      </c>
      <c r="AJ464" s="404">
        <f>(1-SUMIF($I$1:$T$1,B460,$I$2:$T$2))*AI463+SUMIF($I$1:$T$1,B460,$I$2:$T$2)*AJ463</f>
        <v>0</v>
      </c>
      <c r="AK464" s="386">
        <f>(1-SUMIF($I$1:$T$1,B460,$I$2:$T$2))*AJ463+SUMIF($I$1:$T$1,B460,$I$2:$T$2)*AK463</f>
        <v>0</v>
      </c>
      <c r="AL464" s="399">
        <f>(1-SUMIF($I$1:$T$1,B460,$I$2:$T$2))*AK463+SUMIF($I$1:$T$1,B460,$I$2:$T$2)*AL463</f>
        <v>0</v>
      </c>
      <c r="AM464" s="399">
        <f>(1-SUMIF($I$1:$T$1,B460,$I$2:$T$2))*AL463+SUMIF($I$1:$T$1,B460,$I$2:$T$2)*AM463</f>
        <v>0</v>
      </c>
      <c r="AN464" s="404">
        <f>(1-SUMIF($I$1:$T$1,B460,$I$2:$T$2))*AM463+SUMIF($I$1:$T$1,B460,$I$2:$T$2)*AN463</f>
        <v>0</v>
      </c>
      <c r="AO464" s="386">
        <f>(1-SUMIF($I$1:$T$1,B460,$I$2:$T$2))*AN463+SUMIF($I$1:$T$1,B460,$I$2:$T$2)*AO463</f>
        <v>0</v>
      </c>
      <c r="AP464" s="399">
        <f>(1-SUMIF($I$1:$T$1,B460,$I$2:$T$2))*AO463+SUMIF($I$1:$T$1,B460,$I$2:$T$2)*AP463</f>
        <v>0</v>
      </c>
      <c r="AQ464" s="399">
        <f>(1-SUMIF($I$1:$T$1,B460,$I$2:$T$2))*AP463+SUMIF($I$1:$T$1,B460,$I$2:$T$2)*AQ463</f>
        <v>0</v>
      </c>
      <c r="AR464" s="404">
        <f>(1-SUMIF($I$1:$T$1,B460,$I$2:$T$2))*AQ463+SUMIF($I$1:$T$1,B460,$I$2:$T$2)*AR463</f>
        <v>0</v>
      </c>
      <c r="AS464" s="386">
        <f>(1-SUMIF($I$1:$T$1,B460,$I$2:$T$2))*AR463+SUMIF($I$1:$T$1,B460,$I$2:$T$2)*AS463</f>
        <v>0</v>
      </c>
      <c r="AT464" s="399">
        <f>(1-SUMIF($I$1:$T$1,B460,$I$2:$T$2))*AS463+SUMIF($I$1:$T$1,B460,$I$2:$T$2)*AT463</f>
        <v>0</v>
      </c>
      <c r="AU464" s="399">
        <f>(1-SUMIF($I$1:$T$1,B460,$I$2:$T$2))*AT463+SUMIF($I$1:$T$1,B460,$I$2:$T$2)*AU463</f>
        <v>0</v>
      </c>
      <c r="AV464" s="404">
        <f>(1-SUMIF($I$1:$T$1,B460,$I$2:$T$2))*AU463+SUMIF($I$1:$T$1,B460,$I$2:$T$2)*AV463</f>
        <v>0</v>
      </c>
      <c r="AW464" s="424">
        <f t="shared" si="287"/>
        <v>0</v>
      </c>
    </row>
    <row r="465" spans="1:49" s="424" customFormat="1" ht="13.5" customHeight="1" outlineLevel="1">
      <c r="A465" s="1947"/>
      <c r="B465" s="1949">
        <f>'9.项目开发计划表'!C76</f>
        <v>0</v>
      </c>
      <c r="C465" s="456" t="s">
        <v>880</v>
      </c>
      <c r="D465" s="457">
        <f>IF(D467=0,0,D468/D467*10000)</f>
        <v>0</v>
      </c>
      <c r="E465" s="505"/>
      <c r="F465" s="506"/>
      <c r="G465" s="506"/>
      <c r="H465" s="507"/>
      <c r="I465" s="505"/>
      <c r="J465" s="506"/>
      <c r="K465" s="506"/>
      <c r="L465" s="507"/>
      <c r="M465" s="505"/>
      <c r="N465" s="506"/>
      <c r="O465" s="506"/>
      <c r="P465" s="507"/>
      <c r="Q465" s="505"/>
      <c r="R465" s="506"/>
      <c r="S465" s="506"/>
      <c r="T465" s="507"/>
      <c r="U465" s="505"/>
      <c r="V465" s="506"/>
      <c r="W465" s="506"/>
      <c r="X465" s="507"/>
      <c r="Y465" s="505"/>
      <c r="Z465" s="506"/>
      <c r="AA465" s="506"/>
      <c r="AB465" s="507"/>
      <c r="AC465" s="505"/>
      <c r="AD465" s="506"/>
      <c r="AE465" s="506"/>
      <c r="AF465" s="507"/>
      <c r="AG465" s="505"/>
      <c r="AH465" s="506"/>
      <c r="AI465" s="506"/>
      <c r="AJ465" s="507"/>
      <c r="AK465" s="505"/>
      <c r="AL465" s="506"/>
      <c r="AM465" s="506"/>
      <c r="AN465" s="507"/>
      <c r="AO465" s="505"/>
      <c r="AP465" s="506"/>
      <c r="AQ465" s="506"/>
      <c r="AR465" s="507"/>
      <c r="AS465" s="505"/>
      <c r="AT465" s="506"/>
      <c r="AU465" s="506"/>
      <c r="AV465" s="507"/>
      <c r="AW465" s="424">
        <f>B465</f>
        <v>0</v>
      </c>
    </row>
    <row r="466" spans="1:49" ht="13.5" customHeight="1" outlineLevel="1">
      <c r="A466" s="1947"/>
      <c r="B466" s="1949"/>
      <c r="C466" s="461" t="s">
        <v>881</v>
      </c>
      <c r="D466" s="462">
        <f t="shared" ref="D466:D469" si="297">SUM(E466:AV466)</f>
        <v>0</v>
      </c>
      <c r="E466" s="494"/>
      <c r="F466" s="491"/>
      <c r="G466" s="491"/>
      <c r="H466" s="493"/>
      <c r="I466" s="494"/>
      <c r="J466" s="491"/>
      <c r="K466" s="491"/>
      <c r="L466" s="493"/>
      <c r="M466" s="494"/>
      <c r="N466" s="491"/>
      <c r="O466" s="491"/>
      <c r="P466" s="493"/>
      <c r="Q466" s="494"/>
      <c r="R466" s="491"/>
      <c r="S466" s="491"/>
      <c r="T466" s="493"/>
      <c r="U466" s="494"/>
      <c r="V466" s="491"/>
      <c r="W466" s="491"/>
      <c r="X466" s="493"/>
      <c r="Y466" s="494"/>
      <c r="Z466" s="491"/>
      <c r="AA466" s="491"/>
      <c r="AB466" s="493"/>
      <c r="AC466" s="494"/>
      <c r="AD466" s="491"/>
      <c r="AE466" s="491"/>
      <c r="AF466" s="493"/>
      <c r="AG466" s="494"/>
      <c r="AH466" s="491"/>
      <c r="AI466" s="491"/>
      <c r="AJ466" s="493"/>
      <c r="AK466" s="494"/>
      <c r="AL466" s="491"/>
      <c r="AM466" s="491"/>
      <c r="AN466" s="493"/>
      <c r="AO466" s="494"/>
      <c r="AP466" s="491"/>
      <c r="AQ466" s="491"/>
      <c r="AR466" s="493"/>
      <c r="AS466" s="494"/>
      <c r="AT466" s="491"/>
      <c r="AU466" s="491"/>
      <c r="AV466" s="493"/>
      <c r="AW466" s="424">
        <f>AW465</f>
        <v>0</v>
      </c>
    </row>
    <row r="467" spans="1:49" s="424" customFormat="1" ht="13.5" customHeight="1" outlineLevel="1">
      <c r="A467" s="1947"/>
      <c r="B467" s="1949"/>
      <c r="C467" s="461" t="s">
        <v>682</v>
      </c>
      <c r="D467" s="466">
        <f t="shared" si="297"/>
        <v>0</v>
      </c>
      <c r="E467" s="382">
        <f>E466*'9.项目开发计划表'!$G$76</f>
        <v>0</v>
      </c>
      <c r="F467" s="397">
        <f>F466*'9.项目开发计划表'!$G$76</f>
        <v>0</v>
      </c>
      <c r="G467" s="397">
        <f>G466*'9.项目开发计划表'!$G$76</f>
        <v>0</v>
      </c>
      <c r="H467" s="467">
        <f>H466*'9.项目开发计划表'!$G$76</f>
        <v>0</v>
      </c>
      <c r="I467" s="382">
        <f>I466*'9.项目开发计划表'!$G$76</f>
        <v>0</v>
      </c>
      <c r="J467" s="397">
        <f>J466*'9.项目开发计划表'!$G$76</f>
        <v>0</v>
      </c>
      <c r="K467" s="397">
        <f>K466*'9.项目开发计划表'!$G$76</f>
        <v>0</v>
      </c>
      <c r="L467" s="467">
        <f>L466*'9.项目开发计划表'!$G$76</f>
        <v>0</v>
      </c>
      <c r="M467" s="382">
        <f>M466*'9.项目开发计划表'!$G$76</f>
        <v>0</v>
      </c>
      <c r="N467" s="397">
        <f>N466*'9.项目开发计划表'!$G$76</f>
        <v>0</v>
      </c>
      <c r="O467" s="397">
        <f>O466*'9.项目开发计划表'!$G$76</f>
        <v>0</v>
      </c>
      <c r="P467" s="467">
        <f>P466*'9.项目开发计划表'!$G$76</f>
        <v>0</v>
      </c>
      <c r="Q467" s="382">
        <f>Q466*'9.项目开发计划表'!$G$76</f>
        <v>0</v>
      </c>
      <c r="R467" s="397">
        <f>R466*'9.项目开发计划表'!$G$76</f>
        <v>0</v>
      </c>
      <c r="S467" s="397">
        <f>S466*'9.项目开发计划表'!$G$76</f>
        <v>0</v>
      </c>
      <c r="T467" s="467">
        <f>T466*'9.项目开发计划表'!$G$76</f>
        <v>0</v>
      </c>
      <c r="U467" s="382">
        <f>U466*'9.项目开发计划表'!$G$76</f>
        <v>0</v>
      </c>
      <c r="V467" s="397">
        <f>V466*'9.项目开发计划表'!$G$76</f>
        <v>0</v>
      </c>
      <c r="W467" s="397">
        <f>W466*'9.项目开发计划表'!$G$76</f>
        <v>0</v>
      </c>
      <c r="X467" s="467">
        <f>X466*'9.项目开发计划表'!$G$76</f>
        <v>0</v>
      </c>
      <c r="Y467" s="382">
        <f>Y466*'9.项目开发计划表'!$G$76</f>
        <v>0</v>
      </c>
      <c r="Z467" s="397">
        <f>Z466*'9.项目开发计划表'!$G$76</f>
        <v>0</v>
      </c>
      <c r="AA467" s="397">
        <f>AA466*'9.项目开发计划表'!$G$76</f>
        <v>0</v>
      </c>
      <c r="AB467" s="467">
        <f>AB466*'9.项目开发计划表'!$G$76</f>
        <v>0</v>
      </c>
      <c r="AC467" s="382">
        <f>AC466*'9.项目开发计划表'!$G$76</f>
        <v>0</v>
      </c>
      <c r="AD467" s="397">
        <f>AD466*'9.项目开发计划表'!$G$76</f>
        <v>0</v>
      </c>
      <c r="AE467" s="397">
        <f>AE466*'9.项目开发计划表'!$G$76</f>
        <v>0</v>
      </c>
      <c r="AF467" s="467">
        <f>AF466*'9.项目开发计划表'!$G$76</f>
        <v>0</v>
      </c>
      <c r="AG467" s="382">
        <f>AG466*'9.项目开发计划表'!$G$76</f>
        <v>0</v>
      </c>
      <c r="AH467" s="397">
        <f>AH466*'9.项目开发计划表'!$G$76</f>
        <v>0</v>
      </c>
      <c r="AI467" s="397">
        <f>AI466*'9.项目开发计划表'!$G$76</f>
        <v>0</v>
      </c>
      <c r="AJ467" s="467">
        <f>AJ466*'9.项目开发计划表'!$G$76</f>
        <v>0</v>
      </c>
      <c r="AK467" s="382">
        <f>AK466*'9.项目开发计划表'!$G$76</f>
        <v>0</v>
      </c>
      <c r="AL467" s="397">
        <f>AL466*'9.项目开发计划表'!$G$76</f>
        <v>0</v>
      </c>
      <c r="AM467" s="397">
        <f>AM466*'9.项目开发计划表'!$G$76</f>
        <v>0</v>
      </c>
      <c r="AN467" s="467">
        <f>AN466*'9.项目开发计划表'!$G$76</f>
        <v>0</v>
      </c>
      <c r="AO467" s="382">
        <f>AO466*'9.项目开发计划表'!$G$76</f>
        <v>0</v>
      </c>
      <c r="AP467" s="397">
        <f>AP466*'9.项目开发计划表'!$G$76</f>
        <v>0</v>
      </c>
      <c r="AQ467" s="397">
        <f>AQ466*'9.项目开发计划表'!$G$76</f>
        <v>0</v>
      </c>
      <c r="AR467" s="467">
        <f>AR466*'9.项目开发计划表'!$G$76</f>
        <v>0</v>
      </c>
      <c r="AS467" s="382">
        <f>AS466*'9.项目开发计划表'!$G$76</f>
        <v>0</v>
      </c>
      <c r="AT467" s="397">
        <f>AT466*'9.项目开发计划表'!$G$76</f>
        <v>0</v>
      </c>
      <c r="AU467" s="397">
        <f>AU466*'9.项目开发计划表'!$G$76</f>
        <v>0</v>
      </c>
      <c r="AV467" s="467">
        <f>AV466*'9.项目开发计划表'!$G$76</f>
        <v>0</v>
      </c>
      <c r="AW467" s="424">
        <f t="shared" si="287"/>
        <v>0</v>
      </c>
    </row>
    <row r="468" spans="1:49" s="424" customFormat="1" ht="13.5" customHeight="1" outlineLevel="1">
      <c r="A468" s="1947"/>
      <c r="B468" s="1949"/>
      <c r="C468" s="461" t="s">
        <v>882</v>
      </c>
      <c r="D468" s="466">
        <f t="shared" si="297"/>
        <v>0</v>
      </c>
      <c r="E468" s="382">
        <f t="shared" ref="E468:AV468" si="298">E465*E467/10000</f>
        <v>0</v>
      </c>
      <c r="F468" s="397">
        <f t="shared" si="298"/>
        <v>0</v>
      </c>
      <c r="G468" s="397">
        <f t="shared" si="298"/>
        <v>0</v>
      </c>
      <c r="H468" s="467">
        <f t="shared" si="298"/>
        <v>0</v>
      </c>
      <c r="I468" s="382">
        <f t="shared" si="298"/>
        <v>0</v>
      </c>
      <c r="J468" s="397">
        <f t="shared" si="298"/>
        <v>0</v>
      </c>
      <c r="K468" s="397">
        <f t="shared" si="298"/>
        <v>0</v>
      </c>
      <c r="L468" s="467">
        <f t="shared" si="298"/>
        <v>0</v>
      </c>
      <c r="M468" s="382">
        <f t="shared" si="298"/>
        <v>0</v>
      </c>
      <c r="N468" s="397">
        <f t="shared" si="298"/>
        <v>0</v>
      </c>
      <c r="O468" s="397">
        <f t="shared" si="298"/>
        <v>0</v>
      </c>
      <c r="P468" s="467">
        <f t="shared" si="298"/>
        <v>0</v>
      </c>
      <c r="Q468" s="382">
        <f t="shared" si="298"/>
        <v>0</v>
      </c>
      <c r="R468" s="397">
        <f t="shared" si="298"/>
        <v>0</v>
      </c>
      <c r="S468" s="397">
        <f t="shared" si="298"/>
        <v>0</v>
      </c>
      <c r="T468" s="467">
        <f t="shared" si="298"/>
        <v>0</v>
      </c>
      <c r="U468" s="382">
        <f t="shared" si="298"/>
        <v>0</v>
      </c>
      <c r="V468" s="397">
        <f t="shared" si="298"/>
        <v>0</v>
      </c>
      <c r="W468" s="397">
        <f t="shared" si="298"/>
        <v>0</v>
      </c>
      <c r="X468" s="467">
        <f t="shared" si="298"/>
        <v>0</v>
      </c>
      <c r="Y468" s="382">
        <f t="shared" si="298"/>
        <v>0</v>
      </c>
      <c r="Z468" s="397">
        <f t="shared" si="298"/>
        <v>0</v>
      </c>
      <c r="AA468" s="397">
        <f t="shared" si="298"/>
        <v>0</v>
      </c>
      <c r="AB468" s="467">
        <f t="shared" si="298"/>
        <v>0</v>
      </c>
      <c r="AC468" s="382">
        <f t="shared" si="298"/>
        <v>0</v>
      </c>
      <c r="AD468" s="397">
        <f t="shared" si="298"/>
        <v>0</v>
      </c>
      <c r="AE468" s="397">
        <f t="shared" si="298"/>
        <v>0</v>
      </c>
      <c r="AF468" s="467">
        <f t="shared" si="298"/>
        <v>0</v>
      </c>
      <c r="AG468" s="382">
        <f t="shared" si="298"/>
        <v>0</v>
      </c>
      <c r="AH468" s="397">
        <f t="shared" si="298"/>
        <v>0</v>
      </c>
      <c r="AI468" s="397">
        <f t="shared" si="298"/>
        <v>0</v>
      </c>
      <c r="AJ468" s="467">
        <f t="shared" si="298"/>
        <v>0</v>
      </c>
      <c r="AK468" s="382">
        <f t="shared" si="298"/>
        <v>0</v>
      </c>
      <c r="AL468" s="397">
        <f t="shared" si="298"/>
        <v>0</v>
      </c>
      <c r="AM468" s="397">
        <f t="shared" si="298"/>
        <v>0</v>
      </c>
      <c r="AN468" s="467">
        <f t="shared" si="298"/>
        <v>0</v>
      </c>
      <c r="AO468" s="382">
        <f t="shared" si="298"/>
        <v>0</v>
      </c>
      <c r="AP468" s="397">
        <f t="shared" si="298"/>
        <v>0</v>
      </c>
      <c r="AQ468" s="397">
        <f t="shared" si="298"/>
        <v>0</v>
      </c>
      <c r="AR468" s="467">
        <f t="shared" si="298"/>
        <v>0</v>
      </c>
      <c r="AS468" s="382">
        <f t="shared" si="298"/>
        <v>0</v>
      </c>
      <c r="AT468" s="397">
        <f t="shared" si="298"/>
        <v>0</v>
      </c>
      <c r="AU468" s="397">
        <f t="shared" si="298"/>
        <v>0</v>
      </c>
      <c r="AV468" s="467">
        <f t="shared" si="298"/>
        <v>0</v>
      </c>
      <c r="AW468" s="424">
        <f t="shared" si="287"/>
        <v>0</v>
      </c>
    </row>
    <row r="469" spans="1:49" s="424" customFormat="1" ht="13.5" customHeight="1" outlineLevel="1">
      <c r="A469" s="1947"/>
      <c r="B469" s="1949"/>
      <c r="C469" s="508" t="s">
        <v>450</v>
      </c>
      <c r="D469" s="468">
        <f t="shared" si="297"/>
        <v>0</v>
      </c>
      <c r="E469" s="386">
        <f>SUMIF($I$1:$T$1,B465,$I$2:$T$2)*E468</f>
        <v>0</v>
      </c>
      <c r="F469" s="399">
        <f>(1-SUMIF($I$1:$T$1,B465,$I$2:$T$2))*E468+SUMIF($I$1:$T$1,B465,$I$2:$T$2)*F468</f>
        <v>0</v>
      </c>
      <c r="G469" s="399">
        <f>(1-SUMIF($I$1:$T$1,B465,$I$2:$T$2))*F468+SUMIF($I$1:$T$1,B465,$I$2:$T$2)*G468</f>
        <v>0</v>
      </c>
      <c r="H469" s="404">
        <f>(1-SUMIF($I$1:$T$1,B465,$I$2:$T$2))*G468+SUMIF($I$1:$T$1,B465,$I$2:$T$2)*H468</f>
        <v>0</v>
      </c>
      <c r="I469" s="386">
        <f>(1-SUMIF($I$1:$T$1,B465,$I$2:$T$2))*H468+SUMIF($I$1:$T$1,B465,$I$2:$T$2)*I468</f>
        <v>0</v>
      </c>
      <c r="J469" s="399">
        <f>(1-SUMIF($I$1:$T$1,B465,$I$2:$T$2))*I468+SUMIF($I$1:$T$1,B465,$I$2:$T$2)*J468</f>
        <v>0</v>
      </c>
      <c r="K469" s="399">
        <f>(1-SUMIF($I$1:$T$1,B465,$I$2:$T$2))*J468+SUMIF($I$1:$T$1,B465,$I$2:$T$2)*K468</f>
        <v>0</v>
      </c>
      <c r="L469" s="404">
        <f>(1-SUMIF($I$1:$T$1,B465,$I$2:$T$2))*K468+SUMIF($I$1:$T$1,B465,$I$2:$T$2)*L468</f>
        <v>0</v>
      </c>
      <c r="M469" s="386">
        <f>(1-SUMIF($I$1:$T$1,B465,$I$2:$T$2))*L468+SUMIF($I$1:$T$1,B465,$I$2:$T$2)*M468</f>
        <v>0</v>
      </c>
      <c r="N469" s="399">
        <f>(1-SUMIF($I$1:$T$1,B465,$I$2:$T$2))*M468+SUMIF($I$1:$T$1,B465,$I$2:$T$2)*N468</f>
        <v>0</v>
      </c>
      <c r="O469" s="399">
        <f>(1-SUMIF($I$1:$T$1,B465,$I$2:$T$2))*N468+SUMIF($I$1:$T$1,B465,$I$2:$T$2)*O468</f>
        <v>0</v>
      </c>
      <c r="P469" s="404">
        <f>(1-SUMIF($I$1:$T$1,B465,$I$2:$T$2))*O468+SUMIF($I$1:$T$1,B465,$I$2:$T$2)*P468</f>
        <v>0</v>
      </c>
      <c r="Q469" s="386">
        <f>(1-SUMIF($I$1:$T$1,B465,$I$2:$T$2))*P468+SUMIF($I$1:$T$1,B465,$I$2:$T$2)*Q468</f>
        <v>0</v>
      </c>
      <c r="R469" s="399">
        <f>(1-SUMIF($I$1:$T$1,B465,$I$2:$T$2))*Q468+SUMIF($I$1:$T$1,B465,$I$2:$T$2)*R468</f>
        <v>0</v>
      </c>
      <c r="S469" s="399">
        <f>(1-SUMIF($I$1:$T$1,B465,$I$2:$T$2))*R468+SUMIF($I$1:$T$1,B465,$I$2:$T$2)*S468</f>
        <v>0</v>
      </c>
      <c r="T469" s="404">
        <f>(1-SUMIF($I$1:$T$1,B465,$I$2:$T$2))*S468+SUMIF($I$1:$T$1,B465,$I$2:$T$2)*T468</f>
        <v>0</v>
      </c>
      <c r="U469" s="386">
        <f>(1-SUMIF($I$1:$T$1,B465,$I$2:$T$2))*T468+SUMIF($I$1:$T$1,B465,$I$2:$T$2)*U468</f>
        <v>0</v>
      </c>
      <c r="V469" s="399">
        <f>(1-SUMIF($I$1:$T$1,B465,$I$2:$T$2))*U468+SUMIF($I$1:$T$1,B465,$I$2:$T$2)*V468</f>
        <v>0</v>
      </c>
      <c r="W469" s="399">
        <f>(1-SUMIF($I$1:$T$1,B465,$I$2:$T$2))*V468+SUMIF($I$1:$T$1,B465,$I$2:$T$2)*W468</f>
        <v>0</v>
      </c>
      <c r="X469" s="404">
        <f>(1-SUMIF($I$1:$T$1,B465,$I$2:$T$2))*W468+SUMIF($I$1:$T$1,B465,$I$2:$T$2)*X468</f>
        <v>0</v>
      </c>
      <c r="Y469" s="386">
        <f>(1-SUMIF($I$1:$T$1,B465,$I$2:$T$2))*X468+SUMIF($I$1:$T$1,B465,$I$2:$T$2)*Y468</f>
        <v>0</v>
      </c>
      <c r="Z469" s="399">
        <f>(1-SUMIF($I$1:$T$1,B465,$I$2:$T$2))*Y468+SUMIF($I$1:$T$1,B465,$I$2:$T$2)*Z468</f>
        <v>0</v>
      </c>
      <c r="AA469" s="399">
        <f>(1-SUMIF($I$1:$T$1,B465,$I$2:$T$2))*Z468+SUMIF($I$1:$T$1,B465,$I$2:$T$2)*AA468</f>
        <v>0</v>
      </c>
      <c r="AB469" s="404">
        <f>(1-SUMIF($I$1:$T$1,B465,$I$2:$T$2))*AA468+SUMIF($I$1:$T$1,B465,$I$2:$T$2)*AB468</f>
        <v>0</v>
      </c>
      <c r="AC469" s="386">
        <f>(1-SUMIF($I$1:$T$1,B465,$I$2:$T$2))*AB468+SUMIF($I$1:$T$1,B465,$I$2:$T$2)*AC468</f>
        <v>0</v>
      </c>
      <c r="AD469" s="399">
        <f>(1-SUMIF($I$1:$T$1,B465,$I$2:$T$2))*AC468+SUMIF($I$1:$T$1,B465,$I$2:$T$2)*AD468</f>
        <v>0</v>
      </c>
      <c r="AE469" s="399">
        <f>(1-SUMIF($I$1:$T$1,B465,$I$2:$T$2))*AD468+SUMIF($I$1:$T$1,B465,$I$2:$T$2)*AE468</f>
        <v>0</v>
      </c>
      <c r="AF469" s="404">
        <f>(1-SUMIF($I$1:$T$1,B465,$I$2:$T$2))*AE468+SUMIF($I$1:$T$1,B465,$I$2:$T$2)*AF468</f>
        <v>0</v>
      </c>
      <c r="AG469" s="386">
        <f>(1-SUMIF($I$1:$T$1,B465,$I$2:$T$2))*AF468+SUMIF($I$1:$T$1,B465,$I$2:$T$2)*AG468</f>
        <v>0</v>
      </c>
      <c r="AH469" s="399">
        <f>(1-SUMIF($I$1:$T$1,B465,$I$2:$T$2))*AG468+SUMIF($I$1:$T$1,B465,$I$2:$T$2)*AH468</f>
        <v>0</v>
      </c>
      <c r="AI469" s="399">
        <f>(1-SUMIF($I$1:$T$1,B465,$I$2:$T$2))*AH468+SUMIF($I$1:$T$1,B465,$I$2:$T$2)*AI468</f>
        <v>0</v>
      </c>
      <c r="AJ469" s="404">
        <f>(1-SUMIF($I$1:$T$1,B465,$I$2:$T$2))*AI468+SUMIF($I$1:$T$1,B465,$I$2:$T$2)*AJ468</f>
        <v>0</v>
      </c>
      <c r="AK469" s="386">
        <f>(1-SUMIF($I$1:$T$1,B465,$I$2:$T$2))*AJ468+SUMIF($I$1:$T$1,B465,$I$2:$T$2)*AK468</f>
        <v>0</v>
      </c>
      <c r="AL469" s="399">
        <f>(1-SUMIF($I$1:$T$1,B465,$I$2:$T$2))*AK468+SUMIF($I$1:$T$1,B465,$I$2:$T$2)*AL468</f>
        <v>0</v>
      </c>
      <c r="AM469" s="399">
        <f>(1-SUMIF($I$1:$T$1,B465,$I$2:$T$2))*AL468+SUMIF($I$1:$T$1,B465,$I$2:$T$2)*AM468</f>
        <v>0</v>
      </c>
      <c r="AN469" s="404">
        <f>(1-SUMIF($I$1:$T$1,B465,$I$2:$T$2))*AM468+SUMIF($I$1:$T$1,B465,$I$2:$T$2)*AN468</f>
        <v>0</v>
      </c>
      <c r="AO469" s="386">
        <f>(1-SUMIF($I$1:$T$1,B465,$I$2:$T$2))*AN468+SUMIF($I$1:$T$1,B465,$I$2:$T$2)*AO468</f>
        <v>0</v>
      </c>
      <c r="AP469" s="399">
        <f>(1-SUMIF($I$1:$T$1,B465,$I$2:$T$2))*AO468+SUMIF($I$1:$T$1,B465,$I$2:$T$2)*AP468</f>
        <v>0</v>
      </c>
      <c r="AQ469" s="399">
        <f>(1-SUMIF($I$1:$T$1,B465,$I$2:$T$2))*AP468+SUMIF($I$1:$T$1,B465,$I$2:$T$2)*AQ468</f>
        <v>0</v>
      </c>
      <c r="AR469" s="404">
        <f>(1-SUMIF($I$1:$T$1,B465,$I$2:$T$2))*AQ468+SUMIF($I$1:$T$1,B465,$I$2:$T$2)*AR468</f>
        <v>0</v>
      </c>
      <c r="AS469" s="386">
        <f>(1-SUMIF($I$1:$T$1,B465,$I$2:$T$2))*AR468+SUMIF($I$1:$T$1,B465,$I$2:$T$2)*AS468</f>
        <v>0</v>
      </c>
      <c r="AT469" s="399">
        <f>(1-SUMIF($I$1:$T$1,B465,$I$2:$T$2))*AS468+SUMIF($I$1:$T$1,B465,$I$2:$T$2)*AT468</f>
        <v>0</v>
      </c>
      <c r="AU469" s="399">
        <f>(1-SUMIF($I$1:$T$1,B465,$I$2:$T$2))*AT468+SUMIF($I$1:$T$1,B465,$I$2:$T$2)*AU468</f>
        <v>0</v>
      </c>
      <c r="AV469" s="404">
        <f>(1-SUMIF($I$1:$T$1,B465,$I$2:$T$2))*AU468+SUMIF($I$1:$T$1,B465,$I$2:$T$2)*AV468</f>
        <v>0</v>
      </c>
      <c r="AW469" s="424">
        <f t="shared" si="287"/>
        <v>0</v>
      </c>
    </row>
    <row r="470" spans="1:49" s="424" customFormat="1" ht="13.5" customHeight="1" outlineLevel="1">
      <c r="A470" s="1947"/>
      <c r="B470" s="1949">
        <f>'9.项目开发计划表'!C77</f>
        <v>0</v>
      </c>
      <c r="C470" s="456" t="s">
        <v>880</v>
      </c>
      <c r="D470" s="457">
        <f>IF(D472=0,0,D473/D472*10000)</f>
        <v>0</v>
      </c>
      <c r="E470" s="505"/>
      <c r="F470" s="506"/>
      <c r="G470" s="506"/>
      <c r="H470" s="507"/>
      <c r="I470" s="505"/>
      <c r="J470" s="506"/>
      <c r="K470" s="506"/>
      <c r="L470" s="507"/>
      <c r="M470" s="505"/>
      <c r="N470" s="506"/>
      <c r="O470" s="506"/>
      <c r="P470" s="507"/>
      <c r="Q470" s="505"/>
      <c r="R470" s="506"/>
      <c r="S470" s="506"/>
      <c r="T470" s="507"/>
      <c r="U470" s="505"/>
      <c r="V470" s="506"/>
      <c r="W470" s="506"/>
      <c r="X470" s="507"/>
      <c r="Y470" s="505"/>
      <c r="Z470" s="506"/>
      <c r="AA470" s="506"/>
      <c r="AB470" s="507"/>
      <c r="AC470" s="505"/>
      <c r="AD470" s="506"/>
      <c r="AE470" s="506"/>
      <c r="AF470" s="507"/>
      <c r="AG470" s="505"/>
      <c r="AH470" s="506"/>
      <c r="AI470" s="506"/>
      <c r="AJ470" s="507"/>
      <c r="AK470" s="505"/>
      <c r="AL470" s="506"/>
      <c r="AM470" s="506"/>
      <c r="AN470" s="507"/>
      <c r="AO470" s="505"/>
      <c r="AP470" s="506"/>
      <c r="AQ470" s="506"/>
      <c r="AR470" s="507"/>
      <c r="AS470" s="505"/>
      <c r="AT470" s="506"/>
      <c r="AU470" s="506"/>
      <c r="AV470" s="507"/>
      <c r="AW470" s="424">
        <f>B470</f>
        <v>0</v>
      </c>
    </row>
    <row r="471" spans="1:49" ht="13.5" customHeight="1" outlineLevel="1">
      <c r="A471" s="1947"/>
      <c r="B471" s="1949"/>
      <c r="C471" s="461" t="s">
        <v>881</v>
      </c>
      <c r="D471" s="462">
        <f t="shared" ref="D471:D474" si="299">SUM(E471:AV471)</f>
        <v>0</v>
      </c>
      <c r="E471" s="494"/>
      <c r="F471" s="491"/>
      <c r="G471" s="491"/>
      <c r="H471" s="493"/>
      <c r="I471" s="494"/>
      <c r="J471" s="491"/>
      <c r="K471" s="491"/>
      <c r="L471" s="493"/>
      <c r="M471" s="494"/>
      <c r="N471" s="491"/>
      <c r="O471" s="491"/>
      <c r="P471" s="493"/>
      <c r="Q471" s="494"/>
      <c r="R471" s="491"/>
      <c r="S471" s="491"/>
      <c r="T471" s="493"/>
      <c r="U471" s="494"/>
      <c r="V471" s="491"/>
      <c r="W471" s="491"/>
      <c r="X471" s="493"/>
      <c r="Y471" s="494"/>
      <c r="Z471" s="491"/>
      <c r="AA471" s="491"/>
      <c r="AB471" s="493"/>
      <c r="AC471" s="494"/>
      <c r="AD471" s="491"/>
      <c r="AE471" s="491"/>
      <c r="AF471" s="493"/>
      <c r="AG471" s="494"/>
      <c r="AH471" s="491"/>
      <c r="AI471" s="491"/>
      <c r="AJ471" s="493"/>
      <c r="AK471" s="494"/>
      <c r="AL471" s="491"/>
      <c r="AM471" s="491"/>
      <c r="AN471" s="493"/>
      <c r="AO471" s="494"/>
      <c r="AP471" s="491"/>
      <c r="AQ471" s="491"/>
      <c r="AR471" s="493"/>
      <c r="AS471" s="494"/>
      <c r="AT471" s="491"/>
      <c r="AU471" s="491"/>
      <c r="AV471" s="493"/>
      <c r="AW471" s="424">
        <f>AW470</f>
        <v>0</v>
      </c>
    </row>
    <row r="472" spans="1:49" s="424" customFormat="1" ht="13.5" customHeight="1" outlineLevel="1">
      <c r="A472" s="1947"/>
      <c r="B472" s="1949"/>
      <c r="C472" s="461" t="s">
        <v>682</v>
      </c>
      <c r="D472" s="466">
        <f t="shared" si="299"/>
        <v>0</v>
      </c>
      <c r="E472" s="382">
        <f>E471*'9.项目开发计划表'!$G$77</f>
        <v>0</v>
      </c>
      <c r="F472" s="397">
        <f>F471*'9.项目开发计划表'!$G$77</f>
        <v>0</v>
      </c>
      <c r="G472" s="397">
        <f>G471*'9.项目开发计划表'!$G$77</f>
        <v>0</v>
      </c>
      <c r="H472" s="467">
        <f>H471*'9.项目开发计划表'!$G$77</f>
        <v>0</v>
      </c>
      <c r="I472" s="382">
        <f>I471*'9.项目开发计划表'!$G$77</f>
        <v>0</v>
      </c>
      <c r="J472" s="397">
        <f>J471*'9.项目开发计划表'!$G$77</f>
        <v>0</v>
      </c>
      <c r="K472" s="397">
        <f>K471*'9.项目开发计划表'!$G$77</f>
        <v>0</v>
      </c>
      <c r="L472" s="467">
        <f>L471*'9.项目开发计划表'!$G$77</f>
        <v>0</v>
      </c>
      <c r="M472" s="382">
        <f>M471*'9.项目开发计划表'!$G$77</f>
        <v>0</v>
      </c>
      <c r="N472" s="397">
        <f>N471*'9.项目开发计划表'!$G$77</f>
        <v>0</v>
      </c>
      <c r="O472" s="397">
        <f>O471*'9.项目开发计划表'!$G$77</f>
        <v>0</v>
      </c>
      <c r="P472" s="467">
        <f>P471*'9.项目开发计划表'!$G$77</f>
        <v>0</v>
      </c>
      <c r="Q472" s="382">
        <f>Q471*'9.项目开发计划表'!$G$77</f>
        <v>0</v>
      </c>
      <c r="R472" s="397">
        <f>R471*'9.项目开发计划表'!$G$77</f>
        <v>0</v>
      </c>
      <c r="S472" s="397">
        <f>S471*'9.项目开发计划表'!$G$77</f>
        <v>0</v>
      </c>
      <c r="T472" s="467">
        <f>T471*'9.项目开发计划表'!$G$77</f>
        <v>0</v>
      </c>
      <c r="U472" s="382">
        <f>U471*'9.项目开发计划表'!$G$77</f>
        <v>0</v>
      </c>
      <c r="V472" s="397">
        <f>V471*'9.项目开发计划表'!$G$77</f>
        <v>0</v>
      </c>
      <c r="W472" s="397">
        <f>W471*'9.项目开发计划表'!$G$77</f>
        <v>0</v>
      </c>
      <c r="X472" s="467">
        <f>X471*'9.项目开发计划表'!$G$77</f>
        <v>0</v>
      </c>
      <c r="Y472" s="382">
        <f>Y471*'9.项目开发计划表'!$G$77</f>
        <v>0</v>
      </c>
      <c r="Z472" s="397">
        <f>Z471*'9.项目开发计划表'!$G$77</f>
        <v>0</v>
      </c>
      <c r="AA472" s="397">
        <f>AA471*'9.项目开发计划表'!$G$77</f>
        <v>0</v>
      </c>
      <c r="AB472" s="467">
        <f>AB471*'9.项目开发计划表'!$G$77</f>
        <v>0</v>
      </c>
      <c r="AC472" s="382">
        <f>AC471*'9.项目开发计划表'!$G$77</f>
        <v>0</v>
      </c>
      <c r="AD472" s="397">
        <f>AD471*'9.项目开发计划表'!$G$77</f>
        <v>0</v>
      </c>
      <c r="AE472" s="397">
        <f>AE471*'9.项目开发计划表'!$G$77</f>
        <v>0</v>
      </c>
      <c r="AF472" s="467">
        <f>AF471*'9.项目开发计划表'!$G$77</f>
        <v>0</v>
      </c>
      <c r="AG472" s="382">
        <f>AG471*'9.项目开发计划表'!$G$77</f>
        <v>0</v>
      </c>
      <c r="AH472" s="397">
        <f>AH471*'9.项目开发计划表'!$G$77</f>
        <v>0</v>
      </c>
      <c r="AI472" s="397">
        <f>AI471*'9.项目开发计划表'!$G$77</f>
        <v>0</v>
      </c>
      <c r="AJ472" s="467">
        <f>AJ471*'9.项目开发计划表'!$G$77</f>
        <v>0</v>
      </c>
      <c r="AK472" s="382">
        <f>AK471*'9.项目开发计划表'!$G$77</f>
        <v>0</v>
      </c>
      <c r="AL472" s="397">
        <f>AL471*'9.项目开发计划表'!$G$77</f>
        <v>0</v>
      </c>
      <c r="AM472" s="397">
        <f>AM471*'9.项目开发计划表'!$G$77</f>
        <v>0</v>
      </c>
      <c r="AN472" s="467">
        <f>AN471*'9.项目开发计划表'!$G$77</f>
        <v>0</v>
      </c>
      <c r="AO472" s="382">
        <f>AO471*'9.项目开发计划表'!$G$77</f>
        <v>0</v>
      </c>
      <c r="AP472" s="397">
        <f>AP471*'9.项目开发计划表'!$G$77</f>
        <v>0</v>
      </c>
      <c r="AQ472" s="397">
        <f>AQ471*'9.项目开发计划表'!$G$77</f>
        <v>0</v>
      </c>
      <c r="AR472" s="467">
        <f>AR471*'9.项目开发计划表'!$G$77</f>
        <v>0</v>
      </c>
      <c r="AS472" s="382">
        <f>AS471*'9.项目开发计划表'!$G$77</f>
        <v>0</v>
      </c>
      <c r="AT472" s="397">
        <f>AT471*'9.项目开发计划表'!$G$77</f>
        <v>0</v>
      </c>
      <c r="AU472" s="397">
        <f>AU471*'9.项目开发计划表'!$G$77</f>
        <v>0</v>
      </c>
      <c r="AV472" s="467">
        <f>AV471*'9.项目开发计划表'!$G$77</f>
        <v>0</v>
      </c>
      <c r="AW472" s="424">
        <f t="shared" si="287"/>
        <v>0</v>
      </c>
    </row>
    <row r="473" spans="1:49" s="424" customFormat="1" ht="13.5" customHeight="1" outlineLevel="1">
      <c r="A473" s="1947"/>
      <c r="B473" s="1949"/>
      <c r="C473" s="461" t="s">
        <v>882</v>
      </c>
      <c r="D473" s="466">
        <f t="shared" si="299"/>
        <v>0</v>
      </c>
      <c r="E473" s="382">
        <f t="shared" ref="E473:AV473" si="300">E470*E472/10000</f>
        <v>0</v>
      </c>
      <c r="F473" s="397">
        <f t="shared" si="300"/>
        <v>0</v>
      </c>
      <c r="G473" s="397">
        <f t="shared" si="300"/>
        <v>0</v>
      </c>
      <c r="H473" s="467">
        <f t="shared" si="300"/>
        <v>0</v>
      </c>
      <c r="I473" s="382">
        <f t="shared" si="300"/>
        <v>0</v>
      </c>
      <c r="J473" s="397">
        <f t="shared" si="300"/>
        <v>0</v>
      </c>
      <c r="K473" s="397">
        <f t="shared" si="300"/>
        <v>0</v>
      </c>
      <c r="L473" s="467">
        <f t="shared" si="300"/>
        <v>0</v>
      </c>
      <c r="M473" s="382">
        <f t="shared" si="300"/>
        <v>0</v>
      </c>
      <c r="N473" s="397">
        <f t="shared" si="300"/>
        <v>0</v>
      </c>
      <c r="O473" s="397">
        <f t="shared" si="300"/>
        <v>0</v>
      </c>
      <c r="P473" s="467">
        <f t="shared" si="300"/>
        <v>0</v>
      </c>
      <c r="Q473" s="382">
        <f t="shared" si="300"/>
        <v>0</v>
      </c>
      <c r="R473" s="397">
        <f t="shared" si="300"/>
        <v>0</v>
      </c>
      <c r="S473" s="397">
        <f t="shared" si="300"/>
        <v>0</v>
      </c>
      <c r="T473" s="467">
        <f t="shared" si="300"/>
        <v>0</v>
      </c>
      <c r="U473" s="382">
        <f t="shared" si="300"/>
        <v>0</v>
      </c>
      <c r="V473" s="397">
        <f t="shared" si="300"/>
        <v>0</v>
      </c>
      <c r="W473" s="397">
        <f t="shared" si="300"/>
        <v>0</v>
      </c>
      <c r="X473" s="467">
        <f t="shared" si="300"/>
        <v>0</v>
      </c>
      <c r="Y473" s="382">
        <f t="shared" si="300"/>
        <v>0</v>
      </c>
      <c r="Z473" s="397">
        <f t="shared" si="300"/>
        <v>0</v>
      </c>
      <c r="AA473" s="397">
        <f t="shared" si="300"/>
        <v>0</v>
      </c>
      <c r="AB473" s="467">
        <f t="shared" si="300"/>
        <v>0</v>
      </c>
      <c r="AC473" s="382">
        <f t="shared" si="300"/>
        <v>0</v>
      </c>
      <c r="AD473" s="397">
        <f t="shared" si="300"/>
        <v>0</v>
      </c>
      <c r="AE473" s="397">
        <f t="shared" si="300"/>
        <v>0</v>
      </c>
      <c r="AF473" s="467">
        <f t="shared" si="300"/>
        <v>0</v>
      </c>
      <c r="AG473" s="382">
        <f t="shared" si="300"/>
        <v>0</v>
      </c>
      <c r="AH473" s="397">
        <f t="shared" si="300"/>
        <v>0</v>
      </c>
      <c r="AI473" s="397">
        <f t="shared" si="300"/>
        <v>0</v>
      </c>
      <c r="AJ473" s="467">
        <f t="shared" si="300"/>
        <v>0</v>
      </c>
      <c r="AK473" s="382">
        <f t="shared" si="300"/>
        <v>0</v>
      </c>
      <c r="AL473" s="397">
        <f t="shared" si="300"/>
        <v>0</v>
      </c>
      <c r="AM473" s="397">
        <f t="shared" si="300"/>
        <v>0</v>
      </c>
      <c r="AN473" s="467">
        <f t="shared" si="300"/>
        <v>0</v>
      </c>
      <c r="AO473" s="382">
        <f t="shared" si="300"/>
        <v>0</v>
      </c>
      <c r="AP473" s="397">
        <f t="shared" si="300"/>
        <v>0</v>
      </c>
      <c r="AQ473" s="397">
        <f t="shared" si="300"/>
        <v>0</v>
      </c>
      <c r="AR473" s="467">
        <f t="shared" si="300"/>
        <v>0</v>
      </c>
      <c r="AS473" s="382">
        <f t="shared" si="300"/>
        <v>0</v>
      </c>
      <c r="AT473" s="397">
        <f t="shared" si="300"/>
        <v>0</v>
      </c>
      <c r="AU473" s="397">
        <f t="shared" si="300"/>
        <v>0</v>
      </c>
      <c r="AV473" s="467">
        <f t="shared" si="300"/>
        <v>0</v>
      </c>
      <c r="AW473" s="424">
        <f t="shared" si="287"/>
        <v>0</v>
      </c>
    </row>
    <row r="474" spans="1:49" s="424" customFormat="1" ht="13.5" customHeight="1" outlineLevel="1">
      <c r="A474" s="1947"/>
      <c r="B474" s="1949"/>
      <c r="C474" s="508" t="s">
        <v>450</v>
      </c>
      <c r="D474" s="468">
        <f t="shared" si="299"/>
        <v>0</v>
      </c>
      <c r="E474" s="386">
        <f>SUMIF($I$1:$T$1,B470,$I$2:$T$2)*E473</f>
        <v>0</v>
      </c>
      <c r="F474" s="399">
        <f>(1-SUMIF($I$1:$T$1,B470,$I$2:$T$2))*E473+SUMIF($I$1:$T$1,B470,$I$2:$T$2)*F473</f>
        <v>0</v>
      </c>
      <c r="G474" s="399">
        <f>(1-SUMIF($I$1:$T$1,B470,$I$2:$T$2))*F473+SUMIF($I$1:$T$1,B470,$I$2:$T$2)*G473</f>
        <v>0</v>
      </c>
      <c r="H474" s="404">
        <f>(1-SUMIF($I$1:$T$1,B470,$I$2:$T$2))*G473+SUMIF($I$1:$T$1,B470,$I$2:$T$2)*H473</f>
        <v>0</v>
      </c>
      <c r="I474" s="386">
        <f>(1-SUMIF($I$1:$T$1,B470,$I$2:$T$2))*H473+SUMIF($I$1:$T$1,B470,$I$2:$T$2)*I473</f>
        <v>0</v>
      </c>
      <c r="J474" s="399">
        <f>(1-SUMIF($I$1:$T$1,B470,$I$2:$T$2))*I473+SUMIF($I$1:$T$1,B470,$I$2:$T$2)*J473</f>
        <v>0</v>
      </c>
      <c r="K474" s="399">
        <f>(1-SUMIF($I$1:$T$1,B470,$I$2:$T$2))*J473+SUMIF($I$1:$T$1,B470,$I$2:$T$2)*K473</f>
        <v>0</v>
      </c>
      <c r="L474" s="404">
        <f>(1-SUMIF($I$1:$T$1,B470,$I$2:$T$2))*K473+SUMIF($I$1:$T$1,B470,$I$2:$T$2)*L473</f>
        <v>0</v>
      </c>
      <c r="M474" s="386">
        <f>(1-SUMIF($I$1:$T$1,B470,$I$2:$T$2))*L473+SUMIF($I$1:$T$1,B470,$I$2:$T$2)*M473</f>
        <v>0</v>
      </c>
      <c r="N474" s="399">
        <f>(1-SUMIF($I$1:$T$1,B470,$I$2:$T$2))*M473+SUMIF($I$1:$T$1,B470,$I$2:$T$2)*N473</f>
        <v>0</v>
      </c>
      <c r="O474" s="399">
        <f>(1-SUMIF($I$1:$T$1,B470,$I$2:$T$2))*N473+SUMIF($I$1:$T$1,B470,$I$2:$T$2)*O473</f>
        <v>0</v>
      </c>
      <c r="P474" s="404">
        <f>(1-SUMIF($I$1:$T$1,B470,$I$2:$T$2))*O473+SUMIF($I$1:$T$1,B470,$I$2:$T$2)*P473</f>
        <v>0</v>
      </c>
      <c r="Q474" s="386">
        <f>(1-SUMIF($I$1:$T$1,B470,$I$2:$T$2))*P473+SUMIF($I$1:$T$1,B470,$I$2:$T$2)*Q473</f>
        <v>0</v>
      </c>
      <c r="R474" s="399">
        <f>(1-SUMIF($I$1:$T$1,B470,$I$2:$T$2))*Q473+SUMIF($I$1:$T$1,B470,$I$2:$T$2)*R473</f>
        <v>0</v>
      </c>
      <c r="S474" s="399">
        <f>(1-SUMIF($I$1:$T$1,B470,$I$2:$T$2))*R473+SUMIF($I$1:$T$1,B470,$I$2:$T$2)*S473</f>
        <v>0</v>
      </c>
      <c r="T474" s="404">
        <f>(1-SUMIF($I$1:$T$1,B470,$I$2:$T$2))*S473+SUMIF($I$1:$T$1,B470,$I$2:$T$2)*T473</f>
        <v>0</v>
      </c>
      <c r="U474" s="386">
        <f>(1-SUMIF($I$1:$T$1,B470,$I$2:$T$2))*T473+SUMIF($I$1:$T$1,B470,$I$2:$T$2)*U473</f>
        <v>0</v>
      </c>
      <c r="V474" s="399">
        <f>(1-SUMIF($I$1:$T$1,B470,$I$2:$T$2))*U473+SUMIF($I$1:$T$1,B470,$I$2:$T$2)*V473</f>
        <v>0</v>
      </c>
      <c r="W474" s="399">
        <f>(1-SUMIF($I$1:$T$1,B470,$I$2:$T$2))*V473+SUMIF($I$1:$T$1,B470,$I$2:$T$2)*W473</f>
        <v>0</v>
      </c>
      <c r="X474" s="404">
        <f>(1-SUMIF($I$1:$T$1,B470,$I$2:$T$2))*W473+SUMIF($I$1:$T$1,B470,$I$2:$T$2)*X473</f>
        <v>0</v>
      </c>
      <c r="Y474" s="386">
        <f>(1-SUMIF($I$1:$T$1,B470,$I$2:$T$2))*X473+SUMIF($I$1:$T$1,B470,$I$2:$T$2)*Y473</f>
        <v>0</v>
      </c>
      <c r="Z474" s="399">
        <f>(1-SUMIF($I$1:$T$1,B470,$I$2:$T$2))*Y473+SUMIF($I$1:$T$1,B470,$I$2:$T$2)*Z473</f>
        <v>0</v>
      </c>
      <c r="AA474" s="399">
        <f>(1-SUMIF($I$1:$T$1,B470,$I$2:$T$2))*Z473+SUMIF($I$1:$T$1,B470,$I$2:$T$2)*AA473</f>
        <v>0</v>
      </c>
      <c r="AB474" s="404">
        <f>(1-SUMIF($I$1:$T$1,B470,$I$2:$T$2))*AA473+SUMIF($I$1:$T$1,B470,$I$2:$T$2)*AB473</f>
        <v>0</v>
      </c>
      <c r="AC474" s="386">
        <f>(1-SUMIF($I$1:$T$1,B470,$I$2:$T$2))*AB473+SUMIF($I$1:$T$1,B470,$I$2:$T$2)*AC473</f>
        <v>0</v>
      </c>
      <c r="AD474" s="399">
        <f>(1-SUMIF($I$1:$T$1,B470,$I$2:$T$2))*AC473+SUMIF($I$1:$T$1,B470,$I$2:$T$2)*AD473</f>
        <v>0</v>
      </c>
      <c r="AE474" s="399">
        <f>(1-SUMIF($I$1:$T$1,B470,$I$2:$T$2))*AD473+SUMIF($I$1:$T$1,B470,$I$2:$T$2)*AE473</f>
        <v>0</v>
      </c>
      <c r="AF474" s="404">
        <f>(1-SUMIF($I$1:$T$1,B470,$I$2:$T$2))*AE473+SUMIF($I$1:$T$1,B470,$I$2:$T$2)*AF473</f>
        <v>0</v>
      </c>
      <c r="AG474" s="386">
        <f>(1-SUMIF($I$1:$T$1,B470,$I$2:$T$2))*AF473+SUMIF($I$1:$T$1,B470,$I$2:$T$2)*AG473</f>
        <v>0</v>
      </c>
      <c r="AH474" s="399">
        <f>(1-SUMIF($I$1:$T$1,B470,$I$2:$T$2))*AG473+SUMIF($I$1:$T$1,B470,$I$2:$T$2)*AH473</f>
        <v>0</v>
      </c>
      <c r="AI474" s="399">
        <f>(1-SUMIF($I$1:$T$1,B470,$I$2:$T$2))*AH473+SUMIF($I$1:$T$1,B470,$I$2:$T$2)*AI473</f>
        <v>0</v>
      </c>
      <c r="AJ474" s="404">
        <f>(1-SUMIF($I$1:$T$1,B470,$I$2:$T$2))*AI473+SUMIF($I$1:$T$1,B470,$I$2:$T$2)*AJ473</f>
        <v>0</v>
      </c>
      <c r="AK474" s="386">
        <f>(1-SUMIF($I$1:$T$1,B470,$I$2:$T$2))*AJ473+SUMIF($I$1:$T$1,B470,$I$2:$T$2)*AK473</f>
        <v>0</v>
      </c>
      <c r="AL474" s="399">
        <f>(1-SUMIF($I$1:$T$1,B470,$I$2:$T$2))*AK473+SUMIF($I$1:$T$1,B470,$I$2:$T$2)*AL473</f>
        <v>0</v>
      </c>
      <c r="AM474" s="399">
        <f>(1-SUMIF($I$1:$T$1,B470,$I$2:$T$2))*AL473+SUMIF($I$1:$T$1,B470,$I$2:$T$2)*AM473</f>
        <v>0</v>
      </c>
      <c r="AN474" s="404">
        <f>(1-SUMIF($I$1:$T$1,B470,$I$2:$T$2))*AM473+SUMIF($I$1:$T$1,B470,$I$2:$T$2)*AN473</f>
        <v>0</v>
      </c>
      <c r="AO474" s="386">
        <f>(1-SUMIF($I$1:$T$1,B470,$I$2:$T$2))*AN473+SUMIF($I$1:$T$1,B470,$I$2:$T$2)*AO473</f>
        <v>0</v>
      </c>
      <c r="AP474" s="399">
        <f>(1-SUMIF($I$1:$T$1,B470,$I$2:$T$2))*AO473+SUMIF($I$1:$T$1,B470,$I$2:$T$2)*AP473</f>
        <v>0</v>
      </c>
      <c r="AQ474" s="399">
        <f>(1-SUMIF($I$1:$T$1,B470,$I$2:$T$2))*AP473+SUMIF($I$1:$T$1,B470,$I$2:$T$2)*AQ473</f>
        <v>0</v>
      </c>
      <c r="AR474" s="404">
        <f>(1-SUMIF($I$1:$T$1,B470,$I$2:$T$2))*AQ473+SUMIF($I$1:$T$1,B470,$I$2:$T$2)*AR473</f>
        <v>0</v>
      </c>
      <c r="AS474" s="386">
        <f>(1-SUMIF($I$1:$T$1,B470,$I$2:$T$2))*AR473+SUMIF($I$1:$T$1,B470,$I$2:$T$2)*AS473</f>
        <v>0</v>
      </c>
      <c r="AT474" s="399">
        <f>(1-SUMIF($I$1:$T$1,B470,$I$2:$T$2))*AS473+SUMIF($I$1:$T$1,B470,$I$2:$T$2)*AT473</f>
        <v>0</v>
      </c>
      <c r="AU474" s="399">
        <f>(1-SUMIF($I$1:$T$1,B470,$I$2:$T$2))*AT473+SUMIF($I$1:$T$1,B470,$I$2:$T$2)*AU473</f>
        <v>0</v>
      </c>
      <c r="AV474" s="404">
        <f>(1-SUMIF($I$1:$T$1,B470,$I$2:$T$2))*AU473+SUMIF($I$1:$T$1,B470,$I$2:$T$2)*AV473</f>
        <v>0</v>
      </c>
      <c r="AW474" s="424">
        <f t="shared" si="287"/>
        <v>0</v>
      </c>
    </row>
    <row r="475" spans="1:49" s="424" customFormat="1" ht="13.5" customHeight="1" outlineLevel="1">
      <c r="A475" s="1947"/>
      <c r="B475" s="1949">
        <f>'9.项目开发计划表'!C78</f>
        <v>0</v>
      </c>
      <c r="C475" s="456" t="s">
        <v>880</v>
      </c>
      <c r="D475" s="457">
        <f>IF(D477=0,0,D478/D477*10000)</f>
        <v>0</v>
      </c>
      <c r="E475" s="505"/>
      <c r="F475" s="506"/>
      <c r="G475" s="506"/>
      <c r="H475" s="507"/>
      <c r="I475" s="505"/>
      <c r="J475" s="506"/>
      <c r="K475" s="506"/>
      <c r="L475" s="507"/>
      <c r="M475" s="505"/>
      <c r="N475" s="506"/>
      <c r="O475" s="506"/>
      <c r="P475" s="507"/>
      <c r="Q475" s="505"/>
      <c r="R475" s="506"/>
      <c r="S475" s="506"/>
      <c r="T475" s="507"/>
      <c r="U475" s="505"/>
      <c r="V475" s="506"/>
      <c r="W475" s="506"/>
      <c r="X475" s="506"/>
      <c r="Y475" s="506"/>
      <c r="Z475" s="506"/>
      <c r="AA475" s="506"/>
      <c r="AB475" s="506"/>
      <c r="AC475" s="506"/>
      <c r="AD475" s="506"/>
      <c r="AE475" s="506"/>
      <c r="AF475" s="506"/>
      <c r="AG475" s="506"/>
      <c r="AH475" s="506"/>
      <c r="AI475" s="506"/>
      <c r="AJ475" s="507"/>
      <c r="AK475" s="505"/>
      <c r="AL475" s="506"/>
      <c r="AM475" s="506"/>
      <c r="AN475" s="507"/>
      <c r="AO475" s="505"/>
      <c r="AP475" s="506"/>
      <c r="AQ475" s="506"/>
      <c r="AR475" s="507"/>
      <c r="AS475" s="505"/>
      <c r="AT475" s="506"/>
      <c r="AU475" s="506"/>
      <c r="AV475" s="507"/>
      <c r="AW475" s="424">
        <f>B475</f>
        <v>0</v>
      </c>
    </row>
    <row r="476" spans="1:49" ht="13.5" customHeight="1" outlineLevel="1">
      <c r="A476" s="1947"/>
      <c r="B476" s="1949"/>
      <c r="C476" s="461" t="s">
        <v>881</v>
      </c>
      <c r="D476" s="462">
        <f t="shared" ref="D476:D479" si="301">SUM(E476:AV476)</f>
        <v>0</v>
      </c>
      <c r="E476" s="494"/>
      <c r="F476" s="491"/>
      <c r="G476" s="491"/>
      <c r="H476" s="493"/>
      <c r="I476" s="494"/>
      <c r="J476" s="491"/>
      <c r="K476" s="491"/>
      <c r="L476" s="493"/>
      <c r="M476" s="494"/>
      <c r="N476" s="491"/>
      <c r="O476" s="491"/>
      <c r="P476" s="493"/>
      <c r="Q476" s="494"/>
      <c r="R476" s="491"/>
      <c r="S476" s="491"/>
      <c r="T476" s="493"/>
      <c r="U476" s="494"/>
      <c r="V476" s="491"/>
      <c r="W476" s="491"/>
      <c r="X476" s="491"/>
      <c r="Y476" s="491"/>
      <c r="Z476" s="491"/>
      <c r="AA476" s="491"/>
      <c r="AB476" s="491"/>
      <c r="AC476" s="491"/>
      <c r="AD476" s="491"/>
      <c r="AE476" s="491"/>
      <c r="AF476" s="491"/>
      <c r="AG476" s="491"/>
      <c r="AH476" s="491"/>
      <c r="AI476" s="491"/>
      <c r="AJ476" s="493"/>
      <c r="AK476" s="494"/>
      <c r="AL476" s="491"/>
      <c r="AM476" s="491"/>
      <c r="AN476" s="493"/>
      <c r="AO476" s="494"/>
      <c r="AP476" s="491"/>
      <c r="AQ476" s="491"/>
      <c r="AR476" s="493"/>
      <c r="AS476" s="494"/>
      <c r="AT476" s="491"/>
      <c r="AU476" s="491"/>
      <c r="AV476" s="493"/>
      <c r="AW476" s="424">
        <f>AW475</f>
        <v>0</v>
      </c>
    </row>
    <row r="477" spans="1:49" s="424" customFormat="1" ht="13.5" customHeight="1" outlineLevel="1">
      <c r="A477" s="1947"/>
      <c r="B477" s="1949"/>
      <c r="C477" s="461" t="s">
        <v>682</v>
      </c>
      <c r="D477" s="466">
        <f t="shared" si="301"/>
        <v>0</v>
      </c>
      <c r="E477" s="382">
        <f>E476*'9.项目开发计划表'!$G$78</f>
        <v>0</v>
      </c>
      <c r="F477" s="397">
        <f>F476*'9.项目开发计划表'!$G$78</f>
        <v>0</v>
      </c>
      <c r="G477" s="397">
        <f>G476*'9.项目开发计划表'!$G$78</f>
        <v>0</v>
      </c>
      <c r="H477" s="467">
        <f>H476*'9.项目开发计划表'!$G$78</f>
        <v>0</v>
      </c>
      <c r="I477" s="382">
        <f>I476*'9.项目开发计划表'!$G$78</f>
        <v>0</v>
      </c>
      <c r="J477" s="397">
        <f>J476*'9.项目开发计划表'!$G$78</f>
        <v>0</v>
      </c>
      <c r="K477" s="397">
        <f>K476*'9.项目开发计划表'!$G$78</f>
        <v>0</v>
      </c>
      <c r="L477" s="467">
        <f>L476*'9.项目开发计划表'!$G$78</f>
        <v>0</v>
      </c>
      <c r="M477" s="382">
        <f>M476*'9.项目开发计划表'!$G$78</f>
        <v>0</v>
      </c>
      <c r="N477" s="397">
        <f>N476*'9.项目开发计划表'!$G$78</f>
        <v>0</v>
      </c>
      <c r="O477" s="397">
        <f>O476*'9.项目开发计划表'!$G$78</f>
        <v>0</v>
      </c>
      <c r="P477" s="467">
        <f>P476*'9.项目开发计划表'!$G$78</f>
        <v>0</v>
      </c>
      <c r="Q477" s="382">
        <f>Q476*'9.项目开发计划表'!$G$78</f>
        <v>0</v>
      </c>
      <c r="R477" s="397">
        <f>R476*'9.项目开发计划表'!$G$78</f>
        <v>0</v>
      </c>
      <c r="S477" s="397">
        <f>S476*'9.项目开发计划表'!$G$78</f>
        <v>0</v>
      </c>
      <c r="T477" s="467">
        <f>T476*'9.项目开发计划表'!$G$78</f>
        <v>0</v>
      </c>
      <c r="U477" s="382">
        <f>U476*'9.项目开发计划表'!$G$78</f>
        <v>0</v>
      </c>
      <c r="V477" s="397">
        <f>V476*'9.项目开发计划表'!$G$78</f>
        <v>0</v>
      </c>
      <c r="W477" s="397">
        <f>W476*'9.项目开发计划表'!$G$78</f>
        <v>0</v>
      </c>
      <c r="X477" s="467">
        <f>X476*'9.项目开发计划表'!$G$78</f>
        <v>0</v>
      </c>
      <c r="Y477" s="382">
        <f>Y476*'9.项目开发计划表'!$G$78</f>
        <v>0</v>
      </c>
      <c r="Z477" s="397">
        <f>Z476*'9.项目开发计划表'!$G$78</f>
        <v>0</v>
      </c>
      <c r="AA477" s="397">
        <f>AA476*'9.项目开发计划表'!$G$78</f>
        <v>0</v>
      </c>
      <c r="AB477" s="467">
        <f>AB476*'9.项目开发计划表'!$G$78</f>
        <v>0</v>
      </c>
      <c r="AC477" s="382">
        <f>AC476*'9.项目开发计划表'!$G$78</f>
        <v>0</v>
      </c>
      <c r="AD477" s="397">
        <f>AD476*'9.项目开发计划表'!$G$78</f>
        <v>0</v>
      </c>
      <c r="AE477" s="397">
        <f>AE476*'9.项目开发计划表'!$G$78</f>
        <v>0</v>
      </c>
      <c r="AF477" s="467">
        <f>AF476*'9.项目开发计划表'!$G$78</f>
        <v>0</v>
      </c>
      <c r="AG477" s="382">
        <f>AG476*'9.项目开发计划表'!$G$78</f>
        <v>0</v>
      </c>
      <c r="AH477" s="397">
        <f>AH476*'9.项目开发计划表'!$G$78</f>
        <v>0</v>
      </c>
      <c r="AI477" s="397">
        <f>AI476*'9.项目开发计划表'!$G$78</f>
        <v>0</v>
      </c>
      <c r="AJ477" s="467">
        <f>AJ476*'9.项目开发计划表'!$G$78</f>
        <v>0</v>
      </c>
      <c r="AK477" s="382">
        <f>AK476*'9.项目开发计划表'!$G$78</f>
        <v>0</v>
      </c>
      <c r="AL477" s="397">
        <f>AL476*'9.项目开发计划表'!$G$78</f>
        <v>0</v>
      </c>
      <c r="AM477" s="397">
        <f>AM476*'9.项目开发计划表'!$G$78</f>
        <v>0</v>
      </c>
      <c r="AN477" s="467">
        <f>AN476*'9.项目开发计划表'!$G$78</f>
        <v>0</v>
      </c>
      <c r="AO477" s="382">
        <f>AO476*'9.项目开发计划表'!$G$78</f>
        <v>0</v>
      </c>
      <c r="AP477" s="397">
        <f>AP476*'9.项目开发计划表'!$G$78</f>
        <v>0</v>
      </c>
      <c r="AQ477" s="397">
        <f>AQ476*'9.项目开发计划表'!$G$78</f>
        <v>0</v>
      </c>
      <c r="AR477" s="467">
        <f>AR476*'9.项目开发计划表'!$G$78</f>
        <v>0</v>
      </c>
      <c r="AS477" s="382">
        <f>AS476*'9.项目开发计划表'!$G$78</f>
        <v>0</v>
      </c>
      <c r="AT477" s="397">
        <f>AT476*'9.项目开发计划表'!$G$78</f>
        <v>0</v>
      </c>
      <c r="AU477" s="397">
        <f>AU476*'9.项目开发计划表'!$G$78</f>
        <v>0</v>
      </c>
      <c r="AV477" s="467">
        <f>AV476*'9.项目开发计划表'!$G$78</f>
        <v>0</v>
      </c>
      <c r="AW477" s="424">
        <f t="shared" si="287"/>
        <v>0</v>
      </c>
    </row>
    <row r="478" spans="1:49" s="424" customFormat="1" ht="13.5" customHeight="1" outlineLevel="1">
      <c r="A478" s="1947"/>
      <c r="B478" s="1949"/>
      <c r="C478" s="461" t="s">
        <v>882</v>
      </c>
      <c r="D478" s="466">
        <f t="shared" si="301"/>
        <v>0</v>
      </c>
      <c r="E478" s="382">
        <f t="shared" ref="E478:AV478" si="302">E475*E477/10000</f>
        <v>0</v>
      </c>
      <c r="F478" s="397">
        <f t="shared" si="302"/>
        <v>0</v>
      </c>
      <c r="G478" s="397">
        <f t="shared" si="302"/>
        <v>0</v>
      </c>
      <c r="H478" s="467">
        <f t="shared" si="302"/>
        <v>0</v>
      </c>
      <c r="I478" s="382">
        <f t="shared" si="302"/>
        <v>0</v>
      </c>
      <c r="J478" s="397">
        <f t="shared" si="302"/>
        <v>0</v>
      </c>
      <c r="K478" s="397">
        <f t="shared" si="302"/>
        <v>0</v>
      </c>
      <c r="L478" s="467">
        <f t="shared" si="302"/>
        <v>0</v>
      </c>
      <c r="M478" s="382">
        <f t="shared" si="302"/>
        <v>0</v>
      </c>
      <c r="N478" s="397">
        <f t="shared" si="302"/>
        <v>0</v>
      </c>
      <c r="O478" s="397">
        <f t="shared" si="302"/>
        <v>0</v>
      </c>
      <c r="P478" s="467">
        <f t="shared" si="302"/>
        <v>0</v>
      </c>
      <c r="Q478" s="382">
        <f t="shared" si="302"/>
        <v>0</v>
      </c>
      <c r="R478" s="397">
        <f t="shared" si="302"/>
        <v>0</v>
      </c>
      <c r="S478" s="397">
        <f t="shared" si="302"/>
        <v>0</v>
      </c>
      <c r="T478" s="467">
        <f t="shared" si="302"/>
        <v>0</v>
      </c>
      <c r="U478" s="382">
        <f t="shared" si="302"/>
        <v>0</v>
      </c>
      <c r="V478" s="397">
        <f t="shared" si="302"/>
        <v>0</v>
      </c>
      <c r="W478" s="397">
        <f t="shared" si="302"/>
        <v>0</v>
      </c>
      <c r="X478" s="467">
        <f t="shared" si="302"/>
        <v>0</v>
      </c>
      <c r="Y478" s="382">
        <f t="shared" si="302"/>
        <v>0</v>
      </c>
      <c r="Z478" s="397">
        <f t="shared" si="302"/>
        <v>0</v>
      </c>
      <c r="AA478" s="397">
        <f t="shared" si="302"/>
        <v>0</v>
      </c>
      <c r="AB478" s="467">
        <f t="shared" si="302"/>
        <v>0</v>
      </c>
      <c r="AC478" s="382">
        <f t="shared" si="302"/>
        <v>0</v>
      </c>
      <c r="AD478" s="397">
        <f t="shared" si="302"/>
        <v>0</v>
      </c>
      <c r="AE478" s="397">
        <f t="shared" si="302"/>
        <v>0</v>
      </c>
      <c r="AF478" s="467">
        <f t="shared" si="302"/>
        <v>0</v>
      </c>
      <c r="AG478" s="382">
        <f t="shared" si="302"/>
        <v>0</v>
      </c>
      <c r="AH478" s="397">
        <f t="shared" si="302"/>
        <v>0</v>
      </c>
      <c r="AI478" s="397">
        <f t="shared" si="302"/>
        <v>0</v>
      </c>
      <c r="AJ478" s="467">
        <f t="shared" si="302"/>
        <v>0</v>
      </c>
      <c r="AK478" s="382">
        <f t="shared" si="302"/>
        <v>0</v>
      </c>
      <c r="AL478" s="397">
        <f t="shared" si="302"/>
        <v>0</v>
      </c>
      <c r="AM478" s="397">
        <f t="shared" si="302"/>
        <v>0</v>
      </c>
      <c r="AN478" s="467">
        <f t="shared" si="302"/>
        <v>0</v>
      </c>
      <c r="AO478" s="382">
        <f t="shared" si="302"/>
        <v>0</v>
      </c>
      <c r="AP478" s="397">
        <f t="shared" si="302"/>
        <v>0</v>
      </c>
      <c r="AQ478" s="397">
        <f t="shared" si="302"/>
        <v>0</v>
      </c>
      <c r="AR478" s="467">
        <f t="shared" si="302"/>
        <v>0</v>
      </c>
      <c r="AS478" s="382">
        <f t="shared" si="302"/>
        <v>0</v>
      </c>
      <c r="AT478" s="397">
        <f t="shared" si="302"/>
        <v>0</v>
      </c>
      <c r="AU478" s="397">
        <f t="shared" si="302"/>
        <v>0</v>
      </c>
      <c r="AV478" s="467">
        <f t="shared" si="302"/>
        <v>0</v>
      </c>
      <c r="AW478" s="424">
        <f t="shared" si="287"/>
        <v>0</v>
      </c>
    </row>
    <row r="479" spans="1:49" s="424" customFormat="1" ht="13.5" customHeight="1" outlineLevel="1">
      <c r="A479" s="1947"/>
      <c r="B479" s="1949"/>
      <c r="C479" s="508" t="s">
        <v>450</v>
      </c>
      <c r="D479" s="468">
        <f t="shared" si="301"/>
        <v>0</v>
      </c>
      <c r="E479" s="386">
        <f>SUMIF($I$1:$T$1,B475,$I$2:$T$2)*E478</f>
        <v>0</v>
      </c>
      <c r="F479" s="399">
        <f>(1-SUMIF($I$1:$T$1,B475,$I$2:$T$2))*E478+SUMIF($I$1:$T$1,B475,$I$2:$T$2)*F478</f>
        <v>0</v>
      </c>
      <c r="G479" s="399">
        <f>(1-SUMIF($I$1:$T$1,B475,$I$2:$T$2))*F478+SUMIF($I$1:$T$1,B475,$I$2:$T$2)*G478</f>
        <v>0</v>
      </c>
      <c r="H479" s="404">
        <f>(1-SUMIF($I$1:$T$1,B475,$I$2:$T$2))*G478+SUMIF($I$1:$T$1,B475,$I$2:$T$2)*H478</f>
        <v>0</v>
      </c>
      <c r="I479" s="386">
        <f>(1-SUMIF($I$1:$T$1,B475,$I$2:$T$2))*H478+SUMIF($I$1:$T$1,B475,$I$2:$T$2)*I478</f>
        <v>0</v>
      </c>
      <c r="J479" s="399">
        <f>(1-SUMIF($I$1:$T$1,B475,$I$2:$T$2))*I478+SUMIF($I$1:$T$1,B475,$I$2:$T$2)*J478</f>
        <v>0</v>
      </c>
      <c r="K479" s="399">
        <f>(1-SUMIF($I$1:$T$1,B475,$I$2:$T$2))*J478+SUMIF($I$1:$T$1,B475,$I$2:$T$2)*K478</f>
        <v>0</v>
      </c>
      <c r="L479" s="404">
        <f>(1-SUMIF($I$1:$T$1,B475,$I$2:$T$2))*K478+SUMIF($I$1:$T$1,B475,$I$2:$T$2)*L478</f>
        <v>0</v>
      </c>
      <c r="M479" s="386">
        <f>(1-SUMIF($I$1:$T$1,B475,$I$2:$T$2))*L478+SUMIF($I$1:$T$1,B475,$I$2:$T$2)*M478</f>
        <v>0</v>
      </c>
      <c r="N479" s="399">
        <f>(1-SUMIF($I$1:$T$1,B475,$I$2:$T$2))*M478+SUMIF($I$1:$T$1,B475,$I$2:$T$2)*N478</f>
        <v>0</v>
      </c>
      <c r="O479" s="399">
        <f>(1-SUMIF($I$1:$T$1,B475,$I$2:$T$2))*N478+SUMIF($I$1:$T$1,B475,$I$2:$T$2)*O478</f>
        <v>0</v>
      </c>
      <c r="P479" s="404">
        <f>(1-SUMIF($I$1:$T$1,B475,$I$2:$T$2))*O478+SUMIF($I$1:$T$1,B475,$I$2:$T$2)*P478</f>
        <v>0</v>
      </c>
      <c r="Q479" s="386">
        <f>(1-SUMIF($I$1:$T$1,B475,$I$2:$T$2))*P478+SUMIF($I$1:$T$1,B475,$I$2:$T$2)*Q478</f>
        <v>0</v>
      </c>
      <c r="R479" s="399">
        <f>(1-SUMIF($I$1:$T$1,B475,$I$2:$T$2))*Q478+SUMIF($I$1:$T$1,B475,$I$2:$T$2)*R478</f>
        <v>0</v>
      </c>
      <c r="S479" s="399">
        <f>(1-SUMIF($I$1:$T$1,B475,$I$2:$T$2))*R478+SUMIF($I$1:$T$1,B475,$I$2:$T$2)*S478</f>
        <v>0</v>
      </c>
      <c r="T479" s="404">
        <f>(1-SUMIF($I$1:$T$1,B475,$I$2:$T$2))*S478+SUMIF($I$1:$T$1,B475,$I$2:$T$2)*T478</f>
        <v>0</v>
      </c>
      <c r="U479" s="386">
        <f>(1-SUMIF($I$1:$T$1,B475,$I$2:$T$2))*T478+SUMIF($I$1:$T$1,B475,$I$2:$T$2)*U478</f>
        <v>0</v>
      </c>
      <c r="V479" s="399">
        <f>(1-SUMIF($I$1:$T$1,B475,$I$2:$T$2))*U478+SUMIF($I$1:$T$1,B475,$I$2:$T$2)*V478</f>
        <v>0</v>
      </c>
      <c r="W479" s="399">
        <f>(1-SUMIF($I$1:$T$1,B475,$I$2:$T$2))*V478+SUMIF($I$1:$T$1,B475,$I$2:$T$2)*W478</f>
        <v>0</v>
      </c>
      <c r="X479" s="404">
        <f>(1-SUMIF($I$1:$T$1,B475,$I$2:$T$2))*W478+SUMIF($I$1:$T$1,B475,$I$2:$T$2)*X478</f>
        <v>0</v>
      </c>
      <c r="Y479" s="386">
        <f>(1-SUMIF($I$1:$T$1,B475,$I$2:$T$2))*X478+SUMIF($I$1:$T$1,B475,$I$2:$T$2)*Y478</f>
        <v>0</v>
      </c>
      <c r="Z479" s="399">
        <f>(1-SUMIF($I$1:$T$1,B475,$I$2:$T$2))*Y478+SUMIF($I$1:$T$1,B475,$I$2:$T$2)*Z478</f>
        <v>0</v>
      </c>
      <c r="AA479" s="399">
        <f>(1-SUMIF($I$1:$T$1,B475,$I$2:$T$2))*Z478+SUMIF($I$1:$T$1,B475,$I$2:$T$2)*AA478</f>
        <v>0</v>
      </c>
      <c r="AB479" s="404">
        <f>(1-SUMIF($I$1:$T$1,B475,$I$2:$T$2))*AA478+SUMIF($I$1:$T$1,B475,$I$2:$T$2)*AB478</f>
        <v>0</v>
      </c>
      <c r="AC479" s="386">
        <f>(1-SUMIF($I$1:$T$1,B475,$I$2:$T$2))*AB478+SUMIF($I$1:$T$1,B475,$I$2:$T$2)*AC478</f>
        <v>0</v>
      </c>
      <c r="AD479" s="399">
        <f>(1-SUMIF($I$1:$T$1,B475,$I$2:$T$2))*AC478+SUMIF($I$1:$T$1,B475,$I$2:$T$2)*AD478</f>
        <v>0</v>
      </c>
      <c r="AE479" s="399">
        <f>(1-SUMIF($I$1:$T$1,B475,$I$2:$T$2))*AD478+SUMIF($I$1:$T$1,B475,$I$2:$T$2)*AE478</f>
        <v>0</v>
      </c>
      <c r="AF479" s="404">
        <f>(1-SUMIF($I$1:$T$1,B475,$I$2:$T$2))*AE478+SUMIF($I$1:$T$1,B475,$I$2:$T$2)*AF478</f>
        <v>0</v>
      </c>
      <c r="AG479" s="386">
        <f>(1-SUMIF($I$1:$T$1,B475,$I$2:$T$2))*AF478+SUMIF($I$1:$T$1,B475,$I$2:$T$2)*AG478</f>
        <v>0</v>
      </c>
      <c r="AH479" s="399">
        <f>(1-SUMIF($I$1:$T$1,B475,$I$2:$T$2))*AG478+SUMIF($I$1:$T$1,B475,$I$2:$T$2)*AH478</f>
        <v>0</v>
      </c>
      <c r="AI479" s="399">
        <f>(1-SUMIF($I$1:$T$1,B475,$I$2:$T$2))*AH478+SUMIF($I$1:$T$1,B475,$I$2:$T$2)*AI478</f>
        <v>0</v>
      </c>
      <c r="AJ479" s="404">
        <f>(1-SUMIF($I$1:$T$1,B475,$I$2:$T$2))*AI478+SUMIF($I$1:$T$1,B475,$I$2:$T$2)*AJ478</f>
        <v>0</v>
      </c>
      <c r="AK479" s="386">
        <f>(1-SUMIF($I$1:$T$1,B475,$I$2:$T$2))*AJ478+SUMIF($I$1:$T$1,B475,$I$2:$T$2)*AK478</f>
        <v>0</v>
      </c>
      <c r="AL479" s="399">
        <f>(1-SUMIF($I$1:$T$1,B475,$I$2:$T$2))*AK478+SUMIF($I$1:$T$1,B475,$I$2:$T$2)*AL478</f>
        <v>0</v>
      </c>
      <c r="AM479" s="399">
        <f>(1-SUMIF($I$1:$T$1,B475,$I$2:$T$2))*AL478+SUMIF($I$1:$T$1,B475,$I$2:$T$2)*AM478</f>
        <v>0</v>
      </c>
      <c r="AN479" s="404">
        <f>(1-SUMIF($I$1:$T$1,B475,$I$2:$T$2))*AM478+SUMIF($I$1:$T$1,B475,$I$2:$T$2)*AN478</f>
        <v>0</v>
      </c>
      <c r="AO479" s="386">
        <f>(1-SUMIF($I$1:$T$1,B475,$I$2:$T$2))*AN478+SUMIF($I$1:$T$1,B475,$I$2:$T$2)*AO478</f>
        <v>0</v>
      </c>
      <c r="AP479" s="399">
        <f>(1-SUMIF($I$1:$T$1,B475,$I$2:$T$2))*AO478+SUMIF($I$1:$T$1,B475,$I$2:$T$2)*AP478</f>
        <v>0</v>
      </c>
      <c r="AQ479" s="399">
        <f>(1-SUMIF($I$1:$T$1,B475,$I$2:$T$2))*AP478+SUMIF($I$1:$T$1,B475,$I$2:$T$2)*AQ478</f>
        <v>0</v>
      </c>
      <c r="AR479" s="404">
        <f>(1-SUMIF($I$1:$T$1,B475,$I$2:$T$2))*AQ478+SUMIF($I$1:$T$1,B475,$I$2:$T$2)*AR478</f>
        <v>0</v>
      </c>
      <c r="AS479" s="386">
        <f>(1-SUMIF($I$1:$T$1,B475,$I$2:$T$2))*AR478+SUMIF($I$1:$T$1,B475,$I$2:$T$2)*AS478</f>
        <v>0</v>
      </c>
      <c r="AT479" s="399">
        <f>(1-SUMIF($I$1:$T$1,B475,$I$2:$T$2))*AS478+SUMIF($I$1:$T$1,B475,$I$2:$T$2)*AT478</f>
        <v>0</v>
      </c>
      <c r="AU479" s="399">
        <f>(1-SUMIF($I$1:$T$1,B475,$I$2:$T$2))*AT478+SUMIF($I$1:$T$1,B475,$I$2:$T$2)*AU478</f>
        <v>0</v>
      </c>
      <c r="AV479" s="404">
        <f>(1-SUMIF($I$1:$T$1,B475,$I$2:$T$2))*AU478+SUMIF($I$1:$T$1,B475,$I$2:$T$2)*AV478</f>
        <v>0</v>
      </c>
      <c r="AW479" s="424">
        <f t="shared" si="287"/>
        <v>0</v>
      </c>
    </row>
    <row r="480" spans="1:49" s="424" customFormat="1" ht="13.5" customHeight="1" outlineLevel="1">
      <c r="A480" s="1947"/>
      <c r="B480" s="1949" t="str">
        <f>'9.项目开发计划表'!C79</f>
        <v>自持物业</v>
      </c>
      <c r="C480" s="456" t="s">
        <v>880</v>
      </c>
      <c r="D480" s="457">
        <f>IF(D482=0,0,D483/D482*10000)</f>
        <v>0</v>
      </c>
      <c r="E480" s="505"/>
      <c r="F480" s="506"/>
      <c r="G480" s="506"/>
      <c r="H480" s="507"/>
      <c r="I480" s="505"/>
      <c r="J480" s="506"/>
      <c r="K480" s="506"/>
      <c r="L480" s="507"/>
      <c r="M480" s="505"/>
      <c r="N480" s="506"/>
      <c r="O480" s="506"/>
      <c r="P480" s="507"/>
      <c r="Q480" s="505"/>
      <c r="R480" s="506"/>
      <c r="S480" s="506"/>
      <c r="T480" s="507"/>
      <c r="U480" s="505"/>
      <c r="V480" s="506"/>
      <c r="W480" s="506"/>
      <c r="X480" s="507"/>
      <c r="Y480" s="505"/>
      <c r="Z480" s="506"/>
      <c r="AA480" s="506"/>
      <c r="AB480" s="507"/>
      <c r="AC480" s="505"/>
      <c r="AD480" s="506"/>
      <c r="AE480" s="506"/>
      <c r="AF480" s="507"/>
      <c r="AG480" s="505"/>
      <c r="AH480" s="506"/>
      <c r="AI480" s="506"/>
      <c r="AJ480" s="507"/>
      <c r="AK480" s="505"/>
      <c r="AL480" s="506"/>
      <c r="AM480" s="506"/>
      <c r="AN480" s="507"/>
      <c r="AO480" s="505"/>
      <c r="AP480" s="506"/>
      <c r="AQ480" s="506"/>
      <c r="AR480" s="507"/>
      <c r="AS480" s="505"/>
      <c r="AT480" s="506"/>
      <c r="AU480" s="506"/>
      <c r="AV480" s="507"/>
      <c r="AW480" s="424" t="str">
        <f>B480</f>
        <v>自持物业</v>
      </c>
    </row>
    <row r="481" spans="1:49" ht="13.5" customHeight="1" outlineLevel="1">
      <c r="A481" s="1947"/>
      <c r="B481" s="1949"/>
      <c r="C481" s="461" t="s">
        <v>881</v>
      </c>
      <c r="D481" s="462">
        <f t="shared" ref="D481:D484" si="303">SUM(E481:AV481)</f>
        <v>0</v>
      </c>
      <c r="E481" s="494"/>
      <c r="F481" s="491"/>
      <c r="G481" s="491"/>
      <c r="H481" s="493"/>
      <c r="I481" s="494"/>
      <c r="J481" s="491"/>
      <c r="K481" s="491"/>
      <c r="L481" s="493"/>
      <c r="M481" s="494"/>
      <c r="N481" s="491"/>
      <c r="O481" s="491"/>
      <c r="P481" s="493"/>
      <c r="Q481" s="494"/>
      <c r="R481" s="491"/>
      <c r="S481" s="491"/>
      <c r="T481" s="493"/>
      <c r="U481" s="494"/>
      <c r="V481" s="491"/>
      <c r="W481" s="491"/>
      <c r="X481" s="493"/>
      <c r="Y481" s="494"/>
      <c r="Z481" s="491"/>
      <c r="AA481" s="491"/>
      <c r="AB481" s="493"/>
      <c r="AC481" s="494"/>
      <c r="AD481" s="491"/>
      <c r="AE481" s="491"/>
      <c r="AF481" s="493"/>
      <c r="AG481" s="494"/>
      <c r="AH481" s="491"/>
      <c r="AI481" s="491"/>
      <c r="AJ481" s="493"/>
      <c r="AK481" s="494"/>
      <c r="AL481" s="491"/>
      <c r="AM481" s="491"/>
      <c r="AN481" s="493"/>
      <c r="AO481" s="494"/>
      <c r="AP481" s="491"/>
      <c r="AQ481" s="491"/>
      <c r="AR481" s="493"/>
      <c r="AS481" s="494"/>
      <c r="AT481" s="491"/>
      <c r="AU481" s="491"/>
      <c r="AV481" s="493"/>
      <c r="AW481" s="424" t="str">
        <f>AW480</f>
        <v>自持物业</v>
      </c>
    </row>
    <row r="482" spans="1:49" s="424" customFormat="1" ht="13.5" customHeight="1" outlineLevel="1">
      <c r="A482" s="1947"/>
      <c r="B482" s="1949"/>
      <c r="C482" s="461" t="s">
        <v>682</v>
      </c>
      <c r="D482" s="466">
        <f t="shared" si="303"/>
        <v>0</v>
      </c>
      <c r="E482" s="382">
        <f>E481*'9.项目开发计划表'!$G$79</f>
        <v>0</v>
      </c>
      <c r="F482" s="397">
        <f>F481*'9.项目开发计划表'!$G$79</f>
        <v>0</v>
      </c>
      <c r="G482" s="397">
        <f>G481*'9.项目开发计划表'!$G$79</f>
        <v>0</v>
      </c>
      <c r="H482" s="467">
        <f>H481*'9.项目开发计划表'!$G$79</f>
        <v>0</v>
      </c>
      <c r="I482" s="382">
        <f>I481*'9.项目开发计划表'!$G$79</f>
        <v>0</v>
      </c>
      <c r="J482" s="397">
        <f>J481*'9.项目开发计划表'!$G$79</f>
        <v>0</v>
      </c>
      <c r="K482" s="397">
        <f>K481*'9.项目开发计划表'!$G$79</f>
        <v>0</v>
      </c>
      <c r="L482" s="467">
        <f>L481*'9.项目开发计划表'!$G$79</f>
        <v>0</v>
      </c>
      <c r="M482" s="382">
        <f>M481*'9.项目开发计划表'!$G$79</f>
        <v>0</v>
      </c>
      <c r="N482" s="397">
        <f>N481*'9.项目开发计划表'!$G$79</f>
        <v>0</v>
      </c>
      <c r="O482" s="397">
        <f>O481*'9.项目开发计划表'!$G$79</f>
        <v>0</v>
      </c>
      <c r="P482" s="467">
        <f>P481*'9.项目开发计划表'!$G$79</f>
        <v>0</v>
      </c>
      <c r="Q482" s="382">
        <f>Q481*'9.项目开发计划表'!$G$79</f>
        <v>0</v>
      </c>
      <c r="R482" s="397">
        <f>R481*'9.项目开发计划表'!$G$79</f>
        <v>0</v>
      </c>
      <c r="S482" s="397">
        <f>S481*'9.项目开发计划表'!$G$79</f>
        <v>0</v>
      </c>
      <c r="T482" s="467">
        <f>T481*'9.项目开发计划表'!$G$79</f>
        <v>0</v>
      </c>
      <c r="U482" s="382">
        <f>U481*'9.项目开发计划表'!$G$79</f>
        <v>0</v>
      </c>
      <c r="V482" s="397">
        <f>V481*'9.项目开发计划表'!$G$79</f>
        <v>0</v>
      </c>
      <c r="W482" s="397">
        <f>W481*'9.项目开发计划表'!$G$79</f>
        <v>0</v>
      </c>
      <c r="X482" s="467">
        <f>X481*'9.项目开发计划表'!$G$79</f>
        <v>0</v>
      </c>
      <c r="Y482" s="382">
        <f>Y481*'9.项目开发计划表'!$G$79</f>
        <v>0</v>
      </c>
      <c r="Z482" s="397">
        <f>Z481*'9.项目开发计划表'!$G$79</f>
        <v>0</v>
      </c>
      <c r="AA482" s="397">
        <f>AA481*'9.项目开发计划表'!$G$79</f>
        <v>0</v>
      </c>
      <c r="AB482" s="467">
        <f>AB481*'9.项目开发计划表'!$G$79</f>
        <v>0</v>
      </c>
      <c r="AC482" s="382">
        <f>AC481*'9.项目开发计划表'!$G$79</f>
        <v>0</v>
      </c>
      <c r="AD482" s="397">
        <f>AD481*'9.项目开发计划表'!$G$79</f>
        <v>0</v>
      </c>
      <c r="AE482" s="397">
        <f>AE481*'9.项目开发计划表'!$G$79</f>
        <v>0</v>
      </c>
      <c r="AF482" s="467">
        <f>AF481*'9.项目开发计划表'!$G$79</f>
        <v>0</v>
      </c>
      <c r="AG482" s="382">
        <f>AG481*'9.项目开发计划表'!$G$79</f>
        <v>0</v>
      </c>
      <c r="AH482" s="397">
        <f>AH481*'9.项目开发计划表'!$G$79</f>
        <v>0</v>
      </c>
      <c r="AI482" s="397">
        <f>AI481*'9.项目开发计划表'!$G$79</f>
        <v>0</v>
      </c>
      <c r="AJ482" s="467">
        <f>AJ481*'9.项目开发计划表'!$G$79</f>
        <v>0</v>
      </c>
      <c r="AK482" s="382">
        <f>AK481*'9.项目开发计划表'!$G$79</f>
        <v>0</v>
      </c>
      <c r="AL482" s="397">
        <f>AL481*'9.项目开发计划表'!$G$79</f>
        <v>0</v>
      </c>
      <c r="AM482" s="397">
        <f>AM481*'9.项目开发计划表'!$G$79</f>
        <v>0</v>
      </c>
      <c r="AN482" s="467">
        <f>AN481*'9.项目开发计划表'!$G$79</f>
        <v>0</v>
      </c>
      <c r="AO482" s="382">
        <f>AO481*'9.项目开发计划表'!$G$79</f>
        <v>0</v>
      </c>
      <c r="AP482" s="397">
        <f>AP481*'9.项目开发计划表'!$G$79</f>
        <v>0</v>
      </c>
      <c r="AQ482" s="397">
        <f>AQ481*'9.项目开发计划表'!$G$79</f>
        <v>0</v>
      </c>
      <c r="AR482" s="467">
        <f>AR481*'9.项目开发计划表'!$G$79</f>
        <v>0</v>
      </c>
      <c r="AS482" s="382">
        <f>AS481*'9.项目开发计划表'!$G$79</f>
        <v>0</v>
      </c>
      <c r="AT482" s="397">
        <f>AT481*'9.项目开发计划表'!$G$79</f>
        <v>0</v>
      </c>
      <c r="AU482" s="397">
        <f>AU481*'9.项目开发计划表'!$G$79</f>
        <v>0</v>
      </c>
      <c r="AV482" s="467">
        <f>AV481*'9.项目开发计划表'!$G$79</f>
        <v>0</v>
      </c>
      <c r="AW482" s="424" t="str">
        <f t="shared" si="287"/>
        <v>自持物业</v>
      </c>
    </row>
    <row r="483" spans="1:49" s="424" customFormat="1" ht="13.5" customHeight="1" outlineLevel="1">
      <c r="A483" s="1947"/>
      <c r="B483" s="1949"/>
      <c r="C483" s="461" t="s">
        <v>882</v>
      </c>
      <c r="D483" s="466">
        <f t="shared" si="303"/>
        <v>0</v>
      </c>
      <c r="E483" s="382">
        <f t="shared" ref="E483:AV483" si="304">E480*E482/10000</f>
        <v>0</v>
      </c>
      <c r="F483" s="397">
        <f t="shared" si="304"/>
        <v>0</v>
      </c>
      <c r="G483" s="397">
        <f t="shared" si="304"/>
        <v>0</v>
      </c>
      <c r="H483" s="467">
        <f t="shared" si="304"/>
        <v>0</v>
      </c>
      <c r="I483" s="382">
        <f t="shared" si="304"/>
        <v>0</v>
      </c>
      <c r="J483" s="397">
        <f t="shared" si="304"/>
        <v>0</v>
      </c>
      <c r="K483" s="397">
        <f t="shared" si="304"/>
        <v>0</v>
      </c>
      <c r="L483" s="467">
        <f t="shared" si="304"/>
        <v>0</v>
      </c>
      <c r="M483" s="382">
        <f t="shared" si="304"/>
        <v>0</v>
      </c>
      <c r="N483" s="397">
        <f t="shared" si="304"/>
        <v>0</v>
      </c>
      <c r="O483" s="397">
        <f t="shared" si="304"/>
        <v>0</v>
      </c>
      <c r="P483" s="467">
        <f t="shared" si="304"/>
        <v>0</v>
      </c>
      <c r="Q483" s="382">
        <f t="shared" si="304"/>
        <v>0</v>
      </c>
      <c r="R483" s="397">
        <f t="shared" si="304"/>
        <v>0</v>
      </c>
      <c r="S483" s="397">
        <f t="shared" si="304"/>
        <v>0</v>
      </c>
      <c r="T483" s="467">
        <f t="shared" si="304"/>
        <v>0</v>
      </c>
      <c r="U483" s="382">
        <f t="shared" si="304"/>
        <v>0</v>
      </c>
      <c r="V483" s="397">
        <f t="shared" si="304"/>
        <v>0</v>
      </c>
      <c r="W483" s="397">
        <f t="shared" si="304"/>
        <v>0</v>
      </c>
      <c r="X483" s="467">
        <f t="shared" si="304"/>
        <v>0</v>
      </c>
      <c r="Y483" s="382">
        <f t="shared" si="304"/>
        <v>0</v>
      </c>
      <c r="Z483" s="397">
        <f t="shared" si="304"/>
        <v>0</v>
      </c>
      <c r="AA483" s="397">
        <f t="shared" si="304"/>
        <v>0</v>
      </c>
      <c r="AB483" s="467">
        <f t="shared" si="304"/>
        <v>0</v>
      </c>
      <c r="AC483" s="382">
        <f t="shared" si="304"/>
        <v>0</v>
      </c>
      <c r="AD483" s="397">
        <f t="shared" si="304"/>
        <v>0</v>
      </c>
      <c r="AE483" s="397">
        <f t="shared" si="304"/>
        <v>0</v>
      </c>
      <c r="AF483" s="467">
        <f t="shared" si="304"/>
        <v>0</v>
      </c>
      <c r="AG483" s="382">
        <f t="shared" si="304"/>
        <v>0</v>
      </c>
      <c r="AH483" s="397">
        <f t="shared" si="304"/>
        <v>0</v>
      </c>
      <c r="AI483" s="397">
        <f t="shared" si="304"/>
        <v>0</v>
      </c>
      <c r="AJ483" s="467">
        <f t="shared" si="304"/>
        <v>0</v>
      </c>
      <c r="AK483" s="382">
        <f t="shared" si="304"/>
        <v>0</v>
      </c>
      <c r="AL483" s="397">
        <f t="shared" si="304"/>
        <v>0</v>
      </c>
      <c r="AM483" s="397">
        <f t="shared" si="304"/>
        <v>0</v>
      </c>
      <c r="AN483" s="467">
        <f t="shared" si="304"/>
        <v>0</v>
      </c>
      <c r="AO483" s="382">
        <f t="shared" si="304"/>
        <v>0</v>
      </c>
      <c r="AP483" s="397">
        <f t="shared" si="304"/>
        <v>0</v>
      </c>
      <c r="AQ483" s="397">
        <f t="shared" si="304"/>
        <v>0</v>
      </c>
      <c r="AR483" s="467">
        <f t="shared" si="304"/>
        <v>0</v>
      </c>
      <c r="AS483" s="382">
        <f t="shared" si="304"/>
        <v>0</v>
      </c>
      <c r="AT483" s="397">
        <f t="shared" si="304"/>
        <v>0</v>
      </c>
      <c r="AU483" s="397">
        <f t="shared" si="304"/>
        <v>0</v>
      </c>
      <c r="AV483" s="467">
        <f t="shared" si="304"/>
        <v>0</v>
      </c>
      <c r="AW483" s="424" t="str">
        <f t="shared" si="287"/>
        <v>自持物业</v>
      </c>
    </row>
    <row r="484" spans="1:49" s="424" customFormat="1" ht="13.5" customHeight="1" outlineLevel="1">
      <c r="A484" s="1947"/>
      <c r="B484" s="1949"/>
      <c r="C484" s="508" t="s">
        <v>450</v>
      </c>
      <c r="D484" s="468">
        <f t="shared" si="303"/>
        <v>0</v>
      </c>
      <c r="E484" s="386">
        <f>SUMIF($I$1:$T$1,B480,$I$2:$T$2)*E483</f>
        <v>0</v>
      </c>
      <c r="F484" s="399">
        <f>(1-SUMIF($I$1:$T$1,B480,$I$2:$T$2))*E483+SUMIF($I$1:$T$1,B480,$I$2:$T$2)*F483</f>
        <v>0</v>
      </c>
      <c r="G484" s="399">
        <f>(1-SUMIF($I$1:$T$1,B480,$I$2:$T$2))*F483+SUMIF($I$1:$T$1,B480,$I$2:$T$2)*G483</f>
        <v>0</v>
      </c>
      <c r="H484" s="404">
        <f>(1-SUMIF($I$1:$T$1,B480,$I$2:$T$2))*G483+SUMIF($I$1:$T$1,B480,$I$2:$T$2)*H483</f>
        <v>0</v>
      </c>
      <c r="I484" s="386">
        <f>(1-SUMIF($I$1:$T$1,B480,$I$2:$T$2))*H483+SUMIF($I$1:$T$1,B480,$I$2:$T$2)*I483</f>
        <v>0</v>
      </c>
      <c r="J484" s="399">
        <f>(1-SUMIF($I$1:$T$1,B480,$I$2:$T$2))*I483+SUMIF($I$1:$T$1,B480,$I$2:$T$2)*J483</f>
        <v>0</v>
      </c>
      <c r="K484" s="399">
        <f>(1-SUMIF($I$1:$T$1,B480,$I$2:$T$2))*J483+SUMIF($I$1:$T$1,B480,$I$2:$T$2)*K483</f>
        <v>0</v>
      </c>
      <c r="L484" s="404">
        <f>(1-SUMIF($I$1:$T$1,B480,$I$2:$T$2))*K483+SUMIF($I$1:$T$1,B480,$I$2:$T$2)*L483</f>
        <v>0</v>
      </c>
      <c r="M484" s="386">
        <f>(1-SUMIF($I$1:$T$1,B480,$I$2:$T$2))*L483+SUMIF($I$1:$T$1,B480,$I$2:$T$2)*M483</f>
        <v>0</v>
      </c>
      <c r="N484" s="399">
        <f>(1-SUMIF($I$1:$T$1,B480,$I$2:$T$2))*M483+SUMIF($I$1:$T$1,B480,$I$2:$T$2)*N483</f>
        <v>0</v>
      </c>
      <c r="O484" s="399">
        <f>(1-SUMIF($I$1:$T$1,B480,$I$2:$T$2))*N483+SUMIF($I$1:$T$1,B480,$I$2:$T$2)*O483</f>
        <v>0</v>
      </c>
      <c r="P484" s="404">
        <f>(1-SUMIF($I$1:$T$1,B480,$I$2:$T$2))*O483+SUMIF($I$1:$T$1,B480,$I$2:$T$2)*P483</f>
        <v>0</v>
      </c>
      <c r="Q484" s="386">
        <f>(1-SUMIF($I$1:$T$1,B480,$I$2:$T$2))*P483+SUMIF($I$1:$T$1,B480,$I$2:$T$2)*Q483</f>
        <v>0</v>
      </c>
      <c r="R484" s="399">
        <f>(1-SUMIF($I$1:$T$1,B480,$I$2:$T$2))*Q483+SUMIF($I$1:$T$1,B480,$I$2:$T$2)*R483</f>
        <v>0</v>
      </c>
      <c r="S484" s="399">
        <f>(1-SUMIF($I$1:$T$1,B480,$I$2:$T$2))*R483+SUMIF($I$1:$T$1,B480,$I$2:$T$2)*S483</f>
        <v>0</v>
      </c>
      <c r="T484" s="404">
        <f>(1-SUMIF($I$1:$T$1,B480,$I$2:$T$2))*S483+SUMIF($I$1:$T$1,B480,$I$2:$T$2)*T483</f>
        <v>0</v>
      </c>
      <c r="U484" s="386">
        <f>(1-SUMIF($I$1:$T$1,B480,$I$2:$T$2))*T483+SUMIF($I$1:$T$1,B480,$I$2:$T$2)*U483</f>
        <v>0</v>
      </c>
      <c r="V484" s="399">
        <f>(1-SUMIF($I$1:$T$1,B480,$I$2:$T$2))*U483+SUMIF($I$1:$T$1,B480,$I$2:$T$2)*V483</f>
        <v>0</v>
      </c>
      <c r="W484" s="399">
        <f>(1-SUMIF($I$1:$T$1,B480,$I$2:$T$2))*V483+SUMIF($I$1:$T$1,B480,$I$2:$T$2)*W483</f>
        <v>0</v>
      </c>
      <c r="X484" s="404">
        <f>(1-SUMIF($I$1:$T$1,B480,$I$2:$T$2))*W483+SUMIF($I$1:$T$1,B480,$I$2:$T$2)*X483</f>
        <v>0</v>
      </c>
      <c r="Y484" s="386">
        <f>(1-SUMIF($I$1:$T$1,B480,$I$2:$T$2))*X483+SUMIF($I$1:$T$1,B480,$I$2:$T$2)*Y483</f>
        <v>0</v>
      </c>
      <c r="Z484" s="399">
        <f>(1-SUMIF($I$1:$T$1,B480,$I$2:$T$2))*Y483+SUMIF($I$1:$T$1,B480,$I$2:$T$2)*Z483</f>
        <v>0</v>
      </c>
      <c r="AA484" s="399">
        <f>(1-SUMIF($I$1:$T$1,B480,$I$2:$T$2))*Z483+SUMIF($I$1:$T$1,B480,$I$2:$T$2)*AA483</f>
        <v>0</v>
      </c>
      <c r="AB484" s="404">
        <f>(1-SUMIF($I$1:$T$1,B480,$I$2:$T$2))*AA483+SUMIF($I$1:$T$1,B480,$I$2:$T$2)*AB483</f>
        <v>0</v>
      </c>
      <c r="AC484" s="386">
        <f>(1-SUMIF($I$1:$T$1,B480,$I$2:$T$2))*AB483+SUMIF($I$1:$T$1,B480,$I$2:$T$2)*AC483</f>
        <v>0</v>
      </c>
      <c r="AD484" s="399">
        <f>(1-SUMIF($I$1:$T$1,B480,$I$2:$T$2))*AC483+SUMIF($I$1:$T$1,B480,$I$2:$T$2)*AD483</f>
        <v>0</v>
      </c>
      <c r="AE484" s="399">
        <f>(1-SUMIF($I$1:$T$1,B480,$I$2:$T$2))*AD483+SUMIF($I$1:$T$1,B480,$I$2:$T$2)*AE483</f>
        <v>0</v>
      </c>
      <c r="AF484" s="404">
        <f>(1-SUMIF($I$1:$T$1,B480,$I$2:$T$2))*AE483+SUMIF($I$1:$T$1,B480,$I$2:$T$2)*AF483</f>
        <v>0</v>
      </c>
      <c r="AG484" s="386">
        <f>(1-SUMIF($I$1:$T$1,B480,$I$2:$T$2))*AF483+SUMIF($I$1:$T$1,B480,$I$2:$T$2)*AG483</f>
        <v>0</v>
      </c>
      <c r="AH484" s="399">
        <f>(1-SUMIF($I$1:$T$1,B480,$I$2:$T$2))*AG483+SUMIF($I$1:$T$1,B480,$I$2:$T$2)*AH483</f>
        <v>0</v>
      </c>
      <c r="AI484" s="399">
        <f>(1-SUMIF($I$1:$T$1,B480,$I$2:$T$2))*AH483+SUMIF($I$1:$T$1,B480,$I$2:$T$2)*AI483</f>
        <v>0</v>
      </c>
      <c r="AJ484" s="404">
        <f>(1-SUMIF($I$1:$T$1,B480,$I$2:$T$2))*AI483+SUMIF($I$1:$T$1,B480,$I$2:$T$2)*AJ483</f>
        <v>0</v>
      </c>
      <c r="AK484" s="386">
        <f>(1-SUMIF($I$1:$T$1,B480,$I$2:$T$2))*AJ483+SUMIF($I$1:$T$1,B480,$I$2:$T$2)*AK483</f>
        <v>0</v>
      </c>
      <c r="AL484" s="399">
        <f>(1-SUMIF($I$1:$T$1,B480,$I$2:$T$2))*AK483+SUMIF($I$1:$T$1,B480,$I$2:$T$2)*AL483</f>
        <v>0</v>
      </c>
      <c r="AM484" s="399">
        <f>(1-SUMIF($I$1:$T$1,B480,$I$2:$T$2))*AL483+SUMIF($I$1:$T$1,B480,$I$2:$T$2)*AM483</f>
        <v>0</v>
      </c>
      <c r="AN484" s="404">
        <f>(1-SUMIF($I$1:$T$1,B480,$I$2:$T$2))*AM483+SUMIF($I$1:$T$1,B480,$I$2:$T$2)*AN483</f>
        <v>0</v>
      </c>
      <c r="AO484" s="386">
        <f>(1-SUMIF($I$1:$T$1,B480,$I$2:$T$2))*AN483+SUMIF($I$1:$T$1,B480,$I$2:$T$2)*AO483</f>
        <v>0</v>
      </c>
      <c r="AP484" s="399">
        <f>(1-SUMIF($I$1:$T$1,B480,$I$2:$T$2))*AO483+SUMIF($I$1:$T$1,B480,$I$2:$T$2)*AP483</f>
        <v>0</v>
      </c>
      <c r="AQ484" s="399">
        <f>(1-SUMIF($I$1:$T$1,B480,$I$2:$T$2))*AP483+SUMIF($I$1:$T$1,B480,$I$2:$T$2)*AQ483</f>
        <v>0</v>
      </c>
      <c r="AR484" s="404">
        <f>(1-SUMIF($I$1:$T$1,B480,$I$2:$T$2))*AQ483+SUMIF($I$1:$T$1,B480,$I$2:$T$2)*AR483</f>
        <v>0</v>
      </c>
      <c r="AS484" s="386">
        <f>(1-SUMIF($I$1:$T$1,B480,$I$2:$T$2))*AR483+SUMIF($I$1:$T$1,B480,$I$2:$T$2)*AS483</f>
        <v>0</v>
      </c>
      <c r="AT484" s="399">
        <f>(1-SUMIF($I$1:$T$1,B480,$I$2:$T$2))*AS483+SUMIF($I$1:$T$1,B480,$I$2:$T$2)*AT483</f>
        <v>0</v>
      </c>
      <c r="AU484" s="399">
        <f>(1-SUMIF($I$1:$T$1,B480,$I$2:$T$2))*AT483+SUMIF($I$1:$T$1,B480,$I$2:$T$2)*AU483</f>
        <v>0</v>
      </c>
      <c r="AV484" s="404">
        <f>(1-SUMIF($I$1:$T$1,B480,$I$2:$T$2))*AU483+SUMIF($I$1:$T$1,B480,$I$2:$T$2)*AV483</f>
        <v>0</v>
      </c>
      <c r="AW484" s="424" t="str">
        <f t="shared" si="287"/>
        <v>自持物业</v>
      </c>
    </row>
    <row r="485" spans="1:49" s="424" customFormat="1" ht="13.5" customHeight="1" outlineLevel="1">
      <c r="A485" s="1947"/>
      <c r="B485" s="1949" t="str">
        <f>'9.项目开发计划表'!C80</f>
        <v>有产权车库(个)</v>
      </c>
      <c r="C485" s="456" t="s">
        <v>880</v>
      </c>
      <c r="D485" s="457">
        <f>IF(D487=0,0,D488/D487*10000)</f>
        <v>0</v>
      </c>
      <c r="E485" s="505"/>
      <c r="F485" s="506"/>
      <c r="G485" s="506"/>
      <c r="H485" s="507"/>
      <c r="I485" s="505"/>
      <c r="J485" s="506"/>
      <c r="K485" s="506"/>
      <c r="L485" s="507"/>
      <c r="M485" s="505"/>
      <c r="N485" s="506"/>
      <c r="O485" s="506"/>
      <c r="P485" s="507"/>
      <c r="Q485" s="505"/>
      <c r="R485" s="506"/>
      <c r="S485" s="506"/>
      <c r="T485" s="507"/>
      <c r="U485" s="505"/>
      <c r="V485" s="506"/>
      <c r="W485" s="506"/>
      <c r="X485" s="507"/>
      <c r="Y485" s="506"/>
      <c r="Z485" s="506"/>
      <c r="AA485" s="506"/>
      <c r="AB485" s="506"/>
      <c r="AC485" s="506"/>
      <c r="AD485" s="506"/>
      <c r="AE485" s="506"/>
      <c r="AF485" s="506"/>
      <c r="AG485" s="506"/>
      <c r="AH485" s="506"/>
      <c r="AI485" s="506"/>
      <c r="AJ485" s="506"/>
      <c r="AK485" s="506"/>
      <c r="AL485" s="506"/>
      <c r="AM485" s="506"/>
      <c r="AN485" s="506"/>
      <c r="AO485" s="506"/>
      <c r="AP485" s="506"/>
      <c r="AQ485" s="506"/>
      <c r="AR485" s="506"/>
      <c r="AS485" s="506"/>
      <c r="AT485" s="506"/>
      <c r="AU485" s="506"/>
      <c r="AV485" s="506"/>
      <c r="AW485" s="424" t="str">
        <f>B485</f>
        <v>有产权车库(个)</v>
      </c>
    </row>
    <row r="486" spans="1:49" ht="13.5" customHeight="1" outlineLevel="1">
      <c r="A486" s="1947"/>
      <c r="B486" s="1949"/>
      <c r="C486" s="461" t="s">
        <v>881</v>
      </c>
      <c r="D486" s="462">
        <f t="shared" ref="D486:D489" si="305">SUM(E486:AV486)</f>
        <v>0</v>
      </c>
      <c r="E486" s="494"/>
      <c r="F486" s="491"/>
      <c r="G486" s="491"/>
      <c r="H486" s="493"/>
      <c r="I486" s="494"/>
      <c r="J486" s="491"/>
      <c r="K486" s="491"/>
      <c r="L486" s="493"/>
      <c r="M486" s="494"/>
      <c r="N486" s="491"/>
      <c r="O486" s="491"/>
      <c r="P486" s="493"/>
      <c r="Q486" s="494"/>
      <c r="R486" s="491"/>
      <c r="S486" s="491"/>
      <c r="T486" s="493"/>
      <c r="U486" s="494"/>
      <c r="V486" s="491"/>
      <c r="W486" s="491"/>
      <c r="X486" s="493"/>
      <c r="Y486" s="491"/>
      <c r="Z486" s="491"/>
      <c r="AA486" s="491"/>
      <c r="AB486" s="491"/>
      <c r="AC486" s="491"/>
      <c r="AD486" s="491"/>
      <c r="AE486" s="491"/>
      <c r="AF486" s="491"/>
      <c r="AG486" s="491"/>
      <c r="AH486" s="491"/>
      <c r="AI486" s="491"/>
      <c r="AJ486" s="491"/>
      <c r="AK486" s="491"/>
      <c r="AL486" s="491"/>
      <c r="AM486" s="491"/>
      <c r="AN486" s="491"/>
      <c r="AO486" s="491"/>
      <c r="AP486" s="491"/>
      <c r="AQ486" s="491"/>
      <c r="AR486" s="491"/>
      <c r="AS486" s="491"/>
      <c r="AT486" s="491"/>
      <c r="AU486" s="491"/>
      <c r="AV486" s="491"/>
      <c r="AW486" s="424" t="str">
        <f>AW485</f>
        <v>有产权车库(个)</v>
      </c>
    </row>
    <row r="487" spans="1:49" s="424" customFormat="1" ht="13.5" customHeight="1" outlineLevel="1">
      <c r="A487" s="1947"/>
      <c r="B487" s="1949"/>
      <c r="C487" s="461" t="s">
        <v>682</v>
      </c>
      <c r="D487" s="466">
        <f t="shared" si="305"/>
        <v>0</v>
      </c>
      <c r="E487" s="382">
        <f>E486*'9.项目开发计划表'!$G$80</f>
        <v>0</v>
      </c>
      <c r="F487" s="397">
        <f>F486*'9.项目开发计划表'!$G$80</f>
        <v>0</v>
      </c>
      <c r="G487" s="397">
        <f>G486*'9.项目开发计划表'!$G$80</f>
        <v>0</v>
      </c>
      <c r="H487" s="467">
        <f>H486*'9.项目开发计划表'!$G$80</f>
        <v>0</v>
      </c>
      <c r="I487" s="382">
        <f>I486*'9.项目开发计划表'!$G$80</f>
        <v>0</v>
      </c>
      <c r="J487" s="397">
        <f>J486*'9.项目开发计划表'!$G$80</f>
        <v>0</v>
      </c>
      <c r="K487" s="397">
        <f>K486*'9.项目开发计划表'!$G$80</f>
        <v>0</v>
      </c>
      <c r="L487" s="467">
        <f>L486*'9.项目开发计划表'!$G$80</f>
        <v>0</v>
      </c>
      <c r="M487" s="382">
        <f>M486*'9.项目开发计划表'!$G$80</f>
        <v>0</v>
      </c>
      <c r="N487" s="397">
        <f>N486*'9.项目开发计划表'!$G$80</f>
        <v>0</v>
      </c>
      <c r="O487" s="397">
        <f>O486*'9.项目开发计划表'!$G$80</f>
        <v>0</v>
      </c>
      <c r="P487" s="467">
        <f>P486*'9.项目开发计划表'!$G$80</f>
        <v>0</v>
      </c>
      <c r="Q487" s="382">
        <f>Q486*'9.项目开发计划表'!$G$80</f>
        <v>0</v>
      </c>
      <c r="R487" s="397">
        <f>R486*'9.项目开发计划表'!$G$80</f>
        <v>0</v>
      </c>
      <c r="S487" s="397">
        <f>S486*'9.项目开发计划表'!$G$80</f>
        <v>0</v>
      </c>
      <c r="T487" s="467">
        <f>T486*'9.项目开发计划表'!$G$80</f>
        <v>0</v>
      </c>
      <c r="U487" s="382">
        <f>U486*'9.项目开发计划表'!$G$80</f>
        <v>0</v>
      </c>
      <c r="V487" s="397">
        <f>V486*'9.项目开发计划表'!$G$80</f>
        <v>0</v>
      </c>
      <c r="W487" s="397">
        <f>W486*'9.项目开发计划表'!$G$80</f>
        <v>0</v>
      </c>
      <c r="X487" s="467">
        <f>X486*'9.项目开发计划表'!$G$80</f>
        <v>0</v>
      </c>
      <c r="Y487" s="382">
        <f>Y486*'9.项目开发计划表'!$G$80</f>
        <v>0</v>
      </c>
      <c r="Z487" s="397">
        <f>Z486*'9.项目开发计划表'!$G$80</f>
        <v>0</v>
      </c>
      <c r="AA487" s="397">
        <f>AA486*'9.项目开发计划表'!$G$80</f>
        <v>0</v>
      </c>
      <c r="AB487" s="467">
        <f>AB486*'9.项目开发计划表'!$G$80</f>
        <v>0</v>
      </c>
      <c r="AC487" s="382">
        <f>AC486*'9.项目开发计划表'!$G$80</f>
        <v>0</v>
      </c>
      <c r="AD487" s="397">
        <f>AD486*'9.项目开发计划表'!$G$80</f>
        <v>0</v>
      </c>
      <c r="AE487" s="397">
        <f>AE486*'9.项目开发计划表'!$G$80</f>
        <v>0</v>
      </c>
      <c r="AF487" s="467">
        <f>AF486*'9.项目开发计划表'!$G$80</f>
        <v>0</v>
      </c>
      <c r="AG487" s="382">
        <f>AG486*'9.项目开发计划表'!$G$80</f>
        <v>0</v>
      </c>
      <c r="AH487" s="397">
        <f>AH486*'9.项目开发计划表'!$G$80</f>
        <v>0</v>
      </c>
      <c r="AI487" s="397">
        <f>AI486*'9.项目开发计划表'!$G$80</f>
        <v>0</v>
      </c>
      <c r="AJ487" s="467">
        <f>AJ486*'9.项目开发计划表'!$G$80</f>
        <v>0</v>
      </c>
      <c r="AK487" s="382">
        <f>AK486*'9.项目开发计划表'!$G$80</f>
        <v>0</v>
      </c>
      <c r="AL487" s="397">
        <f>AL486*'9.项目开发计划表'!$G$80</f>
        <v>0</v>
      </c>
      <c r="AM487" s="397">
        <f>AM486*'9.项目开发计划表'!$G$80</f>
        <v>0</v>
      </c>
      <c r="AN487" s="467">
        <f>AN486*'9.项目开发计划表'!$G$80</f>
        <v>0</v>
      </c>
      <c r="AO487" s="382">
        <f>AO486*'9.项目开发计划表'!$G$80</f>
        <v>0</v>
      </c>
      <c r="AP487" s="397">
        <f>AP486*'9.项目开发计划表'!$G$80</f>
        <v>0</v>
      </c>
      <c r="AQ487" s="397">
        <f>AQ486*'9.项目开发计划表'!$G$80</f>
        <v>0</v>
      </c>
      <c r="AR487" s="467">
        <f>AR486*'9.项目开发计划表'!$G$80</f>
        <v>0</v>
      </c>
      <c r="AS487" s="382">
        <f>AS486*'9.项目开发计划表'!$G$80</f>
        <v>0</v>
      </c>
      <c r="AT487" s="397">
        <f>AT486*'9.项目开发计划表'!$G$80</f>
        <v>0</v>
      </c>
      <c r="AU487" s="397">
        <f>AU486*'9.项目开发计划表'!$G$80</f>
        <v>0</v>
      </c>
      <c r="AV487" s="467">
        <f>AV486*'9.项目开发计划表'!$G$80</f>
        <v>0</v>
      </c>
      <c r="AW487" s="424" t="str">
        <f t="shared" si="287"/>
        <v>有产权车库(个)</v>
      </c>
    </row>
    <row r="488" spans="1:49" s="424" customFormat="1" ht="13.5" customHeight="1" outlineLevel="1">
      <c r="A488" s="1947"/>
      <c r="B488" s="1949"/>
      <c r="C488" s="461" t="s">
        <v>882</v>
      </c>
      <c r="D488" s="466">
        <f t="shared" si="305"/>
        <v>0</v>
      </c>
      <c r="E488" s="382">
        <f t="shared" ref="E488:AV488" si="306">E485*E487/10000</f>
        <v>0</v>
      </c>
      <c r="F488" s="397">
        <f t="shared" si="306"/>
        <v>0</v>
      </c>
      <c r="G488" s="397">
        <f t="shared" si="306"/>
        <v>0</v>
      </c>
      <c r="H488" s="467">
        <f t="shared" si="306"/>
        <v>0</v>
      </c>
      <c r="I488" s="382">
        <f t="shared" si="306"/>
        <v>0</v>
      </c>
      <c r="J488" s="397">
        <f t="shared" si="306"/>
        <v>0</v>
      </c>
      <c r="K488" s="397">
        <f t="shared" si="306"/>
        <v>0</v>
      </c>
      <c r="L488" s="467">
        <f t="shared" si="306"/>
        <v>0</v>
      </c>
      <c r="M488" s="382">
        <f t="shared" si="306"/>
        <v>0</v>
      </c>
      <c r="N488" s="397">
        <f t="shared" si="306"/>
        <v>0</v>
      </c>
      <c r="O488" s="397">
        <f t="shared" si="306"/>
        <v>0</v>
      </c>
      <c r="P488" s="467">
        <f t="shared" si="306"/>
        <v>0</v>
      </c>
      <c r="Q488" s="382">
        <f t="shared" si="306"/>
        <v>0</v>
      </c>
      <c r="R488" s="397">
        <f t="shared" si="306"/>
        <v>0</v>
      </c>
      <c r="S488" s="397">
        <f t="shared" si="306"/>
        <v>0</v>
      </c>
      <c r="T488" s="467">
        <f t="shared" si="306"/>
        <v>0</v>
      </c>
      <c r="U488" s="382">
        <f t="shared" si="306"/>
        <v>0</v>
      </c>
      <c r="V488" s="397">
        <f t="shared" si="306"/>
        <v>0</v>
      </c>
      <c r="W488" s="397">
        <f t="shared" si="306"/>
        <v>0</v>
      </c>
      <c r="X488" s="467">
        <f t="shared" si="306"/>
        <v>0</v>
      </c>
      <c r="Y488" s="382">
        <f t="shared" si="306"/>
        <v>0</v>
      </c>
      <c r="Z488" s="397">
        <f t="shared" si="306"/>
        <v>0</v>
      </c>
      <c r="AA488" s="397">
        <f t="shared" si="306"/>
        <v>0</v>
      </c>
      <c r="AB488" s="467">
        <f t="shared" si="306"/>
        <v>0</v>
      </c>
      <c r="AC488" s="382">
        <f t="shared" si="306"/>
        <v>0</v>
      </c>
      <c r="AD488" s="397">
        <f t="shared" si="306"/>
        <v>0</v>
      </c>
      <c r="AE488" s="397">
        <f t="shared" si="306"/>
        <v>0</v>
      </c>
      <c r="AF488" s="467">
        <f t="shared" si="306"/>
        <v>0</v>
      </c>
      <c r="AG488" s="382">
        <f t="shared" si="306"/>
        <v>0</v>
      </c>
      <c r="AH488" s="397">
        <f t="shared" si="306"/>
        <v>0</v>
      </c>
      <c r="AI488" s="397">
        <f t="shared" si="306"/>
        <v>0</v>
      </c>
      <c r="AJ488" s="467">
        <f t="shared" si="306"/>
        <v>0</v>
      </c>
      <c r="AK488" s="382">
        <f t="shared" si="306"/>
        <v>0</v>
      </c>
      <c r="AL488" s="397">
        <f t="shared" si="306"/>
        <v>0</v>
      </c>
      <c r="AM488" s="397">
        <f t="shared" si="306"/>
        <v>0</v>
      </c>
      <c r="AN488" s="467">
        <f t="shared" si="306"/>
        <v>0</v>
      </c>
      <c r="AO488" s="382">
        <f t="shared" si="306"/>
        <v>0</v>
      </c>
      <c r="AP488" s="397">
        <f t="shared" si="306"/>
        <v>0</v>
      </c>
      <c r="AQ488" s="397">
        <f t="shared" si="306"/>
        <v>0</v>
      </c>
      <c r="AR488" s="467">
        <f t="shared" si="306"/>
        <v>0</v>
      </c>
      <c r="AS488" s="382">
        <f t="shared" si="306"/>
        <v>0</v>
      </c>
      <c r="AT488" s="397">
        <f t="shared" si="306"/>
        <v>0</v>
      </c>
      <c r="AU488" s="397">
        <f t="shared" si="306"/>
        <v>0</v>
      </c>
      <c r="AV488" s="467">
        <f t="shared" si="306"/>
        <v>0</v>
      </c>
      <c r="AW488" s="424" t="str">
        <f t="shared" si="287"/>
        <v>有产权车库(个)</v>
      </c>
    </row>
    <row r="489" spans="1:49" s="424" customFormat="1" ht="13.5" customHeight="1" outlineLevel="1">
      <c r="A489" s="1947"/>
      <c r="B489" s="1949"/>
      <c r="C489" s="508" t="s">
        <v>450</v>
      </c>
      <c r="D489" s="468">
        <f t="shared" si="305"/>
        <v>0</v>
      </c>
      <c r="E489" s="386">
        <f>SUMIF($I$1:$T$1,B485,$I$2:$T$2)*E488</f>
        <v>0</v>
      </c>
      <c r="F489" s="399">
        <f>(1-SUMIF($I$1:$T$1,B485,$I$2:$T$2))*E488+SUMIF($I$1:$T$1,B485,$I$2:$T$2)*F488</f>
        <v>0</v>
      </c>
      <c r="G489" s="399">
        <f>(1-SUMIF($I$1:$T$1,B485,$I$2:$T$2))*F488+SUMIF($I$1:$T$1,B485,$I$2:$T$2)*G488</f>
        <v>0</v>
      </c>
      <c r="H489" s="404">
        <f>(1-SUMIF($I$1:$T$1,B485,$I$2:$T$2))*G488+SUMIF($I$1:$T$1,B485,$I$2:$T$2)*H488</f>
        <v>0</v>
      </c>
      <c r="I489" s="386">
        <f>(1-SUMIF($I$1:$T$1,B485,$I$2:$T$2))*H488+SUMIF($I$1:$T$1,B485,$I$2:$T$2)*I488</f>
        <v>0</v>
      </c>
      <c r="J489" s="399">
        <f>(1-SUMIF($I$1:$T$1,B485,$I$2:$T$2))*I488+SUMIF($I$1:$T$1,B485,$I$2:$T$2)*J488</f>
        <v>0</v>
      </c>
      <c r="K489" s="399">
        <f>(1-SUMIF($I$1:$T$1,B485,$I$2:$T$2))*J488+SUMIF($I$1:$T$1,B485,$I$2:$T$2)*K488</f>
        <v>0</v>
      </c>
      <c r="L489" s="404">
        <f>(1-SUMIF($I$1:$T$1,B485,$I$2:$T$2))*K488+SUMIF($I$1:$T$1,B485,$I$2:$T$2)*L488</f>
        <v>0</v>
      </c>
      <c r="M489" s="386">
        <f>(1-SUMIF($I$1:$T$1,B485,$I$2:$T$2))*L488+SUMIF($I$1:$T$1,B485,$I$2:$T$2)*M488</f>
        <v>0</v>
      </c>
      <c r="N489" s="399">
        <f>(1-SUMIF($I$1:$T$1,B485,$I$2:$T$2))*M488+SUMIF($I$1:$T$1,B485,$I$2:$T$2)*N488</f>
        <v>0</v>
      </c>
      <c r="O489" s="399">
        <f>(1-SUMIF($I$1:$T$1,B485,$I$2:$T$2))*N488+SUMIF($I$1:$T$1,B485,$I$2:$T$2)*O488</f>
        <v>0</v>
      </c>
      <c r="P489" s="404">
        <f>(1-SUMIF($I$1:$T$1,B485,$I$2:$T$2))*O488+SUMIF($I$1:$T$1,B485,$I$2:$T$2)*P488</f>
        <v>0</v>
      </c>
      <c r="Q489" s="386">
        <f>(1-SUMIF($I$1:$T$1,B485,$I$2:$T$2))*P488+SUMIF($I$1:$T$1,B485,$I$2:$T$2)*Q488</f>
        <v>0</v>
      </c>
      <c r="R489" s="399">
        <f>(1-SUMIF($I$1:$T$1,B485,$I$2:$T$2))*Q488+SUMIF($I$1:$T$1,B485,$I$2:$T$2)*R488</f>
        <v>0</v>
      </c>
      <c r="S489" s="399">
        <f>(1-SUMIF($I$1:$T$1,B485,$I$2:$T$2))*R488+SUMIF($I$1:$T$1,B485,$I$2:$T$2)*S488</f>
        <v>0</v>
      </c>
      <c r="T489" s="404">
        <f>(1-SUMIF($I$1:$T$1,B485,$I$2:$T$2))*S488+SUMIF($I$1:$T$1,B485,$I$2:$T$2)*T488</f>
        <v>0</v>
      </c>
      <c r="U489" s="386">
        <f>(1-SUMIF($I$1:$T$1,B485,$I$2:$T$2))*T488+SUMIF($I$1:$T$1,B485,$I$2:$T$2)*U488</f>
        <v>0</v>
      </c>
      <c r="V489" s="399">
        <f>(1-SUMIF($I$1:$T$1,B485,$I$2:$T$2))*U488+SUMIF($I$1:$T$1,B485,$I$2:$T$2)*V488</f>
        <v>0</v>
      </c>
      <c r="W489" s="399">
        <f>(1-SUMIF($I$1:$T$1,B485,$I$2:$T$2))*V488+SUMIF($I$1:$T$1,B485,$I$2:$T$2)*W488</f>
        <v>0</v>
      </c>
      <c r="X489" s="404">
        <f>(1-SUMIF($I$1:$T$1,B485,$I$2:$T$2))*W488+SUMIF($I$1:$T$1,B485,$I$2:$T$2)*X488</f>
        <v>0</v>
      </c>
      <c r="Y489" s="386">
        <f>(1-SUMIF($I$1:$T$1,B485,$I$2:$T$2))*X488+SUMIF($I$1:$T$1,B485,$I$2:$T$2)*Y488</f>
        <v>0</v>
      </c>
      <c r="Z489" s="399">
        <f>(1-SUMIF($I$1:$T$1,B485,$I$2:$T$2))*Y488+SUMIF($I$1:$T$1,B485,$I$2:$T$2)*Z488</f>
        <v>0</v>
      </c>
      <c r="AA489" s="399">
        <f>(1-SUMIF($I$1:$T$1,B485,$I$2:$T$2))*Z488+SUMIF($I$1:$T$1,B485,$I$2:$T$2)*AA488</f>
        <v>0</v>
      </c>
      <c r="AB489" s="404">
        <f>(1-SUMIF($I$1:$T$1,B485,$I$2:$T$2))*AA488+SUMIF($I$1:$T$1,B485,$I$2:$T$2)*AB488</f>
        <v>0</v>
      </c>
      <c r="AC489" s="386">
        <f>(1-SUMIF($I$1:$T$1,B485,$I$2:$T$2))*AB488+SUMIF($I$1:$T$1,B485,$I$2:$T$2)*AC488</f>
        <v>0</v>
      </c>
      <c r="AD489" s="399">
        <f>(1-SUMIF($I$1:$T$1,B485,$I$2:$T$2))*AC488+SUMIF($I$1:$T$1,B485,$I$2:$T$2)*AD488</f>
        <v>0</v>
      </c>
      <c r="AE489" s="399">
        <f>(1-SUMIF($I$1:$T$1,B485,$I$2:$T$2))*AD488+SUMIF($I$1:$T$1,B485,$I$2:$T$2)*AE488</f>
        <v>0</v>
      </c>
      <c r="AF489" s="404">
        <f>(1-SUMIF($I$1:$T$1,B485,$I$2:$T$2))*AE488+SUMIF($I$1:$T$1,B485,$I$2:$T$2)*AF488</f>
        <v>0</v>
      </c>
      <c r="AG489" s="386">
        <f>(1-SUMIF($I$1:$T$1,B485,$I$2:$T$2))*AF488+SUMIF($I$1:$T$1,B485,$I$2:$T$2)*AG488</f>
        <v>0</v>
      </c>
      <c r="AH489" s="399">
        <f>(1-SUMIF($I$1:$T$1,B485,$I$2:$T$2))*AG488+SUMIF($I$1:$T$1,B485,$I$2:$T$2)*AH488</f>
        <v>0</v>
      </c>
      <c r="AI489" s="399">
        <f>(1-SUMIF($I$1:$T$1,B485,$I$2:$T$2))*AH488+SUMIF($I$1:$T$1,B485,$I$2:$T$2)*AI488</f>
        <v>0</v>
      </c>
      <c r="AJ489" s="404">
        <f>(1-SUMIF($I$1:$T$1,B485,$I$2:$T$2))*AI488+SUMIF($I$1:$T$1,B485,$I$2:$T$2)*AJ488</f>
        <v>0</v>
      </c>
      <c r="AK489" s="386">
        <f>(1-SUMIF($I$1:$T$1,B485,$I$2:$T$2))*AJ488+SUMIF($I$1:$T$1,B485,$I$2:$T$2)*AK488</f>
        <v>0</v>
      </c>
      <c r="AL489" s="399">
        <f>(1-SUMIF($I$1:$T$1,B485,$I$2:$T$2))*AK488+SUMIF($I$1:$T$1,B485,$I$2:$T$2)*AL488</f>
        <v>0</v>
      </c>
      <c r="AM489" s="399">
        <f>(1-SUMIF($I$1:$T$1,B485,$I$2:$T$2))*AL488+SUMIF($I$1:$T$1,B485,$I$2:$T$2)*AM488</f>
        <v>0</v>
      </c>
      <c r="AN489" s="404">
        <f>(1-SUMIF($I$1:$T$1,B485,$I$2:$T$2))*AM488+SUMIF($I$1:$T$1,B485,$I$2:$T$2)*AN488</f>
        <v>0</v>
      </c>
      <c r="AO489" s="386">
        <f>(1-SUMIF($I$1:$T$1,B485,$I$2:$T$2))*AN488+SUMIF($I$1:$T$1,B485,$I$2:$T$2)*AO488</f>
        <v>0</v>
      </c>
      <c r="AP489" s="399">
        <f>(1-SUMIF($I$1:$T$1,B485,$I$2:$T$2))*AO488+SUMIF($I$1:$T$1,B485,$I$2:$T$2)*AP488</f>
        <v>0</v>
      </c>
      <c r="AQ489" s="399">
        <f>(1-SUMIF($I$1:$T$1,B485,$I$2:$T$2))*AP488+SUMIF($I$1:$T$1,B485,$I$2:$T$2)*AQ488</f>
        <v>0</v>
      </c>
      <c r="AR489" s="404">
        <f>(1-SUMIF($I$1:$T$1,B485,$I$2:$T$2))*AQ488+SUMIF($I$1:$T$1,B485,$I$2:$T$2)*AR488</f>
        <v>0</v>
      </c>
      <c r="AS489" s="386">
        <f>(1-SUMIF($I$1:$T$1,B485,$I$2:$T$2))*AR488+SUMIF($I$1:$T$1,B485,$I$2:$T$2)*AS488</f>
        <v>0</v>
      </c>
      <c r="AT489" s="399">
        <f>(1-SUMIF($I$1:$T$1,B485,$I$2:$T$2))*AS488+SUMIF($I$1:$T$1,B485,$I$2:$T$2)*AT488</f>
        <v>0</v>
      </c>
      <c r="AU489" s="399">
        <f>(1-SUMIF($I$1:$T$1,B485,$I$2:$T$2))*AT488+SUMIF($I$1:$T$1,B485,$I$2:$T$2)*AU488</f>
        <v>0</v>
      </c>
      <c r="AV489" s="404">
        <f>(1-SUMIF($I$1:$T$1,B485,$I$2:$T$2))*AU488+SUMIF($I$1:$T$1,B485,$I$2:$T$2)*AV488</f>
        <v>0</v>
      </c>
      <c r="AW489" s="424" t="str">
        <f t="shared" si="287"/>
        <v>有产权车库(个)</v>
      </c>
    </row>
    <row r="490" spans="1:49" s="424" customFormat="1" ht="13.5" customHeight="1" outlineLevel="1">
      <c r="A490" s="1947"/>
      <c r="B490" s="1949" t="str">
        <f>'9.项目开发计划表'!C81</f>
        <v>无产权车库(个)</v>
      </c>
      <c r="C490" s="456" t="s">
        <v>880</v>
      </c>
      <c r="D490" s="457">
        <f>IF(D492=0,0,D493/D492*10000)</f>
        <v>0</v>
      </c>
      <c r="E490" s="505"/>
      <c r="F490" s="506"/>
      <c r="G490" s="506"/>
      <c r="H490" s="507"/>
      <c r="I490" s="505"/>
      <c r="J490" s="506"/>
      <c r="K490" s="506"/>
      <c r="L490" s="507"/>
      <c r="M490" s="505"/>
      <c r="N490" s="506"/>
      <c r="O490" s="506"/>
      <c r="P490" s="507"/>
      <c r="Q490" s="505"/>
      <c r="R490" s="506"/>
      <c r="S490" s="506"/>
      <c r="T490" s="507"/>
      <c r="U490" s="505"/>
      <c r="V490" s="506"/>
      <c r="W490" s="506"/>
      <c r="X490" s="507"/>
      <c r="Y490" s="505"/>
      <c r="Z490" s="506"/>
      <c r="AA490" s="506"/>
      <c r="AB490" s="507"/>
      <c r="AC490" s="505"/>
      <c r="AD490" s="506"/>
      <c r="AE490" s="506"/>
      <c r="AF490" s="507"/>
      <c r="AG490" s="505"/>
      <c r="AH490" s="506"/>
      <c r="AI490" s="506"/>
      <c r="AJ490" s="507"/>
      <c r="AK490" s="505"/>
      <c r="AL490" s="506"/>
      <c r="AM490" s="506"/>
      <c r="AN490" s="507"/>
      <c r="AO490" s="505"/>
      <c r="AP490" s="506"/>
      <c r="AQ490" s="506"/>
      <c r="AR490" s="507"/>
      <c r="AS490" s="505"/>
      <c r="AT490" s="506"/>
      <c r="AU490" s="506"/>
      <c r="AV490" s="507"/>
      <c r="AW490" s="424" t="str">
        <f>B490</f>
        <v>无产权车库(个)</v>
      </c>
    </row>
    <row r="491" spans="1:49" ht="13.5" customHeight="1" outlineLevel="1">
      <c r="A491" s="1947"/>
      <c r="B491" s="1949"/>
      <c r="C491" s="461" t="s">
        <v>881</v>
      </c>
      <c r="D491" s="462">
        <f t="shared" ref="D491:D494" si="307">SUM(E491:AV491)</f>
        <v>0</v>
      </c>
      <c r="E491" s="494"/>
      <c r="F491" s="491"/>
      <c r="G491" s="491"/>
      <c r="H491" s="493"/>
      <c r="I491" s="494"/>
      <c r="J491" s="491"/>
      <c r="K491" s="491"/>
      <c r="L491" s="493"/>
      <c r="M491" s="494"/>
      <c r="N491" s="491"/>
      <c r="O491" s="491"/>
      <c r="P491" s="493"/>
      <c r="Q491" s="494"/>
      <c r="R491" s="491"/>
      <c r="S491" s="491"/>
      <c r="T491" s="493"/>
      <c r="U491" s="494"/>
      <c r="V491" s="491"/>
      <c r="W491" s="491"/>
      <c r="X491" s="493"/>
      <c r="Y491" s="494"/>
      <c r="Z491" s="491"/>
      <c r="AA491" s="491"/>
      <c r="AB491" s="493"/>
      <c r="AC491" s="494"/>
      <c r="AD491" s="491"/>
      <c r="AE491" s="491"/>
      <c r="AF491" s="493"/>
      <c r="AG491" s="494"/>
      <c r="AH491" s="491"/>
      <c r="AI491" s="491"/>
      <c r="AJ491" s="493"/>
      <c r="AK491" s="494"/>
      <c r="AL491" s="491"/>
      <c r="AM491" s="491"/>
      <c r="AN491" s="493"/>
      <c r="AO491" s="494"/>
      <c r="AP491" s="491"/>
      <c r="AQ491" s="491"/>
      <c r="AR491" s="493"/>
      <c r="AS491" s="494"/>
      <c r="AT491" s="491"/>
      <c r="AU491" s="491"/>
      <c r="AV491" s="493"/>
      <c r="AW491" s="424" t="str">
        <f>AW490</f>
        <v>无产权车库(个)</v>
      </c>
    </row>
    <row r="492" spans="1:49" s="424" customFormat="1" ht="13.5" customHeight="1" outlineLevel="1">
      <c r="A492" s="1947"/>
      <c r="B492" s="1949"/>
      <c r="C492" s="461" t="s">
        <v>682</v>
      </c>
      <c r="D492" s="466">
        <f t="shared" si="307"/>
        <v>0</v>
      </c>
      <c r="E492" s="382">
        <f>E491*'9.项目开发计划表'!$G$81</f>
        <v>0</v>
      </c>
      <c r="F492" s="397">
        <f>F491*'9.项目开发计划表'!$G$81</f>
        <v>0</v>
      </c>
      <c r="G492" s="397">
        <f>G491*'9.项目开发计划表'!$G$81</f>
        <v>0</v>
      </c>
      <c r="H492" s="467">
        <f>H491*'9.项目开发计划表'!$G$81</f>
        <v>0</v>
      </c>
      <c r="I492" s="382">
        <f>I491*'9.项目开发计划表'!$G$81</f>
        <v>0</v>
      </c>
      <c r="J492" s="397">
        <f>J491*'9.项目开发计划表'!$G$81</f>
        <v>0</v>
      </c>
      <c r="K492" s="397">
        <f>K491*'9.项目开发计划表'!$G$81</f>
        <v>0</v>
      </c>
      <c r="L492" s="467">
        <f>L491*'9.项目开发计划表'!$G$81</f>
        <v>0</v>
      </c>
      <c r="M492" s="382">
        <f>M491*'9.项目开发计划表'!$G$81</f>
        <v>0</v>
      </c>
      <c r="N492" s="397">
        <f>N491*'9.项目开发计划表'!$G$81</f>
        <v>0</v>
      </c>
      <c r="O492" s="397">
        <f>O491*'9.项目开发计划表'!$G$81</f>
        <v>0</v>
      </c>
      <c r="P492" s="467">
        <f>P491*'9.项目开发计划表'!$G$81</f>
        <v>0</v>
      </c>
      <c r="Q492" s="382">
        <f>Q491*'9.项目开发计划表'!$G$81</f>
        <v>0</v>
      </c>
      <c r="R492" s="397">
        <f>R491*'9.项目开发计划表'!$G$81</f>
        <v>0</v>
      </c>
      <c r="S492" s="397">
        <f>S491*'9.项目开发计划表'!$G$81</f>
        <v>0</v>
      </c>
      <c r="T492" s="467">
        <f>T491*'9.项目开发计划表'!$G$81</f>
        <v>0</v>
      </c>
      <c r="U492" s="382">
        <f>U491*'9.项目开发计划表'!$G$81</f>
        <v>0</v>
      </c>
      <c r="V492" s="397">
        <f>V491*'9.项目开发计划表'!$G$81</f>
        <v>0</v>
      </c>
      <c r="W492" s="397">
        <f>W491*'9.项目开发计划表'!$G$81</f>
        <v>0</v>
      </c>
      <c r="X492" s="467">
        <f>X491*'9.项目开发计划表'!$G$81</f>
        <v>0</v>
      </c>
      <c r="Y492" s="382">
        <f>Y491*'9.项目开发计划表'!$G$81</f>
        <v>0</v>
      </c>
      <c r="Z492" s="397">
        <f>Z491*'9.项目开发计划表'!$G$81</f>
        <v>0</v>
      </c>
      <c r="AA492" s="397">
        <f>AA491*'9.项目开发计划表'!$G$81</f>
        <v>0</v>
      </c>
      <c r="AB492" s="467">
        <f>AB491*'9.项目开发计划表'!$G$81</f>
        <v>0</v>
      </c>
      <c r="AC492" s="382">
        <f>AC491*'9.项目开发计划表'!$G$81</f>
        <v>0</v>
      </c>
      <c r="AD492" s="397">
        <f>AD491*'9.项目开发计划表'!$G$81</f>
        <v>0</v>
      </c>
      <c r="AE492" s="397">
        <f>AE491*'9.项目开发计划表'!$G$81</f>
        <v>0</v>
      </c>
      <c r="AF492" s="467">
        <f>AF491*'9.项目开发计划表'!$G$81</f>
        <v>0</v>
      </c>
      <c r="AG492" s="382">
        <f>AG491*'9.项目开发计划表'!$G$81</f>
        <v>0</v>
      </c>
      <c r="AH492" s="397">
        <f>AH491*'9.项目开发计划表'!$G$81</f>
        <v>0</v>
      </c>
      <c r="AI492" s="397">
        <f>AI491*'9.项目开发计划表'!$G$81</f>
        <v>0</v>
      </c>
      <c r="AJ492" s="467">
        <f>AJ491*'9.项目开发计划表'!$G$81</f>
        <v>0</v>
      </c>
      <c r="AK492" s="382">
        <f>AK491*'9.项目开发计划表'!$G$81</f>
        <v>0</v>
      </c>
      <c r="AL492" s="397">
        <f>AL491*'9.项目开发计划表'!$G$81</f>
        <v>0</v>
      </c>
      <c r="AM492" s="397">
        <f>AM491*'9.项目开发计划表'!$G$81</f>
        <v>0</v>
      </c>
      <c r="AN492" s="467">
        <f>AN491*'9.项目开发计划表'!$G$81</f>
        <v>0</v>
      </c>
      <c r="AO492" s="382">
        <f>AO491*'9.项目开发计划表'!$G$81</f>
        <v>0</v>
      </c>
      <c r="AP492" s="397">
        <f>AP491*'9.项目开发计划表'!$G$81</f>
        <v>0</v>
      </c>
      <c r="AQ492" s="397">
        <f>AQ491*'9.项目开发计划表'!$G$81</f>
        <v>0</v>
      </c>
      <c r="AR492" s="467">
        <f>AR491*'9.项目开发计划表'!$G$81</f>
        <v>0</v>
      </c>
      <c r="AS492" s="382">
        <f>AS491*'9.项目开发计划表'!$G$81</f>
        <v>0</v>
      </c>
      <c r="AT492" s="397">
        <f>AT491*'9.项目开发计划表'!$G$81</f>
        <v>0</v>
      </c>
      <c r="AU492" s="397">
        <f>AU491*'9.项目开发计划表'!$G$81</f>
        <v>0</v>
      </c>
      <c r="AV492" s="467">
        <f>AV491*'9.项目开发计划表'!$G$81</f>
        <v>0</v>
      </c>
      <c r="AW492" s="424" t="str">
        <f t="shared" si="287"/>
        <v>无产权车库(个)</v>
      </c>
    </row>
    <row r="493" spans="1:49" s="424" customFormat="1" ht="13.5" customHeight="1" outlineLevel="1">
      <c r="A493" s="1947"/>
      <c r="B493" s="1949"/>
      <c r="C493" s="461" t="s">
        <v>882</v>
      </c>
      <c r="D493" s="466">
        <f t="shared" si="307"/>
        <v>0</v>
      </c>
      <c r="E493" s="382">
        <f t="shared" ref="E493:AV493" si="308">E490*E492/10000</f>
        <v>0</v>
      </c>
      <c r="F493" s="397">
        <f t="shared" si="308"/>
        <v>0</v>
      </c>
      <c r="G493" s="397">
        <f t="shared" si="308"/>
        <v>0</v>
      </c>
      <c r="H493" s="467">
        <f t="shared" si="308"/>
        <v>0</v>
      </c>
      <c r="I493" s="382">
        <f t="shared" si="308"/>
        <v>0</v>
      </c>
      <c r="J493" s="397">
        <f t="shared" si="308"/>
        <v>0</v>
      </c>
      <c r="K493" s="397">
        <f t="shared" si="308"/>
        <v>0</v>
      </c>
      <c r="L493" s="467">
        <f t="shared" si="308"/>
        <v>0</v>
      </c>
      <c r="M493" s="382">
        <f t="shared" si="308"/>
        <v>0</v>
      </c>
      <c r="N493" s="397">
        <f t="shared" si="308"/>
        <v>0</v>
      </c>
      <c r="O493" s="397">
        <f t="shared" si="308"/>
        <v>0</v>
      </c>
      <c r="P493" s="467">
        <f t="shared" si="308"/>
        <v>0</v>
      </c>
      <c r="Q493" s="382">
        <f t="shared" si="308"/>
        <v>0</v>
      </c>
      <c r="R493" s="397">
        <f t="shared" si="308"/>
        <v>0</v>
      </c>
      <c r="S493" s="397">
        <f t="shared" si="308"/>
        <v>0</v>
      </c>
      <c r="T493" s="467">
        <f t="shared" si="308"/>
        <v>0</v>
      </c>
      <c r="U493" s="382">
        <f t="shared" si="308"/>
        <v>0</v>
      </c>
      <c r="V493" s="397">
        <f t="shared" si="308"/>
        <v>0</v>
      </c>
      <c r="W493" s="397">
        <f t="shared" si="308"/>
        <v>0</v>
      </c>
      <c r="X493" s="467">
        <f t="shared" si="308"/>
        <v>0</v>
      </c>
      <c r="Y493" s="382">
        <f t="shared" si="308"/>
        <v>0</v>
      </c>
      <c r="Z493" s="397">
        <f t="shared" si="308"/>
        <v>0</v>
      </c>
      <c r="AA493" s="397">
        <f t="shared" si="308"/>
        <v>0</v>
      </c>
      <c r="AB493" s="467">
        <f t="shared" si="308"/>
        <v>0</v>
      </c>
      <c r="AC493" s="382">
        <f t="shared" si="308"/>
        <v>0</v>
      </c>
      <c r="AD493" s="397">
        <f t="shared" si="308"/>
        <v>0</v>
      </c>
      <c r="AE493" s="397">
        <f t="shared" si="308"/>
        <v>0</v>
      </c>
      <c r="AF493" s="467">
        <f t="shared" si="308"/>
        <v>0</v>
      </c>
      <c r="AG493" s="382">
        <f t="shared" si="308"/>
        <v>0</v>
      </c>
      <c r="AH493" s="397">
        <f t="shared" si="308"/>
        <v>0</v>
      </c>
      <c r="AI493" s="397">
        <f t="shared" si="308"/>
        <v>0</v>
      </c>
      <c r="AJ493" s="467">
        <f t="shared" si="308"/>
        <v>0</v>
      </c>
      <c r="AK493" s="382">
        <f t="shared" si="308"/>
        <v>0</v>
      </c>
      <c r="AL493" s="397">
        <f t="shared" si="308"/>
        <v>0</v>
      </c>
      <c r="AM493" s="397">
        <f t="shared" si="308"/>
        <v>0</v>
      </c>
      <c r="AN493" s="467">
        <f t="shared" si="308"/>
        <v>0</v>
      </c>
      <c r="AO493" s="382">
        <f t="shared" si="308"/>
        <v>0</v>
      </c>
      <c r="AP493" s="397">
        <f t="shared" si="308"/>
        <v>0</v>
      </c>
      <c r="AQ493" s="397">
        <f t="shared" si="308"/>
        <v>0</v>
      </c>
      <c r="AR493" s="467">
        <f t="shared" si="308"/>
        <v>0</v>
      </c>
      <c r="AS493" s="382">
        <f t="shared" si="308"/>
        <v>0</v>
      </c>
      <c r="AT493" s="397">
        <f t="shared" si="308"/>
        <v>0</v>
      </c>
      <c r="AU493" s="397">
        <f t="shared" si="308"/>
        <v>0</v>
      </c>
      <c r="AV493" s="467">
        <f t="shared" si="308"/>
        <v>0</v>
      </c>
      <c r="AW493" s="424" t="str">
        <f t="shared" si="287"/>
        <v>无产权车库(个)</v>
      </c>
    </row>
    <row r="494" spans="1:49" s="424" customFormat="1" ht="13.5" customHeight="1" outlineLevel="1">
      <c r="A494" s="1955"/>
      <c r="B494" s="1949"/>
      <c r="C494" s="508" t="s">
        <v>450</v>
      </c>
      <c r="D494" s="468">
        <f t="shared" si="307"/>
        <v>0</v>
      </c>
      <c r="E494" s="386">
        <f>SUMIF($I$1:$T$1,B490,$I$2:$T$2)*E493</f>
        <v>0</v>
      </c>
      <c r="F494" s="399">
        <f>(1-SUMIF($I$1:$T$1,B490,$I$2:$T$2))*E493+SUMIF($I$1:$T$1,B490,$I$2:$T$2)*F493</f>
        <v>0</v>
      </c>
      <c r="G494" s="399">
        <f>(1-SUMIF($I$1:$T$1,B490,$I$2:$T$2))*F493+SUMIF($I$1:$T$1,B490,$I$2:$T$2)*G493</f>
        <v>0</v>
      </c>
      <c r="H494" s="404">
        <f>(1-SUMIF($I$1:$T$1,B490,$I$2:$T$2))*G493+SUMIF($I$1:$T$1,B490,$I$2:$T$2)*H493</f>
        <v>0</v>
      </c>
      <c r="I494" s="386">
        <f>(1-SUMIF($I$1:$T$1,B490,$I$2:$T$2))*H493+SUMIF($I$1:$T$1,B490,$I$2:$T$2)*I493</f>
        <v>0</v>
      </c>
      <c r="J494" s="399">
        <f>(1-SUMIF($I$1:$T$1,B490,$I$2:$T$2))*I493+SUMIF($I$1:$T$1,B490,$I$2:$T$2)*J493</f>
        <v>0</v>
      </c>
      <c r="K494" s="399">
        <f>(1-SUMIF($I$1:$T$1,B490,$I$2:$T$2))*J493+SUMIF($I$1:$T$1,B490,$I$2:$T$2)*K493</f>
        <v>0</v>
      </c>
      <c r="L494" s="404">
        <f>(1-SUMIF($I$1:$T$1,B490,$I$2:$T$2))*K493+SUMIF($I$1:$T$1,B490,$I$2:$T$2)*L493</f>
        <v>0</v>
      </c>
      <c r="M494" s="386">
        <f>(1-SUMIF($I$1:$T$1,B490,$I$2:$T$2))*L493+SUMIF($I$1:$T$1,B490,$I$2:$T$2)*M493</f>
        <v>0</v>
      </c>
      <c r="N494" s="399">
        <f>(1-SUMIF($I$1:$T$1,B490,$I$2:$T$2))*M493+SUMIF($I$1:$T$1,B490,$I$2:$T$2)*N493</f>
        <v>0</v>
      </c>
      <c r="O494" s="399">
        <f>(1-SUMIF($I$1:$T$1,B490,$I$2:$T$2))*N493+SUMIF($I$1:$T$1,B490,$I$2:$T$2)*O493</f>
        <v>0</v>
      </c>
      <c r="P494" s="404">
        <f>(1-SUMIF($I$1:$T$1,B490,$I$2:$T$2))*O493+SUMIF($I$1:$T$1,B490,$I$2:$T$2)*P493</f>
        <v>0</v>
      </c>
      <c r="Q494" s="386">
        <f>(1-SUMIF($I$1:$T$1,B490,$I$2:$T$2))*P493+SUMIF($I$1:$T$1,B490,$I$2:$T$2)*Q493</f>
        <v>0</v>
      </c>
      <c r="R494" s="399">
        <f>(1-SUMIF($I$1:$T$1,B490,$I$2:$T$2))*Q493+SUMIF($I$1:$T$1,B490,$I$2:$T$2)*R493</f>
        <v>0</v>
      </c>
      <c r="S494" s="399">
        <f>(1-SUMIF($I$1:$T$1,B490,$I$2:$T$2))*R493+SUMIF($I$1:$T$1,B490,$I$2:$T$2)*S493</f>
        <v>0</v>
      </c>
      <c r="T494" s="404">
        <f>(1-SUMIF($I$1:$T$1,B490,$I$2:$T$2))*S493+SUMIF($I$1:$T$1,B490,$I$2:$T$2)*T493</f>
        <v>0</v>
      </c>
      <c r="U494" s="386">
        <f>(1-SUMIF($I$1:$T$1,B490,$I$2:$T$2))*T493+SUMIF($I$1:$T$1,B490,$I$2:$T$2)*U493</f>
        <v>0</v>
      </c>
      <c r="V494" s="399">
        <f>(1-SUMIF($I$1:$T$1,B490,$I$2:$T$2))*U493+SUMIF($I$1:$T$1,B490,$I$2:$T$2)*V493</f>
        <v>0</v>
      </c>
      <c r="W494" s="399">
        <f>(1-SUMIF($I$1:$T$1,B490,$I$2:$T$2))*V493+SUMIF($I$1:$T$1,B490,$I$2:$T$2)*W493</f>
        <v>0</v>
      </c>
      <c r="X494" s="404">
        <f>(1-SUMIF($I$1:$T$1,B490,$I$2:$T$2))*W493+SUMIF($I$1:$T$1,B490,$I$2:$T$2)*X493</f>
        <v>0</v>
      </c>
      <c r="Y494" s="386">
        <f>(1-SUMIF($I$1:$T$1,B490,$I$2:$T$2))*X493+SUMIF($I$1:$T$1,B490,$I$2:$T$2)*Y493</f>
        <v>0</v>
      </c>
      <c r="Z494" s="399">
        <f>(1-SUMIF($I$1:$T$1,B490,$I$2:$T$2))*Y493+SUMIF($I$1:$T$1,B490,$I$2:$T$2)*Z493</f>
        <v>0</v>
      </c>
      <c r="AA494" s="399">
        <f>(1-SUMIF($I$1:$T$1,B490,$I$2:$T$2))*Z493+SUMIF($I$1:$T$1,B490,$I$2:$T$2)*AA493</f>
        <v>0</v>
      </c>
      <c r="AB494" s="404">
        <f>(1-SUMIF($I$1:$T$1,B490,$I$2:$T$2))*AA493+SUMIF($I$1:$T$1,B490,$I$2:$T$2)*AB493</f>
        <v>0</v>
      </c>
      <c r="AC494" s="386">
        <f>(1-SUMIF($I$1:$T$1,B490,$I$2:$T$2))*AB493+SUMIF($I$1:$T$1,B490,$I$2:$T$2)*AC493</f>
        <v>0</v>
      </c>
      <c r="AD494" s="399">
        <f>(1-SUMIF($I$1:$T$1,B490,$I$2:$T$2))*AC493+SUMIF($I$1:$T$1,B490,$I$2:$T$2)*AD493</f>
        <v>0</v>
      </c>
      <c r="AE494" s="399">
        <f>(1-SUMIF($I$1:$T$1,B490,$I$2:$T$2))*AD493+SUMIF($I$1:$T$1,B490,$I$2:$T$2)*AE493</f>
        <v>0</v>
      </c>
      <c r="AF494" s="404">
        <f>(1-SUMIF($I$1:$T$1,B490,$I$2:$T$2))*AE493+SUMIF($I$1:$T$1,B490,$I$2:$T$2)*AF493</f>
        <v>0</v>
      </c>
      <c r="AG494" s="386">
        <f>(1-SUMIF($I$1:$T$1,B490,$I$2:$T$2))*AF493+SUMIF($I$1:$T$1,B490,$I$2:$T$2)*AG493</f>
        <v>0</v>
      </c>
      <c r="AH494" s="399">
        <f>(1-SUMIF($I$1:$T$1,B490,$I$2:$T$2))*AG493+SUMIF($I$1:$T$1,B490,$I$2:$T$2)*AH493</f>
        <v>0</v>
      </c>
      <c r="AI494" s="399">
        <f>(1-SUMIF($I$1:$T$1,B490,$I$2:$T$2))*AH493+SUMIF($I$1:$T$1,B490,$I$2:$T$2)*AI493</f>
        <v>0</v>
      </c>
      <c r="AJ494" s="404">
        <f>(1-SUMIF($I$1:$T$1,B490,$I$2:$T$2))*AI493+SUMIF($I$1:$T$1,B490,$I$2:$T$2)*AJ493</f>
        <v>0</v>
      </c>
      <c r="AK494" s="386">
        <f>(1-SUMIF($I$1:$T$1,B490,$I$2:$T$2))*AJ493+SUMIF($I$1:$T$1,B490,$I$2:$T$2)*AK493</f>
        <v>0</v>
      </c>
      <c r="AL494" s="399">
        <f>(1-SUMIF($I$1:$T$1,B490,$I$2:$T$2))*AK493+SUMIF($I$1:$T$1,B490,$I$2:$T$2)*AL493</f>
        <v>0</v>
      </c>
      <c r="AM494" s="399">
        <f>(1-SUMIF($I$1:$T$1,B490,$I$2:$T$2))*AL493+SUMIF($I$1:$T$1,B490,$I$2:$T$2)*AM493</f>
        <v>0</v>
      </c>
      <c r="AN494" s="404">
        <f>(1-SUMIF($I$1:$T$1,B490,$I$2:$T$2))*AM493+SUMIF($I$1:$T$1,B490,$I$2:$T$2)*AN493</f>
        <v>0</v>
      </c>
      <c r="AO494" s="386">
        <f>(1-SUMIF($I$1:$T$1,B490,$I$2:$T$2))*AN493+SUMIF($I$1:$T$1,B490,$I$2:$T$2)*AO493</f>
        <v>0</v>
      </c>
      <c r="AP494" s="399">
        <f>(1-SUMIF($I$1:$T$1,B490,$I$2:$T$2))*AO493+SUMIF($I$1:$T$1,B490,$I$2:$T$2)*AP493</f>
        <v>0</v>
      </c>
      <c r="AQ494" s="399">
        <f>(1-SUMIF($I$1:$T$1,B490,$I$2:$T$2))*AP493+SUMIF($I$1:$T$1,B490,$I$2:$T$2)*AQ493</f>
        <v>0</v>
      </c>
      <c r="AR494" s="404">
        <f>(1-SUMIF($I$1:$T$1,B490,$I$2:$T$2))*AQ493+SUMIF($I$1:$T$1,B490,$I$2:$T$2)*AR493</f>
        <v>0</v>
      </c>
      <c r="AS494" s="386">
        <f>(1-SUMIF($I$1:$T$1,B490,$I$2:$T$2))*AR493+SUMIF($I$1:$T$1,B490,$I$2:$T$2)*AS493</f>
        <v>0</v>
      </c>
      <c r="AT494" s="399">
        <f>(1-SUMIF($I$1:$T$1,B490,$I$2:$T$2))*AS493+SUMIF($I$1:$T$1,B490,$I$2:$T$2)*AT493</f>
        <v>0</v>
      </c>
      <c r="AU494" s="399">
        <f>(1-SUMIF($I$1:$T$1,B490,$I$2:$T$2))*AT493+SUMIF($I$1:$T$1,B490,$I$2:$T$2)*AU493</f>
        <v>0</v>
      </c>
      <c r="AV494" s="404">
        <f>(1-SUMIF($I$1:$T$1,B490,$I$2:$T$2))*AU493+SUMIF($I$1:$T$1,B490,$I$2:$T$2)*AV493</f>
        <v>0</v>
      </c>
      <c r="AW494" s="424" t="str">
        <f t="shared" si="287"/>
        <v>无产权车库(个)</v>
      </c>
    </row>
    <row r="495" spans="1:49">
      <c r="A495" s="85"/>
      <c r="B495" s="511" t="s">
        <v>553</v>
      </c>
      <c r="C495" s="512">
        <f>D8+D13-'5.分产品利润表'!B6+D7-'8.项目规划指标表'!E16+D12-'8.项目规划指标表'!E18+'8.项目规划指标表'!F14</f>
        <v>0</v>
      </c>
      <c r="D495" s="78"/>
      <c r="E495" s="78"/>
      <c r="F495" s="78"/>
      <c r="G495" s="78"/>
      <c r="H495" s="78"/>
      <c r="I495" s="78"/>
      <c r="J495" s="78"/>
      <c r="K495" s="78"/>
      <c r="L495" s="78"/>
      <c r="M495" s="78"/>
      <c r="N495" s="78"/>
      <c r="O495" s="78"/>
      <c r="P495" s="78"/>
      <c r="Q495" s="78"/>
      <c r="R495" s="78"/>
      <c r="S495" s="78"/>
      <c r="T495" s="78"/>
      <c r="U495" s="78"/>
      <c r="V495" s="78"/>
      <c r="W495" s="78"/>
      <c r="X495" s="78"/>
      <c r="Y495" s="78"/>
      <c r="Z495" s="78"/>
      <c r="AA495" s="78"/>
      <c r="AB495" s="78"/>
      <c r="AC495" s="78"/>
      <c r="AD495" s="78"/>
      <c r="AE495" s="78"/>
      <c r="AF495" s="78"/>
      <c r="AG495" s="78"/>
      <c r="AH495" s="78"/>
      <c r="AI495" s="78"/>
      <c r="AJ495" s="78"/>
      <c r="AK495" s="78"/>
      <c r="AL495" s="78"/>
      <c r="AM495" s="78"/>
      <c r="AN495" s="78"/>
      <c r="AO495" s="78"/>
      <c r="AP495" s="78"/>
      <c r="AQ495" s="78"/>
      <c r="AR495" s="78"/>
      <c r="AS495" s="78"/>
      <c r="AT495" s="78"/>
      <c r="AU495" s="78"/>
      <c r="AV495" s="78"/>
      <c r="AW495" s="78"/>
    </row>
    <row r="496" spans="1:49">
      <c r="A496" s="85"/>
      <c r="B496" s="85"/>
      <c r="C496" s="85"/>
      <c r="D496" s="78"/>
      <c r="E496" s="78"/>
      <c r="F496" s="78"/>
      <c r="G496" s="78"/>
      <c r="H496" s="78"/>
      <c r="I496" s="78"/>
      <c r="J496" s="78"/>
      <c r="K496" s="78"/>
      <c r="L496" s="78"/>
      <c r="M496" s="78"/>
      <c r="N496" s="78"/>
      <c r="O496" s="78"/>
      <c r="P496" s="78"/>
      <c r="Q496" s="78"/>
      <c r="R496" s="78"/>
      <c r="S496" s="78"/>
      <c r="T496" s="78"/>
      <c r="U496" s="78"/>
      <c r="V496" s="78"/>
      <c r="W496" s="78"/>
      <c r="X496" s="78"/>
      <c r="Y496" s="78"/>
      <c r="Z496" s="78"/>
      <c r="AA496" s="78"/>
      <c r="AB496" s="78"/>
      <c r="AC496" s="78"/>
      <c r="AD496" s="78"/>
      <c r="AE496" s="78"/>
      <c r="AF496" s="78"/>
      <c r="AG496" s="78"/>
      <c r="AH496" s="78"/>
      <c r="AI496" s="78"/>
      <c r="AJ496" s="78"/>
      <c r="AK496" s="78"/>
      <c r="AL496" s="78"/>
      <c r="AM496" s="78"/>
      <c r="AN496" s="78"/>
      <c r="AO496" s="78"/>
      <c r="AP496" s="78"/>
      <c r="AQ496" s="78"/>
      <c r="AR496" s="78"/>
      <c r="AS496" s="78"/>
      <c r="AT496" s="78"/>
      <c r="AU496" s="78"/>
      <c r="AV496" s="78"/>
      <c r="AW496" s="78"/>
    </row>
    <row r="497" spans="1:49" hidden="1">
      <c r="A497" s="85"/>
      <c r="B497" s="85"/>
      <c r="C497" s="85"/>
      <c r="D497" s="78"/>
      <c r="E497" s="513" t="str">
        <f>E$3&amp;"年"&amp;E$4&amp;"季度"</f>
        <v>2018年1季度</v>
      </c>
      <c r="F497" s="78"/>
      <c r="G497" s="78"/>
      <c r="H497" s="78"/>
      <c r="I497" s="78"/>
      <c r="J497" s="78"/>
      <c r="K497" s="78"/>
      <c r="L497" s="78"/>
      <c r="M497" s="78"/>
      <c r="N497" s="78"/>
      <c r="O497" s="78"/>
      <c r="P497" s="78"/>
      <c r="Q497" s="78"/>
      <c r="R497" s="78"/>
      <c r="S497" s="78"/>
      <c r="T497" s="78"/>
      <c r="U497" s="78"/>
      <c r="V497" s="78"/>
      <c r="W497" s="78"/>
      <c r="X497" s="78"/>
      <c r="Y497" s="78"/>
      <c r="Z497" s="78"/>
      <c r="AA497" s="78"/>
      <c r="AB497" s="78"/>
      <c r="AC497" s="78"/>
      <c r="AD497" s="78"/>
      <c r="AE497" s="78"/>
      <c r="AF497" s="78"/>
      <c r="AG497" s="78"/>
      <c r="AH497" s="78"/>
      <c r="AI497" s="78"/>
      <c r="AJ497" s="78"/>
      <c r="AK497" s="78"/>
      <c r="AL497" s="78"/>
      <c r="AM497" s="78"/>
      <c r="AN497" s="78"/>
      <c r="AO497" s="78"/>
      <c r="AP497" s="78"/>
      <c r="AQ497" s="78"/>
      <c r="AR497" s="78"/>
      <c r="AS497" s="78"/>
      <c r="AT497" s="78"/>
      <c r="AU497" s="78"/>
      <c r="AV497" s="78"/>
      <c r="AW497" s="78"/>
    </row>
    <row r="498" spans="1:49" hidden="1">
      <c r="A498" s="85"/>
      <c r="B498" s="85"/>
      <c r="C498" s="85"/>
      <c r="D498" s="78"/>
      <c r="E498" s="426" t="str">
        <f>E$3&amp;"年"&amp;F$4&amp;"季度"</f>
        <v>2018年2季度</v>
      </c>
      <c r="F498" s="426" t="str">
        <f>E498</f>
        <v>2018年2季度</v>
      </c>
      <c r="G498" s="78"/>
      <c r="H498" s="78"/>
      <c r="I498" s="78"/>
      <c r="J498" s="78"/>
      <c r="K498" s="78"/>
      <c r="L498" s="78"/>
      <c r="M498" s="78"/>
      <c r="N498" s="78"/>
      <c r="O498" s="78"/>
      <c r="P498" s="78"/>
      <c r="Q498" s="78"/>
      <c r="R498" s="78"/>
      <c r="S498" s="78"/>
      <c r="T498" s="78"/>
      <c r="U498" s="78"/>
      <c r="V498" s="78"/>
      <c r="W498" s="78"/>
      <c r="X498" s="78"/>
      <c r="Y498" s="78"/>
      <c r="Z498" s="78"/>
      <c r="AA498" s="78"/>
      <c r="AB498" s="78"/>
      <c r="AC498" s="78"/>
      <c r="AD498" s="78"/>
      <c r="AE498" s="78"/>
      <c r="AF498" s="78"/>
      <c r="AG498" s="78"/>
      <c r="AH498" s="78"/>
      <c r="AI498" s="78"/>
      <c r="AJ498" s="78"/>
      <c r="AK498" s="78"/>
      <c r="AL498" s="78"/>
      <c r="AM498" s="78"/>
      <c r="AN498" s="78"/>
      <c r="AO498" s="78"/>
      <c r="AP498" s="78"/>
      <c r="AQ498" s="78"/>
      <c r="AR498" s="78"/>
      <c r="AS498" s="78"/>
      <c r="AT498" s="78"/>
      <c r="AU498" s="78"/>
      <c r="AV498" s="78"/>
      <c r="AW498" s="78"/>
    </row>
    <row r="499" spans="1:49" hidden="1">
      <c r="A499" s="85"/>
      <c r="B499" s="85"/>
      <c r="C499" s="85"/>
      <c r="D499" s="78"/>
      <c r="E499" s="426" t="str">
        <f>E$3&amp;"年"&amp;G$4&amp;"季度"</f>
        <v>2018年3季度</v>
      </c>
      <c r="F499" s="426" t="str">
        <f t="shared" ref="F499:U515" si="309">E499</f>
        <v>2018年3季度</v>
      </c>
      <c r="G499" s="426" t="str">
        <f t="shared" si="309"/>
        <v>2018年3季度</v>
      </c>
      <c r="H499" s="78"/>
      <c r="I499" s="78"/>
      <c r="J499" s="78"/>
      <c r="K499" s="78"/>
      <c r="L499" s="78"/>
      <c r="M499" s="78"/>
      <c r="N499" s="78"/>
      <c r="O499" s="78"/>
      <c r="P499" s="78"/>
      <c r="Q499" s="78"/>
      <c r="R499" s="78"/>
      <c r="S499" s="78"/>
      <c r="T499" s="78"/>
      <c r="U499" s="78"/>
      <c r="V499" s="78"/>
      <c r="W499" s="78"/>
      <c r="X499" s="78"/>
      <c r="Y499" s="78"/>
      <c r="Z499" s="78"/>
      <c r="AA499" s="78"/>
      <c r="AB499" s="78"/>
      <c r="AC499" s="78"/>
      <c r="AD499" s="78"/>
      <c r="AE499" s="78"/>
      <c r="AF499" s="78"/>
      <c r="AG499" s="78"/>
      <c r="AH499" s="78"/>
      <c r="AI499" s="78"/>
      <c r="AJ499" s="78"/>
      <c r="AK499" s="78"/>
      <c r="AL499" s="78"/>
      <c r="AM499" s="78"/>
      <c r="AN499" s="78"/>
      <c r="AO499" s="78"/>
      <c r="AP499" s="78"/>
      <c r="AQ499" s="78"/>
      <c r="AR499" s="78"/>
      <c r="AS499" s="78"/>
      <c r="AT499" s="78"/>
      <c r="AU499" s="78"/>
      <c r="AV499" s="78"/>
      <c r="AW499" s="78"/>
    </row>
    <row r="500" spans="1:49" hidden="1">
      <c r="A500" s="85"/>
      <c r="B500" s="85"/>
      <c r="C500" s="85"/>
      <c r="D500" s="78"/>
      <c r="E500" s="426" t="str">
        <f>E$3&amp;"年"&amp;H$4&amp;"季度"</f>
        <v>2018年4季度</v>
      </c>
      <c r="F500" s="426" t="str">
        <f t="shared" si="309"/>
        <v>2018年4季度</v>
      </c>
      <c r="G500" s="426" t="str">
        <f t="shared" si="309"/>
        <v>2018年4季度</v>
      </c>
      <c r="H500" s="426" t="str">
        <f t="shared" si="309"/>
        <v>2018年4季度</v>
      </c>
      <c r="I500" s="78"/>
      <c r="J500" s="78"/>
      <c r="K500" s="78"/>
      <c r="L500" s="78"/>
      <c r="M500" s="78"/>
      <c r="N500" s="78"/>
      <c r="O500" s="78"/>
      <c r="P500" s="78"/>
      <c r="Q500" s="78"/>
      <c r="R500" s="78"/>
      <c r="S500" s="78"/>
      <c r="T500" s="78"/>
      <c r="U500" s="78"/>
      <c r="V500" s="78"/>
      <c r="W500" s="78"/>
      <c r="X500" s="78"/>
      <c r="Y500" s="78"/>
      <c r="Z500" s="78"/>
      <c r="AA500" s="78"/>
      <c r="AB500" s="78"/>
      <c r="AC500" s="78"/>
      <c r="AD500" s="78"/>
      <c r="AE500" s="78"/>
      <c r="AF500" s="78"/>
      <c r="AG500" s="78"/>
      <c r="AH500" s="78"/>
      <c r="AI500" s="78"/>
      <c r="AJ500" s="78"/>
      <c r="AK500" s="78"/>
      <c r="AL500" s="78"/>
      <c r="AM500" s="78"/>
      <c r="AN500" s="78"/>
      <c r="AO500" s="78"/>
      <c r="AP500" s="78"/>
      <c r="AQ500" s="78"/>
      <c r="AR500" s="78"/>
      <c r="AS500" s="78"/>
      <c r="AT500" s="78"/>
      <c r="AU500" s="78"/>
      <c r="AV500" s="78"/>
      <c r="AW500" s="78"/>
    </row>
    <row r="501" spans="1:49" hidden="1">
      <c r="A501" s="85"/>
      <c r="B501" s="85"/>
      <c r="C501" s="85"/>
      <c r="D501" s="78"/>
      <c r="E501" s="513" t="str">
        <f>I$3&amp;"年"&amp;E$4&amp;"季度"</f>
        <v>2019年1季度</v>
      </c>
      <c r="F501" s="426" t="str">
        <f t="shared" si="309"/>
        <v>2019年1季度</v>
      </c>
      <c r="G501" s="426" t="str">
        <f t="shared" si="309"/>
        <v>2019年1季度</v>
      </c>
      <c r="H501" s="426" t="str">
        <f t="shared" si="309"/>
        <v>2019年1季度</v>
      </c>
      <c r="I501" s="426" t="str">
        <f t="shared" si="309"/>
        <v>2019年1季度</v>
      </c>
      <c r="J501" s="78"/>
      <c r="K501" s="78"/>
      <c r="L501" s="78"/>
      <c r="M501" s="78"/>
      <c r="N501" s="78"/>
      <c r="O501" s="78"/>
      <c r="P501" s="78"/>
      <c r="Q501" s="78"/>
      <c r="R501" s="78"/>
      <c r="S501" s="78"/>
      <c r="T501" s="78"/>
      <c r="U501" s="78"/>
      <c r="V501" s="78"/>
      <c r="W501" s="78"/>
      <c r="X501" s="78"/>
      <c r="Y501" s="78"/>
      <c r="Z501" s="78"/>
      <c r="AA501" s="78"/>
      <c r="AB501" s="78"/>
      <c r="AC501" s="78"/>
      <c r="AD501" s="78"/>
      <c r="AE501" s="78"/>
      <c r="AF501" s="78"/>
      <c r="AG501" s="78"/>
      <c r="AH501" s="78"/>
      <c r="AI501" s="78"/>
      <c r="AJ501" s="78"/>
      <c r="AK501" s="78"/>
      <c r="AL501" s="78"/>
      <c r="AM501" s="78"/>
      <c r="AN501" s="78"/>
      <c r="AO501" s="78"/>
      <c r="AP501" s="78"/>
      <c r="AQ501" s="78"/>
      <c r="AR501" s="78"/>
      <c r="AS501" s="78"/>
      <c r="AT501" s="78"/>
      <c r="AU501" s="78"/>
      <c r="AV501" s="78"/>
      <c r="AW501" s="78"/>
    </row>
    <row r="502" spans="1:49" hidden="1">
      <c r="A502" s="85"/>
      <c r="B502" s="85"/>
      <c r="C502" s="85"/>
      <c r="D502" s="78"/>
      <c r="E502" s="513" t="str">
        <f>I$3&amp;"年"&amp;J$4&amp;"季度"</f>
        <v>2019年2季度</v>
      </c>
      <c r="F502" s="426" t="str">
        <f t="shared" si="309"/>
        <v>2019年2季度</v>
      </c>
      <c r="G502" s="426" t="str">
        <f t="shared" si="309"/>
        <v>2019年2季度</v>
      </c>
      <c r="H502" s="426" t="str">
        <f t="shared" si="309"/>
        <v>2019年2季度</v>
      </c>
      <c r="I502" s="426" t="str">
        <f t="shared" si="309"/>
        <v>2019年2季度</v>
      </c>
      <c r="J502" s="426" t="str">
        <f t="shared" si="309"/>
        <v>2019年2季度</v>
      </c>
      <c r="K502" s="78"/>
      <c r="L502" s="78"/>
      <c r="M502" s="78"/>
      <c r="N502" s="78"/>
      <c r="O502" s="78"/>
      <c r="P502" s="78"/>
      <c r="Q502" s="78"/>
      <c r="R502" s="78"/>
      <c r="S502" s="78"/>
      <c r="T502" s="78"/>
      <c r="U502" s="78"/>
      <c r="V502" s="78"/>
      <c r="W502" s="78"/>
      <c r="X502" s="78"/>
      <c r="Y502" s="78"/>
      <c r="Z502" s="78"/>
      <c r="AA502" s="78"/>
      <c r="AB502" s="78"/>
      <c r="AC502" s="78"/>
      <c r="AD502" s="78"/>
      <c r="AE502" s="78"/>
      <c r="AF502" s="78"/>
      <c r="AG502" s="78"/>
      <c r="AH502" s="78"/>
      <c r="AI502" s="78"/>
      <c r="AJ502" s="78"/>
      <c r="AK502" s="78"/>
      <c r="AL502" s="78"/>
      <c r="AM502" s="78"/>
      <c r="AN502" s="78"/>
      <c r="AO502" s="78"/>
      <c r="AP502" s="78"/>
      <c r="AQ502" s="78"/>
      <c r="AR502" s="78"/>
      <c r="AS502" s="78"/>
      <c r="AT502" s="78"/>
      <c r="AU502" s="78"/>
      <c r="AV502" s="78"/>
      <c r="AW502" s="78"/>
    </row>
    <row r="503" spans="1:49" hidden="1">
      <c r="A503" s="85"/>
      <c r="B503" s="85"/>
      <c r="C503" s="85"/>
      <c r="D503" s="78"/>
      <c r="E503" s="513" t="str">
        <f>I$3&amp;"年"&amp;K$4&amp;"季度"</f>
        <v>2019年3季度</v>
      </c>
      <c r="F503" s="426" t="str">
        <f t="shared" si="309"/>
        <v>2019年3季度</v>
      </c>
      <c r="G503" s="426" t="str">
        <f t="shared" si="309"/>
        <v>2019年3季度</v>
      </c>
      <c r="H503" s="426" t="str">
        <f t="shared" si="309"/>
        <v>2019年3季度</v>
      </c>
      <c r="I503" s="426" t="str">
        <f t="shared" si="309"/>
        <v>2019年3季度</v>
      </c>
      <c r="J503" s="426" t="str">
        <f t="shared" si="309"/>
        <v>2019年3季度</v>
      </c>
      <c r="K503" s="426" t="str">
        <f t="shared" si="309"/>
        <v>2019年3季度</v>
      </c>
      <c r="L503" s="78"/>
      <c r="M503" s="78"/>
      <c r="N503" s="78"/>
      <c r="O503" s="78"/>
      <c r="P503" s="78"/>
      <c r="Q503" s="78"/>
      <c r="R503" s="78"/>
      <c r="S503" s="78"/>
      <c r="T503" s="78"/>
      <c r="U503" s="78"/>
      <c r="V503" s="78"/>
      <c r="W503" s="78"/>
      <c r="X503" s="78"/>
      <c r="Y503" s="78"/>
      <c r="Z503" s="78"/>
      <c r="AA503" s="78"/>
      <c r="AB503" s="78"/>
      <c r="AC503" s="78"/>
      <c r="AD503" s="78"/>
      <c r="AE503" s="78"/>
      <c r="AF503" s="78"/>
      <c r="AG503" s="78"/>
      <c r="AH503" s="78"/>
      <c r="AI503" s="78"/>
      <c r="AJ503" s="78"/>
      <c r="AK503" s="78"/>
      <c r="AL503" s="78"/>
      <c r="AM503" s="78"/>
      <c r="AN503" s="78"/>
      <c r="AO503" s="78"/>
      <c r="AP503" s="78"/>
      <c r="AQ503" s="78"/>
      <c r="AR503" s="78"/>
      <c r="AS503" s="78"/>
      <c r="AT503" s="78"/>
      <c r="AU503" s="78"/>
      <c r="AV503" s="78"/>
      <c r="AW503" s="78"/>
    </row>
    <row r="504" spans="1:49" hidden="1">
      <c r="A504" s="85"/>
      <c r="B504" s="85"/>
      <c r="C504" s="85"/>
      <c r="D504" s="78"/>
      <c r="E504" s="513" t="str">
        <f>I$3&amp;"年"&amp;L$4&amp;"季度"</f>
        <v>2019年4季度</v>
      </c>
      <c r="F504" s="426" t="str">
        <f t="shared" si="309"/>
        <v>2019年4季度</v>
      </c>
      <c r="G504" s="426" t="str">
        <f t="shared" si="309"/>
        <v>2019年4季度</v>
      </c>
      <c r="H504" s="426" t="str">
        <f t="shared" si="309"/>
        <v>2019年4季度</v>
      </c>
      <c r="I504" s="426" t="str">
        <f t="shared" si="309"/>
        <v>2019年4季度</v>
      </c>
      <c r="J504" s="426" t="str">
        <f t="shared" si="309"/>
        <v>2019年4季度</v>
      </c>
      <c r="K504" s="426" t="str">
        <f t="shared" si="309"/>
        <v>2019年4季度</v>
      </c>
      <c r="L504" s="426" t="str">
        <f t="shared" si="309"/>
        <v>2019年4季度</v>
      </c>
      <c r="M504" s="78"/>
      <c r="N504" s="78"/>
      <c r="O504" s="78"/>
      <c r="P504" s="78"/>
      <c r="Q504" s="78"/>
      <c r="R504" s="78"/>
      <c r="S504" s="78"/>
      <c r="T504" s="78"/>
      <c r="U504" s="78"/>
      <c r="V504" s="78"/>
      <c r="W504" s="78"/>
      <c r="X504" s="78"/>
      <c r="Y504" s="78"/>
      <c r="Z504" s="78"/>
      <c r="AA504" s="78"/>
      <c r="AB504" s="78"/>
      <c r="AC504" s="78"/>
      <c r="AD504" s="78"/>
      <c r="AE504" s="78"/>
      <c r="AF504" s="78"/>
      <c r="AG504" s="78"/>
      <c r="AH504" s="78"/>
      <c r="AI504" s="78"/>
      <c r="AJ504" s="78"/>
      <c r="AK504" s="78"/>
      <c r="AL504" s="78"/>
      <c r="AM504" s="78"/>
      <c r="AN504" s="78"/>
      <c r="AO504" s="78"/>
      <c r="AP504" s="78"/>
      <c r="AQ504" s="78"/>
      <c r="AR504" s="78"/>
      <c r="AS504" s="78"/>
      <c r="AT504" s="78"/>
      <c r="AU504" s="78"/>
      <c r="AV504" s="78"/>
      <c r="AW504" s="78"/>
    </row>
    <row r="505" spans="1:49" hidden="1">
      <c r="A505" s="85"/>
      <c r="B505" s="85"/>
      <c r="C505" s="85"/>
      <c r="D505" s="78"/>
      <c r="E505" s="513" t="str">
        <f>M$3&amp;"年"&amp;E$4&amp;"季度"</f>
        <v>2020年1季度</v>
      </c>
      <c r="F505" s="426" t="str">
        <f t="shared" si="309"/>
        <v>2020年1季度</v>
      </c>
      <c r="G505" s="426" t="str">
        <f t="shared" si="309"/>
        <v>2020年1季度</v>
      </c>
      <c r="H505" s="426" t="str">
        <f t="shared" si="309"/>
        <v>2020年1季度</v>
      </c>
      <c r="I505" s="426" t="str">
        <f t="shared" si="309"/>
        <v>2020年1季度</v>
      </c>
      <c r="J505" s="426" t="str">
        <f t="shared" si="309"/>
        <v>2020年1季度</v>
      </c>
      <c r="K505" s="426" t="str">
        <f t="shared" si="309"/>
        <v>2020年1季度</v>
      </c>
      <c r="L505" s="426" t="str">
        <f t="shared" si="309"/>
        <v>2020年1季度</v>
      </c>
      <c r="M505" s="426" t="str">
        <f t="shared" si="309"/>
        <v>2020年1季度</v>
      </c>
      <c r="N505" s="78"/>
      <c r="O505" s="78"/>
      <c r="P505" s="78"/>
      <c r="Q505" s="78"/>
      <c r="R505" s="78"/>
      <c r="S505" s="78"/>
      <c r="T505" s="78"/>
      <c r="U505" s="78"/>
      <c r="V505" s="78"/>
      <c r="W505" s="78"/>
      <c r="X505" s="78"/>
      <c r="Y505" s="78"/>
      <c r="Z505" s="78"/>
      <c r="AA505" s="78"/>
      <c r="AB505" s="78"/>
      <c r="AC505" s="78"/>
      <c r="AD505" s="78"/>
      <c r="AE505" s="78"/>
      <c r="AF505" s="78"/>
      <c r="AG505" s="78"/>
      <c r="AH505" s="78"/>
      <c r="AI505" s="78"/>
      <c r="AJ505" s="78"/>
      <c r="AK505" s="78"/>
      <c r="AL505" s="78"/>
      <c r="AM505" s="78"/>
      <c r="AN505" s="78"/>
      <c r="AO505" s="78"/>
      <c r="AP505" s="78"/>
      <c r="AQ505" s="78"/>
      <c r="AR505" s="78"/>
      <c r="AS505" s="78"/>
      <c r="AT505" s="78"/>
      <c r="AU505" s="78"/>
      <c r="AV505" s="78"/>
      <c r="AW505" s="78"/>
    </row>
    <row r="506" spans="1:49" hidden="1">
      <c r="A506" s="85"/>
      <c r="B506" s="85"/>
      <c r="C506" s="85"/>
      <c r="D506" s="78"/>
      <c r="E506" s="513" t="str">
        <f>M$3&amp;"年"&amp;J$4&amp;"季度"</f>
        <v>2020年2季度</v>
      </c>
      <c r="F506" s="426" t="str">
        <f t="shared" si="309"/>
        <v>2020年2季度</v>
      </c>
      <c r="G506" s="426" t="str">
        <f t="shared" si="309"/>
        <v>2020年2季度</v>
      </c>
      <c r="H506" s="426" t="str">
        <f t="shared" si="309"/>
        <v>2020年2季度</v>
      </c>
      <c r="I506" s="426" t="str">
        <f t="shared" si="309"/>
        <v>2020年2季度</v>
      </c>
      <c r="J506" s="426" t="str">
        <f t="shared" si="309"/>
        <v>2020年2季度</v>
      </c>
      <c r="K506" s="426" t="str">
        <f t="shared" si="309"/>
        <v>2020年2季度</v>
      </c>
      <c r="L506" s="426" t="str">
        <f t="shared" si="309"/>
        <v>2020年2季度</v>
      </c>
      <c r="M506" s="426" t="str">
        <f t="shared" si="309"/>
        <v>2020年2季度</v>
      </c>
      <c r="N506" s="426" t="str">
        <f t="shared" si="309"/>
        <v>2020年2季度</v>
      </c>
      <c r="O506" s="78"/>
      <c r="P506" s="78"/>
      <c r="Q506" s="78"/>
      <c r="R506" s="78"/>
      <c r="S506" s="78"/>
      <c r="T506" s="78"/>
      <c r="U506" s="78"/>
      <c r="V506" s="78"/>
      <c r="W506" s="78"/>
      <c r="X506" s="78"/>
      <c r="Y506" s="78"/>
      <c r="Z506" s="78"/>
      <c r="AA506" s="78"/>
      <c r="AB506" s="78"/>
      <c r="AC506" s="78"/>
      <c r="AD506" s="78"/>
      <c r="AE506" s="78"/>
      <c r="AF506" s="78"/>
      <c r="AG506" s="78"/>
      <c r="AH506" s="78"/>
      <c r="AI506" s="78"/>
      <c r="AJ506" s="78"/>
      <c r="AK506" s="78"/>
      <c r="AL506" s="78"/>
      <c r="AM506" s="78"/>
      <c r="AN506" s="78"/>
      <c r="AO506" s="78"/>
      <c r="AP506" s="78"/>
      <c r="AQ506" s="78"/>
      <c r="AR506" s="78"/>
      <c r="AS506" s="78"/>
      <c r="AT506" s="78"/>
      <c r="AU506" s="78"/>
      <c r="AV506" s="78"/>
      <c r="AW506" s="78"/>
    </row>
    <row r="507" spans="1:49" hidden="1">
      <c r="A507" s="85"/>
      <c r="B507" s="85"/>
      <c r="C507" s="85"/>
      <c r="D507" s="78"/>
      <c r="E507" s="513" t="str">
        <f>M$3&amp;"年"&amp;K$4&amp;"季度"</f>
        <v>2020年3季度</v>
      </c>
      <c r="F507" s="426" t="str">
        <f t="shared" si="309"/>
        <v>2020年3季度</v>
      </c>
      <c r="G507" s="426" t="str">
        <f t="shared" si="309"/>
        <v>2020年3季度</v>
      </c>
      <c r="H507" s="426" t="str">
        <f t="shared" si="309"/>
        <v>2020年3季度</v>
      </c>
      <c r="I507" s="426" t="str">
        <f t="shared" si="309"/>
        <v>2020年3季度</v>
      </c>
      <c r="J507" s="426" t="str">
        <f t="shared" si="309"/>
        <v>2020年3季度</v>
      </c>
      <c r="K507" s="426" t="str">
        <f t="shared" si="309"/>
        <v>2020年3季度</v>
      </c>
      <c r="L507" s="426" t="str">
        <f t="shared" si="309"/>
        <v>2020年3季度</v>
      </c>
      <c r="M507" s="426" t="str">
        <f t="shared" si="309"/>
        <v>2020年3季度</v>
      </c>
      <c r="N507" s="426" t="str">
        <f t="shared" si="309"/>
        <v>2020年3季度</v>
      </c>
      <c r="O507" s="426" t="str">
        <f t="shared" si="309"/>
        <v>2020年3季度</v>
      </c>
      <c r="P507" s="78"/>
      <c r="Q507" s="78"/>
      <c r="R507" s="78"/>
      <c r="S507" s="78"/>
      <c r="T507" s="78"/>
      <c r="U507" s="78"/>
      <c r="V507" s="78"/>
      <c r="W507" s="78"/>
      <c r="X507" s="78"/>
      <c r="Y507" s="78"/>
      <c r="Z507" s="78"/>
      <c r="AA507" s="78"/>
      <c r="AB507" s="78"/>
      <c r="AC507" s="78"/>
      <c r="AD507" s="78"/>
      <c r="AE507" s="78"/>
      <c r="AF507" s="78"/>
      <c r="AG507" s="78"/>
      <c r="AH507" s="78"/>
      <c r="AI507" s="78"/>
      <c r="AJ507" s="78"/>
      <c r="AK507" s="78"/>
      <c r="AL507" s="78"/>
      <c r="AM507" s="78"/>
      <c r="AN507" s="78"/>
      <c r="AO507" s="78"/>
      <c r="AP507" s="78"/>
      <c r="AQ507" s="78"/>
      <c r="AR507" s="78"/>
      <c r="AS507" s="78"/>
      <c r="AT507" s="78"/>
      <c r="AU507" s="78"/>
      <c r="AV507" s="78"/>
      <c r="AW507" s="78"/>
    </row>
    <row r="508" spans="1:49" hidden="1">
      <c r="A508" s="85"/>
      <c r="B508" s="85"/>
      <c r="C508" s="85"/>
      <c r="D508" s="78"/>
      <c r="E508" s="513" t="str">
        <f>M$3&amp;"年"&amp;L$4&amp;"季度"</f>
        <v>2020年4季度</v>
      </c>
      <c r="F508" s="426" t="str">
        <f t="shared" si="309"/>
        <v>2020年4季度</v>
      </c>
      <c r="G508" s="426" t="str">
        <f t="shared" si="309"/>
        <v>2020年4季度</v>
      </c>
      <c r="H508" s="426" t="str">
        <f t="shared" si="309"/>
        <v>2020年4季度</v>
      </c>
      <c r="I508" s="426" t="str">
        <f t="shared" si="309"/>
        <v>2020年4季度</v>
      </c>
      <c r="J508" s="426" t="str">
        <f t="shared" si="309"/>
        <v>2020年4季度</v>
      </c>
      <c r="K508" s="426" t="str">
        <f t="shared" si="309"/>
        <v>2020年4季度</v>
      </c>
      <c r="L508" s="426" t="str">
        <f t="shared" si="309"/>
        <v>2020年4季度</v>
      </c>
      <c r="M508" s="426" t="str">
        <f t="shared" si="309"/>
        <v>2020年4季度</v>
      </c>
      <c r="N508" s="426" t="str">
        <f t="shared" si="309"/>
        <v>2020年4季度</v>
      </c>
      <c r="O508" s="426" t="str">
        <f t="shared" si="309"/>
        <v>2020年4季度</v>
      </c>
      <c r="P508" s="426" t="str">
        <f t="shared" si="309"/>
        <v>2020年4季度</v>
      </c>
      <c r="Q508" s="78"/>
      <c r="R508" s="78"/>
      <c r="S508" s="78"/>
      <c r="T508" s="78"/>
      <c r="U508" s="78"/>
      <c r="V508" s="78"/>
      <c r="W508" s="78"/>
      <c r="X508" s="78"/>
      <c r="Y508" s="78"/>
      <c r="Z508" s="78"/>
      <c r="AA508" s="78"/>
      <c r="AB508" s="78"/>
      <c r="AC508" s="78"/>
      <c r="AD508" s="78"/>
      <c r="AE508" s="78"/>
      <c r="AF508" s="78"/>
      <c r="AG508" s="78"/>
      <c r="AH508" s="78"/>
      <c r="AI508" s="78"/>
      <c r="AJ508" s="78"/>
      <c r="AK508" s="78"/>
      <c r="AL508" s="78"/>
      <c r="AM508" s="78"/>
      <c r="AN508" s="78"/>
      <c r="AO508" s="78"/>
      <c r="AP508" s="78"/>
      <c r="AQ508" s="78"/>
      <c r="AR508" s="78"/>
      <c r="AS508" s="78"/>
      <c r="AT508" s="78"/>
      <c r="AU508" s="78"/>
      <c r="AV508" s="78"/>
      <c r="AW508" s="78"/>
    </row>
    <row r="509" spans="1:49" hidden="1">
      <c r="A509" s="85"/>
      <c r="B509" s="85"/>
      <c r="C509" s="85"/>
      <c r="D509" s="78"/>
      <c r="E509" s="513" t="str">
        <f>Q$3&amp;"年"&amp;E$4&amp;"季度"</f>
        <v>2021年1季度</v>
      </c>
      <c r="F509" s="426" t="str">
        <f t="shared" si="309"/>
        <v>2021年1季度</v>
      </c>
      <c r="G509" s="426" t="str">
        <f t="shared" si="309"/>
        <v>2021年1季度</v>
      </c>
      <c r="H509" s="426" t="str">
        <f t="shared" si="309"/>
        <v>2021年1季度</v>
      </c>
      <c r="I509" s="426" t="str">
        <f t="shared" si="309"/>
        <v>2021年1季度</v>
      </c>
      <c r="J509" s="426" t="str">
        <f t="shared" si="309"/>
        <v>2021年1季度</v>
      </c>
      <c r="K509" s="426" t="str">
        <f t="shared" si="309"/>
        <v>2021年1季度</v>
      </c>
      <c r="L509" s="426" t="str">
        <f t="shared" si="309"/>
        <v>2021年1季度</v>
      </c>
      <c r="M509" s="426" t="str">
        <f t="shared" si="309"/>
        <v>2021年1季度</v>
      </c>
      <c r="N509" s="426" t="str">
        <f t="shared" si="309"/>
        <v>2021年1季度</v>
      </c>
      <c r="O509" s="426" t="str">
        <f t="shared" si="309"/>
        <v>2021年1季度</v>
      </c>
      <c r="P509" s="426" t="str">
        <f t="shared" si="309"/>
        <v>2021年1季度</v>
      </c>
      <c r="Q509" s="426" t="str">
        <f t="shared" si="309"/>
        <v>2021年1季度</v>
      </c>
      <c r="R509" s="78"/>
      <c r="S509" s="78"/>
      <c r="T509" s="78"/>
      <c r="U509" s="78"/>
      <c r="V509" s="78"/>
      <c r="W509" s="78"/>
      <c r="X509" s="78"/>
      <c r="Y509" s="78"/>
      <c r="Z509" s="78"/>
      <c r="AA509" s="78"/>
      <c r="AB509" s="78"/>
      <c r="AC509" s="78"/>
      <c r="AD509" s="78"/>
      <c r="AE509" s="78"/>
      <c r="AF509" s="78"/>
      <c r="AG509" s="78"/>
      <c r="AH509" s="78"/>
      <c r="AI509" s="78"/>
      <c r="AJ509" s="78"/>
      <c r="AK509" s="78"/>
      <c r="AL509" s="78"/>
      <c r="AM509" s="78"/>
      <c r="AN509" s="78"/>
      <c r="AO509" s="78"/>
      <c r="AP509" s="78"/>
      <c r="AQ509" s="78"/>
      <c r="AR509" s="78"/>
      <c r="AS509" s="78"/>
      <c r="AT509" s="78"/>
      <c r="AU509" s="78"/>
      <c r="AV509" s="78"/>
      <c r="AW509" s="78"/>
    </row>
    <row r="510" spans="1:49" hidden="1">
      <c r="A510" s="85"/>
      <c r="B510" s="85"/>
      <c r="C510" s="85"/>
      <c r="D510" s="78"/>
      <c r="E510" s="513" t="str">
        <f>Q$3&amp;"年"&amp;J$4&amp;"季度"</f>
        <v>2021年2季度</v>
      </c>
      <c r="F510" s="426" t="str">
        <f t="shared" si="309"/>
        <v>2021年2季度</v>
      </c>
      <c r="G510" s="426" t="str">
        <f t="shared" si="309"/>
        <v>2021年2季度</v>
      </c>
      <c r="H510" s="426" t="str">
        <f t="shared" si="309"/>
        <v>2021年2季度</v>
      </c>
      <c r="I510" s="426" t="str">
        <f t="shared" si="309"/>
        <v>2021年2季度</v>
      </c>
      <c r="J510" s="426" t="str">
        <f t="shared" si="309"/>
        <v>2021年2季度</v>
      </c>
      <c r="K510" s="426" t="str">
        <f t="shared" si="309"/>
        <v>2021年2季度</v>
      </c>
      <c r="L510" s="426" t="str">
        <f t="shared" si="309"/>
        <v>2021年2季度</v>
      </c>
      <c r="M510" s="426" t="str">
        <f t="shared" si="309"/>
        <v>2021年2季度</v>
      </c>
      <c r="N510" s="426" t="str">
        <f t="shared" si="309"/>
        <v>2021年2季度</v>
      </c>
      <c r="O510" s="426" t="str">
        <f t="shared" si="309"/>
        <v>2021年2季度</v>
      </c>
      <c r="P510" s="426" t="str">
        <f t="shared" si="309"/>
        <v>2021年2季度</v>
      </c>
      <c r="Q510" s="426" t="str">
        <f t="shared" si="309"/>
        <v>2021年2季度</v>
      </c>
      <c r="R510" s="426" t="str">
        <f t="shared" si="309"/>
        <v>2021年2季度</v>
      </c>
      <c r="S510" s="78"/>
      <c r="T510" s="78"/>
      <c r="U510" s="78"/>
      <c r="V510" s="78"/>
      <c r="W510" s="78"/>
      <c r="X510" s="78"/>
      <c r="Y510" s="78"/>
      <c r="Z510" s="78"/>
      <c r="AA510" s="78"/>
      <c r="AB510" s="78"/>
      <c r="AC510" s="78"/>
      <c r="AD510" s="78"/>
      <c r="AE510" s="78"/>
      <c r="AF510" s="78"/>
      <c r="AG510" s="78"/>
      <c r="AH510" s="78"/>
      <c r="AI510" s="78"/>
      <c r="AJ510" s="78"/>
      <c r="AK510" s="78"/>
      <c r="AL510" s="78"/>
      <c r="AM510" s="78"/>
      <c r="AN510" s="78"/>
      <c r="AO510" s="78"/>
      <c r="AP510" s="78"/>
      <c r="AQ510" s="78"/>
      <c r="AR510" s="78"/>
      <c r="AS510" s="78"/>
      <c r="AT510" s="78"/>
      <c r="AU510" s="78"/>
      <c r="AV510" s="78"/>
      <c r="AW510" s="78"/>
    </row>
    <row r="511" spans="1:49" hidden="1">
      <c r="A511" s="85"/>
      <c r="B511" s="85"/>
      <c r="C511" s="85"/>
      <c r="D511" s="78"/>
      <c r="E511" s="513" t="str">
        <f>Q$3&amp;"年"&amp;K$4&amp;"季度"</f>
        <v>2021年3季度</v>
      </c>
      <c r="F511" s="426" t="str">
        <f t="shared" si="309"/>
        <v>2021年3季度</v>
      </c>
      <c r="G511" s="426" t="str">
        <f t="shared" si="309"/>
        <v>2021年3季度</v>
      </c>
      <c r="H511" s="426" t="str">
        <f t="shared" si="309"/>
        <v>2021年3季度</v>
      </c>
      <c r="I511" s="426" t="str">
        <f t="shared" si="309"/>
        <v>2021年3季度</v>
      </c>
      <c r="J511" s="426" t="str">
        <f t="shared" si="309"/>
        <v>2021年3季度</v>
      </c>
      <c r="K511" s="426" t="str">
        <f t="shared" si="309"/>
        <v>2021年3季度</v>
      </c>
      <c r="L511" s="426" t="str">
        <f t="shared" si="309"/>
        <v>2021年3季度</v>
      </c>
      <c r="M511" s="426" t="str">
        <f t="shared" si="309"/>
        <v>2021年3季度</v>
      </c>
      <c r="N511" s="426" t="str">
        <f t="shared" si="309"/>
        <v>2021年3季度</v>
      </c>
      <c r="O511" s="426" t="str">
        <f t="shared" si="309"/>
        <v>2021年3季度</v>
      </c>
      <c r="P511" s="426" t="str">
        <f t="shared" si="309"/>
        <v>2021年3季度</v>
      </c>
      <c r="Q511" s="426" t="str">
        <f t="shared" si="309"/>
        <v>2021年3季度</v>
      </c>
      <c r="R511" s="426" t="str">
        <f t="shared" si="309"/>
        <v>2021年3季度</v>
      </c>
      <c r="S511" s="426" t="str">
        <f t="shared" si="309"/>
        <v>2021年3季度</v>
      </c>
      <c r="T511" s="78"/>
      <c r="U511" s="78"/>
      <c r="V511" s="78"/>
      <c r="W511" s="78"/>
      <c r="X511" s="78"/>
      <c r="Y511" s="78"/>
      <c r="Z511" s="78"/>
      <c r="AA511" s="78"/>
      <c r="AB511" s="78"/>
      <c r="AC511" s="78"/>
      <c r="AD511" s="78"/>
      <c r="AE511" s="78"/>
      <c r="AF511" s="78"/>
      <c r="AG511" s="78"/>
      <c r="AH511" s="78"/>
      <c r="AI511" s="78"/>
      <c r="AJ511" s="78"/>
      <c r="AK511" s="78"/>
      <c r="AL511" s="78"/>
      <c r="AM511" s="78"/>
      <c r="AN511" s="78"/>
      <c r="AO511" s="78"/>
      <c r="AP511" s="78"/>
      <c r="AQ511" s="78"/>
      <c r="AR511" s="78"/>
      <c r="AS511" s="78"/>
      <c r="AT511" s="78"/>
      <c r="AU511" s="78"/>
      <c r="AV511" s="78"/>
      <c r="AW511" s="78"/>
    </row>
    <row r="512" spans="1:49" hidden="1">
      <c r="A512" s="85"/>
      <c r="B512" s="85"/>
      <c r="C512" s="85"/>
      <c r="D512" s="78"/>
      <c r="E512" s="513" t="str">
        <f>Q$3&amp;"年"&amp;L$4&amp;"季度"</f>
        <v>2021年4季度</v>
      </c>
      <c r="F512" s="426" t="str">
        <f t="shared" si="309"/>
        <v>2021年4季度</v>
      </c>
      <c r="G512" s="426" t="str">
        <f t="shared" si="309"/>
        <v>2021年4季度</v>
      </c>
      <c r="H512" s="426" t="str">
        <f t="shared" si="309"/>
        <v>2021年4季度</v>
      </c>
      <c r="I512" s="426" t="str">
        <f t="shared" si="309"/>
        <v>2021年4季度</v>
      </c>
      <c r="J512" s="426" t="str">
        <f t="shared" si="309"/>
        <v>2021年4季度</v>
      </c>
      <c r="K512" s="426" t="str">
        <f t="shared" si="309"/>
        <v>2021年4季度</v>
      </c>
      <c r="L512" s="426" t="str">
        <f t="shared" si="309"/>
        <v>2021年4季度</v>
      </c>
      <c r="M512" s="426" t="str">
        <f t="shared" si="309"/>
        <v>2021年4季度</v>
      </c>
      <c r="N512" s="426" t="str">
        <f t="shared" si="309"/>
        <v>2021年4季度</v>
      </c>
      <c r="O512" s="426" t="str">
        <f t="shared" si="309"/>
        <v>2021年4季度</v>
      </c>
      <c r="P512" s="426" t="str">
        <f t="shared" si="309"/>
        <v>2021年4季度</v>
      </c>
      <c r="Q512" s="426" t="str">
        <f t="shared" si="309"/>
        <v>2021年4季度</v>
      </c>
      <c r="R512" s="426" t="str">
        <f t="shared" si="309"/>
        <v>2021年4季度</v>
      </c>
      <c r="S512" s="426" t="str">
        <f t="shared" si="309"/>
        <v>2021年4季度</v>
      </c>
      <c r="T512" s="426" t="str">
        <f t="shared" si="309"/>
        <v>2021年4季度</v>
      </c>
      <c r="U512" s="78"/>
      <c r="V512" s="78"/>
      <c r="W512" s="78"/>
      <c r="X512" s="78"/>
      <c r="Y512" s="78"/>
      <c r="Z512" s="78"/>
      <c r="AA512" s="78"/>
      <c r="AB512" s="78"/>
      <c r="AC512" s="78"/>
      <c r="AD512" s="78"/>
      <c r="AE512" s="78"/>
      <c r="AF512" s="78"/>
      <c r="AG512" s="78"/>
      <c r="AH512" s="78"/>
      <c r="AI512" s="78"/>
      <c r="AJ512" s="78"/>
      <c r="AK512" s="78"/>
      <c r="AL512" s="78"/>
      <c r="AM512" s="78"/>
      <c r="AN512" s="78"/>
      <c r="AO512" s="78"/>
      <c r="AP512" s="78"/>
      <c r="AQ512" s="78"/>
      <c r="AR512" s="78"/>
      <c r="AS512" s="78"/>
      <c r="AT512" s="78"/>
      <c r="AU512" s="78"/>
      <c r="AV512" s="78"/>
      <c r="AW512" s="78"/>
    </row>
    <row r="513" spans="1:49" hidden="1">
      <c r="A513" s="85"/>
      <c r="B513" s="85"/>
      <c r="C513" s="85"/>
      <c r="D513" s="78"/>
      <c r="E513" s="513" t="str">
        <f>U$3&amp;"年"&amp;E$4&amp;"季度"</f>
        <v>2022年1季度</v>
      </c>
      <c r="F513" s="426" t="str">
        <f t="shared" si="309"/>
        <v>2022年1季度</v>
      </c>
      <c r="G513" s="426" t="str">
        <f t="shared" si="309"/>
        <v>2022年1季度</v>
      </c>
      <c r="H513" s="426" t="str">
        <f t="shared" si="309"/>
        <v>2022年1季度</v>
      </c>
      <c r="I513" s="426" t="str">
        <f t="shared" si="309"/>
        <v>2022年1季度</v>
      </c>
      <c r="J513" s="426" t="str">
        <f t="shared" si="309"/>
        <v>2022年1季度</v>
      </c>
      <c r="K513" s="426" t="str">
        <f t="shared" si="309"/>
        <v>2022年1季度</v>
      </c>
      <c r="L513" s="426" t="str">
        <f t="shared" si="309"/>
        <v>2022年1季度</v>
      </c>
      <c r="M513" s="426" t="str">
        <f t="shared" si="309"/>
        <v>2022年1季度</v>
      </c>
      <c r="N513" s="426" t="str">
        <f t="shared" si="309"/>
        <v>2022年1季度</v>
      </c>
      <c r="O513" s="426" t="str">
        <f t="shared" si="309"/>
        <v>2022年1季度</v>
      </c>
      <c r="P513" s="426" t="str">
        <f t="shared" si="309"/>
        <v>2022年1季度</v>
      </c>
      <c r="Q513" s="426" t="str">
        <f t="shared" si="309"/>
        <v>2022年1季度</v>
      </c>
      <c r="R513" s="426" t="str">
        <f t="shared" si="309"/>
        <v>2022年1季度</v>
      </c>
      <c r="S513" s="426" t="str">
        <f t="shared" si="309"/>
        <v>2022年1季度</v>
      </c>
      <c r="T513" s="426" t="str">
        <f t="shared" si="309"/>
        <v>2022年1季度</v>
      </c>
      <c r="U513" s="426" t="str">
        <f t="shared" si="309"/>
        <v>2022年1季度</v>
      </c>
      <c r="V513" s="78"/>
      <c r="W513" s="78"/>
      <c r="X513" s="78"/>
      <c r="Y513" s="78"/>
      <c r="Z513" s="78"/>
      <c r="AA513" s="78"/>
      <c r="AB513" s="78"/>
      <c r="AC513" s="78"/>
      <c r="AD513" s="78"/>
      <c r="AE513" s="78"/>
      <c r="AF513" s="78"/>
      <c r="AG513" s="78"/>
      <c r="AH513" s="78"/>
      <c r="AI513" s="78"/>
      <c r="AJ513" s="78"/>
      <c r="AK513" s="78"/>
      <c r="AL513" s="78"/>
      <c r="AM513" s="78"/>
      <c r="AN513" s="78"/>
      <c r="AO513" s="78"/>
      <c r="AP513" s="78"/>
      <c r="AQ513" s="78"/>
      <c r="AR513" s="78"/>
      <c r="AS513" s="78"/>
      <c r="AT513" s="78"/>
      <c r="AU513" s="78"/>
      <c r="AV513" s="78"/>
      <c r="AW513" s="78"/>
    </row>
    <row r="514" spans="1:49" hidden="1">
      <c r="A514" s="85"/>
      <c r="B514" s="85"/>
      <c r="C514" s="85"/>
      <c r="D514" s="78"/>
      <c r="E514" s="513" t="str">
        <f>U$3&amp;"年"&amp;J$4&amp;"季度"</f>
        <v>2022年2季度</v>
      </c>
      <c r="F514" s="426" t="str">
        <f t="shared" si="309"/>
        <v>2022年2季度</v>
      </c>
      <c r="G514" s="426" t="str">
        <f t="shared" si="309"/>
        <v>2022年2季度</v>
      </c>
      <c r="H514" s="426" t="str">
        <f t="shared" si="309"/>
        <v>2022年2季度</v>
      </c>
      <c r="I514" s="426" t="str">
        <f t="shared" si="309"/>
        <v>2022年2季度</v>
      </c>
      <c r="J514" s="426" t="str">
        <f t="shared" si="309"/>
        <v>2022年2季度</v>
      </c>
      <c r="K514" s="426" t="str">
        <f t="shared" si="309"/>
        <v>2022年2季度</v>
      </c>
      <c r="L514" s="426" t="str">
        <f t="shared" si="309"/>
        <v>2022年2季度</v>
      </c>
      <c r="M514" s="426" t="str">
        <f t="shared" si="309"/>
        <v>2022年2季度</v>
      </c>
      <c r="N514" s="426" t="str">
        <f t="shared" si="309"/>
        <v>2022年2季度</v>
      </c>
      <c r="O514" s="426" t="str">
        <f t="shared" si="309"/>
        <v>2022年2季度</v>
      </c>
      <c r="P514" s="426" t="str">
        <f t="shared" si="309"/>
        <v>2022年2季度</v>
      </c>
      <c r="Q514" s="426" t="str">
        <f t="shared" si="309"/>
        <v>2022年2季度</v>
      </c>
      <c r="R514" s="426" t="str">
        <f t="shared" si="309"/>
        <v>2022年2季度</v>
      </c>
      <c r="S514" s="426" t="str">
        <f t="shared" si="309"/>
        <v>2022年2季度</v>
      </c>
      <c r="T514" s="426" t="str">
        <f t="shared" si="309"/>
        <v>2022年2季度</v>
      </c>
      <c r="U514" s="426" t="str">
        <f t="shared" si="309"/>
        <v>2022年2季度</v>
      </c>
      <c r="V514" s="426" t="str">
        <f>U514</f>
        <v>2022年2季度</v>
      </c>
      <c r="W514" s="78"/>
      <c r="X514" s="78"/>
      <c r="Y514" s="78"/>
      <c r="Z514" s="78"/>
      <c r="AA514" s="78"/>
      <c r="AB514" s="78"/>
      <c r="AC514" s="78"/>
      <c r="AD514" s="78"/>
      <c r="AE514" s="78"/>
      <c r="AF514" s="78"/>
      <c r="AG514" s="78"/>
      <c r="AH514" s="78"/>
      <c r="AI514" s="78"/>
      <c r="AJ514" s="78"/>
      <c r="AK514" s="78"/>
      <c r="AL514" s="78"/>
      <c r="AM514" s="78"/>
      <c r="AN514" s="78"/>
      <c r="AO514" s="78"/>
      <c r="AP514" s="78"/>
      <c r="AQ514" s="78"/>
      <c r="AR514" s="78"/>
      <c r="AS514" s="78"/>
      <c r="AT514" s="78"/>
      <c r="AU514" s="78"/>
      <c r="AV514" s="78"/>
      <c r="AW514" s="78"/>
    </row>
    <row r="515" spans="1:49" hidden="1">
      <c r="A515" s="85"/>
      <c r="B515" s="85"/>
      <c r="C515" s="85"/>
      <c r="D515" s="78"/>
      <c r="E515" s="513" t="str">
        <f>U$3&amp;"年"&amp;K$4&amp;"季度"</f>
        <v>2022年3季度</v>
      </c>
      <c r="F515" s="426" t="str">
        <f t="shared" si="309"/>
        <v>2022年3季度</v>
      </c>
      <c r="G515" s="426" t="str">
        <f t="shared" si="309"/>
        <v>2022年3季度</v>
      </c>
      <c r="H515" s="426" t="str">
        <f t="shared" si="309"/>
        <v>2022年3季度</v>
      </c>
      <c r="I515" s="426" t="str">
        <f t="shared" si="309"/>
        <v>2022年3季度</v>
      </c>
      <c r="J515" s="426" t="str">
        <f t="shared" si="309"/>
        <v>2022年3季度</v>
      </c>
      <c r="K515" s="426" t="str">
        <f t="shared" si="309"/>
        <v>2022年3季度</v>
      </c>
      <c r="L515" s="426" t="str">
        <f t="shared" si="309"/>
        <v>2022年3季度</v>
      </c>
      <c r="M515" s="426" t="str">
        <f t="shared" si="309"/>
        <v>2022年3季度</v>
      </c>
      <c r="N515" s="426" t="str">
        <f t="shared" si="309"/>
        <v>2022年3季度</v>
      </c>
      <c r="O515" s="426" t="str">
        <f t="shared" si="309"/>
        <v>2022年3季度</v>
      </c>
      <c r="P515" s="426" t="str">
        <f t="shared" si="309"/>
        <v>2022年3季度</v>
      </c>
      <c r="Q515" s="426" t="str">
        <f t="shared" si="309"/>
        <v>2022年3季度</v>
      </c>
      <c r="R515" s="426" t="str">
        <f t="shared" si="309"/>
        <v>2022年3季度</v>
      </c>
      <c r="S515" s="426" t="str">
        <f t="shared" si="309"/>
        <v>2022年3季度</v>
      </c>
      <c r="T515" s="426" t="str">
        <f t="shared" si="309"/>
        <v>2022年3季度</v>
      </c>
      <c r="U515" s="426" t="str">
        <f t="shared" si="309"/>
        <v>2022年3季度</v>
      </c>
      <c r="V515" s="426" t="str">
        <f>U515</f>
        <v>2022年3季度</v>
      </c>
      <c r="W515" s="426" t="str">
        <f>V515</f>
        <v>2022年3季度</v>
      </c>
      <c r="X515" s="78"/>
      <c r="Y515" s="78"/>
      <c r="Z515" s="78"/>
      <c r="AA515" s="78"/>
      <c r="AB515" s="78"/>
      <c r="AC515" s="78"/>
      <c r="AD515" s="78"/>
      <c r="AE515" s="78"/>
      <c r="AF515" s="78"/>
      <c r="AG515" s="78"/>
      <c r="AH515" s="78"/>
      <c r="AI515" s="78"/>
      <c r="AJ515" s="78"/>
      <c r="AK515" s="78"/>
      <c r="AL515" s="78"/>
      <c r="AM515" s="78"/>
      <c r="AN515" s="78"/>
      <c r="AO515" s="78"/>
      <c r="AP515" s="78"/>
      <c r="AQ515" s="78"/>
      <c r="AR515" s="78"/>
      <c r="AS515" s="78"/>
      <c r="AT515" s="78"/>
      <c r="AU515" s="78"/>
      <c r="AV515" s="78"/>
      <c r="AW515" s="78"/>
    </row>
    <row r="516" spans="1:49" hidden="1">
      <c r="A516" s="85"/>
      <c r="B516" s="85"/>
      <c r="C516" s="85"/>
      <c r="D516" s="78"/>
      <c r="E516" s="513" t="str">
        <f>U$3&amp;"年"&amp;L$4&amp;"季度"</f>
        <v>2022年4季度</v>
      </c>
      <c r="F516" s="426" t="str">
        <f t="shared" ref="F516:X516" si="310">E516</f>
        <v>2022年4季度</v>
      </c>
      <c r="G516" s="426" t="str">
        <f t="shared" si="310"/>
        <v>2022年4季度</v>
      </c>
      <c r="H516" s="426" t="str">
        <f t="shared" si="310"/>
        <v>2022年4季度</v>
      </c>
      <c r="I516" s="426" t="str">
        <f t="shared" si="310"/>
        <v>2022年4季度</v>
      </c>
      <c r="J516" s="426" t="str">
        <f t="shared" si="310"/>
        <v>2022年4季度</v>
      </c>
      <c r="K516" s="426" t="str">
        <f t="shared" si="310"/>
        <v>2022年4季度</v>
      </c>
      <c r="L516" s="426" t="str">
        <f t="shared" si="310"/>
        <v>2022年4季度</v>
      </c>
      <c r="M516" s="426" t="str">
        <f t="shared" si="310"/>
        <v>2022年4季度</v>
      </c>
      <c r="N516" s="426" t="str">
        <f t="shared" si="310"/>
        <v>2022年4季度</v>
      </c>
      <c r="O516" s="426" t="str">
        <f t="shared" si="310"/>
        <v>2022年4季度</v>
      </c>
      <c r="P516" s="426" t="str">
        <f t="shared" si="310"/>
        <v>2022年4季度</v>
      </c>
      <c r="Q516" s="426" t="str">
        <f t="shared" si="310"/>
        <v>2022年4季度</v>
      </c>
      <c r="R516" s="426" t="str">
        <f t="shared" si="310"/>
        <v>2022年4季度</v>
      </c>
      <c r="S516" s="426" t="str">
        <f t="shared" si="310"/>
        <v>2022年4季度</v>
      </c>
      <c r="T516" s="426" t="str">
        <f t="shared" si="310"/>
        <v>2022年4季度</v>
      </c>
      <c r="U516" s="426" t="str">
        <f t="shared" si="310"/>
        <v>2022年4季度</v>
      </c>
      <c r="V516" s="426" t="str">
        <f t="shared" si="310"/>
        <v>2022年4季度</v>
      </c>
      <c r="W516" s="426" t="str">
        <f t="shared" si="310"/>
        <v>2022年4季度</v>
      </c>
      <c r="X516" s="426" t="str">
        <f t="shared" si="310"/>
        <v>2022年4季度</v>
      </c>
      <c r="Y516" s="78"/>
      <c r="Z516" s="78"/>
      <c r="AA516" s="78"/>
      <c r="AB516" s="78"/>
      <c r="AC516" s="78"/>
      <c r="AD516" s="78"/>
      <c r="AE516" s="78"/>
      <c r="AF516" s="78"/>
      <c r="AG516" s="78"/>
      <c r="AH516" s="78"/>
      <c r="AI516" s="78"/>
      <c r="AJ516" s="78"/>
      <c r="AK516" s="78"/>
      <c r="AL516" s="78"/>
      <c r="AM516" s="78"/>
      <c r="AN516" s="78"/>
      <c r="AO516" s="78"/>
      <c r="AP516" s="78"/>
      <c r="AQ516" s="78"/>
      <c r="AR516" s="78"/>
      <c r="AS516" s="78"/>
      <c r="AT516" s="78"/>
      <c r="AU516" s="78"/>
      <c r="AV516" s="78"/>
      <c r="AW516" s="78"/>
    </row>
    <row r="517" spans="1:49" hidden="1">
      <c r="A517" s="85"/>
      <c r="B517" s="85"/>
      <c r="C517" s="85"/>
      <c r="D517" s="78"/>
      <c r="E517" s="513" t="str">
        <f>Y$3&amp;"年"&amp;E$4&amp;"季度"</f>
        <v>2023年1季度</v>
      </c>
      <c r="F517" s="426" t="str">
        <f t="shared" ref="F517:Y517" si="311">E517</f>
        <v>2023年1季度</v>
      </c>
      <c r="G517" s="426" t="str">
        <f t="shared" si="311"/>
        <v>2023年1季度</v>
      </c>
      <c r="H517" s="426" t="str">
        <f t="shared" si="311"/>
        <v>2023年1季度</v>
      </c>
      <c r="I517" s="426" t="str">
        <f t="shared" si="311"/>
        <v>2023年1季度</v>
      </c>
      <c r="J517" s="426" t="str">
        <f t="shared" si="311"/>
        <v>2023年1季度</v>
      </c>
      <c r="K517" s="426" t="str">
        <f t="shared" si="311"/>
        <v>2023年1季度</v>
      </c>
      <c r="L517" s="426" t="str">
        <f t="shared" si="311"/>
        <v>2023年1季度</v>
      </c>
      <c r="M517" s="426" t="str">
        <f t="shared" si="311"/>
        <v>2023年1季度</v>
      </c>
      <c r="N517" s="426" t="str">
        <f t="shared" si="311"/>
        <v>2023年1季度</v>
      </c>
      <c r="O517" s="426" t="str">
        <f t="shared" si="311"/>
        <v>2023年1季度</v>
      </c>
      <c r="P517" s="426" t="str">
        <f t="shared" si="311"/>
        <v>2023年1季度</v>
      </c>
      <c r="Q517" s="426" t="str">
        <f t="shared" si="311"/>
        <v>2023年1季度</v>
      </c>
      <c r="R517" s="426" t="str">
        <f t="shared" si="311"/>
        <v>2023年1季度</v>
      </c>
      <c r="S517" s="426" t="str">
        <f t="shared" si="311"/>
        <v>2023年1季度</v>
      </c>
      <c r="T517" s="426" t="str">
        <f t="shared" si="311"/>
        <v>2023年1季度</v>
      </c>
      <c r="U517" s="426" t="str">
        <f t="shared" si="311"/>
        <v>2023年1季度</v>
      </c>
      <c r="V517" s="426" t="str">
        <f t="shared" si="311"/>
        <v>2023年1季度</v>
      </c>
      <c r="W517" s="426" t="str">
        <f t="shared" si="311"/>
        <v>2023年1季度</v>
      </c>
      <c r="X517" s="426" t="str">
        <f t="shared" si="311"/>
        <v>2023年1季度</v>
      </c>
      <c r="Y517" s="426" t="str">
        <f t="shared" si="311"/>
        <v>2023年1季度</v>
      </c>
      <c r="Z517" s="78"/>
      <c r="AA517" s="78"/>
      <c r="AB517" s="78"/>
      <c r="AC517" s="78"/>
      <c r="AD517" s="78"/>
      <c r="AE517" s="78"/>
      <c r="AF517" s="78"/>
      <c r="AG517" s="78"/>
      <c r="AH517" s="78"/>
      <c r="AI517" s="78"/>
      <c r="AJ517" s="78"/>
      <c r="AK517" s="78"/>
      <c r="AL517" s="78"/>
      <c r="AM517" s="78"/>
      <c r="AN517" s="78"/>
      <c r="AO517" s="78"/>
      <c r="AP517" s="78"/>
      <c r="AQ517" s="78"/>
      <c r="AR517" s="78"/>
      <c r="AS517" s="78"/>
      <c r="AT517" s="78"/>
      <c r="AU517" s="78"/>
      <c r="AV517" s="78"/>
      <c r="AW517" s="78"/>
    </row>
    <row r="518" spans="1:49" hidden="1">
      <c r="A518" s="85"/>
      <c r="B518" s="85"/>
      <c r="C518" s="85"/>
      <c r="D518" s="78"/>
      <c r="E518" s="513" t="str">
        <f>Y$3&amp;"年"&amp;J$4&amp;"季度"</f>
        <v>2023年2季度</v>
      </c>
      <c r="F518" s="426" t="str">
        <f t="shared" ref="F518:Z518" si="312">E518</f>
        <v>2023年2季度</v>
      </c>
      <c r="G518" s="426" t="str">
        <f t="shared" si="312"/>
        <v>2023年2季度</v>
      </c>
      <c r="H518" s="426" t="str">
        <f t="shared" si="312"/>
        <v>2023年2季度</v>
      </c>
      <c r="I518" s="426" t="str">
        <f t="shared" si="312"/>
        <v>2023年2季度</v>
      </c>
      <c r="J518" s="426" t="str">
        <f t="shared" si="312"/>
        <v>2023年2季度</v>
      </c>
      <c r="K518" s="426" t="str">
        <f t="shared" si="312"/>
        <v>2023年2季度</v>
      </c>
      <c r="L518" s="426" t="str">
        <f t="shared" si="312"/>
        <v>2023年2季度</v>
      </c>
      <c r="M518" s="426" t="str">
        <f t="shared" si="312"/>
        <v>2023年2季度</v>
      </c>
      <c r="N518" s="426" t="str">
        <f t="shared" si="312"/>
        <v>2023年2季度</v>
      </c>
      <c r="O518" s="426" t="str">
        <f t="shared" si="312"/>
        <v>2023年2季度</v>
      </c>
      <c r="P518" s="426" t="str">
        <f t="shared" si="312"/>
        <v>2023年2季度</v>
      </c>
      <c r="Q518" s="426" t="str">
        <f t="shared" si="312"/>
        <v>2023年2季度</v>
      </c>
      <c r="R518" s="426" t="str">
        <f t="shared" si="312"/>
        <v>2023年2季度</v>
      </c>
      <c r="S518" s="426" t="str">
        <f t="shared" si="312"/>
        <v>2023年2季度</v>
      </c>
      <c r="T518" s="426" t="str">
        <f t="shared" si="312"/>
        <v>2023年2季度</v>
      </c>
      <c r="U518" s="426" t="str">
        <f t="shared" si="312"/>
        <v>2023年2季度</v>
      </c>
      <c r="V518" s="426" t="str">
        <f t="shared" si="312"/>
        <v>2023年2季度</v>
      </c>
      <c r="W518" s="426" t="str">
        <f t="shared" si="312"/>
        <v>2023年2季度</v>
      </c>
      <c r="X518" s="426" t="str">
        <f t="shared" si="312"/>
        <v>2023年2季度</v>
      </c>
      <c r="Y518" s="426" t="str">
        <f t="shared" si="312"/>
        <v>2023年2季度</v>
      </c>
      <c r="Z518" s="426" t="str">
        <f t="shared" si="312"/>
        <v>2023年2季度</v>
      </c>
      <c r="AA518" s="78"/>
      <c r="AB518" s="78"/>
      <c r="AC518" s="78"/>
      <c r="AD518" s="78"/>
      <c r="AE518" s="78"/>
      <c r="AF518" s="78"/>
      <c r="AG518" s="78"/>
      <c r="AH518" s="78"/>
      <c r="AI518" s="78"/>
      <c r="AJ518" s="78"/>
      <c r="AK518" s="78"/>
      <c r="AL518" s="78"/>
      <c r="AM518" s="78"/>
      <c r="AN518" s="78"/>
      <c r="AO518" s="78"/>
      <c r="AP518" s="78"/>
      <c r="AQ518" s="78"/>
      <c r="AR518" s="78"/>
      <c r="AS518" s="78"/>
      <c r="AT518" s="78"/>
      <c r="AU518" s="78"/>
      <c r="AV518" s="78"/>
      <c r="AW518" s="78"/>
    </row>
    <row r="519" spans="1:49" hidden="1">
      <c r="A519" s="85"/>
      <c r="B519" s="85"/>
      <c r="C519" s="85"/>
      <c r="D519" s="78"/>
      <c r="E519" s="513" t="str">
        <f>Y$3&amp;"年"&amp;K$4&amp;"季度"</f>
        <v>2023年3季度</v>
      </c>
      <c r="F519" s="426" t="str">
        <f t="shared" ref="F519:AA519" si="313">E519</f>
        <v>2023年3季度</v>
      </c>
      <c r="G519" s="426" t="str">
        <f t="shared" si="313"/>
        <v>2023年3季度</v>
      </c>
      <c r="H519" s="426" t="str">
        <f t="shared" si="313"/>
        <v>2023年3季度</v>
      </c>
      <c r="I519" s="426" t="str">
        <f t="shared" si="313"/>
        <v>2023年3季度</v>
      </c>
      <c r="J519" s="426" t="str">
        <f t="shared" si="313"/>
        <v>2023年3季度</v>
      </c>
      <c r="K519" s="426" t="str">
        <f t="shared" si="313"/>
        <v>2023年3季度</v>
      </c>
      <c r="L519" s="426" t="str">
        <f t="shared" si="313"/>
        <v>2023年3季度</v>
      </c>
      <c r="M519" s="426" t="str">
        <f t="shared" si="313"/>
        <v>2023年3季度</v>
      </c>
      <c r="N519" s="426" t="str">
        <f t="shared" si="313"/>
        <v>2023年3季度</v>
      </c>
      <c r="O519" s="426" t="str">
        <f t="shared" si="313"/>
        <v>2023年3季度</v>
      </c>
      <c r="P519" s="426" t="str">
        <f t="shared" si="313"/>
        <v>2023年3季度</v>
      </c>
      <c r="Q519" s="426" t="str">
        <f t="shared" si="313"/>
        <v>2023年3季度</v>
      </c>
      <c r="R519" s="426" t="str">
        <f t="shared" si="313"/>
        <v>2023年3季度</v>
      </c>
      <c r="S519" s="426" t="str">
        <f t="shared" si="313"/>
        <v>2023年3季度</v>
      </c>
      <c r="T519" s="426" t="str">
        <f t="shared" si="313"/>
        <v>2023年3季度</v>
      </c>
      <c r="U519" s="426" t="str">
        <f t="shared" si="313"/>
        <v>2023年3季度</v>
      </c>
      <c r="V519" s="426" t="str">
        <f t="shared" si="313"/>
        <v>2023年3季度</v>
      </c>
      <c r="W519" s="426" t="str">
        <f t="shared" si="313"/>
        <v>2023年3季度</v>
      </c>
      <c r="X519" s="426" t="str">
        <f t="shared" si="313"/>
        <v>2023年3季度</v>
      </c>
      <c r="Y519" s="426" t="str">
        <f t="shared" si="313"/>
        <v>2023年3季度</v>
      </c>
      <c r="Z519" s="426" t="str">
        <f t="shared" si="313"/>
        <v>2023年3季度</v>
      </c>
      <c r="AA519" s="426" t="str">
        <f t="shared" si="313"/>
        <v>2023年3季度</v>
      </c>
      <c r="AB519" s="78"/>
      <c r="AC519" s="78"/>
      <c r="AD519" s="78"/>
      <c r="AE519" s="78"/>
      <c r="AF519" s="78"/>
      <c r="AG519" s="78"/>
      <c r="AH519" s="78"/>
      <c r="AI519" s="78"/>
      <c r="AJ519" s="78"/>
      <c r="AK519" s="78"/>
      <c r="AL519" s="78"/>
      <c r="AM519" s="78"/>
      <c r="AN519" s="78"/>
      <c r="AO519" s="78"/>
      <c r="AP519" s="78"/>
      <c r="AQ519" s="78"/>
      <c r="AR519" s="78"/>
      <c r="AS519" s="78"/>
      <c r="AT519" s="78"/>
      <c r="AU519" s="78"/>
      <c r="AV519" s="78"/>
      <c r="AW519" s="78"/>
    </row>
    <row r="520" spans="1:49" hidden="1">
      <c r="A520" s="85"/>
      <c r="B520" s="85"/>
      <c r="C520" s="85"/>
      <c r="D520" s="78"/>
      <c r="E520" s="513" t="str">
        <f>Y$3&amp;"年"&amp;L$4&amp;"季度"</f>
        <v>2023年4季度</v>
      </c>
      <c r="F520" s="426" t="str">
        <f t="shared" ref="F520:AB520" si="314">E520</f>
        <v>2023年4季度</v>
      </c>
      <c r="G520" s="426" t="str">
        <f t="shared" si="314"/>
        <v>2023年4季度</v>
      </c>
      <c r="H520" s="426" t="str">
        <f t="shared" si="314"/>
        <v>2023年4季度</v>
      </c>
      <c r="I520" s="426" t="str">
        <f t="shared" si="314"/>
        <v>2023年4季度</v>
      </c>
      <c r="J520" s="426" t="str">
        <f t="shared" si="314"/>
        <v>2023年4季度</v>
      </c>
      <c r="K520" s="426" t="str">
        <f t="shared" si="314"/>
        <v>2023年4季度</v>
      </c>
      <c r="L520" s="426" t="str">
        <f t="shared" si="314"/>
        <v>2023年4季度</v>
      </c>
      <c r="M520" s="426" t="str">
        <f t="shared" si="314"/>
        <v>2023年4季度</v>
      </c>
      <c r="N520" s="426" t="str">
        <f t="shared" si="314"/>
        <v>2023年4季度</v>
      </c>
      <c r="O520" s="426" t="str">
        <f t="shared" si="314"/>
        <v>2023年4季度</v>
      </c>
      <c r="P520" s="426" t="str">
        <f t="shared" si="314"/>
        <v>2023年4季度</v>
      </c>
      <c r="Q520" s="426" t="str">
        <f t="shared" si="314"/>
        <v>2023年4季度</v>
      </c>
      <c r="R520" s="426" t="str">
        <f t="shared" si="314"/>
        <v>2023年4季度</v>
      </c>
      <c r="S520" s="426" t="str">
        <f t="shared" si="314"/>
        <v>2023年4季度</v>
      </c>
      <c r="T520" s="426" t="str">
        <f t="shared" si="314"/>
        <v>2023年4季度</v>
      </c>
      <c r="U520" s="426" t="str">
        <f t="shared" si="314"/>
        <v>2023年4季度</v>
      </c>
      <c r="V520" s="426" t="str">
        <f t="shared" si="314"/>
        <v>2023年4季度</v>
      </c>
      <c r="W520" s="426" t="str">
        <f t="shared" si="314"/>
        <v>2023年4季度</v>
      </c>
      <c r="X520" s="426" t="str">
        <f t="shared" si="314"/>
        <v>2023年4季度</v>
      </c>
      <c r="Y520" s="426" t="str">
        <f t="shared" si="314"/>
        <v>2023年4季度</v>
      </c>
      <c r="Z520" s="426" t="str">
        <f t="shared" si="314"/>
        <v>2023年4季度</v>
      </c>
      <c r="AA520" s="426" t="str">
        <f t="shared" si="314"/>
        <v>2023年4季度</v>
      </c>
      <c r="AB520" s="426" t="str">
        <f t="shared" si="314"/>
        <v>2023年4季度</v>
      </c>
      <c r="AC520" s="78"/>
      <c r="AD520" s="78"/>
      <c r="AE520" s="78"/>
      <c r="AF520" s="78"/>
      <c r="AG520" s="78"/>
      <c r="AH520" s="78"/>
      <c r="AI520" s="78"/>
      <c r="AJ520" s="78"/>
      <c r="AK520" s="78"/>
      <c r="AL520" s="78"/>
      <c r="AM520" s="78"/>
      <c r="AN520" s="78"/>
      <c r="AO520" s="78"/>
      <c r="AP520" s="78"/>
      <c r="AQ520" s="78"/>
      <c r="AR520" s="78"/>
      <c r="AS520" s="78"/>
      <c r="AT520" s="78"/>
      <c r="AU520" s="78"/>
      <c r="AV520" s="78"/>
      <c r="AW520" s="78"/>
    </row>
    <row r="521" spans="1:49" hidden="1">
      <c r="A521" s="85"/>
      <c r="B521" s="85"/>
      <c r="C521" s="85"/>
      <c r="D521" s="78"/>
      <c r="E521" s="513" t="str">
        <f>AC$3&amp;"年"&amp;E$4&amp;"季度"</f>
        <v>2024年1季度</v>
      </c>
      <c r="F521" s="426" t="str">
        <f t="shared" ref="F521:AC521" si="315">E521</f>
        <v>2024年1季度</v>
      </c>
      <c r="G521" s="426" t="str">
        <f t="shared" si="315"/>
        <v>2024年1季度</v>
      </c>
      <c r="H521" s="426" t="str">
        <f t="shared" si="315"/>
        <v>2024年1季度</v>
      </c>
      <c r="I521" s="426" t="str">
        <f t="shared" si="315"/>
        <v>2024年1季度</v>
      </c>
      <c r="J521" s="426" t="str">
        <f t="shared" si="315"/>
        <v>2024年1季度</v>
      </c>
      <c r="K521" s="426" t="str">
        <f t="shared" si="315"/>
        <v>2024年1季度</v>
      </c>
      <c r="L521" s="426" t="str">
        <f t="shared" si="315"/>
        <v>2024年1季度</v>
      </c>
      <c r="M521" s="426" t="str">
        <f t="shared" si="315"/>
        <v>2024年1季度</v>
      </c>
      <c r="N521" s="426" t="str">
        <f t="shared" si="315"/>
        <v>2024年1季度</v>
      </c>
      <c r="O521" s="426" t="str">
        <f t="shared" si="315"/>
        <v>2024年1季度</v>
      </c>
      <c r="P521" s="426" t="str">
        <f t="shared" si="315"/>
        <v>2024年1季度</v>
      </c>
      <c r="Q521" s="426" t="str">
        <f t="shared" si="315"/>
        <v>2024年1季度</v>
      </c>
      <c r="R521" s="426" t="str">
        <f t="shared" si="315"/>
        <v>2024年1季度</v>
      </c>
      <c r="S521" s="426" t="str">
        <f t="shared" si="315"/>
        <v>2024年1季度</v>
      </c>
      <c r="T521" s="426" t="str">
        <f t="shared" si="315"/>
        <v>2024年1季度</v>
      </c>
      <c r="U521" s="426" t="str">
        <f t="shared" si="315"/>
        <v>2024年1季度</v>
      </c>
      <c r="V521" s="426" t="str">
        <f t="shared" si="315"/>
        <v>2024年1季度</v>
      </c>
      <c r="W521" s="426" t="str">
        <f t="shared" si="315"/>
        <v>2024年1季度</v>
      </c>
      <c r="X521" s="426" t="str">
        <f t="shared" si="315"/>
        <v>2024年1季度</v>
      </c>
      <c r="Y521" s="426" t="str">
        <f t="shared" si="315"/>
        <v>2024年1季度</v>
      </c>
      <c r="Z521" s="426" t="str">
        <f t="shared" si="315"/>
        <v>2024年1季度</v>
      </c>
      <c r="AA521" s="426" t="str">
        <f t="shared" si="315"/>
        <v>2024年1季度</v>
      </c>
      <c r="AB521" s="426" t="str">
        <f t="shared" si="315"/>
        <v>2024年1季度</v>
      </c>
      <c r="AC521" s="426" t="str">
        <f t="shared" si="315"/>
        <v>2024年1季度</v>
      </c>
      <c r="AD521" s="78"/>
      <c r="AE521" s="78"/>
      <c r="AF521" s="78"/>
      <c r="AG521" s="78"/>
      <c r="AH521" s="78"/>
      <c r="AI521" s="78"/>
      <c r="AJ521" s="78"/>
      <c r="AK521" s="78"/>
      <c r="AL521" s="78"/>
      <c r="AM521" s="78"/>
      <c r="AN521" s="78"/>
      <c r="AO521" s="78"/>
      <c r="AP521" s="78"/>
      <c r="AQ521" s="78"/>
      <c r="AR521" s="78"/>
      <c r="AS521" s="78"/>
      <c r="AT521" s="78"/>
      <c r="AU521" s="78"/>
      <c r="AV521" s="78"/>
      <c r="AW521" s="78"/>
    </row>
    <row r="522" spans="1:49" hidden="1">
      <c r="A522" s="85"/>
      <c r="B522" s="85"/>
      <c r="C522" s="85"/>
      <c r="D522" s="78"/>
      <c r="E522" s="513" t="str">
        <f>AC$3&amp;"年"&amp;J$4&amp;"季度"</f>
        <v>2024年2季度</v>
      </c>
      <c r="F522" s="426" t="str">
        <f t="shared" ref="F522:AD522" si="316">E522</f>
        <v>2024年2季度</v>
      </c>
      <c r="G522" s="426" t="str">
        <f t="shared" si="316"/>
        <v>2024年2季度</v>
      </c>
      <c r="H522" s="426" t="str">
        <f t="shared" si="316"/>
        <v>2024年2季度</v>
      </c>
      <c r="I522" s="426" t="str">
        <f t="shared" si="316"/>
        <v>2024年2季度</v>
      </c>
      <c r="J522" s="426" t="str">
        <f t="shared" si="316"/>
        <v>2024年2季度</v>
      </c>
      <c r="K522" s="426" t="str">
        <f t="shared" si="316"/>
        <v>2024年2季度</v>
      </c>
      <c r="L522" s="426" t="str">
        <f t="shared" si="316"/>
        <v>2024年2季度</v>
      </c>
      <c r="M522" s="426" t="str">
        <f t="shared" si="316"/>
        <v>2024年2季度</v>
      </c>
      <c r="N522" s="426" t="str">
        <f t="shared" si="316"/>
        <v>2024年2季度</v>
      </c>
      <c r="O522" s="426" t="str">
        <f t="shared" si="316"/>
        <v>2024年2季度</v>
      </c>
      <c r="P522" s="426" t="str">
        <f t="shared" si="316"/>
        <v>2024年2季度</v>
      </c>
      <c r="Q522" s="426" t="str">
        <f t="shared" si="316"/>
        <v>2024年2季度</v>
      </c>
      <c r="R522" s="426" t="str">
        <f t="shared" si="316"/>
        <v>2024年2季度</v>
      </c>
      <c r="S522" s="426" t="str">
        <f t="shared" si="316"/>
        <v>2024年2季度</v>
      </c>
      <c r="T522" s="426" t="str">
        <f t="shared" si="316"/>
        <v>2024年2季度</v>
      </c>
      <c r="U522" s="426" t="str">
        <f t="shared" si="316"/>
        <v>2024年2季度</v>
      </c>
      <c r="V522" s="426" t="str">
        <f t="shared" si="316"/>
        <v>2024年2季度</v>
      </c>
      <c r="W522" s="426" t="str">
        <f t="shared" si="316"/>
        <v>2024年2季度</v>
      </c>
      <c r="X522" s="426" t="str">
        <f t="shared" si="316"/>
        <v>2024年2季度</v>
      </c>
      <c r="Y522" s="426" t="str">
        <f t="shared" si="316"/>
        <v>2024年2季度</v>
      </c>
      <c r="Z522" s="426" t="str">
        <f t="shared" si="316"/>
        <v>2024年2季度</v>
      </c>
      <c r="AA522" s="426" t="str">
        <f t="shared" si="316"/>
        <v>2024年2季度</v>
      </c>
      <c r="AB522" s="426" t="str">
        <f t="shared" si="316"/>
        <v>2024年2季度</v>
      </c>
      <c r="AC522" s="426" t="str">
        <f t="shared" si="316"/>
        <v>2024年2季度</v>
      </c>
      <c r="AD522" s="426" t="str">
        <f t="shared" si="316"/>
        <v>2024年2季度</v>
      </c>
      <c r="AE522" s="78"/>
      <c r="AF522" s="78"/>
      <c r="AG522" s="78"/>
      <c r="AH522" s="78"/>
      <c r="AI522" s="78"/>
      <c r="AJ522" s="78"/>
      <c r="AK522" s="78"/>
      <c r="AL522" s="78"/>
      <c r="AM522" s="78"/>
      <c r="AN522" s="78"/>
      <c r="AO522" s="78"/>
      <c r="AP522" s="78"/>
      <c r="AQ522" s="78"/>
      <c r="AR522" s="78"/>
      <c r="AS522" s="78"/>
      <c r="AT522" s="78"/>
      <c r="AU522" s="78"/>
      <c r="AV522" s="78"/>
      <c r="AW522" s="78"/>
    </row>
    <row r="523" spans="1:49" hidden="1">
      <c r="A523" s="85"/>
      <c r="B523" s="85"/>
      <c r="C523" s="85"/>
      <c r="D523" s="78"/>
      <c r="E523" s="513" t="str">
        <f>AC$3&amp;"年"&amp;K$4&amp;"季度"</f>
        <v>2024年3季度</v>
      </c>
      <c r="F523" s="426" t="str">
        <f t="shared" ref="F523:AE523" si="317">E523</f>
        <v>2024年3季度</v>
      </c>
      <c r="G523" s="426" t="str">
        <f t="shared" si="317"/>
        <v>2024年3季度</v>
      </c>
      <c r="H523" s="426" t="str">
        <f t="shared" si="317"/>
        <v>2024年3季度</v>
      </c>
      <c r="I523" s="426" t="str">
        <f t="shared" si="317"/>
        <v>2024年3季度</v>
      </c>
      <c r="J523" s="426" t="str">
        <f t="shared" si="317"/>
        <v>2024年3季度</v>
      </c>
      <c r="K523" s="426" t="str">
        <f t="shared" si="317"/>
        <v>2024年3季度</v>
      </c>
      <c r="L523" s="426" t="str">
        <f t="shared" si="317"/>
        <v>2024年3季度</v>
      </c>
      <c r="M523" s="426" t="str">
        <f t="shared" si="317"/>
        <v>2024年3季度</v>
      </c>
      <c r="N523" s="426" t="str">
        <f t="shared" si="317"/>
        <v>2024年3季度</v>
      </c>
      <c r="O523" s="426" t="str">
        <f t="shared" si="317"/>
        <v>2024年3季度</v>
      </c>
      <c r="P523" s="426" t="str">
        <f t="shared" si="317"/>
        <v>2024年3季度</v>
      </c>
      <c r="Q523" s="426" t="str">
        <f t="shared" si="317"/>
        <v>2024年3季度</v>
      </c>
      <c r="R523" s="426" t="str">
        <f t="shared" si="317"/>
        <v>2024年3季度</v>
      </c>
      <c r="S523" s="426" t="str">
        <f t="shared" si="317"/>
        <v>2024年3季度</v>
      </c>
      <c r="T523" s="426" t="str">
        <f t="shared" si="317"/>
        <v>2024年3季度</v>
      </c>
      <c r="U523" s="426" t="str">
        <f t="shared" si="317"/>
        <v>2024年3季度</v>
      </c>
      <c r="V523" s="426" t="str">
        <f t="shared" si="317"/>
        <v>2024年3季度</v>
      </c>
      <c r="W523" s="426" t="str">
        <f t="shared" si="317"/>
        <v>2024年3季度</v>
      </c>
      <c r="X523" s="426" t="str">
        <f t="shared" si="317"/>
        <v>2024年3季度</v>
      </c>
      <c r="Y523" s="426" t="str">
        <f t="shared" si="317"/>
        <v>2024年3季度</v>
      </c>
      <c r="Z523" s="426" t="str">
        <f t="shared" si="317"/>
        <v>2024年3季度</v>
      </c>
      <c r="AA523" s="426" t="str">
        <f t="shared" si="317"/>
        <v>2024年3季度</v>
      </c>
      <c r="AB523" s="426" t="str">
        <f t="shared" si="317"/>
        <v>2024年3季度</v>
      </c>
      <c r="AC523" s="426" t="str">
        <f t="shared" si="317"/>
        <v>2024年3季度</v>
      </c>
      <c r="AD523" s="426" t="str">
        <f t="shared" si="317"/>
        <v>2024年3季度</v>
      </c>
      <c r="AE523" s="426" t="str">
        <f t="shared" si="317"/>
        <v>2024年3季度</v>
      </c>
      <c r="AF523" s="78"/>
      <c r="AG523" s="78"/>
      <c r="AH523" s="78"/>
      <c r="AI523" s="78"/>
      <c r="AJ523" s="78"/>
      <c r="AK523" s="78"/>
      <c r="AL523" s="78"/>
      <c r="AM523" s="78"/>
      <c r="AN523" s="78"/>
      <c r="AO523" s="78"/>
      <c r="AP523" s="78"/>
      <c r="AQ523" s="78"/>
      <c r="AR523" s="78"/>
      <c r="AS523" s="78"/>
      <c r="AT523" s="78"/>
      <c r="AU523" s="78"/>
      <c r="AV523" s="78"/>
      <c r="AW523" s="78"/>
    </row>
    <row r="524" spans="1:49" hidden="1">
      <c r="A524" s="85"/>
      <c r="B524" s="85"/>
      <c r="C524" s="85"/>
      <c r="D524" s="78"/>
      <c r="E524" s="513" t="str">
        <f>AC$3&amp;"年"&amp;L$4&amp;"季度"</f>
        <v>2024年4季度</v>
      </c>
      <c r="F524" s="426" t="str">
        <f t="shared" ref="F524:AF524" si="318">E524</f>
        <v>2024年4季度</v>
      </c>
      <c r="G524" s="426" t="str">
        <f t="shared" si="318"/>
        <v>2024年4季度</v>
      </c>
      <c r="H524" s="426" t="str">
        <f t="shared" si="318"/>
        <v>2024年4季度</v>
      </c>
      <c r="I524" s="426" t="str">
        <f t="shared" si="318"/>
        <v>2024年4季度</v>
      </c>
      <c r="J524" s="426" t="str">
        <f t="shared" si="318"/>
        <v>2024年4季度</v>
      </c>
      <c r="K524" s="426" t="str">
        <f t="shared" si="318"/>
        <v>2024年4季度</v>
      </c>
      <c r="L524" s="426" t="str">
        <f t="shared" si="318"/>
        <v>2024年4季度</v>
      </c>
      <c r="M524" s="426" t="str">
        <f t="shared" si="318"/>
        <v>2024年4季度</v>
      </c>
      <c r="N524" s="426" t="str">
        <f t="shared" si="318"/>
        <v>2024年4季度</v>
      </c>
      <c r="O524" s="426" t="str">
        <f t="shared" si="318"/>
        <v>2024年4季度</v>
      </c>
      <c r="P524" s="426" t="str">
        <f t="shared" si="318"/>
        <v>2024年4季度</v>
      </c>
      <c r="Q524" s="426" t="str">
        <f t="shared" si="318"/>
        <v>2024年4季度</v>
      </c>
      <c r="R524" s="426" t="str">
        <f t="shared" si="318"/>
        <v>2024年4季度</v>
      </c>
      <c r="S524" s="426" t="str">
        <f t="shared" si="318"/>
        <v>2024年4季度</v>
      </c>
      <c r="T524" s="426" t="str">
        <f t="shared" si="318"/>
        <v>2024年4季度</v>
      </c>
      <c r="U524" s="426" t="str">
        <f t="shared" si="318"/>
        <v>2024年4季度</v>
      </c>
      <c r="V524" s="426" t="str">
        <f t="shared" si="318"/>
        <v>2024年4季度</v>
      </c>
      <c r="W524" s="426" t="str">
        <f t="shared" si="318"/>
        <v>2024年4季度</v>
      </c>
      <c r="X524" s="426" t="str">
        <f t="shared" si="318"/>
        <v>2024年4季度</v>
      </c>
      <c r="Y524" s="426" t="str">
        <f t="shared" si="318"/>
        <v>2024年4季度</v>
      </c>
      <c r="Z524" s="426" t="str">
        <f t="shared" si="318"/>
        <v>2024年4季度</v>
      </c>
      <c r="AA524" s="426" t="str">
        <f t="shared" si="318"/>
        <v>2024年4季度</v>
      </c>
      <c r="AB524" s="426" t="str">
        <f t="shared" si="318"/>
        <v>2024年4季度</v>
      </c>
      <c r="AC524" s="426" t="str">
        <f t="shared" si="318"/>
        <v>2024年4季度</v>
      </c>
      <c r="AD524" s="426" t="str">
        <f t="shared" si="318"/>
        <v>2024年4季度</v>
      </c>
      <c r="AE524" s="426" t="str">
        <f t="shared" si="318"/>
        <v>2024年4季度</v>
      </c>
      <c r="AF524" s="426" t="str">
        <f t="shared" si="318"/>
        <v>2024年4季度</v>
      </c>
      <c r="AG524" s="78"/>
      <c r="AH524" s="78"/>
      <c r="AI524" s="78"/>
      <c r="AJ524" s="78"/>
      <c r="AK524" s="78"/>
      <c r="AL524" s="78"/>
      <c r="AM524" s="78"/>
      <c r="AN524" s="78"/>
      <c r="AO524" s="78"/>
      <c r="AP524" s="78"/>
      <c r="AQ524" s="78"/>
      <c r="AR524" s="78"/>
      <c r="AS524" s="78"/>
      <c r="AT524" s="78"/>
      <c r="AU524" s="78"/>
      <c r="AV524" s="78"/>
      <c r="AW524" s="78"/>
    </row>
    <row r="525" spans="1:49" hidden="1">
      <c r="A525" s="85"/>
      <c r="B525" s="85"/>
      <c r="C525" s="85"/>
      <c r="D525" s="78"/>
      <c r="E525" s="513" t="str">
        <f>AG$3&amp;"年"&amp;E$4&amp;"季度"</f>
        <v>2025年1季度</v>
      </c>
      <c r="F525" s="426" t="str">
        <f t="shared" ref="F525:AG525" si="319">E525</f>
        <v>2025年1季度</v>
      </c>
      <c r="G525" s="426" t="str">
        <f t="shared" si="319"/>
        <v>2025年1季度</v>
      </c>
      <c r="H525" s="426" t="str">
        <f t="shared" si="319"/>
        <v>2025年1季度</v>
      </c>
      <c r="I525" s="426" t="str">
        <f t="shared" si="319"/>
        <v>2025年1季度</v>
      </c>
      <c r="J525" s="426" t="str">
        <f t="shared" si="319"/>
        <v>2025年1季度</v>
      </c>
      <c r="K525" s="426" t="str">
        <f t="shared" si="319"/>
        <v>2025年1季度</v>
      </c>
      <c r="L525" s="426" t="str">
        <f t="shared" si="319"/>
        <v>2025年1季度</v>
      </c>
      <c r="M525" s="426" t="str">
        <f t="shared" si="319"/>
        <v>2025年1季度</v>
      </c>
      <c r="N525" s="426" t="str">
        <f t="shared" si="319"/>
        <v>2025年1季度</v>
      </c>
      <c r="O525" s="426" t="str">
        <f t="shared" si="319"/>
        <v>2025年1季度</v>
      </c>
      <c r="P525" s="426" t="str">
        <f t="shared" si="319"/>
        <v>2025年1季度</v>
      </c>
      <c r="Q525" s="426" t="str">
        <f t="shared" si="319"/>
        <v>2025年1季度</v>
      </c>
      <c r="R525" s="426" t="str">
        <f t="shared" si="319"/>
        <v>2025年1季度</v>
      </c>
      <c r="S525" s="426" t="str">
        <f t="shared" si="319"/>
        <v>2025年1季度</v>
      </c>
      <c r="T525" s="426" t="str">
        <f t="shared" si="319"/>
        <v>2025年1季度</v>
      </c>
      <c r="U525" s="426" t="str">
        <f t="shared" si="319"/>
        <v>2025年1季度</v>
      </c>
      <c r="V525" s="426" t="str">
        <f t="shared" si="319"/>
        <v>2025年1季度</v>
      </c>
      <c r="W525" s="426" t="str">
        <f t="shared" si="319"/>
        <v>2025年1季度</v>
      </c>
      <c r="X525" s="426" t="str">
        <f t="shared" si="319"/>
        <v>2025年1季度</v>
      </c>
      <c r="Y525" s="426" t="str">
        <f t="shared" si="319"/>
        <v>2025年1季度</v>
      </c>
      <c r="Z525" s="426" t="str">
        <f t="shared" si="319"/>
        <v>2025年1季度</v>
      </c>
      <c r="AA525" s="426" t="str">
        <f t="shared" si="319"/>
        <v>2025年1季度</v>
      </c>
      <c r="AB525" s="426" t="str">
        <f t="shared" si="319"/>
        <v>2025年1季度</v>
      </c>
      <c r="AC525" s="426" t="str">
        <f t="shared" si="319"/>
        <v>2025年1季度</v>
      </c>
      <c r="AD525" s="426" t="str">
        <f t="shared" si="319"/>
        <v>2025年1季度</v>
      </c>
      <c r="AE525" s="426" t="str">
        <f t="shared" si="319"/>
        <v>2025年1季度</v>
      </c>
      <c r="AF525" s="426" t="str">
        <f t="shared" si="319"/>
        <v>2025年1季度</v>
      </c>
      <c r="AG525" s="426" t="str">
        <f t="shared" si="319"/>
        <v>2025年1季度</v>
      </c>
      <c r="AH525" s="78"/>
      <c r="AI525" s="78"/>
      <c r="AJ525" s="78"/>
      <c r="AK525" s="78"/>
      <c r="AL525" s="78"/>
      <c r="AM525" s="78"/>
      <c r="AN525" s="78"/>
      <c r="AO525" s="78"/>
      <c r="AP525" s="78"/>
      <c r="AQ525" s="78"/>
      <c r="AR525" s="78"/>
      <c r="AS525" s="78"/>
      <c r="AT525" s="78"/>
      <c r="AU525" s="78"/>
      <c r="AV525" s="78"/>
      <c r="AW525" s="78"/>
    </row>
    <row r="526" spans="1:49" hidden="1">
      <c r="A526" s="85"/>
      <c r="B526" s="85"/>
      <c r="C526" s="85"/>
      <c r="D526" s="78"/>
      <c r="E526" s="513" t="str">
        <f>AG$3&amp;"年"&amp;J$4&amp;"季度"</f>
        <v>2025年2季度</v>
      </c>
      <c r="F526" s="426" t="str">
        <f t="shared" ref="F526:AH526" si="320">E526</f>
        <v>2025年2季度</v>
      </c>
      <c r="G526" s="426" t="str">
        <f t="shared" si="320"/>
        <v>2025年2季度</v>
      </c>
      <c r="H526" s="426" t="str">
        <f t="shared" si="320"/>
        <v>2025年2季度</v>
      </c>
      <c r="I526" s="426" t="str">
        <f t="shared" si="320"/>
        <v>2025年2季度</v>
      </c>
      <c r="J526" s="426" t="str">
        <f t="shared" si="320"/>
        <v>2025年2季度</v>
      </c>
      <c r="K526" s="426" t="str">
        <f t="shared" si="320"/>
        <v>2025年2季度</v>
      </c>
      <c r="L526" s="426" t="str">
        <f t="shared" si="320"/>
        <v>2025年2季度</v>
      </c>
      <c r="M526" s="426" t="str">
        <f t="shared" si="320"/>
        <v>2025年2季度</v>
      </c>
      <c r="N526" s="426" t="str">
        <f t="shared" si="320"/>
        <v>2025年2季度</v>
      </c>
      <c r="O526" s="426" t="str">
        <f t="shared" si="320"/>
        <v>2025年2季度</v>
      </c>
      <c r="P526" s="426" t="str">
        <f t="shared" si="320"/>
        <v>2025年2季度</v>
      </c>
      <c r="Q526" s="426" t="str">
        <f t="shared" si="320"/>
        <v>2025年2季度</v>
      </c>
      <c r="R526" s="426" t="str">
        <f t="shared" si="320"/>
        <v>2025年2季度</v>
      </c>
      <c r="S526" s="426" t="str">
        <f t="shared" si="320"/>
        <v>2025年2季度</v>
      </c>
      <c r="T526" s="426" t="str">
        <f t="shared" si="320"/>
        <v>2025年2季度</v>
      </c>
      <c r="U526" s="426" t="str">
        <f t="shared" si="320"/>
        <v>2025年2季度</v>
      </c>
      <c r="V526" s="426" t="str">
        <f t="shared" si="320"/>
        <v>2025年2季度</v>
      </c>
      <c r="W526" s="426" t="str">
        <f t="shared" si="320"/>
        <v>2025年2季度</v>
      </c>
      <c r="X526" s="426" t="str">
        <f t="shared" si="320"/>
        <v>2025年2季度</v>
      </c>
      <c r="Y526" s="426" t="str">
        <f t="shared" si="320"/>
        <v>2025年2季度</v>
      </c>
      <c r="Z526" s="426" t="str">
        <f t="shared" si="320"/>
        <v>2025年2季度</v>
      </c>
      <c r="AA526" s="426" t="str">
        <f t="shared" si="320"/>
        <v>2025年2季度</v>
      </c>
      <c r="AB526" s="426" t="str">
        <f t="shared" si="320"/>
        <v>2025年2季度</v>
      </c>
      <c r="AC526" s="426" t="str">
        <f t="shared" si="320"/>
        <v>2025年2季度</v>
      </c>
      <c r="AD526" s="426" t="str">
        <f t="shared" si="320"/>
        <v>2025年2季度</v>
      </c>
      <c r="AE526" s="426" t="str">
        <f t="shared" si="320"/>
        <v>2025年2季度</v>
      </c>
      <c r="AF526" s="426" t="str">
        <f t="shared" si="320"/>
        <v>2025年2季度</v>
      </c>
      <c r="AG526" s="426" t="str">
        <f t="shared" si="320"/>
        <v>2025年2季度</v>
      </c>
      <c r="AH526" s="426" t="str">
        <f t="shared" si="320"/>
        <v>2025年2季度</v>
      </c>
      <c r="AI526" s="78"/>
      <c r="AJ526" s="78"/>
      <c r="AK526" s="78"/>
      <c r="AL526" s="78"/>
      <c r="AM526" s="78"/>
      <c r="AN526" s="78"/>
      <c r="AO526" s="78"/>
      <c r="AP526" s="78"/>
      <c r="AQ526" s="78"/>
      <c r="AR526" s="78"/>
      <c r="AS526" s="78"/>
      <c r="AT526" s="78"/>
      <c r="AU526" s="78"/>
      <c r="AV526" s="78"/>
      <c r="AW526" s="78"/>
    </row>
    <row r="527" spans="1:49" hidden="1">
      <c r="A527" s="85"/>
      <c r="B527" s="85"/>
      <c r="C527" s="85"/>
      <c r="D527" s="78"/>
      <c r="E527" s="513" t="str">
        <f>AG$3&amp;"年"&amp;K$4&amp;"季度"</f>
        <v>2025年3季度</v>
      </c>
      <c r="F527" s="426" t="str">
        <f t="shared" ref="F527:AJ528" si="321">E527</f>
        <v>2025年3季度</v>
      </c>
      <c r="G527" s="426" t="str">
        <f t="shared" si="321"/>
        <v>2025年3季度</v>
      </c>
      <c r="H527" s="426" t="str">
        <f t="shared" si="321"/>
        <v>2025年3季度</v>
      </c>
      <c r="I527" s="426" t="str">
        <f t="shared" si="321"/>
        <v>2025年3季度</v>
      </c>
      <c r="J527" s="426" t="str">
        <f t="shared" si="321"/>
        <v>2025年3季度</v>
      </c>
      <c r="K527" s="426" t="str">
        <f t="shared" si="321"/>
        <v>2025年3季度</v>
      </c>
      <c r="L527" s="426" t="str">
        <f t="shared" si="321"/>
        <v>2025年3季度</v>
      </c>
      <c r="M527" s="426" t="str">
        <f t="shared" si="321"/>
        <v>2025年3季度</v>
      </c>
      <c r="N527" s="426" t="str">
        <f t="shared" si="321"/>
        <v>2025年3季度</v>
      </c>
      <c r="O527" s="426" t="str">
        <f t="shared" si="321"/>
        <v>2025年3季度</v>
      </c>
      <c r="P527" s="426" t="str">
        <f t="shared" si="321"/>
        <v>2025年3季度</v>
      </c>
      <c r="Q527" s="426" t="str">
        <f t="shared" si="321"/>
        <v>2025年3季度</v>
      </c>
      <c r="R527" s="426" t="str">
        <f t="shared" si="321"/>
        <v>2025年3季度</v>
      </c>
      <c r="S527" s="426" t="str">
        <f t="shared" si="321"/>
        <v>2025年3季度</v>
      </c>
      <c r="T527" s="426" t="str">
        <f t="shared" si="321"/>
        <v>2025年3季度</v>
      </c>
      <c r="U527" s="426" t="str">
        <f t="shared" si="321"/>
        <v>2025年3季度</v>
      </c>
      <c r="V527" s="426" t="str">
        <f t="shared" si="321"/>
        <v>2025年3季度</v>
      </c>
      <c r="W527" s="426" t="str">
        <f t="shared" si="321"/>
        <v>2025年3季度</v>
      </c>
      <c r="X527" s="426" t="str">
        <f t="shared" si="321"/>
        <v>2025年3季度</v>
      </c>
      <c r="Y527" s="426" t="str">
        <f t="shared" si="321"/>
        <v>2025年3季度</v>
      </c>
      <c r="Z527" s="426" t="str">
        <f t="shared" si="321"/>
        <v>2025年3季度</v>
      </c>
      <c r="AA527" s="426" t="str">
        <f t="shared" si="321"/>
        <v>2025年3季度</v>
      </c>
      <c r="AB527" s="426" t="str">
        <f t="shared" si="321"/>
        <v>2025年3季度</v>
      </c>
      <c r="AC527" s="426" t="str">
        <f t="shared" si="321"/>
        <v>2025年3季度</v>
      </c>
      <c r="AD527" s="426" t="str">
        <f t="shared" si="321"/>
        <v>2025年3季度</v>
      </c>
      <c r="AE527" s="426" t="str">
        <f t="shared" si="321"/>
        <v>2025年3季度</v>
      </c>
      <c r="AF527" s="426" t="str">
        <f t="shared" si="321"/>
        <v>2025年3季度</v>
      </c>
      <c r="AG527" s="426" t="str">
        <f t="shared" si="321"/>
        <v>2025年3季度</v>
      </c>
      <c r="AH527" s="426" t="str">
        <f t="shared" si="321"/>
        <v>2025年3季度</v>
      </c>
      <c r="AI527" s="426" t="str">
        <f t="shared" si="321"/>
        <v>2025年3季度</v>
      </c>
      <c r="AJ527" s="78"/>
      <c r="AK527" s="78"/>
      <c r="AL527" s="78"/>
      <c r="AM527" s="78"/>
      <c r="AN527" s="78"/>
      <c r="AO527" s="78"/>
      <c r="AP527" s="78"/>
      <c r="AQ527" s="78"/>
      <c r="AR527" s="78"/>
      <c r="AS527" s="78"/>
      <c r="AT527" s="78"/>
      <c r="AU527" s="78"/>
      <c r="AV527" s="78"/>
      <c r="AW527" s="78"/>
    </row>
    <row r="528" spans="1:49" hidden="1">
      <c r="A528" s="85"/>
      <c r="B528" s="85"/>
      <c r="C528" s="85"/>
      <c r="D528" s="78"/>
      <c r="E528" s="513" t="str">
        <f>AG$3&amp;"年"&amp;L$4&amp;"季度"</f>
        <v>2025年4季度</v>
      </c>
      <c r="F528" s="426" t="str">
        <f t="shared" ref="F528:AB528" si="322">E528</f>
        <v>2025年4季度</v>
      </c>
      <c r="G528" s="426" t="str">
        <f t="shared" si="322"/>
        <v>2025年4季度</v>
      </c>
      <c r="H528" s="426" t="str">
        <f t="shared" si="322"/>
        <v>2025年4季度</v>
      </c>
      <c r="I528" s="426" t="str">
        <f t="shared" si="322"/>
        <v>2025年4季度</v>
      </c>
      <c r="J528" s="426" t="str">
        <f t="shared" si="322"/>
        <v>2025年4季度</v>
      </c>
      <c r="K528" s="426" t="str">
        <f t="shared" si="322"/>
        <v>2025年4季度</v>
      </c>
      <c r="L528" s="426" t="str">
        <f t="shared" si="322"/>
        <v>2025年4季度</v>
      </c>
      <c r="M528" s="426" t="str">
        <f t="shared" si="322"/>
        <v>2025年4季度</v>
      </c>
      <c r="N528" s="426" t="str">
        <f t="shared" si="322"/>
        <v>2025年4季度</v>
      </c>
      <c r="O528" s="426" t="str">
        <f t="shared" si="322"/>
        <v>2025年4季度</v>
      </c>
      <c r="P528" s="426" t="str">
        <f t="shared" si="322"/>
        <v>2025年4季度</v>
      </c>
      <c r="Q528" s="426" t="str">
        <f t="shared" si="322"/>
        <v>2025年4季度</v>
      </c>
      <c r="R528" s="426" t="str">
        <f t="shared" si="322"/>
        <v>2025年4季度</v>
      </c>
      <c r="S528" s="426" t="str">
        <f t="shared" si="322"/>
        <v>2025年4季度</v>
      </c>
      <c r="T528" s="426" t="str">
        <f t="shared" si="322"/>
        <v>2025年4季度</v>
      </c>
      <c r="U528" s="426" t="str">
        <f t="shared" si="322"/>
        <v>2025年4季度</v>
      </c>
      <c r="V528" s="426" t="str">
        <f t="shared" si="322"/>
        <v>2025年4季度</v>
      </c>
      <c r="W528" s="426" t="str">
        <f t="shared" si="322"/>
        <v>2025年4季度</v>
      </c>
      <c r="X528" s="426" t="str">
        <f t="shared" si="322"/>
        <v>2025年4季度</v>
      </c>
      <c r="Y528" s="426" t="str">
        <f t="shared" si="322"/>
        <v>2025年4季度</v>
      </c>
      <c r="Z528" s="426" t="str">
        <f t="shared" si="322"/>
        <v>2025年4季度</v>
      </c>
      <c r="AA528" s="426" t="str">
        <f t="shared" si="322"/>
        <v>2025年4季度</v>
      </c>
      <c r="AB528" s="426" t="str">
        <f t="shared" si="322"/>
        <v>2025年4季度</v>
      </c>
      <c r="AC528" s="426" t="str">
        <f t="shared" si="321"/>
        <v>2025年4季度</v>
      </c>
      <c r="AD528" s="426" t="str">
        <f t="shared" si="321"/>
        <v>2025年4季度</v>
      </c>
      <c r="AE528" s="426" t="str">
        <f t="shared" si="321"/>
        <v>2025年4季度</v>
      </c>
      <c r="AF528" s="426" t="str">
        <f t="shared" si="321"/>
        <v>2025年4季度</v>
      </c>
      <c r="AG528" s="426" t="str">
        <f t="shared" si="321"/>
        <v>2025年4季度</v>
      </c>
      <c r="AH528" s="426" t="str">
        <f t="shared" si="321"/>
        <v>2025年4季度</v>
      </c>
      <c r="AI528" s="426" t="str">
        <f t="shared" si="321"/>
        <v>2025年4季度</v>
      </c>
      <c r="AJ528" s="426" t="str">
        <f t="shared" si="321"/>
        <v>2025年4季度</v>
      </c>
      <c r="AK528" s="78"/>
      <c r="AL528" s="78"/>
      <c r="AM528" s="78"/>
      <c r="AN528" s="78"/>
      <c r="AO528" s="78"/>
      <c r="AP528" s="78"/>
      <c r="AQ528" s="78"/>
      <c r="AR528" s="78"/>
      <c r="AS528" s="78"/>
      <c r="AT528" s="78"/>
      <c r="AU528" s="78"/>
      <c r="AV528" s="78"/>
      <c r="AW528" s="78"/>
    </row>
    <row r="529" spans="1:49" hidden="1">
      <c r="A529" s="85"/>
      <c r="B529" s="85"/>
      <c r="C529" s="85"/>
      <c r="D529" s="78"/>
      <c r="E529" s="513" t="str">
        <f>AK$3&amp;"年"&amp;E$4&amp;"季度"</f>
        <v>2026年1季度</v>
      </c>
      <c r="F529" s="426" t="str">
        <f t="shared" ref="F529:AK529" si="323">E529</f>
        <v>2026年1季度</v>
      </c>
      <c r="G529" s="426" t="str">
        <f t="shared" si="323"/>
        <v>2026年1季度</v>
      </c>
      <c r="H529" s="426" t="str">
        <f t="shared" si="323"/>
        <v>2026年1季度</v>
      </c>
      <c r="I529" s="426" t="str">
        <f t="shared" si="323"/>
        <v>2026年1季度</v>
      </c>
      <c r="J529" s="426" t="str">
        <f t="shared" si="323"/>
        <v>2026年1季度</v>
      </c>
      <c r="K529" s="426" t="str">
        <f t="shared" si="323"/>
        <v>2026年1季度</v>
      </c>
      <c r="L529" s="426" t="str">
        <f t="shared" si="323"/>
        <v>2026年1季度</v>
      </c>
      <c r="M529" s="426" t="str">
        <f t="shared" si="323"/>
        <v>2026年1季度</v>
      </c>
      <c r="N529" s="426" t="str">
        <f t="shared" si="323"/>
        <v>2026年1季度</v>
      </c>
      <c r="O529" s="426" t="str">
        <f t="shared" si="323"/>
        <v>2026年1季度</v>
      </c>
      <c r="P529" s="426" t="str">
        <f t="shared" si="323"/>
        <v>2026年1季度</v>
      </c>
      <c r="Q529" s="426" t="str">
        <f t="shared" si="323"/>
        <v>2026年1季度</v>
      </c>
      <c r="R529" s="426" t="str">
        <f t="shared" si="323"/>
        <v>2026年1季度</v>
      </c>
      <c r="S529" s="426" t="str">
        <f t="shared" si="323"/>
        <v>2026年1季度</v>
      </c>
      <c r="T529" s="426" t="str">
        <f t="shared" si="323"/>
        <v>2026年1季度</v>
      </c>
      <c r="U529" s="426" t="str">
        <f t="shared" si="323"/>
        <v>2026年1季度</v>
      </c>
      <c r="V529" s="426" t="str">
        <f t="shared" si="323"/>
        <v>2026年1季度</v>
      </c>
      <c r="W529" s="426" t="str">
        <f t="shared" si="323"/>
        <v>2026年1季度</v>
      </c>
      <c r="X529" s="426" t="str">
        <f t="shared" si="323"/>
        <v>2026年1季度</v>
      </c>
      <c r="Y529" s="426" t="str">
        <f t="shared" si="323"/>
        <v>2026年1季度</v>
      </c>
      <c r="Z529" s="426" t="str">
        <f t="shared" si="323"/>
        <v>2026年1季度</v>
      </c>
      <c r="AA529" s="426" t="str">
        <f t="shared" si="323"/>
        <v>2026年1季度</v>
      </c>
      <c r="AB529" s="426" t="str">
        <f t="shared" si="323"/>
        <v>2026年1季度</v>
      </c>
      <c r="AC529" s="426" t="str">
        <f t="shared" si="323"/>
        <v>2026年1季度</v>
      </c>
      <c r="AD529" s="426" t="str">
        <f t="shared" si="323"/>
        <v>2026年1季度</v>
      </c>
      <c r="AE529" s="426" t="str">
        <f t="shared" si="323"/>
        <v>2026年1季度</v>
      </c>
      <c r="AF529" s="426" t="str">
        <f t="shared" si="323"/>
        <v>2026年1季度</v>
      </c>
      <c r="AG529" s="426" t="str">
        <f t="shared" si="323"/>
        <v>2026年1季度</v>
      </c>
      <c r="AH529" s="426" t="str">
        <f t="shared" si="323"/>
        <v>2026年1季度</v>
      </c>
      <c r="AI529" s="426" t="str">
        <f t="shared" si="323"/>
        <v>2026年1季度</v>
      </c>
      <c r="AJ529" s="426" t="str">
        <f t="shared" si="323"/>
        <v>2026年1季度</v>
      </c>
      <c r="AK529" s="426" t="str">
        <f t="shared" si="323"/>
        <v>2026年1季度</v>
      </c>
      <c r="AL529" s="78"/>
      <c r="AM529" s="78"/>
      <c r="AN529" s="78"/>
      <c r="AO529" s="78"/>
      <c r="AP529" s="78"/>
      <c r="AQ529" s="78"/>
      <c r="AR529" s="78"/>
      <c r="AS529" s="78"/>
      <c r="AT529" s="78"/>
      <c r="AU529" s="78"/>
      <c r="AV529" s="78"/>
      <c r="AW529" s="78"/>
    </row>
    <row r="530" spans="1:49" hidden="1">
      <c r="A530" s="85"/>
      <c r="B530" s="85"/>
      <c r="C530" s="85"/>
      <c r="D530" s="78"/>
      <c r="E530" s="513" t="str">
        <f>AK$3&amp;"年"&amp;J$4&amp;"季度"</f>
        <v>2026年2季度</v>
      </c>
      <c r="F530" s="426" t="str">
        <f t="shared" ref="F530:AK530" si="324">E530</f>
        <v>2026年2季度</v>
      </c>
      <c r="G530" s="426" t="str">
        <f t="shared" si="324"/>
        <v>2026年2季度</v>
      </c>
      <c r="H530" s="426" t="str">
        <f t="shared" si="324"/>
        <v>2026年2季度</v>
      </c>
      <c r="I530" s="426" t="str">
        <f t="shared" si="324"/>
        <v>2026年2季度</v>
      </c>
      <c r="J530" s="426" t="str">
        <f t="shared" si="324"/>
        <v>2026年2季度</v>
      </c>
      <c r="K530" s="426" t="str">
        <f t="shared" si="324"/>
        <v>2026年2季度</v>
      </c>
      <c r="L530" s="426" t="str">
        <f t="shared" si="324"/>
        <v>2026年2季度</v>
      </c>
      <c r="M530" s="426" t="str">
        <f t="shared" si="324"/>
        <v>2026年2季度</v>
      </c>
      <c r="N530" s="426" t="str">
        <f t="shared" si="324"/>
        <v>2026年2季度</v>
      </c>
      <c r="O530" s="426" t="str">
        <f t="shared" si="324"/>
        <v>2026年2季度</v>
      </c>
      <c r="P530" s="426" t="str">
        <f t="shared" si="324"/>
        <v>2026年2季度</v>
      </c>
      <c r="Q530" s="426" t="str">
        <f t="shared" si="324"/>
        <v>2026年2季度</v>
      </c>
      <c r="R530" s="426" t="str">
        <f t="shared" si="324"/>
        <v>2026年2季度</v>
      </c>
      <c r="S530" s="426" t="str">
        <f t="shared" si="324"/>
        <v>2026年2季度</v>
      </c>
      <c r="T530" s="426" t="str">
        <f t="shared" si="324"/>
        <v>2026年2季度</v>
      </c>
      <c r="U530" s="426" t="str">
        <f t="shared" si="324"/>
        <v>2026年2季度</v>
      </c>
      <c r="V530" s="426" t="str">
        <f t="shared" si="324"/>
        <v>2026年2季度</v>
      </c>
      <c r="W530" s="426" t="str">
        <f t="shared" si="324"/>
        <v>2026年2季度</v>
      </c>
      <c r="X530" s="426" t="str">
        <f t="shared" si="324"/>
        <v>2026年2季度</v>
      </c>
      <c r="Y530" s="426" t="str">
        <f t="shared" si="324"/>
        <v>2026年2季度</v>
      </c>
      <c r="Z530" s="426" t="str">
        <f t="shared" si="324"/>
        <v>2026年2季度</v>
      </c>
      <c r="AA530" s="426" t="str">
        <f t="shared" si="324"/>
        <v>2026年2季度</v>
      </c>
      <c r="AB530" s="426" t="str">
        <f t="shared" si="324"/>
        <v>2026年2季度</v>
      </c>
      <c r="AC530" s="426" t="str">
        <f t="shared" si="324"/>
        <v>2026年2季度</v>
      </c>
      <c r="AD530" s="426" t="str">
        <f t="shared" si="324"/>
        <v>2026年2季度</v>
      </c>
      <c r="AE530" s="426" t="str">
        <f t="shared" si="324"/>
        <v>2026年2季度</v>
      </c>
      <c r="AF530" s="426" t="str">
        <f t="shared" si="324"/>
        <v>2026年2季度</v>
      </c>
      <c r="AG530" s="426" t="str">
        <f t="shared" si="324"/>
        <v>2026年2季度</v>
      </c>
      <c r="AH530" s="426" t="str">
        <f t="shared" si="324"/>
        <v>2026年2季度</v>
      </c>
      <c r="AI530" s="426" t="str">
        <f t="shared" si="324"/>
        <v>2026年2季度</v>
      </c>
      <c r="AJ530" s="426" t="str">
        <f t="shared" si="324"/>
        <v>2026年2季度</v>
      </c>
      <c r="AK530" s="426" t="str">
        <f t="shared" si="324"/>
        <v>2026年2季度</v>
      </c>
      <c r="AL530" s="426" t="str">
        <f t="shared" ref="AL530:AN532" si="325">AK530</f>
        <v>2026年2季度</v>
      </c>
      <c r="AM530" s="78"/>
      <c r="AN530" s="78"/>
      <c r="AO530" s="78"/>
      <c r="AP530" s="78"/>
      <c r="AQ530" s="78"/>
      <c r="AR530" s="78"/>
      <c r="AS530" s="78"/>
      <c r="AT530" s="78"/>
      <c r="AU530" s="78"/>
      <c r="AV530" s="78"/>
      <c r="AW530" s="78"/>
    </row>
    <row r="531" spans="1:49" hidden="1">
      <c r="A531" s="85"/>
      <c r="B531" s="85"/>
      <c r="C531" s="85"/>
      <c r="D531" s="78"/>
      <c r="E531" s="513" t="str">
        <f>AK$3&amp;"年"&amp;K$4&amp;"季度"</f>
        <v>2026年3季度</v>
      </c>
      <c r="F531" s="426" t="str">
        <f t="shared" ref="F531:AK531" si="326">E531</f>
        <v>2026年3季度</v>
      </c>
      <c r="G531" s="426" t="str">
        <f t="shared" si="326"/>
        <v>2026年3季度</v>
      </c>
      <c r="H531" s="426" t="str">
        <f t="shared" si="326"/>
        <v>2026年3季度</v>
      </c>
      <c r="I531" s="426" t="str">
        <f t="shared" si="326"/>
        <v>2026年3季度</v>
      </c>
      <c r="J531" s="426" t="str">
        <f t="shared" si="326"/>
        <v>2026年3季度</v>
      </c>
      <c r="K531" s="426" t="str">
        <f t="shared" si="326"/>
        <v>2026年3季度</v>
      </c>
      <c r="L531" s="426" t="str">
        <f t="shared" si="326"/>
        <v>2026年3季度</v>
      </c>
      <c r="M531" s="426" t="str">
        <f t="shared" si="326"/>
        <v>2026年3季度</v>
      </c>
      <c r="N531" s="426" t="str">
        <f t="shared" si="326"/>
        <v>2026年3季度</v>
      </c>
      <c r="O531" s="426" t="str">
        <f t="shared" si="326"/>
        <v>2026年3季度</v>
      </c>
      <c r="P531" s="426" t="str">
        <f t="shared" si="326"/>
        <v>2026年3季度</v>
      </c>
      <c r="Q531" s="426" t="str">
        <f t="shared" si="326"/>
        <v>2026年3季度</v>
      </c>
      <c r="R531" s="426" t="str">
        <f t="shared" si="326"/>
        <v>2026年3季度</v>
      </c>
      <c r="S531" s="426" t="str">
        <f t="shared" si="326"/>
        <v>2026年3季度</v>
      </c>
      <c r="T531" s="426" t="str">
        <f t="shared" si="326"/>
        <v>2026年3季度</v>
      </c>
      <c r="U531" s="426" t="str">
        <f t="shared" si="326"/>
        <v>2026年3季度</v>
      </c>
      <c r="V531" s="426" t="str">
        <f t="shared" si="326"/>
        <v>2026年3季度</v>
      </c>
      <c r="W531" s="426" t="str">
        <f t="shared" si="326"/>
        <v>2026年3季度</v>
      </c>
      <c r="X531" s="426" t="str">
        <f t="shared" si="326"/>
        <v>2026年3季度</v>
      </c>
      <c r="Y531" s="426" t="str">
        <f t="shared" si="326"/>
        <v>2026年3季度</v>
      </c>
      <c r="Z531" s="426" t="str">
        <f t="shared" si="326"/>
        <v>2026年3季度</v>
      </c>
      <c r="AA531" s="426" t="str">
        <f t="shared" si="326"/>
        <v>2026年3季度</v>
      </c>
      <c r="AB531" s="426" t="str">
        <f t="shared" si="326"/>
        <v>2026年3季度</v>
      </c>
      <c r="AC531" s="426" t="str">
        <f t="shared" si="326"/>
        <v>2026年3季度</v>
      </c>
      <c r="AD531" s="426" t="str">
        <f t="shared" si="326"/>
        <v>2026年3季度</v>
      </c>
      <c r="AE531" s="426" t="str">
        <f t="shared" si="326"/>
        <v>2026年3季度</v>
      </c>
      <c r="AF531" s="426" t="str">
        <f t="shared" si="326"/>
        <v>2026年3季度</v>
      </c>
      <c r="AG531" s="426" t="str">
        <f t="shared" si="326"/>
        <v>2026年3季度</v>
      </c>
      <c r="AH531" s="426" t="str">
        <f t="shared" si="326"/>
        <v>2026年3季度</v>
      </c>
      <c r="AI531" s="426" t="str">
        <f t="shared" si="326"/>
        <v>2026年3季度</v>
      </c>
      <c r="AJ531" s="426" t="str">
        <f t="shared" si="326"/>
        <v>2026年3季度</v>
      </c>
      <c r="AK531" s="426" t="str">
        <f t="shared" si="326"/>
        <v>2026年3季度</v>
      </c>
      <c r="AL531" s="426" t="str">
        <f t="shared" si="325"/>
        <v>2026年3季度</v>
      </c>
      <c r="AM531" s="426" t="str">
        <f t="shared" si="325"/>
        <v>2026年3季度</v>
      </c>
      <c r="AN531" s="78"/>
      <c r="AO531" s="78"/>
      <c r="AP531" s="78"/>
      <c r="AQ531" s="78"/>
      <c r="AR531" s="78"/>
      <c r="AS531" s="78"/>
      <c r="AT531" s="78"/>
      <c r="AU531" s="78"/>
      <c r="AV531" s="78"/>
      <c r="AW531" s="78"/>
    </row>
    <row r="532" spans="1:49" hidden="1">
      <c r="A532" s="85"/>
      <c r="B532" s="85"/>
      <c r="C532" s="85"/>
      <c r="D532" s="78"/>
      <c r="E532" s="513" t="str">
        <f>AK$3&amp;"年"&amp;L$4&amp;"季度"</f>
        <v>2026年4季度</v>
      </c>
      <c r="F532" s="426" t="str">
        <f t="shared" ref="F532:AK532" si="327">E532</f>
        <v>2026年4季度</v>
      </c>
      <c r="G532" s="426" t="str">
        <f t="shared" si="327"/>
        <v>2026年4季度</v>
      </c>
      <c r="H532" s="426" t="str">
        <f t="shared" si="327"/>
        <v>2026年4季度</v>
      </c>
      <c r="I532" s="426" t="str">
        <f t="shared" si="327"/>
        <v>2026年4季度</v>
      </c>
      <c r="J532" s="426" t="str">
        <f t="shared" si="327"/>
        <v>2026年4季度</v>
      </c>
      <c r="K532" s="426" t="str">
        <f t="shared" si="327"/>
        <v>2026年4季度</v>
      </c>
      <c r="L532" s="426" t="str">
        <f t="shared" si="327"/>
        <v>2026年4季度</v>
      </c>
      <c r="M532" s="426" t="str">
        <f t="shared" si="327"/>
        <v>2026年4季度</v>
      </c>
      <c r="N532" s="426" t="str">
        <f t="shared" si="327"/>
        <v>2026年4季度</v>
      </c>
      <c r="O532" s="426" t="str">
        <f t="shared" si="327"/>
        <v>2026年4季度</v>
      </c>
      <c r="P532" s="426" t="str">
        <f t="shared" si="327"/>
        <v>2026年4季度</v>
      </c>
      <c r="Q532" s="426" t="str">
        <f t="shared" si="327"/>
        <v>2026年4季度</v>
      </c>
      <c r="R532" s="426" t="str">
        <f t="shared" si="327"/>
        <v>2026年4季度</v>
      </c>
      <c r="S532" s="426" t="str">
        <f t="shared" si="327"/>
        <v>2026年4季度</v>
      </c>
      <c r="T532" s="426" t="str">
        <f t="shared" si="327"/>
        <v>2026年4季度</v>
      </c>
      <c r="U532" s="426" t="str">
        <f t="shared" si="327"/>
        <v>2026年4季度</v>
      </c>
      <c r="V532" s="426" t="str">
        <f t="shared" si="327"/>
        <v>2026年4季度</v>
      </c>
      <c r="W532" s="426" t="str">
        <f t="shared" si="327"/>
        <v>2026年4季度</v>
      </c>
      <c r="X532" s="426" t="str">
        <f t="shared" si="327"/>
        <v>2026年4季度</v>
      </c>
      <c r="Y532" s="426" t="str">
        <f t="shared" si="327"/>
        <v>2026年4季度</v>
      </c>
      <c r="Z532" s="426" t="str">
        <f t="shared" si="327"/>
        <v>2026年4季度</v>
      </c>
      <c r="AA532" s="426" t="str">
        <f t="shared" si="327"/>
        <v>2026年4季度</v>
      </c>
      <c r="AB532" s="426" t="str">
        <f t="shared" si="327"/>
        <v>2026年4季度</v>
      </c>
      <c r="AC532" s="426" t="str">
        <f t="shared" si="327"/>
        <v>2026年4季度</v>
      </c>
      <c r="AD532" s="426" t="str">
        <f t="shared" si="327"/>
        <v>2026年4季度</v>
      </c>
      <c r="AE532" s="426" t="str">
        <f t="shared" si="327"/>
        <v>2026年4季度</v>
      </c>
      <c r="AF532" s="426" t="str">
        <f t="shared" si="327"/>
        <v>2026年4季度</v>
      </c>
      <c r="AG532" s="426" t="str">
        <f t="shared" si="327"/>
        <v>2026年4季度</v>
      </c>
      <c r="AH532" s="426" t="str">
        <f t="shared" si="327"/>
        <v>2026年4季度</v>
      </c>
      <c r="AI532" s="426" t="str">
        <f t="shared" si="327"/>
        <v>2026年4季度</v>
      </c>
      <c r="AJ532" s="426" t="str">
        <f t="shared" si="327"/>
        <v>2026年4季度</v>
      </c>
      <c r="AK532" s="426" t="str">
        <f t="shared" si="327"/>
        <v>2026年4季度</v>
      </c>
      <c r="AL532" s="426" t="str">
        <f t="shared" si="325"/>
        <v>2026年4季度</v>
      </c>
      <c r="AM532" s="426" t="str">
        <f t="shared" si="325"/>
        <v>2026年4季度</v>
      </c>
      <c r="AN532" s="426" t="str">
        <f t="shared" si="325"/>
        <v>2026年4季度</v>
      </c>
      <c r="AO532" s="78"/>
      <c r="AP532" s="78"/>
      <c r="AQ532" s="78"/>
      <c r="AR532" s="78"/>
      <c r="AS532" s="78"/>
      <c r="AT532" s="78"/>
      <c r="AU532" s="78"/>
      <c r="AV532" s="78"/>
      <c r="AW532" s="78"/>
    </row>
    <row r="533" spans="1:49" hidden="1">
      <c r="A533" s="85"/>
      <c r="B533" s="85"/>
      <c r="C533" s="85"/>
      <c r="D533" s="78"/>
      <c r="E533" s="513" t="str">
        <f>AO$3&amp;"年"&amp;E$4&amp;"季度"</f>
        <v>2027年1季度</v>
      </c>
      <c r="F533" s="426" t="str">
        <f t="shared" ref="F533:AO533" si="328">E533</f>
        <v>2027年1季度</v>
      </c>
      <c r="G533" s="426" t="str">
        <f t="shared" si="328"/>
        <v>2027年1季度</v>
      </c>
      <c r="H533" s="426" t="str">
        <f t="shared" si="328"/>
        <v>2027年1季度</v>
      </c>
      <c r="I533" s="426" t="str">
        <f t="shared" si="328"/>
        <v>2027年1季度</v>
      </c>
      <c r="J533" s="426" t="str">
        <f t="shared" si="328"/>
        <v>2027年1季度</v>
      </c>
      <c r="K533" s="426" t="str">
        <f t="shared" si="328"/>
        <v>2027年1季度</v>
      </c>
      <c r="L533" s="426" t="str">
        <f t="shared" si="328"/>
        <v>2027年1季度</v>
      </c>
      <c r="M533" s="426" t="str">
        <f t="shared" si="328"/>
        <v>2027年1季度</v>
      </c>
      <c r="N533" s="426" t="str">
        <f t="shared" si="328"/>
        <v>2027年1季度</v>
      </c>
      <c r="O533" s="426" t="str">
        <f t="shared" si="328"/>
        <v>2027年1季度</v>
      </c>
      <c r="P533" s="426" t="str">
        <f t="shared" si="328"/>
        <v>2027年1季度</v>
      </c>
      <c r="Q533" s="426" t="str">
        <f t="shared" si="328"/>
        <v>2027年1季度</v>
      </c>
      <c r="R533" s="426" t="str">
        <f t="shared" si="328"/>
        <v>2027年1季度</v>
      </c>
      <c r="S533" s="426" t="str">
        <f t="shared" si="328"/>
        <v>2027年1季度</v>
      </c>
      <c r="T533" s="426" t="str">
        <f t="shared" si="328"/>
        <v>2027年1季度</v>
      </c>
      <c r="U533" s="426" t="str">
        <f t="shared" si="328"/>
        <v>2027年1季度</v>
      </c>
      <c r="V533" s="426" t="str">
        <f t="shared" si="328"/>
        <v>2027年1季度</v>
      </c>
      <c r="W533" s="426" t="str">
        <f t="shared" si="328"/>
        <v>2027年1季度</v>
      </c>
      <c r="X533" s="426" t="str">
        <f t="shared" si="328"/>
        <v>2027年1季度</v>
      </c>
      <c r="Y533" s="426" t="str">
        <f t="shared" si="328"/>
        <v>2027年1季度</v>
      </c>
      <c r="Z533" s="426" t="str">
        <f t="shared" si="328"/>
        <v>2027年1季度</v>
      </c>
      <c r="AA533" s="426" t="str">
        <f t="shared" si="328"/>
        <v>2027年1季度</v>
      </c>
      <c r="AB533" s="426" t="str">
        <f t="shared" si="328"/>
        <v>2027年1季度</v>
      </c>
      <c r="AC533" s="426" t="str">
        <f t="shared" si="328"/>
        <v>2027年1季度</v>
      </c>
      <c r="AD533" s="426" t="str">
        <f t="shared" si="328"/>
        <v>2027年1季度</v>
      </c>
      <c r="AE533" s="426" t="str">
        <f t="shared" si="328"/>
        <v>2027年1季度</v>
      </c>
      <c r="AF533" s="426" t="str">
        <f t="shared" si="328"/>
        <v>2027年1季度</v>
      </c>
      <c r="AG533" s="426" t="str">
        <f t="shared" si="328"/>
        <v>2027年1季度</v>
      </c>
      <c r="AH533" s="426" t="str">
        <f t="shared" si="328"/>
        <v>2027年1季度</v>
      </c>
      <c r="AI533" s="426" t="str">
        <f t="shared" si="328"/>
        <v>2027年1季度</v>
      </c>
      <c r="AJ533" s="426" t="str">
        <f t="shared" si="328"/>
        <v>2027年1季度</v>
      </c>
      <c r="AK533" s="426" t="str">
        <f t="shared" si="328"/>
        <v>2027年1季度</v>
      </c>
      <c r="AL533" s="426" t="str">
        <f t="shared" si="328"/>
        <v>2027年1季度</v>
      </c>
      <c r="AM533" s="426" t="str">
        <f t="shared" si="328"/>
        <v>2027年1季度</v>
      </c>
      <c r="AN533" s="426" t="str">
        <f t="shared" si="328"/>
        <v>2027年1季度</v>
      </c>
      <c r="AO533" s="426" t="str">
        <f t="shared" si="328"/>
        <v>2027年1季度</v>
      </c>
      <c r="AP533" s="78"/>
      <c r="AQ533" s="78"/>
      <c r="AR533" s="78"/>
      <c r="AS533" s="78"/>
      <c r="AT533" s="78"/>
      <c r="AU533" s="78"/>
      <c r="AV533" s="78"/>
      <c r="AW533" s="78"/>
    </row>
    <row r="534" spans="1:49" hidden="1">
      <c r="A534" s="85"/>
      <c r="B534" s="85"/>
      <c r="C534" s="85"/>
      <c r="D534" s="78"/>
      <c r="E534" s="513" t="str">
        <f>AO$3&amp;"年"&amp;J$4&amp;"季度"</f>
        <v>2027年2季度</v>
      </c>
      <c r="F534" s="426" t="str">
        <f t="shared" ref="F534:AP534" si="329">E534</f>
        <v>2027年2季度</v>
      </c>
      <c r="G534" s="426" t="str">
        <f t="shared" si="329"/>
        <v>2027年2季度</v>
      </c>
      <c r="H534" s="426" t="str">
        <f t="shared" si="329"/>
        <v>2027年2季度</v>
      </c>
      <c r="I534" s="426" t="str">
        <f t="shared" si="329"/>
        <v>2027年2季度</v>
      </c>
      <c r="J534" s="426" t="str">
        <f t="shared" si="329"/>
        <v>2027年2季度</v>
      </c>
      <c r="K534" s="426" t="str">
        <f t="shared" si="329"/>
        <v>2027年2季度</v>
      </c>
      <c r="L534" s="426" t="str">
        <f t="shared" si="329"/>
        <v>2027年2季度</v>
      </c>
      <c r="M534" s="426" t="str">
        <f t="shared" si="329"/>
        <v>2027年2季度</v>
      </c>
      <c r="N534" s="426" t="str">
        <f t="shared" si="329"/>
        <v>2027年2季度</v>
      </c>
      <c r="O534" s="426" t="str">
        <f t="shared" si="329"/>
        <v>2027年2季度</v>
      </c>
      <c r="P534" s="426" t="str">
        <f t="shared" si="329"/>
        <v>2027年2季度</v>
      </c>
      <c r="Q534" s="426" t="str">
        <f t="shared" si="329"/>
        <v>2027年2季度</v>
      </c>
      <c r="R534" s="426" t="str">
        <f t="shared" si="329"/>
        <v>2027年2季度</v>
      </c>
      <c r="S534" s="426" t="str">
        <f t="shared" si="329"/>
        <v>2027年2季度</v>
      </c>
      <c r="T534" s="426" t="str">
        <f t="shared" si="329"/>
        <v>2027年2季度</v>
      </c>
      <c r="U534" s="426" t="str">
        <f t="shared" si="329"/>
        <v>2027年2季度</v>
      </c>
      <c r="V534" s="426" t="str">
        <f t="shared" si="329"/>
        <v>2027年2季度</v>
      </c>
      <c r="W534" s="426" t="str">
        <f t="shared" si="329"/>
        <v>2027年2季度</v>
      </c>
      <c r="X534" s="426" t="str">
        <f t="shared" si="329"/>
        <v>2027年2季度</v>
      </c>
      <c r="Y534" s="426" t="str">
        <f t="shared" si="329"/>
        <v>2027年2季度</v>
      </c>
      <c r="Z534" s="426" t="str">
        <f t="shared" si="329"/>
        <v>2027年2季度</v>
      </c>
      <c r="AA534" s="426" t="str">
        <f t="shared" si="329"/>
        <v>2027年2季度</v>
      </c>
      <c r="AB534" s="426" t="str">
        <f t="shared" si="329"/>
        <v>2027年2季度</v>
      </c>
      <c r="AC534" s="426" t="str">
        <f t="shared" si="329"/>
        <v>2027年2季度</v>
      </c>
      <c r="AD534" s="426" t="str">
        <f t="shared" si="329"/>
        <v>2027年2季度</v>
      </c>
      <c r="AE534" s="426" t="str">
        <f t="shared" si="329"/>
        <v>2027年2季度</v>
      </c>
      <c r="AF534" s="426" t="str">
        <f t="shared" si="329"/>
        <v>2027年2季度</v>
      </c>
      <c r="AG534" s="426" t="str">
        <f t="shared" si="329"/>
        <v>2027年2季度</v>
      </c>
      <c r="AH534" s="426" t="str">
        <f t="shared" si="329"/>
        <v>2027年2季度</v>
      </c>
      <c r="AI534" s="426" t="str">
        <f t="shared" si="329"/>
        <v>2027年2季度</v>
      </c>
      <c r="AJ534" s="426" t="str">
        <f t="shared" si="329"/>
        <v>2027年2季度</v>
      </c>
      <c r="AK534" s="426" t="str">
        <f t="shared" si="329"/>
        <v>2027年2季度</v>
      </c>
      <c r="AL534" s="426" t="str">
        <f t="shared" si="329"/>
        <v>2027年2季度</v>
      </c>
      <c r="AM534" s="426" t="str">
        <f t="shared" si="329"/>
        <v>2027年2季度</v>
      </c>
      <c r="AN534" s="426" t="str">
        <f t="shared" si="329"/>
        <v>2027年2季度</v>
      </c>
      <c r="AO534" s="426" t="str">
        <f t="shared" si="329"/>
        <v>2027年2季度</v>
      </c>
      <c r="AP534" s="426" t="str">
        <f t="shared" si="329"/>
        <v>2027年2季度</v>
      </c>
      <c r="AQ534" s="78"/>
      <c r="AR534" s="78"/>
      <c r="AS534" s="78"/>
      <c r="AT534" s="78"/>
      <c r="AU534" s="78"/>
      <c r="AV534" s="78"/>
      <c r="AW534" s="78"/>
    </row>
    <row r="535" spans="1:49" hidden="1">
      <c r="A535" s="85"/>
      <c r="B535" s="85"/>
      <c r="C535" s="85"/>
      <c r="D535" s="78"/>
      <c r="E535" s="513" t="str">
        <f>AO$3&amp;"年"&amp;K$4&amp;"季度"</f>
        <v>2027年3季度</v>
      </c>
      <c r="F535" s="426" t="str">
        <f t="shared" ref="F535:AQ535" si="330">E535</f>
        <v>2027年3季度</v>
      </c>
      <c r="G535" s="426" t="str">
        <f t="shared" si="330"/>
        <v>2027年3季度</v>
      </c>
      <c r="H535" s="426" t="str">
        <f t="shared" si="330"/>
        <v>2027年3季度</v>
      </c>
      <c r="I535" s="426" t="str">
        <f t="shared" si="330"/>
        <v>2027年3季度</v>
      </c>
      <c r="J535" s="426" t="str">
        <f t="shared" si="330"/>
        <v>2027年3季度</v>
      </c>
      <c r="K535" s="426" t="str">
        <f t="shared" si="330"/>
        <v>2027年3季度</v>
      </c>
      <c r="L535" s="426" t="str">
        <f t="shared" si="330"/>
        <v>2027年3季度</v>
      </c>
      <c r="M535" s="426" t="str">
        <f t="shared" si="330"/>
        <v>2027年3季度</v>
      </c>
      <c r="N535" s="426" t="str">
        <f t="shared" si="330"/>
        <v>2027年3季度</v>
      </c>
      <c r="O535" s="426" t="str">
        <f t="shared" si="330"/>
        <v>2027年3季度</v>
      </c>
      <c r="P535" s="426" t="str">
        <f t="shared" si="330"/>
        <v>2027年3季度</v>
      </c>
      <c r="Q535" s="426" t="str">
        <f t="shared" si="330"/>
        <v>2027年3季度</v>
      </c>
      <c r="R535" s="426" t="str">
        <f t="shared" si="330"/>
        <v>2027年3季度</v>
      </c>
      <c r="S535" s="426" t="str">
        <f t="shared" si="330"/>
        <v>2027年3季度</v>
      </c>
      <c r="T535" s="426" t="str">
        <f t="shared" si="330"/>
        <v>2027年3季度</v>
      </c>
      <c r="U535" s="426" t="str">
        <f t="shared" si="330"/>
        <v>2027年3季度</v>
      </c>
      <c r="V535" s="426" t="str">
        <f t="shared" si="330"/>
        <v>2027年3季度</v>
      </c>
      <c r="W535" s="426" t="str">
        <f t="shared" si="330"/>
        <v>2027年3季度</v>
      </c>
      <c r="X535" s="426" t="str">
        <f t="shared" si="330"/>
        <v>2027年3季度</v>
      </c>
      <c r="Y535" s="426" t="str">
        <f t="shared" si="330"/>
        <v>2027年3季度</v>
      </c>
      <c r="Z535" s="426" t="str">
        <f t="shared" si="330"/>
        <v>2027年3季度</v>
      </c>
      <c r="AA535" s="426" t="str">
        <f t="shared" si="330"/>
        <v>2027年3季度</v>
      </c>
      <c r="AB535" s="426" t="str">
        <f t="shared" si="330"/>
        <v>2027年3季度</v>
      </c>
      <c r="AC535" s="426" t="str">
        <f t="shared" si="330"/>
        <v>2027年3季度</v>
      </c>
      <c r="AD535" s="426" t="str">
        <f t="shared" si="330"/>
        <v>2027年3季度</v>
      </c>
      <c r="AE535" s="426" t="str">
        <f t="shared" si="330"/>
        <v>2027年3季度</v>
      </c>
      <c r="AF535" s="426" t="str">
        <f t="shared" si="330"/>
        <v>2027年3季度</v>
      </c>
      <c r="AG535" s="426" t="str">
        <f t="shared" si="330"/>
        <v>2027年3季度</v>
      </c>
      <c r="AH535" s="426" t="str">
        <f t="shared" si="330"/>
        <v>2027年3季度</v>
      </c>
      <c r="AI535" s="426" t="str">
        <f t="shared" si="330"/>
        <v>2027年3季度</v>
      </c>
      <c r="AJ535" s="426" t="str">
        <f t="shared" si="330"/>
        <v>2027年3季度</v>
      </c>
      <c r="AK535" s="426" t="str">
        <f t="shared" si="330"/>
        <v>2027年3季度</v>
      </c>
      <c r="AL535" s="426" t="str">
        <f t="shared" si="330"/>
        <v>2027年3季度</v>
      </c>
      <c r="AM535" s="426" t="str">
        <f t="shared" si="330"/>
        <v>2027年3季度</v>
      </c>
      <c r="AN535" s="426" t="str">
        <f t="shared" si="330"/>
        <v>2027年3季度</v>
      </c>
      <c r="AO535" s="426" t="str">
        <f t="shared" si="330"/>
        <v>2027年3季度</v>
      </c>
      <c r="AP535" s="426" t="str">
        <f t="shared" si="330"/>
        <v>2027年3季度</v>
      </c>
      <c r="AQ535" s="426" t="str">
        <f t="shared" si="330"/>
        <v>2027年3季度</v>
      </c>
      <c r="AR535" s="78"/>
      <c r="AS535" s="78"/>
      <c r="AT535" s="78"/>
      <c r="AU535" s="78"/>
      <c r="AV535" s="78"/>
      <c r="AW535" s="78"/>
    </row>
    <row r="536" spans="1:49" hidden="1">
      <c r="A536" s="85"/>
      <c r="B536" s="85"/>
      <c r="C536" s="85"/>
      <c r="D536" s="78"/>
      <c r="E536" s="513" t="str">
        <f>AO$3&amp;"年"&amp;L$4&amp;"季度"</f>
        <v>2027年4季度</v>
      </c>
      <c r="F536" s="426" t="str">
        <f t="shared" ref="F536:AR536" si="331">E536</f>
        <v>2027年4季度</v>
      </c>
      <c r="G536" s="426" t="str">
        <f t="shared" si="331"/>
        <v>2027年4季度</v>
      </c>
      <c r="H536" s="426" t="str">
        <f t="shared" si="331"/>
        <v>2027年4季度</v>
      </c>
      <c r="I536" s="426" t="str">
        <f t="shared" si="331"/>
        <v>2027年4季度</v>
      </c>
      <c r="J536" s="426" t="str">
        <f t="shared" si="331"/>
        <v>2027年4季度</v>
      </c>
      <c r="K536" s="426" t="str">
        <f t="shared" si="331"/>
        <v>2027年4季度</v>
      </c>
      <c r="L536" s="426" t="str">
        <f t="shared" si="331"/>
        <v>2027年4季度</v>
      </c>
      <c r="M536" s="426" t="str">
        <f t="shared" si="331"/>
        <v>2027年4季度</v>
      </c>
      <c r="N536" s="426" t="str">
        <f t="shared" si="331"/>
        <v>2027年4季度</v>
      </c>
      <c r="O536" s="426" t="str">
        <f t="shared" si="331"/>
        <v>2027年4季度</v>
      </c>
      <c r="P536" s="426" t="str">
        <f t="shared" si="331"/>
        <v>2027年4季度</v>
      </c>
      <c r="Q536" s="426" t="str">
        <f t="shared" si="331"/>
        <v>2027年4季度</v>
      </c>
      <c r="R536" s="426" t="str">
        <f t="shared" si="331"/>
        <v>2027年4季度</v>
      </c>
      <c r="S536" s="426" t="str">
        <f t="shared" si="331"/>
        <v>2027年4季度</v>
      </c>
      <c r="T536" s="426" t="str">
        <f t="shared" si="331"/>
        <v>2027年4季度</v>
      </c>
      <c r="U536" s="426" t="str">
        <f t="shared" si="331"/>
        <v>2027年4季度</v>
      </c>
      <c r="V536" s="426" t="str">
        <f t="shared" si="331"/>
        <v>2027年4季度</v>
      </c>
      <c r="W536" s="426" t="str">
        <f t="shared" si="331"/>
        <v>2027年4季度</v>
      </c>
      <c r="X536" s="426" t="str">
        <f t="shared" si="331"/>
        <v>2027年4季度</v>
      </c>
      <c r="Y536" s="426" t="str">
        <f t="shared" si="331"/>
        <v>2027年4季度</v>
      </c>
      <c r="Z536" s="426" t="str">
        <f t="shared" si="331"/>
        <v>2027年4季度</v>
      </c>
      <c r="AA536" s="426" t="str">
        <f t="shared" si="331"/>
        <v>2027年4季度</v>
      </c>
      <c r="AB536" s="426" t="str">
        <f t="shared" si="331"/>
        <v>2027年4季度</v>
      </c>
      <c r="AC536" s="426" t="str">
        <f t="shared" si="331"/>
        <v>2027年4季度</v>
      </c>
      <c r="AD536" s="426" t="str">
        <f t="shared" si="331"/>
        <v>2027年4季度</v>
      </c>
      <c r="AE536" s="426" t="str">
        <f t="shared" si="331"/>
        <v>2027年4季度</v>
      </c>
      <c r="AF536" s="426" t="str">
        <f t="shared" si="331"/>
        <v>2027年4季度</v>
      </c>
      <c r="AG536" s="426" t="str">
        <f t="shared" si="331"/>
        <v>2027年4季度</v>
      </c>
      <c r="AH536" s="426" t="str">
        <f t="shared" si="331"/>
        <v>2027年4季度</v>
      </c>
      <c r="AI536" s="426" t="str">
        <f t="shared" si="331"/>
        <v>2027年4季度</v>
      </c>
      <c r="AJ536" s="426" t="str">
        <f t="shared" si="331"/>
        <v>2027年4季度</v>
      </c>
      <c r="AK536" s="426" t="str">
        <f t="shared" si="331"/>
        <v>2027年4季度</v>
      </c>
      <c r="AL536" s="426" t="str">
        <f t="shared" si="331"/>
        <v>2027年4季度</v>
      </c>
      <c r="AM536" s="426" t="str">
        <f t="shared" si="331"/>
        <v>2027年4季度</v>
      </c>
      <c r="AN536" s="426" t="str">
        <f t="shared" si="331"/>
        <v>2027年4季度</v>
      </c>
      <c r="AO536" s="426" t="str">
        <f t="shared" si="331"/>
        <v>2027年4季度</v>
      </c>
      <c r="AP536" s="426" t="str">
        <f t="shared" si="331"/>
        <v>2027年4季度</v>
      </c>
      <c r="AQ536" s="426" t="str">
        <f t="shared" si="331"/>
        <v>2027年4季度</v>
      </c>
      <c r="AR536" s="426" t="str">
        <f t="shared" si="331"/>
        <v>2027年4季度</v>
      </c>
      <c r="AS536" s="78"/>
      <c r="AT536" s="78"/>
      <c r="AU536" s="78"/>
      <c r="AV536" s="78"/>
      <c r="AW536" s="78"/>
    </row>
    <row r="537" spans="1:49" hidden="1">
      <c r="A537" s="85"/>
      <c r="B537" s="85"/>
      <c r="C537" s="85"/>
      <c r="D537" s="78"/>
      <c r="E537" s="513" t="str">
        <f>AS$3&amp;"年"&amp;E$4&amp;"季度"</f>
        <v>2028年1季度</v>
      </c>
      <c r="F537" s="426" t="str">
        <f t="shared" ref="F537:AS537" si="332">E537</f>
        <v>2028年1季度</v>
      </c>
      <c r="G537" s="426" t="str">
        <f t="shared" si="332"/>
        <v>2028年1季度</v>
      </c>
      <c r="H537" s="426" t="str">
        <f t="shared" si="332"/>
        <v>2028年1季度</v>
      </c>
      <c r="I537" s="426" t="str">
        <f t="shared" si="332"/>
        <v>2028年1季度</v>
      </c>
      <c r="J537" s="426" t="str">
        <f t="shared" si="332"/>
        <v>2028年1季度</v>
      </c>
      <c r="K537" s="426" t="str">
        <f t="shared" si="332"/>
        <v>2028年1季度</v>
      </c>
      <c r="L537" s="426" t="str">
        <f t="shared" si="332"/>
        <v>2028年1季度</v>
      </c>
      <c r="M537" s="426" t="str">
        <f t="shared" si="332"/>
        <v>2028年1季度</v>
      </c>
      <c r="N537" s="426" t="str">
        <f t="shared" si="332"/>
        <v>2028年1季度</v>
      </c>
      <c r="O537" s="426" t="str">
        <f t="shared" si="332"/>
        <v>2028年1季度</v>
      </c>
      <c r="P537" s="426" t="str">
        <f t="shared" si="332"/>
        <v>2028年1季度</v>
      </c>
      <c r="Q537" s="426" t="str">
        <f t="shared" si="332"/>
        <v>2028年1季度</v>
      </c>
      <c r="R537" s="426" t="str">
        <f t="shared" si="332"/>
        <v>2028年1季度</v>
      </c>
      <c r="S537" s="426" t="str">
        <f t="shared" si="332"/>
        <v>2028年1季度</v>
      </c>
      <c r="T537" s="426" t="str">
        <f t="shared" si="332"/>
        <v>2028年1季度</v>
      </c>
      <c r="U537" s="426" t="str">
        <f t="shared" si="332"/>
        <v>2028年1季度</v>
      </c>
      <c r="V537" s="426" t="str">
        <f t="shared" si="332"/>
        <v>2028年1季度</v>
      </c>
      <c r="W537" s="426" t="str">
        <f t="shared" si="332"/>
        <v>2028年1季度</v>
      </c>
      <c r="X537" s="426" t="str">
        <f t="shared" si="332"/>
        <v>2028年1季度</v>
      </c>
      <c r="Y537" s="426" t="str">
        <f t="shared" si="332"/>
        <v>2028年1季度</v>
      </c>
      <c r="Z537" s="426" t="str">
        <f t="shared" si="332"/>
        <v>2028年1季度</v>
      </c>
      <c r="AA537" s="426" t="str">
        <f t="shared" si="332"/>
        <v>2028年1季度</v>
      </c>
      <c r="AB537" s="426" t="str">
        <f t="shared" si="332"/>
        <v>2028年1季度</v>
      </c>
      <c r="AC537" s="426" t="str">
        <f t="shared" si="332"/>
        <v>2028年1季度</v>
      </c>
      <c r="AD537" s="426" t="str">
        <f t="shared" si="332"/>
        <v>2028年1季度</v>
      </c>
      <c r="AE537" s="426" t="str">
        <f t="shared" si="332"/>
        <v>2028年1季度</v>
      </c>
      <c r="AF537" s="426" t="str">
        <f t="shared" si="332"/>
        <v>2028年1季度</v>
      </c>
      <c r="AG537" s="426" t="str">
        <f t="shared" si="332"/>
        <v>2028年1季度</v>
      </c>
      <c r="AH537" s="426" t="str">
        <f t="shared" si="332"/>
        <v>2028年1季度</v>
      </c>
      <c r="AI537" s="426" t="str">
        <f t="shared" si="332"/>
        <v>2028年1季度</v>
      </c>
      <c r="AJ537" s="426" t="str">
        <f t="shared" si="332"/>
        <v>2028年1季度</v>
      </c>
      <c r="AK537" s="426" t="str">
        <f t="shared" si="332"/>
        <v>2028年1季度</v>
      </c>
      <c r="AL537" s="426" t="str">
        <f t="shared" si="332"/>
        <v>2028年1季度</v>
      </c>
      <c r="AM537" s="426" t="str">
        <f t="shared" si="332"/>
        <v>2028年1季度</v>
      </c>
      <c r="AN537" s="426" t="str">
        <f t="shared" si="332"/>
        <v>2028年1季度</v>
      </c>
      <c r="AO537" s="426" t="str">
        <f t="shared" si="332"/>
        <v>2028年1季度</v>
      </c>
      <c r="AP537" s="426" t="str">
        <f t="shared" si="332"/>
        <v>2028年1季度</v>
      </c>
      <c r="AQ537" s="426" t="str">
        <f t="shared" si="332"/>
        <v>2028年1季度</v>
      </c>
      <c r="AR537" s="426" t="str">
        <f t="shared" si="332"/>
        <v>2028年1季度</v>
      </c>
      <c r="AS537" s="426" t="str">
        <f t="shared" si="332"/>
        <v>2028年1季度</v>
      </c>
      <c r="AT537" s="78"/>
      <c r="AU537" s="78"/>
      <c r="AV537" s="78"/>
      <c r="AW537" s="78"/>
    </row>
    <row r="538" spans="1:49" hidden="1">
      <c r="A538" s="85"/>
      <c r="B538" s="85"/>
      <c r="C538" s="85"/>
      <c r="D538" s="78"/>
      <c r="E538" s="513" t="str">
        <f>AS$3&amp;"年"&amp;J$4&amp;"季度"</f>
        <v>2028年2季度</v>
      </c>
      <c r="F538" s="426" t="str">
        <f t="shared" ref="F538:AS538" si="333">E538</f>
        <v>2028年2季度</v>
      </c>
      <c r="G538" s="426" t="str">
        <f t="shared" si="333"/>
        <v>2028年2季度</v>
      </c>
      <c r="H538" s="426" t="str">
        <f t="shared" si="333"/>
        <v>2028年2季度</v>
      </c>
      <c r="I538" s="426" t="str">
        <f t="shared" si="333"/>
        <v>2028年2季度</v>
      </c>
      <c r="J538" s="426" t="str">
        <f t="shared" si="333"/>
        <v>2028年2季度</v>
      </c>
      <c r="K538" s="426" t="str">
        <f t="shared" si="333"/>
        <v>2028年2季度</v>
      </c>
      <c r="L538" s="426" t="str">
        <f t="shared" si="333"/>
        <v>2028年2季度</v>
      </c>
      <c r="M538" s="426" t="str">
        <f t="shared" si="333"/>
        <v>2028年2季度</v>
      </c>
      <c r="N538" s="426" t="str">
        <f t="shared" si="333"/>
        <v>2028年2季度</v>
      </c>
      <c r="O538" s="426" t="str">
        <f t="shared" si="333"/>
        <v>2028年2季度</v>
      </c>
      <c r="P538" s="426" t="str">
        <f t="shared" si="333"/>
        <v>2028年2季度</v>
      </c>
      <c r="Q538" s="426" t="str">
        <f t="shared" si="333"/>
        <v>2028年2季度</v>
      </c>
      <c r="R538" s="426" t="str">
        <f t="shared" si="333"/>
        <v>2028年2季度</v>
      </c>
      <c r="S538" s="426" t="str">
        <f t="shared" si="333"/>
        <v>2028年2季度</v>
      </c>
      <c r="T538" s="426" t="str">
        <f t="shared" si="333"/>
        <v>2028年2季度</v>
      </c>
      <c r="U538" s="426" t="str">
        <f t="shared" si="333"/>
        <v>2028年2季度</v>
      </c>
      <c r="V538" s="426" t="str">
        <f t="shared" si="333"/>
        <v>2028年2季度</v>
      </c>
      <c r="W538" s="426" t="str">
        <f t="shared" si="333"/>
        <v>2028年2季度</v>
      </c>
      <c r="X538" s="426" t="str">
        <f t="shared" si="333"/>
        <v>2028年2季度</v>
      </c>
      <c r="Y538" s="426" t="str">
        <f t="shared" si="333"/>
        <v>2028年2季度</v>
      </c>
      <c r="Z538" s="426" t="str">
        <f t="shared" si="333"/>
        <v>2028年2季度</v>
      </c>
      <c r="AA538" s="426" t="str">
        <f t="shared" si="333"/>
        <v>2028年2季度</v>
      </c>
      <c r="AB538" s="426" t="str">
        <f t="shared" si="333"/>
        <v>2028年2季度</v>
      </c>
      <c r="AC538" s="426" t="str">
        <f t="shared" si="333"/>
        <v>2028年2季度</v>
      </c>
      <c r="AD538" s="426" t="str">
        <f t="shared" si="333"/>
        <v>2028年2季度</v>
      </c>
      <c r="AE538" s="426" t="str">
        <f t="shared" si="333"/>
        <v>2028年2季度</v>
      </c>
      <c r="AF538" s="426" t="str">
        <f t="shared" si="333"/>
        <v>2028年2季度</v>
      </c>
      <c r="AG538" s="426" t="str">
        <f t="shared" si="333"/>
        <v>2028年2季度</v>
      </c>
      <c r="AH538" s="426" t="str">
        <f t="shared" si="333"/>
        <v>2028年2季度</v>
      </c>
      <c r="AI538" s="426" t="str">
        <f t="shared" si="333"/>
        <v>2028年2季度</v>
      </c>
      <c r="AJ538" s="426" t="str">
        <f t="shared" si="333"/>
        <v>2028年2季度</v>
      </c>
      <c r="AK538" s="426" t="str">
        <f t="shared" si="333"/>
        <v>2028年2季度</v>
      </c>
      <c r="AL538" s="426" t="str">
        <f t="shared" si="333"/>
        <v>2028年2季度</v>
      </c>
      <c r="AM538" s="426" t="str">
        <f t="shared" si="333"/>
        <v>2028年2季度</v>
      </c>
      <c r="AN538" s="426" t="str">
        <f t="shared" si="333"/>
        <v>2028年2季度</v>
      </c>
      <c r="AO538" s="426" t="str">
        <f t="shared" si="333"/>
        <v>2028年2季度</v>
      </c>
      <c r="AP538" s="426" t="str">
        <f t="shared" si="333"/>
        <v>2028年2季度</v>
      </c>
      <c r="AQ538" s="426" t="str">
        <f t="shared" si="333"/>
        <v>2028年2季度</v>
      </c>
      <c r="AR538" s="426" t="str">
        <f t="shared" si="333"/>
        <v>2028年2季度</v>
      </c>
      <c r="AS538" s="426" t="str">
        <f t="shared" si="333"/>
        <v>2028年2季度</v>
      </c>
      <c r="AT538" s="426" t="str">
        <f t="shared" ref="AT538:AV540" si="334">AS538</f>
        <v>2028年2季度</v>
      </c>
      <c r="AU538" s="78"/>
      <c r="AV538" s="78"/>
      <c r="AW538" s="78"/>
    </row>
    <row r="539" spans="1:49" hidden="1">
      <c r="A539" s="85"/>
      <c r="B539" s="85"/>
      <c r="C539" s="85"/>
      <c r="D539" s="78"/>
      <c r="E539" s="513" t="str">
        <f>AS$3&amp;"年"&amp;K$4&amp;"季度"</f>
        <v>2028年3季度</v>
      </c>
      <c r="F539" s="426" t="str">
        <f t="shared" ref="F539:AS539" si="335">E539</f>
        <v>2028年3季度</v>
      </c>
      <c r="G539" s="426" t="str">
        <f t="shared" si="335"/>
        <v>2028年3季度</v>
      </c>
      <c r="H539" s="426" t="str">
        <f t="shared" si="335"/>
        <v>2028年3季度</v>
      </c>
      <c r="I539" s="426" t="str">
        <f t="shared" si="335"/>
        <v>2028年3季度</v>
      </c>
      <c r="J539" s="426" t="str">
        <f t="shared" si="335"/>
        <v>2028年3季度</v>
      </c>
      <c r="K539" s="426" t="str">
        <f t="shared" si="335"/>
        <v>2028年3季度</v>
      </c>
      <c r="L539" s="426" t="str">
        <f t="shared" si="335"/>
        <v>2028年3季度</v>
      </c>
      <c r="M539" s="426" t="str">
        <f t="shared" si="335"/>
        <v>2028年3季度</v>
      </c>
      <c r="N539" s="426" t="str">
        <f t="shared" si="335"/>
        <v>2028年3季度</v>
      </c>
      <c r="O539" s="426" t="str">
        <f t="shared" si="335"/>
        <v>2028年3季度</v>
      </c>
      <c r="P539" s="426" t="str">
        <f t="shared" si="335"/>
        <v>2028年3季度</v>
      </c>
      <c r="Q539" s="426" t="str">
        <f t="shared" si="335"/>
        <v>2028年3季度</v>
      </c>
      <c r="R539" s="426" t="str">
        <f t="shared" si="335"/>
        <v>2028年3季度</v>
      </c>
      <c r="S539" s="426" t="str">
        <f t="shared" si="335"/>
        <v>2028年3季度</v>
      </c>
      <c r="T539" s="426" t="str">
        <f t="shared" si="335"/>
        <v>2028年3季度</v>
      </c>
      <c r="U539" s="426" t="str">
        <f t="shared" si="335"/>
        <v>2028年3季度</v>
      </c>
      <c r="V539" s="426" t="str">
        <f t="shared" si="335"/>
        <v>2028年3季度</v>
      </c>
      <c r="W539" s="426" t="str">
        <f t="shared" si="335"/>
        <v>2028年3季度</v>
      </c>
      <c r="X539" s="426" t="str">
        <f t="shared" si="335"/>
        <v>2028年3季度</v>
      </c>
      <c r="Y539" s="426" t="str">
        <f t="shared" si="335"/>
        <v>2028年3季度</v>
      </c>
      <c r="Z539" s="426" t="str">
        <f t="shared" si="335"/>
        <v>2028年3季度</v>
      </c>
      <c r="AA539" s="426" t="str">
        <f t="shared" si="335"/>
        <v>2028年3季度</v>
      </c>
      <c r="AB539" s="426" t="str">
        <f t="shared" si="335"/>
        <v>2028年3季度</v>
      </c>
      <c r="AC539" s="426" t="str">
        <f t="shared" si="335"/>
        <v>2028年3季度</v>
      </c>
      <c r="AD539" s="426" t="str">
        <f t="shared" si="335"/>
        <v>2028年3季度</v>
      </c>
      <c r="AE539" s="426" t="str">
        <f t="shared" si="335"/>
        <v>2028年3季度</v>
      </c>
      <c r="AF539" s="426" t="str">
        <f t="shared" si="335"/>
        <v>2028年3季度</v>
      </c>
      <c r="AG539" s="426" t="str">
        <f t="shared" si="335"/>
        <v>2028年3季度</v>
      </c>
      <c r="AH539" s="426" t="str">
        <f t="shared" si="335"/>
        <v>2028年3季度</v>
      </c>
      <c r="AI539" s="426" t="str">
        <f t="shared" si="335"/>
        <v>2028年3季度</v>
      </c>
      <c r="AJ539" s="426" t="str">
        <f t="shared" si="335"/>
        <v>2028年3季度</v>
      </c>
      <c r="AK539" s="426" t="str">
        <f t="shared" si="335"/>
        <v>2028年3季度</v>
      </c>
      <c r="AL539" s="426" t="str">
        <f t="shared" si="335"/>
        <v>2028年3季度</v>
      </c>
      <c r="AM539" s="426" t="str">
        <f t="shared" si="335"/>
        <v>2028年3季度</v>
      </c>
      <c r="AN539" s="426" t="str">
        <f t="shared" si="335"/>
        <v>2028年3季度</v>
      </c>
      <c r="AO539" s="426" t="str">
        <f t="shared" si="335"/>
        <v>2028年3季度</v>
      </c>
      <c r="AP539" s="426" t="str">
        <f t="shared" si="335"/>
        <v>2028年3季度</v>
      </c>
      <c r="AQ539" s="426" t="str">
        <f t="shared" si="335"/>
        <v>2028年3季度</v>
      </c>
      <c r="AR539" s="426" t="str">
        <f t="shared" si="335"/>
        <v>2028年3季度</v>
      </c>
      <c r="AS539" s="426" t="str">
        <f t="shared" si="335"/>
        <v>2028年3季度</v>
      </c>
      <c r="AT539" s="426" t="str">
        <f t="shared" si="334"/>
        <v>2028年3季度</v>
      </c>
      <c r="AU539" s="426" t="str">
        <f t="shared" si="334"/>
        <v>2028年3季度</v>
      </c>
      <c r="AV539" s="78"/>
      <c r="AW539" s="78"/>
    </row>
    <row r="540" spans="1:49" hidden="1">
      <c r="A540" s="85"/>
      <c r="B540" s="85"/>
      <c r="C540" s="85"/>
      <c r="D540" s="78"/>
      <c r="E540" s="513" t="str">
        <f>AS$3&amp;"年"&amp;L$4&amp;"季度"</f>
        <v>2028年4季度</v>
      </c>
      <c r="F540" s="426" t="str">
        <f t="shared" ref="F540:AS540" si="336">E540</f>
        <v>2028年4季度</v>
      </c>
      <c r="G540" s="426" t="str">
        <f t="shared" si="336"/>
        <v>2028年4季度</v>
      </c>
      <c r="H540" s="426" t="str">
        <f t="shared" si="336"/>
        <v>2028年4季度</v>
      </c>
      <c r="I540" s="426" t="str">
        <f t="shared" si="336"/>
        <v>2028年4季度</v>
      </c>
      <c r="J540" s="426" t="str">
        <f t="shared" si="336"/>
        <v>2028年4季度</v>
      </c>
      <c r="K540" s="426" t="str">
        <f t="shared" si="336"/>
        <v>2028年4季度</v>
      </c>
      <c r="L540" s="426" t="str">
        <f t="shared" si="336"/>
        <v>2028年4季度</v>
      </c>
      <c r="M540" s="426" t="str">
        <f t="shared" si="336"/>
        <v>2028年4季度</v>
      </c>
      <c r="N540" s="426" t="str">
        <f t="shared" si="336"/>
        <v>2028年4季度</v>
      </c>
      <c r="O540" s="426" t="str">
        <f t="shared" si="336"/>
        <v>2028年4季度</v>
      </c>
      <c r="P540" s="426" t="str">
        <f t="shared" si="336"/>
        <v>2028年4季度</v>
      </c>
      <c r="Q540" s="426" t="str">
        <f t="shared" si="336"/>
        <v>2028年4季度</v>
      </c>
      <c r="R540" s="426" t="str">
        <f t="shared" si="336"/>
        <v>2028年4季度</v>
      </c>
      <c r="S540" s="426" t="str">
        <f t="shared" si="336"/>
        <v>2028年4季度</v>
      </c>
      <c r="T540" s="426" t="str">
        <f t="shared" si="336"/>
        <v>2028年4季度</v>
      </c>
      <c r="U540" s="426" t="str">
        <f t="shared" si="336"/>
        <v>2028年4季度</v>
      </c>
      <c r="V540" s="426" t="str">
        <f t="shared" si="336"/>
        <v>2028年4季度</v>
      </c>
      <c r="W540" s="426" t="str">
        <f t="shared" si="336"/>
        <v>2028年4季度</v>
      </c>
      <c r="X540" s="426" t="str">
        <f t="shared" si="336"/>
        <v>2028年4季度</v>
      </c>
      <c r="Y540" s="426" t="str">
        <f t="shared" si="336"/>
        <v>2028年4季度</v>
      </c>
      <c r="Z540" s="426" t="str">
        <f t="shared" si="336"/>
        <v>2028年4季度</v>
      </c>
      <c r="AA540" s="426" t="str">
        <f t="shared" si="336"/>
        <v>2028年4季度</v>
      </c>
      <c r="AB540" s="426" t="str">
        <f t="shared" si="336"/>
        <v>2028年4季度</v>
      </c>
      <c r="AC540" s="426" t="str">
        <f t="shared" si="336"/>
        <v>2028年4季度</v>
      </c>
      <c r="AD540" s="426" t="str">
        <f t="shared" si="336"/>
        <v>2028年4季度</v>
      </c>
      <c r="AE540" s="426" t="str">
        <f t="shared" si="336"/>
        <v>2028年4季度</v>
      </c>
      <c r="AF540" s="426" t="str">
        <f t="shared" si="336"/>
        <v>2028年4季度</v>
      </c>
      <c r="AG540" s="426" t="str">
        <f t="shared" si="336"/>
        <v>2028年4季度</v>
      </c>
      <c r="AH540" s="426" t="str">
        <f t="shared" si="336"/>
        <v>2028年4季度</v>
      </c>
      <c r="AI540" s="426" t="str">
        <f t="shared" si="336"/>
        <v>2028年4季度</v>
      </c>
      <c r="AJ540" s="426" t="str">
        <f t="shared" si="336"/>
        <v>2028年4季度</v>
      </c>
      <c r="AK540" s="426" t="str">
        <f t="shared" si="336"/>
        <v>2028年4季度</v>
      </c>
      <c r="AL540" s="426" t="str">
        <f t="shared" si="336"/>
        <v>2028年4季度</v>
      </c>
      <c r="AM540" s="426" t="str">
        <f t="shared" si="336"/>
        <v>2028年4季度</v>
      </c>
      <c r="AN540" s="426" t="str">
        <f t="shared" si="336"/>
        <v>2028年4季度</v>
      </c>
      <c r="AO540" s="426" t="str">
        <f t="shared" si="336"/>
        <v>2028年4季度</v>
      </c>
      <c r="AP540" s="426" t="str">
        <f t="shared" si="336"/>
        <v>2028年4季度</v>
      </c>
      <c r="AQ540" s="426" t="str">
        <f t="shared" si="336"/>
        <v>2028年4季度</v>
      </c>
      <c r="AR540" s="426" t="str">
        <f t="shared" si="336"/>
        <v>2028年4季度</v>
      </c>
      <c r="AS540" s="426" t="str">
        <f t="shared" si="336"/>
        <v>2028年4季度</v>
      </c>
      <c r="AT540" s="426" t="str">
        <f t="shared" si="334"/>
        <v>2028年4季度</v>
      </c>
      <c r="AU540" s="426" t="str">
        <f t="shared" si="334"/>
        <v>2028年4季度</v>
      </c>
      <c r="AV540" s="426" t="str">
        <f t="shared" si="334"/>
        <v>2028年4季度</v>
      </c>
      <c r="AW540" s="78"/>
    </row>
  </sheetData>
  <sheetProtection password="D9A8" sheet="1" objects="1" scenarios="1"/>
  <protectedRanges>
    <protectedRange sqref="L91:O91" name="区域1"/>
    <protectedRange sqref="L95:O95" name="区域1_1"/>
    <protectedRange sqref="N90:R90" name="区域1_2"/>
    <protectedRange sqref="R85:U85" name="区域1_3"/>
    <protectedRange sqref="L96:O96" name="区域1_4"/>
    <protectedRange sqref="N91:R91" name="区域1_5"/>
    <protectedRange sqref="R86:U86" name="区域1_6"/>
    <protectedRange sqref="L165:Q165" name="区域1_7"/>
    <protectedRange sqref="R155:V155" name="区域1_8"/>
    <protectedRange sqref="L166:Q166" name="区域1_9"/>
    <protectedRange sqref="S135:W135" name="区域1_11"/>
    <protectedRange sqref="S136:W136" name="区域1_12"/>
    <protectedRange sqref="S205:W205" name="区域1_13"/>
    <protectedRange sqref="S206:W206" name="区域1_14"/>
    <protectedRange sqref="O235:V235" name="区域1_15"/>
    <protectedRange sqref="S225:Y225" name="区域1_16"/>
    <protectedRange sqref="S226:Y226" name="区域1_17"/>
    <protectedRange sqref="O236:V236" name="区域1_18"/>
    <protectedRange sqref="V275:Z275" name="区域1_19"/>
    <protectedRange sqref="V276:Z276" name="区域1_20"/>
    <protectedRange sqref="V275:Z275" name="区域1_21"/>
    <protectedRange sqref="T305:AA305" name="区域1_22"/>
    <protectedRange sqref="Y295:AC295" name="区域1_23"/>
    <protectedRange sqref="U310:Z310" name="区域1_24"/>
    <protectedRange sqref="V315:AA315" name="区域1_25"/>
    <protectedRange sqref="AA345:AE345" name="区域1_26"/>
    <protectedRange sqref="Y296:AC296" name="区域1_27"/>
    <protectedRange sqref="T306:AA306" name="区域1_28"/>
    <protectedRange sqref="U311:AA311" name="区域1_29"/>
    <protectedRange sqref="V316:AA316" name="区域1_30"/>
    <protectedRange sqref="AA346:AE346" name="区域1_31"/>
    <protectedRange sqref="AC365:AF365" name="区域1_32"/>
    <protectedRange sqref="X370:AC370" name="区域1_33"/>
    <protectedRange sqref="X375:AC375" name="区域1_34"/>
    <protectedRange sqref="Y380:AB380" name="区域1_35"/>
    <protectedRange sqref="Z385:AC385" name="区域1_36"/>
    <protectedRange sqref="AC366:AF366" name="区域1_37"/>
    <protectedRange sqref="X371:AC371" name="区域1_38"/>
    <protectedRange sqref="X376:AA376" name="区域1_39"/>
    <protectedRange sqref="X376:AC376" name="区域1_38_1"/>
    <protectedRange sqref="Y381:AB381" name="区域1_40"/>
    <protectedRange sqref="Z386:AC386" name="区域1_41"/>
    <protectedRange sqref="AC415:AG415" name="区域1_42"/>
    <protectedRange sqref="AC416:AG416" name="区域1_43"/>
  </protectedRanges>
  <autoFilter ref="A4:AV495"/>
  <mergeCells count="121">
    <mergeCell ref="B3:D4"/>
    <mergeCell ref="B450:B454"/>
    <mergeCell ref="B455:B459"/>
    <mergeCell ref="B460:B464"/>
    <mergeCell ref="B465:B469"/>
    <mergeCell ref="B470:B474"/>
    <mergeCell ref="B475:B479"/>
    <mergeCell ref="B480:B484"/>
    <mergeCell ref="B485:B489"/>
    <mergeCell ref="B360:B364"/>
    <mergeCell ref="B365:B369"/>
    <mergeCell ref="B370:B374"/>
    <mergeCell ref="B375:B379"/>
    <mergeCell ref="B380:B384"/>
    <mergeCell ref="B385:B389"/>
    <mergeCell ref="B390:B394"/>
    <mergeCell ref="B395:B399"/>
    <mergeCell ref="B400:B404"/>
    <mergeCell ref="B315:B319"/>
    <mergeCell ref="B320:B324"/>
    <mergeCell ref="B325:B329"/>
    <mergeCell ref="B330:B334"/>
    <mergeCell ref="B335:B339"/>
    <mergeCell ref="B340:B344"/>
    <mergeCell ref="B490:B494"/>
    <mergeCell ref="B405:B409"/>
    <mergeCell ref="B410:B414"/>
    <mergeCell ref="B415:B419"/>
    <mergeCell ref="B420:B424"/>
    <mergeCell ref="B425:B429"/>
    <mergeCell ref="B430:B434"/>
    <mergeCell ref="B435:B439"/>
    <mergeCell ref="B440:B444"/>
    <mergeCell ref="B445:B449"/>
    <mergeCell ref="B345:B349"/>
    <mergeCell ref="B350:B354"/>
    <mergeCell ref="B355:B359"/>
    <mergeCell ref="B270:B274"/>
    <mergeCell ref="B275:B279"/>
    <mergeCell ref="B280:B284"/>
    <mergeCell ref="B285:B289"/>
    <mergeCell ref="B290:B294"/>
    <mergeCell ref="B295:B299"/>
    <mergeCell ref="B300:B304"/>
    <mergeCell ref="B305:B309"/>
    <mergeCell ref="B310:B314"/>
    <mergeCell ref="B225:B229"/>
    <mergeCell ref="B230:B234"/>
    <mergeCell ref="B235:B239"/>
    <mergeCell ref="B240:B244"/>
    <mergeCell ref="B245:B249"/>
    <mergeCell ref="B250:B254"/>
    <mergeCell ref="B255:B259"/>
    <mergeCell ref="B260:B264"/>
    <mergeCell ref="B265:B269"/>
    <mergeCell ref="B180:B184"/>
    <mergeCell ref="B185:B189"/>
    <mergeCell ref="B190:B194"/>
    <mergeCell ref="B195:B199"/>
    <mergeCell ref="B200:B204"/>
    <mergeCell ref="B205:B209"/>
    <mergeCell ref="B210:B214"/>
    <mergeCell ref="B215:B219"/>
    <mergeCell ref="B220:B224"/>
    <mergeCell ref="A215:A284"/>
    <mergeCell ref="A285:A354"/>
    <mergeCell ref="A355:A424"/>
    <mergeCell ref="A425:A494"/>
    <mergeCell ref="B5:B9"/>
    <mergeCell ref="B10:B14"/>
    <mergeCell ref="B15:B19"/>
    <mergeCell ref="B20:B24"/>
    <mergeCell ref="B25:B29"/>
    <mergeCell ref="B30:B34"/>
    <mergeCell ref="B35:B39"/>
    <mergeCell ref="B40:B44"/>
    <mergeCell ref="B45:B49"/>
    <mergeCell ref="B50:B54"/>
    <mergeCell ref="B55:B59"/>
    <mergeCell ref="B60:B64"/>
    <mergeCell ref="B65:B69"/>
    <mergeCell ref="B70:B74"/>
    <mergeCell ref="B75:B79"/>
    <mergeCell ref="B80:B84"/>
    <mergeCell ref="B85:B89"/>
    <mergeCell ref="B90:B94"/>
    <mergeCell ref="B95:B99"/>
    <mergeCell ref="B100:B104"/>
    <mergeCell ref="AC3:AF3"/>
    <mergeCell ref="AG3:AJ3"/>
    <mergeCell ref="AK3:AN3"/>
    <mergeCell ref="AO3:AR3"/>
    <mergeCell ref="AS3:AV3"/>
    <mergeCell ref="A3:A4"/>
    <mergeCell ref="A5:A74"/>
    <mergeCell ref="A75:A144"/>
    <mergeCell ref="A145:A214"/>
    <mergeCell ref="B105:B109"/>
    <mergeCell ref="B110:B114"/>
    <mergeCell ref="B115:B119"/>
    <mergeCell ref="B120:B124"/>
    <mergeCell ref="B125:B129"/>
    <mergeCell ref="B130:B134"/>
    <mergeCell ref="B135:B139"/>
    <mergeCell ref="B140:B144"/>
    <mergeCell ref="B145:B149"/>
    <mergeCell ref="B150:B154"/>
    <mergeCell ref="B155:B159"/>
    <mergeCell ref="B160:B164"/>
    <mergeCell ref="B165:B169"/>
    <mergeCell ref="B170:B174"/>
    <mergeCell ref="B175:B179"/>
    <mergeCell ref="G1:H1"/>
    <mergeCell ref="E2:F2"/>
    <mergeCell ref="G2:H2"/>
    <mergeCell ref="E3:H3"/>
    <mergeCell ref="I3:L3"/>
    <mergeCell ref="M3:P3"/>
    <mergeCell ref="Q3:T3"/>
    <mergeCell ref="U3:X3"/>
    <mergeCell ref="Y3:AB3"/>
  </mergeCells>
  <phoneticPr fontId="102" type="noConversion"/>
  <conditionalFormatting sqref="E6">
    <cfRule type="cellIs" dxfId="88" priority="1" stopIfTrue="1" operator="equal">
      <formula>0</formula>
    </cfRule>
  </conditionalFormatting>
  <conditionalFormatting sqref="F6:AV6">
    <cfRule type="cellIs" dxfId="87" priority="2" stopIfTrue="1" operator="equal">
      <formula>0</formula>
    </cfRule>
  </conditionalFormatting>
  <conditionalFormatting sqref="E11">
    <cfRule type="cellIs" dxfId="86" priority="3" stopIfTrue="1" operator="equal">
      <formula>0</formula>
    </cfRule>
  </conditionalFormatting>
  <conditionalFormatting sqref="F11:AV11">
    <cfRule type="cellIs" dxfId="85" priority="4" stopIfTrue="1" operator="equal">
      <formula>0</formula>
    </cfRule>
  </conditionalFormatting>
  <conditionalFormatting sqref="E16">
    <cfRule type="cellIs" dxfId="84" priority="5" stopIfTrue="1" operator="equal">
      <formula>0</formula>
    </cfRule>
  </conditionalFormatting>
  <conditionalFormatting sqref="E21">
    <cfRule type="cellIs" dxfId="83" priority="6" stopIfTrue="1" operator="equal">
      <formula>0</formula>
    </cfRule>
  </conditionalFormatting>
  <conditionalFormatting sqref="E26">
    <cfRule type="cellIs" dxfId="82" priority="7" stopIfTrue="1" operator="equal">
      <formula>0</formula>
    </cfRule>
  </conditionalFormatting>
  <conditionalFormatting sqref="E31">
    <cfRule type="cellIs" dxfId="81" priority="8" stopIfTrue="1" operator="equal">
      <formula>0</formula>
    </cfRule>
  </conditionalFormatting>
  <conditionalFormatting sqref="E36">
    <cfRule type="cellIs" dxfId="80" priority="9" stopIfTrue="1" operator="equal">
      <formula>0</formula>
    </cfRule>
  </conditionalFormatting>
  <conditionalFormatting sqref="E41">
    <cfRule type="cellIs" dxfId="79" priority="10" stopIfTrue="1" operator="equal">
      <formula>0</formula>
    </cfRule>
  </conditionalFormatting>
  <conditionalFormatting sqref="E46">
    <cfRule type="cellIs" dxfId="78" priority="11" stopIfTrue="1" operator="equal">
      <formula>0</formula>
    </cfRule>
  </conditionalFormatting>
  <conditionalFormatting sqref="E51">
    <cfRule type="cellIs" dxfId="77" priority="12" stopIfTrue="1" operator="equal">
      <formula>0</formula>
    </cfRule>
  </conditionalFormatting>
  <conditionalFormatting sqref="E56">
    <cfRule type="cellIs" dxfId="76" priority="13" stopIfTrue="1" operator="equal">
      <formula>0</formula>
    </cfRule>
  </conditionalFormatting>
  <conditionalFormatting sqref="E61">
    <cfRule type="cellIs" dxfId="75" priority="14" stopIfTrue="1" operator="equal">
      <formula>0</formula>
    </cfRule>
  </conditionalFormatting>
  <conditionalFormatting sqref="E66">
    <cfRule type="cellIs" dxfId="74" priority="15" stopIfTrue="1" operator="equal">
      <formula>0</formula>
    </cfRule>
  </conditionalFormatting>
  <conditionalFormatting sqref="E71">
    <cfRule type="cellIs" dxfId="73" priority="16" stopIfTrue="1" operator="equal">
      <formula>0</formula>
    </cfRule>
  </conditionalFormatting>
  <conditionalFormatting sqref="E76">
    <cfRule type="cellIs" dxfId="72" priority="17" stopIfTrue="1" operator="equal">
      <formula>0</formula>
    </cfRule>
  </conditionalFormatting>
  <conditionalFormatting sqref="F76:AV76">
    <cfRule type="cellIs" dxfId="71" priority="18" stopIfTrue="1" operator="equal">
      <formula>0</formula>
    </cfRule>
  </conditionalFormatting>
  <conditionalFormatting sqref="E81">
    <cfRule type="cellIs" dxfId="70" priority="19" stopIfTrue="1" operator="equal">
      <formula>0</formula>
    </cfRule>
  </conditionalFormatting>
  <conditionalFormatting sqref="F81:AV81">
    <cfRule type="cellIs" dxfId="69" priority="20" stopIfTrue="1" operator="equal">
      <formula>0</formula>
    </cfRule>
  </conditionalFormatting>
  <conditionalFormatting sqref="E146">
    <cfRule type="cellIs" dxfId="68" priority="21" stopIfTrue="1" operator="equal">
      <formula>0</formula>
    </cfRule>
  </conditionalFormatting>
  <conditionalFormatting sqref="F146:AV146">
    <cfRule type="cellIs" dxfId="67" priority="22" stopIfTrue="1" operator="equal">
      <formula>0</formula>
    </cfRule>
  </conditionalFormatting>
  <conditionalFormatting sqref="E151">
    <cfRule type="cellIs" dxfId="66" priority="23" stopIfTrue="1" operator="equal">
      <formula>0</formula>
    </cfRule>
  </conditionalFormatting>
  <conditionalFormatting sqref="F151:AV151">
    <cfRule type="cellIs" dxfId="65" priority="24" stopIfTrue="1" operator="equal">
      <formula>0</formula>
    </cfRule>
  </conditionalFormatting>
  <conditionalFormatting sqref="E216">
    <cfRule type="cellIs" dxfId="64" priority="25" stopIfTrue="1" operator="equal">
      <formula>0</formula>
    </cfRule>
  </conditionalFormatting>
  <conditionalFormatting sqref="F216:AV216">
    <cfRule type="cellIs" dxfId="63" priority="26" stopIfTrue="1" operator="equal">
      <formula>0</formula>
    </cfRule>
  </conditionalFormatting>
  <conditionalFormatting sqref="E221">
    <cfRule type="cellIs" dxfId="62" priority="27" stopIfTrue="1" operator="equal">
      <formula>0</formula>
    </cfRule>
  </conditionalFormatting>
  <conditionalFormatting sqref="F221:AV221">
    <cfRule type="cellIs" dxfId="61" priority="28" stopIfTrue="1" operator="equal">
      <formula>0</formula>
    </cfRule>
  </conditionalFormatting>
  <conditionalFormatting sqref="E286">
    <cfRule type="cellIs" dxfId="60" priority="29" stopIfTrue="1" operator="equal">
      <formula>0</formula>
    </cfRule>
  </conditionalFormatting>
  <conditionalFormatting sqref="F286:AV286">
    <cfRule type="cellIs" dxfId="59" priority="30" stopIfTrue="1" operator="equal">
      <formula>0</formula>
    </cfRule>
  </conditionalFormatting>
  <conditionalFormatting sqref="E291">
    <cfRule type="cellIs" dxfId="58" priority="31" stopIfTrue="1" operator="equal">
      <formula>0</formula>
    </cfRule>
  </conditionalFormatting>
  <conditionalFormatting sqref="F291:AV291">
    <cfRule type="cellIs" dxfId="57" priority="32" stopIfTrue="1" operator="equal">
      <formula>0</formula>
    </cfRule>
  </conditionalFormatting>
  <conditionalFormatting sqref="E356">
    <cfRule type="cellIs" dxfId="56" priority="33" stopIfTrue="1" operator="equal">
      <formula>0</formula>
    </cfRule>
  </conditionalFormatting>
  <conditionalFormatting sqref="F356:AV356">
    <cfRule type="cellIs" dxfId="55" priority="34" stopIfTrue="1" operator="equal">
      <formula>0</formula>
    </cfRule>
  </conditionalFormatting>
  <conditionalFormatting sqref="E361">
    <cfRule type="cellIs" dxfId="54" priority="35" stopIfTrue="1" operator="equal">
      <formula>0</formula>
    </cfRule>
  </conditionalFormatting>
  <conditionalFormatting sqref="F361:AV361">
    <cfRule type="cellIs" dxfId="53" priority="36" stopIfTrue="1" operator="equal">
      <formula>0</formula>
    </cfRule>
  </conditionalFormatting>
  <conditionalFormatting sqref="E426">
    <cfRule type="cellIs" dxfId="52" priority="37" stopIfTrue="1" operator="equal">
      <formula>0</formula>
    </cfRule>
  </conditionalFormatting>
  <conditionalFormatting sqref="F426:AV426">
    <cfRule type="cellIs" dxfId="51" priority="38" stopIfTrue="1" operator="equal">
      <formula>0</formula>
    </cfRule>
  </conditionalFormatting>
  <conditionalFormatting sqref="E431">
    <cfRule type="cellIs" dxfId="50" priority="39" stopIfTrue="1" operator="equal">
      <formula>0</formula>
    </cfRule>
  </conditionalFormatting>
  <conditionalFormatting sqref="F431:AV431">
    <cfRule type="cellIs" dxfId="49" priority="40" stopIfTrue="1" operator="equal">
      <formula>0</formula>
    </cfRule>
  </conditionalFormatting>
  <conditionalFormatting sqref="B15:B19">
    <cfRule type="cellIs" dxfId="48" priority="41" stopIfTrue="1" operator="equal">
      <formula>0</formula>
    </cfRule>
  </conditionalFormatting>
  <conditionalFormatting sqref="B20:B24">
    <cfRule type="cellIs" dxfId="47" priority="42" stopIfTrue="1" operator="equal">
      <formula>0</formula>
    </cfRule>
  </conditionalFormatting>
  <conditionalFormatting sqref="B25:B29">
    <cfRule type="cellIs" dxfId="46" priority="43" stopIfTrue="1" operator="equal">
      <formula>0</formula>
    </cfRule>
  </conditionalFormatting>
  <conditionalFormatting sqref="B30:B34">
    <cfRule type="cellIs" dxfId="45" priority="44" stopIfTrue="1" operator="equal">
      <formula>0</formula>
    </cfRule>
  </conditionalFormatting>
  <conditionalFormatting sqref="B35:B39">
    <cfRule type="cellIs" dxfId="44" priority="45" stopIfTrue="1" operator="equal">
      <formula>0</formula>
    </cfRule>
  </conditionalFormatting>
  <conditionalFormatting sqref="B40:B59">
    <cfRule type="cellIs" dxfId="43" priority="46" stopIfTrue="1" operator="equal">
      <formula>0</formula>
    </cfRule>
  </conditionalFormatting>
  <conditionalFormatting sqref="B60:B74">
    <cfRule type="cellIs" dxfId="42" priority="47" stopIfTrue="1" operator="equal">
      <formula>0</formula>
    </cfRule>
  </conditionalFormatting>
  <conditionalFormatting sqref="B85:B89">
    <cfRule type="cellIs" dxfId="41" priority="48" stopIfTrue="1" operator="equal">
      <formula>0</formula>
    </cfRule>
  </conditionalFormatting>
  <conditionalFormatting sqref="B90:B94">
    <cfRule type="cellIs" dxfId="40" priority="49" stopIfTrue="1" operator="equal">
      <formula>0</formula>
    </cfRule>
  </conditionalFormatting>
  <conditionalFormatting sqref="B95:B99">
    <cfRule type="cellIs" dxfId="39" priority="50" stopIfTrue="1" operator="equal">
      <formula>0</formula>
    </cfRule>
  </conditionalFormatting>
  <conditionalFormatting sqref="B100:B104">
    <cfRule type="cellIs" dxfId="38" priority="51" stopIfTrue="1" operator="equal">
      <formula>0</formula>
    </cfRule>
  </conditionalFormatting>
  <conditionalFormatting sqref="B105:B109">
    <cfRule type="cellIs" dxfId="37" priority="52" stopIfTrue="1" operator="equal">
      <formula>0</formula>
    </cfRule>
  </conditionalFormatting>
  <conditionalFormatting sqref="B110:B129">
    <cfRule type="cellIs" dxfId="36" priority="53" stopIfTrue="1" operator="equal">
      <formula>0</formula>
    </cfRule>
  </conditionalFormatting>
  <conditionalFormatting sqref="B130:B144">
    <cfRule type="cellIs" dxfId="35" priority="54" stopIfTrue="1" operator="equal">
      <formula>0</formula>
    </cfRule>
  </conditionalFormatting>
  <conditionalFormatting sqref="B155:B159">
    <cfRule type="cellIs" dxfId="34" priority="55" stopIfTrue="1" operator="equal">
      <formula>0</formula>
    </cfRule>
  </conditionalFormatting>
  <conditionalFormatting sqref="B160:B164">
    <cfRule type="cellIs" dxfId="33" priority="56" stopIfTrue="1" operator="equal">
      <formula>0</formula>
    </cfRule>
  </conditionalFormatting>
  <conditionalFormatting sqref="B165:B169">
    <cfRule type="cellIs" dxfId="32" priority="57" stopIfTrue="1" operator="equal">
      <formula>0</formula>
    </cfRule>
  </conditionalFormatting>
  <conditionalFormatting sqref="B170:B174">
    <cfRule type="cellIs" dxfId="31" priority="58" stopIfTrue="1" operator="equal">
      <formula>0</formula>
    </cfRule>
  </conditionalFormatting>
  <conditionalFormatting sqref="B175:B179">
    <cfRule type="cellIs" dxfId="30" priority="59" stopIfTrue="1" operator="equal">
      <formula>0</formula>
    </cfRule>
  </conditionalFormatting>
  <conditionalFormatting sqref="B180:B199">
    <cfRule type="cellIs" dxfId="29" priority="60" stopIfTrue="1" operator="equal">
      <formula>0</formula>
    </cfRule>
  </conditionalFormatting>
  <conditionalFormatting sqref="B200:B214">
    <cfRule type="cellIs" dxfId="28" priority="61" stopIfTrue="1" operator="equal">
      <formula>0</formula>
    </cfRule>
  </conditionalFormatting>
  <conditionalFormatting sqref="B225:B229">
    <cfRule type="cellIs" dxfId="27" priority="62" stopIfTrue="1" operator="equal">
      <formula>0</formula>
    </cfRule>
  </conditionalFormatting>
  <conditionalFormatting sqref="B230:B234">
    <cfRule type="cellIs" dxfId="26" priority="63" stopIfTrue="1" operator="equal">
      <formula>0</formula>
    </cfRule>
  </conditionalFormatting>
  <conditionalFormatting sqref="B235:B239">
    <cfRule type="cellIs" dxfId="25" priority="64" stopIfTrue="1" operator="equal">
      <formula>0</formula>
    </cfRule>
  </conditionalFormatting>
  <conditionalFormatting sqref="B240:B244">
    <cfRule type="cellIs" dxfId="24" priority="65" stopIfTrue="1" operator="equal">
      <formula>0</formula>
    </cfRule>
  </conditionalFormatting>
  <conditionalFormatting sqref="B245:B249">
    <cfRule type="cellIs" dxfId="23" priority="66" stopIfTrue="1" operator="equal">
      <formula>0</formula>
    </cfRule>
  </conditionalFormatting>
  <conditionalFormatting sqref="B250:B269">
    <cfRule type="cellIs" dxfId="22" priority="67" stopIfTrue="1" operator="equal">
      <formula>0</formula>
    </cfRule>
  </conditionalFormatting>
  <conditionalFormatting sqref="B270:B284">
    <cfRule type="cellIs" dxfId="21" priority="68" stopIfTrue="1" operator="equal">
      <formula>0</formula>
    </cfRule>
  </conditionalFormatting>
  <conditionalFormatting sqref="B295:B299">
    <cfRule type="cellIs" dxfId="20" priority="69" stopIfTrue="1" operator="equal">
      <formula>0</formula>
    </cfRule>
  </conditionalFormatting>
  <conditionalFormatting sqref="B300:B304">
    <cfRule type="cellIs" dxfId="19" priority="70" stopIfTrue="1" operator="equal">
      <formula>0</formula>
    </cfRule>
  </conditionalFormatting>
  <conditionalFormatting sqref="B305:B309">
    <cfRule type="cellIs" dxfId="18" priority="71" stopIfTrue="1" operator="equal">
      <formula>0</formula>
    </cfRule>
  </conditionalFormatting>
  <conditionalFormatting sqref="B310:B314">
    <cfRule type="cellIs" dxfId="17" priority="72" stopIfTrue="1" operator="equal">
      <formula>0</formula>
    </cfRule>
  </conditionalFormatting>
  <conditionalFormatting sqref="B315:B319">
    <cfRule type="cellIs" dxfId="16" priority="73" stopIfTrue="1" operator="equal">
      <formula>0</formula>
    </cfRule>
  </conditionalFormatting>
  <conditionalFormatting sqref="B320:B339">
    <cfRule type="cellIs" dxfId="15" priority="74" stopIfTrue="1" operator="equal">
      <formula>0</formula>
    </cfRule>
  </conditionalFormatting>
  <conditionalFormatting sqref="B340:B354">
    <cfRule type="cellIs" dxfId="14" priority="75" stopIfTrue="1" operator="equal">
      <formula>0</formula>
    </cfRule>
  </conditionalFormatting>
  <conditionalFormatting sqref="B365:B369">
    <cfRule type="cellIs" dxfId="13" priority="76" stopIfTrue="1" operator="equal">
      <formula>0</formula>
    </cfRule>
  </conditionalFormatting>
  <conditionalFormatting sqref="B370:B374">
    <cfRule type="cellIs" dxfId="12" priority="77" stopIfTrue="1" operator="equal">
      <formula>0</formula>
    </cfRule>
  </conditionalFormatting>
  <conditionalFormatting sqref="B375:B379">
    <cfRule type="cellIs" dxfId="11" priority="78" stopIfTrue="1" operator="equal">
      <formula>0</formula>
    </cfRule>
  </conditionalFormatting>
  <conditionalFormatting sqref="B380:B384">
    <cfRule type="cellIs" dxfId="10" priority="79" stopIfTrue="1" operator="equal">
      <formula>0</formula>
    </cfRule>
  </conditionalFormatting>
  <conditionalFormatting sqref="B385:B389">
    <cfRule type="cellIs" dxfId="9" priority="80" stopIfTrue="1" operator="equal">
      <formula>0</formula>
    </cfRule>
  </conditionalFormatting>
  <conditionalFormatting sqref="B390:B409">
    <cfRule type="cellIs" dxfId="8" priority="81" stopIfTrue="1" operator="equal">
      <formula>0</formula>
    </cfRule>
  </conditionalFormatting>
  <conditionalFormatting sqref="B410:B424">
    <cfRule type="cellIs" dxfId="7" priority="82" stopIfTrue="1" operator="equal">
      <formula>0</formula>
    </cfRule>
  </conditionalFormatting>
  <conditionalFormatting sqref="B435:B439">
    <cfRule type="cellIs" dxfId="6" priority="83" stopIfTrue="1" operator="equal">
      <formula>0</formula>
    </cfRule>
  </conditionalFormatting>
  <conditionalFormatting sqref="B440:B444">
    <cfRule type="cellIs" dxfId="5" priority="84" stopIfTrue="1" operator="equal">
      <formula>0</formula>
    </cfRule>
  </conditionalFormatting>
  <conditionalFormatting sqref="B445:B449">
    <cfRule type="cellIs" dxfId="4" priority="85" stopIfTrue="1" operator="equal">
      <formula>0</formula>
    </cfRule>
  </conditionalFormatting>
  <conditionalFormatting sqref="B450:B454">
    <cfRule type="cellIs" dxfId="3" priority="86" stopIfTrue="1" operator="equal">
      <formula>0</formula>
    </cfRule>
  </conditionalFormatting>
  <conditionalFormatting sqref="B455:B459">
    <cfRule type="cellIs" dxfId="2" priority="87" stopIfTrue="1" operator="equal">
      <formula>0</formula>
    </cfRule>
  </conditionalFormatting>
  <conditionalFormatting sqref="B460:B479">
    <cfRule type="cellIs" dxfId="1" priority="88" stopIfTrue="1" operator="equal">
      <formula>0</formula>
    </cfRule>
  </conditionalFormatting>
  <conditionalFormatting sqref="B480:B494">
    <cfRule type="cellIs" dxfId="0" priority="89" stopIfTrue="1" operator="equal">
      <formula>0</formula>
    </cfRule>
  </conditionalFormatting>
  <hyperlinks>
    <hyperlink ref="E1" location="目录!A1" display="返回目录"/>
  </hyperlinks>
  <pageMargins left="0.69930555555555596" right="0.69930555555555596" top="0.75" bottom="0.75" header="0.3" footer="0.3"/>
  <pageSetup paperSize="9"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outlinePr summaryBelow="0" summaryRight="0"/>
  </sheetPr>
  <dimension ref="A1:V242"/>
  <sheetViews>
    <sheetView showGridLines="0" zoomScale="90" zoomScaleNormal="90" workbookViewId="0">
      <pane xSplit="2" ySplit="4" topLeftCell="C47" activePane="bottomRight" state="frozen"/>
      <selection pane="topRight"/>
      <selection pane="bottomLeft"/>
      <selection pane="bottomRight" activeCell="C63" sqref="C63"/>
    </sheetView>
  </sheetViews>
  <sheetFormatPr defaultColWidth="9" defaultRowHeight="12" outlineLevelRow="1"/>
  <cols>
    <col min="1" max="1" width="5" style="350" customWidth="1"/>
    <col min="2" max="2" width="18.125" style="350" customWidth="1"/>
    <col min="3" max="20" width="9" style="350"/>
    <col min="21" max="22" width="9.5" style="350" customWidth="1"/>
    <col min="23" max="16384" width="9" style="350"/>
  </cols>
  <sheetData>
    <row r="1" spans="1:21" ht="33.75" customHeight="1">
      <c r="A1" s="351"/>
      <c r="B1" s="352" t="s">
        <v>899</v>
      </c>
      <c r="C1" s="351"/>
      <c r="D1" s="353" t="s">
        <v>117</v>
      </c>
      <c r="E1" s="351"/>
      <c r="F1" s="351"/>
      <c r="G1" s="351"/>
      <c r="H1" s="351"/>
      <c r="I1" s="351"/>
      <c r="J1" s="351"/>
      <c r="K1" s="351"/>
      <c r="L1" s="351"/>
      <c r="M1" s="351"/>
      <c r="N1" s="351"/>
      <c r="O1" s="351"/>
      <c r="P1" s="351"/>
      <c r="Q1" s="351"/>
      <c r="R1" s="351"/>
      <c r="S1" s="351"/>
      <c r="T1" s="351"/>
    </row>
    <row r="2" spans="1:21" s="348" customFormat="1" ht="20.25" customHeight="1">
      <c r="A2" s="354"/>
      <c r="B2" s="348" t="s">
        <v>861</v>
      </c>
      <c r="C2" s="355" t="s">
        <v>900</v>
      </c>
      <c r="D2" s="356"/>
      <c r="E2" s="356"/>
      <c r="F2" s="357"/>
      <c r="G2" s="357">
        <f>E5/'8.项目规划指标表'!D16*10000</f>
        <v>4827.1348758028316</v>
      </c>
      <c r="H2" s="356"/>
      <c r="I2" s="356"/>
      <c r="J2" s="356"/>
      <c r="K2" s="356"/>
      <c r="L2" s="356"/>
      <c r="M2" s="356"/>
      <c r="N2" s="356"/>
      <c r="O2" s="356"/>
      <c r="P2" s="356"/>
      <c r="Q2" s="356"/>
      <c r="R2" s="356"/>
      <c r="S2" s="356"/>
      <c r="T2" s="356"/>
    </row>
    <row r="3" spans="1:21" s="349" customFormat="1" ht="19.5" customHeight="1">
      <c r="A3" s="358"/>
      <c r="B3" s="1969" t="s">
        <v>534</v>
      </c>
      <c r="C3" s="1963" t="s">
        <v>19</v>
      </c>
      <c r="D3" s="1964"/>
      <c r="E3" s="1965"/>
      <c r="F3" s="1963" t="s">
        <v>20</v>
      </c>
      <c r="G3" s="1964"/>
      <c r="H3" s="1965"/>
      <c r="I3" s="1963" t="s">
        <v>21</v>
      </c>
      <c r="J3" s="1964"/>
      <c r="K3" s="1965"/>
      <c r="L3" s="1963" t="s">
        <v>22</v>
      </c>
      <c r="M3" s="1964"/>
      <c r="N3" s="1965"/>
      <c r="O3" s="1963" t="s">
        <v>23</v>
      </c>
      <c r="P3" s="1964"/>
      <c r="Q3" s="1965"/>
      <c r="R3" s="1963" t="s">
        <v>24</v>
      </c>
      <c r="S3" s="1964"/>
      <c r="T3" s="1965"/>
    </row>
    <row r="4" spans="1:21" s="349" customFormat="1" ht="30.75" customHeight="1">
      <c r="A4" s="358"/>
      <c r="B4" s="1970"/>
      <c r="C4" s="359" t="s">
        <v>901</v>
      </c>
      <c r="D4" s="360" t="s">
        <v>808</v>
      </c>
      <c r="E4" s="361" t="s">
        <v>885</v>
      </c>
      <c r="F4" s="359" t="s">
        <v>901</v>
      </c>
      <c r="G4" s="360" t="s">
        <v>808</v>
      </c>
      <c r="H4" s="361" t="s">
        <v>885</v>
      </c>
      <c r="I4" s="359" t="s">
        <v>901</v>
      </c>
      <c r="J4" s="360" t="s">
        <v>808</v>
      </c>
      <c r="K4" s="361" t="s">
        <v>885</v>
      </c>
      <c r="L4" s="359" t="s">
        <v>901</v>
      </c>
      <c r="M4" s="360" t="s">
        <v>808</v>
      </c>
      <c r="N4" s="361" t="s">
        <v>885</v>
      </c>
      <c r="O4" s="359" t="s">
        <v>901</v>
      </c>
      <c r="P4" s="360" t="s">
        <v>808</v>
      </c>
      <c r="Q4" s="361" t="s">
        <v>885</v>
      </c>
      <c r="R4" s="359" t="s">
        <v>901</v>
      </c>
      <c r="S4" s="360" t="s">
        <v>808</v>
      </c>
      <c r="T4" s="361" t="s">
        <v>885</v>
      </c>
    </row>
    <row r="5" spans="1:21" ht="15" customHeight="1">
      <c r="A5" s="351"/>
      <c r="B5" s="362" t="s">
        <v>902</v>
      </c>
      <c r="C5" s="363">
        <f t="shared" ref="C5:C19" si="0">IFERROR(E5/D5*10000,0)</f>
        <v>3805.8584083754299</v>
      </c>
      <c r="D5" s="364">
        <f>SUM(D6:D18)</f>
        <v>81954</v>
      </c>
      <c r="E5" s="365">
        <f>SUM(E6:E18)</f>
        <v>31190.531999999999</v>
      </c>
      <c r="F5" s="363">
        <f t="shared" ref="F5" si="1">IFERROR(H5/G5*10000,0)</f>
        <v>0</v>
      </c>
      <c r="G5" s="364">
        <f t="shared" ref="G5:H5" si="2">SUM(G6:G18)</f>
        <v>0</v>
      </c>
      <c r="H5" s="364">
        <f t="shared" si="2"/>
        <v>0</v>
      </c>
      <c r="I5" s="363">
        <f t="shared" ref="I5" si="3">IFERROR(K5/J5*10000,0)</f>
        <v>0</v>
      </c>
      <c r="J5" s="364">
        <f t="shared" ref="J5:K5" si="4">SUM(J6:J18)</f>
        <v>0</v>
      </c>
      <c r="K5" s="365">
        <f t="shared" si="4"/>
        <v>0</v>
      </c>
      <c r="L5" s="363">
        <f t="shared" ref="L5" si="5">IFERROR(N5/M5*10000,0)</f>
        <v>0</v>
      </c>
      <c r="M5" s="364">
        <f t="shared" ref="M5:N5" si="6">SUM(M6:M18)</f>
        <v>0</v>
      </c>
      <c r="N5" s="365">
        <f t="shared" si="6"/>
        <v>0</v>
      </c>
      <c r="O5" s="363">
        <f t="shared" ref="O5" si="7">IFERROR(Q5/P5*10000,0)</f>
        <v>0</v>
      </c>
      <c r="P5" s="364">
        <f t="shared" ref="P5:Q5" si="8">SUM(P6:P18)</f>
        <v>0</v>
      </c>
      <c r="Q5" s="365">
        <f t="shared" si="8"/>
        <v>0</v>
      </c>
      <c r="R5" s="363">
        <f t="shared" ref="R5" si="9">IFERROR(T5/S5*10000,0)</f>
        <v>0</v>
      </c>
      <c r="S5" s="364">
        <f t="shared" ref="S5:T5" si="10">SUM(S6:S18)</f>
        <v>0</v>
      </c>
      <c r="T5" s="365">
        <f t="shared" si="10"/>
        <v>0</v>
      </c>
      <c r="U5" s="373">
        <f>T5+Q5+N5+K5+H5+E5</f>
        <v>31190.531999999999</v>
      </c>
    </row>
    <row r="6" spans="1:21" ht="14.25" customHeight="1" outlineLevel="1">
      <c r="A6" s="351"/>
      <c r="B6" s="366" t="str">
        <f>'8.项目规划指标表'!$B$5</f>
        <v>高层</v>
      </c>
      <c r="C6" s="367">
        <f t="shared" si="0"/>
        <v>4669.1003682624714</v>
      </c>
      <c r="D6" s="368">
        <f>'8.项目规划指标表'!H5</f>
        <v>56100</v>
      </c>
      <c r="E6" s="369">
        <f>SUM(E20,E34,E48,E62,E76,E90,E104,E118)</f>
        <v>26193.653065952461</v>
      </c>
      <c r="F6" s="367">
        <f t="shared" ref="F6:F19" si="11">IFERROR(H6/G6*10000,0)</f>
        <v>0</v>
      </c>
      <c r="G6" s="368">
        <f>'8.项目规划指标表'!L5</f>
        <v>0</v>
      </c>
      <c r="H6" s="370">
        <f>SUM(H20,H34,H48,H62,H76,H90,H104,H118)</f>
        <v>0</v>
      </c>
      <c r="I6" s="367">
        <f t="shared" ref="I6:I19" si="12">IFERROR(K6/J6*10000,0)</f>
        <v>0</v>
      </c>
      <c r="J6" s="368">
        <f>'8.项目规划指标表'!P5</f>
        <v>0</v>
      </c>
      <c r="K6" s="370">
        <f>SUM(K20,K34,K48,K62,K76,K90,K104,K118)</f>
        <v>0</v>
      </c>
      <c r="L6" s="367">
        <f t="shared" ref="L6:L19" si="13">IFERROR(N6/M6*10000,0)</f>
        <v>0</v>
      </c>
      <c r="M6" s="368">
        <f>'8.项目规划指标表'!T5</f>
        <v>0</v>
      </c>
      <c r="N6" s="370">
        <f>SUM(N20,N34,N48,N62,N76,N90,N104,N118)</f>
        <v>0</v>
      </c>
      <c r="O6" s="367">
        <f t="shared" ref="O6:O19" si="14">IFERROR(Q6/P6*10000,0)</f>
        <v>0</v>
      </c>
      <c r="P6" s="368">
        <f>'8.项目规划指标表'!X5</f>
        <v>0</v>
      </c>
      <c r="Q6" s="370">
        <f>SUM(Q20,Q34,Q48,Q62,Q76,Q90,Q104,Q118)</f>
        <v>0</v>
      </c>
      <c r="R6" s="367">
        <f t="shared" ref="R6:R19" si="15">IFERROR(T6/S6*10000,0)</f>
        <v>0</v>
      </c>
      <c r="S6" s="368">
        <f>'8.项目规划指标表'!AB5</f>
        <v>0</v>
      </c>
      <c r="T6" s="370">
        <f>SUM(T20,T34,T48,T62,T76,T90,T104,T118)</f>
        <v>0</v>
      </c>
    </row>
    <row r="7" spans="1:21" ht="14.25" customHeight="1" outlineLevel="1">
      <c r="A7" s="351"/>
      <c r="B7" s="366" t="str">
        <f>'8.项目规划指标表'!$B$6</f>
        <v>商铺</v>
      </c>
      <c r="C7" s="367">
        <f t="shared" si="0"/>
        <v>4288.1003682624714</v>
      </c>
      <c r="D7" s="368">
        <f>'8.项目规划指标表'!H6</f>
        <v>3640</v>
      </c>
      <c r="E7" s="369">
        <f t="shared" ref="E7:E16" si="16">SUM(E21,E35,E49,E63,E77,E91,E105,E119)</f>
        <v>1560.8685340475395</v>
      </c>
      <c r="F7" s="367">
        <f t="shared" si="11"/>
        <v>0</v>
      </c>
      <c r="G7" s="368">
        <f>'8.项目规划指标表'!L6</f>
        <v>0</v>
      </c>
      <c r="H7" s="370">
        <f t="shared" ref="H7:H18" si="17">SUM(H21,H35,H49,H63,H77,H91,H105,H119)</f>
        <v>0</v>
      </c>
      <c r="I7" s="367">
        <f t="shared" si="12"/>
        <v>0</v>
      </c>
      <c r="J7" s="368">
        <f>'8.项目规划指标表'!P6</f>
        <v>0</v>
      </c>
      <c r="K7" s="370">
        <f t="shared" ref="K7:K18" si="18">SUM(K21,K35,K49,K63,K77,K91,K105,K119)</f>
        <v>0</v>
      </c>
      <c r="L7" s="367">
        <f t="shared" si="13"/>
        <v>0</v>
      </c>
      <c r="M7" s="368">
        <f>'8.项目规划指标表'!T6</f>
        <v>0</v>
      </c>
      <c r="N7" s="370">
        <f t="shared" ref="N7:N18" si="19">SUM(N21,N35,N49,N63,N77,N91,N105,N119)</f>
        <v>0</v>
      </c>
      <c r="O7" s="367">
        <f t="shared" si="14"/>
        <v>0</v>
      </c>
      <c r="P7" s="368">
        <f>'8.项目规划指标表'!X6</f>
        <v>0</v>
      </c>
      <c r="Q7" s="370">
        <f t="shared" ref="Q7:Q18" si="20">SUM(Q21,Q35,Q49,Q63,Q77,Q91,Q105,Q119)</f>
        <v>0</v>
      </c>
      <c r="R7" s="367">
        <f t="shared" si="15"/>
        <v>0</v>
      </c>
      <c r="S7" s="368">
        <f>'8.项目规划指标表'!AB6</f>
        <v>0</v>
      </c>
      <c r="T7" s="370">
        <f t="shared" ref="T7:T18" si="21">SUM(T21,T35,T49,T63,T77,T91,T105,T119)</f>
        <v>0</v>
      </c>
    </row>
    <row r="8" spans="1:21" ht="14.25" customHeight="1" outlineLevel="1">
      <c r="A8" s="351"/>
      <c r="B8" s="366" t="str">
        <f>'8.项目规划指标表'!$B$7</f>
        <v>回迁商业</v>
      </c>
      <c r="C8" s="367">
        <f t="shared" si="0"/>
        <v>3726.0000000000005</v>
      </c>
      <c r="D8" s="368">
        <f>'8.项目规划指标表'!H7</f>
        <v>4208</v>
      </c>
      <c r="E8" s="369">
        <f t="shared" si="16"/>
        <v>1567.9008000000001</v>
      </c>
      <c r="F8" s="367">
        <f t="shared" si="11"/>
        <v>0</v>
      </c>
      <c r="G8" s="368">
        <f>'8.项目规划指标表'!L7</f>
        <v>0</v>
      </c>
      <c r="H8" s="370">
        <f t="shared" si="17"/>
        <v>0</v>
      </c>
      <c r="I8" s="367">
        <f t="shared" si="12"/>
        <v>0</v>
      </c>
      <c r="J8" s="368">
        <f>'8.项目规划指标表'!P7</f>
        <v>0</v>
      </c>
      <c r="K8" s="370">
        <f t="shared" si="18"/>
        <v>0</v>
      </c>
      <c r="L8" s="367">
        <f t="shared" si="13"/>
        <v>0</v>
      </c>
      <c r="M8" s="368">
        <f>'8.项目规划指标表'!T7</f>
        <v>0</v>
      </c>
      <c r="N8" s="370">
        <f t="shared" si="19"/>
        <v>0</v>
      </c>
      <c r="O8" s="367">
        <f t="shared" si="14"/>
        <v>0</v>
      </c>
      <c r="P8" s="368">
        <f>'8.项目规划指标表'!X7</f>
        <v>0</v>
      </c>
      <c r="Q8" s="370">
        <f t="shared" si="20"/>
        <v>0</v>
      </c>
      <c r="R8" s="367">
        <f t="shared" si="15"/>
        <v>0</v>
      </c>
      <c r="S8" s="368">
        <f>'8.项目规划指标表'!AB7</f>
        <v>0</v>
      </c>
      <c r="T8" s="370">
        <f t="shared" si="21"/>
        <v>0</v>
      </c>
    </row>
    <row r="9" spans="1:21" ht="14.25" customHeight="1" outlineLevel="1">
      <c r="A9" s="351"/>
      <c r="B9" s="366">
        <f>'8.项目规划指标表'!$B$8</f>
        <v>0</v>
      </c>
      <c r="C9" s="367">
        <f t="shared" si="0"/>
        <v>0</v>
      </c>
      <c r="D9" s="368">
        <f>'8.项目规划指标表'!H8</f>
        <v>0</v>
      </c>
      <c r="E9" s="369">
        <f t="shared" si="16"/>
        <v>0</v>
      </c>
      <c r="F9" s="367">
        <f t="shared" si="11"/>
        <v>0</v>
      </c>
      <c r="G9" s="368">
        <f>'8.项目规划指标表'!L8</f>
        <v>0</v>
      </c>
      <c r="H9" s="370">
        <f t="shared" si="17"/>
        <v>0</v>
      </c>
      <c r="I9" s="367">
        <f t="shared" si="12"/>
        <v>0</v>
      </c>
      <c r="J9" s="368">
        <f>'8.项目规划指标表'!P8</f>
        <v>0</v>
      </c>
      <c r="K9" s="370">
        <f t="shared" si="18"/>
        <v>0</v>
      </c>
      <c r="L9" s="367">
        <f t="shared" si="13"/>
        <v>0</v>
      </c>
      <c r="M9" s="368">
        <f>'8.项目规划指标表'!T8</f>
        <v>0</v>
      </c>
      <c r="N9" s="370">
        <f t="shared" si="19"/>
        <v>0</v>
      </c>
      <c r="O9" s="367">
        <f t="shared" si="14"/>
        <v>0</v>
      </c>
      <c r="P9" s="368">
        <f>'8.项目规划指标表'!X8</f>
        <v>0</v>
      </c>
      <c r="Q9" s="370">
        <f t="shared" si="20"/>
        <v>0</v>
      </c>
      <c r="R9" s="367">
        <f t="shared" si="15"/>
        <v>0</v>
      </c>
      <c r="S9" s="368">
        <f>'8.项目规划指标表'!AB8</f>
        <v>0</v>
      </c>
      <c r="T9" s="370">
        <f t="shared" si="21"/>
        <v>0</v>
      </c>
    </row>
    <row r="10" spans="1:21" ht="14.25" customHeight="1" outlineLevel="1">
      <c r="A10" s="351"/>
      <c r="B10" s="366">
        <f>'8.项目规划指标表'!$B$9</f>
        <v>0</v>
      </c>
      <c r="C10" s="367">
        <f t="shared" si="0"/>
        <v>0</v>
      </c>
      <c r="D10" s="368">
        <f>'8.项目规划指标表'!H9</f>
        <v>0</v>
      </c>
      <c r="E10" s="369">
        <f t="shared" si="16"/>
        <v>0</v>
      </c>
      <c r="F10" s="367">
        <f t="shared" si="11"/>
        <v>0</v>
      </c>
      <c r="G10" s="368">
        <f>'8.项目规划指标表'!L9</f>
        <v>0</v>
      </c>
      <c r="H10" s="370">
        <f t="shared" si="17"/>
        <v>0</v>
      </c>
      <c r="I10" s="367">
        <f t="shared" si="12"/>
        <v>0</v>
      </c>
      <c r="J10" s="368">
        <f>'8.项目规划指标表'!P9</f>
        <v>0</v>
      </c>
      <c r="K10" s="370">
        <f t="shared" si="18"/>
        <v>0</v>
      </c>
      <c r="L10" s="367">
        <f t="shared" si="13"/>
        <v>0</v>
      </c>
      <c r="M10" s="368">
        <f>'8.项目规划指标表'!T9</f>
        <v>0</v>
      </c>
      <c r="N10" s="370">
        <f t="shared" si="19"/>
        <v>0</v>
      </c>
      <c r="O10" s="367">
        <f t="shared" si="14"/>
        <v>0</v>
      </c>
      <c r="P10" s="368">
        <f>'8.项目规划指标表'!X9</f>
        <v>0</v>
      </c>
      <c r="Q10" s="370">
        <f t="shared" si="20"/>
        <v>0</v>
      </c>
      <c r="R10" s="367">
        <f t="shared" si="15"/>
        <v>0</v>
      </c>
      <c r="S10" s="368">
        <f>'8.项目规划指标表'!AB9</f>
        <v>0</v>
      </c>
      <c r="T10" s="370">
        <f t="shared" si="21"/>
        <v>0</v>
      </c>
    </row>
    <row r="11" spans="1:21" ht="14.25" customHeight="1" outlineLevel="1">
      <c r="A11" s="351"/>
      <c r="B11" s="366">
        <f>'8.项目规划指标表'!$B$10</f>
        <v>0</v>
      </c>
      <c r="C11" s="367">
        <f t="shared" si="0"/>
        <v>0</v>
      </c>
      <c r="D11" s="368">
        <f>'8.项目规划指标表'!H10</f>
        <v>0</v>
      </c>
      <c r="E11" s="369">
        <f t="shared" si="16"/>
        <v>0</v>
      </c>
      <c r="F11" s="367">
        <f t="shared" si="11"/>
        <v>0</v>
      </c>
      <c r="G11" s="368">
        <f>'8.项目规划指标表'!L10</f>
        <v>0</v>
      </c>
      <c r="H11" s="370">
        <f t="shared" si="17"/>
        <v>0</v>
      </c>
      <c r="I11" s="367">
        <f t="shared" si="12"/>
        <v>0</v>
      </c>
      <c r="J11" s="368">
        <f>'8.项目规划指标表'!P10</f>
        <v>0</v>
      </c>
      <c r="K11" s="370">
        <f t="shared" si="18"/>
        <v>0</v>
      </c>
      <c r="L11" s="367">
        <f t="shared" si="13"/>
        <v>0</v>
      </c>
      <c r="M11" s="368">
        <f>'8.项目规划指标表'!T10</f>
        <v>0</v>
      </c>
      <c r="N11" s="370">
        <f t="shared" si="19"/>
        <v>0</v>
      </c>
      <c r="O11" s="367">
        <f t="shared" si="14"/>
        <v>0</v>
      </c>
      <c r="P11" s="368">
        <f>'8.项目规划指标表'!X10</f>
        <v>0</v>
      </c>
      <c r="Q11" s="370">
        <f t="shared" si="20"/>
        <v>0</v>
      </c>
      <c r="R11" s="367">
        <f t="shared" si="15"/>
        <v>0</v>
      </c>
      <c r="S11" s="368">
        <f>'8.项目规划指标表'!AB10</f>
        <v>0</v>
      </c>
      <c r="T11" s="370">
        <f t="shared" si="21"/>
        <v>0</v>
      </c>
    </row>
    <row r="12" spans="1:21" ht="14.25" customHeight="1" outlineLevel="1">
      <c r="A12" s="351"/>
      <c r="B12" s="366">
        <f>'8.项目规划指标表'!$B$11</f>
        <v>0</v>
      </c>
      <c r="C12" s="367">
        <f t="shared" si="0"/>
        <v>0</v>
      </c>
      <c r="D12" s="368">
        <f>'8.项目规划指标表'!H11</f>
        <v>0</v>
      </c>
      <c r="E12" s="369">
        <f t="shared" si="16"/>
        <v>0</v>
      </c>
      <c r="F12" s="367">
        <f t="shared" si="11"/>
        <v>0</v>
      </c>
      <c r="G12" s="368">
        <f>'8.项目规划指标表'!L11</f>
        <v>0</v>
      </c>
      <c r="H12" s="370">
        <f t="shared" si="17"/>
        <v>0</v>
      </c>
      <c r="I12" s="367">
        <f t="shared" si="12"/>
        <v>0</v>
      </c>
      <c r="J12" s="368">
        <f>'8.项目规划指标表'!P11</f>
        <v>0</v>
      </c>
      <c r="K12" s="370">
        <f t="shared" si="18"/>
        <v>0</v>
      </c>
      <c r="L12" s="367">
        <f t="shared" si="13"/>
        <v>0</v>
      </c>
      <c r="M12" s="368">
        <f>'8.项目规划指标表'!T11</f>
        <v>0</v>
      </c>
      <c r="N12" s="370">
        <f t="shared" si="19"/>
        <v>0</v>
      </c>
      <c r="O12" s="367">
        <f t="shared" si="14"/>
        <v>0</v>
      </c>
      <c r="P12" s="368">
        <f>'8.项目规划指标表'!X11</f>
        <v>0</v>
      </c>
      <c r="Q12" s="370">
        <f t="shared" si="20"/>
        <v>0</v>
      </c>
      <c r="R12" s="367">
        <f t="shared" si="15"/>
        <v>0</v>
      </c>
      <c r="S12" s="368">
        <f>'8.项目规划指标表'!AB11</f>
        <v>0</v>
      </c>
      <c r="T12" s="370">
        <f t="shared" si="21"/>
        <v>0</v>
      </c>
    </row>
    <row r="13" spans="1:21" ht="14.25" customHeight="1" outlineLevel="1">
      <c r="A13" s="351"/>
      <c r="B13" s="366">
        <f>'8.项目规划指标表'!$B$12</f>
        <v>0</v>
      </c>
      <c r="C13" s="367">
        <f t="shared" si="0"/>
        <v>0</v>
      </c>
      <c r="D13" s="368">
        <f>'8.项目规划指标表'!H12</f>
        <v>0</v>
      </c>
      <c r="E13" s="369">
        <f t="shared" si="16"/>
        <v>0</v>
      </c>
      <c r="F13" s="367">
        <f t="shared" si="11"/>
        <v>0</v>
      </c>
      <c r="G13" s="368">
        <f>'8.项目规划指标表'!L12</f>
        <v>0</v>
      </c>
      <c r="H13" s="370">
        <f t="shared" si="17"/>
        <v>0</v>
      </c>
      <c r="I13" s="367">
        <f t="shared" si="12"/>
        <v>0</v>
      </c>
      <c r="J13" s="368">
        <f>'8.项目规划指标表'!P12</f>
        <v>0</v>
      </c>
      <c r="K13" s="370">
        <f t="shared" si="18"/>
        <v>0</v>
      </c>
      <c r="L13" s="367">
        <f t="shared" si="13"/>
        <v>0</v>
      </c>
      <c r="M13" s="368">
        <f>'8.项目规划指标表'!T12</f>
        <v>0</v>
      </c>
      <c r="N13" s="370">
        <f t="shared" si="19"/>
        <v>0</v>
      </c>
      <c r="O13" s="367">
        <f t="shared" si="14"/>
        <v>0</v>
      </c>
      <c r="P13" s="368">
        <f>'8.项目规划指标表'!X12</f>
        <v>0</v>
      </c>
      <c r="Q13" s="370">
        <f t="shared" si="20"/>
        <v>0</v>
      </c>
      <c r="R13" s="367">
        <f t="shared" si="15"/>
        <v>0</v>
      </c>
      <c r="S13" s="368">
        <f>'8.项目规划指标表'!AB12</f>
        <v>0</v>
      </c>
      <c r="T13" s="370">
        <f t="shared" si="21"/>
        <v>0</v>
      </c>
    </row>
    <row r="14" spans="1:21" ht="14.25" customHeight="1" outlineLevel="1">
      <c r="A14" s="351"/>
      <c r="B14" s="366">
        <f>'8.项目规划指标表'!$B$13</f>
        <v>0</v>
      </c>
      <c r="C14" s="367">
        <f t="shared" si="0"/>
        <v>0</v>
      </c>
      <c r="D14" s="368">
        <f>'8.项目规划指标表'!H13</f>
        <v>0</v>
      </c>
      <c r="E14" s="369">
        <f t="shared" si="16"/>
        <v>0</v>
      </c>
      <c r="F14" s="367">
        <f t="shared" si="11"/>
        <v>0</v>
      </c>
      <c r="G14" s="368">
        <f>'8.项目规划指标表'!L13</f>
        <v>0</v>
      </c>
      <c r="H14" s="370">
        <f t="shared" si="17"/>
        <v>0</v>
      </c>
      <c r="I14" s="367">
        <f t="shared" si="12"/>
        <v>0</v>
      </c>
      <c r="J14" s="368">
        <f>'8.项目规划指标表'!P13</f>
        <v>0</v>
      </c>
      <c r="K14" s="370">
        <f t="shared" si="18"/>
        <v>0</v>
      </c>
      <c r="L14" s="367">
        <f t="shared" si="13"/>
        <v>0</v>
      </c>
      <c r="M14" s="368">
        <f>'8.项目规划指标表'!T13</f>
        <v>0</v>
      </c>
      <c r="N14" s="370">
        <f t="shared" si="19"/>
        <v>0</v>
      </c>
      <c r="O14" s="367">
        <f t="shared" si="14"/>
        <v>0</v>
      </c>
      <c r="P14" s="368">
        <f>'8.项目规划指标表'!X13</f>
        <v>0</v>
      </c>
      <c r="Q14" s="370">
        <f t="shared" si="20"/>
        <v>0</v>
      </c>
      <c r="R14" s="367">
        <f t="shared" si="15"/>
        <v>0</v>
      </c>
      <c r="S14" s="368">
        <f>'8.项目规划指标表'!AB13</f>
        <v>0</v>
      </c>
      <c r="T14" s="370">
        <f t="shared" si="21"/>
        <v>0</v>
      </c>
    </row>
    <row r="15" spans="1:21" ht="14.25" customHeight="1" outlineLevel="1">
      <c r="A15" s="351"/>
      <c r="B15" s="366" t="str">
        <f>'8.项目规划指标表'!$B$14</f>
        <v>自持物业</v>
      </c>
      <c r="C15" s="367">
        <f t="shared" si="0"/>
        <v>0</v>
      </c>
      <c r="D15" s="368">
        <f>'8.项目规划指标表'!H14</f>
        <v>0</v>
      </c>
      <c r="E15" s="369">
        <f t="shared" si="16"/>
        <v>0</v>
      </c>
      <c r="F15" s="367">
        <f t="shared" si="11"/>
        <v>0</v>
      </c>
      <c r="G15" s="368">
        <f>'8.项目规划指标表'!L14</f>
        <v>0</v>
      </c>
      <c r="H15" s="370">
        <f t="shared" si="17"/>
        <v>0</v>
      </c>
      <c r="I15" s="367">
        <f t="shared" si="12"/>
        <v>0</v>
      </c>
      <c r="J15" s="368">
        <f>'8.项目规划指标表'!P14</f>
        <v>0</v>
      </c>
      <c r="K15" s="370">
        <f t="shared" si="18"/>
        <v>0</v>
      </c>
      <c r="L15" s="367">
        <f t="shared" si="13"/>
        <v>0</v>
      </c>
      <c r="M15" s="368">
        <f>'8.项目规划指标表'!T14</f>
        <v>0</v>
      </c>
      <c r="N15" s="370">
        <f t="shared" si="19"/>
        <v>0</v>
      </c>
      <c r="O15" s="367">
        <f t="shared" si="14"/>
        <v>0</v>
      </c>
      <c r="P15" s="368">
        <f>'8.项目规划指标表'!X14</f>
        <v>0</v>
      </c>
      <c r="Q15" s="370">
        <f t="shared" si="20"/>
        <v>0</v>
      </c>
      <c r="R15" s="367">
        <f t="shared" si="15"/>
        <v>0</v>
      </c>
      <c r="S15" s="368">
        <f>'8.项目规划指标表'!AB14</f>
        <v>0</v>
      </c>
      <c r="T15" s="370">
        <f t="shared" si="21"/>
        <v>0</v>
      </c>
    </row>
    <row r="16" spans="1:21" ht="14.25" customHeight="1" outlineLevel="1">
      <c r="A16" s="351"/>
      <c r="B16" s="366" t="str">
        <f>'8.项目规划指标表'!$B$15</f>
        <v>无产权公共配套</v>
      </c>
      <c r="C16" s="367">
        <f t="shared" si="0"/>
        <v>0</v>
      </c>
      <c r="D16" s="368">
        <f>'8.项目规划指标表'!H15</f>
        <v>667</v>
      </c>
      <c r="E16" s="369">
        <f t="shared" si="16"/>
        <v>0</v>
      </c>
      <c r="F16" s="367">
        <f t="shared" si="11"/>
        <v>0</v>
      </c>
      <c r="G16" s="368">
        <f>'8.项目规划指标表'!L15</f>
        <v>0</v>
      </c>
      <c r="H16" s="370">
        <f t="shared" si="17"/>
        <v>0</v>
      </c>
      <c r="I16" s="367">
        <f t="shared" si="12"/>
        <v>0</v>
      </c>
      <c r="J16" s="368">
        <f>'8.项目规划指标表'!P15</f>
        <v>0</v>
      </c>
      <c r="K16" s="370">
        <f t="shared" si="18"/>
        <v>0</v>
      </c>
      <c r="L16" s="367">
        <f t="shared" si="13"/>
        <v>0</v>
      </c>
      <c r="M16" s="368">
        <f>'8.项目规划指标表'!T15</f>
        <v>0</v>
      </c>
      <c r="N16" s="370">
        <f t="shared" si="19"/>
        <v>0</v>
      </c>
      <c r="O16" s="367">
        <f t="shared" si="14"/>
        <v>0</v>
      </c>
      <c r="P16" s="368">
        <f>'8.项目规划指标表'!X15</f>
        <v>0</v>
      </c>
      <c r="Q16" s="370">
        <f t="shared" si="20"/>
        <v>0</v>
      </c>
      <c r="R16" s="367">
        <f t="shared" si="15"/>
        <v>0</v>
      </c>
      <c r="S16" s="368">
        <f>'8.项目规划指标表'!AB15</f>
        <v>0</v>
      </c>
      <c r="T16" s="370">
        <f t="shared" si="21"/>
        <v>0</v>
      </c>
    </row>
    <row r="17" spans="1:20" ht="14.25" customHeight="1" outlineLevel="1">
      <c r="A17" s="351"/>
      <c r="B17" s="366" t="str">
        <f>'8.项目规划指标表'!$B$18</f>
        <v>有产权车库(个)</v>
      </c>
      <c r="C17" s="367">
        <f t="shared" si="0"/>
        <v>1428</v>
      </c>
      <c r="D17" s="368">
        <f>'8.项目规划指标表'!$G$18</f>
        <v>13082</v>
      </c>
      <c r="E17" s="369">
        <f>SUM(E31,E45,E59,E73,E87,E101,E115)</f>
        <v>1868.1096</v>
      </c>
      <c r="F17" s="367">
        <f t="shared" si="11"/>
        <v>0</v>
      </c>
      <c r="G17" s="368">
        <f>IF($B17=$B$133,0,'8.项目规划指标表'!K18)</f>
        <v>0</v>
      </c>
      <c r="H17" s="370">
        <f t="shared" si="17"/>
        <v>0</v>
      </c>
      <c r="I17" s="367">
        <f t="shared" si="12"/>
        <v>0</v>
      </c>
      <c r="J17" s="368">
        <f>IF($B17=$B$133,0,'8.项目规划指标表'!O18)</f>
        <v>0</v>
      </c>
      <c r="K17" s="370">
        <f t="shared" si="18"/>
        <v>0</v>
      </c>
      <c r="L17" s="367">
        <f t="shared" si="13"/>
        <v>0</v>
      </c>
      <c r="M17" s="368">
        <f>IF($B17=$B$133,0,'8.项目规划指标表'!S18)</f>
        <v>0</v>
      </c>
      <c r="N17" s="370">
        <f t="shared" si="19"/>
        <v>0</v>
      </c>
      <c r="O17" s="367">
        <f t="shared" si="14"/>
        <v>0</v>
      </c>
      <c r="P17" s="368">
        <f>IF($B17=$B$133,0,'8.项目规划指标表'!W18)</f>
        <v>0</v>
      </c>
      <c r="Q17" s="370">
        <f t="shared" si="20"/>
        <v>0</v>
      </c>
      <c r="R17" s="367">
        <f t="shared" si="15"/>
        <v>0</v>
      </c>
      <c r="S17" s="368">
        <f>IF($B17=$B$133,0,'8.项目规划指标表'!AA18)</f>
        <v>0</v>
      </c>
      <c r="T17" s="370">
        <f t="shared" si="21"/>
        <v>0</v>
      </c>
    </row>
    <row r="18" spans="1:20" ht="14.25" customHeight="1" outlineLevel="1">
      <c r="A18" s="351"/>
      <c r="B18" s="366" t="str">
        <f>'8.项目规划指标表'!$B$19</f>
        <v>无产权车库(个)</v>
      </c>
      <c r="C18" s="367">
        <f t="shared" si="0"/>
        <v>0</v>
      </c>
      <c r="D18" s="368">
        <f>'8.项目规划指标表'!$G$19</f>
        <v>4257</v>
      </c>
      <c r="E18" s="369">
        <f>SUM(E32,E46,E60,E74,E88,E102,E116)</f>
        <v>0</v>
      </c>
      <c r="F18" s="367">
        <f t="shared" si="11"/>
        <v>0</v>
      </c>
      <c r="G18" s="368">
        <f>IF($B18=$B$133,0,'8.项目规划指标表'!K19)</f>
        <v>0</v>
      </c>
      <c r="H18" s="370">
        <f t="shared" si="17"/>
        <v>0</v>
      </c>
      <c r="I18" s="367">
        <f t="shared" si="12"/>
        <v>0</v>
      </c>
      <c r="J18" s="368">
        <f>IF($B18=$B$133,0,'8.项目规划指标表'!O19)</f>
        <v>0</v>
      </c>
      <c r="K18" s="370">
        <f t="shared" si="18"/>
        <v>0</v>
      </c>
      <c r="L18" s="367">
        <f t="shared" si="13"/>
        <v>0</v>
      </c>
      <c r="M18" s="368">
        <f>IF($B18=$B$133,0,'8.项目规划指标表'!S19)</f>
        <v>0</v>
      </c>
      <c r="N18" s="370">
        <f t="shared" si="19"/>
        <v>0</v>
      </c>
      <c r="O18" s="367">
        <f t="shared" si="14"/>
        <v>0</v>
      </c>
      <c r="P18" s="368">
        <f>IF($B18=$B$133,0,'8.项目规划指标表'!W19)</f>
        <v>0</v>
      </c>
      <c r="Q18" s="370">
        <f t="shared" si="20"/>
        <v>0</v>
      </c>
      <c r="R18" s="367">
        <f t="shared" si="15"/>
        <v>0</v>
      </c>
      <c r="S18" s="368">
        <f>IF($B18=$B$133,0,'8.项目规划指标表'!AA19)</f>
        <v>0</v>
      </c>
      <c r="T18" s="370">
        <f t="shared" si="21"/>
        <v>0</v>
      </c>
    </row>
    <row r="19" spans="1:20" ht="15" customHeight="1">
      <c r="A19" s="351"/>
      <c r="B19" s="362" t="s">
        <v>867</v>
      </c>
      <c r="C19" s="363">
        <f t="shared" si="0"/>
        <v>170</v>
      </c>
      <c r="D19" s="364">
        <f t="shared" ref="D19:H19" si="22">SUM(D20:D32)</f>
        <v>63948</v>
      </c>
      <c r="E19" s="365">
        <f t="shared" si="22"/>
        <v>1087.116</v>
      </c>
      <c r="F19" s="363">
        <f t="shared" si="11"/>
        <v>0</v>
      </c>
      <c r="G19" s="364">
        <f t="shared" si="22"/>
        <v>0</v>
      </c>
      <c r="H19" s="365">
        <f t="shared" si="22"/>
        <v>0</v>
      </c>
      <c r="I19" s="363">
        <f t="shared" si="12"/>
        <v>0</v>
      </c>
      <c r="J19" s="364">
        <f t="shared" ref="J19:N19" si="23">SUM(J20:J32)</f>
        <v>0</v>
      </c>
      <c r="K19" s="365">
        <f t="shared" si="23"/>
        <v>0</v>
      </c>
      <c r="L19" s="363">
        <f t="shared" si="13"/>
        <v>0</v>
      </c>
      <c r="M19" s="364">
        <f t="shared" si="23"/>
        <v>0</v>
      </c>
      <c r="N19" s="365">
        <f t="shared" si="23"/>
        <v>0</v>
      </c>
      <c r="O19" s="363">
        <f t="shared" si="14"/>
        <v>0</v>
      </c>
      <c r="P19" s="364">
        <f t="shared" ref="P19:T19" si="24">SUM(P20:P32)</f>
        <v>0</v>
      </c>
      <c r="Q19" s="365">
        <f t="shared" si="24"/>
        <v>0</v>
      </c>
      <c r="R19" s="363">
        <f t="shared" si="15"/>
        <v>0</v>
      </c>
      <c r="S19" s="364">
        <f t="shared" si="24"/>
        <v>0</v>
      </c>
      <c r="T19" s="365">
        <f t="shared" si="24"/>
        <v>0</v>
      </c>
    </row>
    <row r="20" spans="1:20" ht="14.25" customHeight="1" outlineLevel="1">
      <c r="A20" s="351"/>
      <c r="B20" s="366" t="str">
        <f>'8.项目规划指标表'!$B$5</f>
        <v>高层</v>
      </c>
      <c r="C20" s="371">
        <v>170</v>
      </c>
      <c r="D20" s="368">
        <f>IF(C20="",0,D6)</f>
        <v>56100</v>
      </c>
      <c r="E20" s="369">
        <f t="shared" ref="E20:E32" si="25">C20*D20/10000</f>
        <v>953.7</v>
      </c>
      <c r="F20" s="372">
        <f>+E5-E117</f>
        <v>30729.934399999998</v>
      </c>
      <c r="G20" s="368">
        <f>IF(F20="",0,G6)</f>
        <v>0</v>
      </c>
      <c r="H20" s="369">
        <f t="shared" ref="H20:H32" si="26">F20*G20/10000</f>
        <v>0</v>
      </c>
      <c r="I20" s="372"/>
      <c r="J20" s="368">
        <f>IF(I20="",0,J6)</f>
        <v>0</v>
      </c>
      <c r="K20" s="369">
        <f t="shared" ref="K20:K32" si="27">I20*J20/10000</f>
        <v>0</v>
      </c>
      <c r="L20" s="372"/>
      <c r="M20" s="368">
        <f>IF(L20="",0,M6)</f>
        <v>0</v>
      </c>
      <c r="N20" s="369">
        <f t="shared" ref="N20:N32" si="28">L20*M20/10000</f>
        <v>0</v>
      </c>
      <c r="O20" s="372"/>
      <c r="P20" s="368">
        <f>IF(O20="",0,P6)</f>
        <v>0</v>
      </c>
      <c r="Q20" s="369">
        <f t="shared" ref="Q20:Q32" si="29">O20*P20/10000</f>
        <v>0</v>
      </c>
      <c r="R20" s="372"/>
      <c r="S20" s="368">
        <f>IF(R20="",0,S6)</f>
        <v>0</v>
      </c>
      <c r="T20" s="369">
        <f t="shared" ref="T20:T32" si="30">R20*S20/10000</f>
        <v>0</v>
      </c>
    </row>
    <row r="21" spans="1:20" ht="14.25" customHeight="1" outlineLevel="1">
      <c r="A21" s="351"/>
      <c r="B21" s="366" t="str">
        <f>'8.项目规划指标表'!$B$6</f>
        <v>商铺</v>
      </c>
      <c r="C21" s="371">
        <v>170</v>
      </c>
      <c r="D21" s="368">
        <f t="shared" ref="D21:D32" si="31">IF(C21="",0,D7)</f>
        <v>3640</v>
      </c>
      <c r="E21" s="369">
        <f t="shared" si="25"/>
        <v>61.88</v>
      </c>
      <c r="F21" s="372"/>
      <c r="G21" s="368">
        <f t="shared" ref="G21:G32" si="32">IF(F21="",0,G7)</f>
        <v>0</v>
      </c>
      <c r="H21" s="369">
        <f t="shared" si="26"/>
        <v>0</v>
      </c>
      <c r="I21" s="372"/>
      <c r="J21" s="368">
        <f t="shared" ref="J21:J32" si="33">IF(I21="",0,J7)</f>
        <v>0</v>
      </c>
      <c r="K21" s="369">
        <f t="shared" si="27"/>
        <v>0</v>
      </c>
      <c r="L21" s="372"/>
      <c r="M21" s="368">
        <f t="shared" ref="M21:M32" si="34">IF(L21="",0,M7)</f>
        <v>0</v>
      </c>
      <c r="N21" s="369">
        <f t="shared" si="28"/>
        <v>0</v>
      </c>
      <c r="O21" s="372"/>
      <c r="P21" s="368">
        <f t="shared" ref="P21:P32" si="35">IF(O21="",0,P7)</f>
        <v>0</v>
      </c>
      <c r="Q21" s="369">
        <f t="shared" si="29"/>
        <v>0</v>
      </c>
      <c r="R21" s="372"/>
      <c r="S21" s="368">
        <f t="shared" ref="S21:S32" si="36">IF(R21="",0,S7)</f>
        <v>0</v>
      </c>
      <c r="T21" s="369">
        <f t="shared" si="30"/>
        <v>0</v>
      </c>
    </row>
    <row r="22" spans="1:20" ht="14.25" customHeight="1" outlineLevel="1">
      <c r="A22" s="351"/>
      <c r="B22" s="366" t="str">
        <f>'8.项目规划指标表'!$B$7</f>
        <v>回迁商业</v>
      </c>
      <c r="C22" s="371">
        <v>170</v>
      </c>
      <c r="D22" s="368">
        <f t="shared" si="31"/>
        <v>4208</v>
      </c>
      <c r="E22" s="369">
        <f t="shared" si="25"/>
        <v>71.536000000000001</v>
      </c>
      <c r="F22" s="372"/>
      <c r="G22" s="368">
        <f t="shared" si="32"/>
        <v>0</v>
      </c>
      <c r="H22" s="369">
        <f t="shared" si="26"/>
        <v>0</v>
      </c>
      <c r="I22" s="372"/>
      <c r="J22" s="368">
        <f t="shared" si="33"/>
        <v>0</v>
      </c>
      <c r="K22" s="369">
        <f t="shared" si="27"/>
        <v>0</v>
      </c>
      <c r="L22" s="372"/>
      <c r="M22" s="368">
        <f t="shared" si="34"/>
        <v>0</v>
      </c>
      <c r="N22" s="369">
        <f t="shared" si="28"/>
        <v>0</v>
      </c>
      <c r="O22" s="372"/>
      <c r="P22" s="368">
        <f t="shared" si="35"/>
        <v>0</v>
      </c>
      <c r="Q22" s="369">
        <f t="shared" si="29"/>
        <v>0</v>
      </c>
      <c r="R22" s="372"/>
      <c r="S22" s="368">
        <f t="shared" si="36"/>
        <v>0</v>
      </c>
      <c r="T22" s="369">
        <f t="shared" si="30"/>
        <v>0</v>
      </c>
    </row>
    <row r="23" spans="1:20" ht="14.25" customHeight="1" outlineLevel="1">
      <c r="A23" s="351"/>
      <c r="B23" s="366">
        <f>'8.项目规划指标表'!$B$8</f>
        <v>0</v>
      </c>
      <c r="C23" s="371">
        <v>170</v>
      </c>
      <c r="D23" s="368">
        <f t="shared" si="31"/>
        <v>0</v>
      </c>
      <c r="E23" s="369">
        <f t="shared" si="25"/>
        <v>0</v>
      </c>
      <c r="F23" s="372"/>
      <c r="G23" s="368">
        <f t="shared" si="32"/>
        <v>0</v>
      </c>
      <c r="H23" s="369">
        <f t="shared" si="26"/>
        <v>0</v>
      </c>
      <c r="I23" s="372"/>
      <c r="J23" s="368">
        <f t="shared" si="33"/>
        <v>0</v>
      </c>
      <c r="K23" s="369">
        <f t="shared" si="27"/>
        <v>0</v>
      </c>
      <c r="L23" s="372"/>
      <c r="M23" s="368">
        <f t="shared" si="34"/>
        <v>0</v>
      </c>
      <c r="N23" s="369">
        <f t="shared" si="28"/>
        <v>0</v>
      </c>
      <c r="O23" s="372"/>
      <c r="P23" s="368">
        <f t="shared" si="35"/>
        <v>0</v>
      </c>
      <c r="Q23" s="369">
        <f t="shared" si="29"/>
        <v>0</v>
      </c>
      <c r="R23" s="372"/>
      <c r="S23" s="368">
        <f t="shared" si="36"/>
        <v>0</v>
      </c>
      <c r="T23" s="369">
        <f t="shared" si="30"/>
        <v>0</v>
      </c>
    </row>
    <row r="24" spans="1:20" ht="14.25" customHeight="1" outlineLevel="1">
      <c r="A24" s="351"/>
      <c r="B24" s="366">
        <f>'8.项目规划指标表'!$B$9</f>
        <v>0</v>
      </c>
      <c r="C24" s="372"/>
      <c r="D24" s="368">
        <f t="shared" si="31"/>
        <v>0</v>
      </c>
      <c r="E24" s="369">
        <f t="shared" si="25"/>
        <v>0</v>
      </c>
      <c r="F24" s="372"/>
      <c r="G24" s="368">
        <f t="shared" si="32"/>
        <v>0</v>
      </c>
      <c r="H24" s="369">
        <f t="shared" si="26"/>
        <v>0</v>
      </c>
      <c r="I24" s="372"/>
      <c r="J24" s="368">
        <f t="shared" si="33"/>
        <v>0</v>
      </c>
      <c r="K24" s="369">
        <f t="shared" si="27"/>
        <v>0</v>
      </c>
      <c r="L24" s="372"/>
      <c r="M24" s="368">
        <f t="shared" si="34"/>
        <v>0</v>
      </c>
      <c r="N24" s="369">
        <f t="shared" si="28"/>
        <v>0</v>
      </c>
      <c r="O24" s="372"/>
      <c r="P24" s="368">
        <f t="shared" si="35"/>
        <v>0</v>
      </c>
      <c r="Q24" s="369">
        <f t="shared" si="29"/>
        <v>0</v>
      </c>
      <c r="R24" s="372"/>
      <c r="S24" s="368">
        <f t="shared" si="36"/>
        <v>0</v>
      </c>
      <c r="T24" s="369">
        <f t="shared" si="30"/>
        <v>0</v>
      </c>
    </row>
    <row r="25" spans="1:20" ht="14.25" customHeight="1" outlineLevel="1">
      <c r="A25" s="351"/>
      <c r="B25" s="366">
        <f>'8.项目规划指标表'!$B$10</f>
        <v>0</v>
      </c>
      <c r="C25" s="372"/>
      <c r="D25" s="368">
        <f t="shared" si="31"/>
        <v>0</v>
      </c>
      <c r="E25" s="369">
        <f t="shared" si="25"/>
        <v>0</v>
      </c>
      <c r="F25" s="372"/>
      <c r="G25" s="368">
        <f t="shared" si="32"/>
        <v>0</v>
      </c>
      <c r="H25" s="369">
        <f t="shared" si="26"/>
        <v>0</v>
      </c>
      <c r="I25" s="372"/>
      <c r="J25" s="368">
        <f t="shared" si="33"/>
        <v>0</v>
      </c>
      <c r="K25" s="369">
        <f t="shared" si="27"/>
        <v>0</v>
      </c>
      <c r="L25" s="372"/>
      <c r="M25" s="368">
        <f t="shared" si="34"/>
        <v>0</v>
      </c>
      <c r="N25" s="369">
        <f t="shared" si="28"/>
        <v>0</v>
      </c>
      <c r="O25" s="372"/>
      <c r="P25" s="368">
        <f t="shared" si="35"/>
        <v>0</v>
      </c>
      <c r="Q25" s="369">
        <f t="shared" si="29"/>
        <v>0</v>
      </c>
      <c r="R25" s="372"/>
      <c r="S25" s="368">
        <f t="shared" si="36"/>
        <v>0</v>
      </c>
      <c r="T25" s="369">
        <f t="shared" si="30"/>
        <v>0</v>
      </c>
    </row>
    <row r="26" spans="1:20" ht="14.25" customHeight="1" outlineLevel="1">
      <c r="A26" s="351"/>
      <c r="B26" s="366">
        <f>'8.项目规划指标表'!$B$11</f>
        <v>0</v>
      </c>
      <c r="C26" s="371"/>
      <c r="D26" s="368">
        <f t="shared" si="31"/>
        <v>0</v>
      </c>
      <c r="E26" s="369">
        <f t="shared" si="25"/>
        <v>0</v>
      </c>
      <c r="F26" s="372"/>
      <c r="G26" s="368">
        <f t="shared" si="32"/>
        <v>0</v>
      </c>
      <c r="H26" s="369">
        <f t="shared" si="26"/>
        <v>0</v>
      </c>
      <c r="I26" s="372"/>
      <c r="J26" s="368">
        <f t="shared" si="33"/>
        <v>0</v>
      </c>
      <c r="K26" s="369">
        <f t="shared" si="27"/>
        <v>0</v>
      </c>
      <c r="L26" s="372"/>
      <c r="M26" s="368">
        <f t="shared" si="34"/>
        <v>0</v>
      </c>
      <c r="N26" s="369">
        <f t="shared" si="28"/>
        <v>0</v>
      </c>
      <c r="O26" s="372"/>
      <c r="P26" s="368">
        <f t="shared" si="35"/>
        <v>0</v>
      </c>
      <c r="Q26" s="369">
        <f t="shared" si="29"/>
        <v>0</v>
      </c>
      <c r="R26" s="372"/>
      <c r="S26" s="368">
        <f t="shared" si="36"/>
        <v>0</v>
      </c>
      <c r="T26" s="369">
        <f t="shared" si="30"/>
        <v>0</v>
      </c>
    </row>
    <row r="27" spans="1:20" ht="14.25" customHeight="1" outlineLevel="1">
      <c r="A27" s="351"/>
      <c r="B27" s="366">
        <f>'8.项目规划指标表'!$B$12</f>
        <v>0</v>
      </c>
      <c r="C27" s="372"/>
      <c r="D27" s="368">
        <f t="shared" si="31"/>
        <v>0</v>
      </c>
      <c r="E27" s="369">
        <f t="shared" si="25"/>
        <v>0</v>
      </c>
      <c r="F27" s="372"/>
      <c r="G27" s="368">
        <f t="shared" si="32"/>
        <v>0</v>
      </c>
      <c r="H27" s="369">
        <f t="shared" si="26"/>
        <v>0</v>
      </c>
      <c r="I27" s="372"/>
      <c r="J27" s="368">
        <f t="shared" si="33"/>
        <v>0</v>
      </c>
      <c r="K27" s="369">
        <f t="shared" si="27"/>
        <v>0</v>
      </c>
      <c r="L27" s="372"/>
      <c r="M27" s="368">
        <f t="shared" si="34"/>
        <v>0</v>
      </c>
      <c r="N27" s="369">
        <f t="shared" si="28"/>
        <v>0</v>
      </c>
      <c r="O27" s="372"/>
      <c r="P27" s="368">
        <f t="shared" si="35"/>
        <v>0</v>
      </c>
      <c r="Q27" s="369">
        <f t="shared" si="29"/>
        <v>0</v>
      </c>
      <c r="R27" s="372"/>
      <c r="S27" s="368">
        <f t="shared" si="36"/>
        <v>0</v>
      </c>
      <c r="T27" s="369">
        <f t="shared" si="30"/>
        <v>0</v>
      </c>
    </row>
    <row r="28" spans="1:20" ht="14.25" customHeight="1" outlineLevel="1">
      <c r="A28" s="351"/>
      <c r="B28" s="366">
        <f>'8.项目规划指标表'!$B$13</f>
        <v>0</v>
      </c>
      <c r="C28" s="371"/>
      <c r="D28" s="368">
        <f t="shared" si="31"/>
        <v>0</v>
      </c>
      <c r="E28" s="369">
        <f t="shared" si="25"/>
        <v>0</v>
      </c>
      <c r="F28" s="372"/>
      <c r="G28" s="368">
        <f t="shared" si="32"/>
        <v>0</v>
      </c>
      <c r="H28" s="369">
        <f t="shared" si="26"/>
        <v>0</v>
      </c>
      <c r="I28" s="372"/>
      <c r="J28" s="368">
        <f t="shared" si="33"/>
        <v>0</v>
      </c>
      <c r="K28" s="369">
        <f t="shared" si="27"/>
        <v>0</v>
      </c>
      <c r="L28" s="372"/>
      <c r="M28" s="368">
        <f t="shared" si="34"/>
        <v>0</v>
      </c>
      <c r="N28" s="369">
        <f t="shared" si="28"/>
        <v>0</v>
      </c>
      <c r="O28" s="372"/>
      <c r="P28" s="368">
        <f t="shared" si="35"/>
        <v>0</v>
      </c>
      <c r="Q28" s="369">
        <f t="shared" si="29"/>
        <v>0</v>
      </c>
      <c r="R28" s="372"/>
      <c r="S28" s="368">
        <f t="shared" si="36"/>
        <v>0</v>
      </c>
      <c r="T28" s="369">
        <f t="shared" si="30"/>
        <v>0</v>
      </c>
    </row>
    <row r="29" spans="1:20" ht="14.25" customHeight="1" outlineLevel="1">
      <c r="A29" s="351"/>
      <c r="B29" s="366" t="str">
        <f>'8.项目规划指标表'!$B$14</f>
        <v>自持物业</v>
      </c>
      <c r="C29" s="371"/>
      <c r="D29" s="368">
        <f t="shared" si="31"/>
        <v>0</v>
      </c>
      <c r="E29" s="369">
        <f t="shared" si="25"/>
        <v>0</v>
      </c>
      <c r="F29" s="372"/>
      <c r="G29" s="368">
        <f t="shared" si="32"/>
        <v>0</v>
      </c>
      <c r="H29" s="369">
        <f t="shared" si="26"/>
        <v>0</v>
      </c>
      <c r="I29" s="372"/>
      <c r="J29" s="368">
        <f t="shared" si="33"/>
        <v>0</v>
      </c>
      <c r="K29" s="369">
        <f t="shared" si="27"/>
        <v>0</v>
      </c>
      <c r="L29" s="372"/>
      <c r="M29" s="368">
        <f t="shared" si="34"/>
        <v>0</v>
      </c>
      <c r="N29" s="369">
        <f t="shared" si="28"/>
        <v>0</v>
      </c>
      <c r="O29" s="372"/>
      <c r="P29" s="368">
        <f t="shared" si="35"/>
        <v>0</v>
      </c>
      <c r="Q29" s="369">
        <f t="shared" si="29"/>
        <v>0</v>
      </c>
      <c r="R29" s="372"/>
      <c r="S29" s="368">
        <f t="shared" si="36"/>
        <v>0</v>
      </c>
      <c r="T29" s="369">
        <f t="shared" si="30"/>
        <v>0</v>
      </c>
    </row>
    <row r="30" spans="1:20" ht="14.25" customHeight="1" outlineLevel="1">
      <c r="A30" s="351"/>
      <c r="B30" s="366" t="str">
        <f>'8.项目规划指标表'!$B$15</f>
        <v>无产权公共配套</v>
      </c>
      <c r="C30" s="372"/>
      <c r="D30" s="368">
        <f t="shared" si="31"/>
        <v>0</v>
      </c>
      <c r="E30" s="369">
        <f t="shared" si="25"/>
        <v>0</v>
      </c>
      <c r="F30" s="372"/>
      <c r="G30" s="368">
        <f t="shared" si="32"/>
        <v>0</v>
      </c>
      <c r="H30" s="369">
        <f t="shared" si="26"/>
        <v>0</v>
      </c>
      <c r="I30" s="372"/>
      <c r="J30" s="368">
        <f t="shared" si="33"/>
        <v>0</v>
      </c>
      <c r="K30" s="369">
        <f t="shared" si="27"/>
        <v>0</v>
      </c>
      <c r="L30" s="372"/>
      <c r="M30" s="368">
        <f t="shared" si="34"/>
        <v>0</v>
      </c>
      <c r="N30" s="369">
        <f t="shared" si="28"/>
        <v>0</v>
      </c>
      <c r="O30" s="372"/>
      <c r="P30" s="368">
        <f t="shared" si="35"/>
        <v>0</v>
      </c>
      <c r="Q30" s="369">
        <f t="shared" si="29"/>
        <v>0</v>
      </c>
      <c r="R30" s="372"/>
      <c r="S30" s="368">
        <f t="shared" si="36"/>
        <v>0</v>
      </c>
      <c r="T30" s="369">
        <f t="shared" si="30"/>
        <v>0</v>
      </c>
    </row>
    <row r="31" spans="1:20" ht="14.25" customHeight="1" outlineLevel="1">
      <c r="A31" s="351"/>
      <c r="B31" s="366" t="str">
        <f>'8.项目规划指标表'!$B$18</f>
        <v>有产权车库(个)</v>
      </c>
      <c r="C31" s="372"/>
      <c r="D31" s="368">
        <f t="shared" si="31"/>
        <v>0</v>
      </c>
      <c r="E31" s="369">
        <f t="shared" si="25"/>
        <v>0</v>
      </c>
      <c r="F31" s="372"/>
      <c r="G31" s="368">
        <f t="shared" si="32"/>
        <v>0</v>
      </c>
      <c r="H31" s="369">
        <f t="shared" si="26"/>
        <v>0</v>
      </c>
      <c r="I31" s="372"/>
      <c r="J31" s="368">
        <f t="shared" si="33"/>
        <v>0</v>
      </c>
      <c r="K31" s="369">
        <f t="shared" si="27"/>
        <v>0</v>
      </c>
      <c r="L31" s="372"/>
      <c r="M31" s="368">
        <f t="shared" si="34"/>
        <v>0</v>
      </c>
      <c r="N31" s="369">
        <f t="shared" si="28"/>
        <v>0</v>
      </c>
      <c r="O31" s="372"/>
      <c r="P31" s="368">
        <f t="shared" si="35"/>
        <v>0</v>
      </c>
      <c r="Q31" s="369">
        <f t="shared" si="29"/>
        <v>0</v>
      </c>
      <c r="R31" s="372"/>
      <c r="S31" s="368">
        <f t="shared" si="36"/>
        <v>0</v>
      </c>
      <c r="T31" s="369">
        <f t="shared" si="30"/>
        <v>0</v>
      </c>
    </row>
    <row r="32" spans="1:20" ht="14.25" customHeight="1" outlineLevel="1">
      <c r="A32" s="351"/>
      <c r="B32" s="366" t="str">
        <f>'8.项目规划指标表'!$B$19</f>
        <v>无产权车库(个)</v>
      </c>
      <c r="C32" s="372"/>
      <c r="D32" s="368">
        <f t="shared" si="31"/>
        <v>0</v>
      </c>
      <c r="E32" s="369">
        <f t="shared" si="25"/>
        <v>0</v>
      </c>
      <c r="F32" s="372"/>
      <c r="G32" s="368">
        <f t="shared" si="32"/>
        <v>0</v>
      </c>
      <c r="H32" s="369">
        <f t="shared" si="26"/>
        <v>0</v>
      </c>
      <c r="I32" s="372"/>
      <c r="J32" s="368">
        <f t="shared" si="33"/>
        <v>0</v>
      </c>
      <c r="K32" s="369">
        <f t="shared" si="27"/>
        <v>0</v>
      </c>
      <c r="L32" s="372"/>
      <c r="M32" s="368">
        <f t="shared" si="34"/>
        <v>0</v>
      </c>
      <c r="N32" s="369">
        <f t="shared" si="28"/>
        <v>0</v>
      </c>
      <c r="O32" s="372"/>
      <c r="P32" s="368">
        <f t="shared" si="35"/>
        <v>0</v>
      </c>
      <c r="Q32" s="369">
        <f t="shared" si="29"/>
        <v>0</v>
      </c>
      <c r="R32" s="372"/>
      <c r="S32" s="368">
        <f t="shared" si="36"/>
        <v>0</v>
      </c>
      <c r="T32" s="369">
        <f t="shared" si="30"/>
        <v>0</v>
      </c>
    </row>
    <row r="33" spans="1:20" ht="15" customHeight="1">
      <c r="A33" s="351"/>
      <c r="B33" s="362" t="s">
        <v>868</v>
      </c>
      <c r="C33" s="363">
        <f>IFERROR(E33/D33*10000,0)</f>
        <v>1623.98899130209</v>
      </c>
      <c r="D33" s="364">
        <f t="shared" ref="D33:H33" si="37">SUM(D34:D46)</f>
        <v>77030</v>
      </c>
      <c r="E33" s="365">
        <f t="shared" si="37"/>
        <v>12509.5872</v>
      </c>
      <c r="F33" s="363">
        <f>IFERROR(H33/G33*10000,0)</f>
        <v>0</v>
      </c>
      <c r="G33" s="364">
        <f t="shared" si="37"/>
        <v>0</v>
      </c>
      <c r="H33" s="365">
        <f t="shared" si="37"/>
        <v>0</v>
      </c>
      <c r="I33" s="363">
        <f>IFERROR(K33/J33*10000,0)</f>
        <v>0</v>
      </c>
      <c r="J33" s="364">
        <f t="shared" ref="J33:N33" si="38">SUM(J34:J46)</f>
        <v>0</v>
      </c>
      <c r="K33" s="365">
        <f t="shared" si="38"/>
        <v>0</v>
      </c>
      <c r="L33" s="363">
        <f>IFERROR(N33/M33*10000,0)</f>
        <v>0</v>
      </c>
      <c r="M33" s="364">
        <f t="shared" si="38"/>
        <v>0</v>
      </c>
      <c r="N33" s="365">
        <f t="shared" si="38"/>
        <v>0</v>
      </c>
      <c r="O33" s="363">
        <f>IFERROR(Q33/P33*10000,0)</f>
        <v>0</v>
      </c>
      <c r="P33" s="364">
        <f t="shared" ref="P33:T33" si="39">SUM(P34:P46)</f>
        <v>0</v>
      </c>
      <c r="Q33" s="365">
        <f t="shared" si="39"/>
        <v>0</v>
      </c>
      <c r="R33" s="363">
        <f>IFERROR(T33/S33*10000,0)</f>
        <v>0</v>
      </c>
      <c r="S33" s="364">
        <f t="shared" si="39"/>
        <v>0</v>
      </c>
      <c r="T33" s="365">
        <f t="shared" si="39"/>
        <v>0</v>
      </c>
    </row>
    <row r="34" spans="1:20" ht="14.25" customHeight="1" outlineLevel="1">
      <c r="A34" s="351"/>
      <c r="B34" s="366" t="str">
        <f>'8.项目规划指标表'!$B$5</f>
        <v>高层</v>
      </c>
      <c r="C34" s="371">
        <v>1638</v>
      </c>
      <c r="D34" s="368">
        <f>IF(C34="",0,D6)</f>
        <v>56100</v>
      </c>
      <c r="E34" s="369">
        <f>C34*D34/10000</f>
        <v>9189.18</v>
      </c>
      <c r="F34" s="372"/>
      <c r="G34" s="368">
        <f>IF(F34="",0,G6)</f>
        <v>0</v>
      </c>
      <c r="H34" s="369">
        <f t="shared" ref="H34:H46" si="40">F34*G34/10000</f>
        <v>0</v>
      </c>
      <c r="I34" s="372"/>
      <c r="J34" s="368">
        <f>IF(I34="",0,J6)</f>
        <v>0</v>
      </c>
      <c r="K34" s="369">
        <f t="shared" ref="K34:K46" si="41">I34*J34/10000</f>
        <v>0</v>
      </c>
      <c r="L34" s="372"/>
      <c r="M34" s="368">
        <f>IF(L34="",0,M6)</f>
        <v>0</v>
      </c>
      <c r="N34" s="369">
        <f t="shared" ref="N34:N46" si="42">L34*M34/10000</f>
        <v>0</v>
      </c>
      <c r="O34" s="372"/>
      <c r="P34" s="368">
        <f>IF(O34="",0,P6)</f>
        <v>0</v>
      </c>
      <c r="Q34" s="369">
        <f t="shared" ref="Q34:Q46" si="43">O34*P34/10000</f>
        <v>0</v>
      </c>
      <c r="R34" s="372"/>
      <c r="S34" s="368">
        <f>IF(R34="",0,S6)</f>
        <v>0</v>
      </c>
      <c r="T34" s="369">
        <f t="shared" ref="T34:T46" si="44">R34*S34/10000</f>
        <v>0</v>
      </c>
    </row>
    <row r="35" spans="1:20" ht="14.25" customHeight="1" outlineLevel="1">
      <c r="A35" s="351"/>
      <c r="B35" s="366" t="str">
        <f>'8.项目规划指标表'!$B$6</f>
        <v>商铺</v>
      </c>
      <c r="C35" s="371">
        <v>1976</v>
      </c>
      <c r="D35" s="368">
        <f t="shared" ref="D35:D46" si="45">IF(C35="",0,D7)</f>
        <v>3640</v>
      </c>
      <c r="E35" s="369">
        <f t="shared" ref="E35:E46" si="46">C35*D35/10000</f>
        <v>719.26400000000001</v>
      </c>
      <c r="F35" s="372"/>
      <c r="G35" s="368">
        <f t="shared" ref="G35:G46" si="47">IF(F35="",0,G7)</f>
        <v>0</v>
      </c>
      <c r="H35" s="369">
        <f t="shared" si="40"/>
        <v>0</v>
      </c>
      <c r="I35" s="372"/>
      <c r="J35" s="368">
        <f t="shared" ref="J35:J46" si="48">IF(I35="",0,J7)</f>
        <v>0</v>
      </c>
      <c r="K35" s="369">
        <f t="shared" si="41"/>
        <v>0</v>
      </c>
      <c r="L35" s="372"/>
      <c r="M35" s="368">
        <f t="shared" ref="M35:M46" si="49">IF(L35="",0,M7)</f>
        <v>0</v>
      </c>
      <c r="N35" s="369">
        <f t="shared" si="42"/>
        <v>0</v>
      </c>
      <c r="O35" s="372"/>
      <c r="P35" s="368">
        <f t="shared" ref="P35:P46" si="50">IF(O35="",0,P7)</f>
        <v>0</v>
      </c>
      <c r="Q35" s="369">
        <f t="shared" si="43"/>
        <v>0</v>
      </c>
      <c r="R35" s="372"/>
      <c r="S35" s="368">
        <f t="shared" ref="S35:S46" si="51">IF(R35="",0,S7)</f>
        <v>0</v>
      </c>
      <c r="T35" s="369">
        <f t="shared" si="44"/>
        <v>0</v>
      </c>
    </row>
    <row r="36" spans="1:20" ht="14.25" customHeight="1" outlineLevel="1">
      <c r="A36" s="351"/>
      <c r="B36" s="366" t="str">
        <f>'8.项目规划指标表'!$B$7</f>
        <v>回迁商业</v>
      </c>
      <c r="C36" s="371">
        <v>1742</v>
      </c>
      <c r="D36" s="368">
        <f t="shared" si="45"/>
        <v>4208</v>
      </c>
      <c r="E36" s="369">
        <f t="shared" si="46"/>
        <v>733.03359999999998</v>
      </c>
      <c r="F36" s="372"/>
      <c r="G36" s="368">
        <f t="shared" si="47"/>
        <v>0</v>
      </c>
      <c r="H36" s="369">
        <f t="shared" si="40"/>
        <v>0</v>
      </c>
      <c r="I36" s="372"/>
      <c r="J36" s="368">
        <f t="shared" si="48"/>
        <v>0</v>
      </c>
      <c r="K36" s="369">
        <f t="shared" si="41"/>
        <v>0</v>
      </c>
      <c r="L36" s="372"/>
      <c r="M36" s="368">
        <f t="shared" si="49"/>
        <v>0</v>
      </c>
      <c r="N36" s="369">
        <f t="shared" si="42"/>
        <v>0</v>
      </c>
      <c r="O36" s="372"/>
      <c r="P36" s="368">
        <f t="shared" si="50"/>
        <v>0</v>
      </c>
      <c r="Q36" s="369">
        <f t="shared" si="43"/>
        <v>0</v>
      </c>
      <c r="R36" s="372"/>
      <c r="S36" s="368">
        <f t="shared" si="51"/>
        <v>0</v>
      </c>
      <c r="T36" s="369">
        <f t="shared" si="44"/>
        <v>0</v>
      </c>
    </row>
    <row r="37" spans="1:20" ht="14.25" customHeight="1" outlineLevel="1">
      <c r="A37" s="351"/>
      <c r="B37" s="366">
        <f>'8.项目规划指标表'!$B$8</f>
        <v>0</v>
      </c>
      <c r="C37" s="371"/>
      <c r="D37" s="368">
        <f t="shared" si="45"/>
        <v>0</v>
      </c>
      <c r="E37" s="369">
        <f t="shared" si="46"/>
        <v>0</v>
      </c>
      <c r="F37" s="372"/>
      <c r="G37" s="368">
        <f t="shared" si="47"/>
        <v>0</v>
      </c>
      <c r="H37" s="369">
        <f t="shared" si="40"/>
        <v>0</v>
      </c>
      <c r="I37" s="372"/>
      <c r="J37" s="368">
        <f t="shared" si="48"/>
        <v>0</v>
      </c>
      <c r="K37" s="369">
        <f t="shared" si="41"/>
        <v>0</v>
      </c>
      <c r="L37" s="372"/>
      <c r="M37" s="368">
        <f t="shared" si="49"/>
        <v>0</v>
      </c>
      <c r="N37" s="369">
        <f t="shared" si="42"/>
        <v>0</v>
      </c>
      <c r="O37" s="372"/>
      <c r="P37" s="368">
        <f t="shared" si="50"/>
        <v>0</v>
      </c>
      <c r="Q37" s="369">
        <f t="shared" si="43"/>
        <v>0</v>
      </c>
      <c r="R37" s="372"/>
      <c r="S37" s="368">
        <f t="shared" si="51"/>
        <v>0</v>
      </c>
      <c r="T37" s="369">
        <f t="shared" si="44"/>
        <v>0</v>
      </c>
    </row>
    <row r="38" spans="1:20" ht="14.25" customHeight="1" outlineLevel="1">
      <c r="A38" s="351"/>
      <c r="B38" s="366">
        <f>'8.项目规划指标表'!$B$9</f>
        <v>0</v>
      </c>
      <c r="C38" s="372"/>
      <c r="D38" s="368">
        <f t="shared" si="45"/>
        <v>0</v>
      </c>
      <c r="E38" s="369">
        <f t="shared" si="46"/>
        <v>0</v>
      </c>
      <c r="F38" s="372"/>
      <c r="G38" s="368">
        <f t="shared" si="47"/>
        <v>0</v>
      </c>
      <c r="H38" s="369">
        <f t="shared" si="40"/>
        <v>0</v>
      </c>
      <c r="I38" s="372"/>
      <c r="J38" s="368">
        <f t="shared" si="48"/>
        <v>0</v>
      </c>
      <c r="K38" s="369">
        <f t="shared" si="41"/>
        <v>0</v>
      </c>
      <c r="L38" s="372"/>
      <c r="M38" s="368">
        <f t="shared" si="49"/>
        <v>0</v>
      </c>
      <c r="N38" s="369">
        <f t="shared" si="42"/>
        <v>0</v>
      </c>
      <c r="O38" s="372"/>
      <c r="P38" s="368">
        <f t="shared" si="50"/>
        <v>0</v>
      </c>
      <c r="Q38" s="369">
        <f t="shared" si="43"/>
        <v>0</v>
      </c>
      <c r="R38" s="372"/>
      <c r="S38" s="368">
        <f t="shared" si="51"/>
        <v>0</v>
      </c>
      <c r="T38" s="369">
        <f t="shared" si="44"/>
        <v>0</v>
      </c>
    </row>
    <row r="39" spans="1:20" ht="14.25" customHeight="1" outlineLevel="1">
      <c r="A39" s="351"/>
      <c r="B39" s="366">
        <f>'8.项目规划指标表'!$B$10</f>
        <v>0</v>
      </c>
      <c r="C39" s="372"/>
      <c r="D39" s="368">
        <f t="shared" si="45"/>
        <v>0</v>
      </c>
      <c r="E39" s="369">
        <f t="shared" si="46"/>
        <v>0</v>
      </c>
      <c r="F39" s="372"/>
      <c r="G39" s="368">
        <f t="shared" si="47"/>
        <v>0</v>
      </c>
      <c r="H39" s="369">
        <f t="shared" si="40"/>
        <v>0</v>
      </c>
      <c r="I39" s="372"/>
      <c r="J39" s="368">
        <f t="shared" si="48"/>
        <v>0</v>
      </c>
      <c r="K39" s="369">
        <f t="shared" si="41"/>
        <v>0</v>
      </c>
      <c r="L39" s="372"/>
      <c r="M39" s="368">
        <f t="shared" si="49"/>
        <v>0</v>
      </c>
      <c r="N39" s="369">
        <f t="shared" si="42"/>
        <v>0</v>
      </c>
      <c r="O39" s="372"/>
      <c r="P39" s="368">
        <f t="shared" si="50"/>
        <v>0</v>
      </c>
      <c r="Q39" s="369">
        <f t="shared" si="43"/>
        <v>0</v>
      </c>
      <c r="R39" s="372"/>
      <c r="S39" s="368">
        <f t="shared" si="51"/>
        <v>0</v>
      </c>
      <c r="T39" s="369">
        <f t="shared" si="44"/>
        <v>0</v>
      </c>
    </row>
    <row r="40" spans="1:20" ht="14.25" customHeight="1" outlineLevel="1">
      <c r="A40" s="351"/>
      <c r="B40" s="366">
        <f>'8.项目规划指标表'!$B$11</f>
        <v>0</v>
      </c>
      <c r="C40" s="371"/>
      <c r="D40" s="368">
        <f t="shared" si="45"/>
        <v>0</v>
      </c>
      <c r="E40" s="369">
        <f t="shared" si="46"/>
        <v>0</v>
      </c>
      <c r="F40" s="372"/>
      <c r="G40" s="368">
        <f t="shared" si="47"/>
        <v>0</v>
      </c>
      <c r="H40" s="369">
        <f t="shared" si="40"/>
        <v>0</v>
      </c>
      <c r="I40" s="372"/>
      <c r="J40" s="368">
        <f t="shared" si="48"/>
        <v>0</v>
      </c>
      <c r="K40" s="369">
        <f t="shared" si="41"/>
        <v>0</v>
      </c>
      <c r="L40" s="372"/>
      <c r="M40" s="368">
        <f t="shared" si="49"/>
        <v>0</v>
      </c>
      <c r="N40" s="369">
        <f t="shared" si="42"/>
        <v>0</v>
      </c>
      <c r="O40" s="372"/>
      <c r="P40" s="368">
        <f t="shared" si="50"/>
        <v>0</v>
      </c>
      <c r="Q40" s="369">
        <f t="shared" si="43"/>
        <v>0</v>
      </c>
      <c r="R40" s="372"/>
      <c r="S40" s="368">
        <f t="shared" si="51"/>
        <v>0</v>
      </c>
      <c r="T40" s="369">
        <f t="shared" si="44"/>
        <v>0</v>
      </c>
    </row>
    <row r="41" spans="1:20" ht="14.25" customHeight="1" outlineLevel="1">
      <c r="A41" s="351"/>
      <c r="B41" s="366">
        <f>'8.项目规划指标表'!$B$12</f>
        <v>0</v>
      </c>
      <c r="C41" s="372"/>
      <c r="D41" s="368">
        <f t="shared" si="45"/>
        <v>0</v>
      </c>
      <c r="E41" s="369">
        <f t="shared" si="46"/>
        <v>0</v>
      </c>
      <c r="F41" s="372"/>
      <c r="G41" s="368">
        <f t="shared" si="47"/>
        <v>0</v>
      </c>
      <c r="H41" s="369">
        <f t="shared" si="40"/>
        <v>0</v>
      </c>
      <c r="I41" s="372"/>
      <c r="J41" s="368">
        <f t="shared" si="48"/>
        <v>0</v>
      </c>
      <c r="K41" s="369">
        <f t="shared" si="41"/>
        <v>0</v>
      </c>
      <c r="L41" s="372"/>
      <c r="M41" s="368">
        <f t="shared" si="49"/>
        <v>0</v>
      </c>
      <c r="N41" s="369">
        <f t="shared" si="42"/>
        <v>0</v>
      </c>
      <c r="O41" s="372"/>
      <c r="P41" s="368">
        <f t="shared" si="50"/>
        <v>0</v>
      </c>
      <c r="Q41" s="369">
        <f t="shared" si="43"/>
        <v>0</v>
      </c>
      <c r="R41" s="372"/>
      <c r="S41" s="368">
        <f t="shared" si="51"/>
        <v>0</v>
      </c>
      <c r="T41" s="369">
        <f t="shared" si="44"/>
        <v>0</v>
      </c>
    </row>
    <row r="42" spans="1:20" ht="14.25" customHeight="1" outlineLevel="1">
      <c r="A42" s="351"/>
      <c r="B42" s="366">
        <f>'8.项目规划指标表'!$B$13</f>
        <v>0</v>
      </c>
      <c r="C42" s="371"/>
      <c r="D42" s="368">
        <f t="shared" si="45"/>
        <v>0</v>
      </c>
      <c r="E42" s="369">
        <f t="shared" si="46"/>
        <v>0</v>
      </c>
      <c r="F42" s="372"/>
      <c r="G42" s="368">
        <f t="shared" si="47"/>
        <v>0</v>
      </c>
      <c r="H42" s="369">
        <f t="shared" si="40"/>
        <v>0</v>
      </c>
      <c r="I42" s="372"/>
      <c r="J42" s="368">
        <f t="shared" si="48"/>
        <v>0</v>
      </c>
      <c r="K42" s="369">
        <f t="shared" si="41"/>
        <v>0</v>
      </c>
      <c r="L42" s="372"/>
      <c r="M42" s="368">
        <f t="shared" si="49"/>
        <v>0</v>
      </c>
      <c r="N42" s="369">
        <f t="shared" si="42"/>
        <v>0</v>
      </c>
      <c r="O42" s="372"/>
      <c r="P42" s="368">
        <f t="shared" si="50"/>
        <v>0</v>
      </c>
      <c r="Q42" s="369">
        <f t="shared" si="43"/>
        <v>0</v>
      </c>
      <c r="R42" s="372"/>
      <c r="S42" s="368">
        <f t="shared" si="51"/>
        <v>0</v>
      </c>
      <c r="T42" s="369">
        <f t="shared" si="44"/>
        <v>0</v>
      </c>
    </row>
    <row r="43" spans="1:20" ht="14.25" customHeight="1" outlineLevel="1">
      <c r="A43" s="351"/>
      <c r="B43" s="366" t="str">
        <f>'8.项目规划指标表'!$B$14</f>
        <v>自持物业</v>
      </c>
      <c r="C43" s="372"/>
      <c r="D43" s="368">
        <f t="shared" si="45"/>
        <v>0</v>
      </c>
      <c r="E43" s="369">
        <f t="shared" si="46"/>
        <v>0</v>
      </c>
      <c r="F43" s="372"/>
      <c r="G43" s="368">
        <f t="shared" si="47"/>
        <v>0</v>
      </c>
      <c r="H43" s="369">
        <f t="shared" si="40"/>
        <v>0</v>
      </c>
      <c r="I43" s="372"/>
      <c r="J43" s="368">
        <f t="shared" si="48"/>
        <v>0</v>
      </c>
      <c r="K43" s="369">
        <f t="shared" si="41"/>
        <v>0</v>
      </c>
      <c r="L43" s="372"/>
      <c r="M43" s="368">
        <f t="shared" si="49"/>
        <v>0</v>
      </c>
      <c r="N43" s="369">
        <f t="shared" si="42"/>
        <v>0</v>
      </c>
      <c r="O43" s="372"/>
      <c r="P43" s="368">
        <f t="shared" si="50"/>
        <v>0</v>
      </c>
      <c r="Q43" s="369">
        <f t="shared" si="43"/>
        <v>0</v>
      </c>
      <c r="R43" s="372"/>
      <c r="S43" s="368">
        <f t="shared" si="51"/>
        <v>0</v>
      </c>
      <c r="T43" s="369">
        <f t="shared" si="44"/>
        <v>0</v>
      </c>
    </row>
    <row r="44" spans="1:20" ht="14.25" customHeight="1" outlineLevel="1">
      <c r="A44" s="351"/>
      <c r="B44" s="366" t="str">
        <f>'8.项目规划指标表'!$B$15</f>
        <v>无产权公共配套</v>
      </c>
      <c r="C44" s="372"/>
      <c r="D44" s="368">
        <f t="shared" si="45"/>
        <v>0</v>
      </c>
      <c r="E44" s="369">
        <f t="shared" si="46"/>
        <v>0</v>
      </c>
      <c r="F44" s="372"/>
      <c r="G44" s="368">
        <f t="shared" si="47"/>
        <v>0</v>
      </c>
      <c r="H44" s="369">
        <f t="shared" si="40"/>
        <v>0</v>
      </c>
      <c r="I44" s="372"/>
      <c r="J44" s="368">
        <f t="shared" si="48"/>
        <v>0</v>
      </c>
      <c r="K44" s="369">
        <f t="shared" si="41"/>
        <v>0</v>
      </c>
      <c r="L44" s="372"/>
      <c r="M44" s="368">
        <f t="shared" si="49"/>
        <v>0</v>
      </c>
      <c r="N44" s="369">
        <f t="shared" si="42"/>
        <v>0</v>
      </c>
      <c r="O44" s="372"/>
      <c r="P44" s="368">
        <f t="shared" si="50"/>
        <v>0</v>
      </c>
      <c r="Q44" s="369">
        <f t="shared" si="43"/>
        <v>0</v>
      </c>
      <c r="R44" s="372"/>
      <c r="S44" s="368">
        <f t="shared" si="51"/>
        <v>0</v>
      </c>
      <c r="T44" s="369">
        <f t="shared" si="44"/>
        <v>0</v>
      </c>
    </row>
    <row r="45" spans="1:20" ht="14.25" customHeight="1" outlineLevel="1">
      <c r="A45" s="351"/>
      <c r="B45" s="366" t="str">
        <f>'8.项目规划指标表'!$B$18</f>
        <v>有产权车库(个)</v>
      </c>
      <c r="C45" s="371">
        <v>1428</v>
      </c>
      <c r="D45" s="368">
        <f t="shared" si="45"/>
        <v>13082</v>
      </c>
      <c r="E45" s="369">
        <f t="shared" si="46"/>
        <v>1868.1096</v>
      </c>
      <c r="F45" s="372"/>
      <c r="G45" s="368">
        <f t="shared" si="47"/>
        <v>0</v>
      </c>
      <c r="H45" s="369">
        <f t="shared" si="40"/>
        <v>0</v>
      </c>
      <c r="I45" s="372"/>
      <c r="J45" s="368">
        <f t="shared" si="48"/>
        <v>0</v>
      </c>
      <c r="K45" s="369">
        <f t="shared" si="41"/>
        <v>0</v>
      </c>
      <c r="L45" s="372"/>
      <c r="M45" s="368">
        <f t="shared" si="49"/>
        <v>0</v>
      </c>
      <c r="N45" s="369">
        <f t="shared" si="42"/>
        <v>0</v>
      </c>
      <c r="O45" s="372"/>
      <c r="P45" s="368">
        <f t="shared" si="50"/>
        <v>0</v>
      </c>
      <c r="Q45" s="369">
        <f t="shared" si="43"/>
        <v>0</v>
      </c>
      <c r="R45" s="372"/>
      <c r="S45" s="368">
        <f t="shared" si="51"/>
        <v>0</v>
      </c>
      <c r="T45" s="369">
        <f t="shared" si="44"/>
        <v>0</v>
      </c>
    </row>
    <row r="46" spans="1:20" ht="14.25" customHeight="1" outlineLevel="1">
      <c r="A46" s="351"/>
      <c r="B46" s="366" t="str">
        <f>'8.项目规划指标表'!$B$19</f>
        <v>无产权车库(个)</v>
      </c>
      <c r="C46" s="372"/>
      <c r="D46" s="368">
        <f t="shared" si="45"/>
        <v>0</v>
      </c>
      <c r="E46" s="369">
        <f t="shared" si="46"/>
        <v>0</v>
      </c>
      <c r="F46" s="372"/>
      <c r="G46" s="368">
        <f t="shared" si="47"/>
        <v>0</v>
      </c>
      <c r="H46" s="369">
        <f t="shared" si="40"/>
        <v>0</v>
      </c>
      <c r="I46" s="372"/>
      <c r="J46" s="368">
        <f t="shared" si="48"/>
        <v>0</v>
      </c>
      <c r="K46" s="369">
        <f t="shared" si="41"/>
        <v>0</v>
      </c>
      <c r="L46" s="372"/>
      <c r="M46" s="368">
        <f t="shared" si="49"/>
        <v>0</v>
      </c>
      <c r="N46" s="369">
        <f t="shared" si="42"/>
        <v>0</v>
      </c>
      <c r="O46" s="372"/>
      <c r="P46" s="368">
        <f t="shared" si="50"/>
        <v>0</v>
      </c>
      <c r="Q46" s="369">
        <f t="shared" si="43"/>
        <v>0</v>
      </c>
      <c r="R46" s="372"/>
      <c r="S46" s="368">
        <f t="shared" si="51"/>
        <v>0</v>
      </c>
      <c r="T46" s="369">
        <f t="shared" si="44"/>
        <v>0</v>
      </c>
    </row>
    <row r="47" spans="1:20" ht="15" customHeight="1">
      <c r="A47" s="351"/>
      <c r="B47" s="362" t="s">
        <v>869</v>
      </c>
      <c r="C47" s="363">
        <f>IFERROR(E47/D47*10000,0)</f>
        <v>1187.2405704635016</v>
      </c>
      <c r="D47" s="364">
        <f t="shared" ref="D47:H47" si="52">SUM(D48:D60)</f>
        <v>63948</v>
      </c>
      <c r="E47" s="365">
        <f t="shared" si="52"/>
        <v>7592.1660000000002</v>
      </c>
      <c r="F47" s="363">
        <f>IFERROR(H47/G47*10000,0)</f>
        <v>0</v>
      </c>
      <c r="G47" s="364">
        <f t="shared" si="52"/>
        <v>0</v>
      </c>
      <c r="H47" s="365">
        <f t="shared" si="52"/>
        <v>0</v>
      </c>
      <c r="I47" s="363">
        <f>IFERROR(K47/J47*10000,0)</f>
        <v>0</v>
      </c>
      <c r="J47" s="364">
        <f t="shared" ref="J47:N47" si="53">SUM(J48:J60)</f>
        <v>0</v>
      </c>
      <c r="K47" s="365">
        <f t="shared" si="53"/>
        <v>0</v>
      </c>
      <c r="L47" s="363">
        <f>IFERROR(N47/M47*10000,0)</f>
        <v>0</v>
      </c>
      <c r="M47" s="364">
        <f t="shared" si="53"/>
        <v>0</v>
      </c>
      <c r="N47" s="365">
        <f t="shared" si="53"/>
        <v>0</v>
      </c>
      <c r="O47" s="363">
        <f>IFERROR(Q47/P47*10000,0)</f>
        <v>0</v>
      </c>
      <c r="P47" s="364">
        <f t="shared" ref="P47:T47" si="54">SUM(P48:P60)</f>
        <v>0</v>
      </c>
      <c r="Q47" s="365">
        <f t="shared" si="54"/>
        <v>0</v>
      </c>
      <c r="R47" s="363">
        <f>IFERROR(T47/S47*10000,0)</f>
        <v>0</v>
      </c>
      <c r="S47" s="364">
        <f t="shared" si="54"/>
        <v>0</v>
      </c>
      <c r="T47" s="365">
        <f t="shared" si="54"/>
        <v>0</v>
      </c>
    </row>
    <row r="48" spans="1:20" ht="14.25" customHeight="1" outlineLevel="1">
      <c r="A48" s="351"/>
      <c r="B48" s="366" t="str">
        <f>'8.项目规划指标表'!$B$5</f>
        <v>高层</v>
      </c>
      <c r="C48" s="371">
        <v>1291</v>
      </c>
      <c r="D48" s="368">
        <f>IF(C48="",0,D6)</f>
        <v>56100</v>
      </c>
      <c r="E48" s="369">
        <f t="shared" ref="E48:E60" si="55">C48*D48/10000</f>
        <v>7242.51</v>
      </c>
      <c r="F48" s="372"/>
      <c r="G48" s="368">
        <f>IF(F48="",0,G6)</f>
        <v>0</v>
      </c>
      <c r="H48" s="369">
        <f t="shared" ref="H48:H60" si="56">F48*G48/10000</f>
        <v>0</v>
      </c>
      <c r="I48" s="372"/>
      <c r="J48" s="368">
        <f>IF(I48="",0,J6)</f>
        <v>0</v>
      </c>
      <c r="K48" s="369">
        <f t="shared" ref="K48:K60" si="57">I48*J48/10000</f>
        <v>0</v>
      </c>
      <c r="L48" s="372"/>
      <c r="M48" s="368">
        <f>IF(L48="",0,M6)</f>
        <v>0</v>
      </c>
      <c r="N48" s="369">
        <f t="shared" ref="N48:N60" si="58">L48*M48/10000</f>
        <v>0</v>
      </c>
      <c r="O48" s="372"/>
      <c r="P48" s="368">
        <f>IF(O48="",0,P6)</f>
        <v>0</v>
      </c>
      <c r="Q48" s="369">
        <f t="shared" ref="Q48:Q60" si="59">O48*P48/10000</f>
        <v>0</v>
      </c>
      <c r="R48" s="372"/>
      <c r="S48" s="368">
        <f>IF(R48="",0,S6)</f>
        <v>0</v>
      </c>
      <c r="T48" s="369">
        <f t="shared" ref="T48:T60" si="60">R48*S48/10000</f>
        <v>0</v>
      </c>
    </row>
    <row r="49" spans="1:20" ht="14.25" customHeight="1" outlineLevel="1">
      <c r="A49" s="351"/>
      <c r="B49" s="366" t="str">
        <f>'8.项目规划指标表'!$B$6</f>
        <v>商铺</v>
      </c>
      <c r="C49" s="371">
        <v>608</v>
      </c>
      <c r="D49" s="368">
        <f t="shared" ref="D49:D60" si="61">IF(C49="",0,D7)</f>
        <v>3640</v>
      </c>
      <c r="E49" s="369">
        <f t="shared" si="55"/>
        <v>221.31200000000001</v>
      </c>
      <c r="F49" s="372"/>
      <c r="G49" s="368">
        <f t="shared" ref="G49:G60" si="62">IF(F49="",0,G7)</f>
        <v>0</v>
      </c>
      <c r="H49" s="369">
        <f t="shared" si="56"/>
        <v>0</v>
      </c>
      <c r="I49" s="372"/>
      <c r="J49" s="368">
        <f t="shared" ref="J49:J60" si="63">IF(I49="",0,J7)</f>
        <v>0</v>
      </c>
      <c r="K49" s="369">
        <f t="shared" si="57"/>
        <v>0</v>
      </c>
      <c r="L49" s="372"/>
      <c r="M49" s="368">
        <f t="shared" ref="M49:M60" si="64">IF(L49="",0,M7)</f>
        <v>0</v>
      </c>
      <c r="N49" s="369">
        <f t="shared" si="58"/>
        <v>0</v>
      </c>
      <c r="O49" s="372"/>
      <c r="P49" s="368">
        <f t="shared" ref="P49:P60" si="65">IF(O49="",0,P7)</f>
        <v>0</v>
      </c>
      <c r="Q49" s="369">
        <f t="shared" si="59"/>
        <v>0</v>
      </c>
      <c r="R49" s="372"/>
      <c r="S49" s="368">
        <f t="shared" ref="S49:S60" si="66">IF(R49="",0,S7)</f>
        <v>0</v>
      </c>
      <c r="T49" s="369">
        <f t="shared" si="60"/>
        <v>0</v>
      </c>
    </row>
    <row r="50" spans="1:20" ht="14.25" customHeight="1" outlineLevel="1">
      <c r="A50" s="351"/>
      <c r="B50" s="366" t="str">
        <f>'8.项目规划指标表'!$B$7</f>
        <v>回迁商业</v>
      </c>
      <c r="C50" s="371">
        <v>305</v>
      </c>
      <c r="D50" s="368">
        <f t="shared" si="61"/>
        <v>4208</v>
      </c>
      <c r="E50" s="369">
        <f t="shared" si="55"/>
        <v>128.34399999999999</v>
      </c>
      <c r="F50" s="372"/>
      <c r="G50" s="368">
        <f t="shared" si="62"/>
        <v>0</v>
      </c>
      <c r="H50" s="369">
        <f t="shared" si="56"/>
        <v>0</v>
      </c>
      <c r="I50" s="372"/>
      <c r="J50" s="368">
        <f t="shared" si="63"/>
        <v>0</v>
      </c>
      <c r="K50" s="369">
        <f t="shared" si="57"/>
        <v>0</v>
      </c>
      <c r="L50" s="372"/>
      <c r="M50" s="368">
        <f t="shared" si="64"/>
        <v>0</v>
      </c>
      <c r="N50" s="369">
        <f t="shared" si="58"/>
        <v>0</v>
      </c>
      <c r="O50" s="372"/>
      <c r="P50" s="368">
        <f t="shared" si="65"/>
        <v>0</v>
      </c>
      <c r="Q50" s="369">
        <f t="shared" si="59"/>
        <v>0</v>
      </c>
      <c r="R50" s="372"/>
      <c r="S50" s="368">
        <f t="shared" si="66"/>
        <v>0</v>
      </c>
      <c r="T50" s="369">
        <f t="shared" si="60"/>
        <v>0</v>
      </c>
    </row>
    <row r="51" spans="1:20" ht="14.25" customHeight="1" outlineLevel="1">
      <c r="A51" s="351"/>
      <c r="B51" s="366">
        <f>'8.项目规划指标表'!$B$8</f>
        <v>0</v>
      </c>
      <c r="C51" s="371"/>
      <c r="D51" s="368">
        <f t="shared" si="61"/>
        <v>0</v>
      </c>
      <c r="E51" s="369">
        <f t="shared" si="55"/>
        <v>0</v>
      </c>
      <c r="F51" s="372"/>
      <c r="G51" s="368">
        <f t="shared" si="62"/>
        <v>0</v>
      </c>
      <c r="H51" s="369">
        <f t="shared" si="56"/>
        <v>0</v>
      </c>
      <c r="I51" s="372"/>
      <c r="J51" s="368">
        <f t="shared" si="63"/>
        <v>0</v>
      </c>
      <c r="K51" s="369">
        <f t="shared" si="57"/>
        <v>0</v>
      </c>
      <c r="L51" s="372"/>
      <c r="M51" s="368">
        <f t="shared" si="64"/>
        <v>0</v>
      </c>
      <c r="N51" s="369">
        <f t="shared" si="58"/>
        <v>0</v>
      </c>
      <c r="O51" s="372"/>
      <c r="P51" s="368">
        <f t="shared" si="65"/>
        <v>0</v>
      </c>
      <c r="Q51" s="369">
        <f t="shared" si="59"/>
        <v>0</v>
      </c>
      <c r="R51" s="372"/>
      <c r="S51" s="368">
        <f t="shared" si="66"/>
        <v>0</v>
      </c>
      <c r="T51" s="369">
        <f t="shared" si="60"/>
        <v>0</v>
      </c>
    </row>
    <row r="52" spans="1:20" ht="14.25" customHeight="1" outlineLevel="1">
      <c r="A52" s="351"/>
      <c r="B52" s="366">
        <f>'8.项目规划指标表'!$B$9</f>
        <v>0</v>
      </c>
      <c r="C52" s="372"/>
      <c r="D52" s="368">
        <f t="shared" si="61"/>
        <v>0</v>
      </c>
      <c r="E52" s="369">
        <f t="shared" si="55"/>
        <v>0</v>
      </c>
      <c r="F52" s="372"/>
      <c r="G52" s="368">
        <f t="shared" si="62"/>
        <v>0</v>
      </c>
      <c r="H52" s="369">
        <f t="shared" si="56"/>
        <v>0</v>
      </c>
      <c r="I52" s="372"/>
      <c r="J52" s="368">
        <f t="shared" si="63"/>
        <v>0</v>
      </c>
      <c r="K52" s="369">
        <f t="shared" si="57"/>
        <v>0</v>
      </c>
      <c r="L52" s="372"/>
      <c r="M52" s="368">
        <f t="shared" si="64"/>
        <v>0</v>
      </c>
      <c r="N52" s="369">
        <f t="shared" si="58"/>
        <v>0</v>
      </c>
      <c r="O52" s="372"/>
      <c r="P52" s="368">
        <f t="shared" si="65"/>
        <v>0</v>
      </c>
      <c r="Q52" s="369">
        <f t="shared" si="59"/>
        <v>0</v>
      </c>
      <c r="R52" s="372"/>
      <c r="S52" s="368">
        <f t="shared" si="66"/>
        <v>0</v>
      </c>
      <c r="T52" s="369">
        <f t="shared" si="60"/>
        <v>0</v>
      </c>
    </row>
    <row r="53" spans="1:20" ht="14.25" customHeight="1" outlineLevel="1">
      <c r="A53" s="351"/>
      <c r="B53" s="366">
        <f>'8.项目规划指标表'!$B$10</f>
        <v>0</v>
      </c>
      <c r="C53" s="372"/>
      <c r="D53" s="368">
        <f t="shared" si="61"/>
        <v>0</v>
      </c>
      <c r="E53" s="369">
        <f t="shared" si="55"/>
        <v>0</v>
      </c>
      <c r="F53" s="372"/>
      <c r="G53" s="368">
        <f t="shared" si="62"/>
        <v>0</v>
      </c>
      <c r="H53" s="369">
        <f t="shared" si="56"/>
        <v>0</v>
      </c>
      <c r="I53" s="372"/>
      <c r="J53" s="368">
        <f t="shared" si="63"/>
        <v>0</v>
      </c>
      <c r="K53" s="369">
        <f t="shared" si="57"/>
        <v>0</v>
      </c>
      <c r="L53" s="372"/>
      <c r="M53" s="368">
        <f t="shared" si="64"/>
        <v>0</v>
      </c>
      <c r="N53" s="369">
        <f t="shared" si="58"/>
        <v>0</v>
      </c>
      <c r="O53" s="372"/>
      <c r="P53" s="368">
        <f t="shared" si="65"/>
        <v>0</v>
      </c>
      <c r="Q53" s="369">
        <f t="shared" si="59"/>
        <v>0</v>
      </c>
      <c r="R53" s="372"/>
      <c r="S53" s="368">
        <f t="shared" si="66"/>
        <v>0</v>
      </c>
      <c r="T53" s="369">
        <f t="shared" si="60"/>
        <v>0</v>
      </c>
    </row>
    <row r="54" spans="1:20" ht="14.25" customHeight="1" outlineLevel="1">
      <c r="A54" s="351"/>
      <c r="B54" s="366">
        <f>'8.项目规划指标表'!$B$11</f>
        <v>0</v>
      </c>
      <c r="C54" s="371"/>
      <c r="D54" s="368">
        <f t="shared" si="61"/>
        <v>0</v>
      </c>
      <c r="E54" s="369">
        <f t="shared" si="55"/>
        <v>0</v>
      </c>
      <c r="F54" s="372"/>
      <c r="G54" s="368">
        <f t="shared" si="62"/>
        <v>0</v>
      </c>
      <c r="H54" s="369">
        <f t="shared" si="56"/>
        <v>0</v>
      </c>
      <c r="I54" s="372"/>
      <c r="J54" s="368">
        <f t="shared" si="63"/>
        <v>0</v>
      </c>
      <c r="K54" s="369">
        <f t="shared" si="57"/>
        <v>0</v>
      </c>
      <c r="L54" s="372"/>
      <c r="M54" s="368">
        <f t="shared" si="64"/>
        <v>0</v>
      </c>
      <c r="N54" s="369">
        <f t="shared" si="58"/>
        <v>0</v>
      </c>
      <c r="O54" s="372"/>
      <c r="P54" s="368">
        <f t="shared" si="65"/>
        <v>0</v>
      </c>
      <c r="Q54" s="369">
        <f t="shared" si="59"/>
        <v>0</v>
      </c>
      <c r="R54" s="372"/>
      <c r="S54" s="368">
        <f t="shared" si="66"/>
        <v>0</v>
      </c>
      <c r="T54" s="369">
        <f t="shared" si="60"/>
        <v>0</v>
      </c>
    </row>
    <row r="55" spans="1:20" ht="14.25" customHeight="1" outlineLevel="1">
      <c r="A55" s="351"/>
      <c r="B55" s="366">
        <f>'8.项目规划指标表'!$B$12</f>
        <v>0</v>
      </c>
      <c r="C55" s="372"/>
      <c r="D55" s="368">
        <f t="shared" si="61"/>
        <v>0</v>
      </c>
      <c r="E55" s="369">
        <f t="shared" si="55"/>
        <v>0</v>
      </c>
      <c r="F55" s="372"/>
      <c r="G55" s="368">
        <f t="shared" si="62"/>
        <v>0</v>
      </c>
      <c r="H55" s="369">
        <f t="shared" si="56"/>
        <v>0</v>
      </c>
      <c r="I55" s="372"/>
      <c r="J55" s="368">
        <f t="shared" si="63"/>
        <v>0</v>
      </c>
      <c r="K55" s="369">
        <f t="shared" si="57"/>
        <v>0</v>
      </c>
      <c r="L55" s="372"/>
      <c r="M55" s="368">
        <f t="shared" si="64"/>
        <v>0</v>
      </c>
      <c r="N55" s="369">
        <f t="shared" si="58"/>
        <v>0</v>
      </c>
      <c r="O55" s="372"/>
      <c r="P55" s="368">
        <f t="shared" si="65"/>
        <v>0</v>
      </c>
      <c r="Q55" s="369">
        <f t="shared" si="59"/>
        <v>0</v>
      </c>
      <c r="R55" s="372"/>
      <c r="S55" s="368">
        <f t="shared" si="66"/>
        <v>0</v>
      </c>
      <c r="T55" s="369">
        <f t="shared" si="60"/>
        <v>0</v>
      </c>
    </row>
    <row r="56" spans="1:20" ht="14.25" customHeight="1" outlineLevel="1">
      <c r="A56" s="351"/>
      <c r="B56" s="366">
        <f>'8.项目规划指标表'!$B$13</f>
        <v>0</v>
      </c>
      <c r="C56" s="371"/>
      <c r="D56" s="368">
        <f t="shared" si="61"/>
        <v>0</v>
      </c>
      <c r="E56" s="369">
        <f t="shared" si="55"/>
        <v>0</v>
      </c>
      <c r="F56" s="372"/>
      <c r="G56" s="368">
        <f t="shared" si="62"/>
        <v>0</v>
      </c>
      <c r="H56" s="369">
        <f t="shared" si="56"/>
        <v>0</v>
      </c>
      <c r="I56" s="372"/>
      <c r="J56" s="368">
        <f t="shared" si="63"/>
        <v>0</v>
      </c>
      <c r="K56" s="369">
        <f t="shared" si="57"/>
        <v>0</v>
      </c>
      <c r="L56" s="372"/>
      <c r="M56" s="368">
        <f t="shared" si="64"/>
        <v>0</v>
      </c>
      <c r="N56" s="369">
        <f t="shared" si="58"/>
        <v>0</v>
      </c>
      <c r="O56" s="372"/>
      <c r="P56" s="368">
        <f t="shared" si="65"/>
        <v>0</v>
      </c>
      <c r="Q56" s="369">
        <f t="shared" si="59"/>
        <v>0</v>
      </c>
      <c r="R56" s="372"/>
      <c r="S56" s="368">
        <f t="shared" si="66"/>
        <v>0</v>
      </c>
      <c r="T56" s="369">
        <f t="shared" si="60"/>
        <v>0</v>
      </c>
    </row>
    <row r="57" spans="1:20" ht="14.25" customHeight="1" outlineLevel="1">
      <c r="A57" s="351"/>
      <c r="B57" s="366" t="str">
        <f>'8.项目规划指标表'!$B$14</f>
        <v>自持物业</v>
      </c>
      <c r="C57" s="372"/>
      <c r="D57" s="368">
        <f t="shared" si="61"/>
        <v>0</v>
      </c>
      <c r="E57" s="369">
        <f t="shared" si="55"/>
        <v>0</v>
      </c>
      <c r="F57" s="372"/>
      <c r="G57" s="368">
        <f t="shared" si="62"/>
        <v>0</v>
      </c>
      <c r="H57" s="369">
        <f t="shared" si="56"/>
        <v>0</v>
      </c>
      <c r="I57" s="372"/>
      <c r="J57" s="368">
        <f t="shared" si="63"/>
        <v>0</v>
      </c>
      <c r="K57" s="369">
        <f t="shared" si="57"/>
        <v>0</v>
      </c>
      <c r="L57" s="372"/>
      <c r="M57" s="368">
        <f t="shared" si="64"/>
        <v>0</v>
      </c>
      <c r="N57" s="369">
        <f t="shared" si="58"/>
        <v>0</v>
      </c>
      <c r="O57" s="372"/>
      <c r="P57" s="368">
        <f t="shared" si="65"/>
        <v>0</v>
      </c>
      <c r="Q57" s="369">
        <f t="shared" si="59"/>
        <v>0</v>
      </c>
      <c r="R57" s="372"/>
      <c r="S57" s="368">
        <f t="shared" si="66"/>
        <v>0</v>
      </c>
      <c r="T57" s="369">
        <f t="shared" si="60"/>
        <v>0</v>
      </c>
    </row>
    <row r="58" spans="1:20" ht="14.25" customHeight="1" outlineLevel="1">
      <c r="A58" s="351"/>
      <c r="B58" s="366" t="str">
        <f>'8.项目规划指标表'!$B$15</f>
        <v>无产权公共配套</v>
      </c>
      <c r="C58" s="372"/>
      <c r="D58" s="368">
        <f t="shared" si="61"/>
        <v>0</v>
      </c>
      <c r="E58" s="369">
        <f t="shared" si="55"/>
        <v>0</v>
      </c>
      <c r="F58" s="372"/>
      <c r="G58" s="368">
        <f t="shared" si="62"/>
        <v>0</v>
      </c>
      <c r="H58" s="369">
        <f t="shared" si="56"/>
        <v>0</v>
      </c>
      <c r="I58" s="372"/>
      <c r="J58" s="368">
        <f t="shared" si="63"/>
        <v>0</v>
      </c>
      <c r="K58" s="369">
        <f t="shared" si="57"/>
        <v>0</v>
      </c>
      <c r="L58" s="372"/>
      <c r="M58" s="368">
        <f t="shared" si="64"/>
        <v>0</v>
      </c>
      <c r="N58" s="369">
        <f t="shared" si="58"/>
        <v>0</v>
      </c>
      <c r="O58" s="372"/>
      <c r="P58" s="368">
        <f t="shared" si="65"/>
        <v>0</v>
      </c>
      <c r="Q58" s="369">
        <f t="shared" si="59"/>
        <v>0</v>
      </c>
      <c r="R58" s="372"/>
      <c r="S58" s="368">
        <f t="shared" si="66"/>
        <v>0</v>
      </c>
      <c r="T58" s="369">
        <f t="shared" si="60"/>
        <v>0</v>
      </c>
    </row>
    <row r="59" spans="1:20" ht="14.25" customHeight="1" outlineLevel="1">
      <c r="A59" s="351"/>
      <c r="B59" s="366" t="str">
        <f>'8.项目规划指标表'!$B$18</f>
        <v>有产权车库(个)</v>
      </c>
      <c r="C59" s="372"/>
      <c r="D59" s="368">
        <f t="shared" si="61"/>
        <v>0</v>
      </c>
      <c r="E59" s="369">
        <f t="shared" si="55"/>
        <v>0</v>
      </c>
      <c r="F59" s="372"/>
      <c r="G59" s="368">
        <f t="shared" si="62"/>
        <v>0</v>
      </c>
      <c r="H59" s="369">
        <f t="shared" si="56"/>
        <v>0</v>
      </c>
      <c r="I59" s="372"/>
      <c r="J59" s="368">
        <f t="shared" si="63"/>
        <v>0</v>
      </c>
      <c r="K59" s="369">
        <f t="shared" si="57"/>
        <v>0</v>
      </c>
      <c r="L59" s="372"/>
      <c r="M59" s="368">
        <f t="shared" si="64"/>
        <v>0</v>
      </c>
      <c r="N59" s="369">
        <f t="shared" si="58"/>
        <v>0</v>
      </c>
      <c r="O59" s="372"/>
      <c r="P59" s="368">
        <f t="shared" si="65"/>
        <v>0</v>
      </c>
      <c r="Q59" s="369">
        <f t="shared" si="59"/>
        <v>0</v>
      </c>
      <c r="R59" s="372"/>
      <c r="S59" s="368">
        <f t="shared" si="66"/>
        <v>0</v>
      </c>
      <c r="T59" s="369">
        <f t="shared" si="60"/>
        <v>0</v>
      </c>
    </row>
    <row r="60" spans="1:20" ht="14.25" customHeight="1" outlineLevel="1">
      <c r="A60" s="351"/>
      <c r="B60" s="366" t="str">
        <f>'8.项目规划指标表'!$B$19</f>
        <v>无产权车库(个)</v>
      </c>
      <c r="C60" s="372"/>
      <c r="D60" s="368">
        <f t="shared" si="61"/>
        <v>0</v>
      </c>
      <c r="E60" s="369">
        <f t="shared" si="55"/>
        <v>0</v>
      </c>
      <c r="F60" s="372"/>
      <c r="G60" s="368">
        <f t="shared" si="62"/>
        <v>0</v>
      </c>
      <c r="H60" s="369">
        <f t="shared" si="56"/>
        <v>0</v>
      </c>
      <c r="I60" s="372"/>
      <c r="J60" s="368">
        <f t="shared" si="63"/>
        <v>0</v>
      </c>
      <c r="K60" s="369">
        <f t="shared" si="57"/>
        <v>0</v>
      </c>
      <c r="L60" s="372"/>
      <c r="M60" s="368">
        <f t="shared" si="64"/>
        <v>0</v>
      </c>
      <c r="N60" s="369">
        <f t="shared" si="58"/>
        <v>0</v>
      </c>
      <c r="O60" s="372"/>
      <c r="P60" s="368">
        <f t="shared" si="65"/>
        <v>0</v>
      </c>
      <c r="Q60" s="369">
        <f t="shared" si="59"/>
        <v>0</v>
      </c>
      <c r="R60" s="372"/>
      <c r="S60" s="368">
        <f t="shared" si="66"/>
        <v>0</v>
      </c>
      <c r="T60" s="369">
        <f t="shared" si="60"/>
        <v>0</v>
      </c>
    </row>
    <row r="61" spans="1:20" ht="15" customHeight="1">
      <c r="A61" s="351"/>
      <c r="B61" s="362" t="s">
        <v>870</v>
      </c>
      <c r="C61" s="363">
        <f>IFERROR(E61/D61*10000,0)</f>
        <v>427.00369049853003</v>
      </c>
      <c r="D61" s="364">
        <f t="shared" ref="D61:H61" si="67">SUM(D62:D74)</f>
        <v>63948</v>
      </c>
      <c r="E61" s="365">
        <f t="shared" si="67"/>
        <v>2730.6032</v>
      </c>
      <c r="F61" s="363">
        <f>IFERROR(H61/G61*10000,0)</f>
        <v>0</v>
      </c>
      <c r="G61" s="364">
        <f t="shared" si="67"/>
        <v>0</v>
      </c>
      <c r="H61" s="365">
        <f t="shared" si="67"/>
        <v>0</v>
      </c>
      <c r="I61" s="363">
        <f>IFERROR(K61/J61*10000,0)</f>
        <v>0</v>
      </c>
      <c r="J61" s="364">
        <f t="shared" ref="J61:N61" si="68">SUM(J62:J74)</f>
        <v>0</v>
      </c>
      <c r="K61" s="365">
        <f t="shared" si="68"/>
        <v>0</v>
      </c>
      <c r="L61" s="363">
        <f>IFERROR(N61/M61*10000,0)</f>
        <v>0</v>
      </c>
      <c r="M61" s="364">
        <f t="shared" si="68"/>
        <v>0</v>
      </c>
      <c r="N61" s="365">
        <f t="shared" si="68"/>
        <v>0</v>
      </c>
      <c r="O61" s="363">
        <f>IFERROR(Q61/P61*10000,0)</f>
        <v>0</v>
      </c>
      <c r="P61" s="364">
        <f t="shared" ref="P61:T61" si="69">SUM(P62:P74)</f>
        <v>0</v>
      </c>
      <c r="Q61" s="365">
        <f t="shared" si="69"/>
        <v>0</v>
      </c>
      <c r="R61" s="363">
        <f>IFERROR(T61/S61*10000,0)</f>
        <v>0</v>
      </c>
      <c r="S61" s="364">
        <f t="shared" si="69"/>
        <v>0</v>
      </c>
      <c r="T61" s="365">
        <f t="shared" si="69"/>
        <v>0</v>
      </c>
    </row>
    <row r="62" spans="1:20" ht="14.25" customHeight="1" outlineLevel="1">
      <c r="A62" s="351"/>
      <c r="B62" s="366" t="str">
        <f>'8.项目规划指标表'!$B$5</f>
        <v>高层</v>
      </c>
      <c r="C62" s="371">
        <v>428</v>
      </c>
      <c r="D62" s="368">
        <f>IF(C62="",0,D6)</f>
        <v>56100</v>
      </c>
      <c r="E62" s="369">
        <f t="shared" ref="E62:E74" si="70">C62*D62/10000</f>
        <v>2401.08</v>
      </c>
      <c r="F62" s="372"/>
      <c r="G62" s="368">
        <f>IF(F62="",0,G6)</f>
        <v>0</v>
      </c>
      <c r="H62" s="369">
        <f t="shared" ref="H62:H74" si="71">F62*G62/10000</f>
        <v>0</v>
      </c>
      <c r="I62" s="372"/>
      <c r="J62" s="368">
        <f>IF(I62="",0,J6)</f>
        <v>0</v>
      </c>
      <c r="K62" s="369">
        <f t="shared" ref="K62:K74" si="72">I62*J62/10000</f>
        <v>0</v>
      </c>
      <c r="L62" s="372"/>
      <c r="M62" s="368">
        <f>IF(L62="",0,M6)</f>
        <v>0</v>
      </c>
      <c r="N62" s="369">
        <f t="shared" ref="N62:N74" si="73">L62*M62/10000</f>
        <v>0</v>
      </c>
      <c r="O62" s="372"/>
      <c r="P62" s="368">
        <f>IF(O62="",0,P6)</f>
        <v>0</v>
      </c>
      <c r="Q62" s="369">
        <f t="shared" ref="Q62:Q74" si="74">O62*P62/10000</f>
        <v>0</v>
      </c>
      <c r="R62" s="372"/>
      <c r="S62" s="368">
        <f>IF(R62="",0,S6)</f>
        <v>0</v>
      </c>
      <c r="T62" s="369">
        <f t="shared" ref="T62:T74" si="75">R62*S62/10000</f>
        <v>0</v>
      </c>
    </row>
    <row r="63" spans="1:20" ht="14.25" customHeight="1" outlineLevel="1">
      <c r="A63" s="351"/>
      <c r="B63" s="366" t="str">
        <f>'8.项目规划指标表'!$B$6</f>
        <v>商铺</v>
      </c>
      <c r="C63" s="371">
        <v>392</v>
      </c>
      <c r="D63" s="368">
        <f t="shared" ref="D63:D74" si="76">IF(C63="",0,D7)</f>
        <v>3640</v>
      </c>
      <c r="E63" s="369">
        <f t="shared" si="70"/>
        <v>142.68799999999999</v>
      </c>
      <c r="F63" s="372"/>
      <c r="G63" s="368">
        <f t="shared" ref="G63:G74" si="77">IF(F63="",0,G7)</f>
        <v>0</v>
      </c>
      <c r="H63" s="369">
        <f t="shared" si="71"/>
        <v>0</v>
      </c>
      <c r="I63" s="372"/>
      <c r="J63" s="368">
        <f t="shared" ref="J63:J74" si="78">IF(I63="",0,J7)</f>
        <v>0</v>
      </c>
      <c r="K63" s="369">
        <f t="shared" si="72"/>
        <v>0</v>
      </c>
      <c r="L63" s="372"/>
      <c r="M63" s="368">
        <f t="shared" ref="M63:M74" si="79">IF(L63="",0,M7)</f>
        <v>0</v>
      </c>
      <c r="N63" s="369">
        <f t="shared" si="73"/>
        <v>0</v>
      </c>
      <c r="O63" s="372"/>
      <c r="P63" s="368">
        <f t="shared" ref="P63:P74" si="80">IF(O63="",0,P7)</f>
        <v>0</v>
      </c>
      <c r="Q63" s="369">
        <f t="shared" si="74"/>
        <v>0</v>
      </c>
      <c r="R63" s="372"/>
      <c r="S63" s="368">
        <f t="shared" ref="S63:S74" si="81">IF(R63="",0,S7)</f>
        <v>0</v>
      </c>
      <c r="T63" s="369">
        <f t="shared" si="75"/>
        <v>0</v>
      </c>
    </row>
    <row r="64" spans="1:20" ht="14.25" customHeight="1" outlineLevel="1">
      <c r="A64" s="351"/>
      <c r="B64" s="366" t="str">
        <f>'8.项目规划指标表'!$B$7</f>
        <v>回迁商业</v>
      </c>
      <c r="C64" s="371">
        <v>444</v>
      </c>
      <c r="D64" s="368">
        <f t="shared" si="76"/>
        <v>4208</v>
      </c>
      <c r="E64" s="369">
        <f t="shared" si="70"/>
        <v>186.83519999999999</v>
      </c>
      <c r="F64" s="372"/>
      <c r="G64" s="368">
        <f t="shared" si="77"/>
        <v>0</v>
      </c>
      <c r="H64" s="369">
        <f t="shared" si="71"/>
        <v>0</v>
      </c>
      <c r="I64" s="372"/>
      <c r="J64" s="368">
        <f t="shared" si="78"/>
        <v>0</v>
      </c>
      <c r="K64" s="369">
        <f t="shared" si="72"/>
        <v>0</v>
      </c>
      <c r="L64" s="372"/>
      <c r="M64" s="368">
        <f t="shared" si="79"/>
        <v>0</v>
      </c>
      <c r="N64" s="369">
        <f t="shared" si="73"/>
        <v>0</v>
      </c>
      <c r="O64" s="372"/>
      <c r="P64" s="368">
        <f t="shared" si="80"/>
        <v>0</v>
      </c>
      <c r="Q64" s="369">
        <f t="shared" si="74"/>
        <v>0</v>
      </c>
      <c r="R64" s="372"/>
      <c r="S64" s="368">
        <f t="shared" si="81"/>
        <v>0</v>
      </c>
      <c r="T64" s="369">
        <f t="shared" si="75"/>
        <v>0</v>
      </c>
    </row>
    <row r="65" spans="1:20" ht="14.25" customHeight="1" outlineLevel="1">
      <c r="A65" s="351"/>
      <c r="B65" s="366">
        <f>'8.项目规划指标表'!$B$8</f>
        <v>0</v>
      </c>
      <c r="C65" s="371">
        <v>392</v>
      </c>
      <c r="D65" s="368">
        <f t="shared" si="76"/>
        <v>0</v>
      </c>
      <c r="E65" s="369">
        <f t="shared" si="70"/>
        <v>0</v>
      </c>
      <c r="F65" s="372"/>
      <c r="G65" s="368">
        <f t="shared" si="77"/>
        <v>0</v>
      </c>
      <c r="H65" s="369">
        <f t="shared" si="71"/>
        <v>0</v>
      </c>
      <c r="I65" s="372"/>
      <c r="J65" s="368">
        <f t="shared" si="78"/>
        <v>0</v>
      </c>
      <c r="K65" s="369">
        <f t="shared" si="72"/>
        <v>0</v>
      </c>
      <c r="L65" s="372"/>
      <c r="M65" s="368">
        <f t="shared" si="79"/>
        <v>0</v>
      </c>
      <c r="N65" s="369">
        <f t="shared" si="73"/>
        <v>0</v>
      </c>
      <c r="O65" s="372"/>
      <c r="P65" s="368">
        <f t="shared" si="80"/>
        <v>0</v>
      </c>
      <c r="Q65" s="369">
        <f t="shared" si="74"/>
        <v>0</v>
      </c>
      <c r="R65" s="372"/>
      <c r="S65" s="368">
        <f t="shared" si="81"/>
        <v>0</v>
      </c>
      <c r="T65" s="369">
        <f t="shared" si="75"/>
        <v>0</v>
      </c>
    </row>
    <row r="66" spans="1:20" ht="14.25" customHeight="1" outlineLevel="1">
      <c r="A66" s="351"/>
      <c r="B66" s="366">
        <f>'8.项目规划指标表'!$B$9</f>
        <v>0</v>
      </c>
      <c r="C66" s="372"/>
      <c r="D66" s="368">
        <f t="shared" si="76"/>
        <v>0</v>
      </c>
      <c r="E66" s="369">
        <f t="shared" si="70"/>
        <v>0</v>
      </c>
      <c r="F66" s="372"/>
      <c r="G66" s="368">
        <f t="shared" si="77"/>
        <v>0</v>
      </c>
      <c r="H66" s="369">
        <f t="shared" si="71"/>
        <v>0</v>
      </c>
      <c r="I66" s="372"/>
      <c r="J66" s="368">
        <f t="shared" si="78"/>
        <v>0</v>
      </c>
      <c r="K66" s="369">
        <f t="shared" si="72"/>
        <v>0</v>
      </c>
      <c r="L66" s="372"/>
      <c r="M66" s="368">
        <f t="shared" si="79"/>
        <v>0</v>
      </c>
      <c r="N66" s="369">
        <f t="shared" si="73"/>
        <v>0</v>
      </c>
      <c r="O66" s="372"/>
      <c r="P66" s="368">
        <f t="shared" si="80"/>
        <v>0</v>
      </c>
      <c r="Q66" s="369">
        <f t="shared" si="74"/>
        <v>0</v>
      </c>
      <c r="R66" s="372"/>
      <c r="S66" s="368">
        <f t="shared" si="81"/>
        <v>0</v>
      </c>
      <c r="T66" s="369">
        <f t="shared" si="75"/>
        <v>0</v>
      </c>
    </row>
    <row r="67" spans="1:20" ht="14.25" customHeight="1" outlineLevel="1">
      <c r="A67" s="351"/>
      <c r="B67" s="366">
        <f>'8.项目规划指标表'!$B$10</f>
        <v>0</v>
      </c>
      <c r="C67" s="372"/>
      <c r="D67" s="368">
        <f t="shared" si="76"/>
        <v>0</v>
      </c>
      <c r="E67" s="369">
        <f t="shared" si="70"/>
        <v>0</v>
      </c>
      <c r="F67" s="372"/>
      <c r="G67" s="368">
        <f t="shared" si="77"/>
        <v>0</v>
      </c>
      <c r="H67" s="369">
        <f t="shared" si="71"/>
        <v>0</v>
      </c>
      <c r="I67" s="372"/>
      <c r="J67" s="368">
        <f t="shared" si="78"/>
        <v>0</v>
      </c>
      <c r="K67" s="369">
        <f t="shared" si="72"/>
        <v>0</v>
      </c>
      <c r="L67" s="372"/>
      <c r="M67" s="368">
        <f t="shared" si="79"/>
        <v>0</v>
      </c>
      <c r="N67" s="369">
        <f t="shared" si="73"/>
        <v>0</v>
      </c>
      <c r="O67" s="372"/>
      <c r="P67" s="368">
        <f t="shared" si="80"/>
        <v>0</v>
      </c>
      <c r="Q67" s="369">
        <f t="shared" si="74"/>
        <v>0</v>
      </c>
      <c r="R67" s="372"/>
      <c r="S67" s="368">
        <f t="shared" si="81"/>
        <v>0</v>
      </c>
      <c r="T67" s="369">
        <f t="shared" si="75"/>
        <v>0</v>
      </c>
    </row>
    <row r="68" spans="1:20" ht="14.25" customHeight="1" outlineLevel="1">
      <c r="A68" s="351"/>
      <c r="B68" s="366">
        <f>'8.项目规划指标表'!$B$11</f>
        <v>0</v>
      </c>
      <c r="C68" s="371"/>
      <c r="D68" s="368">
        <f t="shared" si="76"/>
        <v>0</v>
      </c>
      <c r="E68" s="369">
        <f t="shared" si="70"/>
        <v>0</v>
      </c>
      <c r="F68" s="372"/>
      <c r="G68" s="368">
        <f t="shared" si="77"/>
        <v>0</v>
      </c>
      <c r="H68" s="369">
        <f t="shared" si="71"/>
        <v>0</v>
      </c>
      <c r="I68" s="372"/>
      <c r="J68" s="368">
        <f t="shared" si="78"/>
        <v>0</v>
      </c>
      <c r="K68" s="369">
        <f t="shared" si="72"/>
        <v>0</v>
      </c>
      <c r="L68" s="372"/>
      <c r="M68" s="368">
        <f t="shared" si="79"/>
        <v>0</v>
      </c>
      <c r="N68" s="369">
        <f t="shared" si="73"/>
        <v>0</v>
      </c>
      <c r="O68" s="372"/>
      <c r="P68" s="368">
        <f t="shared" si="80"/>
        <v>0</v>
      </c>
      <c r="Q68" s="369">
        <f t="shared" si="74"/>
        <v>0</v>
      </c>
      <c r="R68" s="372"/>
      <c r="S68" s="368">
        <f t="shared" si="81"/>
        <v>0</v>
      </c>
      <c r="T68" s="369">
        <f t="shared" si="75"/>
        <v>0</v>
      </c>
    </row>
    <row r="69" spans="1:20" ht="14.25" customHeight="1" outlineLevel="1">
      <c r="A69" s="351"/>
      <c r="B69" s="366">
        <f>'8.项目规划指标表'!$B$12</f>
        <v>0</v>
      </c>
      <c r="C69" s="372"/>
      <c r="D69" s="368">
        <f t="shared" si="76"/>
        <v>0</v>
      </c>
      <c r="E69" s="369">
        <f t="shared" si="70"/>
        <v>0</v>
      </c>
      <c r="F69" s="372"/>
      <c r="G69" s="368">
        <f t="shared" si="77"/>
        <v>0</v>
      </c>
      <c r="H69" s="369">
        <f t="shared" si="71"/>
        <v>0</v>
      </c>
      <c r="I69" s="372"/>
      <c r="J69" s="368">
        <f t="shared" si="78"/>
        <v>0</v>
      </c>
      <c r="K69" s="369">
        <f t="shared" si="72"/>
        <v>0</v>
      </c>
      <c r="L69" s="372"/>
      <c r="M69" s="368">
        <f t="shared" si="79"/>
        <v>0</v>
      </c>
      <c r="N69" s="369">
        <f t="shared" si="73"/>
        <v>0</v>
      </c>
      <c r="O69" s="372"/>
      <c r="P69" s="368">
        <f t="shared" si="80"/>
        <v>0</v>
      </c>
      <c r="Q69" s="369">
        <f t="shared" si="74"/>
        <v>0</v>
      </c>
      <c r="R69" s="372"/>
      <c r="S69" s="368">
        <f t="shared" si="81"/>
        <v>0</v>
      </c>
      <c r="T69" s="369">
        <f t="shared" si="75"/>
        <v>0</v>
      </c>
    </row>
    <row r="70" spans="1:20" ht="14.25" customHeight="1" outlineLevel="1">
      <c r="A70" s="351"/>
      <c r="B70" s="366">
        <f>'8.项目规划指标表'!$B$13</f>
        <v>0</v>
      </c>
      <c r="C70" s="371"/>
      <c r="D70" s="368">
        <f t="shared" si="76"/>
        <v>0</v>
      </c>
      <c r="E70" s="369">
        <f t="shared" si="70"/>
        <v>0</v>
      </c>
      <c r="F70" s="372"/>
      <c r="G70" s="368">
        <f t="shared" si="77"/>
        <v>0</v>
      </c>
      <c r="H70" s="369">
        <f t="shared" si="71"/>
        <v>0</v>
      </c>
      <c r="I70" s="372"/>
      <c r="J70" s="368">
        <f t="shared" si="78"/>
        <v>0</v>
      </c>
      <c r="K70" s="369">
        <f t="shared" si="72"/>
        <v>0</v>
      </c>
      <c r="L70" s="372"/>
      <c r="M70" s="368">
        <f t="shared" si="79"/>
        <v>0</v>
      </c>
      <c r="N70" s="369">
        <f t="shared" si="73"/>
        <v>0</v>
      </c>
      <c r="O70" s="372"/>
      <c r="P70" s="368">
        <f t="shared" si="80"/>
        <v>0</v>
      </c>
      <c r="Q70" s="369">
        <f t="shared" si="74"/>
        <v>0</v>
      </c>
      <c r="R70" s="372"/>
      <c r="S70" s="368">
        <f t="shared" si="81"/>
        <v>0</v>
      </c>
      <c r="T70" s="369">
        <f t="shared" si="75"/>
        <v>0</v>
      </c>
    </row>
    <row r="71" spans="1:20" ht="14.25" customHeight="1" outlineLevel="1">
      <c r="A71" s="351"/>
      <c r="B71" s="366" t="str">
        <f>'8.项目规划指标表'!$B$14</f>
        <v>自持物业</v>
      </c>
      <c r="C71" s="372"/>
      <c r="D71" s="368">
        <f t="shared" si="76"/>
        <v>0</v>
      </c>
      <c r="E71" s="369">
        <f t="shared" si="70"/>
        <v>0</v>
      </c>
      <c r="F71" s="372"/>
      <c r="G71" s="368">
        <f t="shared" si="77"/>
        <v>0</v>
      </c>
      <c r="H71" s="369">
        <f t="shared" si="71"/>
        <v>0</v>
      </c>
      <c r="I71" s="372"/>
      <c r="J71" s="368">
        <f t="shared" si="78"/>
        <v>0</v>
      </c>
      <c r="K71" s="369">
        <f t="shared" si="72"/>
        <v>0</v>
      </c>
      <c r="L71" s="372"/>
      <c r="M71" s="368">
        <f t="shared" si="79"/>
        <v>0</v>
      </c>
      <c r="N71" s="369">
        <f t="shared" si="73"/>
        <v>0</v>
      </c>
      <c r="O71" s="372"/>
      <c r="P71" s="368">
        <f t="shared" si="80"/>
        <v>0</v>
      </c>
      <c r="Q71" s="369">
        <f t="shared" si="74"/>
        <v>0</v>
      </c>
      <c r="R71" s="372"/>
      <c r="S71" s="368">
        <f t="shared" si="81"/>
        <v>0</v>
      </c>
      <c r="T71" s="369">
        <f t="shared" si="75"/>
        <v>0</v>
      </c>
    </row>
    <row r="72" spans="1:20" ht="14.25" customHeight="1" outlineLevel="1">
      <c r="A72" s="351"/>
      <c r="B72" s="366" t="str">
        <f>'8.项目规划指标表'!$B$15</f>
        <v>无产权公共配套</v>
      </c>
      <c r="C72" s="372"/>
      <c r="D72" s="368">
        <f t="shared" si="76"/>
        <v>0</v>
      </c>
      <c r="E72" s="369">
        <f t="shared" si="70"/>
        <v>0</v>
      </c>
      <c r="F72" s="372"/>
      <c r="G72" s="368">
        <f t="shared" si="77"/>
        <v>0</v>
      </c>
      <c r="H72" s="369">
        <f t="shared" si="71"/>
        <v>0</v>
      </c>
      <c r="I72" s="372"/>
      <c r="J72" s="368">
        <f t="shared" si="78"/>
        <v>0</v>
      </c>
      <c r="K72" s="369">
        <f t="shared" si="72"/>
        <v>0</v>
      </c>
      <c r="L72" s="372"/>
      <c r="M72" s="368">
        <f t="shared" si="79"/>
        <v>0</v>
      </c>
      <c r="N72" s="369">
        <f t="shared" si="73"/>
        <v>0</v>
      </c>
      <c r="O72" s="372"/>
      <c r="P72" s="368">
        <f t="shared" si="80"/>
        <v>0</v>
      </c>
      <c r="Q72" s="369">
        <f t="shared" si="74"/>
        <v>0</v>
      </c>
      <c r="R72" s="372"/>
      <c r="S72" s="368">
        <f t="shared" si="81"/>
        <v>0</v>
      </c>
      <c r="T72" s="369">
        <f t="shared" si="75"/>
        <v>0</v>
      </c>
    </row>
    <row r="73" spans="1:20" ht="14.25" customHeight="1" outlineLevel="1">
      <c r="A73" s="351"/>
      <c r="B73" s="366" t="str">
        <f>'8.项目规划指标表'!$B$18</f>
        <v>有产权车库(个)</v>
      </c>
      <c r="C73" s="372"/>
      <c r="D73" s="368">
        <f t="shared" si="76"/>
        <v>0</v>
      </c>
      <c r="E73" s="369">
        <f t="shared" si="70"/>
        <v>0</v>
      </c>
      <c r="F73" s="372"/>
      <c r="G73" s="368">
        <f t="shared" si="77"/>
        <v>0</v>
      </c>
      <c r="H73" s="369">
        <f t="shared" si="71"/>
        <v>0</v>
      </c>
      <c r="I73" s="372"/>
      <c r="J73" s="368">
        <f t="shared" si="78"/>
        <v>0</v>
      </c>
      <c r="K73" s="369">
        <f t="shared" si="72"/>
        <v>0</v>
      </c>
      <c r="L73" s="372"/>
      <c r="M73" s="368">
        <f t="shared" si="79"/>
        <v>0</v>
      </c>
      <c r="N73" s="369">
        <f t="shared" si="73"/>
        <v>0</v>
      </c>
      <c r="O73" s="372"/>
      <c r="P73" s="368">
        <f t="shared" si="80"/>
        <v>0</v>
      </c>
      <c r="Q73" s="369">
        <f t="shared" si="74"/>
        <v>0</v>
      </c>
      <c r="R73" s="372"/>
      <c r="S73" s="368">
        <f t="shared" si="81"/>
        <v>0</v>
      </c>
      <c r="T73" s="369">
        <f t="shared" si="75"/>
        <v>0</v>
      </c>
    </row>
    <row r="74" spans="1:20" ht="14.25" customHeight="1" outlineLevel="1">
      <c r="A74" s="351"/>
      <c r="B74" s="366" t="str">
        <f>'8.项目规划指标表'!$B$19</f>
        <v>无产权车库(个)</v>
      </c>
      <c r="C74" s="372"/>
      <c r="D74" s="368">
        <f t="shared" si="76"/>
        <v>0</v>
      </c>
      <c r="E74" s="369">
        <f t="shared" si="70"/>
        <v>0</v>
      </c>
      <c r="F74" s="372"/>
      <c r="G74" s="368">
        <f t="shared" si="77"/>
        <v>0</v>
      </c>
      <c r="H74" s="369">
        <f t="shared" si="71"/>
        <v>0</v>
      </c>
      <c r="I74" s="372"/>
      <c r="J74" s="368">
        <f t="shared" si="78"/>
        <v>0</v>
      </c>
      <c r="K74" s="369">
        <f t="shared" si="72"/>
        <v>0</v>
      </c>
      <c r="L74" s="372"/>
      <c r="M74" s="368">
        <f t="shared" si="79"/>
        <v>0</v>
      </c>
      <c r="N74" s="369">
        <f t="shared" si="73"/>
        <v>0</v>
      </c>
      <c r="O74" s="372"/>
      <c r="P74" s="368">
        <f t="shared" si="80"/>
        <v>0</v>
      </c>
      <c r="Q74" s="369">
        <f t="shared" si="74"/>
        <v>0</v>
      </c>
      <c r="R74" s="372"/>
      <c r="S74" s="368">
        <f t="shared" si="81"/>
        <v>0</v>
      </c>
      <c r="T74" s="369">
        <f t="shared" si="75"/>
        <v>0</v>
      </c>
    </row>
    <row r="75" spans="1:20" ht="15" customHeight="1">
      <c r="A75" s="351"/>
      <c r="B75" s="362" t="s">
        <v>871</v>
      </c>
      <c r="C75" s="363">
        <f>IFERROR(E75/D75*10000,0)</f>
        <v>325</v>
      </c>
      <c r="D75" s="364">
        <f t="shared" ref="D75:H75" si="82">SUM(D76:D88)</f>
        <v>63948</v>
      </c>
      <c r="E75" s="365">
        <f t="shared" si="82"/>
        <v>2078.31</v>
      </c>
      <c r="F75" s="363">
        <f>IFERROR(H75/G75*10000,0)</f>
        <v>0</v>
      </c>
      <c r="G75" s="364">
        <f t="shared" si="82"/>
        <v>0</v>
      </c>
      <c r="H75" s="365">
        <f t="shared" si="82"/>
        <v>0</v>
      </c>
      <c r="I75" s="363">
        <f>IFERROR(K75/J75*10000,0)</f>
        <v>0</v>
      </c>
      <c r="J75" s="364">
        <f t="shared" ref="J75:N75" si="83">SUM(J76:J88)</f>
        <v>0</v>
      </c>
      <c r="K75" s="365">
        <f t="shared" si="83"/>
        <v>0</v>
      </c>
      <c r="L75" s="363">
        <f>IFERROR(N75/M75*10000,0)</f>
        <v>0</v>
      </c>
      <c r="M75" s="364">
        <f t="shared" si="83"/>
        <v>0</v>
      </c>
      <c r="N75" s="365">
        <f t="shared" si="83"/>
        <v>0</v>
      </c>
      <c r="O75" s="363">
        <f>IFERROR(Q75/P75*10000,0)</f>
        <v>0</v>
      </c>
      <c r="P75" s="364">
        <f t="shared" ref="P75:T75" si="84">SUM(P76:P88)</f>
        <v>0</v>
      </c>
      <c r="Q75" s="365">
        <f t="shared" si="84"/>
        <v>0</v>
      </c>
      <c r="R75" s="363">
        <f>IFERROR(T75/S75*10000,0)</f>
        <v>0</v>
      </c>
      <c r="S75" s="364">
        <f t="shared" si="84"/>
        <v>0</v>
      </c>
      <c r="T75" s="365">
        <f t="shared" si="84"/>
        <v>0</v>
      </c>
    </row>
    <row r="76" spans="1:20" ht="14.25" customHeight="1" outlineLevel="1">
      <c r="A76" s="351"/>
      <c r="B76" s="366" t="str">
        <f>'8.项目规划指标表'!$B$5</f>
        <v>高层</v>
      </c>
      <c r="C76" s="371">
        <v>325</v>
      </c>
      <c r="D76" s="368">
        <f>IF(C76="",0,D6)</f>
        <v>56100</v>
      </c>
      <c r="E76" s="369">
        <f t="shared" ref="E76:E88" si="85">C76*D76/10000</f>
        <v>1823.25</v>
      </c>
      <c r="F76" s="372"/>
      <c r="G76" s="368">
        <f>IF(F76="",0,G6)</f>
        <v>0</v>
      </c>
      <c r="H76" s="369">
        <f t="shared" ref="H76:H88" si="86">F76*G76/10000</f>
        <v>0</v>
      </c>
      <c r="I76" s="372"/>
      <c r="J76" s="368">
        <f>IF(I76="",0,J6)</f>
        <v>0</v>
      </c>
      <c r="K76" s="369">
        <f t="shared" ref="K76:K88" si="87">I76*J76/10000</f>
        <v>0</v>
      </c>
      <c r="L76" s="372"/>
      <c r="M76" s="368">
        <f>IF(L76="",0,M6)</f>
        <v>0</v>
      </c>
      <c r="N76" s="369">
        <f t="shared" ref="N76:N88" si="88">L76*M76/10000</f>
        <v>0</v>
      </c>
      <c r="O76" s="372"/>
      <c r="P76" s="368">
        <f>IF(O76="",0,P6)</f>
        <v>0</v>
      </c>
      <c r="Q76" s="369">
        <f t="shared" ref="Q76:Q88" si="89">O76*P76/10000</f>
        <v>0</v>
      </c>
      <c r="R76" s="372"/>
      <c r="S76" s="368">
        <f>IF(R76="",0,S6)</f>
        <v>0</v>
      </c>
      <c r="T76" s="369">
        <f t="shared" ref="T76:T88" si="90">R76*S76/10000</f>
        <v>0</v>
      </c>
    </row>
    <row r="77" spans="1:20" ht="14.25" customHeight="1" outlineLevel="1">
      <c r="A77" s="351"/>
      <c r="B77" s="366" t="str">
        <f>'8.项目规划指标表'!$B$6</f>
        <v>商铺</v>
      </c>
      <c r="C77" s="371">
        <v>325</v>
      </c>
      <c r="D77" s="368">
        <f t="shared" ref="D77:D88" si="91">IF(C77="",0,D7)</f>
        <v>3640</v>
      </c>
      <c r="E77" s="369">
        <f t="shared" si="85"/>
        <v>118.3</v>
      </c>
      <c r="F77" s="372"/>
      <c r="G77" s="368">
        <f t="shared" ref="G77:G88" si="92">IF(F77="",0,G7)</f>
        <v>0</v>
      </c>
      <c r="H77" s="369">
        <f t="shared" si="86"/>
        <v>0</v>
      </c>
      <c r="I77" s="372"/>
      <c r="J77" s="368">
        <f t="shared" ref="J77:J88" si="93">IF(I77="",0,J7)</f>
        <v>0</v>
      </c>
      <c r="K77" s="369">
        <f t="shared" si="87"/>
        <v>0</v>
      </c>
      <c r="L77" s="372"/>
      <c r="M77" s="368">
        <f t="shared" ref="M77:M88" si="94">IF(L77="",0,M7)</f>
        <v>0</v>
      </c>
      <c r="N77" s="369">
        <f t="shared" si="88"/>
        <v>0</v>
      </c>
      <c r="O77" s="372"/>
      <c r="P77" s="368">
        <f t="shared" ref="P77:P88" si="95">IF(O77="",0,P7)</f>
        <v>0</v>
      </c>
      <c r="Q77" s="369">
        <f t="shared" si="89"/>
        <v>0</v>
      </c>
      <c r="R77" s="372"/>
      <c r="S77" s="368">
        <f t="shared" ref="S77:S88" si="96">IF(R77="",0,S7)</f>
        <v>0</v>
      </c>
      <c r="T77" s="369">
        <f t="shared" si="90"/>
        <v>0</v>
      </c>
    </row>
    <row r="78" spans="1:20" ht="14.25" customHeight="1" outlineLevel="1">
      <c r="A78" s="351"/>
      <c r="B78" s="366" t="str">
        <f>'8.项目规划指标表'!$B$7</f>
        <v>回迁商业</v>
      </c>
      <c r="C78" s="371">
        <v>325</v>
      </c>
      <c r="D78" s="368">
        <f t="shared" si="91"/>
        <v>4208</v>
      </c>
      <c r="E78" s="369">
        <f t="shared" si="85"/>
        <v>136.76</v>
      </c>
      <c r="F78" s="372"/>
      <c r="G78" s="368">
        <f t="shared" si="92"/>
        <v>0</v>
      </c>
      <c r="H78" s="369">
        <f t="shared" si="86"/>
        <v>0</v>
      </c>
      <c r="I78" s="372"/>
      <c r="J78" s="368">
        <f t="shared" si="93"/>
        <v>0</v>
      </c>
      <c r="K78" s="369">
        <f t="shared" si="87"/>
        <v>0</v>
      </c>
      <c r="L78" s="372"/>
      <c r="M78" s="368">
        <f t="shared" si="94"/>
        <v>0</v>
      </c>
      <c r="N78" s="369">
        <f t="shared" si="88"/>
        <v>0</v>
      </c>
      <c r="O78" s="372"/>
      <c r="P78" s="368">
        <f t="shared" si="95"/>
        <v>0</v>
      </c>
      <c r="Q78" s="369">
        <f t="shared" si="89"/>
        <v>0</v>
      </c>
      <c r="R78" s="372"/>
      <c r="S78" s="368">
        <f t="shared" si="96"/>
        <v>0</v>
      </c>
      <c r="T78" s="369">
        <f t="shared" si="90"/>
        <v>0</v>
      </c>
    </row>
    <row r="79" spans="1:20" ht="14.25" customHeight="1" outlineLevel="1">
      <c r="A79" s="351"/>
      <c r="B79" s="366">
        <f>'8.项目规划指标表'!$B$8</f>
        <v>0</v>
      </c>
      <c r="C79" s="371"/>
      <c r="D79" s="368">
        <f t="shared" si="91"/>
        <v>0</v>
      </c>
      <c r="E79" s="369">
        <f t="shared" si="85"/>
        <v>0</v>
      </c>
      <c r="F79" s="372"/>
      <c r="G79" s="368">
        <f t="shared" si="92"/>
        <v>0</v>
      </c>
      <c r="H79" s="369">
        <f t="shared" si="86"/>
        <v>0</v>
      </c>
      <c r="I79" s="372"/>
      <c r="J79" s="368">
        <f t="shared" si="93"/>
        <v>0</v>
      </c>
      <c r="K79" s="369">
        <f t="shared" si="87"/>
        <v>0</v>
      </c>
      <c r="L79" s="372"/>
      <c r="M79" s="368">
        <f t="shared" si="94"/>
        <v>0</v>
      </c>
      <c r="N79" s="369">
        <f t="shared" si="88"/>
        <v>0</v>
      </c>
      <c r="O79" s="372"/>
      <c r="P79" s="368">
        <f t="shared" si="95"/>
        <v>0</v>
      </c>
      <c r="Q79" s="369">
        <f t="shared" si="89"/>
        <v>0</v>
      </c>
      <c r="R79" s="372"/>
      <c r="S79" s="368">
        <f t="shared" si="96"/>
        <v>0</v>
      </c>
      <c r="T79" s="369">
        <f t="shared" si="90"/>
        <v>0</v>
      </c>
    </row>
    <row r="80" spans="1:20" ht="14.25" customHeight="1" outlineLevel="1">
      <c r="A80" s="351"/>
      <c r="B80" s="366">
        <f>'8.项目规划指标表'!$B$9</f>
        <v>0</v>
      </c>
      <c r="C80" s="372"/>
      <c r="D80" s="368">
        <f t="shared" si="91"/>
        <v>0</v>
      </c>
      <c r="E80" s="369">
        <f t="shared" si="85"/>
        <v>0</v>
      </c>
      <c r="F80" s="372"/>
      <c r="G80" s="368">
        <f t="shared" si="92"/>
        <v>0</v>
      </c>
      <c r="H80" s="369">
        <f t="shared" si="86"/>
        <v>0</v>
      </c>
      <c r="I80" s="372"/>
      <c r="J80" s="368">
        <f t="shared" si="93"/>
        <v>0</v>
      </c>
      <c r="K80" s="369">
        <f t="shared" si="87"/>
        <v>0</v>
      </c>
      <c r="L80" s="372"/>
      <c r="M80" s="368">
        <f t="shared" si="94"/>
        <v>0</v>
      </c>
      <c r="N80" s="369">
        <f t="shared" si="88"/>
        <v>0</v>
      </c>
      <c r="O80" s="372"/>
      <c r="P80" s="368">
        <f t="shared" si="95"/>
        <v>0</v>
      </c>
      <c r="Q80" s="369">
        <f t="shared" si="89"/>
        <v>0</v>
      </c>
      <c r="R80" s="372"/>
      <c r="S80" s="368">
        <f t="shared" si="96"/>
        <v>0</v>
      </c>
      <c r="T80" s="369">
        <f t="shared" si="90"/>
        <v>0</v>
      </c>
    </row>
    <row r="81" spans="1:20" ht="14.25" customHeight="1" outlineLevel="1">
      <c r="A81" s="351"/>
      <c r="B81" s="366">
        <f>'8.项目规划指标表'!$B$10</f>
        <v>0</v>
      </c>
      <c r="C81" s="372"/>
      <c r="D81" s="368">
        <f t="shared" si="91"/>
        <v>0</v>
      </c>
      <c r="E81" s="369">
        <f t="shared" si="85"/>
        <v>0</v>
      </c>
      <c r="F81" s="372"/>
      <c r="G81" s="368">
        <f t="shared" si="92"/>
        <v>0</v>
      </c>
      <c r="H81" s="369">
        <f t="shared" si="86"/>
        <v>0</v>
      </c>
      <c r="I81" s="372"/>
      <c r="J81" s="368">
        <f t="shared" si="93"/>
        <v>0</v>
      </c>
      <c r="K81" s="369">
        <f t="shared" si="87"/>
        <v>0</v>
      </c>
      <c r="L81" s="372"/>
      <c r="M81" s="368">
        <f t="shared" si="94"/>
        <v>0</v>
      </c>
      <c r="N81" s="369">
        <f t="shared" si="88"/>
        <v>0</v>
      </c>
      <c r="O81" s="372"/>
      <c r="P81" s="368">
        <f t="shared" si="95"/>
        <v>0</v>
      </c>
      <c r="Q81" s="369">
        <f t="shared" si="89"/>
        <v>0</v>
      </c>
      <c r="R81" s="372"/>
      <c r="S81" s="368">
        <f t="shared" si="96"/>
        <v>0</v>
      </c>
      <c r="T81" s="369">
        <f t="shared" si="90"/>
        <v>0</v>
      </c>
    </row>
    <row r="82" spans="1:20" ht="14.25" customHeight="1" outlineLevel="1">
      <c r="A82" s="351"/>
      <c r="B82" s="366">
        <f>'8.项目规划指标表'!$B$11</f>
        <v>0</v>
      </c>
      <c r="C82" s="371"/>
      <c r="D82" s="368">
        <f t="shared" si="91"/>
        <v>0</v>
      </c>
      <c r="E82" s="369">
        <f t="shared" si="85"/>
        <v>0</v>
      </c>
      <c r="F82" s="372"/>
      <c r="G82" s="368">
        <f t="shared" si="92"/>
        <v>0</v>
      </c>
      <c r="H82" s="369">
        <f t="shared" si="86"/>
        <v>0</v>
      </c>
      <c r="I82" s="372"/>
      <c r="J82" s="368">
        <f t="shared" si="93"/>
        <v>0</v>
      </c>
      <c r="K82" s="369">
        <f t="shared" si="87"/>
        <v>0</v>
      </c>
      <c r="L82" s="372"/>
      <c r="M82" s="368">
        <f t="shared" si="94"/>
        <v>0</v>
      </c>
      <c r="N82" s="369">
        <f t="shared" si="88"/>
        <v>0</v>
      </c>
      <c r="O82" s="372"/>
      <c r="P82" s="368">
        <f t="shared" si="95"/>
        <v>0</v>
      </c>
      <c r="Q82" s="369">
        <f t="shared" si="89"/>
        <v>0</v>
      </c>
      <c r="R82" s="372"/>
      <c r="S82" s="368">
        <f t="shared" si="96"/>
        <v>0</v>
      </c>
      <c r="T82" s="369">
        <f t="shared" si="90"/>
        <v>0</v>
      </c>
    </row>
    <row r="83" spans="1:20" ht="14.25" customHeight="1" outlineLevel="1">
      <c r="A83" s="351"/>
      <c r="B83" s="366">
        <f>'8.项目规划指标表'!$B$12</f>
        <v>0</v>
      </c>
      <c r="C83" s="372"/>
      <c r="D83" s="368">
        <f t="shared" si="91"/>
        <v>0</v>
      </c>
      <c r="E83" s="369">
        <f t="shared" si="85"/>
        <v>0</v>
      </c>
      <c r="F83" s="372"/>
      <c r="G83" s="368">
        <f t="shared" si="92"/>
        <v>0</v>
      </c>
      <c r="H83" s="369">
        <f t="shared" si="86"/>
        <v>0</v>
      </c>
      <c r="I83" s="372"/>
      <c r="J83" s="368">
        <f t="shared" si="93"/>
        <v>0</v>
      </c>
      <c r="K83" s="369">
        <f t="shared" si="87"/>
        <v>0</v>
      </c>
      <c r="L83" s="372"/>
      <c r="M83" s="368">
        <f t="shared" si="94"/>
        <v>0</v>
      </c>
      <c r="N83" s="369">
        <f t="shared" si="88"/>
        <v>0</v>
      </c>
      <c r="O83" s="372"/>
      <c r="P83" s="368">
        <f t="shared" si="95"/>
        <v>0</v>
      </c>
      <c r="Q83" s="369">
        <f t="shared" si="89"/>
        <v>0</v>
      </c>
      <c r="R83" s="372"/>
      <c r="S83" s="368">
        <f t="shared" si="96"/>
        <v>0</v>
      </c>
      <c r="T83" s="369">
        <f t="shared" si="90"/>
        <v>0</v>
      </c>
    </row>
    <row r="84" spans="1:20" ht="14.25" customHeight="1" outlineLevel="1">
      <c r="A84" s="351"/>
      <c r="B84" s="366">
        <f>'8.项目规划指标表'!$B$13</f>
        <v>0</v>
      </c>
      <c r="C84" s="371"/>
      <c r="D84" s="368">
        <f t="shared" si="91"/>
        <v>0</v>
      </c>
      <c r="E84" s="369">
        <f t="shared" si="85"/>
        <v>0</v>
      </c>
      <c r="F84" s="372"/>
      <c r="G84" s="368">
        <f t="shared" si="92"/>
        <v>0</v>
      </c>
      <c r="H84" s="369">
        <f t="shared" si="86"/>
        <v>0</v>
      </c>
      <c r="I84" s="372"/>
      <c r="J84" s="368">
        <f t="shared" si="93"/>
        <v>0</v>
      </c>
      <c r="K84" s="369">
        <f t="shared" si="87"/>
        <v>0</v>
      </c>
      <c r="L84" s="372"/>
      <c r="M84" s="368">
        <f t="shared" si="94"/>
        <v>0</v>
      </c>
      <c r="N84" s="369">
        <f t="shared" si="88"/>
        <v>0</v>
      </c>
      <c r="O84" s="372"/>
      <c r="P84" s="368">
        <f t="shared" si="95"/>
        <v>0</v>
      </c>
      <c r="Q84" s="369">
        <f t="shared" si="89"/>
        <v>0</v>
      </c>
      <c r="R84" s="372"/>
      <c r="S84" s="368">
        <f t="shared" si="96"/>
        <v>0</v>
      </c>
      <c r="T84" s="369">
        <f t="shared" si="90"/>
        <v>0</v>
      </c>
    </row>
    <row r="85" spans="1:20" ht="14.25" customHeight="1" outlineLevel="1">
      <c r="A85" s="351"/>
      <c r="B85" s="366" t="str">
        <f>'8.项目规划指标表'!$B$14</f>
        <v>自持物业</v>
      </c>
      <c r="C85" s="371"/>
      <c r="D85" s="368">
        <f t="shared" si="91"/>
        <v>0</v>
      </c>
      <c r="E85" s="369">
        <f t="shared" si="85"/>
        <v>0</v>
      </c>
      <c r="F85" s="372"/>
      <c r="G85" s="368">
        <f t="shared" si="92"/>
        <v>0</v>
      </c>
      <c r="H85" s="369">
        <f t="shared" si="86"/>
        <v>0</v>
      </c>
      <c r="I85" s="372"/>
      <c r="J85" s="368">
        <f t="shared" si="93"/>
        <v>0</v>
      </c>
      <c r="K85" s="369">
        <f t="shared" si="87"/>
        <v>0</v>
      </c>
      <c r="L85" s="372"/>
      <c r="M85" s="368">
        <f t="shared" si="94"/>
        <v>0</v>
      </c>
      <c r="N85" s="369">
        <f t="shared" si="88"/>
        <v>0</v>
      </c>
      <c r="O85" s="372"/>
      <c r="P85" s="368">
        <f t="shared" si="95"/>
        <v>0</v>
      </c>
      <c r="Q85" s="369">
        <f t="shared" si="89"/>
        <v>0</v>
      </c>
      <c r="R85" s="372"/>
      <c r="S85" s="368">
        <f t="shared" si="96"/>
        <v>0</v>
      </c>
      <c r="T85" s="369">
        <f t="shared" si="90"/>
        <v>0</v>
      </c>
    </row>
    <row r="86" spans="1:20" ht="14.25" customHeight="1" outlineLevel="1">
      <c r="A86" s="351"/>
      <c r="B86" s="366" t="str">
        <f>'8.项目规划指标表'!$B$15</f>
        <v>无产权公共配套</v>
      </c>
      <c r="C86" s="372"/>
      <c r="D86" s="368">
        <f t="shared" si="91"/>
        <v>0</v>
      </c>
      <c r="E86" s="369">
        <f t="shared" si="85"/>
        <v>0</v>
      </c>
      <c r="F86" s="372"/>
      <c r="G86" s="368">
        <f t="shared" si="92"/>
        <v>0</v>
      </c>
      <c r="H86" s="369">
        <f t="shared" si="86"/>
        <v>0</v>
      </c>
      <c r="I86" s="372"/>
      <c r="J86" s="368">
        <f t="shared" si="93"/>
        <v>0</v>
      </c>
      <c r="K86" s="369">
        <f t="shared" si="87"/>
        <v>0</v>
      </c>
      <c r="L86" s="372"/>
      <c r="M86" s="368">
        <f t="shared" si="94"/>
        <v>0</v>
      </c>
      <c r="N86" s="369">
        <f t="shared" si="88"/>
        <v>0</v>
      </c>
      <c r="O86" s="372"/>
      <c r="P86" s="368">
        <f t="shared" si="95"/>
        <v>0</v>
      </c>
      <c r="Q86" s="369">
        <f t="shared" si="89"/>
        <v>0</v>
      </c>
      <c r="R86" s="372"/>
      <c r="S86" s="368">
        <f t="shared" si="96"/>
        <v>0</v>
      </c>
      <c r="T86" s="369">
        <f t="shared" si="90"/>
        <v>0</v>
      </c>
    </row>
    <row r="87" spans="1:20" ht="14.25" customHeight="1" outlineLevel="1">
      <c r="A87" s="351"/>
      <c r="B87" s="366" t="str">
        <f>'8.项目规划指标表'!$B$18</f>
        <v>有产权车库(个)</v>
      </c>
      <c r="C87" s="372"/>
      <c r="D87" s="368">
        <f t="shared" si="91"/>
        <v>0</v>
      </c>
      <c r="E87" s="369">
        <f t="shared" si="85"/>
        <v>0</v>
      </c>
      <c r="F87" s="372"/>
      <c r="G87" s="368">
        <f t="shared" si="92"/>
        <v>0</v>
      </c>
      <c r="H87" s="369">
        <f t="shared" si="86"/>
        <v>0</v>
      </c>
      <c r="I87" s="372"/>
      <c r="J87" s="368">
        <f t="shared" si="93"/>
        <v>0</v>
      </c>
      <c r="K87" s="369">
        <f t="shared" si="87"/>
        <v>0</v>
      </c>
      <c r="L87" s="372"/>
      <c r="M87" s="368">
        <f t="shared" si="94"/>
        <v>0</v>
      </c>
      <c r="N87" s="369">
        <f t="shared" si="88"/>
        <v>0</v>
      </c>
      <c r="O87" s="372"/>
      <c r="P87" s="368">
        <f t="shared" si="95"/>
        <v>0</v>
      </c>
      <c r="Q87" s="369">
        <f t="shared" si="89"/>
        <v>0</v>
      </c>
      <c r="R87" s="372"/>
      <c r="S87" s="368">
        <f t="shared" si="96"/>
        <v>0</v>
      </c>
      <c r="T87" s="369">
        <f t="shared" si="90"/>
        <v>0</v>
      </c>
    </row>
    <row r="88" spans="1:20" ht="14.25" customHeight="1" outlineLevel="1">
      <c r="A88" s="351"/>
      <c r="B88" s="366" t="str">
        <f>'8.项目规划指标表'!$B$19</f>
        <v>无产权车库(个)</v>
      </c>
      <c r="C88" s="372"/>
      <c r="D88" s="368">
        <f t="shared" si="91"/>
        <v>0</v>
      </c>
      <c r="E88" s="369">
        <f t="shared" si="85"/>
        <v>0</v>
      </c>
      <c r="F88" s="372"/>
      <c r="G88" s="368">
        <f t="shared" si="92"/>
        <v>0</v>
      </c>
      <c r="H88" s="369">
        <f t="shared" si="86"/>
        <v>0</v>
      </c>
      <c r="I88" s="372"/>
      <c r="J88" s="368">
        <f t="shared" si="93"/>
        <v>0</v>
      </c>
      <c r="K88" s="369">
        <f t="shared" si="87"/>
        <v>0</v>
      </c>
      <c r="L88" s="372"/>
      <c r="M88" s="368">
        <f t="shared" si="94"/>
        <v>0</v>
      </c>
      <c r="N88" s="369">
        <f t="shared" si="88"/>
        <v>0</v>
      </c>
      <c r="O88" s="372"/>
      <c r="P88" s="368">
        <f t="shared" si="95"/>
        <v>0</v>
      </c>
      <c r="Q88" s="369">
        <f t="shared" si="89"/>
        <v>0</v>
      </c>
      <c r="R88" s="372"/>
      <c r="S88" s="368">
        <f t="shared" si="96"/>
        <v>0</v>
      </c>
      <c r="T88" s="369">
        <f t="shared" si="90"/>
        <v>0</v>
      </c>
    </row>
    <row r="89" spans="1:20" ht="15" customHeight="1">
      <c r="A89" s="351"/>
      <c r="B89" s="362" t="s">
        <v>872</v>
      </c>
      <c r="C89" s="363">
        <f>IFERROR(E89/D89*10000,0)</f>
        <v>556</v>
      </c>
      <c r="D89" s="364">
        <f t="shared" ref="D89:H89" si="97">SUM(D90:D102)</f>
        <v>63948</v>
      </c>
      <c r="E89" s="365">
        <f t="shared" si="97"/>
        <v>3555.5088000000001</v>
      </c>
      <c r="F89" s="363">
        <f>IFERROR(H89/G89*10000,0)</f>
        <v>0</v>
      </c>
      <c r="G89" s="364">
        <f t="shared" si="97"/>
        <v>0</v>
      </c>
      <c r="H89" s="365">
        <f t="shared" si="97"/>
        <v>0</v>
      </c>
      <c r="I89" s="363">
        <f>IFERROR(K89/J89*10000,0)</f>
        <v>0</v>
      </c>
      <c r="J89" s="364">
        <f t="shared" ref="J89:N89" si="98">SUM(J90:J102)</f>
        <v>0</v>
      </c>
      <c r="K89" s="365">
        <f t="shared" si="98"/>
        <v>0</v>
      </c>
      <c r="L89" s="363">
        <f>IFERROR(N89/M89*10000,0)</f>
        <v>0</v>
      </c>
      <c r="M89" s="364">
        <f t="shared" si="98"/>
        <v>0</v>
      </c>
      <c r="N89" s="365">
        <f t="shared" si="98"/>
        <v>0</v>
      </c>
      <c r="O89" s="363">
        <f>IFERROR(Q89/P89*10000,0)</f>
        <v>0</v>
      </c>
      <c r="P89" s="364">
        <f t="shared" ref="P89:T89" si="99">SUM(P90:P102)</f>
        <v>0</v>
      </c>
      <c r="Q89" s="365">
        <f t="shared" si="99"/>
        <v>0</v>
      </c>
      <c r="R89" s="363">
        <f>IFERROR(T89/S89*10000,0)</f>
        <v>0</v>
      </c>
      <c r="S89" s="364">
        <f t="shared" si="99"/>
        <v>0</v>
      </c>
      <c r="T89" s="365">
        <f t="shared" si="99"/>
        <v>0</v>
      </c>
    </row>
    <row r="90" spans="1:20" ht="14.25" customHeight="1" outlineLevel="1">
      <c r="A90" s="351"/>
      <c r="B90" s="366" t="str">
        <f>'8.项目规划指标表'!$B$5</f>
        <v>高层</v>
      </c>
      <c r="C90" s="371">
        <v>556</v>
      </c>
      <c r="D90" s="368">
        <f>IF(C90="",0,D6)</f>
        <v>56100</v>
      </c>
      <c r="E90" s="369">
        <f t="shared" ref="E90:E102" si="100">C90*D90/10000</f>
        <v>3119.16</v>
      </c>
      <c r="F90" s="372"/>
      <c r="G90" s="368">
        <f>IF(F90="",0,G6)</f>
        <v>0</v>
      </c>
      <c r="H90" s="369">
        <f t="shared" ref="H90:H102" si="101">F90*G90/10000</f>
        <v>0</v>
      </c>
      <c r="I90" s="372"/>
      <c r="J90" s="368">
        <f>IF(I90="",0,J6)</f>
        <v>0</v>
      </c>
      <c r="K90" s="369">
        <f t="shared" ref="K90:K102" si="102">I90*J90/10000</f>
        <v>0</v>
      </c>
      <c r="L90" s="372"/>
      <c r="M90" s="368">
        <f>IF(L90="",0,M6)</f>
        <v>0</v>
      </c>
      <c r="N90" s="369">
        <f t="shared" ref="N90:N102" si="103">L90*M90/10000</f>
        <v>0</v>
      </c>
      <c r="O90" s="372"/>
      <c r="P90" s="368">
        <f>IF(O90="",0,P6)</f>
        <v>0</v>
      </c>
      <c r="Q90" s="369">
        <f t="shared" ref="Q90:Q102" si="104">O90*P90/10000</f>
        <v>0</v>
      </c>
      <c r="R90" s="372"/>
      <c r="S90" s="368">
        <f>IF(R90="",0,S6)</f>
        <v>0</v>
      </c>
      <c r="T90" s="369">
        <f t="shared" ref="T90:T102" si="105">R90*S90/10000</f>
        <v>0</v>
      </c>
    </row>
    <row r="91" spans="1:20" ht="14.25" customHeight="1" outlineLevel="1">
      <c r="A91" s="351"/>
      <c r="B91" s="366" t="str">
        <f>'8.项目规划指标表'!$B$6</f>
        <v>商铺</v>
      </c>
      <c r="C91" s="371">
        <v>556</v>
      </c>
      <c r="D91" s="368">
        <f t="shared" ref="D91:D102" si="106">IF(C91="",0,D7)</f>
        <v>3640</v>
      </c>
      <c r="E91" s="369">
        <f t="shared" si="100"/>
        <v>202.38399999999999</v>
      </c>
      <c r="F91" s="372"/>
      <c r="G91" s="368">
        <f t="shared" ref="G91:G102" si="107">IF(F91="",0,G7)</f>
        <v>0</v>
      </c>
      <c r="H91" s="369">
        <f t="shared" si="101"/>
        <v>0</v>
      </c>
      <c r="I91" s="372"/>
      <c r="J91" s="368">
        <f t="shared" ref="J91:J102" si="108">IF(I91="",0,J7)</f>
        <v>0</v>
      </c>
      <c r="K91" s="369">
        <f t="shared" si="102"/>
        <v>0</v>
      </c>
      <c r="L91" s="372"/>
      <c r="M91" s="368">
        <f t="shared" ref="M91:M102" si="109">IF(L91="",0,M7)</f>
        <v>0</v>
      </c>
      <c r="N91" s="369">
        <f t="shared" si="103"/>
        <v>0</v>
      </c>
      <c r="O91" s="372"/>
      <c r="P91" s="368">
        <f t="shared" ref="P91:P102" si="110">IF(O91="",0,P7)</f>
        <v>0</v>
      </c>
      <c r="Q91" s="369">
        <f t="shared" si="104"/>
        <v>0</v>
      </c>
      <c r="R91" s="372"/>
      <c r="S91" s="368">
        <f t="shared" ref="S91:S102" si="111">IF(R91="",0,S7)</f>
        <v>0</v>
      </c>
      <c r="T91" s="369">
        <f t="shared" si="105"/>
        <v>0</v>
      </c>
    </row>
    <row r="92" spans="1:20" ht="14.25" customHeight="1" outlineLevel="1">
      <c r="A92" s="351"/>
      <c r="B92" s="366" t="str">
        <f>'8.项目规划指标表'!$B$7</f>
        <v>回迁商业</v>
      </c>
      <c r="C92" s="371">
        <v>556</v>
      </c>
      <c r="D92" s="368">
        <f t="shared" si="106"/>
        <v>4208</v>
      </c>
      <c r="E92" s="369">
        <f t="shared" si="100"/>
        <v>233.9648</v>
      </c>
      <c r="F92" s="372"/>
      <c r="G92" s="368">
        <f t="shared" si="107"/>
        <v>0</v>
      </c>
      <c r="H92" s="369">
        <f t="shared" si="101"/>
        <v>0</v>
      </c>
      <c r="I92" s="372"/>
      <c r="J92" s="368">
        <f t="shared" si="108"/>
        <v>0</v>
      </c>
      <c r="K92" s="369">
        <f t="shared" si="102"/>
        <v>0</v>
      </c>
      <c r="L92" s="372"/>
      <c r="M92" s="368">
        <f t="shared" si="109"/>
        <v>0</v>
      </c>
      <c r="N92" s="369">
        <f t="shared" si="103"/>
        <v>0</v>
      </c>
      <c r="O92" s="372"/>
      <c r="P92" s="368">
        <f t="shared" si="110"/>
        <v>0</v>
      </c>
      <c r="Q92" s="369">
        <f t="shared" si="104"/>
        <v>0</v>
      </c>
      <c r="R92" s="372"/>
      <c r="S92" s="368">
        <f t="shared" si="111"/>
        <v>0</v>
      </c>
      <c r="T92" s="369">
        <f t="shared" si="105"/>
        <v>0</v>
      </c>
    </row>
    <row r="93" spans="1:20" ht="14.25" customHeight="1" outlineLevel="1">
      <c r="A93" s="351"/>
      <c r="B93" s="366">
        <f>'8.项目规划指标表'!$B$8</f>
        <v>0</v>
      </c>
      <c r="C93" s="371"/>
      <c r="D93" s="368">
        <f t="shared" si="106"/>
        <v>0</v>
      </c>
      <c r="E93" s="369">
        <f t="shared" si="100"/>
        <v>0</v>
      </c>
      <c r="F93" s="372"/>
      <c r="G93" s="368">
        <f t="shared" si="107"/>
        <v>0</v>
      </c>
      <c r="H93" s="369">
        <f t="shared" si="101"/>
        <v>0</v>
      </c>
      <c r="I93" s="372"/>
      <c r="J93" s="368">
        <f t="shared" si="108"/>
        <v>0</v>
      </c>
      <c r="K93" s="369">
        <f t="shared" si="102"/>
        <v>0</v>
      </c>
      <c r="L93" s="372"/>
      <c r="M93" s="368">
        <f t="shared" si="109"/>
        <v>0</v>
      </c>
      <c r="N93" s="369">
        <f t="shared" si="103"/>
        <v>0</v>
      </c>
      <c r="O93" s="372"/>
      <c r="P93" s="368">
        <f t="shared" si="110"/>
        <v>0</v>
      </c>
      <c r="Q93" s="369">
        <f t="shared" si="104"/>
        <v>0</v>
      </c>
      <c r="R93" s="372"/>
      <c r="S93" s="368">
        <f t="shared" si="111"/>
        <v>0</v>
      </c>
      <c r="T93" s="369">
        <f t="shared" si="105"/>
        <v>0</v>
      </c>
    </row>
    <row r="94" spans="1:20" ht="14.25" customHeight="1" outlineLevel="1">
      <c r="A94" s="351"/>
      <c r="B94" s="366">
        <f>'8.项目规划指标表'!$B$9</f>
        <v>0</v>
      </c>
      <c r="C94" s="372"/>
      <c r="D94" s="368">
        <f t="shared" si="106"/>
        <v>0</v>
      </c>
      <c r="E94" s="369">
        <f t="shared" si="100"/>
        <v>0</v>
      </c>
      <c r="F94" s="372"/>
      <c r="G94" s="368">
        <f t="shared" si="107"/>
        <v>0</v>
      </c>
      <c r="H94" s="369">
        <f t="shared" si="101"/>
        <v>0</v>
      </c>
      <c r="I94" s="372"/>
      <c r="J94" s="368">
        <f t="shared" si="108"/>
        <v>0</v>
      </c>
      <c r="K94" s="369">
        <f t="shared" si="102"/>
        <v>0</v>
      </c>
      <c r="L94" s="372"/>
      <c r="M94" s="368">
        <f t="shared" si="109"/>
        <v>0</v>
      </c>
      <c r="N94" s="369">
        <f t="shared" si="103"/>
        <v>0</v>
      </c>
      <c r="O94" s="372"/>
      <c r="P94" s="368">
        <f t="shared" si="110"/>
        <v>0</v>
      </c>
      <c r="Q94" s="369">
        <f t="shared" si="104"/>
        <v>0</v>
      </c>
      <c r="R94" s="372"/>
      <c r="S94" s="368">
        <f t="shared" si="111"/>
        <v>0</v>
      </c>
      <c r="T94" s="369">
        <f t="shared" si="105"/>
        <v>0</v>
      </c>
    </row>
    <row r="95" spans="1:20" ht="14.25" customHeight="1" outlineLevel="1">
      <c r="A95" s="351"/>
      <c r="B95" s="366">
        <f>'8.项目规划指标表'!$B$10</f>
        <v>0</v>
      </c>
      <c r="C95" s="372"/>
      <c r="D95" s="368">
        <f t="shared" si="106"/>
        <v>0</v>
      </c>
      <c r="E95" s="369">
        <f t="shared" si="100"/>
        <v>0</v>
      </c>
      <c r="F95" s="372"/>
      <c r="G95" s="368">
        <f t="shared" si="107"/>
        <v>0</v>
      </c>
      <c r="H95" s="369">
        <f t="shared" si="101"/>
        <v>0</v>
      </c>
      <c r="I95" s="372"/>
      <c r="J95" s="368">
        <f t="shared" si="108"/>
        <v>0</v>
      </c>
      <c r="K95" s="369">
        <f t="shared" si="102"/>
        <v>0</v>
      </c>
      <c r="L95" s="372"/>
      <c r="M95" s="368">
        <f t="shared" si="109"/>
        <v>0</v>
      </c>
      <c r="N95" s="369">
        <f t="shared" si="103"/>
        <v>0</v>
      </c>
      <c r="O95" s="372"/>
      <c r="P95" s="368">
        <f t="shared" si="110"/>
        <v>0</v>
      </c>
      <c r="Q95" s="369">
        <f t="shared" si="104"/>
        <v>0</v>
      </c>
      <c r="R95" s="372"/>
      <c r="S95" s="368">
        <f t="shared" si="111"/>
        <v>0</v>
      </c>
      <c r="T95" s="369">
        <f t="shared" si="105"/>
        <v>0</v>
      </c>
    </row>
    <row r="96" spans="1:20" ht="14.25" customHeight="1" outlineLevel="1">
      <c r="A96" s="351"/>
      <c r="B96" s="366">
        <f>'8.项目规划指标表'!$B$11</f>
        <v>0</v>
      </c>
      <c r="C96" s="371"/>
      <c r="D96" s="368">
        <f t="shared" si="106"/>
        <v>0</v>
      </c>
      <c r="E96" s="369">
        <f t="shared" si="100"/>
        <v>0</v>
      </c>
      <c r="F96" s="372"/>
      <c r="G96" s="368">
        <f t="shared" si="107"/>
        <v>0</v>
      </c>
      <c r="H96" s="369">
        <f t="shared" si="101"/>
        <v>0</v>
      </c>
      <c r="I96" s="372"/>
      <c r="J96" s="368">
        <f t="shared" si="108"/>
        <v>0</v>
      </c>
      <c r="K96" s="369">
        <f t="shared" si="102"/>
        <v>0</v>
      </c>
      <c r="L96" s="372"/>
      <c r="M96" s="368">
        <f t="shared" si="109"/>
        <v>0</v>
      </c>
      <c r="N96" s="369">
        <f t="shared" si="103"/>
        <v>0</v>
      </c>
      <c r="O96" s="372"/>
      <c r="P96" s="368">
        <f t="shared" si="110"/>
        <v>0</v>
      </c>
      <c r="Q96" s="369">
        <f t="shared" si="104"/>
        <v>0</v>
      </c>
      <c r="R96" s="372"/>
      <c r="S96" s="368">
        <f t="shared" si="111"/>
        <v>0</v>
      </c>
      <c r="T96" s="369">
        <f t="shared" si="105"/>
        <v>0</v>
      </c>
    </row>
    <row r="97" spans="1:20" ht="14.25" customHeight="1" outlineLevel="1">
      <c r="A97" s="351"/>
      <c r="B97" s="366">
        <f>'8.项目规划指标表'!$B$12</f>
        <v>0</v>
      </c>
      <c r="C97" s="372"/>
      <c r="D97" s="368">
        <f t="shared" si="106"/>
        <v>0</v>
      </c>
      <c r="E97" s="369">
        <f t="shared" si="100"/>
        <v>0</v>
      </c>
      <c r="F97" s="372"/>
      <c r="G97" s="368">
        <f t="shared" si="107"/>
        <v>0</v>
      </c>
      <c r="H97" s="369">
        <f t="shared" si="101"/>
        <v>0</v>
      </c>
      <c r="I97" s="372"/>
      <c r="J97" s="368">
        <f t="shared" si="108"/>
        <v>0</v>
      </c>
      <c r="K97" s="369">
        <f t="shared" si="102"/>
        <v>0</v>
      </c>
      <c r="L97" s="372"/>
      <c r="M97" s="368">
        <f t="shared" si="109"/>
        <v>0</v>
      </c>
      <c r="N97" s="369">
        <f t="shared" si="103"/>
        <v>0</v>
      </c>
      <c r="O97" s="372"/>
      <c r="P97" s="368">
        <f t="shared" si="110"/>
        <v>0</v>
      </c>
      <c r="Q97" s="369">
        <f t="shared" si="104"/>
        <v>0</v>
      </c>
      <c r="R97" s="372"/>
      <c r="S97" s="368">
        <f t="shared" si="111"/>
        <v>0</v>
      </c>
      <c r="T97" s="369">
        <f t="shared" si="105"/>
        <v>0</v>
      </c>
    </row>
    <row r="98" spans="1:20" ht="14.25" customHeight="1" outlineLevel="1">
      <c r="A98" s="351"/>
      <c r="B98" s="366">
        <f>'8.项目规划指标表'!$B$13</f>
        <v>0</v>
      </c>
      <c r="C98" s="371"/>
      <c r="D98" s="368">
        <f t="shared" si="106"/>
        <v>0</v>
      </c>
      <c r="E98" s="369">
        <f t="shared" si="100"/>
        <v>0</v>
      </c>
      <c r="F98" s="372"/>
      <c r="G98" s="368">
        <f t="shared" si="107"/>
        <v>0</v>
      </c>
      <c r="H98" s="369">
        <f t="shared" si="101"/>
        <v>0</v>
      </c>
      <c r="I98" s="372"/>
      <c r="J98" s="368">
        <f t="shared" si="108"/>
        <v>0</v>
      </c>
      <c r="K98" s="369">
        <f t="shared" si="102"/>
        <v>0</v>
      </c>
      <c r="L98" s="372"/>
      <c r="M98" s="368">
        <f t="shared" si="109"/>
        <v>0</v>
      </c>
      <c r="N98" s="369">
        <f t="shared" si="103"/>
        <v>0</v>
      </c>
      <c r="O98" s="372"/>
      <c r="P98" s="368">
        <f t="shared" si="110"/>
        <v>0</v>
      </c>
      <c r="Q98" s="369">
        <f t="shared" si="104"/>
        <v>0</v>
      </c>
      <c r="R98" s="372"/>
      <c r="S98" s="368">
        <f t="shared" si="111"/>
        <v>0</v>
      </c>
      <c r="T98" s="369">
        <f t="shared" si="105"/>
        <v>0</v>
      </c>
    </row>
    <row r="99" spans="1:20" ht="14.25" customHeight="1" outlineLevel="1">
      <c r="A99" s="351"/>
      <c r="B99" s="366" t="str">
        <f>'8.项目规划指标表'!$B$14</f>
        <v>自持物业</v>
      </c>
      <c r="C99" s="371"/>
      <c r="D99" s="368">
        <f t="shared" si="106"/>
        <v>0</v>
      </c>
      <c r="E99" s="369">
        <f t="shared" si="100"/>
        <v>0</v>
      </c>
      <c r="F99" s="372"/>
      <c r="G99" s="368">
        <f t="shared" si="107"/>
        <v>0</v>
      </c>
      <c r="H99" s="369">
        <f t="shared" si="101"/>
        <v>0</v>
      </c>
      <c r="I99" s="372"/>
      <c r="J99" s="368">
        <f t="shared" si="108"/>
        <v>0</v>
      </c>
      <c r="K99" s="369">
        <f t="shared" si="102"/>
        <v>0</v>
      </c>
      <c r="L99" s="372"/>
      <c r="M99" s="368">
        <f t="shared" si="109"/>
        <v>0</v>
      </c>
      <c r="N99" s="369">
        <f t="shared" si="103"/>
        <v>0</v>
      </c>
      <c r="O99" s="372"/>
      <c r="P99" s="368">
        <f t="shared" si="110"/>
        <v>0</v>
      </c>
      <c r="Q99" s="369">
        <f t="shared" si="104"/>
        <v>0</v>
      </c>
      <c r="R99" s="372"/>
      <c r="S99" s="368">
        <f t="shared" si="111"/>
        <v>0</v>
      </c>
      <c r="T99" s="369">
        <f t="shared" si="105"/>
        <v>0</v>
      </c>
    </row>
    <row r="100" spans="1:20" ht="14.25" customHeight="1" outlineLevel="1">
      <c r="A100" s="351"/>
      <c r="B100" s="366" t="str">
        <f>'8.项目规划指标表'!$B$15</f>
        <v>无产权公共配套</v>
      </c>
      <c r="C100" s="372"/>
      <c r="D100" s="368">
        <f t="shared" si="106"/>
        <v>0</v>
      </c>
      <c r="E100" s="369">
        <f t="shared" si="100"/>
        <v>0</v>
      </c>
      <c r="F100" s="372"/>
      <c r="G100" s="368">
        <f t="shared" si="107"/>
        <v>0</v>
      </c>
      <c r="H100" s="369">
        <f t="shared" si="101"/>
        <v>0</v>
      </c>
      <c r="I100" s="372"/>
      <c r="J100" s="368">
        <f t="shared" si="108"/>
        <v>0</v>
      </c>
      <c r="K100" s="369">
        <f t="shared" si="102"/>
        <v>0</v>
      </c>
      <c r="L100" s="372"/>
      <c r="M100" s="368">
        <f t="shared" si="109"/>
        <v>0</v>
      </c>
      <c r="N100" s="369">
        <f t="shared" si="103"/>
        <v>0</v>
      </c>
      <c r="O100" s="372"/>
      <c r="P100" s="368">
        <f t="shared" si="110"/>
        <v>0</v>
      </c>
      <c r="Q100" s="369">
        <f t="shared" si="104"/>
        <v>0</v>
      </c>
      <c r="R100" s="372"/>
      <c r="S100" s="368">
        <f t="shared" si="111"/>
        <v>0</v>
      </c>
      <c r="T100" s="369">
        <f t="shared" si="105"/>
        <v>0</v>
      </c>
    </row>
    <row r="101" spans="1:20" ht="14.25" customHeight="1" outlineLevel="1">
      <c r="A101" s="351"/>
      <c r="B101" s="366" t="str">
        <f>'8.项目规划指标表'!$B$18</f>
        <v>有产权车库(个)</v>
      </c>
      <c r="C101" s="372"/>
      <c r="D101" s="368">
        <f t="shared" si="106"/>
        <v>0</v>
      </c>
      <c r="E101" s="369">
        <f t="shared" si="100"/>
        <v>0</v>
      </c>
      <c r="F101" s="372"/>
      <c r="G101" s="368">
        <f t="shared" si="107"/>
        <v>0</v>
      </c>
      <c r="H101" s="369">
        <f t="shared" si="101"/>
        <v>0</v>
      </c>
      <c r="I101" s="372"/>
      <c r="J101" s="368">
        <f t="shared" si="108"/>
        <v>0</v>
      </c>
      <c r="K101" s="369">
        <f t="shared" si="102"/>
        <v>0</v>
      </c>
      <c r="L101" s="372"/>
      <c r="M101" s="368">
        <f t="shared" si="109"/>
        <v>0</v>
      </c>
      <c r="N101" s="369">
        <f t="shared" si="103"/>
        <v>0</v>
      </c>
      <c r="O101" s="372"/>
      <c r="P101" s="368">
        <f t="shared" si="110"/>
        <v>0</v>
      </c>
      <c r="Q101" s="369">
        <f t="shared" si="104"/>
        <v>0</v>
      </c>
      <c r="R101" s="372"/>
      <c r="S101" s="368">
        <f t="shared" si="111"/>
        <v>0</v>
      </c>
      <c r="T101" s="369">
        <f t="shared" si="105"/>
        <v>0</v>
      </c>
    </row>
    <row r="102" spans="1:20" ht="14.25" customHeight="1" outlineLevel="1">
      <c r="A102" s="351"/>
      <c r="B102" s="366" t="str">
        <f>'8.项目规划指标表'!$B$19</f>
        <v>无产权车库(个)</v>
      </c>
      <c r="C102" s="372"/>
      <c r="D102" s="368">
        <f t="shared" si="106"/>
        <v>0</v>
      </c>
      <c r="E102" s="369">
        <f t="shared" si="100"/>
        <v>0</v>
      </c>
      <c r="F102" s="372"/>
      <c r="G102" s="368">
        <f t="shared" si="107"/>
        <v>0</v>
      </c>
      <c r="H102" s="369">
        <f t="shared" si="101"/>
        <v>0</v>
      </c>
      <c r="I102" s="372"/>
      <c r="J102" s="368">
        <f t="shared" si="108"/>
        <v>0</v>
      </c>
      <c r="K102" s="369">
        <f t="shared" si="102"/>
        <v>0</v>
      </c>
      <c r="L102" s="372"/>
      <c r="M102" s="368">
        <f t="shared" si="109"/>
        <v>0</v>
      </c>
      <c r="N102" s="369">
        <f t="shared" si="103"/>
        <v>0</v>
      </c>
      <c r="O102" s="372"/>
      <c r="P102" s="368">
        <f t="shared" si="110"/>
        <v>0</v>
      </c>
      <c r="Q102" s="369">
        <f t="shared" si="104"/>
        <v>0</v>
      </c>
      <c r="R102" s="372"/>
      <c r="S102" s="368">
        <f t="shared" si="111"/>
        <v>0</v>
      </c>
      <c r="T102" s="369">
        <f t="shared" si="105"/>
        <v>0</v>
      </c>
    </row>
    <row r="103" spans="1:20" ht="15" customHeight="1">
      <c r="A103" s="351"/>
      <c r="B103" s="362" t="s">
        <v>873</v>
      </c>
      <c r="C103" s="363">
        <f>IFERROR(E103/D103*10000,0)</f>
        <v>184</v>
      </c>
      <c r="D103" s="364">
        <f t="shared" ref="D103:H103" si="112">SUM(D104:D116)</f>
        <v>63948</v>
      </c>
      <c r="E103" s="365">
        <f t="shared" si="112"/>
        <v>1176.6432</v>
      </c>
      <c r="F103" s="363">
        <f>IFERROR(H103/G103*10000,0)</f>
        <v>0</v>
      </c>
      <c r="G103" s="364">
        <f t="shared" si="112"/>
        <v>0</v>
      </c>
      <c r="H103" s="365">
        <f t="shared" si="112"/>
        <v>0</v>
      </c>
      <c r="I103" s="363">
        <f>IFERROR(K103/J103*10000,0)</f>
        <v>0</v>
      </c>
      <c r="J103" s="364">
        <f t="shared" ref="J103:N103" si="113">SUM(J104:J116)</f>
        <v>0</v>
      </c>
      <c r="K103" s="365">
        <f t="shared" si="113"/>
        <v>0</v>
      </c>
      <c r="L103" s="363">
        <f>IFERROR(N103/M103*10000,0)</f>
        <v>0</v>
      </c>
      <c r="M103" s="364">
        <f t="shared" si="113"/>
        <v>0</v>
      </c>
      <c r="N103" s="365">
        <f t="shared" si="113"/>
        <v>0</v>
      </c>
      <c r="O103" s="363">
        <f>IFERROR(Q103/P103*10000,0)</f>
        <v>0</v>
      </c>
      <c r="P103" s="364">
        <f t="shared" ref="P103:T103" si="114">SUM(P104:P116)</f>
        <v>0</v>
      </c>
      <c r="Q103" s="365">
        <f t="shared" si="114"/>
        <v>0</v>
      </c>
      <c r="R103" s="363">
        <f>IFERROR(T103/S103*10000,0)</f>
        <v>0</v>
      </c>
      <c r="S103" s="364">
        <f t="shared" si="114"/>
        <v>0</v>
      </c>
      <c r="T103" s="365">
        <f t="shared" si="114"/>
        <v>0</v>
      </c>
    </row>
    <row r="104" spans="1:20" ht="14.25" customHeight="1" outlineLevel="1">
      <c r="A104" s="351"/>
      <c r="B104" s="366" t="str">
        <f>'8.项目规划指标表'!$B$5</f>
        <v>高层</v>
      </c>
      <c r="C104" s="371">
        <v>184</v>
      </c>
      <c r="D104" s="368">
        <f>IF(C104="",0,D6)</f>
        <v>56100</v>
      </c>
      <c r="E104" s="369">
        <f t="shared" ref="E104:E116" si="115">C104*D104/10000</f>
        <v>1032.24</v>
      </c>
      <c r="F104" s="372"/>
      <c r="G104" s="368">
        <f>IF(F104="",0,G6)</f>
        <v>0</v>
      </c>
      <c r="H104" s="369">
        <f t="shared" ref="H104:H116" si="116">F104*G104/10000</f>
        <v>0</v>
      </c>
      <c r="I104" s="372"/>
      <c r="J104" s="368">
        <f>IF(I104="",0,J6)</f>
        <v>0</v>
      </c>
      <c r="K104" s="369">
        <f t="shared" ref="K104:K116" si="117">I104*J104/10000</f>
        <v>0</v>
      </c>
      <c r="L104" s="372"/>
      <c r="M104" s="368">
        <f>IF(L104="",0,M6)</f>
        <v>0</v>
      </c>
      <c r="N104" s="369">
        <f t="shared" ref="N104:N116" si="118">L104*M104/10000</f>
        <v>0</v>
      </c>
      <c r="O104" s="372"/>
      <c r="P104" s="368">
        <f>IF(O104="",0,P6)</f>
        <v>0</v>
      </c>
      <c r="Q104" s="369">
        <f t="shared" ref="Q104:Q116" si="119">O104*P104/10000</f>
        <v>0</v>
      </c>
      <c r="R104" s="372"/>
      <c r="S104" s="368">
        <f>IF(R104="",0,S6)</f>
        <v>0</v>
      </c>
      <c r="T104" s="369">
        <f t="shared" ref="T104:T116" si="120">R104*S104/10000</f>
        <v>0</v>
      </c>
    </row>
    <row r="105" spans="1:20" ht="14.25" customHeight="1" outlineLevel="1">
      <c r="A105" s="351"/>
      <c r="B105" s="366" t="str">
        <f>'8.项目规划指标表'!$B$6</f>
        <v>商铺</v>
      </c>
      <c r="C105" s="371">
        <v>184</v>
      </c>
      <c r="D105" s="368">
        <f t="shared" ref="D105:D116" si="121">IF(C105="",0,D7)</f>
        <v>3640</v>
      </c>
      <c r="E105" s="369">
        <f t="shared" si="115"/>
        <v>66.975999999999999</v>
      </c>
      <c r="F105" s="372"/>
      <c r="G105" s="368">
        <f t="shared" ref="G105:G116" si="122">IF(F105="",0,G7)</f>
        <v>0</v>
      </c>
      <c r="H105" s="369">
        <f t="shared" si="116"/>
        <v>0</v>
      </c>
      <c r="I105" s="372"/>
      <c r="J105" s="368">
        <f t="shared" ref="J105:J116" si="123">IF(I105="",0,J7)</f>
        <v>0</v>
      </c>
      <c r="K105" s="369">
        <f t="shared" si="117"/>
        <v>0</v>
      </c>
      <c r="L105" s="372"/>
      <c r="M105" s="368">
        <f t="shared" ref="M105:M116" si="124">IF(L105="",0,M7)</f>
        <v>0</v>
      </c>
      <c r="N105" s="369">
        <f t="shared" si="118"/>
        <v>0</v>
      </c>
      <c r="O105" s="372"/>
      <c r="P105" s="368">
        <f t="shared" ref="P105:P116" si="125">IF(O105="",0,P7)</f>
        <v>0</v>
      </c>
      <c r="Q105" s="369">
        <f t="shared" si="119"/>
        <v>0</v>
      </c>
      <c r="R105" s="372"/>
      <c r="S105" s="368">
        <f t="shared" ref="S105:S116" si="126">IF(R105="",0,S7)</f>
        <v>0</v>
      </c>
      <c r="T105" s="369">
        <f t="shared" si="120"/>
        <v>0</v>
      </c>
    </row>
    <row r="106" spans="1:20" ht="14.25" customHeight="1" outlineLevel="1">
      <c r="A106" s="351"/>
      <c r="B106" s="366" t="str">
        <f>'8.项目规划指标表'!$B$7</f>
        <v>回迁商业</v>
      </c>
      <c r="C106" s="371">
        <v>184</v>
      </c>
      <c r="D106" s="368">
        <f t="shared" si="121"/>
        <v>4208</v>
      </c>
      <c r="E106" s="369">
        <f t="shared" si="115"/>
        <v>77.427199999999999</v>
      </c>
      <c r="F106" s="372"/>
      <c r="G106" s="368">
        <f t="shared" si="122"/>
        <v>0</v>
      </c>
      <c r="H106" s="369">
        <f t="shared" si="116"/>
        <v>0</v>
      </c>
      <c r="I106" s="372"/>
      <c r="J106" s="368">
        <f t="shared" si="123"/>
        <v>0</v>
      </c>
      <c r="K106" s="369">
        <f t="shared" si="117"/>
        <v>0</v>
      </c>
      <c r="L106" s="372"/>
      <c r="M106" s="368">
        <f t="shared" si="124"/>
        <v>0</v>
      </c>
      <c r="N106" s="369">
        <f t="shared" si="118"/>
        <v>0</v>
      </c>
      <c r="O106" s="372"/>
      <c r="P106" s="368">
        <f t="shared" si="125"/>
        <v>0</v>
      </c>
      <c r="Q106" s="369">
        <f t="shared" si="119"/>
        <v>0</v>
      </c>
      <c r="R106" s="372"/>
      <c r="S106" s="368">
        <f t="shared" si="126"/>
        <v>0</v>
      </c>
      <c r="T106" s="369">
        <f t="shared" si="120"/>
        <v>0</v>
      </c>
    </row>
    <row r="107" spans="1:20" ht="14.25" customHeight="1" outlineLevel="1">
      <c r="A107" s="351"/>
      <c r="B107" s="366">
        <f>'8.项目规划指标表'!$B$8</f>
        <v>0</v>
      </c>
      <c r="C107" s="371"/>
      <c r="D107" s="368">
        <f t="shared" si="121"/>
        <v>0</v>
      </c>
      <c r="E107" s="369">
        <f t="shared" si="115"/>
        <v>0</v>
      </c>
      <c r="F107" s="372"/>
      <c r="G107" s="368">
        <f t="shared" si="122"/>
        <v>0</v>
      </c>
      <c r="H107" s="369">
        <f t="shared" si="116"/>
        <v>0</v>
      </c>
      <c r="I107" s="372"/>
      <c r="J107" s="368">
        <f t="shared" si="123"/>
        <v>0</v>
      </c>
      <c r="K107" s="369">
        <f t="shared" si="117"/>
        <v>0</v>
      </c>
      <c r="L107" s="372"/>
      <c r="M107" s="368">
        <f t="shared" si="124"/>
        <v>0</v>
      </c>
      <c r="N107" s="369">
        <f t="shared" si="118"/>
        <v>0</v>
      </c>
      <c r="O107" s="372"/>
      <c r="P107" s="368">
        <f t="shared" si="125"/>
        <v>0</v>
      </c>
      <c r="Q107" s="369">
        <f t="shared" si="119"/>
        <v>0</v>
      </c>
      <c r="R107" s="372"/>
      <c r="S107" s="368">
        <f t="shared" si="126"/>
        <v>0</v>
      </c>
      <c r="T107" s="369">
        <f t="shared" si="120"/>
        <v>0</v>
      </c>
    </row>
    <row r="108" spans="1:20" ht="14.25" customHeight="1" outlineLevel="1">
      <c r="A108" s="351"/>
      <c r="B108" s="366">
        <f>'8.项目规划指标表'!$B$9</f>
        <v>0</v>
      </c>
      <c r="C108" s="372"/>
      <c r="D108" s="368">
        <f t="shared" si="121"/>
        <v>0</v>
      </c>
      <c r="E108" s="369">
        <f t="shared" si="115"/>
        <v>0</v>
      </c>
      <c r="F108" s="372"/>
      <c r="G108" s="368">
        <f t="shared" si="122"/>
        <v>0</v>
      </c>
      <c r="H108" s="369">
        <f t="shared" si="116"/>
        <v>0</v>
      </c>
      <c r="I108" s="372"/>
      <c r="J108" s="368">
        <f t="shared" si="123"/>
        <v>0</v>
      </c>
      <c r="K108" s="369">
        <f t="shared" si="117"/>
        <v>0</v>
      </c>
      <c r="L108" s="372"/>
      <c r="M108" s="368">
        <f t="shared" si="124"/>
        <v>0</v>
      </c>
      <c r="N108" s="369">
        <f t="shared" si="118"/>
        <v>0</v>
      </c>
      <c r="O108" s="372"/>
      <c r="P108" s="368">
        <f t="shared" si="125"/>
        <v>0</v>
      </c>
      <c r="Q108" s="369">
        <f t="shared" si="119"/>
        <v>0</v>
      </c>
      <c r="R108" s="372"/>
      <c r="S108" s="368">
        <f t="shared" si="126"/>
        <v>0</v>
      </c>
      <c r="T108" s="369">
        <f t="shared" si="120"/>
        <v>0</v>
      </c>
    </row>
    <row r="109" spans="1:20" ht="14.25" customHeight="1" outlineLevel="1">
      <c r="A109" s="351"/>
      <c r="B109" s="366">
        <f>'8.项目规划指标表'!$B$10</f>
        <v>0</v>
      </c>
      <c r="C109" s="372"/>
      <c r="D109" s="368">
        <f t="shared" si="121"/>
        <v>0</v>
      </c>
      <c r="E109" s="369">
        <f t="shared" si="115"/>
        <v>0</v>
      </c>
      <c r="F109" s="372"/>
      <c r="G109" s="368">
        <f t="shared" si="122"/>
        <v>0</v>
      </c>
      <c r="H109" s="369">
        <f t="shared" si="116"/>
        <v>0</v>
      </c>
      <c r="I109" s="372"/>
      <c r="J109" s="368">
        <f t="shared" si="123"/>
        <v>0</v>
      </c>
      <c r="K109" s="369">
        <f t="shared" si="117"/>
        <v>0</v>
      </c>
      <c r="L109" s="372"/>
      <c r="M109" s="368">
        <f t="shared" si="124"/>
        <v>0</v>
      </c>
      <c r="N109" s="369">
        <f t="shared" si="118"/>
        <v>0</v>
      </c>
      <c r="O109" s="372"/>
      <c r="P109" s="368">
        <f t="shared" si="125"/>
        <v>0</v>
      </c>
      <c r="Q109" s="369">
        <f t="shared" si="119"/>
        <v>0</v>
      </c>
      <c r="R109" s="372"/>
      <c r="S109" s="368">
        <f t="shared" si="126"/>
        <v>0</v>
      </c>
      <c r="T109" s="369">
        <f t="shared" si="120"/>
        <v>0</v>
      </c>
    </row>
    <row r="110" spans="1:20" ht="14.25" customHeight="1" outlineLevel="1">
      <c r="A110" s="351"/>
      <c r="B110" s="366">
        <f>'8.项目规划指标表'!$B$11</f>
        <v>0</v>
      </c>
      <c r="C110" s="371"/>
      <c r="D110" s="368">
        <f t="shared" si="121"/>
        <v>0</v>
      </c>
      <c r="E110" s="369">
        <f t="shared" si="115"/>
        <v>0</v>
      </c>
      <c r="F110" s="372"/>
      <c r="G110" s="368">
        <f t="shared" si="122"/>
        <v>0</v>
      </c>
      <c r="H110" s="369">
        <f t="shared" si="116"/>
        <v>0</v>
      </c>
      <c r="I110" s="372"/>
      <c r="J110" s="368">
        <f t="shared" si="123"/>
        <v>0</v>
      </c>
      <c r="K110" s="369">
        <f t="shared" si="117"/>
        <v>0</v>
      </c>
      <c r="L110" s="372"/>
      <c r="M110" s="368">
        <f t="shared" si="124"/>
        <v>0</v>
      </c>
      <c r="N110" s="369">
        <f t="shared" si="118"/>
        <v>0</v>
      </c>
      <c r="O110" s="372"/>
      <c r="P110" s="368">
        <f t="shared" si="125"/>
        <v>0</v>
      </c>
      <c r="Q110" s="369">
        <f t="shared" si="119"/>
        <v>0</v>
      </c>
      <c r="R110" s="372"/>
      <c r="S110" s="368">
        <f t="shared" si="126"/>
        <v>0</v>
      </c>
      <c r="T110" s="369">
        <f t="shared" si="120"/>
        <v>0</v>
      </c>
    </row>
    <row r="111" spans="1:20" ht="14.25" customHeight="1" outlineLevel="1">
      <c r="A111" s="351"/>
      <c r="B111" s="366">
        <f>'8.项目规划指标表'!$B$12</f>
        <v>0</v>
      </c>
      <c r="C111" s="372"/>
      <c r="D111" s="368">
        <f t="shared" si="121"/>
        <v>0</v>
      </c>
      <c r="E111" s="369">
        <f t="shared" si="115"/>
        <v>0</v>
      </c>
      <c r="F111" s="372"/>
      <c r="G111" s="368">
        <f t="shared" si="122"/>
        <v>0</v>
      </c>
      <c r="H111" s="369">
        <f t="shared" si="116"/>
        <v>0</v>
      </c>
      <c r="I111" s="372"/>
      <c r="J111" s="368">
        <f t="shared" si="123"/>
        <v>0</v>
      </c>
      <c r="K111" s="369">
        <f t="shared" si="117"/>
        <v>0</v>
      </c>
      <c r="L111" s="372"/>
      <c r="M111" s="368">
        <f t="shared" si="124"/>
        <v>0</v>
      </c>
      <c r="N111" s="369">
        <f t="shared" si="118"/>
        <v>0</v>
      </c>
      <c r="O111" s="372"/>
      <c r="P111" s="368">
        <f t="shared" si="125"/>
        <v>0</v>
      </c>
      <c r="Q111" s="369">
        <f t="shared" si="119"/>
        <v>0</v>
      </c>
      <c r="R111" s="372"/>
      <c r="S111" s="368">
        <f t="shared" si="126"/>
        <v>0</v>
      </c>
      <c r="T111" s="369">
        <f t="shared" si="120"/>
        <v>0</v>
      </c>
    </row>
    <row r="112" spans="1:20" ht="14.25" customHeight="1" outlineLevel="1">
      <c r="A112" s="351"/>
      <c r="B112" s="366">
        <f>'8.项目规划指标表'!$B$13</f>
        <v>0</v>
      </c>
      <c r="C112" s="371"/>
      <c r="D112" s="368">
        <f t="shared" si="121"/>
        <v>0</v>
      </c>
      <c r="E112" s="369">
        <f t="shared" si="115"/>
        <v>0</v>
      </c>
      <c r="F112" s="372"/>
      <c r="G112" s="368">
        <f t="shared" si="122"/>
        <v>0</v>
      </c>
      <c r="H112" s="369">
        <f t="shared" si="116"/>
        <v>0</v>
      </c>
      <c r="I112" s="372"/>
      <c r="J112" s="368">
        <f t="shared" si="123"/>
        <v>0</v>
      </c>
      <c r="K112" s="369">
        <f t="shared" si="117"/>
        <v>0</v>
      </c>
      <c r="L112" s="372"/>
      <c r="M112" s="368">
        <f t="shared" si="124"/>
        <v>0</v>
      </c>
      <c r="N112" s="369">
        <f t="shared" si="118"/>
        <v>0</v>
      </c>
      <c r="O112" s="372"/>
      <c r="P112" s="368">
        <f t="shared" si="125"/>
        <v>0</v>
      </c>
      <c r="Q112" s="369">
        <f t="shared" si="119"/>
        <v>0</v>
      </c>
      <c r="R112" s="372"/>
      <c r="S112" s="368">
        <f t="shared" si="126"/>
        <v>0</v>
      </c>
      <c r="T112" s="369">
        <f t="shared" si="120"/>
        <v>0</v>
      </c>
    </row>
    <row r="113" spans="1:20" ht="14.25" customHeight="1" outlineLevel="1">
      <c r="A113" s="351"/>
      <c r="B113" s="366" t="str">
        <f>'8.项目规划指标表'!$B$14</f>
        <v>自持物业</v>
      </c>
      <c r="C113" s="371"/>
      <c r="D113" s="368">
        <f t="shared" si="121"/>
        <v>0</v>
      </c>
      <c r="E113" s="369">
        <f t="shared" si="115"/>
        <v>0</v>
      </c>
      <c r="F113" s="372"/>
      <c r="G113" s="368">
        <f t="shared" si="122"/>
        <v>0</v>
      </c>
      <c r="H113" s="369">
        <f t="shared" si="116"/>
        <v>0</v>
      </c>
      <c r="I113" s="372"/>
      <c r="J113" s="368">
        <f t="shared" si="123"/>
        <v>0</v>
      </c>
      <c r="K113" s="369">
        <f t="shared" si="117"/>
        <v>0</v>
      </c>
      <c r="L113" s="372"/>
      <c r="M113" s="368">
        <f t="shared" si="124"/>
        <v>0</v>
      </c>
      <c r="N113" s="369">
        <f t="shared" si="118"/>
        <v>0</v>
      </c>
      <c r="O113" s="372"/>
      <c r="P113" s="368">
        <f t="shared" si="125"/>
        <v>0</v>
      </c>
      <c r="Q113" s="369">
        <f t="shared" si="119"/>
        <v>0</v>
      </c>
      <c r="R113" s="372"/>
      <c r="S113" s="368">
        <f t="shared" si="126"/>
        <v>0</v>
      </c>
      <c r="T113" s="369">
        <f t="shared" si="120"/>
        <v>0</v>
      </c>
    </row>
    <row r="114" spans="1:20" ht="14.25" customHeight="1" outlineLevel="1">
      <c r="A114" s="351"/>
      <c r="B114" s="366" t="str">
        <f>'8.项目规划指标表'!$B$15</f>
        <v>无产权公共配套</v>
      </c>
      <c r="C114" s="372"/>
      <c r="D114" s="368">
        <f t="shared" si="121"/>
        <v>0</v>
      </c>
      <c r="E114" s="369">
        <f t="shared" si="115"/>
        <v>0</v>
      </c>
      <c r="F114" s="372"/>
      <c r="G114" s="368">
        <f t="shared" si="122"/>
        <v>0</v>
      </c>
      <c r="H114" s="369">
        <f t="shared" si="116"/>
        <v>0</v>
      </c>
      <c r="I114" s="372"/>
      <c r="J114" s="368">
        <f t="shared" si="123"/>
        <v>0</v>
      </c>
      <c r="K114" s="369">
        <f t="shared" si="117"/>
        <v>0</v>
      </c>
      <c r="L114" s="372"/>
      <c r="M114" s="368">
        <f t="shared" si="124"/>
        <v>0</v>
      </c>
      <c r="N114" s="369">
        <f t="shared" si="118"/>
        <v>0</v>
      </c>
      <c r="O114" s="372"/>
      <c r="P114" s="368">
        <f t="shared" si="125"/>
        <v>0</v>
      </c>
      <c r="Q114" s="369">
        <f t="shared" si="119"/>
        <v>0</v>
      </c>
      <c r="R114" s="372"/>
      <c r="S114" s="368">
        <f t="shared" si="126"/>
        <v>0</v>
      </c>
      <c r="T114" s="369">
        <f t="shared" si="120"/>
        <v>0</v>
      </c>
    </row>
    <row r="115" spans="1:20" ht="14.25" customHeight="1" outlineLevel="1">
      <c r="A115" s="351"/>
      <c r="B115" s="366" t="str">
        <f>'8.项目规划指标表'!$B$18</f>
        <v>有产权车库(个)</v>
      </c>
      <c r="C115" s="372"/>
      <c r="D115" s="368">
        <f t="shared" si="121"/>
        <v>0</v>
      </c>
      <c r="E115" s="369">
        <f t="shared" si="115"/>
        <v>0</v>
      </c>
      <c r="F115" s="372"/>
      <c r="G115" s="368">
        <f t="shared" si="122"/>
        <v>0</v>
      </c>
      <c r="H115" s="369">
        <f t="shared" si="116"/>
        <v>0</v>
      </c>
      <c r="I115" s="372"/>
      <c r="J115" s="368">
        <f t="shared" si="123"/>
        <v>0</v>
      </c>
      <c r="K115" s="369">
        <f t="shared" si="117"/>
        <v>0</v>
      </c>
      <c r="L115" s="372"/>
      <c r="M115" s="368">
        <f t="shared" si="124"/>
        <v>0</v>
      </c>
      <c r="N115" s="369">
        <f t="shared" si="118"/>
        <v>0</v>
      </c>
      <c r="O115" s="372"/>
      <c r="P115" s="368">
        <f t="shared" si="125"/>
        <v>0</v>
      </c>
      <c r="Q115" s="369">
        <f t="shared" si="119"/>
        <v>0</v>
      </c>
      <c r="R115" s="372"/>
      <c r="S115" s="368">
        <f t="shared" si="126"/>
        <v>0</v>
      </c>
      <c r="T115" s="369">
        <f t="shared" si="120"/>
        <v>0</v>
      </c>
    </row>
    <row r="116" spans="1:20" ht="14.25" customHeight="1" outlineLevel="1">
      <c r="A116" s="351"/>
      <c r="B116" s="366" t="str">
        <f>'8.项目规划指标表'!$B$19</f>
        <v>无产权车库(个)</v>
      </c>
      <c r="C116" s="372"/>
      <c r="D116" s="368">
        <f t="shared" si="121"/>
        <v>0</v>
      </c>
      <c r="E116" s="369">
        <f t="shared" si="115"/>
        <v>0</v>
      </c>
      <c r="F116" s="372"/>
      <c r="G116" s="368">
        <f t="shared" si="122"/>
        <v>0</v>
      </c>
      <c r="H116" s="369">
        <f t="shared" si="116"/>
        <v>0</v>
      </c>
      <c r="I116" s="372"/>
      <c r="J116" s="368">
        <f t="shared" si="123"/>
        <v>0</v>
      </c>
      <c r="K116" s="369">
        <f t="shared" si="117"/>
        <v>0</v>
      </c>
      <c r="L116" s="372"/>
      <c r="M116" s="368">
        <f t="shared" si="124"/>
        <v>0</v>
      </c>
      <c r="N116" s="369">
        <f t="shared" si="118"/>
        <v>0</v>
      </c>
      <c r="O116" s="372"/>
      <c r="P116" s="368">
        <f t="shared" si="125"/>
        <v>0</v>
      </c>
      <c r="Q116" s="369">
        <f t="shared" si="119"/>
        <v>0</v>
      </c>
      <c r="R116" s="372"/>
      <c r="S116" s="368">
        <f t="shared" si="126"/>
        <v>0</v>
      </c>
      <c r="T116" s="369">
        <f t="shared" si="120"/>
        <v>0</v>
      </c>
    </row>
    <row r="117" spans="1:20" ht="15" customHeight="1">
      <c r="A117" s="351"/>
      <c r="B117" s="362" t="s">
        <v>874</v>
      </c>
      <c r="C117" s="363">
        <f>IFERROR(E117/D117*10000,0)</f>
        <v>72.026896853693614</v>
      </c>
      <c r="D117" s="364">
        <f t="shared" ref="D117:H117" si="127">SUM(D118:D127)</f>
        <v>63948</v>
      </c>
      <c r="E117" s="365">
        <f t="shared" si="127"/>
        <v>460.59759999999989</v>
      </c>
      <c r="F117" s="363">
        <f>IFERROR(H117/G117*10000,0)</f>
        <v>0</v>
      </c>
      <c r="G117" s="364">
        <f t="shared" si="127"/>
        <v>0</v>
      </c>
      <c r="H117" s="365">
        <f t="shared" si="127"/>
        <v>0</v>
      </c>
      <c r="I117" s="363">
        <f>IFERROR(K117/J117*10000,0)</f>
        <v>0</v>
      </c>
      <c r="J117" s="364">
        <f t="shared" ref="J117:N117" si="128">SUM(J118:J127)</f>
        <v>0</v>
      </c>
      <c r="K117" s="365">
        <f t="shared" si="128"/>
        <v>0</v>
      </c>
      <c r="L117" s="363">
        <f>IFERROR(N117/M117*10000,0)</f>
        <v>0</v>
      </c>
      <c r="M117" s="364">
        <f t="shared" si="128"/>
        <v>0</v>
      </c>
      <c r="N117" s="365">
        <f t="shared" si="128"/>
        <v>0</v>
      </c>
      <c r="O117" s="363">
        <f>IFERROR(Q117/P117*10000,0)</f>
        <v>0</v>
      </c>
      <c r="P117" s="364">
        <f t="shared" ref="P117:T117" si="129">SUM(P118:P127)</f>
        <v>0</v>
      </c>
      <c r="Q117" s="365">
        <f t="shared" si="129"/>
        <v>0</v>
      </c>
      <c r="R117" s="363">
        <f>IFERROR(T117/S117*10000,0)</f>
        <v>0</v>
      </c>
      <c r="S117" s="364">
        <f t="shared" si="129"/>
        <v>0</v>
      </c>
      <c r="T117" s="365">
        <f t="shared" si="129"/>
        <v>0</v>
      </c>
    </row>
    <row r="118" spans="1:20" ht="14.25" customHeight="1" outlineLevel="1">
      <c r="A118" s="351"/>
      <c r="B118" s="366" t="str">
        <f>'8.项目规划指标表'!$B$5</f>
        <v>高层</v>
      </c>
      <c r="C118" s="367">
        <f>IF(OR(B118="回迁房",B118="回迁商业",B118="无产权公共配套",B118="回迁写字楼",B118=0),0,'1.参数设置'!$C$24)</f>
        <v>77.100368262470695</v>
      </c>
      <c r="D118" s="368">
        <f>IF(C118="",0,D6)</f>
        <v>56100</v>
      </c>
      <c r="E118" s="369">
        <f>C118*D118/10000</f>
        <v>432.53306595246056</v>
      </c>
      <c r="F118" s="372">
        <f>C118</f>
        <v>77.100368262470695</v>
      </c>
      <c r="G118" s="368">
        <f>IF(F118="",0,G6)</f>
        <v>0</v>
      </c>
      <c r="H118" s="369">
        <f t="shared" ref="H118:H128" si="130">F118*G118/10000</f>
        <v>0</v>
      </c>
      <c r="I118" s="372"/>
      <c r="J118" s="368">
        <f>IF(I118="",0,J6)</f>
        <v>0</v>
      </c>
      <c r="K118" s="369">
        <f t="shared" ref="K118:K128" si="131">I118*J118/10000</f>
        <v>0</v>
      </c>
      <c r="L118" s="372"/>
      <c r="M118" s="368">
        <f>IF(L118="",0,M6)</f>
        <v>0</v>
      </c>
      <c r="N118" s="369">
        <f t="shared" ref="N118:N128" si="132">L118*M118/10000</f>
        <v>0</v>
      </c>
      <c r="O118" s="372"/>
      <c r="P118" s="368">
        <f>IF(O118="",0,P6)</f>
        <v>0</v>
      </c>
      <c r="Q118" s="369">
        <f t="shared" ref="Q118:Q128" si="133">O118*P118/10000</f>
        <v>0</v>
      </c>
      <c r="R118" s="372"/>
      <c r="S118" s="368">
        <f>IF(R118="",0,S6)</f>
        <v>0</v>
      </c>
      <c r="T118" s="369">
        <f t="shared" ref="T118:T128" si="134">R118*S118/10000</f>
        <v>0</v>
      </c>
    </row>
    <row r="119" spans="1:20" ht="14.25" customHeight="1" outlineLevel="1">
      <c r="A119" s="351"/>
      <c r="B119" s="366" t="str">
        <f>'8.项目规划指标表'!$B$6</f>
        <v>商铺</v>
      </c>
      <c r="C119" s="367">
        <f>IF(OR(B119="回迁房",B119="回迁商业",B119="无产权公共配套",B119="回迁写字楼",B119=0),0,'1.参数设置'!$C$24)</f>
        <v>77.100368262470695</v>
      </c>
      <c r="D119" s="368">
        <f t="shared" ref="D119:D128" si="135">IF(C119="",0,D7)</f>
        <v>3640</v>
      </c>
      <c r="E119" s="369">
        <f>C119*D119/10000</f>
        <v>28.064534047539333</v>
      </c>
      <c r="F119" s="372">
        <f t="shared" ref="F119:F128" si="136">C119</f>
        <v>77.100368262470695</v>
      </c>
      <c r="G119" s="368">
        <f t="shared" ref="G119:G128" si="137">IF(F119="",0,G7)</f>
        <v>0</v>
      </c>
      <c r="H119" s="369">
        <f t="shared" si="130"/>
        <v>0</v>
      </c>
      <c r="I119" s="372"/>
      <c r="J119" s="368">
        <f t="shared" ref="J119:J128" si="138">IF(I119="",0,J7)</f>
        <v>0</v>
      </c>
      <c r="K119" s="369">
        <f t="shared" si="131"/>
        <v>0</v>
      </c>
      <c r="L119" s="372"/>
      <c r="M119" s="368">
        <f t="shared" ref="M119:M128" si="139">IF(L119="",0,M7)</f>
        <v>0</v>
      </c>
      <c r="N119" s="369">
        <f t="shared" si="132"/>
        <v>0</v>
      </c>
      <c r="O119" s="372"/>
      <c r="P119" s="368">
        <f t="shared" ref="P119:P128" si="140">IF(O119="",0,P7)</f>
        <v>0</v>
      </c>
      <c r="Q119" s="369">
        <f t="shared" si="133"/>
        <v>0</v>
      </c>
      <c r="R119" s="372"/>
      <c r="S119" s="368">
        <f t="shared" ref="S119:S128" si="141">IF(R119="",0,S7)</f>
        <v>0</v>
      </c>
      <c r="T119" s="369">
        <f t="shared" si="134"/>
        <v>0</v>
      </c>
    </row>
    <row r="120" spans="1:20" ht="14.25" customHeight="1" outlineLevel="1">
      <c r="A120" s="351"/>
      <c r="B120" s="366" t="str">
        <f>'8.项目规划指标表'!$B$7</f>
        <v>回迁商业</v>
      </c>
      <c r="C120" s="367">
        <f>IF(OR(B120="回迁房",B120="回迁商业",B120="无产权公共配套",B120="回迁写字楼",B120=0),0,'1.参数设置'!$C$24)</f>
        <v>0</v>
      </c>
      <c r="D120" s="368">
        <f t="shared" si="135"/>
        <v>4208</v>
      </c>
      <c r="E120" s="369">
        <f t="shared" ref="E120:E128" si="142">C120*D120/10000</f>
        <v>0</v>
      </c>
      <c r="F120" s="372">
        <f t="shared" si="136"/>
        <v>0</v>
      </c>
      <c r="G120" s="368">
        <f t="shared" si="137"/>
        <v>0</v>
      </c>
      <c r="H120" s="369">
        <f t="shared" si="130"/>
        <v>0</v>
      </c>
      <c r="I120" s="372"/>
      <c r="J120" s="368">
        <f t="shared" si="138"/>
        <v>0</v>
      </c>
      <c r="K120" s="369">
        <f t="shared" si="131"/>
        <v>0</v>
      </c>
      <c r="L120" s="372"/>
      <c r="M120" s="368">
        <f t="shared" si="139"/>
        <v>0</v>
      </c>
      <c r="N120" s="369">
        <f t="shared" si="132"/>
        <v>0</v>
      </c>
      <c r="O120" s="372"/>
      <c r="P120" s="368">
        <f t="shared" si="140"/>
        <v>0</v>
      </c>
      <c r="Q120" s="369">
        <f t="shared" si="133"/>
        <v>0</v>
      </c>
      <c r="R120" s="372"/>
      <c r="S120" s="368">
        <f t="shared" si="141"/>
        <v>0</v>
      </c>
      <c r="T120" s="369">
        <f t="shared" si="134"/>
        <v>0</v>
      </c>
    </row>
    <row r="121" spans="1:20" ht="14.25" customHeight="1" outlineLevel="1">
      <c r="A121" s="351"/>
      <c r="B121" s="366">
        <f>'8.项目规划指标表'!$B$8</f>
        <v>0</v>
      </c>
      <c r="C121" s="367">
        <f>IF(OR(B121="回迁房",B121="回迁商业",B121="无产权公共配套",B121="回迁写字楼",B121=0),0,'1.参数设置'!$C$24)</f>
        <v>0</v>
      </c>
      <c r="D121" s="368">
        <f t="shared" si="135"/>
        <v>0</v>
      </c>
      <c r="E121" s="369">
        <f t="shared" si="142"/>
        <v>0</v>
      </c>
      <c r="F121" s="372">
        <f t="shared" si="136"/>
        <v>0</v>
      </c>
      <c r="G121" s="368">
        <f t="shared" si="137"/>
        <v>0</v>
      </c>
      <c r="H121" s="369">
        <f t="shared" si="130"/>
        <v>0</v>
      </c>
      <c r="I121" s="372"/>
      <c r="J121" s="368">
        <f t="shared" si="138"/>
        <v>0</v>
      </c>
      <c r="K121" s="369">
        <f t="shared" si="131"/>
        <v>0</v>
      </c>
      <c r="L121" s="372"/>
      <c r="M121" s="368">
        <f t="shared" si="139"/>
        <v>0</v>
      </c>
      <c r="N121" s="369">
        <f t="shared" si="132"/>
        <v>0</v>
      </c>
      <c r="O121" s="372"/>
      <c r="P121" s="368">
        <f t="shared" si="140"/>
        <v>0</v>
      </c>
      <c r="Q121" s="369">
        <f t="shared" si="133"/>
        <v>0</v>
      </c>
      <c r="R121" s="372"/>
      <c r="S121" s="368">
        <f t="shared" si="141"/>
        <v>0</v>
      </c>
      <c r="T121" s="369">
        <f t="shared" si="134"/>
        <v>0</v>
      </c>
    </row>
    <row r="122" spans="1:20" ht="14.25" customHeight="1" outlineLevel="1">
      <c r="A122" s="351"/>
      <c r="B122" s="366">
        <f>'8.项目规划指标表'!$B$9</f>
        <v>0</v>
      </c>
      <c r="C122" s="367">
        <f>IF(OR(B122="回迁房",B122="回迁商业",B122="无产权公共配套",B122="回迁写字楼",B122=0),0,'1.参数设置'!$C$24)</f>
        <v>0</v>
      </c>
      <c r="D122" s="368">
        <f t="shared" si="135"/>
        <v>0</v>
      </c>
      <c r="E122" s="369">
        <f t="shared" si="142"/>
        <v>0</v>
      </c>
      <c r="F122" s="372">
        <f t="shared" si="136"/>
        <v>0</v>
      </c>
      <c r="G122" s="368">
        <f t="shared" si="137"/>
        <v>0</v>
      </c>
      <c r="H122" s="369">
        <f t="shared" si="130"/>
        <v>0</v>
      </c>
      <c r="I122" s="372"/>
      <c r="J122" s="368">
        <f t="shared" si="138"/>
        <v>0</v>
      </c>
      <c r="K122" s="369">
        <f t="shared" si="131"/>
        <v>0</v>
      </c>
      <c r="L122" s="372"/>
      <c r="M122" s="368">
        <f t="shared" si="139"/>
        <v>0</v>
      </c>
      <c r="N122" s="369">
        <f t="shared" si="132"/>
        <v>0</v>
      </c>
      <c r="O122" s="372"/>
      <c r="P122" s="368">
        <f t="shared" si="140"/>
        <v>0</v>
      </c>
      <c r="Q122" s="369">
        <f t="shared" si="133"/>
        <v>0</v>
      </c>
      <c r="R122" s="372"/>
      <c r="S122" s="368">
        <f t="shared" si="141"/>
        <v>0</v>
      </c>
      <c r="T122" s="369">
        <f t="shared" si="134"/>
        <v>0</v>
      </c>
    </row>
    <row r="123" spans="1:20" ht="14.25" customHeight="1" outlineLevel="1">
      <c r="A123" s="351"/>
      <c r="B123" s="366">
        <f>'8.项目规划指标表'!$B$10</f>
        <v>0</v>
      </c>
      <c r="C123" s="367">
        <f>IF(OR(B123="回迁房",B123="回迁商业",B123="无产权公共配套",B123="回迁写字楼",B123=0),0,'1.参数设置'!$C$24)</f>
        <v>0</v>
      </c>
      <c r="D123" s="368">
        <f t="shared" si="135"/>
        <v>0</v>
      </c>
      <c r="E123" s="369">
        <f t="shared" si="142"/>
        <v>0</v>
      </c>
      <c r="F123" s="372">
        <f t="shared" si="136"/>
        <v>0</v>
      </c>
      <c r="G123" s="368">
        <f t="shared" si="137"/>
        <v>0</v>
      </c>
      <c r="H123" s="369">
        <f t="shared" si="130"/>
        <v>0</v>
      </c>
      <c r="I123" s="372"/>
      <c r="J123" s="368">
        <f t="shared" si="138"/>
        <v>0</v>
      </c>
      <c r="K123" s="369">
        <f t="shared" si="131"/>
        <v>0</v>
      </c>
      <c r="L123" s="372"/>
      <c r="M123" s="368">
        <f t="shared" si="139"/>
        <v>0</v>
      </c>
      <c r="N123" s="369">
        <f t="shared" si="132"/>
        <v>0</v>
      </c>
      <c r="O123" s="372"/>
      <c r="P123" s="368">
        <f t="shared" si="140"/>
        <v>0</v>
      </c>
      <c r="Q123" s="369">
        <f t="shared" si="133"/>
        <v>0</v>
      </c>
      <c r="R123" s="372"/>
      <c r="S123" s="368">
        <f t="shared" si="141"/>
        <v>0</v>
      </c>
      <c r="T123" s="369">
        <f t="shared" si="134"/>
        <v>0</v>
      </c>
    </row>
    <row r="124" spans="1:20" ht="14.25" customHeight="1" outlineLevel="1">
      <c r="A124" s="351"/>
      <c r="B124" s="366">
        <f>'8.项目规划指标表'!$B$11</f>
        <v>0</v>
      </c>
      <c r="C124" s="367">
        <f>IF(OR(B124="回迁房",B124="回迁商业",B124="无产权公共配套",B124="回迁写字楼",B124=0),0,'1.参数设置'!$C$24)</f>
        <v>0</v>
      </c>
      <c r="D124" s="368">
        <f t="shared" si="135"/>
        <v>0</v>
      </c>
      <c r="E124" s="369">
        <f t="shared" si="142"/>
        <v>0</v>
      </c>
      <c r="F124" s="372">
        <f t="shared" si="136"/>
        <v>0</v>
      </c>
      <c r="G124" s="368">
        <f t="shared" si="137"/>
        <v>0</v>
      </c>
      <c r="H124" s="369">
        <f t="shared" si="130"/>
        <v>0</v>
      </c>
      <c r="I124" s="372"/>
      <c r="J124" s="368">
        <f t="shared" si="138"/>
        <v>0</v>
      </c>
      <c r="K124" s="369">
        <f t="shared" si="131"/>
        <v>0</v>
      </c>
      <c r="L124" s="372"/>
      <c r="M124" s="368">
        <f t="shared" si="139"/>
        <v>0</v>
      </c>
      <c r="N124" s="369">
        <f t="shared" si="132"/>
        <v>0</v>
      </c>
      <c r="O124" s="372"/>
      <c r="P124" s="368">
        <f t="shared" si="140"/>
        <v>0</v>
      </c>
      <c r="Q124" s="369">
        <f t="shared" si="133"/>
        <v>0</v>
      </c>
      <c r="R124" s="372"/>
      <c r="S124" s="368">
        <f t="shared" si="141"/>
        <v>0</v>
      </c>
      <c r="T124" s="369">
        <f t="shared" si="134"/>
        <v>0</v>
      </c>
    </row>
    <row r="125" spans="1:20" ht="14.25" customHeight="1" outlineLevel="1">
      <c r="A125" s="351"/>
      <c r="B125" s="366">
        <f>'8.项目规划指标表'!$B$12</f>
        <v>0</v>
      </c>
      <c r="C125" s="367">
        <f>IF(OR(B125="回迁房",B125="回迁商业",B125="无产权公共配套",B125="回迁写字楼",B125=0),0,'1.参数设置'!$C$24)</f>
        <v>0</v>
      </c>
      <c r="D125" s="368">
        <f t="shared" si="135"/>
        <v>0</v>
      </c>
      <c r="E125" s="369">
        <f t="shared" si="142"/>
        <v>0</v>
      </c>
      <c r="F125" s="372">
        <f t="shared" si="136"/>
        <v>0</v>
      </c>
      <c r="G125" s="368">
        <f t="shared" si="137"/>
        <v>0</v>
      </c>
      <c r="H125" s="369">
        <f t="shared" si="130"/>
        <v>0</v>
      </c>
      <c r="I125" s="372"/>
      <c r="J125" s="368">
        <f t="shared" si="138"/>
        <v>0</v>
      </c>
      <c r="K125" s="369">
        <f t="shared" si="131"/>
        <v>0</v>
      </c>
      <c r="L125" s="372"/>
      <c r="M125" s="368">
        <f t="shared" si="139"/>
        <v>0</v>
      </c>
      <c r="N125" s="369">
        <f t="shared" si="132"/>
        <v>0</v>
      </c>
      <c r="O125" s="372"/>
      <c r="P125" s="368">
        <f t="shared" si="140"/>
        <v>0</v>
      </c>
      <c r="Q125" s="369">
        <f t="shared" si="133"/>
        <v>0</v>
      </c>
      <c r="R125" s="372"/>
      <c r="S125" s="368">
        <f t="shared" si="141"/>
        <v>0</v>
      </c>
      <c r="T125" s="369">
        <f t="shared" si="134"/>
        <v>0</v>
      </c>
    </row>
    <row r="126" spans="1:20" ht="14.25" customHeight="1" outlineLevel="1">
      <c r="A126" s="351"/>
      <c r="B126" s="366">
        <f>'8.项目规划指标表'!$B$13</f>
        <v>0</v>
      </c>
      <c r="C126" s="367">
        <f>IF(OR(B126="回迁房",B126="回迁商业",B126="无产权公共配套",B126="回迁写字楼",B126=0),0,'1.参数设置'!$C$24)</f>
        <v>0</v>
      </c>
      <c r="D126" s="368">
        <f t="shared" si="135"/>
        <v>0</v>
      </c>
      <c r="E126" s="369">
        <f t="shared" si="142"/>
        <v>0</v>
      </c>
      <c r="F126" s="372">
        <f t="shared" si="136"/>
        <v>0</v>
      </c>
      <c r="G126" s="368">
        <f t="shared" si="137"/>
        <v>0</v>
      </c>
      <c r="H126" s="369">
        <f t="shared" si="130"/>
        <v>0</v>
      </c>
      <c r="I126" s="372"/>
      <c r="J126" s="368">
        <f t="shared" si="138"/>
        <v>0</v>
      </c>
      <c r="K126" s="369">
        <f t="shared" si="131"/>
        <v>0</v>
      </c>
      <c r="L126" s="372"/>
      <c r="M126" s="368">
        <f t="shared" si="139"/>
        <v>0</v>
      </c>
      <c r="N126" s="369">
        <f t="shared" si="132"/>
        <v>0</v>
      </c>
      <c r="O126" s="372"/>
      <c r="P126" s="368">
        <f t="shared" si="140"/>
        <v>0</v>
      </c>
      <c r="Q126" s="369">
        <f t="shared" si="133"/>
        <v>0</v>
      </c>
      <c r="R126" s="372"/>
      <c r="S126" s="368">
        <f t="shared" si="141"/>
        <v>0</v>
      </c>
      <c r="T126" s="369">
        <f t="shared" si="134"/>
        <v>0</v>
      </c>
    </row>
    <row r="127" spans="1:20" ht="14.25" customHeight="1" outlineLevel="1">
      <c r="A127" s="351"/>
      <c r="B127" s="366" t="str">
        <f>'8.项目规划指标表'!$B$14</f>
        <v>自持物业</v>
      </c>
      <c r="C127" s="367">
        <f>IF(OR(B127="回迁房",B127="回迁商业",B127="无产权公共配套",B127="回迁写字楼",B127=0),0,'1.参数设置'!$C$24)</f>
        <v>77.100368262470695</v>
      </c>
      <c r="D127" s="368">
        <f t="shared" si="135"/>
        <v>0</v>
      </c>
      <c r="E127" s="369">
        <f t="shared" si="142"/>
        <v>0</v>
      </c>
      <c r="F127" s="372">
        <f t="shared" si="136"/>
        <v>77.100368262470695</v>
      </c>
      <c r="G127" s="368">
        <f t="shared" si="137"/>
        <v>0</v>
      </c>
      <c r="H127" s="369">
        <f t="shared" si="130"/>
        <v>0</v>
      </c>
      <c r="I127" s="372"/>
      <c r="J127" s="368">
        <f t="shared" si="138"/>
        <v>0</v>
      </c>
      <c r="K127" s="369">
        <f t="shared" si="131"/>
        <v>0</v>
      </c>
      <c r="L127" s="372"/>
      <c r="M127" s="368">
        <f t="shared" si="139"/>
        <v>0</v>
      </c>
      <c r="N127" s="369">
        <f t="shared" si="132"/>
        <v>0</v>
      </c>
      <c r="O127" s="372"/>
      <c r="P127" s="368">
        <f t="shared" si="140"/>
        <v>0</v>
      </c>
      <c r="Q127" s="369">
        <f t="shared" si="133"/>
        <v>0</v>
      </c>
      <c r="R127" s="372"/>
      <c r="S127" s="368">
        <f t="shared" si="141"/>
        <v>0</v>
      </c>
      <c r="T127" s="369">
        <f t="shared" si="134"/>
        <v>0</v>
      </c>
    </row>
    <row r="128" spans="1:20" ht="14.25" customHeight="1" outlineLevel="1">
      <c r="A128" s="351"/>
      <c r="B128" s="366" t="str">
        <f>'8.项目规划指标表'!$B$15</f>
        <v>无产权公共配套</v>
      </c>
      <c r="C128" s="367">
        <f>IF(OR(B128="回迁房",B128="回迁商业",B128="无产权公共配套",B128="回迁写字楼",B128=0),0,'1.参数设置'!$C$24)</f>
        <v>0</v>
      </c>
      <c r="D128" s="368">
        <f t="shared" si="135"/>
        <v>667</v>
      </c>
      <c r="E128" s="369">
        <f t="shared" si="142"/>
        <v>0</v>
      </c>
      <c r="F128" s="372">
        <f t="shared" si="136"/>
        <v>0</v>
      </c>
      <c r="G128" s="368">
        <f t="shared" si="137"/>
        <v>0</v>
      </c>
      <c r="H128" s="369">
        <f t="shared" si="130"/>
        <v>0</v>
      </c>
      <c r="I128" s="372"/>
      <c r="J128" s="368">
        <f t="shared" si="138"/>
        <v>0</v>
      </c>
      <c r="K128" s="369">
        <f t="shared" si="131"/>
        <v>0</v>
      </c>
      <c r="L128" s="372"/>
      <c r="M128" s="368">
        <f t="shared" si="139"/>
        <v>0</v>
      </c>
      <c r="N128" s="369">
        <f t="shared" si="132"/>
        <v>0</v>
      </c>
      <c r="O128" s="372"/>
      <c r="P128" s="368">
        <f t="shared" si="140"/>
        <v>0</v>
      </c>
      <c r="Q128" s="369">
        <f t="shared" si="133"/>
        <v>0</v>
      </c>
      <c r="R128" s="372"/>
      <c r="S128" s="368">
        <f t="shared" si="141"/>
        <v>0</v>
      </c>
      <c r="T128" s="369">
        <f t="shared" si="134"/>
        <v>0</v>
      </c>
    </row>
    <row r="129" spans="1:20">
      <c r="A129" s="351"/>
      <c r="B129" s="351"/>
      <c r="C129" s="351"/>
      <c r="D129" s="351"/>
      <c r="E129" s="351"/>
      <c r="F129" s="351"/>
      <c r="G129" s="351"/>
      <c r="H129" s="351"/>
      <c r="I129" s="351"/>
      <c r="J129" s="351"/>
      <c r="K129" s="351"/>
      <c r="L129" s="351"/>
      <c r="M129" s="351"/>
      <c r="N129" s="351"/>
      <c r="O129" s="351"/>
      <c r="P129" s="351"/>
      <c r="Q129" s="351"/>
      <c r="R129" s="351"/>
      <c r="S129" s="351"/>
      <c r="T129" s="351"/>
    </row>
    <row r="130" spans="1:20" s="348" customFormat="1" ht="23.25" customHeight="1" outlineLevel="1">
      <c r="A130" s="354"/>
      <c r="B130" s="374" t="s">
        <v>903</v>
      </c>
      <c r="C130" s="356"/>
      <c r="D130" s="356"/>
      <c r="E130" s="356"/>
      <c r="F130" s="356"/>
      <c r="G130" s="356"/>
      <c r="H130" s="356"/>
      <c r="I130" s="356"/>
      <c r="J130" s="356"/>
      <c r="K130" s="356"/>
      <c r="L130" s="356"/>
      <c r="M130" s="356"/>
      <c r="N130" s="356"/>
      <c r="O130" s="356"/>
      <c r="P130" s="356"/>
      <c r="Q130" s="356"/>
      <c r="R130" s="356"/>
      <c r="S130" s="356"/>
      <c r="T130" s="356"/>
    </row>
    <row r="131" spans="1:20" s="349" customFormat="1" ht="19.5" customHeight="1">
      <c r="A131" s="358"/>
      <c r="B131" s="1969" t="s">
        <v>904</v>
      </c>
      <c r="C131" s="1963" t="s">
        <v>19</v>
      </c>
      <c r="D131" s="1964"/>
      <c r="E131" s="1965"/>
      <c r="F131" s="1963" t="s">
        <v>20</v>
      </c>
      <c r="G131" s="1964"/>
      <c r="H131" s="1965"/>
      <c r="I131" s="1963" t="s">
        <v>21</v>
      </c>
      <c r="J131" s="1964"/>
      <c r="K131" s="1965"/>
      <c r="L131" s="1963" t="s">
        <v>22</v>
      </c>
      <c r="M131" s="1964"/>
      <c r="N131" s="1965"/>
      <c r="O131" s="1963" t="s">
        <v>23</v>
      </c>
      <c r="P131" s="1964"/>
      <c r="Q131" s="1965"/>
      <c r="R131" s="1963" t="s">
        <v>24</v>
      </c>
      <c r="S131" s="1964"/>
      <c r="T131" s="1965"/>
    </row>
    <row r="132" spans="1:20" s="349" customFormat="1" ht="30.75" customHeight="1">
      <c r="A132" s="358"/>
      <c r="B132" s="1970"/>
      <c r="C132" s="375" t="s">
        <v>905</v>
      </c>
      <c r="D132" s="376" t="s">
        <v>906</v>
      </c>
      <c r="E132" s="361" t="s">
        <v>885</v>
      </c>
      <c r="F132" s="375" t="s">
        <v>905</v>
      </c>
      <c r="G132" s="376" t="s">
        <v>906</v>
      </c>
      <c r="H132" s="361" t="s">
        <v>885</v>
      </c>
      <c r="I132" s="375" t="s">
        <v>905</v>
      </c>
      <c r="J132" s="376" t="s">
        <v>906</v>
      </c>
      <c r="K132" s="361" t="s">
        <v>885</v>
      </c>
      <c r="L132" s="361" t="s">
        <v>905</v>
      </c>
      <c r="M132" s="376" t="s">
        <v>906</v>
      </c>
      <c r="N132" s="361" t="s">
        <v>885</v>
      </c>
      <c r="O132" s="361" t="s">
        <v>905</v>
      </c>
      <c r="P132" s="376" t="s">
        <v>906</v>
      </c>
      <c r="Q132" s="361" t="s">
        <v>885</v>
      </c>
      <c r="R132" s="361" t="s">
        <v>905</v>
      </c>
      <c r="S132" s="376" t="s">
        <v>906</v>
      </c>
      <c r="T132" s="361" t="s">
        <v>885</v>
      </c>
    </row>
    <row r="133" spans="1:20" ht="15" customHeight="1">
      <c r="A133" s="351"/>
      <c r="B133" s="362" t="s">
        <v>907</v>
      </c>
      <c r="C133" s="363">
        <f ca="1">IFERROR(E133/D133*10000,0)</f>
        <v>3726.0000000000005</v>
      </c>
      <c r="D133" s="364">
        <f ca="1">SUMIF('8.项目规划指标表'!$B$5:$B$15,"回迁房",'8.项目规划指标表'!H5:H14)+SUMIF('8.项目规划指标表'!$B$5:$B$15,"回迁商业",'8.项目规划指标表'!H5:H14)+SUMIF('8.项目规划指标表'!$B$5:$B$15,"回迁写字楼",'8.项目规划指标表'!H5:H14)</f>
        <v>4208</v>
      </c>
      <c r="E133" s="365">
        <f>SUM(E134:E140)</f>
        <v>1567.9008000000001</v>
      </c>
      <c r="F133" s="363">
        <f ca="1">IFERROR(H133/G133*10000,0)</f>
        <v>0</v>
      </c>
      <c r="G133" s="364">
        <f ca="1">SUMIF('8.项目规划指标表'!$B$5:$B$15,"回迁房",'8.项目规划指标表'!L5:L14)+SUMIF('8.项目规划指标表'!$B$5:$B$15,"回迁商业",'8.项目规划指标表'!L5:L14)+SUMIF('8.项目规划指标表'!$B$5:$B$15,"回迁写字楼",'8.项目规划指标表'!L5:L14)</f>
        <v>0</v>
      </c>
      <c r="H133" s="365">
        <f>SUM(H134:H140)</f>
        <v>0</v>
      </c>
      <c r="I133" s="363">
        <f ca="1">IFERROR(K133/J133*10000,0)</f>
        <v>0</v>
      </c>
      <c r="J133" s="364">
        <f ca="1">SUMIF('8.项目规划指标表'!$B$5:$B$15,"回迁房",'8.项目规划指标表'!P5:P14)+SUMIF('8.项目规划指标表'!$B$5:$B$15,"回迁商业",'8.项目规划指标表'!P5:P14)+SUMIF('8.项目规划指标表'!$B$5:$B$15,"回迁写字楼",'8.项目规划指标表'!P5:P14)</f>
        <v>0</v>
      </c>
      <c r="K133" s="365">
        <f>SUM(K134:K140)</f>
        <v>0</v>
      </c>
      <c r="L133" s="363">
        <f ca="1">IFERROR(N133/M133*10000,0)</f>
        <v>0</v>
      </c>
      <c r="M133" s="364">
        <f ca="1">SUMIF('8.项目规划指标表'!$B$5:$B$15,"回迁房",'8.项目规划指标表'!T5:T14)+SUMIF('8.项目规划指标表'!$B$5:$B$15,"回迁商业",'8.项目规划指标表'!T5:T14)+SUMIF('8.项目规划指标表'!$B$5:$B$15,"回迁写字楼",'8.项目规划指标表'!T5:T14)</f>
        <v>0</v>
      </c>
      <c r="N133" s="365">
        <f>SUM(N134:N140)</f>
        <v>0</v>
      </c>
      <c r="O133" s="363">
        <f ca="1">IFERROR(Q133/P133*10000,0)</f>
        <v>0</v>
      </c>
      <c r="P133" s="364">
        <f ca="1">SUMIF('8.项目规划指标表'!$B$5:$B$15,"回迁房",'8.项目规划指标表'!X5:X14)+SUMIF('8.项目规划指标表'!$B$5:$B$15,"回迁商业",'8.项目规划指标表'!X5:X14)+SUMIF('8.项目规划指标表'!$B$5:$B$15,"回迁写字楼业",'8.项目规划指标表'!X5:X14)</f>
        <v>0</v>
      </c>
      <c r="Q133" s="365">
        <f>SUM(Q134:Q140)</f>
        <v>0</v>
      </c>
      <c r="R133" s="363">
        <f ca="1">IFERROR(T133/S133*10000,0)</f>
        <v>0</v>
      </c>
      <c r="S133" s="364">
        <f ca="1">SUMIF('8.项目规划指标表'!$B$5:$B$15,"回迁房",'8.项目规划指标表'!AB5:AB14)+SUMIF('8.项目规划指标表'!$B$5:$B$15,"回迁商业",'8.项目规划指标表'!AB5:AB14)+SUMIF('8.项目规划指标表'!$B$5:$B$15,"回迁写字楼",'8.项目规划指标表'!AB5:AB14)</f>
        <v>0</v>
      </c>
      <c r="T133" s="365">
        <f>SUM(T134:T140)</f>
        <v>0</v>
      </c>
    </row>
    <row r="134" spans="1:20" ht="14.25" customHeight="1" outlineLevel="1">
      <c r="A134" s="351"/>
      <c r="B134" s="377" t="s">
        <v>867</v>
      </c>
      <c r="C134" s="378">
        <f ca="1">IFERROR(E134/D134*10000,0)</f>
        <v>170</v>
      </c>
      <c r="D134" s="379">
        <f ca="1">IF(E134=0,0,D$133)</f>
        <v>4208</v>
      </c>
      <c r="E134" s="380">
        <f>SUMIF($B$20:$B$32,"回迁商业",E$20:E$32)+SUMIF($B$20:$B$32,"回迁房",E$20:E$32)+SUMIF($B$20:$B$32,"回迁写字楼",E$20:E$32)</f>
        <v>71.536000000000001</v>
      </c>
      <c r="F134" s="378">
        <f>IFERROR(H134/G134*10000,0)</f>
        <v>0</v>
      </c>
      <c r="G134" s="379">
        <f>IF(H134=0,0,G$133)</f>
        <v>0</v>
      </c>
      <c r="H134" s="380">
        <f>SUMIF($B$20:$B$32,"回迁商业",H$20:H$32)+SUMIF($B$20:$B$32,"回迁房",H$20:H$32)+SUMIF($B$20:$B$32,"回迁写字楼",H$20:H$32)</f>
        <v>0</v>
      </c>
      <c r="I134" s="378">
        <f>IFERROR(K134/J134*10000,0)</f>
        <v>0</v>
      </c>
      <c r="J134" s="379">
        <f>IF(K134=0,0,J$133)</f>
        <v>0</v>
      </c>
      <c r="K134" s="380">
        <f>SUMIF($B$20:$B$32,"回迁商业",K$20:K$32)+SUMIF($B$20:$B$32,"回迁房",K$20:K$32)+SUMIF($B$20:$B$32,"回迁写字楼",K$20:K$32)</f>
        <v>0</v>
      </c>
      <c r="L134" s="378">
        <f>IFERROR(N134/M134*10000,0)</f>
        <v>0</v>
      </c>
      <c r="M134" s="379">
        <f>IF(N134=0,0,M$133)</f>
        <v>0</v>
      </c>
      <c r="N134" s="380">
        <f>SUMIF($B$20:$B$32,"回迁商业",N$20:N$32)+SUMIF($B$20:$B$32,"回迁房",N$20:N$32)+SUMIF($B$20:$B$32,"回迁写字楼",N$20:N$32)</f>
        <v>0</v>
      </c>
      <c r="O134" s="378">
        <f>IFERROR(Q134/P134*10000,0)</f>
        <v>0</v>
      </c>
      <c r="P134" s="379">
        <f>IF(Q134=0,0,P$133)</f>
        <v>0</v>
      </c>
      <c r="Q134" s="380">
        <f>SUMIF($B$20:$B$32,"回迁商业",Q$20:Q$32)+SUMIF($B$20:$B$32,"回迁房",Q$20:Q$32)+SUMIF($B$20:$B$32,"回迁写字楼",Q$20:Q$32)</f>
        <v>0</v>
      </c>
      <c r="R134" s="378">
        <f>IFERROR(T134/S134*10000,0)</f>
        <v>0</v>
      </c>
      <c r="S134" s="379">
        <f>IF(T134=0,0,S$133)</f>
        <v>0</v>
      </c>
      <c r="T134" s="380">
        <f>SUMIF($B$20:$B$32,"回迁商业",T$20:T$32)+SUMIF($B$20:$B$32,"回迁房",T$20:T$32)+SUMIF($B$20:$B$32,"回迁写字楼",T$20:T$32)</f>
        <v>0</v>
      </c>
    </row>
    <row r="135" spans="1:20" ht="14.25" customHeight="1" outlineLevel="1">
      <c r="A135" s="351"/>
      <c r="B135" s="381" t="s">
        <v>868</v>
      </c>
      <c r="C135" s="382">
        <f t="shared" ref="C135:C140" ca="1" si="143">IFERROR(E135/D135*10000,0)</f>
        <v>1742</v>
      </c>
      <c r="D135" s="383">
        <f t="shared" ref="D135:D140" ca="1" si="144">IF(E135=0,0,D$133)</f>
        <v>4208</v>
      </c>
      <c r="E135" s="384">
        <f>SUMIF($B$34:$B$46,"回迁商业",E$34:E$46)+SUMIF($B$34:$B$46,"回迁房",E$34:E$46)+SUMIF($B$34:$B$46,"回迁写字楼",E$34:E$46)</f>
        <v>733.03359999999998</v>
      </c>
      <c r="F135" s="382">
        <f t="shared" ref="F135:F140" si="145">IFERROR(H135/G135*10000,0)</f>
        <v>0</v>
      </c>
      <c r="G135" s="383">
        <f t="shared" ref="G135:G140" si="146">IF(H135=0,0,G$133)</f>
        <v>0</v>
      </c>
      <c r="H135" s="384">
        <f>SUMIF($B$34:$B$46,"回迁商业",H$34:H$46)+SUMIF($B$34:$B$46,"回迁房",H$34:H$46)+SUMIF($B$34:$B$46,"回迁写字楼",H$34:H$46)</f>
        <v>0</v>
      </c>
      <c r="I135" s="382">
        <f t="shared" ref="I135:I140" si="147">IFERROR(K135/J135*10000,0)</f>
        <v>0</v>
      </c>
      <c r="J135" s="383">
        <f t="shared" ref="J135:J140" si="148">IF(K135=0,0,J$133)</f>
        <v>0</v>
      </c>
      <c r="K135" s="384">
        <f>SUMIF($B$34:$B$46,"回迁商业",K$34:K$46)+SUMIF($B$34:$B$46,"回迁房",K$34:K$46)+SUMIF($B$34:$B$46,"回迁写字楼",K$34:K$46)</f>
        <v>0</v>
      </c>
      <c r="L135" s="382">
        <f t="shared" ref="L135:L140" si="149">IFERROR(N135/M135*10000,0)</f>
        <v>0</v>
      </c>
      <c r="M135" s="383">
        <f t="shared" ref="M135:M140" si="150">IF(N135=0,0,M$133)</f>
        <v>0</v>
      </c>
      <c r="N135" s="384">
        <f>SUMIF($B$34:$B$46,"回迁商业",N$34:N$46)+SUMIF($B$34:$B$46,"回迁房",N$34:N$46)+SUMIF($B$34:$B$46,"回迁写字楼",N$34:N$46)</f>
        <v>0</v>
      </c>
      <c r="O135" s="382">
        <f t="shared" ref="O135:O140" si="151">IFERROR(Q135/P135*10000,0)</f>
        <v>0</v>
      </c>
      <c r="P135" s="383">
        <f t="shared" ref="P135:P140" si="152">IF(Q135=0,0,P$133)</f>
        <v>0</v>
      </c>
      <c r="Q135" s="384">
        <f>SUMIF($B$34:$B$46,"回迁商业",Q$34:Q$46)+SUMIF($B$34:$B$46,"回迁房",Q$34:Q$46)+SUMIF($B$34:$B$46,"回迁写字楼",Q$34:Q$46)</f>
        <v>0</v>
      </c>
      <c r="R135" s="382">
        <f t="shared" ref="R135:R140" si="153">IFERROR(T135/S135*10000,0)</f>
        <v>0</v>
      </c>
      <c r="S135" s="383">
        <f t="shared" ref="S135:S140" si="154">IF(T135=0,0,S$133)</f>
        <v>0</v>
      </c>
      <c r="T135" s="384">
        <f>SUMIF($B$34:$B$46,"回迁商业",T$34:T$46)+SUMIF($B$34:$B$46,"回迁房",T$34:T$46)+SUMIF($B$34:$B$46,"回迁写字楼",T$34:T$46)</f>
        <v>0</v>
      </c>
    </row>
    <row r="136" spans="1:20" ht="14.25" customHeight="1" outlineLevel="1">
      <c r="A136" s="351"/>
      <c r="B136" s="381" t="s">
        <v>869</v>
      </c>
      <c r="C136" s="382">
        <f t="shared" ca="1" si="143"/>
        <v>305</v>
      </c>
      <c r="D136" s="383">
        <f t="shared" ca="1" si="144"/>
        <v>4208</v>
      </c>
      <c r="E136" s="384">
        <f>SUMIF($B$48:$B$60,"回迁商业",E$48:E$60)+SUMIF($B$48:$B$60,"回迁房",E$48:E$60)+SUMIF($B$48:$B$60,"回迁写字楼",E$48:E$60)</f>
        <v>128.34399999999999</v>
      </c>
      <c r="F136" s="382">
        <f t="shared" si="145"/>
        <v>0</v>
      </c>
      <c r="G136" s="383">
        <f t="shared" si="146"/>
        <v>0</v>
      </c>
      <c r="H136" s="384">
        <f>SUMIF($B$48:$B$60,"回迁商业",H$48:H$60)+SUMIF($B$48:$B$60,"回迁房",H$48:H$60)+SUMIF($B$48:$B$60,"回迁写字楼",H$48:H$60)</f>
        <v>0</v>
      </c>
      <c r="I136" s="382">
        <f t="shared" si="147"/>
        <v>0</v>
      </c>
      <c r="J136" s="383">
        <f t="shared" si="148"/>
        <v>0</v>
      </c>
      <c r="K136" s="384">
        <f>SUMIF($B$48:$B$60,"回迁商业",K$48:K$60)+SUMIF($B$48:$B$60,"回迁房",K$48:K$60)+SUMIF($B$48:$B$60,"回迁写字楼",K$48:K$60)</f>
        <v>0</v>
      </c>
      <c r="L136" s="382">
        <f t="shared" si="149"/>
        <v>0</v>
      </c>
      <c r="M136" s="383">
        <f t="shared" si="150"/>
        <v>0</v>
      </c>
      <c r="N136" s="384">
        <f>SUMIF($B$48:$B$60,"回迁商业",N$48:N$60)+SUMIF($B$48:$B$60,"回迁房",N$48:N$60)+SUMIF($B$48:$B$60,"回迁写字楼",N$48:N$60)</f>
        <v>0</v>
      </c>
      <c r="O136" s="382">
        <f t="shared" si="151"/>
        <v>0</v>
      </c>
      <c r="P136" s="383">
        <f t="shared" si="152"/>
        <v>0</v>
      </c>
      <c r="Q136" s="384">
        <f>SUMIF($B$48:$B$60,"回迁商业",Q$48:Q$60)+SUMIF($B$48:$B$60,"回迁房",Q$48:Q$60)+SUMIF($B$48:$B$60,"回迁写字楼",Q$48:Q$60)</f>
        <v>0</v>
      </c>
      <c r="R136" s="382">
        <f t="shared" si="153"/>
        <v>0</v>
      </c>
      <c r="S136" s="383">
        <f t="shared" si="154"/>
        <v>0</v>
      </c>
      <c r="T136" s="384">
        <f>SUMIF($B$48:$B$60,"回迁商业",T$48:T$60)+SUMIF($B$48:$B$60,"回迁房",T$48:T$60)+SUMIF($B$48:$B$60,"回迁写字楼",T$48:T$60)</f>
        <v>0</v>
      </c>
    </row>
    <row r="137" spans="1:20" ht="14.25" customHeight="1" outlineLevel="1">
      <c r="A137" s="351"/>
      <c r="B137" s="381" t="s">
        <v>870</v>
      </c>
      <c r="C137" s="382">
        <f t="shared" ca="1" si="143"/>
        <v>443.99999999999994</v>
      </c>
      <c r="D137" s="383">
        <f t="shared" ca="1" si="144"/>
        <v>4208</v>
      </c>
      <c r="E137" s="384">
        <f>SUMIF($B$62:$B$74,"回迁商业",E$62:E$74)+SUMIF($B$62:$B$74,"回迁房",E$62:E$74)++SUMIF($B$62:$B$74,"回迁写字楼",E$62:E$74)</f>
        <v>186.83519999999999</v>
      </c>
      <c r="F137" s="382">
        <f t="shared" si="145"/>
        <v>0</v>
      </c>
      <c r="G137" s="383">
        <f t="shared" si="146"/>
        <v>0</v>
      </c>
      <c r="H137" s="384">
        <f>SUMIF($B$62:$B$74,"回迁商业",H$62:H$74)+SUMIF($B$62:$B$74,"回迁房",H$62:H$74)++SUMIF($B$62:$B$74,"回迁写字楼",H$62:H$74)</f>
        <v>0</v>
      </c>
      <c r="I137" s="382">
        <f t="shared" si="147"/>
        <v>0</v>
      </c>
      <c r="J137" s="383">
        <f t="shared" si="148"/>
        <v>0</v>
      </c>
      <c r="K137" s="384">
        <f>SUMIF($B$62:$B$74,"回迁商业",K$62:K$74)+SUMIF($B$62:$B$74,"回迁房",K$62:K$74)++SUMIF($B$62:$B$74,"回迁写字楼",K$62:K$74)</f>
        <v>0</v>
      </c>
      <c r="L137" s="382">
        <f t="shared" si="149"/>
        <v>0</v>
      </c>
      <c r="M137" s="383">
        <f t="shared" si="150"/>
        <v>0</v>
      </c>
      <c r="N137" s="384">
        <f>SUMIF($B$62:$B$74,"回迁商业",N$62:N$74)+SUMIF($B$62:$B$74,"回迁房",N$62:N$74)++SUMIF($B$62:$B$74,"回迁写字楼",N$62:N$74)</f>
        <v>0</v>
      </c>
      <c r="O137" s="382">
        <f t="shared" si="151"/>
        <v>0</v>
      </c>
      <c r="P137" s="383">
        <f t="shared" si="152"/>
        <v>0</v>
      </c>
      <c r="Q137" s="384">
        <f>SUMIF($B$62:$B$74,"回迁商业",Q$62:Q$74)+SUMIF($B$62:$B$74,"回迁房",Q$62:Q$74)++SUMIF($B$62:$B$74,"回迁写字楼",Q$62:Q$74)</f>
        <v>0</v>
      </c>
      <c r="R137" s="382">
        <f t="shared" si="153"/>
        <v>0</v>
      </c>
      <c r="S137" s="383">
        <f t="shared" si="154"/>
        <v>0</v>
      </c>
      <c r="T137" s="384">
        <f>SUMIF($B$62:$B$74,"回迁商业",T$62:T$74)+SUMIF($B$62:$B$74,"回迁房",T$62:T$74)++SUMIF($B$62:$B$74,"回迁写字楼",T$62:T$74)</f>
        <v>0</v>
      </c>
    </row>
    <row r="138" spans="1:20" ht="14.25" customHeight="1" outlineLevel="1">
      <c r="A138" s="351"/>
      <c r="B138" s="381" t="s">
        <v>871</v>
      </c>
      <c r="C138" s="382">
        <f t="shared" ca="1" si="143"/>
        <v>325</v>
      </c>
      <c r="D138" s="383">
        <f t="shared" ca="1" si="144"/>
        <v>4208</v>
      </c>
      <c r="E138" s="384">
        <f>SUMIF($B$76:$B$88,"回迁商业",E$76:E$88)+SUMIF($B$76:$B$88,"回迁房",E$76:E$88)+SUMIF($B$76:$B$88,"回迁写字楼",E$76:E$88)</f>
        <v>136.76</v>
      </c>
      <c r="F138" s="382">
        <f t="shared" si="145"/>
        <v>0</v>
      </c>
      <c r="G138" s="383">
        <f t="shared" si="146"/>
        <v>0</v>
      </c>
      <c r="H138" s="384">
        <f>SUMIF($B$76:$B$88,"回迁商业",H$76:H$88)+SUMIF($B$76:$B$88,"回迁房",H$76:H$88)+SUMIF($B$76:$B$88,"回迁写字楼",H$76:H$88)</f>
        <v>0</v>
      </c>
      <c r="I138" s="382">
        <f t="shared" si="147"/>
        <v>0</v>
      </c>
      <c r="J138" s="383">
        <f t="shared" si="148"/>
        <v>0</v>
      </c>
      <c r="K138" s="384">
        <f>SUMIF($B$76:$B$88,"回迁商业",K$76:K$88)+SUMIF($B$76:$B$88,"回迁房",K$76:K$88)+SUMIF($B$76:$B$88,"回迁写字楼",K$76:K$88)</f>
        <v>0</v>
      </c>
      <c r="L138" s="382">
        <f t="shared" si="149"/>
        <v>0</v>
      </c>
      <c r="M138" s="383">
        <f t="shared" si="150"/>
        <v>0</v>
      </c>
      <c r="N138" s="384">
        <f>SUMIF($B$76:$B$88,"回迁商业",N$76:N$88)+SUMIF($B$76:$B$88,"回迁房",N$76:N$88)+SUMIF($B$76:$B$88,"回迁写字楼",N$76:N$88)</f>
        <v>0</v>
      </c>
      <c r="O138" s="382">
        <f t="shared" si="151"/>
        <v>0</v>
      </c>
      <c r="P138" s="383">
        <f t="shared" si="152"/>
        <v>0</v>
      </c>
      <c r="Q138" s="384">
        <f>SUMIF($B$76:$B$88,"回迁商业",Q$76:Q$88)+SUMIF($B$76:$B$88,"回迁房",Q$76:Q$88)+SUMIF($B$76:$B$88,"回迁写字楼",Q$76:Q$88)</f>
        <v>0</v>
      </c>
      <c r="R138" s="382">
        <f t="shared" si="153"/>
        <v>0</v>
      </c>
      <c r="S138" s="383">
        <f t="shared" si="154"/>
        <v>0</v>
      </c>
      <c r="T138" s="384">
        <f>SUMIF($B$76:$B$88,"回迁商业",T$76:T$88)+SUMIF($B$76:$B$88,"回迁房",T$76:T$88)+SUMIF($B$76:$B$88,"回迁写字楼",T$76:T$88)</f>
        <v>0</v>
      </c>
    </row>
    <row r="139" spans="1:20" ht="14.25" customHeight="1" outlineLevel="1">
      <c r="A139" s="351"/>
      <c r="B139" s="381" t="s">
        <v>872</v>
      </c>
      <c r="C139" s="382">
        <f t="shared" ca="1" si="143"/>
        <v>556</v>
      </c>
      <c r="D139" s="383">
        <f t="shared" ca="1" si="144"/>
        <v>4208</v>
      </c>
      <c r="E139" s="384">
        <f>SUMIF($B$90:$B$102,"回迁商业",E$90:E$102)+SUMIF($B$90:$B$102,"回迁房",E$90:E$102)+SUMIF($B$90:$B$102,"回迁写字楼",E$90:E$102)</f>
        <v>233.9648</v>
      </c>
      <c r="F139" s="382">
        <f t="shared" si="145"/>
        <v>0</v>
      </c>
      <c r="G139" s="383">
        <f t="shared" si="146"/>
        <v>0</v>
      </c>
      <c r="H139" s="384">
        <f>SUMIF($B$90:$B$102,"回迁商业",H$90:H$102)+SUMIF($B$90:$B$102,"回迁房",H$90:H$102)+SUMIF($B$90:$B$102,"回迁写字楼",H$90:H$102)</f>
        <v>0</v>
      </c>
      <c r="I139" s="382">
        <f t="shared" si="147"/>
        <v>0</v>
      </c>
      <c r="J139" s="383">
        <f t="shared" si="148"/>
        <v>0</v>
      </c>
      <c r="K139" s="384">
        <f>SUMIF($B$90:$B$102,"回迁商业",K$90:K$102)+SUMIF($B$90:$B$102,"回迁房",K$90:K$102)+SUMIF($B$90:$B$102,"回迁写字楼",K$90:K$102)</f>
        <v>0</v>
      </c>
      <c r="L139" s="382">
        <f t="shared" si="149"/>
        <v>0</v>
      </c>
      <c r="M139" s="383">
        <f t="shared" si="150"/>
        <v>0</v>
      </c>
      <c r="N139" s="384">
        <f>SUMIF($B$90:$B$102,"回迁商业",N$90:N$102)+SUMIF($B$90:$B$102,"回迁房",N$90:N$102)+SUMIF($B$90:$B$102,"回迁写字楼",N$90:N$102)</f>
        <v>0</v>
      </c>
      <c r="O139" s="382">
        <f t="shared" si="151"/>
        <v>0</v>
      </c>
      <c r="P139" s="383">
        <f t="shared" si="152"/>
        <v>0</v>
      </c>
      <c r="Q139" s="384">
        <f>SUMIF($B$90:$B$102,"回迁商业",Q$90:Q$102)+SUMIF($B$90:$B$102,"回迁房",Q$90:Q$102)+SUMIF($B$90:$B$102,"回迁写字楼",Q$90:Q$102)</f>
        <v>0</v>
      </c>
      <c r="R139" s="382">
        <f t="shared" si="153"/>
        <v>0</v>
      </c>
      <c r="S139" s="383">
        <f t="shared" si="154"/>
        <v>0</v>
      </c>
      <c r="T139" s="384">
        <f>SUMIF($B$90:$B$102,"回迁商业",T$90:T$102)+SUMIF($B$90:$B$102,"回迁房",T$90:T$102)+SUMIF($B$90:$B$102,"回迁写字楼",T$90:T$102)</f>
        <v>0</v>
      </c>
    </row>
    <row r="140" spans="1:20" ht="14.25" customHeight="1" outlineLevel="1">
      <c r="A140" s="351"/>
      <c r="B140" s="385" t="s">
        <v>873</v>
      </c>
      <c r="C140" s="386">
        <f t="shared" ca="1" si="143"/>
        <v>184</v>
      </c>
      <c r="D140" s="387">
        <f t="shared" ca="1" si="144"/>
        <v>4208</v>
      </c>
      <c r="E140" s="388">
        <f>SUMIF($B$104:$B$116,"回迁商业",E$104:E$116)+SUMIF($B$104:$B$116,"回迁房",E$104:E$116)+SUMIF($B$104:$B$116,"回迁写字楼",E$104:E$116)</f>
        <v>77.427199999999999</v>
      </c>
      <c r="F140" s="386">
        <f t="shared" si="145"/>
        <v>0</v>
      </c>
      <c r="G140" s="387">
        <f t="shared" si="146"/>
        <v>0</v>
      </c>
      <c r="H140" s="388">
        <f>SUMIF($B$104:$B$116,"回迁商业",H$104:H$116)+SUMIF($B$104:$B$116,"回迁房",H$104:H$116)+SUMIF($B$104:$B$116,"回迁写字楼",H$104:H$116)</f>
        <v>0</v>
      </c>
      <c r="I140" s="386">
        <f t="shared" si="147"/>
        <v>0</v>
      </c>
      <c r="J140" s="387">
        <f t="shared" si="148"/>
        <v>0</v>
      </c>
      <c r="K140" s="388">
        <f>SUMIF($B$104:$B$116,"回迁商业",K$104:K$116)+SUMIF($B$104:$B$116,"回迁房",K$104:K$116)+SUMIF($B$104:$B$116,"回迁写字楼",K$104:K$116)</f>
        <v>0</v>
      </c>
      <c r="L140" s="386">
        <f t="shared" si="149"/>
        <v>0</v>
      </c>
      <c r="M140" s="387">
        <f t="shared" si="150"/>
        <v>0</v>
      </c>
      <c r="N140" s="388">
        <f>SUMIF($B$104:$B$116,"回迁商业",N$104:N$116)+SUMIF($B$104:$B$116,"回迁房",N$104:N$116)+SUMIF($B$104:$B$116,"回迁写字楼",N$104:N$116)</f>
        <v>0</v>
      </c>
      <c r="O140" s="386">
        <f t="shared" si="151"/>
        <v>0</v>
      </c>
      <c r="P140" s="387">
        <f t="shared" si="152"/>
        <v>0</v>
      </c>
      <c r="Q140" s="388">
        <f>SUMIF($B$104:$B$116,"回迁商业",Q$104:Q$116)+SUMIF($B$104:$B$116,"回迁房",Q$104:Q$116)+SUMIF($B$104:$B$116,"回迁写字楼",Q$104:Q$116)</f>
        <v>0</v>
      </c>
      <c r="R140" s="386">
        <f t="shared" si="153"/>
        <v>0</v>
      </c>
      <c r="S140" s="387">
        <f t="shared" si="154"/>
        <v>0</v>
      </c>
      <c r="T140" s="388">
        <f>SUMIF($B$104:$B$116,"回迁商业",T$104:T$116)+SUMIF($B$104:$B$116,"回迁房",T$104:T$116)+SUMIF($B$104:$B$116,"回迁写字楼",T$104:T$116)</f>
        <v>0</v>
      </c>
    </row>
    <row r="141" spans="1:20" ht="15" customHeight="1">
      <c r="A141" s="351"/>
      <c r="B141" s="362" t="s">
        <v>908</v>
      </c>
      <c r="C141" s="363">
        <f t="shared" ref="C141:C151" si="155">IFERROR(E141/D141*10000,0)</f>
        <v>745.2402673886113</v>
      </c>
      <c r="D141" s="364">
        <f>SUMIF($A$142:$A$151,"分摊",D142:D151)</f>
        <v>21038.863150726742</v>
      </c>
      <c r="E141" s="365">
        <f>SUM(E142:E151)</f>
        <v>1567.9007999999999</v>
      </c>
      <c r="F141" s="363">
        <f t="shared" ref="F141:F151" si="156">IFERROR(H141/G141*10000,0)</f>
        <v>0</v>
      </c>
      <c r="G141" s="364">
        <f>SUMIF($A$142:$A$151,"分摊",G142:G151)</f>
        <v>0</v>
      </c>
      <c r="H141" s="365">
        <f>SUM(H142:H151)</f>
        <v>0</v>
      </c>
      <c r="I141" s="363">
        <f t="shared" ref="I141:I151" si="157">IFERROR(K141/J141*10000,0)</f>
        <v>0</v>
      </c>
      <c r="J141" s="364">
        <f>SUMIF($A$142:$A$151,"分摊",J142:J151)</f>
        <v>0</v>
      </c>
      <c r="K141" s="365">
        <f>SUM(K142:K151)</f>
        <v>0</v>
      </c>
      <c r="L141" s="363">
        <f t="shared" ref="L141:L151" si="158">IFERROR(N141/M141*10000,0)</f>
        <v>0</v>
      </c>
      <c r="M141" s="364">
        <f>SUMIF($A$142:$A$151,"分摊",M142:M151)</f>
        <v>0</v>
      </c>
      <c r="N141" s="365">
        <f>SUM(N142:N151)</f>
        <v>0</v>
      </c>
      <c r="O141" s="363">
        <f t="shared" ref="O141:O151" si="159">IFERROR(Q141/P141*10000,0)</f>
        <v>0</v>
      </c>
      <c r="P141" s="364">
        <f>SUMIF($A$142:$A$151,"分摊",P142:P151)</f>
        <v>0</v>
      </c>
      <c r="Q141" s="407">
        <f>SUM(Q142:Q151)</f>
        <v>0</v>
      </c>
      <c r="R141" s="363">
        <f t="shared" ref="R141:R151" si="160">IFERROR(T141/S141*10000,0)</f>
        <v>0</v>
      </c>
      <c r="S141" s="364">
        <f>SUMIF($A$142:$A$151,"分摊",S142:S151)</f>
        <v>0</v>
      </c>
      <c r="T141" s="365">
        <f>SUM(T142:T151)</f>
        <v>0</v>
      </c>
    </row>
    <row r="142" spans="1:20" ht="14.25" customHeight="1" outlineLevel="1">
      <c r="A142" s="389" t="str">
        <f>IF(OR(B142="回迁商业",B142="回迁房",B142="无产权公共配套",B142="回迁写字楼"),"不分摊","分摊")</f>
        <v>分摊</v>
      </c>
      <c r="B142" s="390" t="str">
        <f>'8.项目规划指标表'!$B$5</f>
        <v>高层</v>
      </c>
      <c r="C142" s="391">
        <f t="shared" si="155"/>
        <v>745.24026738861141</v>
      </c>
      <c r="D142" s="392">
        <f>'8.项目规划指标表'!G5</f>
        <v>13628.800934302324</v>
      </c>
      <c r="E142" s="393">
        <f>IFERROR(IF(OR($B142="回迁商业",$B142="回迁房",$B142="无产权公共配套",$B142="回迁写字楼"),0,E$133*D142/D$141),0)</f>
        <v>1015.6731252465621</v>
      </c>
      <c r="F142" s="394">
        <f t="shared" si="156"/>
        <v>0</v>
      </c>
      <c r="G142" s="395">
        <f>'8.项目规划指标表'!K5</f>
        <v>0</v>
      </c>
      <c r="H142" s="393">
        <f>IFERROR(IF(OR($B142="回迁商业",$B142="回迁房",$B142="无产权公共配套",$B142="回迁写字楼"),0,H$133*G142/G$141),0)</f>
        <v>0</v>
      </c>
      <c r="I142" s="394">
        <f t="shared" si="157"/>
        <v>0</v>
      </c>
      <c r="J142" s="395">
        <f>'8.项目规划指标表'!O5</f>
        <v>0</v>
      </c>
      <c r="K142" s="393">
        <f>IFERROR(IF(OR($B142="回迁商业",$B142="回迁房",$B142="无产权公共配套",$B142="回迁写字楼"),0,K$133*J142/J$141),0)</f>
        <v>0</v>
      </c>
      <c r="L142" s="394">
        <f t="shared" si="158"/>
        <v>0</v>
      </c>
      <c r="M142" s="395">
        <f>'8.项目规划指标表'!S5</f>
        <v>0</v>
      </c>
      <c r="N142" s="393">
        <f>IFERROR(IF(OR($B142="回迁商业",$B142="回迁房",$B142="无产权公共配套",$B142="回迁写字楼"),0,N$133*M142/M$141),0)</f>
        <v>0</v>
      </c>
      <c r="O142" s="394">
        <f t="shared" si="159"/>
        <v>0</v>
      </c>
      <c r="P142" s="395">
        <f>'8.项目规划指标表'!W5</f>
        <v>0</v>
      </c>
      <c r="Q142" s="393">
        <f>IFERROR(IF(OR($B142="回迁商业",$B142="回迁房",$B142="无产权公共配套",$B142="回迁写字楼"),0,Q$133*P142/P$141),0)</f>
        <v>0</v>
      </c>
      <c r="R142" s="394">
        <f t="shared" si="160"/>
        <v>0</v>
      </c>
      <c r="S142" s="395">
        <f>'8.项目规划指标表'!AA5</f>
        <v>0</v>
      </c>
      <c r="T142" s="393">
        <f>IFERROR(IF(OR($B142="回迁商业",$B142="回迁房",$B142="无产权公共配套",$B142="回迁写字楼"),0,T$133*S142/S$141),0)</f>
        <v>0</v>
      </c>
    </row>
    <row r="143" spans="1:20" ht="14.25" customHeight="1" outlineLevel="1">
      <c r="A143" s="389" t="str">
        <f t="shared" ref="A143:A151" si="161">IF(OR(B143="回迁商业",B143="回迁房",B143="无产权公共配套",B143="回迁写字楼"),"不分摊","分摊")</f>
        <v>分摊</v>
      </c>
      <c r="B143" s="396" t="str">
        <f>'8.项目规划指标表'!$B$6</f>
        <v>商铺</v>
      </c>
      <c r="C143" s="397">
        <f t="shared" si="155"/>
        <v>745.24026738861141</v>
      </c>
      <c r="D143" s="397">
        <f>'8.项目规划指标表'!G6</f>
        <v>7410.0622164244169</v>
      </c>
      <c r="E143" s="384">
        <f t="shared" ref="E143:E151" si="162">IFERROR(IF(OR($B143="回迁商业",$B143="回迁房",$B143="无产权公共配套",$B143="回迁写字楼"),0,E$133*D143/D$141),0)</f>
        <v>552.2276747534379</v>
      </c>
      <c r="F143" s="382">
        <f t="shared" si="156"/>
        <v>0</v>
      </c>
      <c r="G143" s="383">
        <f>'8.项目规划指标表'!K6</f>
        <v>0</v>
      </c>
      <c r="H143" s="384">
        <f t="shared" ref="H143:H151" si="163">IFERROR(IF(OR($B143="回迁商业",$B143="回迁房",$B143="无产权公共配套",$B143="回迁写字楼"),0,H$133*G143/G$141),0)</f>
        <v>0</v>
      </c>
      <c r="I143" s="382">
        <f t="shared" si="157"/>
        <v>0</v>
      </c>
      <c r="J143" s="383">
        <f>'8.项目规划指标表'!O6</f>
        <v>0</v>
      </c>
      <c r="K143" s="384">
        <f t="shared" ref="K143:K151" si="164">IFERROR(IF(OR($B143="回迁商业",$B143="回迁房",$B143="无产权公共配套",$B143="回迁写字楼"),0,K$133*J143/J$141),0)</f>
        <v>0</v>
      </c>
      <c r="L143" s="382">
        <f t="shared" si="158"/>
        <v>0</v>
      </c>
      <c r="M143" s="383">
        <f>'8.项目规划指标表'!S6</f>
        <v>0</v>
      </c>
      <c r="N143" s="384">
        <f t="shared" ref="N143:N151" si="165">IFERROR(IF(OR($B143="回迁商业",$B143="回迁房",$B143="无产权公共配套",$B143="回迁写字楼"),0,N$133*M143/M$141),0)</f>
        <v>0</v>
      </c>
      <c r="O143" s="382">
        <f t="shared" si="159"/>
        <v>0</v>
      </c>
      <c r="P143" s="383">
        <f>'8.项目规划指标表'!W6</f>
        <v>0</v>
      </c>
      <c r="Q143" s="384">
        <f t="shared" ref="Q143:Q151" si="166">IFERROR(IF(OR($B143="回迁商业",$B143="回迁房",$B143="无产权公共配套",$B143="回迁写字楼"),0,Q$133*P143/P$141),0)</f>
        <v>0</v>
      </c>
      <c r="R143" s="382">
        <f t="shared" si="160"/>
        <v>0</v>
      </c>
      <c r="S143" s="383">
        <f>'8.项目规划指标表'!AA6</f>
        <v>0</v>
      </c>
      <c r="T143" s="384">
        <f t="shared" ref="T143:T151" si="167">IFERROR(IF(OR($B143="回迁商业",$B143="回迁房",$B143="无产权公共配套",$B143="回迁写字楼"),0,T$133*S143/S$141),0)</f>
        <v>0</v>
      </c>
    </row>
    <row r="144" spans="1:20" ht="14.25" customHeight="1" outlineLevel="1">
      <c r="A144" s="389" t="str">
        <f t="shared" si="161"/>
        <v>不分摊</v>
      </c>
      <c r="B144" s="396" t="str">
        <f>'8.项目规划指标表'!$B$7</f>
        <v>回迁商业</v>
      </c>
      <c r="C144" s="397">
        <f t="shared" si="155"/>
        <v>0</v>
      </c>
      <c r="D144" s="397">
        <f>'8.项目规划指标表'!G7</f>
        <v>3106.1196117732552</v>
      </c>
      <c r="E144" s="384">
        <f t="shared" si="162"/>
        <v>0</v>
      </c>
      <c r="F144" s="382">
        <f t="shared" si="156"/>
        <v>0</v>
      </c>
      <c r="G144" s="383">
        <f>'8.项目规划指标表'!K7</f>
        <v>0</v>
      </c>
      <c r="H144" s="384">
        <f t="shared" si="163"/>
        <v>0</v>
      </c>
      <c r="I144" s="382">
        <f t="shared" si="157"/>
        <v>0</v>
      </c>
      <c r="J144" s="383">
        <f>'8.项目规划指标表'!O7</f>
        <v>0</v>
      </c>
      <c r="K144" s="384">
        <f t="shared" si="164"/>
        <v>0</v>
      </c>
      <c r="L144" s="382">
        <f t="shared" si="158"/>
        <v>0</v>
      </c>
      <c r="M144" s="383">
        <f>'8.项目规划指标表'!S7</f>
        <v>0</v>
      </c>
      <c r="N144" s="384">
        <f t="shared" si="165"/>
        <v>0</v>
      </c>
      <c r="O144" s="382">
        <f t="shared" si="159"/>
        <v>0</v>
      </c>
      <c r="P144" s="383">
        <f>'8.项目规划指标表'!W7</f>
        <v>0</v>
      </c>
      <c r="Q144" s="384">
        <f t="shared" si="166"/>
        <v>0</v>
      </c>
      <c r="R144" s="382">
        <f t="shared" si="160"/>
        <v>0</v>
      </c>
      <c r="S144" s="383">
        <f>'8.项目规划指标表'!AA7</f>
        <v>0</v>
      </c>
      <c r="T144" s="384">
        <f t="shared" si="167"/>
        <v>0</v>
      </c>
    </row>
    <row r="145" spans="1:20" ht="14.25" customHeight="1" outlineLevel="1">
      <c r="A145" s="389" t="str">
        <f t="shared" si="161"/>
        <v>分摊</v>
      </c>
      <c r="B145" s="396">
        <f>'8.项目规划指标表'!$B$8</f>
        <v>0</v>
      </c>
      <c r="C145" s="397">
        <f t="shared" si="155"/>
        <v>0</v>
      </c>
      <c r="D145" s="397">
        <f>'8.项目规划指标表'!G8</f>
        <v>0</v>
      </c>
      <c r="E145" s="384">
        <f t="shared" si="162"/>
        <v>0</v>
      </c>
      <c r="F145" s="382">
        <f t="shared" si="156"/>
        <v>0</v>
      </c>
      <c r="G145" s="383">
        <f>'8.项目规划指标表'!K8</f>
        <v>0</v>
      </c>
      <c r="H145" s="384">
        <f t="shared" si="163"/>
        <v>0</v>
      </c>
      <c r="I145" s="382">
        <f t="shared" si="157"/>
        <v>0</v>
      </c>
      <c r="J145" s="383">
        <f>'8.项目规划指标表'!O8</f>
        <v>0</v>
      </c>
      <c r="K145" s="384">
        <f t="shared" si="164"/>
        <v>0</v>
      </c>
      <c r="L145" s="382">
        <f t="shared" si="158"/>
        <v>0</v>
      </c>
      <c r="M145" s="383">
        <f>'8.项目规划指标表'!S8</f>
        <v>0</v>
      </c>
      <c r="N145" s="384">
        <f t="shared" si="165"/>
        <v>0</v>
      </c>
      <c r="O145" s="382">
        <f t="shared" si="159"/>
        <v>0</v>
      </c>
      <c r="P145" s="383">
        <f>'8.项目规划指标表'!W8</f>
        <v>0</v>
      </c>
      <c r="Q145" s="384">
        <f t="shared" si="166"/>
        <v>0</v>
      </c>
      <c r="R145" s="382">
        <f t="shared" si="160"/>
        <v>0</v>
      </c>
      <c r="S145" s="383">
        <f>'8.项目规划指标表'!AA8</f>
        <v>0</v>
      </c>
      <c r="T145" s="384">
        <f t="shared" si="167"/>
        <v>0</v>
      </c>
    </row>
    <row r="146" spans="1:20" ht="14.25" customHeight="1" outlineLevel="1">
      <c r="A146" s="389" t="str">
        <f t="shared" si="161"/>
        <v>分摊</v>
      </c>
      <c r="B146" s="396">
        <f>'8.项目规划指标表'!$B$9</f>
        <v>0</v>
      </c>
      <c r="C146" s="397">
        <f t="shared" si="155"/>
        <v>0</v>
      </c>
      <c r="D146" s="397">
        <f>'8.项目规划指标表'!G9</f>
        <v>0</v>
      </c>
      <c r="E146" s="384">
        <f t="shared" si="162"/>
        <v>0</v>
      </c>
      <c r="F146" s="382">
        <f t="shared" si="156"/>
        <v>0</v>
      </c>
      <c r="G146" s="383">
        <f>'8.项目规划指标表'!K9</f>
        <v>0</v>
      </c>
      <c r="H146" s="384">
        <f t="shared" si="163"/>
        <v>0</v>
      </c>
      <c r="I146" s="382">
        <f t="shared" si="157"/>
        <v>0</v>
      </c>
      <c r="J146" s="383">
        <f>'8.项目规划指标表'!O9</f>
        <v>0</v>
      </c>
      <c r="K146" s="384">
        <f t="shared" si="164"/>
        <v>0</v>
      </c>
      <c r="L146" s="382">
        <f t="shared" si="158"/>
        <v>0</v>
      </c>
      <c r="M146" s="383">
        <f>'8.项目规划指标表'!S9</f>
        <v>0</v>
      </c>
      <c r="N146" s="384">
        <f t="shared" si="165"/>
        <v>0</v>
      </c>
      <c r="O146" s="382">
        <f t="shared" si="159"/>
        <v>0</v>
      </c>
      <c r="P146" s="383">
        <f>'8.项目规划指标表'!W9</f>
        <v>0</v>
      </c>
      <c r="Q146" s="384">
        <f t="shared" si="166"/>
        <v>0</v>
      </c>
      <c r="R146" s="382">
        <f t="shared" si="160"/>
        <v>0</v>
      </c>
      <c r="S146" s="383">
        <f>'8.项目规划指标表'!AA9</f>
        <v>0</v>
      </c>
      <c r="T146" s="384">
        <f t="shared" si="167"/>
        <v>0</v>
      </c>
    </row>
    <row r="147" spans="1:20" ht="14.25" customHeight="1" outlineLevel="1">
      <c r="A147" s="389" t="str">
        <f t="shared" si="161"/>
        <v>分摊</v>
      </c>
      <c r="B147" s="396">
        <f>'8.项目规划指标表'!$B$10</f>
        <v>0</v>
      </c>
      <c r="C147" s="397">
        <f t="shared" si="155"/>
        <v>0</v>
      </c>
      <c r="D147" s="397">
        <f>'8.项目规划指标表'!G10</f>
        <v>0</v>
      </c>
      <c r="E147" s="384">
        <f t="shared" si="162"/>
        <v>0</v>
      </c>
      <c r="F147" s="382">
        <f t="shared" si="156"/>
        <v>0</v>
      </c>
      <c r="G147" s="383">
        <f>'8.项目规划指标表'!K10</f>
        <v>0</v>
      </c>
      <c r="H147" s="384">
        <f t="shared" si="163"/>
        <v>0</v>
      </c>
      <c r="I147" s="382">
        <f t="shared" si="157"/>
        <v>0</v>
      </c>
      <c r="J147" s="383">
        <f>'8.项目规划指标表'!O10</f>
        <v>0</v>
      </c>
      <c r="K147" s="384">
        <f t="shared" si="164"/>
        <v>0</v>
      </c>
      <c r="L147" s="382">
        <f t="shared" si="158"/>
        <v>0</v>
      </c>
      <c r="M147" s="383">
        <f>'8.项目规划指标表'!S10</f>
        <v>0</v>
      </c>
      <c r="N147" s="384">
        <f t="shared" si="165"/>
        <v>0</v>
      </c>
      <c r="O147" s="382">
        <f t="shared" si="159"/>
        <v>0</v>
      </c>
      <c r="P147" s="383">
        <f>'8.项目规划指标表'!W10</f>
        <v>0</v>
      </c>
      <c r="Q147" s="384">
        <f t="shared" si="166"/>
        <v>0</v>
      </c>
      <c r="R147" s="382">
        <f t="shared" si="160"/>
        <v>0</v>
      </c>
      <c r="S147" s="383">
        <f>'8.项目规划指标表'!AA10</f>
        <v>0</v>
      </c>
      <c r="T147" s="384">
        <f t="shared" si="167"/>
        <v>0</v>
      </c>
    </row>
    <row r="148" spans="1:20" ht="14.25" customHeight="1" outlineLevel="1">
      <c r="A148" s="389" t="str">
        <f t="shared" si="161"/>
        <v>分摊</v>
      </c>
      <c r="B148" s="396">
        <f>'8.项目规划指标表'!$B$11</f>
        <v>0</v>
      </c>
      <c r="C148" s="397">
        <f t="shared" si="155"/>
        <v>0</v>
      </c>
      <c r="D148" s="397">
        <f>'8.项目规划指标表'!G11</f>
        <v>0</v>
      </c>
      <c r="E148" s="384">
        <f t="shared" si="162"/>
        <v>0</v>
      </c>
      <c r="F148" s="382">
        <f t="shared" si="156"/>
        <v>0</v>
      </c>
      <c r="G148" s="383">
        <f>'8.项目规划指标表'!K11</f>
        <v>0</v>
      </c>
      <c r="H148" s="384">
        <f t="shared" si="163"/>
        <v>0</v>
      </c>
      <c r="I148" s="382">
        <f t="shared" si="157"/>
        <v>0</v>
      </c>
      <c r="J148" s="383">
        <f>'8.项目规划指标表'!O11</f>
        <v>0</v>
      </c>
      <c r="K148" s="384">
        <f t="shared" si="164"/>
        <v>0</v>
      </c>
      <c r="L148" s="382">
        <f t="shared" si="158"/>
        <v>0</v>
      </c>
      <c r="M148" s="383">
        <f>'8.项目规划指标表'!S11</f>
        <v>0</v>
      </c>
      <c r="N148" s="384">
        <f t="shared" si="165"/>
        <v>0</v>
      </c>
      <c r="O148" s="382">
        <f t="shared" si="159"/>
        <v>0</v>
      </c>
      <c r="P148" s="383">
        <f>'8.项目规划指标表'!W11</f>
        <v>0</v>
      </c>
      <c r="Q148" s="384">
        <f t="shared" si="166"/>
        <v>0</v>
      </c>
      <c r="R148" s="382">
        <f t="shared" si="160"/>
        <v>0</v>
      </c>
      <c r="S148" s="383">
        <f>'8.项目规划指标表'!AA11</f>
        <v>0</v>
      </c>
      <c r="T148" s="384">
        <f t="shared" si="167"/>
        <v>0</v>
      </c>
    </row>
    <row r="149" spans="1:20" ht="14.25" customHeight="1" outlineLevel="1">
      <c r="A149" s="389" t="str">
        <f t="shared" si="161"/>
        <v>分摊</v>
      </c>
      <c r="B149" s="396">
        <f>'8.项目规划指标表'!$B$12</f>
        <v>0</v>
      </c>
      <c r="C149" s="397">
        <f t="shared" si="155"/>
        <v>0</v>
      </c>
      <c r="D149" s="397">
        <f>'8.项目规划指标表'!G12</f>
        <v>0</v>
      </c>
      <c r="E149" s="384">
        <f t="shared" si="162"/>
        <v>0</v>
      </c>
      <c r="F149" s="382">
        <f t="shared" si="156"/>
        <v>0</v>
      </c>
      <c r="G149" s="383">
        <f>'8.项目规划指标表'!K12</f>
        <v>0</v>
      </c>
      <c r="H149" s="384">
        <f t="shared" si="163"/>
        <v>0</v>
      </c>
      <c r="I149" s="382">
        <f t="shared" si="157"/>
        <v>0</v>
      </c>
      <c r="J149" s="383">
        <f>'8.项目规划指标表'!O12</f>
        <v>0</v>
      </c>
      <c r="K149" s="384">
        <f t="shared" si="164"/>
        <v>0</v>
      </c>
      <c r="L149" s="382">
        <f t="shared" si="158"/>
        <v>0</v>
      </c>
      <c r="M149" s="383">
        <f>'8.项目规划指标表'!S12</f>
        <v>0</v>
      </c>
      <c r="N149" s="384">
        <f t="shared" si="165"/>
        <v>0</v>
      </c>
      <c r="O149" s="382">
        <f t="shared" si="159"/>
        <v>0</v>
      </c>
      <c r="P149" s="383">
        <f>'8.项目规划指标表'!W12</f>
        <v>0</v>
      </c>
      <c r="Q149" s="384">
        <f t="shared" si="166"/>
        <v>0</v>
      </c>
      <c r="R149" s="382">
        <f t="shared" si="160"/>
        <v>0</v>
      </c>
      <c r="S149" s="383">
        <f>'8.项目规划指标表'!AA12</f>
        <v>0</v>
      </c>
      <c r="T149" s="384">
        <f t="shared" si="167"/>
        <v>0</v>
      </c>
    </row>
    <row r="150" spans="1:20" ht="14.25" customHeight="1" outlineLevel="1">
      <c r="A150" s="389" t="str">
        <f t="shared" si="161"/>
        <v>分摊</v>
      </c>
      <c r="B150" s="396">
        <f>'8.项目规划指标表'!$B$13</f>
        <v>0</v>
      </c>
      <c r="C150" s="397">
        <f t="shared" si="155"/>
        <v>0</v>
      </c>
      <c r="D150" s="397">
        <f>'8.项目规划指标表'!G13</f>
        <v>0</v>
      </c>
      <c r="E150" s="384">
        <f t="shared" si="162"/>
        <v>0</v>
      </c>
      <c r="F150" s="382">
        <f t="shared" si="156"/>
        <v>0</v>
      </c>
      <c r="G150" s="383">
        <f>'8.项目规划指标表'!K13</f>
        <v>0</v>
      </c>
      <c r="H150" s="384">
        <f t="shared" si="163"/>
        <v>0</v>
      </c>
      <c r="I150" s="382">
        <f t="shared" si="157"/>
        <v>0</v>
      </c>
      <c r="J150" s="383">
        <f>'8.项目规划指标表'!O13</f>
        <v>0</v>
      </c>
      <c r="K150" s="384">
        <f t="shared" si="164"/>
        <v>0</v>
      </c>
      <c r="L150" s="382">
        <f t="shared" si="158"/>
        <v>0</v>
      </c>
      <c r="M150" s="383">
        <f>'8.项目规划指标表'!S13</f>
        <v>0</v>
      </c>
      <c r="N150" s="384">
        <f t="shared" si="165"/>
        <v>0</v>
      </c>
      <c r="O150" s="382">
        <f t="shared" si="159"/>
        <v>0</v>
      </c>
      <c r="P150" s="383">
        <f>'8.项目规划指标表'!W13</f>
        <v>0</v>
      </c>
      <c r="Q150" s="384">
        <f t="shared" si="166"/>
        <v>0</v>
      </c>
      <c r="R150" s="382">
        <f t="shared" si="160"/>
        <v>0</v>
      </c>
      <c r="S150" s="383">
        <f>'8.项目规划指标表'!AA13</f>
        <v>0</v>
      </c>
      <c r="T150" s="384">
        <f t="shared" si="167"/>
        <v>0</v>
      </c>
    </row>
    <row r="151" spans="1:20" ht="14.25" customHeight="1" outlineLevel="1">
      <c r="A151" s="389" t="str">
        <f t="shared" si="161"/>
        <v>分摊</v>
      </c>
      <c r="B151" s="398" t="str">
        <f>'8.项目规划指标表'!$B$14</f>
        <v>自持物业</v>
      </c>
      <c r="C151" s="399">
        <f t="shared" si="155"/>
        <v>0</v>
      </c>
      <c r="D151" s="399">
        <f>'8.项目规划指标表'!G14</f>
        <v>0</v>
      </c>
      <c r="E151" s="388">
        <f t="shared" si="162"/>
        <v>0</v>
      </c>
      <c r="F151" s="386">
        <f t="shared" si="156"/>
        <v>0</v>
      </c>
      <c r="G151" s="387">
        <f>'8.项目规划指标表'!K14</f>
        <v>0</v>
      </c>
      <c r="H151" s="388">
        <f t="shared" si="163"/>
        <v>0</v>
      </c>
      <c r="I151" s="386">
        <f t="shared" si="157"/>
        <v>0</v>
      </c>
      <c r="J151" s="387">
        <f>'8.项目规划指标表'!O14</f>
        <v>0</v>
      </c>
      <c r="K151" s="388">
        <f t="shared" si="164"/>
        <v>0</v>
      </c>
      <c r="L151" s="386">
        <f t="shared" si="158"/>
        <v>0</v>
      </c>
      <c r="M151" s="387">
        <f>'8.项目规划指标表'!S14</f>
        <v>0</v>
      </c>
      <c r="N151" s="388">
        <f t="shared" si="165"/>
        <v>0</v>
      </c>
      <c r="O151" s="386">
        <f t="shared" si="159"/>
        <v>0</v>
      </c>
      <c r="P151" s="387">
        <f>'8.项目规划指标表'!W14</f>
        <v>0</v>
      </c>
      <c r="Q151" s="388">
        <f t="shared" si="166"/>
        <v>0</v>
      </c>
      <c r="R151" s="386">
        <f t="shared" si="160"/>
        <v>0</v>
      </c>
      <c r="S151" s="387">
        <f>'8.项目规划指标表'!AA14</f>
        <v>0</v>
      </c>
      <c r="T151" s="388">
        <f t="shared" si="167"/>
        <v>0</v>
      </c>
    </row>
    <row r="152" spans="1:20">
      <c r="A152" s="351"/>
      <c r="B152" s="351"/>
      <c r="C152" s="351"/>
      <c r="D152" s="351"/>
      <c r="E152" s="351"/>
      <c r="F152" s="351"/>
      <c r="G152" s="351"/>
      <c r="H152" s="351"/>
      <c r="I152" s="351"/>
      <c r="J152" s="351"/>
      <c r="K152" s="351"/>
      <c r="L152" s="351"/>
      <c r="M152" s="351"/>
      <c r="N152" s="351"/>
      <c r="O152" s="351"/>
      <c r="P152" s="351"/>
      <c r="Q152" s="351"/>
      <c r="R152" s="351"/>
      <c r="S152" s="351"/>
      <c r="T152" s="351"/>
    </row>
    <row r="153" spans="1:20" s="348" customFormat="1" ht="23.25" customHeight="1">
      <c r="A153" s="354"/>
      <c r="B153" s="374" t="s">
        <v>909</v>
      </c>
      <c r="C153" s="356"/>
      <c r="D153" s="356"/>
      <c r="E153" s="356"/>
      <c r="F153" s="356"/>
      <c r="G153" s="356"/>
      <c r="H153" s="356"/>
      <c r="I153" s="356"/>
      <c r="J153" s="356"/>
      <c r="K153" s="356"/>
      <c r="L153" s="356"/>
      <c r="M153" s="356"/>
      <c r="N153" s="356"/>
      <c r="O153" s="356"/>
      <c r="P153" s="356"/>
      <c r="Q153" s="356"/>
      <c r="R153" s="356"/>
      <c r="S153" s="356"/>
      <c r="T153" s="356"/>
    </row>
    <row r="154" spans="1:20" s="349" customFormat="1" ht="19.5" customHeight="1">
      <c r="A154" s="358"/>
      <c r="B154" s="1969" t="s">
        <v>904</v>
      </c>
      <c r="C154" s="1963" t="s">
        <v>19</v>
      </c>
      <c r="D154" s="1964"/>
      <c r="E154" s="1965"/>
      <c r="F154" s="1963" t="s">
        <v>20</v>
      </c>
      <c r="G154" s="1964"/>
      <c r="H154" s="1965"/>
      <c r="I154" s="1963" t="s">
        <v>21</v>
      </c>
      <c r="J154" s="1964"/>
      <c r="K154" s="1965"/>
      <c r="L154" s="1963" t="s">
        <v>22</v>
      </c>
      <c r="M154" s="1964"/>
      <c r="N154" s="1965"/>
      <c r="O154" s="1963" t="s">
        <v>23</v>
      </c>
      <c r="P154" s="1964"/>
      <c r="Q154" s="1965"/>
      <c r="R154" s="1963" t="s">
        <v>24</v>
      </c>
      <c r="S154" s="1964"/>
      <c r="T154" s="1965"/>
    </row>
    <row r="155" spans="1:20" s="349" customFormat="1" ht="30.75" customHeight="1">
      <c r="A155" s="358"/>
      <c r="B155" s="1970"/>
      <c r="C155" s="375" t="s">
        <v>905</v>
      </c>
      <c r="D155" s="360" t="s">
        <v>808</v>
      </c>
      <c r="E155" s="361" t="s">
        <v>885</v>
      </c>
      <c r="F155" s="375" t="s">
        <v>905</v>
      </c>
      <c r="G155" s="360" t="s">
        <v>808</v>
      </c>
      <c r="H155" s="361" t="s">
        <v>885</v>
      </c>
      <c r="I155" s="375" t="s">
        <v>905</v>
      </c>
      <c r="J155" s="360" t="s">
        <v>808</v>
      </c>
      <c r="K155" s="361" t="s">
        <v>885</v>
      </c>
      <c r="L155" s="361" t="s">
        <v>905</v>
      </c>
      <c r="M155" s="360" t="s">
        <v>808</v>
      </c>
      <c r="N155" s="361" t="s">
        <v>885</v>
      </c>
      <c r="O155" s="361" t="s">
        <v>905</v>
      </c>
      <c r="P155" s="360" t="s">
        <v>808</v>
      </c>
      <c r="Q155" s="361" t="s">
        <v>885</v>
      </c>
      <c r="R155" s="361" t="s">
        <v>905</v>
      </c>
      <c r="S155" s="360" t="s">
        <v>808</v>
      </c>
      <c r="T155" s="361" t="s">
        <v>885</v>
      </c>
    </row>
    <row r="156" spans="1:20" ht="15" customHeight="1">
      <c r="A156" s="351"/>
      <c r="B156" s="362" t="s">
        <v>910</v>
      </c>
      <c r="C156" s="363">
        <f>IFERROR(E156/D156*10000,0)</f>
        <v>0</v>
      </c>
      <c r="D156" s="364">
        <f>SUMIF('8.项目规划指标表'!$B$5:$B$15,"无产权公共配套",'8.项目规划指标表'!H5:H20)+SUMIF('8.项目规划指标表'!$B$5:$B$20,"无产权车库(个)",'8.项目规划指标表'!G5:G20)</f>
        <v>4924</v>
      </c>
      <c r="E156" s="365">
        <f>SUM(E157:E163)</f>
        <v>0</v>
      </c>
      <c r="F156" s="363">
        <f>IFERROR(H156/G156*10000,0)</f>
        <v>0</v>
      </c>
      <c r="G156" s="364">
        <f>SUMIF('8.项目规划指标表'!$B$5:$B$15,"无产权公共配套",'8.项目规划指标表'!K5:K20)+SUMIF('8.项目规划指标表'!$B$5:$B$20,"无产权车库(个)",'8.项目规划指标表'!J5:J20)</f>
        <v>0</v>
      </c>
      <c r="H156" s="365">
        <f>SUM(H157:H163)</f>
        <v>0</v>
      </c>
      <c r="I156" s="363">
        <f>IFERROR(K156/J156*10000,0)</f>
        <v>0</v>
      </c>
      <c r="J156" s="364">
        <f>SUMIF('8.项目规划指标表'!$B$5:$B$15,"无产权公共配套",'8.项目规划指标表'!N5:N20)+SUMIF('8.项目规划指标表'!$B$5:$B$20,"无产权车库(个)",'8.项目规划指标表'!M5:M20)</f>
        <v>0</v>
      </c>
      <c r="K156" s="365">
        <f>SUM(K157:K163)</f>
        <v>0</v>
      </c>
      <c r="L156" s="363">
        <f>IFERROR(N156/M156*10000,0)</f>
        <v>0</v>
      </c>
      <c r="M156" s="364">
        <f>SUMIF('8.项目规划指标表'!$B$5:$B$15,"无产权公共配套",'8.项目规划指标表'!T5:T20)+SUMIF('8.项目规划指标表'!$B$5:$B$20,"无产权车库(个)",'8.项目规划指标表'!S5:S20)</f>
        <v>0</v>
      </c>
      <c r="N156" s="365">
        <f>SUM(N157:N163)</f>
        <v>0</v>
      </c>
      <c r="O156" s="363">
        <f>IFERROR(Q156/P156*10000,0)</f>
        <v>0</v>
      </c>
      <c r="P156" s="364">
        <f>SUMIF('8.项目规划指标表'!$B$5:$B$15,"无产权公共配套",'8.项目规划指标表'!X5:X20)+SUMIF('8.项目规划指标表'!$B$5:$B$20,"无产权车库(个)",'8.项目规划指标表'!W5:W20)</f>
        <v>0</v>
      </c>
      <c r="Q156" s="365">
        <f>SUM(Q157:Q163)</f>
        <v>0</v>
      </c>
      <c r="R156" s="363">
        <f>IFERROR(T156/S156*10000,0)</f>
        <v>0</v>
      </c>
      <c r="S156" s="364">
        <f>SUMIF('8.项目规划指标表'!$B$5:$B$15,"无产权公共配套",'8.项目规划指标表'!AB5:AB20)+SUMIF('8.项目规划指标表'!$B$5:$B$20,"无产权车库(个)",'8.项目规划指标表'!AA5:AA20)</f>
        <v>0</v>
      </c>
      <c r="T156" s="365">
        <f>SUM(T157:T163)</f>
        <v>0</v>
      </c>
    </row>
    <row r="157" spans="1:20" ht="14.25" customHeight="1" outlineLevel="1">
      <c r="A157" s="351"/>
      <c r="B157" s="377" t="s">
        <v>867</v>
      </c>
      <c r="C157" s="378">
        <f>IFERROR(E157/D157*10000,0)</f>
        <v>0</v>
      </c>
      <c r="D157" s="379">
        <f>IF(E157=0,0,D$156)</f>
        <v>0</v>
      </c>
      <c r="E157" s="380">
        <f>SUMIF($B$20:$B$32,"无产权公共配套",E$20:E$32)+SUMIF($B$20:$B$32,"无产权车库(个)",E$20:E$32)</f>
        <v>0</v>
      </c>
      <c r="F157" s="378">
        <f>IFERROR(H157/G157*10000,0)</f>
        <v>0</v>
      </c>
      <c r="G157" s="379">
        <f>IF(H157=0,0,G$156)</f>
        <v>0</v>
      </c>
      <c r="H157" s="380">
        <f>SUMIF($B$20:$B$32,"无产权公共配套",H$20:H$32)+SUMIF($B$20:$B$32,"无产权车库(个)",H$20:H$32)</f>
        <v>0</v>
      </c>
      <c r="I157" s="378">
        <f>IFERROR(K157/J157*10000,0)</f>
        <v>0</v>
      </c>
      <c r="J157" s="379">
        <f>IF(K157=0,0,J$156)</f>
        <v>0</v>
      </c>
      <c r="K157" s="380">
        <f>SUMIF($B$20:$B$32,"无产权公共配套",K$20:K$32)+SUMIF($B$20:$B$32,"无产权车库(个)",K$20:K$32)</f>
        <v>0</v>
      </c>
      <c r="L157" s="378">
        <f>IFERROR(N157/M157*10000,0)</f>
        <v>0</v>
      </c>
      <c r="M157" s="379">
        <f>IF(N157=0,0,M$133)</f>
        <v>0</v>
      </c>
      <c r="N157" s="380">
        <f>SUMIF($B$20:$B$32,"无产权公共配套",N$20:N$32)+SUMIF($B$20:$B$32,"无产权车库(个)",N$20:N$32)</f>
        <v>0</v>
      </c>
      <c r="O157" s="378">
        <f>IFERROR(Q157/P157*10000,0)</f>
        <v>0</v>
      </c>
      <c r="P157" s="379">
        <f>IF(Q157=0,0,P$133)</f>
        <v>0</v>
      </c>
      <c r="Q157" s="380">
        <f>SUMIF($B$20:$B$32,"无产权公共配套",Q$20:Q$32)+SUMIF($B$20:$B$32,"无产权车库(个)",Q$20:Q$32)</f>
        <v>0</v>
      </c>
      <c r="R157" s="378">
        <f>IFERROR(T157/S157*10000,0)</f>
        <v>0</v>
      </c>
      <c r="S157" s="379">
        <f>IF(T157=0,0,S$133)</f>
        <v>0</v>
      </c>
      <c r="T157" s="380">
        <f>SUMIF($B$20:$B$32,"无产权公共配套",T$20:T$32)+SUMIF($B$20:$B$32,"无产权车库(个)",T$20:T$32)</f>
        <v>0</v>
      </c>
    </row>
    <row r="158" spans="1:20" ht="14.25" customHeight="1" outlineLevel="1">
      <c r="A158" s="351"/>
      <c r="B158" s="381" t="s">
        <v>868</v>
      </c>
      <c r="C158" s="382">
        <f t="shared" ref="C158:C174" si="168">IFERROR(E158/D158*10000,0)</f>
        <v>0</v>
      </c>
      <c r="D158" s="383">
        <f t="shared" ref="D158:D163" si="169">IF(E158=0,0,D$156)</f>
        <v>0</v>
      </c>
      <c r="E158" s="384">
        <f>SUMIF($B$20:$B$32,"无产权公共配套",E$34:E$46)+SUMIF($B$20:$B$32,"无产权车库(个)",E$34:E$46)</f>
        <v>0</v>
      </c>
      <c r="F158" s="382">
        <f t="shared" ref="F158:F174" si="170">IFERROR(H158/G158*10000,0)</f>
        <v>0</v>
      </c>
      <c r="G158" s="383">
        <f t="shared" ref="G158:G163" si="171">IF(H158=0,0,G$156)</f>
        <v>0</v>
      </c>
      <c r="H158" s="384">
        <f>SUMIF($B$20:$B$32,"无产权公共配套",H$34:H$46)+SUMIF($B$20:$B$32,"无产权车库(个)",H$34:H$46)</f>
        <v>0</v>
      </c>
      <c r="I158" s="382">
        <f t="shared" ref="I158:I174" si="172">IFERROR(K158/J158*10000,0)</f>
        <v>0</v>
      </c>
      <c r="J158" s="383">
        <f t="shared" ref="J158:J163" si="173">IF(K158=0,0,J$156)</f>
        <v>0</v>
      </c>
      <c r="K158" s="384">
        <f>SUMIF($B$20:$B$32,"无产权公共配套",K$34:K$46)+SUMIF($B$20:$B$32,"无产权车库(个)",K$34:K$46)</f>
        <v>0</v>
      </c>
      <c r="L158" s="382">
        <f t="shared" ref="L158:L174" si="174">IFERROR(N158/M158*10000,0)</f>
        <v>0</v>
      </c>
      <c r="M158" s="383">
        <f t="shared" ref="M158:M163" si="175">IF(N158=0,0,M$133)</f>
        <v>0</v>
      </c>
      <c r="N158" s="384">
        <f>SUMIF($B$20:$B$32,"无产权公共配套",N$34:N$46)+SUMIF($B$20:$B$32,"无产权车库(个)",N$34:N$46)</f>
        <v>0</v>
      </c>
      <c r="O158" s="382">
        <f t="shared" ref="O158:O174" si="176">IFERROR(Q158/P158*10000,0)</f>
        <v>0</v>
      </c>
      <c r="P158" s="383">
        <f t="shared" ref="P158:P163" si="177">IF(Q158=0,0,P$133)</f>
        <v>0</v>
      </c>
      <c r="Q158" s="384">
        <f>SUMIF($B$20:$B$32,"无产权公共配套",Q$34:Q$46)+SUMIF($B$20:$B$32,"无产权车库(个)",Q$34:Q$46)</f>
        <v>0</v>
      </c>
      <c r="R158" s="382">
        <f t="shared" ref="R158:R174" si="178">IFERROR(T158/S158*10000,0)</f>
        <v>0</v>
      </c>
      <c r="S158" s="383">
        <f t="shared" ref="S158:S163" si="179">IF(T158=0,0,S$133)</f>
        <v>0</v>
      </c>
      <c r="T158" s="384">
        <f>SUMIF($B$20:$B$32,"无产权公共配套",T$34:T$46)+SUMIF($B$20:$B$32,"无产权车库(个)",T$34:T$46)</f>
        <v>0</v>
      </c>
    </row>
    <row r="159" spans="1:20" ht="14.25" customHeight="1" outlineLevel="1">
      <c r="A159" s="351"/>
      <c r="B159" s="381" t="s">
        <v>869</v>
      </c>
      <c r="C159" s="382">
        <f t="shared" si="168"/>
        <v>0</v>
      </c>
      <c r="D159" s="383">
        <f t="shared" si="169"/>
        <v>0</v>
      </c>
      <c r="E159" s="384">
        <f>SUMIF($B$20:$B$32,"无产权公共配套",E$48:E$60)+SUMIF($B$20:$B$32,"无产权车库(个)",E$48:E$60)</f>
        <v>0</v>
      </c>
      <c r="F159" s="382">
        <f t="shared" si="170"/>
        <v>0</v>
      </c>
      <c r="G159" s="383">
        <f t="shared" si="171"/>
        <v>0</v>
      </c>
      <c r="H159" s="384">
        <f>SUMIF($B$20:$B$32,"无产权公共配套",H$48:H$60)+SUMIF($B$20:$B$32,"无产权车库(个)",H$48:H$60)</f>
        <v>0</v>
      </c>
      <c r="I159" s="382">
        <f t="shared" si="172"/>
        <v>0</v>
      </c>
      <c r="J159" s="383">
        <f t="shared" si="173"/>
        <v>0</v>
      </c>
      <c r="K159" s="384">
        <f>SUMIF($B$20:$B$32,"无产权公共配套",K$48:K$60)+SUMIF($B$20:$B$32,"无产权车库(个)",K$48:K$60)</f>
        <v>0</v>
      </c>
      <c r="L159" s="382">
        <f t="shared" si="174"/>
        <v>0</v>
      </c>
      <c r="M159" s="383">
        <f t="shared" si="175"/>
        <v>0</v>
      </c>
      <c r="N159" s="384">
        <f>SUMIF($B$20:$B$32,"无产权公共配套",N$48:N$60)+SUMIF($B$20:$B$32,"无产权车库(个)",N$48:N$60)</f>
        <v>0</v>
      </c>
      <c r="O159" s="382">
        <f t="shared" si="176"/>
        <v>0</v>
      </c>
      <c r="P159" s="383">
        <f t="shared" si="177"/>
        <v>0</v>
      </c>
      <c r="Q159" s="384">
        <f>SUMIF($B$20:$B$32,"无产权公共配套",Q$48:Q$60)+SUMIF($B$20:$B$32,"无产权车库(个)",Q$48:Q$60)</f>
        <v>0</v>
      </c>
      <c r="R159" s="382">
        <f t="shared" si="178"/>
        <v>0</v>
      </c>
      <c r="S159" s="383">
        <f t="shared" si="179"/>
        <v>0</v>
      </c>
      <c r="T159" s="384">
        <f>SUMIF($B$20:$B$32,"无产权公共配套",T$48:T$60)+SUMIF($B$20:$B$32,"无产权车库(个)",T$48:T$60)</f>
        <v>0</v>
      </c>
    </row>
    <row r="160" spans="1:20" ht="14.25" customHeight="1" outlineLevel="1">
      <c r="A160" s="351"/>
      <c r="B160" s="381" t="s">
        <v>870</v>
      </c>
      <c r="C160" s="382">
        <f t="shared" si="168"/>
        <v>0</v>
      </c>
      <c r="D160" s="383">
        <f t="shared" si="169"/>
        <v>0</v>
      </c>
      <c r="E160" s="384">
        <f>SUMIF($B$20:$B$32,"无产权公共配套",E$62:E$74)+SUMIF($B$20:$B$32,"无产权车库(个)",E$62:E$74)</f>
        <v>0</v>
      </c>
      <c r="F160" s="382">
        <f t="shared" si="170"/>
        <v>0</v>
      </c>
      <c r="G160" s="383">
        <f t="shared" si="171"/>
        <v>0</v>
      </c>
      <c r="H160" s="384">
        <f>SUMIF($B$20:$B$32,"无产权公共配套",H$62:H$74)+SUMIF($B$20:$B$32,"无产权车库(个)",H$62:H$74)</f>
        <v>0</v>
      </c>
      <c r="I160" s="382">
        <f t="shared" si="172"/>
        <v>0</v>
      </c>
      <c r="J160" s="383">
        <f t="shared" si="173"/>
        <v>0</v>
      </c>
      <c r="K160" s="384">
        <f>SUMIF($B$20:$B$32,"无产权公共配套",K$62:K$74)+SUMIF($B$20:$B$32,"无产权车库(个)",K$62:K$74)</f>
        <v>0</v>
      </c>
      <c r="L160" s="382">
        <f t="shared" si="174"/>
        <v>0</v>
      </c>
      <c r="M160" s="383">
        <f t="shared" si="175"/>
        <v>0</v>
      </c>
      <c r="N160" s="384">
        <f>SUMIF($B$20:$B$32,"无产权公共配套",N$62:N$74)+SUMIF($B$20:$B$32,"无产权车库(个)",N$62:N$74)</f>
        <v>0</v>
      </c>
      <c r="O160" s="382">
        <f t="shared" si="176"/>
        <v>0</v>
      </c>
      <c r="P160" s="383">
        <f t="shared" si="177"/>
        <v>0</v>
      </c>
      <c r="Q160" s="384">
        <f>SUMIF($B$20:$B$32,"无产权公共配套",Q$62:Q$74)+SUMIF($B$20:$B$32,"无产权车库(个)",Q$62:Q$74)</f>
        <v>0</v>
      </c>
      <c r="R160" s="382">
        <f t="shared" si="178"/>
        <v>0</v>
      </c>
      <c r="S160" s="383">
        <f t="shared" si="179"/>
        <v>0</v>
      </c>
      <c r="T160" s="384">
        <f>SUMIF($B$20:$B$32,"无产权公共配套",T$62:T$74)+SUMIF($B$20:$B$32,"无产权车库(个)",T$62:T$74)</f>
        <v>0</v>
      </c>
    </row>
    <row r="161" spans="1:20" ht="14.25" customHeight="1" outlineLevel="1">
      <c r="A161" s="351"/>
      <c r="B161" s="381" t="s">
        <v>871</v>
      </c>
      <c r="C161" s="382">
        <f t="shared" si="168"/>
        <v>0</v>
      </c>
      <c r="D161" s="383">
        <f t="shared" si="169"/>
        <v>0</v>
      </c>
      <c r="E161" s="384">
        <f>SUMIF($B$20:$B$32,"无产权公共配套",E$76:E$88)+SUMIF($B$20:$B$32,"无产权车库(个)",E$76:E$88)</f>
        <v>0</v>
      </c>
      <c r="F161" s="382">
        <f t="shared" si="170"/>
        <v>0</v>
      </c>
      <c r="G161" s="383">
        <f t="shared" si="171"/>
        <v>0</v>
      </c>
      <c r="H161" s="384">
        <f>SUMIF($B$20:$B$32,"无产权公共配套",H$76:H$88)+SUMIF($B$20:$B$32,"无产权车库(个)",H$76:H$88)</f>
        <v>0</v>
      </c>
      <c r="I161" s="382">
        <f t="shared" si="172"/>
        <v>0</v>
      </c>
      <c r="J161" s="383">
        <f t="shared" si="173"/>
        <v>0</v>
      </c>
      <c r="K161" s="384">
        <f>SUMIF($B$20:$B$32,"无产权公共配套",K$76:K$88)+SUMIF($B$20:$B$32,"无产权车库(个)",K$76:K$88)</f>
        <v>0</v>
      </c>
      <c r="L161" s="382">
        <f t="shared" si="174"/>
        <v>0</v>
      </c>
      <c r="M161" s="383">
        <f t="shared" si="175"/>
        <v>0</v>
      </c>
      <c r="N161" s="384">
        <f>SUMIF($B$20:$B$32,"无产权公共配套",N$76:N$88)+SUMIF($B$20:$B$32,"无产权车库(个)",N$76:N$88)</f>
        <v>0</v>
      </c>
      <c r="O161" s="382">
        <f t="shared" si="176"/>
        <v>0</v>
      </c>
      <c r="P161" s="383">
        <f t="shared" si="177"/>
        <v>0</v>
      </c>
      <c r="Q161" s="384">
        <f>SUMIF($B$20:$B$32,"无产权公共配套",Q$76:Q$88)+SUMIF($B$20:$B$32,"无产权车库(个)",Q$76:Q$88)</f>
        <v>0</v>
      </c>
      <c r="R161" s="382">
        <f t="shared" si="178"/>
        <v>0</v>
      </c>
      <c r="S161" s="383">
        <f t="shared" si="179"/>
        <v>0</v>
      </c>
      <c r="T161" s="384">
        <f>SUMIF($B$20:$B$32,"无产权公共配套",T$76:T$88)+SUMIF($B$20:$B$32,"无产权车库(个)",T$76:T$88)</f>
        <v>0</v>
      </c>
    </row>
    <row r="162" spans="1:20" ht="14.25" customHeight="1" outlineLevel="1">
      <c r="A162" s="351"/>
      <c r="B162" s="381" t="s">
        <v>872</v>
      </c>
      <c r="C162" s="382">
        <f t="shared" si="168"/>
        <v>0</v>
      </c>
      <c r="D162" s="383">
        <f t="shared" si="169"/>
        <v>0</v>
      </c>
      <c r="E162" s="384">
        <f>SUMIF($B$20:$B$32,"无产权公共配套",E$90:E$102)+SUMIF($B$20:$B$32,"无产权车库(个)",E$90:E$102)</f>
        <v>0</v>
      </c>
      <c r="F162" s="382">
        <f t="shared" si="170"/>
        <v>0</v>
      </c>
      <c r="G162" s="383">
        <f t="shared" si="171"/>
        <v>0</v>
      </c>
      <c r="H162" s="384">
        <f>SUMIF($B$20:$B$32,"无产权公共配套",H$90:H$102)+SUMIF($B$20:$B$32,"无产权车库(个)",H$90:H$102)</f>
        <v>0</v>
      </c>
      <c r="I162" s="382">
        <f t="shared" si="172"/>
        <v>0</v>
      </c>
      <c r="J162" s="383">
        <f t="shared" si="173"/>
        <v>0</v>
      </c>
      <c r="K162" s="384">
        <f>SUMIF($B$20:$B$32,"无产权公共配套",K$90:K$102)+SUMIF($B$20:$B$32,"无产权车库(个)",K$90:K$102)</f>
        <v>0</v>
      </c>
      <c r="L162" s="382">
        <f t="shared" si="174"/>
        <v>0</v>
      </c>
      <c r="M162" s="383">
        <f t="shared" si="175"/>
        <v>0</v>
      </c>
      <c r="N162" s="384">
        <f>SUMIF($B$20:$B$32,"无产权公共配套",N$90:N$102)+SUMIF($B$20:$B$32,"无产权车库(个)",N$90:N$102)</f>
        <v>0</v>
      </c>
      <c r="O162" s="382">
        <f t="shared" si="176"/>
        <v>0</v>
      </c>
      <c r="P162" s="383">
        <f t="shared" si="177"/>
        <v>0</v>
      </c>
      <c r="Q162" s="384">
        <f>SUMIF($B$20:$B$32,"无产权公共配套",Q$90:Q$102)+SUMIF($B$20:$B$32,"无产权车库(个)",Q$90:Q$102)</f>
        <v>0</v>
      </c>
      <c r="R162" s="382">
        <f t="shared" si="178"/>
        <v>0</v>
      </c>
      <c r="S162" s="383">
        <f t="shared" si="179"/>
        <v>0</v>
      </c>
      <c r="T162" s="384">
        <f>SUMIF($B$20:$B$32,"无产权公共配套",T$90:T$102)+SUMIF($B$20:$B$32,"无产权车库(个)",T$90:T$102)</f>
        <v>0</v>
      </c>
    </row>
    <row r="163" spans="1:20" ht="14.25" customHeight="1" outlineLevel="1">
      <c r="A163" s="351"/>
      <c r="B163" s="385" t="s">
        <v>873</v>
      </c>
      <c r="C163" s="386">
        <f t="shared" si="168"/>
        <v>0</v>
      </c>
      <c r="D163" s="387">
        <f t="shared" si="169"/>
        <v>0</v>
      </c>
      <c r="E163" s="388">
        <f>SUMIF($B$20:$B$32,"无产权公共配套",E$104:E$116)+SUMIF($B$20:$B$32,"无产权车库(个)",E$104:E$116)</f>
        <v>0</v>
      </c>
      <c r="F163" s="386">
        <f t="shared" si="170"/>
        <v>0</v>
      </c>
      <c r="G163" s="387">
        <f t="shared" si="171"/>
        <v>0</v>
      </c>
      <c r="H163" s="388">
        <f>SUMIF($B$20:$B$32,"无产权公共配套",H$104:H$116)+SUMIF($B$20:$B$32,"无产权车库(个)",H$104:H$116)</f>
        <v>0</v>
      </c>
      <c r="I163" s="386">
        <f t="shared" si="172"/>
        <v>0</v>
      </c>
      <c r="J163" s="387">
        <f t="shared" si="173"/>
        <v>0</v>
      </c>
      <c r="K163" s="388">
        <f>SUMIF($B$20:$B$32,"无产权公共配套",K$104:K$116)+SUMIF($B$20:$B$32,"无产权车库(个)",K$104:K$116)</f>
        <v>0</v>
      </c>
      <c r="L163" s="386">
        <f t="shared" si="174"/>
        <v>0</v>
      </c>
      <c r="M163" s="387">
        <f t="shared" si="175"/>
        <v>0</v>
      </c>
      <c r="N163" s="388">
        <f>SUMIF($B$20:$B$32,"无产权公共配套",N$104:N$116)+SUMIF($B$20:$B$32,"无产权车库(个)",N$104:N$116)</f>
        <v>0</v>
      </c>
      <c r="O163" s="386">
        <f t="shared" si="176"/>
        <v>0</v>
      </c>
      <c r="P163" s="387">
        <f t="shared" si="177"/>
        <v>0</v>
      </c>
      <c r="Q163" s="388">
        <f>SUMIF($B$20:$B$32,"无产权公共配套",Q$104:Q$116)+SUMIF($B$20:$B$32,"无产权车库(个)",Q$104:Q$116)</f>
        <v>0</v>
      </c>
      <c r="R163" s="386">
        <f t="shared" si="178"/>
        <v>0</v>
      </c>
      <c r="S163" s="387">
        <f t="shared" si="179"/>
        <v>0</v>
      </c>
      <c r="T163" s="388">
        <f>SUMIF($B$20:$B$32,"无产权公共配套",T$104:T$116)+SUMIF($B$20:$B$32,"无产权车库(个)",T$104:T$116)</f>
        <v>0</v>
      </c>
    </row>
    <row r="164" spans="1:20" ht="15" customHeight="1">
      <c r="A164" s="351"/>
      <c r="B164" s="362" t="s">
        <v>908</v>
      </c>
      <c r="C164" s="363">
        <f t="shared" si="168"/>
        <v>0</v>
      </c>
      <c r="D164" s="364">
        <f>SUM(D165:D174)</f>
        <v>59740</v>
      </c>
      <c r="E164" s="365">
        <f>SUM(E165:E174)</f>
        <v>0</v>
      </c>
      <c r="F164" s="363">
        <f t="shared" si="170"/>
        <v>0</v>
      </c>
      <c r="G164" s="364">
        <f>SUM(G165:G174)</f>
        <v>0</v>
      </c>
      <c r="H164" s="365">
        <f>SUM(H165:H174)</f>
        <v>0</v>
      </c>
      <c r="I164" s="363">
        <f t="shared" si="172"/>
        <v>0</v>
      </c>
      <c r="J164" s="364">
        <f t="shared" ref="J164:N164" si="180">SUM(J165:J174)</f>
        <v>0</v>
      </c>
      <c r="K164" s="365">
        <f t="shared" si="180"/>
        <v>0</v>
      </c>
      <c r="L164" s="363">
        <f t="shared" si="174"/>
        <v>0</v>
      </c>
      <c r="M164" s="364">
        <f t="shared" si="180"/>
        <v>0</v>
      </c>
      <c r="N164" s="365">
        <f t="shared" si="180"/>
        <v>0</v>
      </c>
      <c r="O164" s="363">
        <f t="shared" si="176"/>
        <v>0</v>
      </c>
      <c r="P164" s="364">
        <f t="shared" ref="P164:T164" si="181">SUM(P165:P174)</f>
        <v>0</v>
      </c>
      <c r="Q164" s="407">
        <f t="shared" si="181"/>
        <v>0</v>
      </c>
      <c r="R164" s="363">
        <f t="shared" si="178"/>
        <v>0</v>
      </c>
      <c r="S164" s="364">
        <f t="shared" si="181"/>
        <v>0</v>
      </c>
      <c r="T164" s="365">
        <f t="shared" si="181"/>
        <v>0</v>
      </c>
    </row>
    <row r="165" spans="1:20" ht="14.25" customHeight="1" outlineLevel="1">
      <c r="A165" s="351"/>
      <c r="B165" s="400" t="str">
        <f>'8.项目规划指标表'!$B$5</f>
        <v>高层</v>
      </c>
      <c r="C165" s="391">
        <f t="shared" si="168"/>
        <v>0</v>
      </c>
      <c r="D165" s="392">
        <f>IF(OR(B165="回迁商业",B165="回迁房",B165="无产权公共配套",B165="回迁写字楼"),0,'8.项目规划指标表'!I5)</f>
        <v>56100</v>
      </c>
      <c r="E165" s="401">
        <f>IFERROR(D165/D$164*E$156,0)</f>
        <v>0</v>
      </c>
      <c r="F165" s="394">
        <f t="shared" si="170"/>
        <v>0</v>
      </c>
      <c r="G165" s="392">
        <f>IF(OR(B165="回迁商业",B165="回迁房",B165="无产权公共配套",B165="回迁写字楼"),0,'8.项目规划指标表'!M5)</f>
        <v>0</v>
      </c>
      <c r="H165" s="401">
        <f>IFERROR(G165/G$164*H$156,0)</f>
        <v>0</v>
      </c>
      <c r="I165" s="394">
        <f t="shared" si="172"/>
        <v>0</v>
      </c>
      <c r="J165" s="392">
        <f>IF(OR(B165="回迁商业"="回迁房",B165="无产权公共配套",B165="回迁写字楼"),0,'8.项目规划指标表'!Q5)</f>
        <v>0</v>
      </c>
      <c r="K165" s="401">
        <f>IFERROR(J165/J$164*K$156,0)</f>
        <v>0</v>
      </c>
      <c r="L165" s="394">
        <f t="shared" si="174"/>
        <v>0</v>
      </c>
      <c r="M165" s="392">
        <f>IF(OR(B165="回迁商业"="回迁房",B165="无产权公共配套",B165="回迁写字楼"),0,'8.项目规划指标表'!U5)</f>
        <v>0</v>
      </c>
      <c r="N165" s="401">
        <f>IFERROR(M165/M$164*N$156,0)</f>
        <v>0</v>
      </c>
      <c r="O165" s="394">
        <f t="shared" si="176"/>
        <v>0</v>
      </c>
      <c r="P165" s="392">
        <f>IF(OR(B165="回迁商业"="回迁房",B165="无产权公共配套",B165="回迁写字楼"),0,'8.项目规划指标表'!Y5)</f>
        <v>0</v>
      </c>
      <c r="Q165" s="401">
        <f>IFERROR(P165/P$164*Q$156,0)</f>
        <v>0</v>
      </c>
      <c r="R165" s="394">
        <f t="shared" si="178"/>
        <v>0</v>
      </c>
      <c r="S165" s="392">
        <f>IF(OR(B165="回迁商业"="回迁房",B165="无产权公共配套",B165="回迁写字楼"),0,'8.项目规划指标表'!AC5)</f>
        <v>0</v>
      </c>
      <c r="T165" s="401">
        <f t="shared" ref="T165:T174" si="182">IFERROR(S165/S$164*T$156,0)</f>
        <v>0</v>
      </c>
    </row>
    <row r="166" spans="1:20" ht="14.25" customHeight="1" outlineLevel="1">
      <c r="A166" s="351"/>
      <c r="B166" s="402" t="str">
        <f>'8.项目规划指标表'!$B$6</f>
        <v>商铺</v>
      </c>
      <c r="C166" s="397">
        <f t="shared" si="168"/>
        <v>0</v>
      </c>
      <c r="D166" s="392">
        <f>IF(OR(B166="回迁商业",B166="回迁房",B166="无产权公共配套",B166="回迁写字楼"),0,'8.项目规划指标表'!I6)</f>
        <v>3640</v>
      </c>
      <c r="E166" s="401">
        <f>IFERROR(D166/D$164*E$156,0)</f>
        <v>0</v>
      </c>
      <c r="F166" s="382">
        <f t="shared" si="170"/>
        <v>0</v>
      </c>
      <c r="G166" s="392">
        <f>IF(OR(B166="回迁商业"="回迁房",E166="无产权公共配套",E166="回迁写字楼"),0,'8.项目规划指标表'!M6)</f>
        <v>0</v>
      </c>
      <c r="H166" s="401">
        <f t="shared" ref="H166:H174" si="183">IFERROR(G166/G$164*H$156,0)</f>
        <v>0</v>
      </c>
      <c r="I166" s="382">
        <f t="shared" si="172"/>
        <v>0</v>
      </c>
      <c r="J166" s="392">
        <f>IF(OR(B166="回迁商业"="回迁房",B166="无产权公共配套",B166="回迁写字楼"),0,'8.项目规划指标表'!Q6)</f>
        <v>0</v>
      </c>
      <c r="K166" s="401">
        <f t="shared" ref="K166:K174" si="184">IFERROR(J166/J$164*K$156,0)</f>
        <v>0</v>
      </c>
      <c r="L166" s="382">
        <f t="shared" si="174"/>
        <v>0</v>
      </c>
      <c r="M166" s="392">
        <f>IF(OR(B166="回迁商业"="回迁房",B166="无产权公共配套",B166="回迁写字楼"),0,'8.项目规划指标表'!U6)</f>
        <v>0</v>
      </c>
      <c r="N166" s="401">
        <f t="shared" ref="N166:N174" si="185">IFERROR(M166/M$164*N$156,0)</f>
        <v>0</v>
      </c>
      <c r="O166" s="382">
        <f t="shared" si="176"/>
        <v>0</v>
      </c>
      <c r="P166" s="392">
        <f>IF(OR(B166="回迁商业"="回迁房",B166="无产权公共配套",B166="回迁写字楼"),0,'8.项目规划指标表'!Y6)</f>
        <v>0</v>
      </c>
      <c r="Q166" s="401">
        <f t="shared" ref="Q166:Q174" si="186">IFERROR(P166/P$164*Q$156,0)</f>
        <v>0</v>
      </c>
      <c r="R166" s="382">
        <f t="shared" si="178"/>
        <v>0</v>
      </c>
      <c r="S166" s="392">
        <f>IF(OR(B166="回迁商业"="回迁房",B166="无产权公共配套",B166="回迁写字楼"),0,'8.项目规划指标表'!AC6)</f>
        <v>0</v>
      </c>
      <c r="T166" s="401">
        <f t="shared" si="182"/>
        <v>0</v>
      </c>
    </row>
    <row r="167" spans="1:20" ht="14.25" customHeight="1" outlineLevel="1">
      <c r="A167" s="351"/>
      <c r="B167" s="402" t="str">
        <f>'8.项目规划指标表'!$B$7</f>
        <v>回迁商业</v>
      </c>
      <c r="C167" s="397">
        <f t="shared" si="168"/>
        <v>0</v>
      </c>
      <c r="D167" s="392">
        <f>IF(OR(B167="回迁商业",B167="回迁房",B167="无产权公共配套",B167="回迁写字楼"),0,'8.项目规划指标表'!I7)</f>
        <v>0</v>
      </c>
      <c r="E167" s="401">
        <f>IFERROR(D167/D$164*E$156,0)</f>
        <v>0</v>
      </c>
      <c r="F167" s="382">
        <f t="shared" si="170"/>
        <v>0</v>
      </c>
      <c r="G167" s="392">
        <f>IF(OR(B167="回迁商业"="回迁房",E167="无产权公共配套",E167="回迁写字楼"),0,'8.项目规划指标表'!M7)</f>
        <v>0</v>
      </c>
      <c r="H167" s="401">
        <f t="shared" si="183"/>
        <v>0</v>
      </c>
      <c r="I167" s="382">
        <f t="shared" si="172"/>
        <v>0</v>
      </c>
      <c r="J167" s="392">
        <f>IF(OR(B167="回迁商业"="回迁房",B167="无产权公共配套",B167="回迁写字楼"),0,'8.项目规划指标表'!Q7)</f>
        <v>0</v>
      </c>
      <c r="K167" s="401">
        <f t="shared" si="184"/>
        <v>0</v>
      </c>
      <c r="L167" s="382">
        <f t="shared" si="174"/>
        <v>0</v>
      </c>
      <c r="M167" s="392">
        <f>IF(OR(B167="回迁商业"="回迁房",B167="无产权公共配套",B167="回迁写字楼"),0,'8.项目规划指标表'!U7)</f>
        <v>0</v>
      </c>
      <c r="N167" s="401">
        <f t="shared" si="185"/>
        <v>0</v>
      </c>
      <c r="O167" s="382">
        <f t="shared" si="176"/>
        <v>0</v>
      </c>
      <c r="P167" s="392">
        <f>IF(OR(B167="回迁商业"="回迁房",B167="无产权公共配套",B167="回迁写字楼"),0,'8.项目规划指标表'!Y7)</f>
        <v>0</v>
      </c>
      <c r="Q167" s="401">
        <f t="shared" si="186"/>
        <v>0</v>
      </c>
      <c r="R167" s="382">
        <f t="shared" si="178"/>
        <v>0</v>
      </c>
      <c r="S167" s="392">
        <f>IF(OR(B167="回迁商业"="回迁房",B167="无产权公共配套",B167="回迁写字楼"),0,'8.项目规划指标表'!AC7)</f>
        <v>0</v>
      </c>
      <c r="T167" s="401">
        <f t="shared" si="182"/>
        <v>0</v>
      </c>
    </row>
    <row r="168" spans="1:20" ht="14.25" customHeight="1" outlineLevel="1">
      <c r="A168" s="351"/>
      <c r="B168" s="402">
        <f>'8.项目规划指标表'!$B$8</f>
        <v>0</v>
      </c>
      <c r="C168" s="397">
        <f t="shared" si="168"/>
        <v>0</v>
      </c>
      <c r="D168" s="392">
        <f>IF(OR(B168="回迁商业",B168="回迁房",B168="无产权公共配套",B168="回迁写字楼"),0,'8.项目规划指标表'!I8)</f>
        <v>0</v>
      </c>
      <c r="E168" s="401">
        <f>IFERROR(D168/D$164*E$156,0)</f>
        <v>0</v>
      </c>
      <c r="F168" s="382">
        <f t="shared" si="170"/>
        <v>0</v>
      </c>
      <c r="G168" s="392">
        <f>IF(OR(B168="回迁商业"="回迁房",E168="无产权公共配套",E168="回迁写字楼"),0,'8.项目规划指标表'!M8)</f>
        <v>0</v>
      </c>
      <c r="H168" s="401">
        <f t="shared" si="183"/>
        <v>0</v>
      </c>
      <c r="I168" s="382">
        <f t="shared" si="172"/>
        <v>0</v>
      </c>
      <c r="J168" s="392">
        <f>IF(OR(B168="回迁商业"="回迁房",B168="无产权公共配套",B168="回迁写字楼"),0,'8.项目规划指标表'!Q8)</f>
        <v>0</v>
      </c>
      <c r="K168" s="401">
        <f t="shared" si="184"/>
        <v>0</v>
      </c>
      <c r="L168" s="382">
        <f t="shared" si="174"/>
        <v>0</v>
      </c>
      <c r="M168" s="392">
        <f>IF(OR(B168="回迁商业"="回迁房",B168="无产权公共配套",B168="回迁写字楼"),0,'8.项目规划指标表'!U8)</f>
        <v>0</v>
      </c>
      <c r="N168" s="401">
        <f t="shared" si="185"/>
        <v>0</v>
      </c>
      <c r="O168" s="382">
        <f t="shared" si="176"/>
        <v>0</v>
      </c>
      <c r="P168" s="392">
        <f>IF(OR(B168="回迁商业"="回迁房",B168="无产权公共配套",B168="回迁写字楼"),0,'8.项目规划指标表'!Y8)</f>
        <v>0</v>
      </c>
      <c r="Q168" s="401">
        <f t="shared" si="186"/>
        <v>0</v>
      </c>
      <c r="R168" s="382">
        <f t="shared" si="178"/>
        <v>0</v>
      </c>
      <c r="S168" s="392">
        <f>IF(OR(B168="回迁商业"="回迁房",B168="无产权公共配套",B168="回迁写字楼"),0,'8.项目规划指标表'!AC8)</f>
        <v>0</v>
      </c>
      <c r="T168" s="401">
        <f t="shared" si="182"/>
        <v>0</v>
      </c>
    </row>
    <row r="169" spans="1:20" ht="14.25" customHeight="1" outlineLevel="1">
      <c r="A169" s="351"/>
      <c r="B169" s="402">
        <f>'8.项目规划指标表'!$B$9</f>
        <v>0</v>
      </c>
      <c r="C169" s="397">
        <f t="shared" si="168"/>
        <v>0</v>
      </c>
      <c r="D169" s="392">
        <f>IF(OR(B169="回迁商业",B169="回迁房",B169="无产权公共配套",B169="回迁写字楼"),0,'8.项目规划指标表'!I9)</f>
        <v>0</v>
      </c>
      <c r="E169" s="401">
        <f>IFERROR(D169/D$164*E$156,0)</f>
        <v>0</v>
      </c>
      <c r="F169" s="382">
        <f t="shared" si="170"/>
        <v>0</v>
      </c>
      <c r="G169" s="392">
        <f>IF(OR(B169="回迁商业"="回迁房",E169="无产权公共配套",E169="回迁写字楼"),0,'8.项目规划指标表'!M9)</f>
        <v>0</v>
      </c>
      <c r="H169" s="401">
        <f t="shared" si="183"/>
        <v>0</v>
      </c>
      <c r="I169" s="382">
        <f t="shared" si="172"/>
        <v>0</v>
      </c>
      <c r="J169" s="392">
        <f>IF(OR(B169="回迁商业"="回迁房",B169="无产权公共配套",B169="回迁写字楼"),0,'8.项目规划指标表'!Q9)</f>
        <v>0</v>
      </c>
      <c r="K169" s="401">
        <f t="shared" si="184"/>
        <v>0</v>
      </c>
      <c r="L169" s="382">
        <f t="shared" si="174"/>
        <v>0</v>
      </c>
      <c r="M169" s="392">
        <f>IF(OR(B169="回迁商业"="回迁房",B169="无产权公共配套",B169="回迁写字楼"),0,'8.项目规划指标表'!U9)</f>
        <v>0</v>
      </c>
      <c r="N169" s="401">
        <f t="shared" si="185"/>
        <v>0</v>
      </c>
      <c r="O169" s="382">
        <f t="shared" si="176"/>
        <v>0</v>
      </c>
      <c r="P169" s="392">
        <f>IF(OR(B169="回迁商业"="回迁房",B169="无产权公共配套",B169="回迁写字楼"),0,'8.项目规划指标表'!Y9)</f>
        <v>0</v>
      </c>
      <c r="Q169" s="401">
        <f t="shared" si="186"/>
        <v>0</v>
      </c>
      <c r="R169" s="382">
        <f t="shared" si="178"/>
        <v>0</v>
      </c>
      <c r="S169" s="392">
        <f>IF(OR(B169="回迁商业"="回迁房",B169="无产权公共配套",B169="回迁写字楼"),0,'8.项目规划指标表'!AC9)</f>
        <v>0</v>
      </c>
      <c r="T169" s="401">
        <f t="shared" si="182"/>
        <v>0</v>
      </c>
    </row>
    <row r="170" spans="1:20" ht="14.25" customHeight="1" outlineLevel="1">
      <c r="A170" s="351"/>
      <c r="B170" s="402">
        <f>'8.项目规划指标表'!$B$10</f>
        <v>0</v>
      </c>
      <c r="C170" s="397">
        <f t="shared" si="168"/>
        <v>0</v>
      </c>
      <c r="D170" s="392">
        <f>IF(OR(B170="回迁商业",B170="回迁房",B170="无产权公共配套",B170="回迁写字楼"),0,'8.项目规划指标表'!I10)</f>
        <v>0</v>
      </c>
      <c r="E170" s="401">
        <f t="shared" ref="E170:E174" si="187">IFERROR(D170/D$164*E$156,0)</f>
        <v>0</v>
      </c>
      <c r="F170" s="382">
        <f t="shared" si="170"/>
        <v>0</v>
      </c>
      <c r="G170" s="392">
        <f>IF(OR(B170="回迁商业"="回迁房",E170="无产权公共配套",E170="回迁写字楼"),0,'8.项目规划指标表'!M10)</f>
        <v>0</v>
      </c>
      <c r="H170" s="401">
        <f t="shared" si="183"/>
        <v>0</v>
      </c>
      <c r="I170" s="382">
        <f t="shared" si="172"/>
        <v>0</v>
      </c>
      <c r="J170" s="392">
        <f>IF(OR(B170="回迁商业"="回迁房",B170="无产权公共配套",B170="回迁写字楼"),0,'8.项目规划指标表'!Q10)</f>
        <v>0</v>
      </c>
      <c r="K170" s="401">
        <f t="shared" si="184"/>
        <v>0</v>
      </c>
      <c r="L170" s="382">
        <f t="shared" si="174"/>
        <v>0</v>
      </c>
      <c r="M170" s="392">
        <f>IF(OR(B170="回迁商业"="回迁房",B170="无产权公共配套",B170="回迁写字楼"),0,'8.项目规划指标表'!U10)</f>
        <v>0</v>
      </c>
      <c r="N170" s="401">
        <f t="shared" si="185"/>
        <v>0</v>
      </c>
      <c r="O170" s="382">
        <f t="shared" si="176"/>
        <v>0</v>
      </c>
      <c r="P170" s="392">
        <f>IF(OR(B170="回迁商业"="回迁房",B170="无产权公共配套",B170="回迁写字楼"),0,'8.项目规划指标表'!Y10)</f>
        <v>0</v>
      </c>
      <c r="Q170" s="401">
        <f t="shared" si="186"/>
        <v>0</v>
      </c>
      <c r="R170" s="382">
        <f t="shared" si="178"/>
        <v>0</v>
      </c>
      <c r="S170" s="392">
        <f>IF(OR(B170="回迁商业"="回迁房",B170="无产权公共配套",B170="回迁写字楼"),0,'8.项目规划指标表'!AC10)</f>
        <v>0</v>
      </c>
      <c r="T170" s="401">
        <f t="shared" si="182"/>
        <v>0</v>
      </c>
    </row>
    <row r="171" spans="1:20" ht="14.25" customHeight="1" outlineLevel="1">
      <c r="A171" s="351"/>
      <c r="B171" s="402">
        <f>'8.项目规划指标表'!$B$11</f>
        <v>0</v>
      </c>
      <c r="C171" s="397">
        <f t="shared" si="168"/>
        <v>0</v>
      </c>
      <c r="D171" s="392">
        <f>IF(OR(B171="回迁商业",B171="回迁房",B171="无产权公共配套",B171="回迁写字楼"),0,'8.项目规划指标表'!I11)</f>
        <v>0</v>
      </c>
      <c r="E171" s="401">
        <f t="shared" si="187"/>
        <v>0</v>
      </c>
      <c r="F171" s="382">
        <f t="shared" si="170"/>
        <v>0</v>
      </c>
      <c r="G171" s="392">
        <f>IF(OR(B171="回迁商业"="回迁房",E171="无产权公共配套",E171="回迁写字楼"),0,'8.项目规划指标表'!M11)</f>
        <v>0</v>
      </c>
      <c r="H171" s="401">
        <f t="shared" si="183"/>
        <v>0</v>
      </c>
      <c r="I171" s="382">
        <f t="shared" si="172"/>
        <v>0</v>
      </c>
      <c r="J171" s="392">
        <f>IF(OR(B171="回迁商业"="回迁房",B171="无产权公共配套",B171="回迁写字楼"),0,'8.项目规划指标表'!Q11)</f>
        <v>0</v>
      </c>
      <c r="K171" s="401">
        <f t="shared" si="184"/>
        <v>0</v>
      </c>
      <c r="L171" s="382">
        <f t="shared" si="174"/>
        <v>0</v>
      </c>
      <c r="M171" s="392">
        <f>IF(OR(B171="回迁商业"="回迁房",B171="无产权公共配套",B171="回迁写字楼"),0,'8.项目规划指标表'!U11)</f>
        <v>0</v>
      </c>
      <c r="N171" s="401">
        <f t="shared" si="185"/>
        <v>0</v>
      </c>
      <c r="O171" s="382">
        <f t="shared" si="176"/>
        <v>0</v>
      </c>
      <c r="P171" s="392">
        <f>IF(OR(B171="回迁商业"="回迁房",B171="无产权公共配套",B171="回迁写字楼"),0,'8.项目规划指标表'!Y11)</f>
        <v>0</v>
      </c>
      <c r="Q171" s="401">
        <f t="shared" si="186"/>
        <v>0</v>
      </c>
      <c r="R171" s="382">
        <f t="shared" si="178"/>
        <v>0</v>
      </c>
      <c r="S171" s="392">
        <f>IF(OR(B171="回迁商业"="回迁房",B171="无产权公共配套",B171="回迁写字楼"),0,'8.项目规划指标表'!AC11)</f>
        <v>0</v>
      </c>
      <c r="T171" s="401">
        <f t="shared" si="182"/>
        <v>0</v>
      </c>
    </row>
    <row r="172" spans="1:20" ht="14.25" customHeight="1" outlineLevel="1">
      <c r="A172" s="351"/>
      <c r="B172" s="402">
        <f>'8.项目规划指标表'!$B$12</f>
        <v>0</v>
      </c>
      <c r="C172" s="397">
        <f t="shared" si="168"/>
        <v>0</v>
      </c>
      <c r="D172" s="392">
        <f>IF(OR(B172="回迁商业",B172="回迁房",B172="无产权公共配套",B172="回迁写字楼"),0,'8.项目规划指标表'!I12)</f>
        <v>0</v>
      </c>
      <c r="E172" s="401">
        <f t="shared" si="187"/>
        <v>0</v>
      </c>
      <c r="F172" s="382">
        <f t="shared" si="170"/>
        <v>0</v>
      </c>
      <c r="G172" s="392">
        <f>IF(OR(B172="回迁商业"="回迁房",E172="无产权公共配套",E172="回迁写字楼"),0,'8.项目规划指标表'!M12)</f>
        <v>0</v>
      </c>
      <c r="H172" s="401">
        <f t="shared" si="183"/>
        <v>0</v>
      </c>
      <c r="I172" s="382">
        <f t="shared" si="172"/>
        <v>0</v>
      </c>
      <c r="J172" s="392">
        <f>IF(OR(B172="回迁商业"="回迁房",B172="无产权公共配套",B172="回迁写字楼"),0,'8.项目规划指标表'!Q12)</f>
        <v>0</v>
      </c>
      <c r="K172" s="401">
        <f t="shared" si="184"/>
        <v>0</v>
      </c>
      <c r="L172" s="382">
        <f t="shared" si="174"/>
        <v>0</v>
      </c>
      <c r="M172" s="392">
        <f>IF(OR(B172="回迁商业"="回迁房",B172="无产权公共配套",B172="回迁写字楼"),0,'8.项目规划指标表'!U12)</f>
        <v>0</v>
      </c>
      <c r="N172" s="401">
        <f t="shared" si="185"/>
        <v>0</v>
      </c>
      <c r="O172" s="382">
        <f t="shared" si="176"/>
        <v>0</v>
      </c>
      <c r="P172" s="392">
        <f>IF(OR(B172="回迁商业"="回迁房",B172="无产权公共配套",B172="回迁写字楼"),0,'8.项目规划指标表'!Y12)</f>
        <v>0</v>
      </c>
      <c r="Q172" s="401">
        <f t="shared" si="186"/>
        <v>0</v>
      </c>
      <c r="R172" s="382">
        <f t="shared" si="178"/>
        <v>0</v>
      </c>
      <c r="S172" s="392">
        <f>IF(OR(B172="回迁商业"="回迁房",B172="无产权公共配套",B172="回迁写字楼"),0,'8.项目规划指标表'!AC12)</f>
        <v>0</v>
      </c>
      <c r="T172" s="401">
        <f t="shared" si="182"/>
        <v>0</v>
      </c>
    </row>
    <row r="173" spans="1:20" ht="14.25" customHeight="1" outlineLevel="1">
      <c r="A173" s="351"/>
      <c r="B173" s="402">
        <f>'8.项目规划指标表'!$B$13</f>
        <v>0</v>
      </c>
      <c r="C173" s="397">
        <f t="shared" si="168"/>
        <v>0</v>
      </c>
      <c r="D173" s="392">
        <f>IF(OR(B173="回迁商业",B173="回迁房",B173="无产权公共配套",B173="回迁写字楼"),0,'8.项目规划指标表'!I13)</f>
        <v>0</v>
      </c>
      <c r="E173" s="401">
        <f t="shared" si="187"/>
        <v>0</v>
      </c>
      <c r="F173" s="382">
        <f t="shared" si="170"/>
        <v>0</v>
      </c>
      <c r="G173" s="392">
        <f>IF(OR(B173="回迁商业"="回迁房",E173="无产权公共配套",E173="回迁写字楼"),0,'8.项目规划指标表'!M13)</f>
        <v>0</v>
      </c>
      <c r="H173" s="401">
        <f t="shared" si="183"/>
        <v>0</v>
      </c>
      <c r="I173" s="382">
        <f t="shared" si="172"/>
        <v>0</v>
      </c>
      <c r="J173" s="392">
        <f>IF(OR(B173="回迁商业"="回迁房",B173="无产权公共配套",B173="回迁写字楼"),0,'8.项目规划指标表'!Q13)</f>
        <v>0</v>
      </c>
      <c r="K173" s="401">
        <f t="shared" si="184"/>
        <v>0</v>
      </c>
      <c r="L173" s="382">
        <f t="shared" si="174"/>
        <v>0</v>
      </c>
      <c r="M173" s="392">
        <f>IF(OR(B173="回迁商业"="回迁房",B173="无产权公共配套",B173="回迁写字楼"),0,'8.项目规划指标表'!U13)</f>
        <v>0</v>
      </c>
      <c r="N173" s="401">
        <f t="shared" si="185"/>
        <v>0</v>
      </c>
      <c r="O173" s="382">
        <f t="shared" si="176"/>
        <v>0</v>
      </c>
      <c r="P173" s="392">
        <f>IF(OR(B173="回迁商业"="回迁房",B173="无产权公共配套",B173="回迁写字楼"),0,'8.项目规划指标表'!Y13)</f>
        <v>0</v>
      </c>
      <c r="Q173" s="401">
        <f t="shared" si="186"/>
        <v>0</v>
      </c>
      <c r="R173" s="382">
        <f t="shared" si="178"/>
        <v>0</v>
      </c>
      <c r="S173" s="392">
        <f>IF(OR(B173="回迁商业"="回迁房",B173="无产权公共配套",B173="回迁写字楼"),0,'8.项目规划指标表'!AC13)</f>
        <v>0</v>
      </c>
      <c r="T173" s="401">
        <f t="shared" si="182"/>
        <v>0</v>
      </c>
    </row>
    <row r="174" spans="1:20" ht="14.25" customHeight="1" outlineLevel="1">
      <c r="A174" s="351"/>
      <c r="B174" s="403" t="str">
        <f>'8.项目规划指标表'!$B$14</f>
        <v>自持物业</v>
      </c>
      <c r="C174" s="399">
        <f t="shared" si="168"/>
        <v>0</v>
      </c>
      <c r="D174" s="392">
        <f>IF(OR(B174="回迁商业",B174="回迁房",B174="无产权公共配套",B174="回迁写字楼"),0,'8.项目规划指标表'!I14)</f>
        <v>0</v>
      </c>
      <c r="E174" s="404">
        <f t="shared" si="187"/>
        <v>0</v>
      </c>
      <c r="F174" s="386">
        <f t="shared" si="170"/>
        <v>0</v>
      </c>
      <c r="G174" s="392">
        <f>IF(OR(B174="回迁商业"="回迁房",E174="无产权公共配套",E174="回迁写字楼"),0,'8.项目规划指标表'!M14)</f>
        <v>0</v>
      </c>
      <c r="H174" s="404">
        <f t="shared" si="183"/>
        <v>0</v>
      </c>
      <c r="I174" s="386">
        <f t="shared" si="172"/>
        <v>0</v>
      </c>
      <c r="J174" s="392">
        <f>IF(OR(B174="回迁商业"="回迁房",B174="无产权公共配套",B174="回迁写字楼"),0,'8.项目规划指标表'!Q14)</f>
        <v>0</v>
      </c>
      <c r="K174" s="404">
        <f t="shared" si="184"/>
        <v>0</v>
      </c>
      <c r="L174" s="386">
        <f t="shared" si="174"/>
        <v>0</v>
      </c>
      <c r="M174" s="392">
        <f>IF(OR(B174="回迁商业"="回迁房",B174="无产权公共配套",B174="回迁写字楼"),0,'8.项目规划指标表'!U14)</f>
        <v>0</v>
      </c>
      <c r="N174" s="404">
        <f t="shared" si="185"/>
        <v>0</v>
      </c>
      <c r="O174" s="386">
        <f t="shared" si="176"/>
        <v>0</v>
      </c>
      <c r="P174" s="392">
        <f>IF(OR(B174="回迁商业"="回迁房",B174="无产权公共配套",B174="回迁写字楼"),0,'8.项目规划指标表'!Y14)</f>
        <v>0</v>
      </c>
      <c r="Q174" s="404">
        <f t="shared" si="186"/>
        <v>0</v>
      </c>
      <c r="R174" s="386">
        <f t="shared" si="178"/>
        <v>0</v>
      </c>
      <c r="S174" s="392">
        <f>IF(OR(B174="回迁商业"="回迁房",B174="无产权公共配套",B174="回迁写字楼"),0,'8.项目规划指标表'!AC14)</f>
        <v>0</v>
      </c>
      <c r="T174" s="404">
        <f t="shared" si="182"/>
        <v>0</v>
      </c>
    </row>
    <row r="175" spans="1:20">
      <c r="A175" s="351"/>
      <c r="B175" s="351"/>
      <c r="C175" s="351"/>
      <c r="D175" s="351"/>
      <c r="E175" s="351"/>
      <c r="F175" s="351"/>
      <c r="G175" s="351"/>
      <c r="H175" s="351"/>
      <c r="I175" s="351"/>
      <c r="J175" s="351"/>
      <c r="K175" s="351"/>
      <c r="L175" s="351"/>
      <c r="M175" s="351"/>
      <c r="N175" s="351"/>
      <c r="O175" s="351"/>
      <c r="P175" s="351"/>
      <c r="Q175" s="351"/>
      <c r="R175" s="351"/>
      <c r="S175" s="351"/>
      <c r="T175" s="351"/>
    </row>
    <row r="176" spans="1:20" ht="20.25" customHeight="1">
      <c r="A176" s="351"/>
      <c r="B176" s="374" t="s">
        <v>911</v>
      </c>
      <c r="C176" s="351"/>
      <c r="D176" s="351"/>
      <c r="E176" s="351"/>
      <c r="F176" s="351"/>
      <c r="G176" s="351"/>
      <c r="H176" s="351"/>
      <c r="I176" s="351"/>
      <c r="J176" s="351"/>
      <c r="K176" s="351"/>
      <c r="L176" s="351"/>
      <c r="M176" s="351"/>
      <c r="N176" s="351"/>
      <c r="O176" s="351"/>
      <c r="P176" s="351"/>
      <c r="Q176" s="351"/>
      <c r="R176" s="351"/>
      <c r="S176" s="351"/>
      <c r="T176" s="351"/>
    </row>
    <row r="177" spans="1:21" s="349" customFormat="1" ht="19.5" customHeight="1">
      <c r="A177" s="358"/>
      <c r="B177" s="1969" t="s">
        <v>904</v>
      </c>
      <c r="C177" s="1966" t="s">
        <v>19</v>
      </c>
      <c r="D177" s="1967"/>
      <c r="E177" s="1968"/>
      <c r="F177" s="1966" t="s">
        <v>20</v>
      </c>
      <c r="G177" s="1967"/>
      <c r="H177" s="1968"/>
      <c r="I177" s="1966" t="s">
        <v>21</v>
      </c>
      <c r="J177" s="1967"/>
      <c r="K177" s="1968"/>
      <c r="L177" s="1966" t="s">
        <v>22</v>
      </c>
      <c r="M177" s="1967"/>
      <c r="N177" s="1968"/>
      <c r="O177" s="1966" t="s">
        <v>23</v>
      </c>
      <c r="P177" s="1967"/>
      <c r="Q177" s="1968"/>
      <c r="R177" s="1966" t="s">
        <v>24</v>
      </c>
      <c r="S177" s="1967"/>
      <c r="T177" s="1968"/>
    </row>
    <row r="178" spans="1:21" s="349" customFormat="1" ht="30.75" customHeight="1">
      <c r="A178" s="358"/>
      <c r="B178" s="1970"/>
      <c r="C178" s="375" t="s">
        <v>905</v>
      </c>
      <c r="D178" s="360" t="s">
        <v>808</v>
      </c>
      <c r="E178" s="361" t="s">
        <v>885</v>
      </c>
      <c r="F178" s="375" t="s">
        <v>905</v>
      </c>
      <c r="G178" s="360" t="s">
        <v>808</v>
      </c>
      <c r="H178" s="361" t="s">
        <v>885</v>
      </c>
      <c r="I178" s="375" t="s">
        <v>905</v>
      </c>
      <c r="J178" s="360" t="s">
        <v>808</v>
      </c>
      <c r="K178" s="361" t="s">
        <v>885</v>
      </c>
      <c r="L178" s="375" t="s">
        <v>905</v>
      </c>
      <c r="M178" s="360" t="s">
        <v>808</v>
      </c>
      <c r="N178" s="361" t="s">
        <v>885</v>
      </c>
      <c r="O178" s="375" t="s">
        <v>905</v>
      </c>
      <c r="P178" s="360" t="s">
        <v>808</v>
      </c>
      <c r="Q178" s="361" t="s">
        <v>885</v>
      </c>
      <c r="R178" s="375" t="s">
        <v>905</v>
      </c>
      <c r="S178" s="360" t="s">
        <v>808</v>
      </c>
      <c r="T178" s="361" t="s">
        <v>885</v>
      </c>
    </row>
    <row r="179" spans="1:21" ht="15" customHeight="1">
      <c r="A179" s="351"/>
      <c r="B179" s="362" t="s">
        <v>908</v>
      </c>
      <c r="C179" s="363">
        <f t="shared" ref="C179:C190" si="188">IFERROR(E179/D179*10000,0)</f>
        <v>4049.1408542126446</v>
      </c>
      <c r="D179" s="364">
        <f>SUM(D180:D191)</f>
        <v>77030</v>
      </c>
      <c r="E179" s="365">
        <f>SUM(E180:E191)</f>
        <v>31190.531999999999</v>
      </c>
      <c r="F179" s="363">
        <f t="shared" ref="F179:F190" si="189">IFERROR(H179/G179*10000,0)</f>
        <v>0</v>
      </c>
      <c r="G179" s="364">
        <f t="shared" ref="G179:H179" si="190">SUM(G180:G191)</f>
        <v>0</v>
      </c>
      <c r="H179" s="365">
        <f t="shared" si="190"/>
        <v>0</v>
      </c>
      <c r="I179" s="363">
        <f t="shared" ref="I179:I190" si="191">IFERROR(K179/J179*10000,0)</f>
        <v>0</v>
      </c>
      <c r="J179" s="364">
        <f t="shared" ref="J179" si="192">SUM(J180:J191)</f>
        <v>0</v>
      </c>
      <c r="K179" s="365">
        <f t="shared" ref="K179" si="193">SUM(K180:K191)</f>
        <v>0</v>
      </c>
      <c r="L179" s="363">
        <f t="shared" ref="L179:L190" si="194">IFERROR(N179/M179*10000,0)</f>
        <v>0</v>
      </c>
      <c r="M179" s="364">
        <f t="shared" ref="M179" si="195">SUM(M180:M191)</f>
        <v>0</v>
      </c>
      <c r="N179" s="365">
        <f t="shared" ref="N179" si="196">SUM(N180:N191)</f>
        <v>0</v>
      </c>
      <c r="O179" s="363">
        <f t="shared" ref="O179:O190" si="197">IFERROR(Q179/P179*10000,0)</f>
        <v>0</v>
      </c>
      <c r="P179" s="364">
        <f t="shared" ref="P179:Q179" si="198">SUM(P180:P191)</f>
        <v>0</v>
      </c>
      <c r="Q179" s="407">
        <f t="shared" si="198"/>
        <v>0</v>
      </c>
      <c r="R179" s="408">
        <f t="shared" ref="R179:R190" si="199">IFERROR(T179/S179*10000,0)</f>
        <v>0</v>
      </c>
      <c r="S179" s="409">
        <f>SUM(S180:S189)</f>
        <v>0</v>
      </c>
      <c r="T179" s="410">
        <f>SUM(T180:T191)</f>
        <v>0</v>
      </c>
      <c r="U179" s="373">
        <f>T179+Q179+N179+K179+H179+E179-U5</f>
        <v>0</v>
      </c>
    </row>
    <row r="180" spans="1:21" ht="14.25" customHeight="1" outlineLevel="1">
      <c r="A180" s="351"/>
      <c r="B180" s="377" t="str">
        <f>'8.项目规划指标表'!$B$5</f>
        <v>高层</v>
      </c>
      <c r="C180" s="378">
        <f t="shared" si="188"/>
        <v>4850.1472711584711</v>
      </c>
      <c r="D180" s="379">
        <f>IF($B180=$B$133,0,'8.项目规划指标表'!$H$5)</f>
        <v>56100</v>
      </c>
      <c r="E180" s="380">
        <f>IF(OR($B180="回迁商业",$B180="回迁房",$B180="无产权公共配套",$B180="回迁写字楼"),0,E142+E6+E165)</f>
        <v>27209.326191199023</v>
      </c>
      <c r="F180" s="378">
        <f t="shared" si="189"/>
        <v>0</v>
      </c>
      <c r="G180" s="379">
        <f t="shared" ref="G180:G189" si="200">G6</f>
        <v>0</v>
      </c>
      <c r="H180" s="380">
        <f>IF(OR($B180="回迁商业",$B180="回迁房",$B180="无产权公共配套",$B180="回迁写字楼"),0,H142+H6+H165)</f>
        <v>0</v>
      </c>
      <c r="I180" s="382">
        <f t="shared" si="191"/>
        <v>0</v>
      </c>
      <c r="J180" s="379">
        <f t="shared" ref="J180:J189" si="201">J6</f>
        <v>0</v>
      </c>
      <c r="K180" s="380">
        <f>IF(OR($B180="回迁商业",$B180="回迁房",$B180="无产权公共配套",$B180="回迁写字楼"),0,K142+K6+K165)</f>
        <v>0</v>
      </c>
      <c r="L180" s="382">
        <f t="shared" si="194"/>
        <v>0</v>
      </c>
      <c r="M180" s="379">
        <f t="shared" ref="M180:M189" si="202">M6</f>
        <v>0</v>
      </c>
      <c r="N180" s="380">
        <f>IF(OR($B180="回迁商业",$B180="回迁房",$B180="无产权公共配套",$B180="回迁写字楼"),0,N142+N6+N165)</f>
        <v>0</v>
      </c>
      <c r="O180" s="382">
        <f t="shared" si="197"/>
        <v>0</v>
      </c>
      <c r="P180" s="379">
        <f t="shared" ref="P180:P189" si="203">P6</f>
        <v>0</v>
      </c>
      <c r="Q180" s="380">
        <f>IF(OR($B180="回迁商业",$B180="回迁房",$B180="无产权公共配套",$B180="回迁写字楼"),0,Q142+Q6+Q165)</f>
        <v>0</v>
      </c>
      <c r="R180" s="382">
        <f t="shared" si="199"/>
        <v>0</v>
      </c>
      <c r="S180" s="379">
        <f t="shared" ref="S180:S189" si="204">S6</f>
        <v>0</v>
      </c>
      <c r="T180" s="380">
        <f>IF(OR($B180="回迁商业",$B180="回迁房",$B180="无产权公共配套",$B180="回迁写字楼"),0,T142+T6+T165)</f>
        <v>0</v>
      </c>
    </row>
    <row r="181" spans="1:21" ht="14.25" customHeight="1" outlineLevel="1">
      <c r="A181" s="351"/>
      <c r="B181" s="381" t="str">
        <f>'8.项目规划指标表'!$B$6</f>
        <v>商铺</v>
      </c>
      <c r="C181" s="382">
        <f t="shared" si="188"/>
        <v>5805.2093648378504</v>
      </c>
      <c r="D181" s="383">
        <f>IF($B181=$B$133,0,'8.项目规划指标表'!$H$6)</f>
        <v>3640</v>
      </c>
      <c r="E181" s="384">
        <f>IF(OR($B181="回迁商业",$B181="回迁房",$B181="无产权公共配套",$B181="回迁写字楼"),0,E143+E7+E166)</f>
        <v>2113.0962088009774</v>
      </c>
      <c r="F181" s="382">
        <f t="shared" si="189"/>
        <v>0</v>
      </c>
      <c r="G181" s="383">
        <f t="shared" si="200"/>
        <v>0</v>
      </c>
      <c r="H181" s="384">
        <f t="shared" ref="H181:H189" si="205">IF(OR($B181="回迁商业",$B181="回迁房",$B181="无产权公共配套",$B181="回迁写字楼"),0,H143+H7+H166)</f>
        <v>0</v>
      </c>
      <c r="I181" s="382">
        <f t="shared" si="191"/>
        <v>0</v>
      </c>
      <c r="J181" s="383">
        <f t="shared" si="201"/>
        <v>0</v>
      </c>
      <c r="K181" s="384">
        <f t="shared" ref="K181:K189" si="206">IF(OR($B181="回迁商业",$B181="回迁房",$B181="无产权公共配套",$B181="回迁写字楼"),0,K143+K7+K166)</f>
        <v>0</v>
      </c>
      <c r="L181" s="382">
        <f t="shared" si="194"/>
        <v>0</v>
      </c>
      <c r="M181" s="383">
        <f t="shared" si="202"/>
        <v>0</v>
      </c>
      <c r="N181" s="384">
        <f t="shared" ref="N181:N189" si="207">IF(OR($B181="回迁商业",$B181="回迁房",$B181="无产权公共配套",$B181="回迁写字楼"),0,N143+N7+N166)</f>
        <v>0</v>
      </c>
      <c r="O181" s="382">
        <f t="shared" si="197"/>
        <v>0</v>
      </c>
      <c r="P181" s="383">
        <f t="shared" si="203"/>
        <v>0</v>
      </c>
      <c r="Q181" s="384">
        <f t="shared" ref="Q181:Q189" si="208">IF(OR($B181="回迁商业",$B181="回迁房",$B181="无产权公共配套",$B181="回迁写字楼"),0,Q143+Q7+Q166)</f>
        <v>0</v>
      </c>
      <c r="R181" s="382">
        <f t="shared" si="199"/>
        <v>0</v>
      </c>
      <c r="S181" s="383">
        <f t="shared" si="204"/>
        <v>0</v>
      </c>
      <c r="T181" s="384">
        <f t="shared" ref="T181:T189" si="209">IF(OR($B181="回迁商业",$B181="回迁房",$B181="无产权公共配套",$B181="回迁写字楼"),0,T143+T7+T166)</f>
        <v>0</v>
      </c>
    </row>
    <row r="182" spans="1:21" ht="14.25" customHeight="1" outlineLevel="1">
      <c r="A182" s="351"/>
      <c r="B182" s="381" t="str">
        <f>'8.项目规划指标表'!$B$7</f>
        <v>回迁商业</v>
      </c>
      <c r="C182" s="382">
        <f t="shared" si="188"/>
        <v>0</v>
      </c>
      <c r="D182" s="383">
        <f>IF($B182=$B$133,0,'8.项目规划指标表'!$H$7)</f>
        <v>4208</v>
      </c>
      <c r="E182" s="384">
        <f t="shared" ref="E182:E189" si="210">IF(OR($B182="回迁商业",$B182="回迁房",$B182="无产权公共配套",$B182="回迁写字楼"),0,E144+E8+E167)</f>
        <v>0</v>
      </c>
      <c r="F182" s="382">
        <f t="shared" si="189"/>
        <v>0</v>
      </c>
      <c r="G182" s="383">
        <f t="shared" si="200"/>
        <v>0</v>
      </c>
      <c r="H182" s="384">
        <f t="shared" si="205"/>
        <v>0</v>
      </c>
      <c r="I182" s="382">
        <f t="shared" si="191"/>
        <v>0</v>
      </c>
      <c r="J182" s="383">
        <f t="shared" si="201"/>
        <v>0</v>
      </c>
      <c r="K182" s="384">
        <f t="shared" si="206"/>
        <v>0</v>
      </c>
      <c r="L182" s="382">
        <f t="shared" si="194"/>
        <v>0</v>
      </c>
      <c r="M182" s="383">
        <f t="shared" si="202"/>
        <v>0</v>
      </c>
      <c r="N182" s="384">
        <f t="shared" si="207"/>
        <v>0</v>
      </c>
      <c r="O182" s="382">
        <f t="shared" si="197"/>
        <v>0</v>
      </c>
      <c r="P182" s="383">
        <f t="shared" si="203"/>
        <v>0</v>
      </c>
      <c r="Q182" s="384">
        <f t="shared" si="208"/>
        <v>0</v>
      </c>
      <c r="R182" s="382">
        <f t="shared" si="199"/>
        <v>0</v>
      </c>
      <c r="S182" s="383">
        <f t="shared" si="204"/>
        <v>0</v>
      </c>
      <c r="T182" s="384">
        <f t="shared" si="209"/>
        <v>0</v>
      </c>
    </row>
    <row r="183" spans="1:21" ht="14.25" customHeight="1" outlineLevel="1">
      <c r="A183" s="351"/>
      <c r="B183" s="381">
        <f>'8.项目规划指标表'!$B$8</f>
        <v>0</v>
      </c>
      <c r="C183" s="382">
        <f t="shared" si="188"/>
        <v>0</v>
      </c>
      <c r="D183" s="383">
        <f>IF($B183=$B$133,0,'8.项目规划指标表'!$H$8)</f>
        <v>0</v>
      </c>
      <c r="E183" s="384">
        <f t="shared" si="210"/>
        <v>0</v>
      </c>
      <c r="F183" s="382">
        <f t="shared" si="189"/>
        <v>0</v>
      </c>
      <c r="G183" s="383">
        <f t="shared" si="200"/>
        <v>0</v>
      </c>
      <c r="H183" s="384">
        <f t="shared" si="205"/>
        <v>0</v>
      </c>
      <c r="I183" s="382">
        <f t="shared" si="191"/>
        <v>0</v>
      </c>
      <c r="J183" s="383">
        <f t="shared" si="201"/>
        <v>0</v>
      </c>
      <c r="K183" s="384">
        <f t="shared" si="206"/>
        <v>0</v>
      </c>
      <c r="L183" s="382">
        <f t="shared" si="194"/>
        <v>0</v>
      </c>
      <c r="M183" s="383">
        <f t="shared" si="202"/>
        <v>0</v>
      </c>
      <c r="N183" s="384">
        <f t="shared" si="207"/>
        <v>0</v>
      </c>
      <c r="O183" s="382">
        <f t="shared" si="197"/>
        <v>0</v>
      </c>
      <c r="P183" s="383">
        <f t="shared" si="203"/>
        <v>0</v>
      </c>
      <c r="Q183" s="384">
        <f t="shared" si="208"/>
        <v>0</v>
      </c>
      <c r="R183" s="382">
        <f t="shared" si="199"/>
        <v>0</v>
      </c>
      <c r="S183" s="383">
        <f t="shared" si="204"/>
        <v>0</v>
      </c>
      <c r="T183" s="384">
        <f t="shared" si="209"/>
        <v>0</v>
      </c>
    </row>
    <row r="184" spans="1:21" ht="14.25" customHeight="1" outlineLevel="1">
      <c r="A184" s="351"/>
      <c r="B184" s="381">
        <f>'8.项目规划指标表'!$B$9</f>
        <v>0</v>
      </c>
      <c r="C184" s="382">
        <f t="shared" si="188"/>
        <v>0</v>
      </c>
      <c r="D184" s="383">
        <f>IF($B184=$B$133,0,'8.项目规划指标表'!$H$9)</f>
        <v>0</v>
      </c>
      <c r="E184" s="384">
        <f t="shared" si="210"/>
        <v>0</v>
      </c>
      <c r="F184" s="382">
        <f t="shared" si="189"/>
        <v>0</v>
      </c>
      <c r="G184" s="383">
        <f t="shared" si="200"/>
        <v>0</v>
      </c>
      <c r="H184" s="384">
        <f t="shared" si="205"/>
        <v>0</v>
      </c>
      <c r="I184" s="382">
        <f t="shared" si="191"/>
        <v>0</v>
      </c>
      <c r="J184" s="383">
        <f t="shared" si="201"/>
        <v>0</v>
      </c>
      <c r="K184" s="384">
        <f t="shared" si="206"/>
        <v>0</v>
      </c>
      <c r="L184" s="382">
        <f t="shared" si="194"/>
        <v>0</v>
      </c>
      <c r="M184" s="383">
        <f t="shared" si="202"/>
        <v>0</v>
      </c>
      <c r="N184" s="384">
        <f t="shared" si="207"/>
        <v>0</v>
      </c>
      <c r="O184" s="382">
        <f t="shared" si="197"/>
        <v>0</v>
      </c>
      <c r="P184" s="383">
        <f t="shared" si="203"/>
        <v>0</v>
      </c>
      <c r="Q184" s="384">
        <f t="shared" si="208"/>
        <v>0</v>
      </c>
      <c r="R184" s="382">
        <f t="shared" si="199"/>
        <v>0</v>
      </c>
      <c r="S184" s="383">
        <f t="shared" si="204"/>
        <v>0</v>
      </c>
      <c r="T184" s="384">
        <f t="shared" si="209"/>
        <v>0</v>
      </c>
    </row>
    <row r="185" spans="1:21" ht="14.25" customHeight="1" outlineLevel="1">
      <c r="A185" s="351"/>
      <c r="B185" s="381">
        <f>'8.项目规划指标表'!$B$10</f>
        <v>0</v>
      </c>
      <c r="C185" s="382">
        <f t="shared" si="188"/>
        <v>0</v>
      </c>
      <c r="D185" s="383">
        <f>IF($B185=$B$133,0,'8.项目规划指标表'!$H$10)</f>
        <v>0</v>
      </c>
      <c r="E185" s="384">
        <f t="shared" si="210"/>
        <v>0</v>
      </c>
      <c r="F185" s="382">
        <f t="shared" si="189"/>
        <v>0</v>
      </c>
      <c r="G185" s="383">
        <f t="shared" si="200"/>
        <v>0</v>
      </c>
      <c r="H185" s="384">
        <f t="shared" si="205"/>
        <v>0</v>
      </c>
      <c r="I185" s="382">
        <f t="shared" si="191"/>
        <v>0</v>
      </c>
      <c r="J185" s="383">
        <f t="shared" si="201"/>
        <v>0</v>
      </c>
      <c r="K185" s="384">
        <f t="shared" si="206"/>
        <v>0</v>
      </c>
      <c r="L185" s="382">
        <f t="shared" si="194"/>
        <v>0</v>
      </c>
      <c r="M185" s="383">
        <f t="shared" si="202"/>
        <v>0</v>
      </c>
      <c r="N185" s="384">
        <f t="shared" si="207"/>
        <v>0</v>
      </c>
      <c r="O185" s="382">
        <f t="shared" si="197"/>
        <v>0</v>
      </c>
      <c r="P185" s="383">
        <f t="shared" si="203"/>
        <v>0</v>
      </c>
      <c r="Q185" s="384">
        <f t="shared" si="208"/>
        <v>0</v>
      </c>
      <c r="R185" s="382">
        <f t="shared" si="199"/>
        <v>0</v>
      </c>
      <c r="S185" s="383">
        <f t="shared" si="204"/>
        <v>0</v>
      </c>
      <c r="T185" s="384">
        <f t="shared" si="209"/>
        <v>0</v>
      </c>
    </row>
    <row r="186" spans="1:21" ht="14.25" customHeight="1" outlineLevel="1">
      <c r="A186" s="351"/>
      <c r="B186" s="381">
        <f>'8.项目规划指标表'!$B$11</f>
        <v>0</v>
      </c>
      <c r="C186" s="382">
        <f t="shared" si="188"/>
        <v>0</v>
      </c>
      <c r="D186" s="383">
        <f>IF($B186=$B$133,0,'8.项目规划指标表'!$H$11)</f>
        <v>0</v>
      </c>
      <c r="E186" s="384">
        <f t="shared" si="210"/>
        <v>0</v>
      </c>
      <c r="F186" s="382">
        <f t="shared" si="189"/>
        <v>0</v>
      </c>
      <c r="G186" s="383">
        <f t="shared" si="200"/>
        <v>0</v>
      </c>
      <c r="H186" s="384">
        <f t="shared" si="205"/>
        <v>0</v>
      </c>
      <c r="I186" s="382">
        <f t="shared" si="191"/>
        <v>0</v>
      </c>
      <c r="J186" s="383">
        <f t="shared" si="201"/>
        <v>0</v>
      </c>
      <c r="K186" s="384">
        <f t="shared" si="206"/>
        <v>0</v>
      </c>
      <c r="L186" s="382">
        <f t="shared" si="194"/>
        <v>0</v>
      </c>
      <c r="M186" s="383">
        <f t="shared" si="202"/>
        <v>0</v>
      </c>
      <c r="N186" s="384">
        <f t="shared" si="207"/>
        <v>0</v>
      </c>
      <c r="O186" s="382">
        <f t="shared" si="197"/>
        <v>0</v>
      </c>
      <c r="P186" s="383">
        <f t="shared" si="203"/>
        <v>0</v>
      </c>
      <c r="Q186" s="384">
        <f t="shared" si="208"/>
        <v>0</v>
      </c>
      <c r="R186" s="382">
        <f t="shared" si="199"/>
        <v>0</v>
      </c>
      <c r="S186" s="383">
        <f t="shared" si="204"/>
        <v>0</v>
      </c>
      <c r="T186" s="384">
        <f t="shared" si="209"/>
        <v>0</v>
      </c>
    </row>
    <row r="187" spans="1:21" ht="14.25" customHeight="1" outlineLevel="1">
      <c r="A187" s="351"/>
      <c r="B187" s="381">
        <f>'8.项目规划指标表'!$B$12</f>
        <v>0</v>
      </c>
      <c r="C187" s="382">
        <f t="shared" si="188"/>
        <v>0</v>
      </c>
      <c r="D187" s="383">
        <f>IF($B187=$B$133,0,'8.项目规划指标表'!$H$12)</f>
        <v>0</v>
      </c>
      <c r="E187" s="384">
        <f t="shared" si="210"/>
        <v>0</v>
      </c>
      <c r="F187" s="382">
        <f t="shared" si="189"/>
        <v>0</v>
      </c>
      <c r="G187" s="383">
        <f t="shared" si="200"/>
        <v>0</v>
      </c>
      <c r="H187" s="384">
        <f t="shared" si="205"/>
        <v>0</v>
      </c>
      <c r="I187" s="382">
        <f t="shared" si="191"/>
        <v>0</v>
      </c>
      <c r="J187" s="383">
        <f t="shared" si="201"/>
        <v>0</v>
      </c>
      <c r="K187" s="384">
        <f t="shared" si="206"/>
        <v>0</v>
      </c>
      <c r="L187" s="382">
        <f t="shared" si="194"/>
        <v>0</v>
      </c>
      <c r="M187" s="383">
        <f t="shared" si="202"/>
        <v>0</v>
      </c>
      <c r="N187" s="384">
        <f t="shared" si="207"/>
        <v>0</v>
      </c>
      <c r="O187" s="382">
        <f t="shared" si="197"/>
        <v>0</v>
      </c>
      <c r="P187" s="383">
        <f t="shared" si="203"/>
        <v>0</v>
      </c>
      <c r="Q187" s="384">
        <f t="shared" si="208"/>
        <v>0</v>
      </c>
      <c r="R187" s="382">
        <f t="shared" si="199"/>
        <v>0</v>
      </c>
      <c r="S187" s="383">
        <f t="shared" si="204"/>
        <v>0</v>
      </c>
      <c r="T187" s="384">
        <f t="shared" si="209"/>
        <v>0</v>
      </c>
    </row>
    <row r="188" spans="1:21" ht="14.25" customHeight="1" outlineLevel="1">
      <c r="A188" s="351"/>
      <c r="B188" s="381">
        <f>'8.项目规划指标表'!$B$13</f>
        <v>0</v>
      </c>
      <c r="C188" s="382">
        <f t="shared" si="188"/>
        <v>0</v>
      </c>
      <c r="D188" s="383">
        <f>IF($B188=$B$133,0,'8.项目规划指标表'!$H$13)</f>
        <v>0</v>
      </c>
      <c r="E188" s="384">
        <f t="shared" si="210"/>
        <v>0</v>
      </c>
      <c r="F188" s="382">
        <f t="shared" si="189"/>
        <v>0</v>
      </c>
      <c r="G188" s="383">
        <f t="shared" si="200"/>
        <v>0</v>
      </c>
      <c r="H188" s="384">
        <f t="shared" si="205"/>
        <v>0</v>
      </c>
      <c r="I188" s="382">
        <f t="shared" si="191"/>
        <v>0</v>
      </c>
      <c r="J188" s="383">
        <f t="shared" si="201"/>
        <v>0</v>
      </c>
      <c r="K188" s="384">
        <f t="shared" si="206"/>
        <v>0</v>
      </c>
      <c r="L188" s="382">
        <f t="shared" si="194"/>
        <v>0</v>
      </c>
      <c r="M188" s="383">
        <f t="shared" si="202"/>
        <v>0</v>
      </c>
      <c r="N188" s="384">
        <f t="shared" si="207"/>
        <v>0</v>
      </c>
      <c r="O188" s="382">
        <f t="shared" si="197"/>
        <v>0</v>
      </c>
      <c r="P188" s="383">
        <f t="shared" si="203"/>
        <v>0</v>
      </c>
      <c r="Q188" s="384">
        <f t="shared" si="208"/>
        <v>0</v>
      </c>
      <c r="R188" s="382">
        <f t="shared" si="199"/>
        <v>0</v>
      </c>
      <c r="S188" s="383">
        <f t="shared" si="204"/>
        <v>0</v>
      </c>
      <c r="T188" s="384">
        <f t="shared" si="209"/>
        <v>0</v>
      </c>
    </row>
    <row r="189" spans="1:21" ht="14.25" customHeight="1" outlineLevel="1">
      <c r="A189" s="351"/>
      <c r="B189" s="381" t="str">
        <f>'8.项目规划指标表'!$B$14</f>
        <v>自持物业</v>
      </c>
      <c r="C189" s="382">
        <f t="shared" si="188"/>
        <v>0</v>
      </c>
      <c r="D189" s="383">
        <f>IF($B189=$B$133,0,'8.项目规划指标表'!$H$14)</f>
        <v>0</v>
      </c>
      <c r="E189" s="384">
        <f t="shared" si="210"/>
        <v>0</v>
      </c>
      <c r="F189" s="405">
        <f t="shared" si="189"/>
        <v>0</v>
      </c>
      <c r="G189" s="406">
        <f t="shared" si="200"/>
        <v>0</v>
      </c>
      <c r="H189" s="384">
        <f t="shared" si="205"/>
        <v>0</v>
      </c>
      <c r="I189" s="405">
        <f t="shared" si="191"/>
        <v>0</v>
      </c>
      <c r="J189" s="406">
        <f t="shared" si="201"/>
        <v>0</v>
      </c>
      <c r="K189" s="384">
        <f t="shared" si="206"/>
        <v>0</v>
      </c>
      <c r="L189" s="405">
        <f t="shared" si="194"/>
        <v>0</v>
      </c>
      <c r="M189" s="406">
        <f t="shared" si="202"/>
        <v>0</v>
      </c>
      <c r="N189" s="384">
        <f t="shared" si="207"/>
        <v>0</v>
      </c>
      <c r="O189" s="405">
        <f t="shared" si="197"/>
        <v>0</v>
      </c>
      <c r="P189" s="406">
        <f t="shared" si="203"/>
        <v>0</v>
      </c>
      <c r="Q189" s="384">
        <f t="shared" si="208"/>
        <v>0</v>
      </c>
      <c r="R189" s="405">
        <f t="shared" si="199"/>
        <v>0</v>
      </c>
      <c r="S189" s="406">
        <f t="shared" si="204"/>
        <v>0</v>
      </c>
      <c r="T189" s="384">
        <f t="shared" si="209"/>
        <v>0</v>
      </c>
    </row>
    <row r="190" spans="1:21" ht="14.25" customHeight="1" outlineLevel="1">
      <c r="A190" s="351"/>
      <c r="B190" s="381" t="str">
        <f>'8.项目规划指标表'!$B$18</f>
        <v>有产权车库(个)</v>
      </c>
      <c r="C190" s="382">
        <f t="shared" si="188"/>
        <v>1428</v>
      </c>
      <c r="D190" s="383">
        <f>'8.项目规划指标表'!$G$18</f>
        <v>13082</v>
      </c>
      <c r="E190" s="384">
        <f>E17</f>
        <v>1868.1096</v>
      </c>
      <c r="F190" s="382">
        <f t="shared" si="189"/>
        <v>0</v>
      </c>
      <c r="G190" s="383">
        <f t="shared" ref="G190:K190" si="211">G17</f>
        <v>0</v>
      </c>
      <c r="H190" s="384">
        <f t="shared" si="211"/>
        <v>0</v>
      </c>
      <c r="I190" s="382">
        <f t="shared" si="191"/>
        <v>0</v>
      </c>
      <c r="J190" s="383">
        <f t="shared" si="211"/>
        <v>0</v>
      </c>
      <c r="K190" s="384">
        <f t="shared" si="211"/>
        <v>0</v>
      </c>
      <c r="L190" s="382">
        <f t="shared" si="194"/>
        <v>0</v>
      </c>
      <c r="M190" s="383">
        <f>M17</f>
        <v>0</v>
      </c>
      <c r="N190" s="384">
        <f>N17</f>
        <v>0</v>
      </c>
      <c r="O190" s="382">
        <f t="shared" si="197"/>
        <v>0</v>
      </c>
      <c r="P190" s="383">
        <f>P17</f>
        <v>0</v>
      </c>
      <c r="Q190" s="384">
        <f>Q17</f>
        <v>0</v>
      </c>
      <c r="R190" s="382">
        <f t="shared" si="199"/>
        <v>0</v>
      </c>
      <c r="S190" s="383">
        <f>S17</f>
        <v>0</v>
      </c>
      <c r="T190" s="384">
        <f>T17</f>
        <v>0</v>
      </c>
    </row>
    <row r="191" spans="1:21" ht="14.25" customHeight="1" outlineLevel="1">
      <c r="A191" s="351"/>
      <c r="B191" s="385" t="str">
        <f>'8.项目规划指标表'!$B$19</f>
        <v>无产权车库(个)</v>
      </c>
      <c r="C191" s="386"/>
      <c r="D191" s="387"/>
      <c r="E191" s="388"/>
      <c r="F191" s="386"/>
      <c r="G191" s="387"/>
      <c r="H191" s="388"/>
      <c r="I191" s="386"/>
      <c r="J191" s="387"/>
      <c r="K191" s="388"/>
      <c r="L191" s="386"/>
      <c r="M191" s="387"/>
      <c r="N191" s="388"/>
      <c r="O191" s="386"/>
      <c r="P191" s="387"/>
      <c r="Q191" s="388"/>
      <c r="R191" s="386"/>
      <c r="S191" s="387"/>
      <c r="T191" s="388"/>
    </row>
    <row r="192" spans="1:21" ht="12.75" customHeight="1">
      <c r="A192" s="351"/>
      <c r="B192" s="351"/>
      <c r="C192" s="351"/>
      <c r="D192" s="351"/>
      <c r="E192" s="351"/>
      <c r="F192" s="351"/>
      <c r="G192" s="351"/>
      <c r="H192" s="351"/>
      <c r="I192" s="351"/>
      <c r="J192" s="351"/>
      <c r="K192" s="351"/>
      <c r="L192" s="351"/>
      <c r="M192" s="351"/>
      <c r="N192" s="351"/>
      <c r="O192" s="351"/>
      <c r="P192" s="351"/>
      <c r="Q192" s="351"/>
      <c r="R192" s="351"/>
      <c r="S192" s="351"/>
      <c r="T192" s="351"/>
    </row>
    <row r="193" spans="1:21" ht="15" customHeight="1">
      <c r="A193" s="351"/>
      <c r="B193" s="374" t="s">
        <v>912</v>
      </c>
      <c r="C193" s="351"/>
      <c r="D193" s="351"/>
      <c r="E193" s="351"/>
      <c r="F193" s="351"/>
      <c r="G193" s="351"/>
      <c r="H193" s="351"/>
      <c r="I193" s="351"/>
      <c r="J193" s="351"/>
      <c r="K193" s="351"/>
      <c r="L193" s="351"/>
      <c r="M193" s="351"/>
      <c r="N193" s="351"/>
      <c r="O193" s="351"/>
      <c r="P193" s="351"/>
      <c r="Q193" s="351"/>
      <c r="R193" s="351"/>
      <c r="S193" s="351"/>
      <c r="T193" s="351"/>
    </row>
    <row r="194" spans="1:21" ht="20.25" customHeight="1">
      <c r="A194" s="351"/>
      <c r="B194" s="1969" t="s">
        <v>904</v>
      </c>
      <c r="C194" s="1963" t="s">
        <v>19</v>
      </c>
      <c r="D194" s="1964"/>
      <c r="E194" s="1965"/>
      <c r="F194" s="1963" t="s">
        <v>20</v>
      </c>
      <c r="G194" s="1964"/>
      <c r="H194" s="1965"/>
      <c r="I194" s="1963" t="s">
        <v>21</v>
      </c>
      <c r="J194" s="1964"/>
      <c r="K194" s="1965"/>
      <c r="L194" s="1963" t="s">
        <v>22</v>
      </c>
      <c r="M194" s="1964"/>
      <c r="N194" s="1965"/>
      <c r="O194" s="1963" t="s">
        <v>23</v>
      </c>
      <c r="P194" s="1964"/>
      <c r="Q194" s="1965"/>
      <c r="R194" s="1963" t="s">
        <v>24</v>
      </c>
      <c r="S194" s="1964"/>
      <c r="T194" s="1965"/>
    </row>
    <row r="195" spans="1:21" ht="29.25" customHeight="1">
      <c r="A195" s="351"/>
      <c r="B195" s="1970"/>
      <c r="C195" s="361" t="s">
        <v>905</v>
      </c>
      <c r="D195" s="360" t="s">
        <v>808</v>
      </c>
      <c r="E195" s="361" t="s">
        <v>885</v>
      </c>
      <c r="F195" s="361" t="s">
        <v>905</v>
      </c>
      <c r="G195" s="360" t="s">
        <v>808</v>
      </c>
      <c r="H195" s="361" t="s">
        <v>885</v>
      </c>
      <c r="I195" s="361" t="s">
        <v>905</v>
      </c>
      <c r="J195" s="360" t="s">
        <v>808</v>
      </c>
      <c r="K195" s="361" t="s">
        <v>885</v>
      </c>
      <c r="L195" s="361" t="s">
        <v>905</v>
      </c>
      <c r="M195" s="360" t="s">
        <v>808</v>
      </c>
      <c r="N195" s="361" t="s">
        <v>885</v>
      </c>
      <c r="O195" s="361" t="s">
        <v>905</v>
      </c>
      <c r="P195" s="360" t="s">
        <v>808</v>
      </c>
      <c r="Q195" s="361" t="s">
        <v>885</v>
      </c>
      <c r="R195" s="361" t="s">
        <v>905</v>
      </c>
      <c r="S195" s="360" t="s">
        <v>808</v>
      </c>
      <c r="T195" s="361" t="s">
        <v>885</v>
      </c>
    </row>
    <row r="196" spans="1:21" ht="15" customHeight="1">
      <c r="A196" s="351"/>
      <c r="B196" s="362" t="s">
        <v>913</v>
      </c>
      <c r="C196" s="363">
        <f t="shared" ref="C196:C208" si="212">IFERROR(E196/D196*10000,0)</f>
        <v>369.11318746003798</v>
      </c>
      <c r="D196" s="364">
        <f t="shared" ref="D196:H196" si="213">SUM(D197:D208)</f>
        <v>77030</v>
      </c>
      <c r="E196" s="365">
        <f t="shared" si="213"/>
        <v>2843.2788830046725</v>
      </c>
      <c r="F196" s="363">
        <f t="shared" ref="F196:F208" si="214">IFERROR(H196/G196*10000,0)</f>
        <v>0</v>
      </c>
      <c r="G196" s="364">
        <f t="shared" si="213"/>
        <v>0</v>
      </c>
      <c r="H196" s="365">
        <f t="shared" si="213"/>
        <v>0</v>
      </c>
      <c r="I196" s="363">
        <f t="shared" ref="I196:I208" si="215">IFERROR(K196/J196*10000,0)</f>
        <v>0</v>
      </c>
      <c r="J196" s="364">
        <f t="shared" ref="J196:N196" si="216">SUM(J197:J208)</f>
        <v>0</v>
      </c>
      <c r="K196" s="365">
        <f t="shared" si="216"/>
        <v>0</v>
      </c>
      <c r="L196" s="363">
        <f t="shared" ref="L196:L208" si="217">IFERROR(N196/M196*10000,0)</f>
        <v>0</v>
      </c>
      <c r="M196" s="364">
        <f t="shared" si="216"/>
        <v>0</v>
      </c>
      <c r="N196" s="365">
        <f t="shared" si="216"/>
        <v>0</v>
      </c>
      <c r="O196" s="363">
        <f t="shared" ref="O196:O208" si="218">IFERROR(Q196/P196*10000,0)</f>
        <v>0</v>
      </c>
      <c r="P196" s="364">
        <f t="shared" ref="P196:T196" si="219">SUM(P197:P208)</f>
        <v>0</v>
      </c>
      <c r="Q196" s="365">
        <f t="shared" si="219"/>
        <v>0</v>
      </c>
      <c r="R196" s="363">
        <f t="shared" ref="R196:R208" si="220">IFERROR(T196/S196*10000,0)</f>
        <v>0</v>
      </c>
      <c r="S196" s="364">
        <f t="shared" si="219"/>
        <v>0</v>
      </c>
      <c r="T196" s="365">
        <f t="shared" si="219"/>
        <v>0</v>
      </c>
      <c r="U196" s="373">
        <f>T196+Q196+N196+K196+H196+E196</f>
        <v>2843.2788830046725</v>
      </c>
    </row>
    <row r="197" spans="1:21" ht="14.25" customHeight="1" outlineLevel="1">
      <c r="A197" s="351"/>
      <c r="B197" s="377" t="str">
        <f>'8.项目规划指标表'!B5</f>
        <v>高层</v>
      </c>
      <c r="C197" s="378">
        <f t="shared" si="212"/>
        <v>442.13164801253208</v>
      </c>
      <c r="D197" s="379">
        <f t="shared" ref="D197:D208" si="221">D180</f>
        <v>56100</v>
      </c>
      <c r="E197" s="380">
        <f>E180*('1.参数设置'!$C$28+'1.参数设置'!$C$33)/1.06*6%+E180*'1.参数设置'!$C$30/1.17*17%+E180*'1.参数设置'!$C$31/1.16*16%+E180*'1.参数设置'!$C$32/1.11*11%+E180*'1.参数设置'!$C$34/1.1*10%</f>
        <v>2480.3585453503051</v>
      </c>
      <c r="F197" s="378">
        <f t="shared" si="214"/>
        <v>0</v>
      </c>
      <c r="G197" s="379">
        <f t="shared" ref="G197:G208" si="222">G180</f>
        <v>0</v>
      </c>
      <c r="H197" s="380">
        <f>H180*('1.参数设置'!$D$28+'1.参数设置'!$D$33)/1.06*6%+H180*'1.参数设置'!$D$30/1.17*17%+H180*'1.参数设置'!$D$31/1.16*16%+H180*'1.参数设置'!$D$32/1.11*11%+H180*'1.参数设置'!$D$34/1.1*10%</f>
        <v>0</v>
      </c>
      <c r="I197" s="378">
        <f t="shared" si="215"/>
        <v>0</v>
      </c>
      <c r="J197" s="379">
        <f t="shared" ref="J197:J208" si="223">J180</f>
        <v>0</v>
      </c>
      <c r="K197" s="380">
        <f>K180*('1.参数设置'!$E$28+'1.参数设置'!$E$33)/1.06*6%+K180*'1.参数设置'!$E$30/1.17*17%+K180*'1.参数设置'!$E$31/1.16*16%+K180*'1.参数设置'!$E$32/1.11*11%+K180*'1.参数设置'!$E$34/1.1*10%</f>
        <v>0</v>
      </c>
      <c r="L197" s="378">
        <f t="shared" si="217"/>
        <v>0</v>
      </c>
      <c r="M197" s="379">
        <f t="shared" ref="M197:M208" si="224">M180</f>
        <v>0</v>
      </c>
      <c r="N197" s="380">
        <f>N180*('1.参数设置'!$F$28+'1.参数设置'!$F$33)/1.06*6%+N180*'1.参数设置'!$F$30/1.17*17%+N180*'1.参数设置'!$F$31/1.16*16%+N180*'1.参数设置'!$F$32/1.11*11%+N180*'1.参数设置'!$F$34/1.1*10%</f>
        <v>0</v>
      </c>
      <c r="O197" s="378">
        <f t="shared" si="218"/>
        <v>0</v>
      </c>
      <c r="P197" s="379">
        <f t="shared" ref="P197:P208" si="225">P180</f>
        <v>0</v>
      </c>
      <c r="Q197" s="380">
        <f>Q180*('1.参数设置'!$G$28+'1.参数设置'!$G$33)/1.06*6%+Q180*'1.参数设置'!$G$30/1.17*17%+Q180*'1.参数设置'!$G$31/1.16*16%+Q180*'1.参数设置'!$G$32/1.11*11%+Q180*'1.参数设置'!$G$34/1.1*10%</f>
        <v>0</v>
      </c>
      <c r="R197" s="378">
        <f t="shared" si="220"/>
        <v>0</v>
      </c>
      <c r="S197" s="379">
        <f t="shared" ref="S197:S208" si="226">S180</f>
        <v>0</v>
      </c>
      <c r="T197" s="380">
        <f>T180*('1.参数设置'!$H$28+'1.参数设置'!$H$33)/1.06*6%+T180*'1.参数设置'!$H$30/1.17*17%+T180*'1.参数设置'!$H$31/1.16*16%+T180*'1.参数设置'!$H$32/1.11*11%+T180*'1.参数设置'!$H$34/1.1*10%</f>
        <v>0</v>
      </c>
    </row>
    <row r="198" spans="1:21" ht="14.25" customHeight="1" outlineLevel="1">
      <c r="A198" s="351"/>
      <c r="B198" s="381" t="str">
        <f>'8.项目规划指标表'!B6</f>
        <v>商铺</v>
      </c>
      <c r="C198" s="382">
        <f t="shared" si="212"/>
        <v>529.19357702729872</v>
      </c>
      <c r="D198" s="383">
        <f t="shared" si="221"/>
        <v>3640</v>
      </c>
      <c r="E198" s="380">
        <f>E181*('1.参数设置'!$C$28+'1.参数设置'!$C$33)/1.06*6%+E181*'1.参数设置'!$C$30/1.17*17%+E181*'1.参数设置'!$C$31/1.16*16%+E181*'1.参数设置'!$C$32/1.11*11%+E181*'1.参数设置'!$C$34/1.1*10%</f>
        <v>192.62646203793673</v>
      </c>
      <c r="F198" s="382">
        <f t="shared" si="214"/>
        <v>0</v>
      </c>
      <c r="G198" s="383">
        <f t="shared" si="222"/>
        <v>0</v>
      </c>
      <c r="H198" s="380">
        <f>H181*('1.参数设置'!$D$28+'1.参数设置'!$D$33)/1.06*6%+H181*'1.参数设置'!$D$30/1.17*17%+H181*'1.参数设置'!$D$31/1.16*16%+H181*'1.参数设置'!$D$32/1.11*11%+H181*'1.参数设置'!$D$34/1.1*10%</f>
        <v>0</v>
      </c>
      <c r="I198" s="382">
        <f t="shared" si="215"/>
        <v>0</v>
      </c>
      <c r="J198" s="383">
        <f t="shared" si="223"/>
        <v>0</v>
      </c>
      <c r="K198" s="380">
        <f>K181*('1.参数设置'!$E$28+'1.参数设置'!$E$33)/1.06*6%+K181*'1.参数设置'!$E$30/1.17*17%+K181*'1.参数设置'!$E$31/1.16*16%+K181*'1.参数设置'!$E$32/1.11*11%+K181*'1.参数设置'!$E$34/1.1*10%</f>
        <v>0</v>
      </c>
      <c r="L198" s="382">
        <f t="shared" si="217"/>
        <v>0</v>
      </c>
      <c r="M198" s="383">
        <f t="shared" si="224"/>
        <v>0</v>
      </c>
      <c r="N198" s="380">
        <f>N181*('1.参数设置'!$F$28+'1.参数设置'!$F$33)/1.06*6%+N181*'1.参数设置'!$F$30/1.17*17%+N181*'1.参数设置'!$F$31/1.16*16%+N181*'1.参数设置'!$F$32/1.11*11%+N181*'1.参数设置'!$F$34/1.1*10%</f>
        <v>0</v>
      </c>
      <c r="O198" s="382">
        <f t="shared" si="218"/>
        <v>0</v>
      </c>
      <c r="P198" s="383">
        <f t="shared" si="225"/>
        <v>0</v>
      </c>
      <c r="Q198" s="380">
        <f>Q181*('1.参数设置'!$G$28+'1.参数设置'!$G$33)/1.06*6%+Q181*'1.参数设置'!$G$30/1.17*17%+Q181*'1.参数设置'!$G$31/1.16*16%+Q181*'1.参数设置'!$G$32/1.11*11%+Q181*'1.参数设置'!$G$34/1.1*10%</f>
        <v>0</v>
      </c>
      <c r="R198" s="382">
        <f t="shared" si="220"/>
        <v>0</v>
      </c>
      <c r="S198" s="383">
        <f t="shared" si="226"/>
        <v>0</v>
      </c>
      <c r="T198" s="380">
        <f>T181*('1.参数设置'!$H$28+'1.参数设置'!$H$33)/1.06*6%+T181*'1.参数设置'!$H$30/1.17*17%+T181*'1.参数设置'!$H$31/1.16*16%+T181*'1.参数设置'!$H$32/1.11*11%+T181*'1.参数设置'!$H$34/1.1*10%</f>
        <v>0</v>
      </c>
    </row>
    <row r="199" spans="1:21" ht="14.25" customHeight="1" outlineLevel="1">
      <c r="A199" s="351"/>
      <c r="B199" s="381" t="str">
        <f>'8.项目规划指标表'!B7</f>
        <v>回迁商业</v>
      </c>
      <c r="C199" s="382">
        <f t="shared" si="212"/>
        <v>0</v>
      </c>
      <c r="D199" s="383">
        <f t="shared" si="221"/>
        <v>4208</v>
      </c>
      <c r="E199" s="380">
        <f>E182*('1.参数设置'!$C$28+'1.参数设置'!$C$33)/1.06*6%+E182*'1.参数设置'!$C$30/1.17*17%+E182*'1.参数设置'!$C$31/1.16*16%+E182*'1.参数设置'!$C$32/1.11*11%+E182*'1.参数设置'!$C$34/1.1*10%</f>
        <v>0</v>
      </c>
      <c r="F199" s="382">
        <f t="shared" si="214"/>
        <v>0</v>
      </c>
      <c r="G199" s="383">
        <f t="shared" si="222"/>
        <v>0</v>
      </c>
      <c r="H199" s="380">
        <f>H182*('1.参数设置'!$D$28+'1.参数设置'!$D$33)/1.06*6%+H182*'1.参数设置'!$D$30/1.17*17%+H182*'1.参数设置'!$D$31/1.16*16%+H182*'1.参数设置'!$D$32/1.11*11%+H182*'1.参数设置'!$D$34/1.1*10%</f>
        <v>0</v>
      </c>
      <c r="I199" s="382">
        <f t="shared" si="215"/>
        <v>0</v>
      </c>
      <c r="J199" s="383">
        <f t="shared" si="223"/>
        <v>0</v>
      </c>
      <c r="K199" s="380">
        <f>K182*('1.参数设置'!$E$28+'1.参数设置'!$E$33)/1.06*6%+K182*'1.参数设置'!$E$30/1.17*17%+K182*'1.参数设置'!$E$31/1.16*16%+K182*'1.参数设置'!$E$32/1.11*11%+K182*'1.参数设置'!$E$34/1.1*10%</f>
        <v>0</v>
      </c>
      <c r="L199" s="382">
        <f t="shared" si="217"/>
        <v>0</v>
      </c>
      <c r="M199" s="383">
        <f t="shared" si="224"/>
        <v>0</v>
      </c>
      <c r="N199" s="380">
        <f>N182*('1.参数设置'!$F$28+'1.参数设置'!$F$33)/1.06*6%+N182*'1.参数设置'!$F$30/1.17*17%+N182*'1.参数设置'!$F$31/1.16*16%+N182*'1.参数设置'!$F$32/1.11*11%+N182*'1.参数设置'!$F$34/1.1*10%</f>
        <v>0</v>
      </c>
      <c r="O199" s="382">
        <f t="shared" si="218"/>
        <v>0</v>
      </c>
      <c r="P199" s="383">
        <f t="shared" si="225"/>
        <v>0</v>
      </c>
      <c r="Q199" s="380">
        <f>Q182*('1.参数设置'!$G$28+'1.参数设置'!$G$33)/1.06*6%+Q182*'1.参数设置'!$G$30/1.17*17%+Q182*'1.参数设置'!$G$31/1.16*16%+Q182*'1.参数设置'!$G$32/1.11*11%+Q182*'1.参数设置'!$G$34/1.1*10%</f>
        <v>0</v>
      </c>
      <c r="R199" s="382">
        <f t="shared" si="220"/>
        <v>0</v>
      </c>
      <c r="S199" s="383">
        <f t="shared" si="226"/>
        <v>0</v>
      </c>
      <c r="T199" s="380">
        <f>T182*('1.参数设置'!$H$28+'1.参数设置'!$H$33)/1.06*6%+T182*'1.参数设置'!$H$30/1.17*17%+T182*'1.参数设置'!$H$31/1.16*16%+T182*'1.参数设置'!$H$32/1.11*11%+T182*'1.参数设置'!$H$34/1.1*10%</f>
        <v>0</v>
      </c>
    </row>
    <row r="200" spans="1:21" ht="14.25" customHeight="1" outlineLevel="1">
      <c r="A200" s="351"/>
      <c r="B200" s="381">
        <f>'8.项目规划指标表'!B8</f>
        <v>0</v>
      </c>
      <c r="C200" s="382">
        <f t="shared" si="212"/>
        <v>0</v>
      </c>
      <c r="D200" s="383">
        <f t="shared" si="221"/>
        <v>0</v>
      </c>
      <c r="E200" s="380">
        <f>E183*('1.参数设置'!$C$28+'1.参数设置'!$C$33)/1.06*6%+E183*'1.参数设置'!$C$30/1.17*17%+E183*'1.参数设置'!$C$31/1.16*16%+E183*'1.参数设置'!$C$32/1.11*11%+E183*'1.参数设置'!$C$34/1.1*10%</f>
        <v>0</v>
      </c>
      <c r="F200" s="382">
        <f t="shared" si="214"/>
        <v>0</v>
      </c>
      <c r="G200" s="383">
        <f t="shared" si="222"/>
        <v>0</v>
      </c>
      <c r="H200" s="380">
        <f>H183*('1.参数设置'!$D$28+'1.参数设置'!$D$33)/1.06*6%+H183*'1.参数设置'!$D$30/1.17*17%+H183*'1.参数设置'!$D$31/1.16*16%+H183*'1.参数设置'!$D$32/1.11*11%+H183*'1.参数设置'!$D$34/1.1*10%</f>
        <v>0</v>
      </c>
      <c r="I200" s="382">
        <f t="shared" si="215"/>
        <v>0</v>
      </c>
      <c r="J200" s="383">
        <f t="shared" si="223"/>
        <v>0</v>
      </c>
      <c r="K200" s="380">
        <f>K183*('1.参数设置'!$E$28+'1.参数设置'!$E$33)/1.06*6%+K183*'1.参数设置'!$E$30/1.17*17%+K183*'1.参数设置'!$E$31/1.16*16%+K183*'1.参数设置'!$E$32/1.11*11%+K183*'1.参数设置'!$E$34/1.1*10%</f>
        <v>0</v>
      </c>
      <c r="L200" s="382">
        <f t="shared" si="217"/>
        <v>0</v>
      </c>
      <c r="M200" s="383">
        <f t="shared" si="224"/>
        <v>0</v>
      </c>
      <c r="N200" s="380">
        <f>N183*('1.参数设置'!$F$28+'1.参数设置'!$F$33)/1.06*6%+N183*'1.参数设置'!$F$30/1.17*17%+N183*'1.参数设置'!$F$31/1.16*16%+N183*'1.参数设置'!$F$32/1.11*11%+N183*'1.参数设置'!$F$34/1.1*10%</f>
        <v>0</v>
      </c>
      <c r="O200" s="382">
        <f t="shared" si="218"/>
        <v>0</v>
      </c>
      <c r="P200" s="383">
        <f t="shared" si="225"/>
        <v>0</v>
      </c>
      <c r="Q200" s="380">
        <f>Q183*('1.参数设置'!$G$28+'1.参数设置'!$G$33)/1.06*6%+Q183*'1.参数设置'!$G$30/1.17*17%+Q183*'1.参数设置'!$G$31/1.16*16%+Q183*'1.参数设置'!$G$32/1.11*11%+Q183*'1.参数设置'!$G$34/1.1*10%</f>
        <v>0</v>
      </c>
      <c r="R200" s="382">
        <f t="shared" si="220"/>
        <v>0</v>
      </c>
      <c r="S200" s="383">
        <f t="shared" si="226"/>
        <v>0</v>
      </c>
      <c r="T200" s="380">
        <f>T183*('1.参数设置'!$H$28+'1.参数设置'!$H$33)/1.06*6%+T183*'1.参数设置'!$H$30/1.17*17%+T183*'1.参数设置'!$H$31/1.16*16%+T183*'1.参数设置'!$H$32/1.11*11%+T183*'1.参数设置'!$H$34/1.1*10%</f>
        <v>0</v>
      </c>
    </row>
    <row r="201" spans="1:21" ht="14.25" customHeight="1" outlineLevel="1">
      <c r="A201" s="351"/>
      <c r="B201" s="381">
        <f>'8.项目规划指标表'!B9</f>
        <v>0</v>
      </c>
      <c r="C201" s="382">
        <f t="shared" si="212"/>
        <v>0</v>
      </c>
      <c r="D201" s="383">
        <f t="shared" si="221"/>
        <v>0</v>
      </c>
      <c r="E201" s="380">
        <f>E184*('1.参数设置'!$C$28+'1.参数设置'!$C$33)/1.06*6%+E184*'1.参数设置'!$C$30/1.17*17%+E184*'1.参数设置'!$C$31/1.16*16%+E184*'1.参数设置'!$C$32/1.11*11%+E184*'1.参数设置'!$C$34/1.1*10%</f>
        <v>0</v>
      </c>
      <c r="F201" s="382">
        <f t="shared" si="214"/>
        <v>0</v>
      </c>
      <c r="G201" s="383">
        <f t="shared" si="222"/>
        <v>0</v>
      </c>
      <c r="H201" s="380">
        <f>H184*('1.参数设置'!$D$28+'1.参数设置'!$D$33)/1.06*6%+H184*'1.参数设置'!$D$30/1.17*17%+H184*'1.参数设置'!$D$31/1.16*16%+H184*'1.参数设置'!$D$32/1.11*11%+H184*'1.参数设置'!$D$34/1.1*10%</f>
        <v>0</v>
      </c>
      <c r="I201" s="382">
        <f t="shared" si="215"/>
        <v>0</v>
      </c>
      <c r="J201" s="383">
        <f t="shared" si="223"/>
        <v>0</v>
      </c>
      <c r="K201" s="380">
        <f>K184*('1.参数设置'!$E$28+'1.参数设置'!$E$33)/1.06*6%+K184*'1.参数设置'!$E$30/1.17*17%+K184*'1.参数设置'!$E$31/1.16*16%+K184*'1.参数设置'!$E$32/1.11*11%+K184*'1.参数设置'!$E$34/1.1*10%</f>
        <v>0</v>
      </c>
      <c r="L201" s="382">
        <f t="shared" si="217"/>
        <v>0</v>
      </c>
      <c r="M201" s="383">
        <f t="shared" si="224"/>
        <v>0</v>
      </c>
      <c r="N201" s="380">
        <f>N184*('1.参数设置'!$F$28+'1.参数设置'!$F$33)/1.06*6%+N184*'1.参数设置'!$F$30/1.17*17%+N184*'1.参数设置'!$F$31/1.16*16%+N184*'1.参数设置'!$F$32/1.11*11%+N184*'1.参数设置'!$F$34/1.1*10%</f>
        <v>0</v>
      </c>
      <c r="O201" s="382">
        <f t="shared" si="218"/>
        <v>0</v>
      </c>
      <c r="P201" s="383">
        <f t="shared" si="225"/>
        <v>0</v>
      </c>
      <c r="Q201" s="380">
        <f>Q184*('1.参数设置'!$G$28+'1.参数设置'!$G$33)/1.06*6%+Q184*'1.参数设置'!$G$30/1.17*17%+Q184*'1.参数设置'!$G$31/1.16*16%+Q184*'1.参数设置'!$G$32/1.11*11%+Q184*'1.参数设置'!$G$34/1.1*10%</f>
        <v>0</v>
      </c>
      <c r="R201" s="382">
        <f t="shared" si="220"/>
        <v>0</v>
      </c>
      <c r="S201" s="383">
        <f t="shared" si="226"/>
        <v>0</v>
      </c>
      <c r="T201" s="380">
        <f>T184*('1.参数设置'!$H$28+'1.参数设置'!$H$33)/1.06*6%+T184*'1.参数设置'!$H$30/1.17*17%+T184*'1.参数设置'!$H$31/1.16*16%+T184*'1.参数设置'!$H$32/1.11*11%+T184*'1.参数设置'!$H$34/1.1*10%</f>
        <v>0</v>
      </c>
    </row>
    <row r="202" spans="1:21" ht="14.25" customHeight="1" outlineLevel="1">
      <c r="A202" s="351"/>
      <c r="B202" s="381">
        <f>'8.项目规划指标表'!B10</f>
        <v>0</v>
      </c>
      <c r="C202" s="382">
        <f t="shared" si="212"/>
        <v>0</v>
      </c>
      <c r="D202" s="383">
        <f t="shared" si="221"/>
        <v>0</v>
      </c>
      <c r="E202" s="380">
        <f>E185*('1.参数设置'!$C$28+'1.参数设置'!$C$33)/1.06*6%+E185*'1.参数设置'!$C$30/1.17*17%+E185*'1.参数设置'!$C$31/1.16*16%+E185*'1.参数设置'!$C$32/1.11*11%+E185*'1.参数设置'!$C$34/1.1*10%</f>
        <v>0</v>
      </c>
      <c r="F202" s="382">
        <f t="shared" si="214"/>
        <v>0</v>
      </c>
      <c r="G202" s="383">
        <f t="shared" si="222"/>
        <v>0</v>
      </c>
      <c r="H202" s="380">
        <f>H185*('1.参数设置'!$D$28+'1.参数设置'!$D$33)/1.06*6%+H185*'1.参数设置'!$D$30/1.17*17%+H185*'1.参数设置'!$D$31/1.16*16%+H185*'1.参数设置'!$D$32/1.11*11%+H185*'1.参数设置'!$D$34/1.1*10%</f>
        <v>0</v>
      </c>
      <c r="I202" s="382">
        <f t="shared" si="215"/>
        <v>0</v>
      </c>
      <c r="J202" s="383">
        <f t="shared" si="223"/>
        <v>0</v>
      </c>
      <c r="K202" s="380">
        <f>K185*('1.参数设置'!$E$28+'1.参数设置'!$E$33)/1.06*6%+K185*'1.参数设置'!$E$30/1.17*17%+K185*'1.参数设置'!$E$31/1.16*16%+K185*'1.参数设置'!$E$32/1.11*11%+K185*'1.参数设置'!$E$34/1.1*10%</f>
        <v>0</v>
      </c>
      <c r="L202" s="382">
        <f t="shared" si="217"/>
        <v>0</v>
      </c>
      <c r="M202" s="383">
        <f t="shared" si="224"/>
        <v>0</v>
      </c>
      <c r="N202" s="380">
        <f>N185*('1.参数设置'!$F$28+'1.参数设置'!$F$33)/1.06*6%+N185*'1.参数设置'!$F$30/1.17*17%+N185*'1.参数设置'!$F$31/1.16*16%+N185*'1.参数设置'!$F$32/1.11*11%+N185*'1.参数设置'!$F$34/1.1*10%</f>
        <v>0</v>
      </c>
      <c r="O202" s="382">
        <f t="shared" si="218"/>
        <v>0</v>
      </c>
      <c r="P202" s="383">
        <f t="shared" si="225"/>
        <v>0</v>
      </c>
      <c r="Q202" s="380">
        <f>Q185*('1.参数设置'!$G$28+'1.参数设置'!$G$33)/1.06*6%+Q185*'1.参数设置'!$G$30/1.17*17%+Q185*'1.参数设置'!$G$31/1.16*16%+Q185*'1.参数设置'!$G$32/1.11*11%+Q185*'1.参数设置'!$G$34/1.1*10%</f>
        <v>0</v>
      </c>
      <c r="R202" s="382">
        <f t="shared" si="220"/>
        <v>0</v>
      </c>
      <c r="S202" s="383">
        <f t="shared" si="226"/>
        <v>0</v>
      </c>
      <c r="T202" s="380">
        <f>T185*('1.参数设置'!$H$28+'1.参数设置'!$H$33)/1.06*6%+T185*'1.参数设置'!$H$30/1.17*17%+T185*'1.参数设置'!$H$31/1.16*16%+T185*'1.参数设置'!$H$32/1.11*11%+T185*'1.参数设置'!$H$34/1.1*10%</f>
        <v>0</v>
      </c>
    </row>
    <row r="203" spans="1:21" ht="14.25" customHeight="1" outlineLevel="1">
      <c r="A203" s="351"/>
      <c r="B203" s="381">
        <f>'8.项目规划指标表'!B11</f>
        <v>0</v>
      </c>
      <c r="C203" s="382">
        <f t="shared" si="212"/>
        <v>0</v>
      </c>
      <c r="D203" s="383">
        <f t="shared" si="221"/>
        <v>0</v>
      </c>
      <c r="E203" s="380">
        <f>E186*('1.参数设置'!$C$28+'1.参数设置'!$C$33)/1.06*6%+E186*'1.参数设置'!$C$30/1.17*17%+E186*'1.参数设置'!$C$31/1.16*16%+E186*'1.参数设置'!$C$32/1.11*11%+E186*'1.参数设置'!$C$34/1.1*10%</f>
        <v>0</v>
      </c>
      <c r="F203" s="382">
        <f t="shared" si="214"/>
        <v>0</v>
      </c>
      <c r="G203" s="383">
        <f t="shared" si="222"/>
        <v>0</v>
      </c>
      <c r="H203" s="380">
        <f>H186*('1.参数设置'!$D$28+'1.参数设置'!$D$33)/1.06*6%+H186*'1.参数设置'!$D$30/1.17*17%+H186*'1.参数设置'!$D$31/1.16*16%+H186*'1.参数设置'!$D$32/1.11*11%+H186*'1.参数设置'!$D$34/1.1*10%</f>
        <v>0</v>
      </c>
      <c r="I203" s="382">
        <f t="shared" si="215"/>
        <v>0</v>
      </c>
      <c r="J203" s="383">
        <f t="shared" si="223"/>
        <v>0</v>
      </c>
      <c r="K203" s="380">
        <f>K186*('1.参数设置'!$E$28+'1.参数设置'!$E$33)/1.06*6%+K186*'1.参数设置'!$E$30/1.17*17%+K186*'1.参数设置'!$E$31/1.16*16%+K186*'1.参数设置'!$E$32/1.11*11%+K186*'1.参数设置'!$E$34/1.1*10%</f>
        <v>0</v>
      </c>
      <c r="L203" s="382">
        <f t="shared" si="217"/>
        <v>0</v>
      </c>
      <c r="M203" s="383">
        <f t="shared" si="224"/>
        <v>0</v>
      </c>
      <c r="N203" s="380">
        <f>N186*('1.参数设置'!$F$28+'1.参数设置'!$F$33)/1.06*6%+N186*'1.参数设置'!$F$30/1.17*17%+N186*'1.参数设置'!$F$31/1.16*16%+N186*'1.参数设置'!$F$32/1.11*11%+N186*'1.参数设置'!$F$34/1.1*10%</f>
        <v>0</v>
      </c>
      <c r="O203" s="382">
        <f t="shared" si="218"/>
        <v>0</v>
      </c>
      <c r="P203" s="383">
        <f t="shared" si="225"/>
        <v>0</v>
      </c>
      <c r="Q203" s="380">
        <f>Q186*('1.参数设置'!$G$28+'1.参数设置'!$G$33)/1.06*6%+Q186*'1.参数设置'!$G$30/1.17*17%+Q186*'1.参数设置'!$G$31/1.16*16%+Q186*'1.参数设置'!$G$32/1.11*11%+Q186*'1.参数设置'!$G$34/1.1*10%</f>
        <v>0</v>
      </c>
      <c r="R203" s="382">
        <f t="shared" si="220"/>
        <v>0</v>
      </c>
      <c r="S203" s="383">
        <f t="shared" si="226"/>
        <v>0</v>
      </c>
      <c r="T203" s="380">
        <f>T186*('1.参数设置'!$H$28+'1.参数设置'!$H$33)/1.06*6%+T186*'1.参数设置'!$H$30/1.17*17%+T186*'1.参数设置'!$H$31/1.16*16%+T186*'1.参数设置'!$H$32/1.11*11%+T186*'1.参数设置'!$H$34/1.1*10%</f>
        <v>0</v>
      </c>
    </row>
    <row r="204" spans="1:21" ht="14.25" customHeight="1" outlineLevel="1">
      <c r="A204" s="351"/>
      <c r="B204" s="381">
        <f>'8.项目规划指标表'!B12</f>
        <v>0</v>
      </c>
      <c r="C204" s="382">
        <f t="shared" si="212"/>
        <v>0</v>
      </c>
      <c r="D204" s="383">
        <f t="shared" si="221"/>
        <v>0</v>
      </c>
      <c r="E204" s="380">
        <f>E187*('1.参数设置'!$C$28+'1.参数设置'!$C$33)/1.06*6%+E187*'1.参数设置'!$C$30/1.17*17%+E187*'1.参数设置'!$C$31/1.16*16%+E187*'1.参数设置'!$C$32/1.11*11%+E187*'1.参数设置'!$C$34/1.1*10%</f>
        <v>0</v>
      </c>
      <c r="F204" s="382">
        <f t="shared" si="214"/>
        <v>0</v>
      </c>
      <c r="G204" s="383">
        <f t="shared" si="222"/>
        <v>0</v>
      </c>
      <c r="H204" s="380">
        <f>H187*('1.参数设置'!$D$28+'1.参数设置'!$D$33)/1.06*6%+H187*'1.参数设置'!$D$30/1.17*17%+H187*'1.参数设置'!$D$31/1.16*16%+H187*'1.参数设置'!$D$32/1.11*11%+H187*'1.参数设置'!$D$34/1.1*10%</f>
        <v>0</v>
      </c>
      <c r="I204" s="382">
        <f t="shared" si="215"/>
        <v>0</v>
      </c>
      <c r="J204" s="383">
        <f t="shared" si="223"/>
        <v>0</v>
      </c>
      <c r="K204" s="380">
        <f>K187*('1.参数设置'!$E$28+'1.参数设置'!$E$33)/1.06*6%+K187*'1.参数设置'!$E$30/1.17*17%+K187*'1.参数设置'!$E$31/1.16*16%+K187*'1.参数设置'!$E$32/1.11*11%+K187*'1.参数设置'!$E$34/1.1*10%</f>
        <v>0</v>
      </c>
      <c r="L204" s="382">
        <f t="shared" si="217"/>
        <v>0</v>
      </c>
      <c r="M204" s="383">
        <f t="shared" si="224"/>
        <v>0</v>
      </c>
      <c r="N204" s="380">
        <f>N187*('1.参数设置'!$F$28+'1.参数设置'!$F$33)/1.06*6%+N187*'1.参数设置'!$F$30/1.17*17%+N187*'1.参数设置'!$F$31/1.16*16%+N187*'1.参数设置'!$F$32/1.11*11%+N187*'1.参数设置'!$F$34/1.1*10%</f>
        <v>0</v>
      </c>
      <c r="O204" s="382">
        <f t="shared" si="218"/>
        <v>0</v>
      </c>
      <c r="P204" s="383">
        <f t="shared" si="225"/>
        <v>0</v>
      </c>
      <c r="Q204" s="380">
        <f>Q187*('1.参数设置'!$G$28+'1.参数设置'!$G$33)/1.06*6%+Q187*'1.参数设置'!$G$30/1.17*17%+Q187*'1.参数设置'!$G$31/1.16*16%+Q187*'1.参数设置'!$G$32/1.11*11%+Q187*'1.参数设置'!$G$34/1.1*10%</f>
        <v>0</v>
      </c>
      <c r="R204" s="382">
        <f t="shared" si="220"/>
        <v>0</v>
      </c>
      <c r="S204" s="383">
        <f t="shared" si="226"/>
        <v>0</v>
      </c>
      <c r="T204" s="380">
        <f>T187*('1.参数设置'!$H$28+'1.参数设置'!$H$33)/1.06*6%+T187*'1.参数设置'!$H$30/1.17*17%+T187*'1.参数设置'!$H$31/1.16*16%+T187*'1.参数设置'!$H$32/1.11*11%+T187*'1.参数设置'!$H$34/1.1*10%</f>
        <v>0</v>
      </c>
    </row>
    <row r="205" spans="1:21" ht="14.25" customHeight="1" outlineLevel="1">
      <c r="A205" s="351"/>
      <c r="B205" s="381">
        <f>'8.项目规划指标表'!B13</f>
        <v>0</v>
      </c>
      <c r="C205" s="382">
        <f t="shared" si="212"/>
        <v>0</v>
      </c>
      <c r="D205" s="383">
        <f t="shared" si="221"/>
        <v>0</v>
      </c>
      <c r="E205" s="380">
        <f>E188*('1.参数设置'!$C$28+'1.参数设置'!$C$33)/1.06*6%+E188*'1.参数设置'!$C$30/1.17*17%+E188*'1.参数设置'!$C$31/1.16*16%+E188*'1.参数设置'!$C$32/1.11*11%+E188*'1.参数设置'!$C$34/1.1*10%</f>
        <v>0</v>
      </c>
      <c r="F205" s="382">
        <f t="shared" si="214"/>
        <v>0</v>
      </c>
      <c r="G205" s="383">
        <f t="shared" si="222"/>
        <v>0</v>
      </c>
      <c r="H205" s="380">
        <f>H188*('1.参数设置'!$D$28+'1.参数设置'!$D$33)/1.06*6%+H188*'1.参数设置'!$D$30/1.17*17%+H188*'1.参数设置'!$D$31/1.16*16%+H188*'1.参数设置'!$D$32/1.11*11%+H188*'1.参数设置'!$D$34/1.1*10%</f>
        <v>0</v>
      </c>
      <c r="I205" s="382">
        <f t="shared" si="215"/>
        <v>0</v>
      </c>
      <c r="J205" s="383">
        <f t="shared" si="223"/>
        <v>0</v>
      </c>
      <c r="K205" s="380">
        <f>K188*('1.参数设置'!$E$28+'1.参数设置'!$E$33)/1.06*6%+K188*'1.参数设置'!$E$30/1.17*17%+K188*'1.参数设置'!$E$31/1.16*16%+K188*'1.参数设置'!$E$32/1.11*11%+K188*'1.参数设置'!$E$34/1.1*10%</f>
        <v>0</v>
      </c>
      <c r="L205" s="382">
        <f t="shared" si="217"/>
        <v>0</v>
      </c>
      <c r="M205" s="383">
        <f t="shared" si="224"/>
        <v>0</v>
      </c>
      <c r="N205" s="380">
        <f>N188*('1.参数设置'!$F$28+'1.参数设置'!$F$33)/1.06*6%+N188*'1.参数设置'!$F$30/1.17*17%+N188*'1.参数设置'!$F$31/1.16*16%+N188*'1.参数设置'!$F$32/1.11*11%+N188*'1.参数设置'!$F$34/1.1*10%</f>
        <v>0</v>
      </c>
      <c r="O205" s="382">
        <f t="shared" si="218"/>
        <v>0</v>
      </c>
      <c r="P205" s="383">
        <f t="shared" si="225"/>
        <v>0</v>
      </c>
      <c r="Q205" s="380">
        <f>Q188*('1.参数设置'!$G$28+'1.参数设置'!$G$33)/1.06*6%+Q188*'1.参数设置'!$G$30/1.17*17%+Q188*'1.参数设置'!$G$31/1.16*16%+Q188*'1.参数设置'!$G$32/1.11*11%+Q188*'1.参数设置'!$G$34/1.1*10%</f>
        <v>0</v>
      </c>
      <c r="R205" s="382">
        <f t="shared" si="220"/>
        <v>0</v>
      </c>
      <c r="S205" s="383">
        <f t="shared" si="226"/>
        <v>0</v>
      </c>
      <c r="T205" s="380">
        <f>T188*('1.参数设置'!$H$28+'1.参数设置'!$H$33)/1.06*6%+T188*'1.参数设置'!$H$30/1.17*17%+T188*'1.参数设置'!$H$31/1.16*16%+T188*'1.参数设置'!$H$32/1.11*11%+T188*'1.参数设置'!$H$34/1.1*10%</f>
        <v>0</v>
      </c>
    </row>
    <row r="206" spans="1:21" ht="14.25" customHeight="1" outlineLevel="1">
      <c r="A206" s="351"/>
      <c r="B206" s="381" t="str">
        <f>'8.项目规划指标表'!B14</f>
        <v>自持物业</v>
      </c>
      <c r="C206" s="382">
        <f t="shared" si="212"/>
        <v>0</v>
      </c>
      <c r="D206" s="383">
        <f t="shared" si="221"/>
        <v>0</v>
      </c>
      <c r="E206" s="380">
        <f>E189*('1.参数设置'!$C$28+'1.参数设置'!$C$33)/1.06*6%+E189*'1.参数设置'!$C$30/1.17*17%+E189*'1.参数设置'!$C$31/1.16*16%+E189*'1.参数设置'!$C$32/1.11*11%+E189*'1.参数设置'!$C$34/1.1*10%</f>
        <v>0</v>
      </c>
      <c r="F206" s="382">
        <f t="shared" si="214"/>
        <v>0</v>
      </c>
      <c r="G206" s="383">
        <f t="shared" si="222"/>
        <v>0</v>
      </c>
      <c r="H206" s="380">
        <f>H189*('1.参数设置'!$D$28+'1.参数设置'!$D$33)/1.06*6%+H189*'1.参数设置'!$D$30/1.17*17%+H189*'1.参数设置'!$D$31/1.16*16%+H189*'1.参数设置'!$D$32/1.11*11%+H189*'1.参数设置'!$D$34/1.1*10%</f>
        <v>0</v>
      </c>
      <c r="I206" s="382">
        <f t="shared" si="215"/>
        <v>0</v>
      </c>
      <c r="J206" s="383">
        <f t="shared" si="223"/>
        <v>0</v>
      </c>
      <c r="K206" s="380">
        <f>K189*('1.参数设置'!$E$28+'1.参数设置'!$E$33)/1.06*6%+K189*'1.参数设置'!$E$30/1.17*17%+K189*'1.参数设置'!$E$31/1.16*16%+K189*'1.参数设置'!$E$32/1.11*11%+K189*'1.参数设置'!$E$34/1.1*10%</f>
        <v>0</v>
      </c>
      <c r="L206" s="382">
        <f t="shared" si="217"/>
        <v>0</v>
      </c>
      <c r="M206" s="383">
        <f t="shared" si="224"/>
        <v>0</v>
      </c>
      <c r="N206" s="380">
        <f>N189*('1.参数设置'!$F$28+'1.参数设置'!$F$33)/1.06*6%+N189*'1.参数设置'!$F$30/1.17*17%+N189*'1.参数设置'!$F$31/1.16*16%+N189*'1.参数设置'!$F$32/1.11*11%+N189*'1.参数设置'!$F$34/1.1*10%</f>
        <v>0</v>
      </c>
      <c r="O206" s="382">
        <f t="shared" si="218"/>
        <v>0</v>
      </c>
      <c r="P206" s="383">
        <f t="shared" si="225"/>
        <v>0</v>
      </c>
      <c r="Q206" s="380">
        <f>Q189*('1.参数设置'!$G$28+'1.参数设置'!$G$33)/1.06*6%+Q189*'1.参数设置'!$G$30/1.17*17%+Q189*'1.参数设置'!$G$31/1.16*16%+Q189*'1.参数设置'!$G$32/1.11*11%+Q189*'1.参数设置'!$G$34/1.1*10%</f>
        <v>0</v>
      </c>
      <c r="R206" s="382">
        <f t="shared" si="220"/>
        <v>0</v>
      </c>
      <c r="S206" s="383">
        <f t="shared" si="226"/>
        <v>0</v>
      </c>
      <c r="T206" s="380">
        <f>T189*('1.参数设置'!$H$28+'1.参数设置'!$H$33)/1.06*6%+T189*'1.参数设置'!$H$30/1.17*17%+T189*'1.参数设置'!$H$31/1.16*16%+T189*'1.参数设置'!$H$32/1.11*11%+T189*'1.参数设置'!$H$34/1.1*10%</f>
        <v>0</v>
      </c>
    </row>
    <row r="207" spans="1:21" ht="14.25" customHeight="1" outlineLevel="1">
      <c r="A207" s="351"/>
      <c r="B207" s="381" t="str">
        <f>'8.项目规划指标表'!B18</f>
        <v>有产权车库(个)</v>
      </c>
      <c r="C207" s="382">
        <f t="shared" si="212"/>
        <v>130.17419019754689</v>
      </c>
      <c r="D207" s="383">
        <f t="shared" si="221"/>
        <v>13082</v>
      </c>
      <c r="E207" s="380">
        <f>E190*('1.参数设置'!$C$28+'1.参数设置'!$C$33)/1.06*6%+E190*'1.参数设置'!$C$30/1.17*17%+E190*'1.参数设置'!$C$31/1.16*16%+E190*'1.参数设置'!$C$32/1.11*11%+E190*'1.参数设置'!$C$34/1.1*10%</f>
        <v>170.29387561643085</v>
      </c>
      <c r="F207" s="382">
        <f t="shared" si="214"/>
        <v>0</v>
      </c>
      <c r="G207" s="383">
        <f t="shared" si="222"/>
        <v>0</v>
      </c>
      <c r="H207" s="380">
        <f>H190*('1.参数设置'!$D$28+'1.参数设置'!$D$33)/1.06*6%+H190*'1.参数设置'!$D$30/1.17*17%+H190*'1.参数设置'!$D$31/1.16*16%+H190*'1.参数设置'!$D$32/1.11*11%+H190*'1.参数设置'!$D$34/1.1*10%</f>
        <v>0</v>
      </c>
      <c r="I207" s="382">
        <f t="shared" si="215"/>
        <v>0</v>
      </c>
      <c r="J207" s="383">
        <f t="shared" si="223"/>
        <v>0</v>
      </c>
      <c r="K207" s="380">
        <f>K190*('1.参数设置'!$E$28+'1.参数设置'!$E$33)/1.06*6%+K190*'1.参数设置'!$E$30/1.17*17%+K190*'1.参数设置'!$E$31/1.16*16%+K190*'1.参数设置'!$E$32/1.11*11%+K190*'1.参数设置'!$E$34/1.1*10%</f>
        <v>0</v>
      </c>
      <c r="L207" s="382">
        <f t="shared" si="217"/>
        <v>0</v>
      </c>
      <c r="M207" s="383">
        <f t="shared" si="224"/>
        <v>0</v>
      </c>
      <c r="N207" s="380">
        <f>N190*('1.参数设置'!$F$28+'1.参数设置'!$F$33)/1.06*6%+N190*'1.参数设置'!$F$30/1.17*17%+N190*'1.参数设置'!$F$31/1.16*16%+N190*'1.参数设置'!$F$32/1.11*11%+N190*'1.参数设置'!$F$34/1.1*10%</f>
        <v>0</v>
      </c>
      <c r="O207" s="382">
        <f t="shared" si="218"/>
        <v>0</v>
      </c>
      <c r="P207" s="383">
        <f t="shared" si="225"/>
        <v>0</v>
      </c>
      <c r="Q207" s="380">
        <f>Q190*('1.参数设置'!$G$28+'1.参数设置'!$G$33)/1.06*6%+Q190*'1.参数设置'!$G$30/1.17*17%+Q190*'1.参数设置'!$G$31/1.16*16%+Q190*'1.参数设置'!$G$32/1.11*11%+Q190*'1.参数设置'!$G$34/1.1*10%</f>
        <v>0</v>
      </c>
      <c r="R207" s="382">
        <f t="shared" si="220"/>
        <v>0</v>
      </c>
      <c r="S207" s="383">
        <f t="shared" si="226"/>
        <v>0</v>
      </c>
      <c r="T207" s="380">
        <f>T190*('1.参数设置'!$H$28+'1.参数设置'!$H$33)/1.06*6%+T190*'1.参数设置'!$H$30/1.17*17%+T190*'1.参数设置'!$H$31/1.16*16%+T190*'1.参数设置'!$H$32/1.11*11%+T190*'1.参数设置'!$H$34/1.1*10%</f>
        <v>0</v>
      </c>
    </row>
    <row r="208" spans="1:21" ht="14.25" customHeight="1" outlineLevel="1">
      <c r="A208" s="351"/>
      <c r="B208" s="385" t="str">
        <f>'8.项目规划指标表'!B19</f>
        <v>无产权车库(个)</v>
      </c>
      <c r="C208" s="386">
        <f t="shared" si="212"/>
        <v>0</v>
      </c>
      <c r="D208" s="387">
        <f t="shared" si="221"/>
        <v>0</v>
      </c>
      <c r="E208" s="380">
        <f>E191*('1.参数设置'!$C$28+'1.参数设置'!$C$33)/1.06*6%+E191*'1.参数设置'!$C$30/1.17*17%+E191*'1.参数设置'!$C$31/1.16*16%+E191*'1.参数设置'!$C$32/1.11*11%+E191*'1.参数设置'!$C$34/1.1*10%</f>
        <v>0</v>
      </c>
      <c r="F208" s="386">
        <f t="shared" si="214"/>
        <v>0</v>
      </c>
      <c r="G208" s="387">
        <f t="shared" si="222"/>
        <v>0</v>
      </c>
      <c r="H208" s="380">
        <f>H191*('1.参数设置'!$D$28+'1.参数设置'!$D$33)/1.06*6%+H191*'1.参数设置'!$D$30/1.17*17%+H191*'1.参数设置'!$D$31/1.16*16%+H191*'1.参数设置'!$D$32/1.11*11%+H191*'1.参数设置'!$D$34/1.1*10%</f>
        <v>0</v>
      </c>
      <c r="I208" s="386">
        <f t="shared" si="215"/>
        <v>0</v>
      </c>
      <c r="J208" s="387">
        <f t="shared" si="223"/>
        <v>0</v>
      </c>
      <c r="K208" s="380">
        <f>K191*('1.参数设置'!$E$28+'1.参数设置'!$E$33)/1.06*6%+K191*'1.参数设置'!$E$30/1.17*17%+K191*'1.参数设置'!$E$31/1.16*16%+K191*'1.参数设置'!$E$32/1.11*11%+K191*'1.参数设置'!$E$34/1.1*10%</f>
        <v>0</v>
      </c>
      <c r="L208" s="386">
        <f t="shared" si="217"/>
        <v>0</v>
      </c>
      <c r="M208" s="387">
        <f t="shared" si="224"/>
        <v>0</v>
      </c>
      <c r="N208" s="380">
        <f>N191*('1.参数设置'!$F$28+'1.参数设置'!$F$33)/1.06*6%+N191*'1.参数设置'!$F$30/1.17*17%+N191*'1.参数设置'!$F$31/1.16*16%+N191*'1.参数设置'!$F$32/1.11*11%+N191*'1.参数设置'!$F$34/1.1*10%</f>
        <v>0</v>
      </c>
      <c r="O208" s="386">
        <f t="shared" si="218"/>
        <v>0</v>
      </c>
      <c r="P208" s="387">
        <f t="shared" si="225"/>
        <v>0</v>
      </c>
      <c r="Q208" s="380">
        <f>Q191*('1.参数设置'!$G$28+'1.参数设置'!$G$33)/1.06*6%+Q191*'1.参数设置'!$G$30/1.17*17%+Q191*'1.参数设置'!$G$31/1.16*16%+Q191*'1.参数设置'!$G$32/1.11*11%+Q191*'1.参数设置'!$G$34/1.1*10%</f>
        <v>0</v>
      </c>
      <c r="R208" s="386">
        <f t="shared" si="220"/>
        <v>0</v>
      </c>
      <c r="S208" s="387">
        <f t="shared" si="226"/>
        <v>0</v>
      </c>
      <c r="T208" s="380">
        <f>T191*('1.参数设置'!$H$28+'1.参数设置'!$H$33)/1.06*6%+T191*'1.参数设置'!$H$30/1.17*17%+T191*'1.参数设置'!$H$31/1.16*16%+T191*'1.参数设置'!$H$32/1.11*11%+T191*'1.参数设置'!$H$34/1.1*10%</f>
        <v>0</v>
      </c>
    </row>
    <row r="209" spans="1:22" ht="15" customHeight="1">
      <c r="A209" s="351"/>
      <c r="B209" s="351"/>
      <c r="C209" s="351"/>
      <c r="D209" s="351"/>
      <c r="E209" s="351"/>
      <c r="F209" s="351"/>
      <c r="G209" s="351"/>
      <c r="H209" s="351"/>
      <c r="I209" s="351"/>
      <c r="J209" s="351"/>
      <c r="K209" s="351"/>
      <c r="L209" s="351"/>
      <c r="M209" s="351"/>
      <c r="N209" s="351"/>
      <c r="O209" s="351"/>
      <c r="P209" s="351"/>
      <c r="Q209" s="351"/>
      <c r="R209" s="351"/>
      <c r="S209" s="351"/>
      <c r="T209" s="351"/>
    </row>
    <row r="210" spans="1:22" ht="15" customHeight="1">
      <c r="A210" s="351"/>
      <c r="B210" s="374" t="s">
        <v>914</v>
      </c>
      <c r="C210" s="351"/>
      <c r="D210" s="351"/>
      <c r="E210" s="351"/>
      <c r="F210" s="351"/>
      <c r="G210" s="351"/>
      <c r="H210" s="351"/>
      <c r="I210" s="351"/>
      <c r="J210" s="351"/>
      <c r="K210" s="351"/>
      <c r="L210" s="351"/>
      <c r="M210" s="351"/>
      <c r="N210" s="351"/>
      <c r="O210" s="351"/>
      <c r="P210" s="351"/>
      <c r="Q210" s="351"/>
      <c r="R210" s="351"/>
      <c r="S210" s="351"/>
      <c r="T210" s="351"/>
    </row>
    <row r="211" spans="1:22" ht="20.25" customHeight="1">
      <c r="A211" s="351"/>
      <c r="B211" s="1969" t="s">
        <v>904</v>
      </c>
      <c r="C211" s="1963" t="s">
        <v>19</v>
      </c>
      <c r="D211" s="1964"/>
      <c r="E211" s="1965"/>
      <c r="F211" s="1963" t="s">
        <v>20</v>
      </c>
      <c r="G211" s="1964"/>
      <c r="H211" s="1965"/>
      <c r="I211" s="1963" t="s">
        <v>21</v>
      </c>
      <c r="J211" s="1964"/>
      <c r="K211" s="1965"/>
      <c r="L211" s="1963" t="s">
        <v>22</v>
      </c>
      <c r="M211" s="1964"/>
      <c r="N211" s="1965"/>
      <c r="O211" s="1963" t="s">
        <v>23</v>
      </c>
      <c r="P211" s="1964"/>
      <c r="Q211" s="1965"/>
      <c r="R211" s="1963" t="s">
        <v>24</v>
      </c>
      <c r="S211" s="1964"/>
      <c r="T211" s="1965"/>
    </row>
    <row r="212" spans="1:22" ht="29.25" customHeight="1">
      <c r="A212" s="351"/>
      <c r="B212" s="1970"/>
      <c r="C212" s="361" t="s">
        <v>905</v>
      </c>
      <c r="D212" s="360" t="s">
        <v>808</v>
      </c>
      <c r="E212" s="361" t="s">
        <v>885</v>
      </c>
      <c r="F212" s="361" t="s">
        <v>905</v>
      </c>
      <c r="G212" s="360" t="s">
        <v>808</v>
      </c>
      <c r="H212" s="361" t="s">
        <v>885</v>
      </c>
      <c r="I212" s="361" t="s">
        <v>905</v>
      </c>
      <c r="J212" s="360" t="s">
        <v>808</v>
      </c>
      <c r="K212" s="361" t="s">
        <v>885</v>
      </c>
      <c r="L212" s="361" t="s">
        <v>905</v>
      </c>
      <c r="M212" s="360" t="s">
        <v>808</v>
      </c>
      <c r="N212" s="361" t="s">
        <v>885</v>
      </c>
      <c r="O212" s="361" t="s">
        <v>905</v>
      </c>
      <c r="P212" s="360" t="s">
        <v>808</v>
      </c>
      <c r="Q212" s="361" t="s">
        <v>885</v>
      </c>
      <c r="R212" s="361" t="s">
        <v>905</v>
      </c>
      <c r="S212" s="360" t="s">
        <v>808</v>
      </c>
      <c r="T212" s="361" t="s">
        <v>885</v>
      </c>
    </row>
    <row r="213" spans="1:22" ht="15" customHeight="1">
      <c r="A213" s="351"/>
      <c r="B213" s="362" t="s">
        <v>915</v>
      </c>
      <c r="C213" s="363">
        <f t="shared" ref="C213:C225" si="227">IFERROR(E213/D213*10000,0)</f>
        <v>4391.0425077056443</v>
      </c>
      <c r="D213" s="364">
        <f t="shared" ref="D213:H213" si="228">SUM(D214:D225)</f>
        <v>64557</v>
      </c>
      <c r="E213" s="365">
        <f t="shared" si="228"/>
        <v>28347.253116995329</v>
      </c>
      <c r="F213" s="363">
        <f t="shared" ref="F213:F225" si="229">IFERROR(H213/G213*10000,0)</f>
        <v>0</v>
      </c>
      <c r="G213" s="364">
        <f t="shared" si="228"/>
        <v>0</v>
      </c>
      <c r="H213" s="365">
        <f t="shared" si="228"/>
        <v>0</v>
      </c>
      <c r="I213" s="363">
        <f t="shared" ref="I213:I225" si="230">IFERROR(K213/J213*10000,0)</f>
        <v>0</v>
      </c>
      <c r="J213" s="364">
        <f t="shared" ref="J213:N213" si="231">SUM(J214:J225)</f>
        <v>0</v>
      </c>
      <c r="K213" s="365">
        <f t="shared" si="231"/>
        <v>0</v>
      </c>
      <c r="L213" s="363">
        <f t="shared" ref="L213:L225" si="232">IFERROR(N213/M213*10000,0)</f>
        <v>0</v>
      </c>
      <c r="M213" s="364">
        <f t="shared" si="231"/>
        <v>0</v>
      </c>
      <c r="N213" s="365">
        <f t="shared" si="231"/>
        <v>0</v>
      </c>
      <c r="O213" s="363">
        <f t="shared" ref="O213:O225" si="233">IFERROR(Q213/P213*10000,0)</f>
        <v>0</v>
      </c>
      <c r="P213" s="364">
        <f t="shared" ref="P213:T213" si="234">SUM(P214:P225)</f>
        <v>0</v>
      </c>
      <c r="Q213" s="365">
        <f t="shared" si="234"/>
        <v>0</v>
      </c>
      <c r="R213" s="363">
        <f t="shared" ref="R213:R225" si="235">IFERROR(T213/S213*10000,0)</f>
        <v>0</v>
      </c>
      <c r="S213" s="364">
        <f t="shared" si="234"/>
        <v>0</v>
      </c>
      <c r="T213" s="365">
        <f t="shared" si="234"/>
        <v>0</v>
      </c>
      <c r="U213" s="373">
        <f>T213+Q213+N213+K213+H213+E213</f>
        <v>28347.253116995329</v>
      </c>
      <c r="V213" s="373">
        <f>U213-'5.分产品利润表'!B8</f>
        <v>-2843.2788830046702</v>
      </c>
    </row>
    <row r="214" spans="1:22" ht="14.25" customHeight="1" outlineLevel="1">
      <c r="A214" s="351">
        <v>1</v>
      </c>
      <c r="B214" s="377" t="str">
        <f t="shared" ref="B214:B225" si="236">B197</f>
        <v>高层</v>
      </c>
      <c r="C214" s="378">
        <f t="shared" si="227"/>
        <v>4408.0156231459396</v>
      </c>
      <c r="D214" s="379">
        <f>D197</f>
        <v>56100</v>
      </c>
      <c r="E214" s="380">
        <f t="shared" ref="E214:E225" si="237">E180-E197</f>
        <v>24728.967645848719</v>
      </c>
      <c r="F214" s="378">
        <f t="shared" si="229"/>
        <v>0</v>
      </c>
      <c r="G214" s="379">
        <f t="shared" ref="G214:G223" si="238">G197</f>
        <v>0</v>
      </c>
      <c r="H214" s="380">
        <f t="shared" ref="H214:H225" si="239">H180-H197</f>
        <v>0</v>
      </c>
      <c r="I214" s="378">
        <f t="shared" si="230"/>
        <v>0</v>
      </c>
      <c r="J214" s="379">
        <f t="shared" ref="J214:J223" si="240">J197</f>
        <v>0</v>
      </c>
      <c r="K214" s="380">
        <f t="shared" ref="K214:K225" si="241">K180-K197</f>
        <v>0</v>
      </c>
      <c r="L214" s="378">
        <f t="shared" si="232"/>
        <v>0</v>
      </c>
      <c r="M214" s="379">
        <f t="shared" ref="M214:M223" si="242">M197</f>
        <v>0</v>
      </c>
      <c r="N214" s="380">
        <f t="shared" ref="N214:N225" si="243">N180-N197</f>
        <v>0</v>
      </c>
      <c r="O214" s="378">
        <f t="shared" si="233"/>
        <v>0</v>
      </c>
      <c r="P214" s="379">
        <f t="shared" ref="P214:P223" si="244">P197</f>
        <v>0</v>
      </c>
      <c r="Q214" s="380">
        <f t="shared" ref="Q214:Q225" si="245">Q180-Q197</f>
        <v>0</v>
      </c>
      <c r="R214" s="378">
        <f t="shared" si="235"/>
        <v>0</v>
      </c>
      <c r="S214" s="379">
        <f t="shared" ref="S214:S223" si="246">S197</f>
        <v>0</v>
      </c>
      <c r="T214" s="380">
        <f t="shared" ref="T214:T225" si="247">T180-T197</f>
        <v>0</v>
      </c>
    </row>
    <row r="215" spans="1:22" ht="14.25" customHeight="1" outlineLevel="1">
      <c r="A215" s="351">
        <v>2</v>
      </c>
      <c r="B215" s="381" t="str">
        <f t="shared" si="236"/>
        <v>商铺</v>
      </c>
      <c r="C215" s="382">
        <f t="shared" si="227"/>
        <v>5276.015787810551</v>
      </c>
      <c r="D215" s="383">
        <f t="shared" ref="D215:D223" si="248">D198</f>
        <v>3640</v>
      </c>
      <c r="E215" s="384">
        <f t="shared" si="237"/>
        <v>1920.4697467630406</v>
      </c>
      <c r="F215" s="382">
        <f t="shared" si="229"/>
        <v>0</v>
      </c>
      <c r="G215" s="383">
        <f t="shared" si="238"/>
        <v>0</v>
      </c>
      <c r="H215" s="384">
        <f t="shared" si="239"/>
        <v>0</v>
      </c>
      <c r="I215" s="382">
        <f t="shared" si="230"/>
        <v>0</v>
      </c>
      <c r="J215" s="383">
        <f t="shared" si="240"/>
        <v>0</v>
      </c>
      <c r="K215" s="384">
        <f t="shared" si="241"/>
        <v>0</v>
      </c>
      <c r="L215" s="382">
        <f t="shared" si="232"/>
        <v>0</v>
      </c>
      <c r="M215" s="383">
        <f t="shared" si="242"/>
        <v>0</v>
      </c>
      <c r="N215" s="384">
        <f t="shared" si="243"/>
        <v>0</v>
      </c>
      <c r="O215" s="382">
        <f t="shared" si="233"/>
        <v>0</v>
      </c>
      <c r="P215" s="383">
        <f t="shared" si="244"/>
        <v>0</v>
      </c>
      <c r="Q215" s="384">
        <f t="shared" si="245"/>
        <v>0</v>
      </c>
      <c r="R215" s="382">
        <f t="shared" si="235"/>
        <v>0</v>
      </c>
      <c r="S215" s="383">
        <f t="shared" si="246"/>
        <v>0</v>
      </c>
      <c r="T215" s="384">
        <f t="shared" si="247"/>
        <v>0</v>
      </c>
    </row>
    <row r="216" spans="1:22" ht="14.25" customHeight="1" outlineLevel="1">
      <c r="A216" s="351">
        <v>3</v>
      </c>
      <c r="B216" s="381" t="str">
        <f t="shared" si="236"/>
        <v>回迁商业</v>
      </c>
      <c r="C216" s="382">
        <f t="shared" si="227"/>
        <v>0</v>
      </c>
      <c r="D216" s="383">
        <f t="shared" si="248"/>
        <v>4208</v>
      </c>
      <c r="E216" s="384">
        <f t="shared" si="237"/>
        <v>0</v>
      </c>
      <c r="F216" s="382">
        <f t="shared" si="229"/>
        <v>0</v>
      </c>
      <c r="G216" s="383">
        <f t="shared" si="238"/>
        <v>0</v>
      </c>
      <c r="H216" s="384">
        <f t="shared" si="239"/>
        <v>0</v>
      </c>
      <c r="I216" s="382">
        <f t="shared" si="230"/>
        <v>0</v>
      </c>
      <c r="J216" s="383">
        <f t="shared" si="240"/>
        <v>0</v>
      </c>
      <c r="K216" s="384">
        <f t="shared" si="241"/>
        <v>0</v>
      </c>
      <c r="L216" s="382">
        <f t="shared" si="232"/>
        <v>0</v>
      </c>
      <c r="M216" s="383">
        <f t="shared" si="242"/>
        <v>0</v>
      </c>
      <c r="N216" s="384">
        <f t="shared" si="243"/>
        <v>0</v>
      </c>
      <c r="O216" s="382">
        <f t="shared" si="233"/>
        <v>0</v>
      </c>
      <c r="P216" s="383">
        <f t="shared" si="244"/>
        <v>0</v>
      </c>
      <c r="Q216" s="384">
        <f t="shared" si="245"/>
        <v>0</v>
      </c>
      <c r="R216" s="382">
        <f t="shared" si="235"/>
        <v>0</v>
      </c>
      <c r="S216" s="383">
        <f t="shared" si="246"/>
        <v>0</v>
      </c>
      <c r="T216" s="384">
        <f t="shared" si="247"/>
        <v>0</v>
      </c>
    </row>
    <row r="217" spans="1:22" ht="14.25" customHeight="1" outlineLevel="1">
      <c r="A217" s="351">
        <v>4</v>
      </c>
      <c r="B217" s="381">
        <f t="shared" si="236"/>
        <v>0</v>
      </c>
      <c r="C217" s="382">
        <f t="shared" si="227"/>
        <v>0</v>
      </c>
      <c r="D217" s="383">
        <f t="shared" si="248"/>
        <v>0</v>
      </c>
      <c r="E217" s="384">
        <f t="shared" si="237"/>
        <v>0</v>
      </c>
      <c r="F217" s="382">
        <f t="shared" si="229"/>
        <v>0</v>
      </c>
      <c r="G217" s="383">
        <f t="shared" si="238"/>
        <v>0</v>
      </c>
      <c r="H217" s="384">
        <f t="shared" si="239"/>
        <v>0</v>
      </c>
      <c r="I217" s="382">
        <f t="shared" si="230"/>
        <v>0</v>
      </c>
      <c r="J217" s="383">
        <f t="shared" si="240"/>
        <v>0</v>
      </c>
      <c r="K217" s="384">
        <f t="shared" si="241"/>
        <v>0</v>
      </c>
      <c r="L217" s="382">
        <f t="shared" si="232"/>
        <v>0</v>
      </c>
      <c r="M217" s="383">
        <f t="shared" si="242"/>
        <v>0</v>
      </c>
      <c r="N217" s="384">
        <f t="shared" si="243"/>
        <v>0</v>
      </c>
      <c r="O217" s="382">
        <f t="shared" si="233"/>
        <v>0</v>
      </c>
      <c r="P217" s="383">
        <f t="shared" si="244"/>
        <v>0</v>
      </c>
      <c r="Q217" s="384">
        <f t="shared" si="245"/>
        <v>0</v>
      </c>
      <c r="R217" s="382">
        <f t="shared" si="235"/>
        <v>0</v>
      </c>
      <c r="S217" s="383">
        <f t="shared" si="246"/>
        <v>0</v>
      </c>
      <c r="T217" s="384">
        <f t="shared" si="247"/>
        <v>0</v>
      </c>
    </row>
    <row r="218" spans="1:22" ht="14.25" customHeight="1" outlineLevel="1">
      <c r="A218" s="351">
        <v>5</v>
      </c>
      <c r="B218" s="381">
        <f t="shared" si="236"/>
        <v>0</v>
      </c>
      <c r="C218" s="382">
        <f t="shared" si="227"/>
        <v>0</v>
      </c>
      <c r="D218" s="383">
        <f t="shared" si="248"/>
        <v>0</v>
      </c>
      <c r="E218" s="384">
        <f t="shared" si="237"/>
        <v>0</v>
      </c>
      <c r="F218" s="382">
        <f t="shared" si="229"/>
        <v>0</v>
      </c>
      <c r="G218" s="383">
        <f t="shared" si="238"/>
        <v>0</v>
      </c>
      <c r="H218" s="384">
        <f t="shared" si="239"/>
        <v>0</v>
      </c>
      <c r="I218" s="382">
        <f t="shared" si="230"/>
        <v>0</v>
      </c>
      <c r="J218" s="383">
        <f t="shared" si="240"/>
        <v>0</v>
      </c>
      <c r="K218" s="384">
        <f t="shared" si="241"/>
        <v>0</v>
      </c>
      <c r="L218" s="382">
        <f t="shared" si="232"/>
        <v>0</v>
      </c>
      <c r="M218" s="383">
        <f t="shared" si="242"/>
        <v>0</v>
      </c>
      <c r="N218" s="384">
        <f t="shared" si="243"/>
        <v>0</v>
      </c>
      <c r="O218" s="382">
        <f t="shared" si="233"/>
        <v>0</v>
      </c>
      <c r="P218" s="383">
        <f t="shared" si="244"/>
        <v>0</v>
      </c>
      <c r="Q218" s="384">
        <f t="shared" si="245"/>
        <v>0</v>
      </c>
      <c r="R218" s="382">
        <f t="shared" si="235"/>
        <v>0</v>
      </c>
      <c r="S218" s="383">
        <f t="shared" si="246"/>
        <v>0</v>
      </c>
      <c r="T218" s="384">
        <f t="shared" si="247"/>
        <v>0</v>
      </c>
    </row>
    <row r="219" spans="1:22" ht="14.25" customHeight="1" outlineLevel="1">
      <c r="A219" s="351">
        <v>6</v>
      </c>
      <c r="B219" s="381">
        <f t="shared" si="236"/>
        <v>0</v>
      </c>
      <c r="C219" s="382">
        <f t="shared" si="227"/>
        <v>0</v>
      </c>
      <c r="D219" s="383">
        <f t="shared" si="248"/>
        <v>0</v>
      </c>
      <c r="E219" s="384">
        <f t="shared" si="237"/>
        <v>0</v>
      </c>
      <c r="F219" s="382">
        <f t="shared" si="229"/>
        <v>0</v>
      </c>
      <c r="G219" s="383">
        <f t="shared" si="238"/>
        <v>0</v>
      </c>
      <c r="H219" s="384">
        <f t="shared" si="239"/>
        <v>0</v>
      </c>
      <c r="I219" s="382">
        <f t="shared" si="230"/>
        <v>0</v>
      </c>
      <c r="J219" s="383">
        <f t="shared" si="240"/>
        <v>0</v>
      </c>
      <c r="K219" s="384">
        <f t="shared" si="241"/>
        <v>0</v>
      </c>
      <c r="L219" s="382">
        <f t="shared" si="232"/>
        <v>0</v>
      </c>
      <c r="M219" s="383">
        <f t="shared" si="242"/>
        <v>0</v>
      </c>
      <c r="N219" s="384">
        <f t="shared" si="243"/>
        <v>0</v>
      </c>
      <c r="O219" s="382">
        <f t="shared" si="233"/>
        <v>0</v>
      </c>
      <c r="P219" s="383">
        <f t="shared" si="244"/>
        <v>0</v>
      </c>
      <c r="Q219" s="384">
        <f t="shared" si="245"/>
        <v>0</v>
      </c>
      <c r="R219" s="382">
        <f t="shared" si="235"/>
        <v>0</v>
      </c>
      <c r="S219" s="383">
        <f t="shared" si="246"/>
        <v>0</v>
      </c>
      <c r="T219" s="384">
        <f t="shared" si="247"/>
        <v>0</v>
      </c>
    </row>
    <row r="220" spans="1:22" ht="14.25" customHeight="1" outlineLevel="1">
      <c r="A220" s="351">
        <v>7</v>
      </c>
      <c r="B220" s="381">
        <f t="shared" si="236"/>
        <v>0</v>
      </c>
      <c r="C220" s="382">
        <f t="shared" si="227"/>
        <v>0</v>
      </c>
      <c r="D220" s="383">
        <f t="shared" si="248"/>
        <v>0</v>
      </c>
      <c r="E220" s="384">
        <f t="shared" si="237"/>
        <v>0</v>
      </c>
      <c r="F220" s="382">
        <f t="shared" si="229"/>
        <v>0</v>
      </c>
      <c r="G220" s="383">
        <f t="shared" si="238"/>
        <v>0</v>
      </c>
      <c r="H220" s="384">
        <f t="shared" si="239"/>
        <v>0</v>
      </c>
      <c r="I220" s="382">
        <f t="shared" si="230"/>
        <v>0</v>
      </c>
      <c r="J220" s="383">
        <f t="shared" si="240"/>
        <v>0</v>
      </c>
      <c r="K220" s="384">
        <f t="shared" si="241"/>
        <v>0</v>
      </c>
      <c r="L220" s="382">
        <f t="shared" si="232"/>
        <v>0</v>
      </c>
      <c r="M220" s="383">
        <f t="shared" si="242"/>
        <v>0</v>
      </c>
      <c r="N220" s="384">
        <f t="shared" si="243"/>
        <v>0</v>
      </c>
      <c r="O220" s="382">
        <f t="shared" si="233"/>
        <v>0</v>
      </c>
      <c r="P220" s="383">
        <f t="shared" si="244"/>
        <v>0</v>
      </c>
      <c r="Q220" s="384">
        <f t="shared" si="245"/>
        <v>0</v>
      </c>
      <c r="R220" s="382">
        <f t="shared" si="235"/>
        <v>0</v>
      </c>
      <c r="S220" s="383">
        <f t="shared" si="246"/>
        <v>0</v>
      </c>
      <c r="T220" s="384">
        <f t="shared" si="247"/>
        <v>0</v>
      </c>
    </row>
    <row r="221" spans="1:22" ht="14.25" customHeight="1" outlineLevel="1">
      <c r="A221" s="351">
        <v>8</v>
      </c>
      <c r="B221" s="381">
        <f t="shared" si="236"/>
        <v>0</v>
      </c>
      <c r="C221" s="382">
        <f t="shared" si="227"/>
        <v>0</v>
      </c>
      <c r="D221" s="383">
        <f t="shared" si="248"/>
        <v>0</v>
      </c>
      <c r="E221" s="384">
        <f t="shared" si="237"/>
        <v>0</v>
      </c>
      <c r="F221" s="382">
        <f t="shared" si="229"/>
        <v>0</v>
      </c>
      <c r="G221" s="383">
        <f t="shared" si="238"/>
        <v>0</v>
      </c>
      <c r="H221" s="384">
        <f t="shared" si="239"/>
        <v>0</v>
      </c>
      <c r="I221" s="382">
        <f t="shared" si="230"/>
        <v>0</v>
      </c>
      <c r="J221" s="383">
        <f t="shared" si="240"/>
        <v>0</v>
      </c>
      <c r="K221" s="384">
        <f t="shared" si="241"/>
        <v>0</v>
      </c>
      <c r="L221" s="382">
        <f t="shared" si="232"/>
        <v>0</v>
      </c>
      <c r="M221" s="383">
        <f t="shared" si="242"/>
        <v>0</v>
      </c>
      <c r="N221" s="384">
        <f t="shared" si="243"/>
        <v>0</v>
      </c>
      <c r="O221" s="382">
        <f t="shared" si="233"/>
        <v>0</v>
      </c>
      <c r="P221" s="383">
        <f t="shared" si="244"/>
        <v>0</v>
      </c>
      <c r="Q221" s="384">
        <f t="shared" si="245"/>
        <v>0</v>
      </c>
      <c r="R221" s="382">
        <f t="shared" si="235"/>
        <v>0</v>
      </c>
      <c r="S221" s="383">
        <f t="shared" si="246"/>
        <v>0</v>
      </c>
      <c r="T221" s="384">
        <f t="shared" si="247"/>
        <v>0</v>
      </c>
    </row>
    <row r="222" spans="1:22" ht="14.25" customHeight="1" outlineLevel="1">
      <c r="A222" s="351">
        <v>9</v>
      </c>
      <c r="B222" s="381">
        <f t="shared" si="236"/>
        <v>0</v>
      </c>
      <c r="C222" s="382">
        <f t="shared" si="227"/>
        <v>0</v>
      </c>
      <c r="D222" s="383">
        <f t="shared" si="248"/>
        <v>0</v>
      </c>
      <c r="E222" s="384">
        <f t="shared" si="237"/>
        <v>0</v>
      </c>
      <c r="F222" s="382">
        <f t="shared" si="229"/>
        <v>0</v>
      </c>
      <c r="G222" s="383">
        <f t="shared" si="238"/>
        <v>0</v>
      </c>
      <c r="H222" s="384">
        <f t="shared" si="239"/>
        <v>0</v>
      </c>
      <c r="I222" s="382">
        <f t="shared" si="230"/>
        <v>0</v>
      </c>
      <c r="J222" s="383">
        <f t="shared" si="240"/>
        <v>0</v>
      </c>
      <c r="K222" s="384">
        <f t="shared" si="241"/>
        <v>0</v>
      </c>
      <c r="L222" s="382">
        <f t="shared" si="232"/>
        <v>0</v>
      </c>
      <c r="M222" s="383">
        <f t="shared" si="242"/>
        <v>0</v>
      </c>
      <c r="N222" s="384">
        <f t="shared" si="243"/>
        <v>0</v>
      </c>
      <c r="O222" s="382">
        <f t="shared" si="233"/>
        <v>0</v>
      </c>
      <c r="P222" s="383">
        <f t="shared" si="244"/>
        <v>0</v>
      </c>
      <c r="Q222" s="384">
        <f t="shared" si="245"/>
        <v>0</v>
      </c>
      <c r="R222" s="382">
        <f t="shared" si="235"/>
        <v>0</v>
      </c>
      <c r="S222" s="383">
        <f t="shared" si="246"/>
        <v>0</v>
      </c>
      <c r="T222" s="384">
        <f t="shared" si="247"/>
        <v>0</v>
      </c>
    </row>
    <row r="223" spans="1:22" ht="14.25" customHeight="1" outlineLevel="1">
      <c r="A223" s="351">
        <v>10</v>
      </c>
      <c r="B223" s="381" t="str">
        <f t="shared" si="236"/>
        <v>自持物业</v>
      </c>
      <c r="C223" s="382">
        <f t="shared" si="227"/>
        <v>0</v>
      </c>
      <c r="D223" s="383">
        <f t="shared" si="248"/>
        <v>0</v>
      </c>
      <c r="E223" s="384">
        <f t="shared" si="237"/>
        <v>0</v>
      </c>
      <c r="F223" s="382">
        <f t="shared" si="229"/>
        <v>0</v>
      </c>
      <c r="G223" s="383">
        <f t="shared" si="238"/>
        <v>0</v>
      </c>
      <c r="H223" s="384">
        <f t="shared" si="239"/>
        <v>0</v>
      </c>
      <c r="I223" s="382">
        <f t="shared" si="230"/>
        <v>0</v>
      </c>
      <c r="J223" s="383">
        <f t="shared" si="240"/>
        <v>0</v>
      </c>
      <c r="K223" s="384">
        <f t="shared" si="241"/>
        <v>0</v>
      </c>
      <c r="L223" s="382">
        <f t="shared" si="232"/>
        <v>0</v>
      </c>
      <c r="M223" s="383">
        <f t="shared" si="242"/>
        <v>0</v>
      </c>
      <c r="N223" s="384">
        <f t="shared" si="243"/>
        <v>0</v>
      </c>
      <c r="O223" s="382">
        <f t="shared" si="233"/>
        <v>0</v>
      </c>
      <c r="P223" s="383">
        <f t="shared" si="244"/>
        <v>0</v>
      </c>
      <c r="Q223" s="384">
        <f t="shared" si="245"/>
        <v>0</v>
      </c>
      <c r="R223" s="382">
        <f t="shared" si="235"/>
        <v>0</v>
      </c>
      <c r="S223" s="383">
        <f t="shared" si="246"/>
        <v>0</v>
      </c>
      <c r="T223" s="384">
        <f t="shared" si="247"/>
        <v>0</v>
      </c>
    </row>
    <row r="224" spans="1:22" ht="14.25" customHeight="1" outlineLevel="1">
      <c r="A224" s="351"/>
      <c r="B224" s="381" t="str">
        <f t="shared" si="236"/>
        <v>有产权车库(个)</v>
      </c>
      <c r="C224" s="382">
        <f t="shared" si="227"/>
        <v>40232.600103876051</v>
      </c>
      <c r="D224" s="383">
        <f>'8.项目规划指标表'!I18</f>
        <v>422</v>
      </c>
      <c r="E224" s="411">
        <f t="shared" si="237"/>
        <v>1697.8157243835692</v>
      </c>
      <c r="F224" s="382">
        <f t="shared" si="229"/>
        <v>0</v>
      </c>
      <c r="G224" s="383">
        <f>'8.项目规划指标表'!M18</f>
        <v>0</v>
      </c>
      <c r="H224" s="411">
        <f t="shared" si="239"/>
        <v>0</v>
      </c>
      <c r="I224" s="382">
        <f t="shared" si="230"/>
        <v>0</v>
      </c>
      <c r="J224" s="383">
        <f>'8.项目规划指标表'!Q18</f>
        <v>0</v>
      </c>
      <c r="K224" s="411">
        <f t="shared" si="241"/>
        <v>0</v>
      </c>
      <c r="L224" s="382">
        <f t="shared" si="232"/>
        <v>0</v>
      </c>
      <c r="M224" s="383">
        <f>'8.项目规划指标表'!U18</f>
        <v>0</v>
      </c>
      <c r="N224" s="411">
        <f t="shared" si="243"/>
        <v>0</v>
      </c>
      <c r="O224" s="382">
        <f t="shared" si="233"/>
        <v>0</v>
      </c>
      <c r="P224" s="383">
        <f>'8.项目规划指标表'!Y18</f>
        <v>0</v>
      </c>
      <c r="Q224" s="411">
        <f t="shared" si="245"/>
        <v>0</v>
      </c>
      <c r="R224" s="382">
        <f t="shared" si="235"/>
        <v>0</v>
      </c>
      <c r="S224" s="383">
        <f>'8.项目规划指标表'!AC18</f>
        <v>0</v>
      </c>
      <c r="T224" s="411">
        <f t="shared" si="247"/>
        <v>0</v>
      </c>
    </row>
    <row r="225" spans="1:20" ht="14.25" customHeight="1" outlineLevel="1">
      <c r="A225" s="351"/>
      <c r="B225" s="385" t="str">
        <f t="shared" si="236"/>
        <v>无产权车库(个)</v>
      </c>
      <c r="C225" s="386">
        <f t="shared" si="227"/>
        <v>0</v>
      </c>
      <c r="D225" s="387">
        <f>'8.项目规划指标表'!I19</f>
        <v>187</v>
      </c>
      <c r="E225" s="388">
        <f t="shared" si="237"/>
        <v>0</v>
      </c>
      <c r="F225" s="386">
        <f t="shared" si="229"/>
        <v>0</v>
      </c>
      <c r="G225" s="387">
        <f>'8.项目规划指标表'!M19</f>
        <v>0</v>
      </c>
      <c r="H225" s="388">
        <f t="shared" si="239"/>
        <v>0</v>
      </c>
      <c r="I225" s="386">
        <f t="shared" si="230"/>
        <v>0</v>
      </c>
      <c r="J225" s="387">
        <f>'8.项目规划指标表'!Q19</f>
        <v>0</v>
      </c>
      <c r="K225" s="388">
        <f t="shared" si="241"/>
        <v>0</v>
      </c>
      <c r="L225" s="386">
        <f t="shared" si="232"/>
        <v>0</v>
      </c>
      <c r="M225" s="387">
        <f>'8.项目规划指标表'!U19</f>
        <v>0</v>
      </c>
      <c r="N225" s="388">
        <f t="shared" si="243"/>
        <v>0</v>
      </c>
      <c r="O225" s="386">
        <f t="shared" si="233"/>
        <v>0</v>
      </c>
      <c r="P225" s="387">
        <f>'8.项目规划指标表'!Y19</f>
        <v>0</v>
      </c>
      <c r="Q225" s="388">
        <f t="shared" si="245"/>
        <v>0</v>
      </c>
      <c r="R225" s="386">
        <f t="shared" si="235"/>
        <v>0</v>
      </c>
      <c r="S225" s="387">
        <f>'8.项目规划指标表'!AC19</f>
        <v>0</v>
      </c>
      <c r="T225" s="388">
        <f t="shared" si="247"/>
        <v>0</v>
      </c>
    </row>
    <row r="226" spans="1:20" ht="15" customHeight="1">
      <c r="A226" s="351"/>
      <c r="B226" s="412" t="s">
        <v>553</v>
      </c>
      <c r="C226" s="413">
        <f>E213+E196-E5</f>
        <v>0</v>
      </c>
      <c r="D226" s="351"/>
      <c r="E226" s="351">
        <f>E196/E213</f>
        <v>0.10030174250992988</v>
      </c>
      <c r="F226" s="351"/>
      <c r="G226" s="351"/>
      <c r="H226" s="351" t="e">
        <f>H196/H213</f>
        <v>#DIV/0!</v>
      </c>
      <c r="I226" s="351"/>
      <c r="J226" s="351"/>
      <c r="K226" s="351" t="e">
        <f>K196/K213</f>
        <v>#DIV/0!</v>
      </c>
      <c r="L226" s="351"/>
      <c r="M226" s="351"/>
      <c r="N226" s="351" t="e">
        <f>N196/N213</f>
        <v>#DIV/0!</v>
      </c>
      <c r="O226" s="351"/>
      <c r="P226" s="351"/>
      <c r="Q226" s="351" t="e">
        <f>Q196/Q213</f>
        <v>#DIV/0!</v>
      </c>
      <c r="R226" s="351"/>
      <c r="S226" s="351"/>
      <c r="T226" s="351" t="e">
        <f>T196/T213</f>
        <v>#DIV/0!</v>
      </c>
    </row>
    <row r="228" spans="1:20" ht="21.75" customHeight="1">
      <c r="B228" s="82" t="s">
        <v>916</v>
      </c>
      <c r="C228" s="78"/>
      <c r="D228" s="78"/>
      <c r="E228" s="78"/>
      <c r="F228" s="78"/>
      <c r="G228" s="78"/>
      <c r="H228" s="78"/>
      <c r="I228" s="78"/>
    </row>
    <row r="229" spans="1:20" ht="12.75">
      <c r="B229" s="414"/>
      <c r="C229" s="415" t="str">
        <f>C211</f>
        <v>一期</v>
      </c>
      <c r="D229" s="415" t="str">
        <f>F211</f>
        <v>二期</v>
      </c>
      <c r="E229" s="415" t="str">
        <f>I211</f>
        <v>三期</v>
      </c>
      <c r="F229" s="415" t="str">
        <f>L211</f>
        <v>四期</v>
      </c>
      <c r="G229" s="415" t="str">
        <f>O211</f>
        <v>五期</v>
      </c>
      <c r="H229" s="415" t="str">
        <f>R211</f>
        <v>六期</v>
      </c>
      <c r="I229" s="421" t="s">
        <v>251</v>
      </c>
    </row>
    <row r="230" spans="1:20" ht="12.75">
      <c r="A230" s="350">
        <v>1</v>
      </c>
      <c r="B230" s="416" t="str">
        <f>B214</f>
        <v>高层</v>
      </c>
      <c r="C230" s="417">
        <f>IF('8.项目规划指标表'!$J5&lt;&gt;0,C214*'8.项目规划指标表'!J5/10000,0)</f>
        <v>0</v>
      </c>
      <c r="D230" s="417">
        <f>IF('8.项目规划指标表'!$N5&lt;&gt;0,F214*'8.项目规划指标表'!N5/10000,0)</f>
        <v>0</v>
      </c>
      <c r="E230" s="417">
        <f>IF('8.项目规划指标表'!$R5&lt;&gt;0,I214*'8.项目规划指标表'!$R5/10000,0)</f>
        <v>0</v>
      </c>
      <c r="F230" s="417">
        <f>IF('8.项目规划指标表'!$V5&lt;&gt;0,L214*'8.项目规划指标表'!$V5/10000,0)</f>
        <v>0</v>
      </c>
      <c r="G230" s="417">
        <f>IF('8.项目规划指标表'!$Z5&lt;&gt;0,L214*'8.项目规划指标表'!$Z5/10000,0)</f>
        <v>0</v>
      </c>
      <c r="H230" s="417">
        <f>IF('8.项目规划指标表'!$AD5&lt;&gt;0,R214*'8.项目规划指标表'!$AD5/10000,0)</f>
        <v>0</v>
      </c>
      <c r="I230" s="422">
        <f>SUM(C230:H230)</f>
        <v>0</v>
      </c>
    </row>
    <row r="231" spans="1:20" ht="12.75">
      <c r="A231" s="350">
        <v>2</v>
      </c>
      <c r="B231" s="416" t="str">
        <f>B215</f>
        <v>商铺</v>
      </c>
      <c r="C231" s="417">
        <f>IF('8.项目规划指标表'!$J6&lt;&gt;0,C215*'8.项目规划指标表'!J6/10000,0)</f>
        <v>0</v>
      </c>
      <c r="D231" s="417">
        <f>IF('8.项目规划指标表'!$N6&lt;&gt;0,F215*'8.项目规划指标表'!N6/10000,0)</f>
        <v>0</v>
      </c>
      <c r="E231" s="417">
        <f>IF('8.项目规划指标表'!$R6&lt;&gt;0,I215*'8.项目规划指标表'!$R6/10000,0)</f>
        <v>0</v>
      </c>
      <c r="F231" s="417">
        <f>IF('8.项目规划指标表'!$V6&lt;&gt;0,L215*'8.项目规划指标表'!$V6/10000,0)</f>
        <v>0</v>
      </c>
      <c r="G231" s="417">
        <f>IF('8.项目规划指标表'!$Z6&lt;&gt;0,L215*'8.项目规划指标表'!$Z6/10000,0)</f>
        <v>0</v>
      </c>
      <c r="H231" s="417">
        <f>IF('8.项目规划指标表'!$AD6&lt;&gt;0,R215*'8.项目规划指标表'!$AD6/10000,0)</f>
        <v>0</v>
      </c>
      <c r="I231" s="422">
        <f t="shared" ref="I231:I242" si="249">SUM(C231:H231)</f>
        <v>0</v>
      </c>
    </row>
    <row r="232" spans="1:20" ht="12.75">
      <c r="A232" s="350">
        <v>3</v>
      </c>
      <c r="B232" s="416" t="str">
        <f>B216</f>
        <v>回迁商业</v>
      </c>
      <c r="C232" s="417">
        <f>IF('8.项目规划指标表'!$J7&lt;&gt;0,C216*'8.项目规划指标表'!J7/10000,0)</f>
        <v>0</v>
      </c>
      <c r="D232" s="417">
        <f>IF('8.项目规划指标表'!$N7&lt;&gt;0,F216*'8.项目规划指标表'!N7/10000,0)</f>
        <v>0</v>
      </c>
      <c r="E232" s="417">
        <f>IF('8.项目规划指标表'!$R7&lt;&gt;0,I216*'8.项目规划指标表'!$R7/10000,0)</f>
        <v>0</v>
      </c>
      <c r="F232" s="417">
        <f>IF('8.项目规划指标表'!$V7&lt;&gt;0,L216*'8.项目规划指标表'!$V7/10000,0)</f>
        <v>0</v>
      </c>
      <c r="G232" s="417">
        <f>IF('8.项目规划指标表'!$Z7&lt;&gt;0,L216*'8.项目规划指标表'!$Z7/10000,0)</f>
        <v>0</v>
      </c>
      <c r="H232" s="417">
        <f>IF('8.项目规划指标表'!$AD7&lt;&gt;0,R216*'8.项目规划指标表'!$AD7/10000,0)</f>
        <v>0</v>
      </c>
      <c r="I232" s="422">
        <f t="shared" si="249"/>
        <v>0</v>
      </c>
    </row>
    <row r="233" spans="1:20" ht="12.75">
      <c r="A233" s="350">
        <v>4</v>
      </c>
      <c r="B233" s="416">
        <f>B217</f>
        <v>0</v>
      </c>
      <c r="C233" s="417">
        <f>IF('8.项目规划指标表'!$J8&lt;&gt;0,C217*'8.项目规划指标表'!J8/10000,0)</f>
        <v>0</v>
      </c>
      <c r="D233" s="417">
        <f>IF('8.项目规划指标表'!$N8&lt;&gt;0,F217*'8.项目规划指标表'!N8/10000,0)</f>
        <v>0</v>
      </c>
      <c r="E233" s="417">
        <f>IF('8.项目规划指标表'!$R8&lt;&gt;0,I217*'8.项目规划指标表'!$R8/10000,0)</f>
        <v>0</v>
      </c>
      <c r="F233" s="417">
        <f>IF('8.项目规划指标表'!$V8&lt;&gt;0,L217*'8.项目规划指标表'!$V8/10000,0)</f>
        <v>0</v>
      </c>
      <c r="G233" s="417">
        <f>IF('8.项目规划指标表'!$Z8&lt;&gt;0,L217*'8.项目规划指标表'!$Z8/10000,0)</f>
        <v>0</v>
      </c>
      <c r="H233" s="417">
        <f>IF('8.项目规划指标表'!$AD8&lt;&gt;0,R217*'8.项目规划指标表'!$AD8/10000,0)</f>
        <v>0</v>
      </c>
      <c r="I233" s="422">
        <f t="shared" si="249"/>
        <v>0</v>
      </c>
    </row>
    <row r="234" spans="1:20" ht="12.75">
      <c r="A234" s="350">
        <v>5</v>
      </c>
      <c r="B234" s="416">
        <f>B218</f>
        <v>0</v>
      </c>
      <c r="C234" s="417">
        <f>IF('8.项目规划指标表'!$J9&lt;&gt;0,C218*'8.项目规划指标表'!J9/10000,0)</f>
        <v>0</v>
      </c>
      <c r="D234" s="417">
        <f>IF('8.项目规划指标表'!$N9&lt;&gt;0,F218*'8.项目规划指标表'!N9/10000,0)</f>
        <v>0</v>
      </c>
      <c r="E234" s="417">
        <f>IF('8.项目规划指标表'!$R9&lt;&gt;0,I218*'8.项目规划指标表'!$R9/10000,0)</f>
        <v>0</v>
      </c>
      <c r="F234" s="417">
        <f>IF('8.项目规划指标表'!$V9&lt;&gt;0,L218*'8.项目规划指标表'!$V9/10000,0)</f>
        <v>0</v>
      </c>
      <c r="G234" s="417">
        <f>IF('8.项目规划指标表'!$Z9&lt;&gt;0,L218*'8.项目规划指标表'!$Z9/10000,0)</f>
        <v>0</v>
      </c>
      <c r="H234" s="417">
        <f>IF('8.项目规划指标表'!$AD9&lt;&gt;0,R218*'8.项目规划指标表'!$AD9/10000,0)</f>
        <v>0</v>
      </c>
      <c r="I234" s="422">
        <f t="shared" si="249"/>
        <v>0</v>
      </c>
    </row>
    <row r="235" spans="1:20" ht="12.75">
      <c r="A235" s="350">
        <v>6</v>
      </c>
      <c r="B235" s="416">
        <f t="shared" ref="B235:B241" si="250">B219</f>
        <v>0</v>
      </c>
      <c r="C235" s="417">
        <f>IF('8.项目规划指标表'!$J10&lt;&gt;0,C219*'8.项目规划指标表'!J10/10000,0)</f>
        <v>0</v>
      </c>
      <c r="D235" s="417">
        <f>IF('8.项目规划指标表'!$N10&lt;&gt;0,F219*'8.项目规划指标表'!N10/10000,0)</f>
        <v>0</v>
      </c>
      <c r="E235" s="417">
        <f>IF('8.项目规划指标表'!$R10&lt;&gt;0,I219*'8.项目规划指标表'!$R10/10000,0)</f>
        <v>0</v>
      </c>
      <c r="F235" s="417">
        <f>IF('8.项目规划指标表'!$V10&lt;&gt;0,L219*'8.项目规划指标表'!$V10/10000,0)</f>
        <v>0</v>
      </c>
      <c r="G235" s="417">
        <f>IF('8.项目规划指标表'!$Z10&lt;&gt;0,L219*'8.项目规划指标表'!$Z10/10000,0)</f>
        <v>0</v>
      </c>
      <c r="H235" s="417">
        <f>IF('8.项目规划指标表'!$AD10&lt;&gt;0,R219*'8.项目规划指标表'!$AD10/10000,0)</f>
        <v>0</v>
      </c>
      <c r="I235" s="422">
        <f t="shared" si="249"/>
        <v>0</v>
      </c>
    </row>
    <row r="236" spans="1:20" ht="12.75">
      <c r="A236" s="350">
        <v>7</v>
      </c>
      <c r="B236" s="416">
        <f t="shared" si="250"/>
        <v>0</v>
      </c>
      <c r="C236" s="417">
        <f>IF('8.项目规划指标表'!$J11&lt;&gt;0,C220*'8.项目规划指标表'!J11/10000,0)</f>
        <v>0</v>
      </c>
      <c r="D236" s="417">
        <f>IF('8.项目规划指标表'!$N11&lt;&gt;0,F220*'8.项目规划指标表'!N11/10000,0)</f>
        <v>0</v>
      </c>
      <c r="E236" s="417">
        <f>IF('8.项目规划指标表'!$R11&lt;&gt;0,I220*'8.项目规划指标表'!$R11/10000,0)</f>
        <v>0</v>
      </c>
      <c r="F236" s="417">
        <f>IF('8.项目规划指标表'!$V11&lt;&gt;0,L220*'8.项目规划指标表'!$V11/10000,0)</f>
        <v>0</v>
      </c>
      <c r="G236" s="417">
        <f>IF('8.项目规划指标表'!$Z11&lt;&gt;0,L220*'8.项目规划指标表'!$Z11/10000,0)</f>
        <v>0</v>
      </c>
      <c r="H236" s="417">
        <f>IF('8.项目规划指标表'!$AD11&lt;&gt;0,R220*'8.项目规划指标表'!$AD11/10000,0)</f>
        <v>0</v>
      </c>
      <c r="I236" s="422">
        <f t="shared" si="249"/>
        <v>0</v>
      </c>
    </row>
    <row r="237" spans="1:20" ht="12.75">
      <c r="A237" s="350">
        <v>8</v>
      </c>
      <c r="B237" s="416">
        <f t="shared" si="250"/>
        <v>0</v>
      </c>
      <c r="C237" s="417">
        <f>IF('8.项目规划指标表'!$J12&lt;&gt;0,C221*'8.项目规划指标表'!J12/10000,0)</f>
        <v>0</v>
      </c>
      <c r="D237" s="417">
        <f>IF('8.项目规划指标表'!$N12&lt;&gt;0,F221*'8.项目规划指标表'!N12/10000,0)</f>
        <v>0</v>
      </c>
      <c r="E237" s="417">
        <f>IF('8.项目规划指标表'!$R12&lt;&gt;0,I221*'8.项目规划指标表'!$R12/10000,0)</f>
        <v>0</v>
      </c>
      <c r="F237" s="417">
        <f>IF('8.项目规划指标表'!$V12&lt;&gt;0,L221*'8.项目规划指标表'!$V12/10000,0)</f>
        <v>0</v>
      </c>
      <c r="G237" s="417">
        <f>IF('8.项目规划指标表'!$Z12&lt;&gt;0,L221*'8.项目规划指标表'!$Z12/10000,0)</f>
        <v>0</v>
      </c>
      <c r="H237" s="417">
        <f>IF('8.项目规划指标表'!$AD12&lt;&gt;0,R221*'8.项目规划指标表'!$AD12/10000,0)</f>
        <v>0</v>
      </c>
      <c r="I237" s="422">
        <f t="shared" si="249"/>
        <v>0</v>
      </c>
    </row>
    <row r="238" spans="1:20" ht="12" customHeight="1">
      <c r="A238" s="350">
        <v>9</v>
      </c>
      <c r="B238" s="416">
        <f t="shared" si="250"/>
        <v>0</v>
      </c>
      <c r="C238" s="417">
        <f>IF('8.项目规划指标表'!$J13&lt;&gt;0,C222*'8.项目规划指标表'!J13/10000,0)</f>
        <v>0</v>
      </c>
      <c r="D238" s="417">
        <f>IF('8.项目规划指标表'!$N13&lt;&gt;0,F222*'8.项目规划指标表'!N13/10000,0)</f>
        <v>0</v>
      </c>
      <c r="E238" s="417">
        <f>IF('8.项目规划指标表'!$R13&lt;&gt;0,I222*'8.项目规划指标表'!$R13/10000,0)</f>
        <v>0</v>
      </c>
      <c r="F238" s="417">
        <f>IF('8.项目规划指标表'!$V13&lt;&gt;0,L222*'8.项目规划指标表'!$V13/10000,0)</f>
        <v>0</v>
      </c>
      <c r="G238" s="417">
        <f>IF('8.项目规划指标表'!$Z13&lt;&gt;0,L222*'8.项目规划指标表'!$Z13/10000,0)</f>
        <v>0</v>
      </c>
      <c r="H238" s="417">
        <f>IF('8.项目规划指标表'!$AD13&lt;&gt;0,R222*'8.项目规划指标表'!$AD13/10000,0)</f>
        <v>0</v>
      </c>
      <c r="I238" s="422">
        <f t="shared" si="249"/>
        <v>0</v>
      </c>
    </row>
    <row r="239" spans="1:20" ht="12" customHeight="1">
      <c r="A239" s="350">
        <v>10</v>
      </c>
      <c r="B239" s="416" t="str">
        <f t="shared" si="250"/>
        <v>自持物业</v>
      </c>
      <c r="C239" s="418">
        <f>IF('8.项目规划指标表'!$J14&lt;&gt;0,C223*'8.项目规划指标表'!J14/10000,0)</f>
        <v>0</v>
      </c>
      <c r="D239" s="418">
        <f>IF('8.项目规划指标表'!$N14&lt;&gt;0,F223*'8.项目规划指标表'!N14/10000,0)</f>
        <v>0</v>
      </c>
      <c r="E239" s="418">
        <f>IF('8.项目规划指标表'!$R14&lt;&gt;0,I223*'8.项目规划指标表'!$R14/10000,0)</f>
        <v>0</v>
      </c>
      <c r="F239" s="418">
        <f>IF('8.项目规划指标表'!$V14&lt;&gt;0,L223*'8.项目规划指标表'!$V14/10000,0)</f>
        <v>0</v>
      </c>
      <c r="G239" s="418">
        <f>IF('8.项目规划指标表'!$Z14&lt;&gt;0,L223*'8.项目规划指标表'!$Z14/10000,0)</f>
        <v>0</v>
      </c>
      <c r="H239" s="418">
        <f>IF('8.项目规划指标表'!$AD14&lt;&gt;0,R223*'8.项目规划指标表'!$AD14/10000,0)</f>
        <v>0</v>
      </c>
      <c r="I239" s="422">
        <f t="shared" si="249"/>
        <v>0</v>
      </c>
    </row>
    <row r="240" spans="1:20" ht="12.75">
      <c r="B240" s="416" t="str">
        <f t="shared" si="250"/>
        <v>有产权车库(个)</v>
      </c>
      <c r="C240" s="417">
        <f>IF('8.项目规划指标表'!J18&lt;&gt;0,'8.项目规划指标表'!J18*'13.建安成本表'!C224/10000,0)</f>
        <v>0</v>
      </c>
      <c r="D240" s="417">
        <f>IF('8.项目规划指标表'!N18&lt;&gt;0,F224*'8.项目规划指标表'!N18/10000,0)</f>
        <v>0</v>
      </c>
      <c r="E240" s="417">
        <f>IF('8.项目规划指标表'!$R18&lt;&gt;0,I224*'8.项目规划指标表'!$R18/10000,0)</f>
        <v>0</v>
      </c>
      <c r="F240" s="417">
        <f>IF('8.项目规划指标表'!$V18&lt;&gt;0,L224*'8.项目规划指标表'!$V18/10000,0)</f>
        <v>0</v>
      </c>
      <c r="G240" s="417">
        <f>IF('8.项目规划指标表'!$Z18&lt;&gt;0,L224*'8.项目规划指标表'!$Z18/10000,0)</f>
        <v>0</v>
      </c>
      <c r="H240" s="417">
        <f>IF('8.项目规划指标表'!$AD18&lt;&gt;0,R224*'8.项目规划指标表'!$AD18/10000,0)</f>
        <v>0</v>
      </c>
      <c r="I240" s="422">
        <f t="shared" si="249"/>
        <v>0</v>
      </c>
    </row>
    <row r="241" spans="2:9" ht="12.75">
      <c r="B241" s="416" t="str">
        <f t="shared" si="250"/>
        <v>无产权车库(个)</v>
      </c>
      <c r="C241" s="417">
        <f>IF('8.项目规划指标表'!J19&lt;&gt;0,C225*'8.项目规划指标表'!J19/10000,0)</f>
        <v>0</v>
      </c>
      <c r="D241" s="417">
        <f>IF('8.项目规划指标表'!N19&lt;&gt;0,F225*'8.项目规划指标表'!N19/10000,0)</f>
        <v>0</v>
      </c>
      <c r="E241" s="417">
        <f>IF('8.项目规划指标表'!$R19&lt;&gt;0,I225*'8.项目规划指标表'!$R19/10000,0)</f>
        <v>0</v>
      </c>
      <c r="F241" s="417">
        <f>IF('8.项目规划指标表'!$V19&lt;&gt;0,L225*'8.项目规划指标表'!$V19/10000,0)</f>
        <v>0</v>
      </c>
      <c r="G241" s="417">
        <f>IF('8.项目规划指标表'!$Z19&lt;&gt;0,L225*'8.项目规划指标表'!$Z19/10000,0)</f>
        <v>0</v>
      </c>
      <c r="H241" s="417">
        <f>IF('8.项目规划指标表'!$AD19&lt;&gt;0,R225*'8.项目规划指标表'!$AD19/10000,0)</f>
        <v>0</v>
      </c>
      <c r="I241" s="422">
        <f t="shared" si="249"/>
        <v>0</v>
      </c>
    </row>
    <row r="242" spans="2:9" ht="12.75">
      <c r="B242" s="419" t="s">
        <v>917</v>
      </c>
      <c r="C242" s="420">
        <f>SUM(C230:C241)</f>
        <v>0</v>
      </c>
      <c r="D242" s="420">
        <f t="shared" ref="D242:H242" si="251">SUM(D230:D241)</f>
        <v>0</v>
      </c>
      <c r="E242" s="420">
        <f t="shared" si="251"/>
        <v>0</v>
      </c>
      <c r="F242" s="420">
        <f t="shared" si="251"/>
        <v>0</v>
      </c>
      <c r="G242" s="420">
        <f t="shared" si="251"/>
        <v>0</v>
      </c>
      <c r="H242" s="420">
        <f t="shared" si="251"/>
        <v>0</v>
      </c>
      <c r="I242" s="423">
        <f t="shared" si="249"/>
        <v>0</v>
      </c>
    </row>
  </sheetData>
  <sheetProtection password="D9A8" sheet="1" objects="1" scenarios="1"/>
  <mergeCells count="42">
    <mergeCell ref="B211:B212"/>
    <mergeCell ref="B3:B4"/>
    <mergeCell ref="B131:B132"/>
    <mergeCell ref="B154:B155"/>
    <mergeCell ref="B177:B178"/>
    <mergeCell ref="B194:B195"/>
    <mergeCell ref="R194:T194"/>
    <mergeCell ref="C211:E211"/>
    <mergeCell ref="F211:H211"/>
    <mergeCell ref="I211:K211"/>
    <mergeCell ref="L211:N211"/>
    <mergeCell ref="O211:Q211"/>
    <mergeCell ref="R211:T211"/>
    <mergeCell ref="C194:E194"/>
    <mergeCell ref="F194:H194"/>
    <mergeCell ref="I194:K194"/>
    <mergeCell ref="L194:N194"/>
    <mergeCell ref="O194:Q194"/>
    <mergeCell ref="R154:T154"/>
    <mergeCell ref="C177:E177"/>
    <mergeCell ref="F177:H177"/>
    <mergeCell ref="I177:K177"/>
    <mergeCell ref="L177:N177"/>
    <mergeCell ref="O177:Q177"/>
    <mergeCell ref="R177:T177"/>
    <mergeCell ref="C154:E154"/>
    <mergeCell ref="F154:H154"/>
    <mergeCell ref="I154:K154"/>
    <mergeCell ref="L154:N154"/>
    <mergeCell ref="O154:Q154"/>
    <mergeCell ref="R3:T3"/>
    <mergeCell ref="C131:E131"/>
    <mergeCell ref="F131:H131"/>
    <mergeCell ref="I131:K131"/>
    <mergeCell ref="L131:N131"/>
    <mergeCell ref="O131:Q131"/>
    <mergeCell ref="R131:T131"/>
    <mergeCell ref="C3:E3"/>
    <mergeCell ref="F3:H3"/>
    <mergeCell ref="I3:K3"/>
    <mergeCell ref="L3:N3"/>
    <mergeCell ref="O3:Q3"/>
  </mergeCells>
  <phoneticPr fontId="102" type="noConversion"/>
  <hyperlinks>
    <hyperlink ref="D1" location="目录!A1" display="返回目录"/>
  </hyperlinks>
  <pageMargins left="0.69930555555555596" right="0.69930555555555596" top="0.75" bottom="0.75" header="0.3" footer="0.3"/>
  <pageSetup paperSize="9" orientation="portrai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outlinePr summaryBelow="0" summaryRight="0"/>
  </sheetPr>
  <dimension ref="B1:AW431"/>
  <sheetViews>
    <sheetView showGridLines="0" workbookViewId="0">
      <pane xSplit="3" ySplit="1" topLeftCell="D116" activePane="bottomRight" state="frozen"/>
      <selection pane="topRight"/>
      <selection pane="bottomLeft"/>
      <selection pane="bottomRight" activeCell="H130" sqref="H130"/>
    </sheetView>
  </sheetViews>
  <sheetFormatPr defaultColWidth="9" defaultRowHeight="13.5" outlineLevelRow="2"/>
  <cols>
    <col min="1" max="1" width="3.625" style="260" customWidth="1"/>
    <col min="2" max="2" width="9" style="260"/>
    <col min="3" max="3" width="18.625" style="260" customWidth="1"/>
    <col min="4" max="4" width="9.5" style="260" customWidth="1"/>
    <col min="5" max="5" width="9" style="260"/>
    <col min="6" max="6" width="9.5" style="260" customWidth="1"/>
    <col min="7" max="16384" width="9" style="260"/>
  </cols>
  <sheetData>
    <row r="1" spans="2:49" ht="23.25">
      <c r="B1" s="261" t="str">
        <f>"项目"&amp;'1.参数设置'!E4&amp;"增值税测算表"</f>
        <v>项目拿地阶段增值税测算表</v>
      </c>
      <c r="F1" s="262" t="s">
        <v>117</v>
      </c>
    </row>
    <row r="3" spans="2:49" s="256" customFormat="1" ht="18.75" customHeight="1">
      <c r="B3" s="263" t="s">
        <v>918</v>
      </c>
    </row>
    <row r="4" spans="2:49" s="256" customFormat="1" ht="15.75" customHeight="1">
      <c r="B4" s="1978" t="s">
        <v>919</v>
      </c>
      <c r="C4" s="1978" t="s">
        <v>598</v>
      </c>
      <c r="D4" s="1987" t="s">
        <v>251</v>
      </c>
      <c r="E4" s="1971">
        <f>'1.参数设置'!$C$4</f>
        <v>2018</v>
      </c>
      <c r="F4" s="1972"/>
      <c r="G4" s="1972"/>
      <c r="H4" s="1973"/>
      <c r="I4" s="1971">
        <f>E4+1</f>
        <v>2019</v>
      </c>
      <c r="J4" s="1972"/>
      <c r="K4" s="1972"/>
      <c r="L4" s="1973"/>
      <c r="M4" s="1971">
        <f>I4+1</f>
        <v>2020</v>
      </c>
      <c r="N4" s="1972"/>
      <c r="O4" s="1972"/>
      <c r="P4" s="1973"/>
      <c r="Q4" s="1971">
        <f>M4+1</f>
        <v>2021</v>
      </c>
      <c r="R4" s="1972"/>
      <c r="S4" s="1972"/>
      <c r="T4" s="1973"/>
      <c r="U4" s="1971">
        <f>Q4+1</f>
        <v>2022</v>
      </c>
      <c r="V4" s="1972"/>
      <c r="W4" s="1972"/>
      <c r="X4" s="1973"/>
      <c r="Y4" s="1971">
        <f>U4+1</f>
        <v>2023</v>
      </c>
      <c r="Z4" s="1972"/>
      <c r="AA4" s="1972"/>
      <c r="AB4" s="1973"/>
      <c r="AC4" s="1971">
        <f>Y4+1</f>
        <v>2024</v>
      </c>
      <c r="AD4" s="1972"/>
      <c r="AE4" s="1972"/>
      <c r="AF4" s="1973"/>
      <c r="AG4" s="1971">
        <f>AC4+1</f>
        <v>2025</v>
      </c>
      <c r="AH4" s="1972"/>
      <c r="AI4" s="1972"/>
      <c r="AJ4" s="1973"/>
      <c r="AK4" s="1971">
        <f>AG4+1</f>
        <v>2026</v>
      </c>
      <c r="AL4" s="1972"/>
      <c r="AM4" s="1972"/>
      <c r="AN4" s="1973"/>
      <c r="AO4" s="1971">
        <f>AK4+1</f>
        <v>2027</v>
      </c>
      <c r="AP4" s="1972"/>
      <c r="AQ4" s="1972"/>
      <c r="AR4" s="1973"/>
      <c r="AS4" s="1971">
        <f>AO4+1</f>
        <v>2028</v>
      </c>
      <c r="AT4" s="1972"/>
      <c r="AU4" s="1972"/>
      <c r="AV4" s="1973"/>
    </row>
    <row r="5" spans="2:49" s="256" customFormat="1" ht="15.75" customHeight="1">
      <c r="B5" s="1979"/>
      <c r="C5" s="1979"/>
      <c r="D5" s="1988"/>
      <c r="E5" s="265" t="s">
        <v>920</v>
      </c>
      <c r="F5" s="266" t="s">
        <v>921</v>
      </c>
      <c r="G5" s="266" t="s">
        <v>922</v>
      </c>
      <c r="H5" s="267" t="s">
        <v>923</v>
      </c>
      <c r="I5" s="265" t="s">
        <v>920</v>
      </c>
      <c r="J5" s="266" t="s">
        <v>921</v>
      </c>
      <c r="K5" s="266" t="s">
        <v>922</v>
      </c>
      <c r="L5" s="267" t="s">
        <v>923</v>
      </c>
      <c r="M5" s="265" t="s">
        <v>920</v>
      </c>
      <c r="N5" s="266" t="s">
        <v>921</v>
      </c>
      <c r="O5" s="266" t="s">
        <v>922</v>
      </c>
      <c r="P5" s="267" t="s">
        <v>923</v>
      </c>
      <c r="Q5" s="265" t="s">
        <v>920</v>
      </c>
      <c r="R5" s="266" t="s">
        <v>921</v>
      </c>
      <c r="S5" s="266" t="s">
        <v>922</v>
      </c>
      <c r="T5" s="267" t="s">
        <v>923</v>
      </c>
      <c r="U5" s="265" t="s">
        <v>920</v>
      </c>
      <c r="V5" s="266" t="s">
        <v>921</v>
      </c>
      <c r="W5" s="266" t="s">
        <v>922</v>
      </c>
      <c r="X5" s="267" t="s">
        <v>923</v>
      </c>
      <c r="Y5" s="265" t="s">
        <v>920</v>
      </c>
      <c r="Z5" s="266" t="s">
        <v>921</v>
      </c>
      <c r="AA5" s="266" t="s">
        <v>922</v>
      </c>
      <c r="AB5" s="267" t="s">
        <v>923</v>
      </c>
      <c r="AC5" s="265" t="s">
        <v>920</v>
      </c>
      <c r="AD5" s="266" t="s">
        <v>921</v>
      </c>
      <c r="AE5" s="266" t="s">
        <v>922</v>
      </c>
      <c r="AF5" s="267" t="s">
        <v>923</v>
      </c>
      <c r="AG5" s="265" t="s">
        <v>920</v>
      </c>
      <c r="AH5" s="266" t="s">
        <v>921</v>
      </c>
      <c r="AI5" s="266" t="s">
        <v>922</v>
      </c>
      <c r="AJ5" s="267" t="s">
        <v>923</v>
      </c>
      <c r="AK5" s="265" t="s">
        <v>920</v>
      </c>
      <c r="AL5" s="266" t="s">
        <v>921</v>
      </c>
      <c r="AM5" s="266" t="s">
        <v>922</v>
      </c>
      <c r="AN5" s="267" t="s">
        <v>923</v>
      </c>
      <c r="AO5" s="265" t="s">
        <v>920</v>
      </c>
      <c r="AP5" s="266" t="s">
        <v>921</v>
      </c>
      <c r="AQ5" s="266" t="s">
        <v>922</v>
      </c>
      <c r="AR5" s="267" t="s">
        <v>923</v>
      </c>
      <c r="AS5" s="265" t="s">
        <v>920</v>
      </c>
      <c r="AT5" s="266" t="s">
        <v>921</v>
      </c>
      <c r="AU5" s="266" t="s">
        <v>922</v>
      </c>
      <c r="AV5" s="267" t="s">
        <v>923</v>
      </c>
    </row>
    <row r="6" spans="2:49" s="257" customFormat="1" ht="15.75" customHeight="1">
      <c r="B6" s="1974" t="s">
        <v>251</v>
      </c>
      <c r="C6" s="269" t="s">
        <v>251</v>
      </c>
      <c r="D6" s="270">
        <f t="shared" ref="D6:AV6" si="0">SUM(D7:D12)</f>
        <v>5573.1218406316912</v>
      </c>
      <c r="E6" s="271">
        <f t="shared" si="0"/>
        <v>0</v>
      </c>
      <c r="F6" s="270">
        <f t="shared" si="0"/>
        <v>0</v>
      </c>
      <c r="G6" s="270">
        <f t="shared" si="0"/>
        <v>0</v>
      </c>
      <c r="H6" s="272">
        <f t="shared" si="0"/>
        <v>0</v>
      </c>
      <c r="I6" s="271">
        <f t="shared" si="0"/>
        <v>0</v>
      </c>
      <c r="J6" s="270">
        <f t="shared" si="0"/>
        <v>562.27499999999998</v>
      </c>
      <c r="K6" s="270">
        <f t="shared" si="0"/>
        <v>825.74099999999987</v>
      </c>
      <c r="L6" s="272">
        <f t="shared" si="0"/>
        <v>506.24027999999998</v>
      </c>
      <c r="M6" s="271">
        <f t="shared" si="0"/>
        <v>370.29292559999999</v>
      </c>
      <c r="N6" s="270">
        <f t="shared" si="0"/>
        <v>245.16774785454547</v>
      </c>
      <c r="O6" s="270">
        <f t="shared" si="0"/>
        <v>138.87490909090909</v>
      </c>
      <c r="P6" s="272">
        <f t="shared" si="0"/>
        <v>2859.0662976701915</v>
      </c>
      <c r="Q6" s="271">
        <f t="shared" si="0"/>
        <v>65.463680416045662</v>
      </c>
      <c r="R6" s="270">
        <f t="shared" si="0"/>
        <v>0</v>
      </c>
      <c r="S6" s="270">
        <f t="shared" si="0"/>
        <v>0</v>
      </c>
      <c r="T6" s="272">
        <f t="shared" si="0"/>
        <v>0</v>
      </c>
      <c r="U6" s="271">
        <f t="shared" si="0"/>
        <v>0</v>
      </c>
      <c r="V6" s="270">
        <f t="shared" si="0"/>
        <v>0</v>
      </c>
      <c r="W6" s="270">
        <f t="shared" si="0"/>
        <v>0</v>
      </c>
      <c r="X6" s="272">
        <f t="shared" si="0"/>
        <v>0</v>
      </c>
      <c r="Y6" s="271">
        <f t="shared" si="0"/>
        <v>0</v>
      </c>
      <c r="Z6" s="270">
        <f t="shared" si="0"/>
        <v>0</v>
      </c>
      <c r="AA6" s="270">
        <f t="shared" si="0"/>
        <v>0</v>
      </c>
      <c r="AB6" s="272">
        <f t="shared" si="0"/>
        <v>0</v>
      </c>
      <c r="AC6" s="271">
        <f t="shared" si="0"/>
        <v>0</v>
      </c>
      <c r="AD6" s="270">
        <f t="shared" si="0"/>
        <v>0</v>
      </c>
      <c r="AE6" s="270">
        <f t="shared" si="0"/>
        <v>0</v>
      </c>
      <c r="AF6" s="272">
        <f t="shared" si="0"/>
        <v>0</v>
      </c>
      <c r="AG6" s="271">
        <f t="shared" si="0"/>
        <v>0</v>
      </c>
      <c r="AH6" s="270">
        <f t="shared" si="0"/>
        <v>0</v>
      </c>
      <c r="AI6" s="270">
        <f t="shared" si="0"/>
        <v>0</v>
      </c>
      <c r="AJ6" s="272">
        <f t="shared" si="0"/>
        <v>0</v>
      </c>
      <c r="AK6" s="271">
        <f t="shared" si="0"/>
        <v>0</v>
      </c>
      <c r="AL6" s="270">
        <f t="shared" si="0"/>
        <v>0</v>
      </c>
      <c r="AM6" s="270">
        <f t="shared" si="0"/>
        <v>0</v>
      </c>
      <c r="AN6" s="272">
        <f t="shared" si="0"/>
        <v>0</v>
      </c>
      <c r="AO6" s="271">
        <f t="shared" si="0"/>
        <v>0</v>
      </c>
      <c r="AP6" s="270">
        <f t="shared" si="0"/>
        <v>0</v>
      </c>
      <c r="AQ6" s="270">
        <f t="shared" si="0"/>
        <v>0</v>
      </c>
      <c r="AR6" s="272">
        <f t="shared" si="0"/>
        <v>0</v>
      </c>
      <c r="AS6" s="271">
        <f t="shared" si="0"/>
        <v>0</v>
      </c>
      <c r="AT6" s="270">
        <f t="shared" si="0"/>
        <v>0</v>
      </c>
      <c r="AU6" s="270">
        <f t="shared" si="0"/>
        <v>0</v>
      </c>
      <c r="AV6" s="272">
        <f t="shared" si="0"/>
        <v>0</v>
      </c>
    </row>
    <row r="7" spans="2:49" s="257" customFormat="1" ht="15.75" customHeight="1">
      <c r="B7" s="1975"/>
      <c r="C7" s="273" t="s">
        <v>19</v>
      </c>
      <c r="D7" s="274">
        <f>SUM(E7:AV7)</f>
        <v>5573.1218406316912</v>
      </c>
      <c r="E7" s="275">
        <f>E14+E21</f>
        <v>0</v>
      </c>
      <c r="F7" s="276">
        <f>F14+F21</f>
        <v>0</v>
      </c>
      <c r="G7" s="276">
        <f t="shared" ref="G7:AV7" si="1">G14+G21</f>
        <v>0</v>
      </c>
      <c r="H7" s="277">
        <f t="shared" si="1"/>
        <v>0</v>
      </c>
      <c r="I7" s="275">
        <f t="shared" si="1"/>
        <v>0</v>
      </c>
      <c r="J7" s="276">
        <f t="shared" si="1"/>
        <v>562.27499999999998</v>
      </c>
      <c r="K7" s="276">
        <f t="shared" si="1"/>
        <v>825.74099999999987</v>
      </c>
      <c r="L7" s="277">
        <f t="shared" si="1"/>
        <v>506.24027999999998</v>
      </c>
      <c r="M7" s="275">
        <f t="shared" si="1"/>
        <v>370.29292559999999</v>
      </c>
      <c r="N7" s="276">
        <f t="shared" si="1"/>
        <v>245.16774785454547</v>
      </c>
      <c r="O7" s="276">
        <f t="shared" si="1"/>
        <v>138.87490909090909</v>
      </c>
      <c r="P7" s="277">
        <f t="shared" si="1"/>
        <v>2859.0662976701915</v>
      </c>
      <c r="Q7" s="275">
        <f t="shared" si="1"/>
        <v>65.463680416045662</v>
      </c>
      <c r="R7" s="276">
        <f t="shared" si="1"/>
        <v>0</v>
      </c>
      <c r="S7" s="276">
        <f t="shared" si="1"/>
        <v>0</v>
      </c>
      <c r="T7" s="277">
        <f t="shared" si="1"/>
        <v>0</v>
      </c>
      <c r="U7" s="275">
        <f t="shared" si="1"/>
        <v>0</v>
      </c>
      <c r="V7" s="276">
        <f t="shared" si="1"/>
        <v>0</v>
      </c>
      <c r="W7" s="276">
        <f t="shared" si="1"/>
        <v>0</v>
      </c>
      <c r="X7" s="277">
        <f t="shared" si="1"/>
        <v>0</v>
      </c>
      <c r="Y7" s="275">
        <f t="shared" si="1"/>
        <v>0</v>
      </c>
      <c r="Z7" s="276">
        <f t="shared" si="1"/>
        <v>0</v>
      </c>
      <c r="AA7" s="276">
        <f t="shared" si="1"/>
        <v>0</v>
      </c>
      <c r="AB7" s="277">
        <f t="shared" si="1"/>
        <v>0</v>
      </c>
      <c r="AC7" s="275">
        <f t="shared" si="1"/>
        <v>0</v>
      </c>
      <c r="AD7" s="276">
        <f t="shared" si="1"/>
        <v>0</v>
      </c>
      <c r="AE7" s="276">
        <f t="shared" si="1"/>
        <v>0</v>
      </c>
      <c r="AF7" s="277">
        <f t="shared" si="1"/>
        <v>0</v>
      </c>
      <c r="AG7" s="275">
        <f t="shared" si="1"/>
        <v>0</v>
      </c>
      <c r="AH7" s="276">
        <f t="shared" si="1"/>
        <v>0</v>
      </c>
      <c r="AI7" s="276">
        <f t="shared" si="1"/>
        <v>0</v>
      </c>
      <c r="AJ7" s="277">
        <f t="shared" si="1"/>
        <v>0</v>
      </c>
      <c r="AK7" s="275">
        <f t="shared" si="1"/>
        <v>0</v>
      </c>
      <c r="AL7" s="276">
        <f t="shared" si="1"/>
        <v>0</v>
      </c>
      <c r="AM7" s="276">
        <f t="shared" si="1"/>
        <v>0</v>
      </c>
      <c r="AN7" s="277">
        <f t="shared" si="1"/>
        <v>0</v>
      </c>
      <c r="AO7" s="275">
        <f t="shared" si="1"/>
        <v>0</v>
      </c>
      <c r="AP7" s="276">
        <f t="shared" si="1"/>
        <v>0</v>
      </c>
      <c r="AQ7" s="276">
        <f t="shared" si="1"/>
        <v>0</v>
      </c>
      <c r="AR7" s="277">
        <f t="shared" si="1"/>
        <v>0</v>
      </c>
      <c r="AS7" s="275">
        <f t="shared" si="1"/>
        <v>0</v>
      </c>
      <c r="AT7" s="276">
        <f t="shared" si="1"/>
        <v>0</v>
      </c>
      <c r="AU7" s="276">
        <f t="shared" si="1"/>
        <v>0</v>
      </c>
      <c r="AV7" s="277">
        <f t="shared" si="1"/>
        <v>0</v>
      </c>
      <c r="AW7" s="304">
        <f>IFERROR(D7/(('11.销售及回款表'!D78+'11.销售及回款表'!D83)/1.11),0)</f>
        <v>6.1496856179595966E-2</v>
      </c>
    </row>
    <row r="8" spans="2:49" s="256" customFormat="1" ht="15.75" customHeight="1">
      <c r="B8" s="1975"/>
      <c r="C8" s="273" t="s">
        <v>20</v>
      </c>
      <c r="D8" s="274">
        <f>SUM(E8:AV8)</f>
        <v>0</v>
      </c>
      <c r="E8" s="275">
        <f>E15+E22</f>
        <v>0</v>
      </c>
      <c r="F8" s="276">
        <f t="shared" ref="F8:AV8" si="2">F15+F22</f>
        <v>0</v>
      </c>
      <c r="G8" s="276">
        <f t="shared" si="2"/>
        <v>0</v>
      </c>
      <c r="H8" s="277">
        <f t="shared" si="2"/>
        <v>0</v>
      </c>
      <c r="I8" s="275">
        <f t="shared" si="2"/>
        <v>0</v>
      </c>
      <c r="J8" s="276">
        <f t="shared" si="2"/>
        <v>0</v>
      </c>
      <c r="K8" s="276">
        <f t="shared" si="2"/>
        <v>0</v>
      </c>
      <c r="L8" s="277">
        <f t="shared" si="2"/>
        <v>0</v>
      </c>
      <c r="M8" s="275">
        <f t="shared" si="2"/>
        <v>0</v>
      </c>
      <c r="N8" s="276">
        <f t="shared" si="2"/>
        <v>0</v>
      </c>
      <c r="O8" s="276">
        <f t="shared" si="2"/>
        <v>0</v>
      </c>
      <c r="P8" s="277">
        <f t="shared" si="2"/>
        <v>0</v>
      </c>
      <c r="Q8" s="275">
        <f t="shared" si="2"/>
        <v>0</v>
      </c>
      <c r="R8" s="276">
        <f t="shared" si="2"/>
        <v>0</v>
      </c>
      <c r="S8" s="276">
        <f t="shared" si="2"/>
        <v>0</v>
      </c>
      <c r="T8" s="277">
        <f t="shared" si="2"/>
        <v>0</v>
      </c>
      <c r="U8" s="275">
        <f t="shared" si="2"/>
        <v>0</v>
      </c>
      <c r="V8" s="276">
        <f t="shared" si="2"/>
        <v>0</v>
      </c>
      <c r="W8" s="276">
        <f t="shared" si="2"/>
        <v>0</v>
      </c>
      <c r="X8" s="277">
        <f t="shared" si="2"/>
        <v>0</v>
      </c>
      <c r="Y8" s="275">
        <f t="shared" si="2"/>
        <v>0</v>
      </c>
      <c r="Z8" s="276">
        <f t="shared" si="2"/>
        <v>0</v>
      </c>
      <c r="AA8" s="276">
        <f t="shared" si="2"/>
        <v>0</v>
      </c>
      <c r="AB8" s="277">
        <f t="shared" si="2"/>
        <v>0</v>
      </c>
      <c r="AC8" s="275">
        <f t="shared" si="2"/>
        <v>0</v>
      </c>
      <c r="AD8" s="276">
        <f t="shared" si="2"/>
        <v>0</v>
      </c>
      <c r="AE8" s="276">
        <f t="shared" si="2"/>
        <v>0</v>
      </c>
      <c r="AF8" s="277">
        <f t="shared" si="2"/>
        <v>0</v>
      </c>
      <c r="AG8" s="275">
        <f t="shared" si="2"/>
        <v>0</v>
      </c>
      <c r="AH8" s="276">
        <f t="shared" si="2"/>
        <v>0</v>
      </c>
      <c r="AI8" s="276">
        <f t="shared" si="2"/>
        <v>0</v>
      </c>
      <c r="AJ8" s="277">
        <f t="shared" si="2"/>
        <v>0</v>
      </c>
      <c r="AK8" s="275">
        <f t="shared" si="2"/>
        <v>0</v>
      </c>
      <c r="AL8" s="276">
        <f t="shared" si="2"/>
        <v>0</v>
      </c>
      <c r="AM8" s="276">
        <f t="shared" si="2"/>
        <v>0</v>
      </c>
      <c r="AN8" s="277">
        <f t="shared" si="2"/>
        <v>0</v>
      </c>
      <c r="AO8" s="275">
        <f t="shared" si="2"/>
        <v>0</v>
      </c>
      <c r="AP8" s="276">
        <f t="shared" si="2"/>
        <v>0</v>
      </c>
      <c r="AQ8" s="276">
        <f t="shared" si="2"/>
        <v>0</v>
      </c>
      <c r="AR8" s="277">
        <f t="shared" si="2"/>
        <v>0</v>
      </c>
      <c r="AS8" s="275">
        <f t="shared" si="2"/>
        <v>0</v>
      </c>
      <c r="AT8" s="276">
        <f t="shared" si="2"/>
        <v>0</v>
      </c>
      <c r="AU8" s="276">
        <f t="shared" si="2"/>
        <v>0</v>
      </c>
      <c r="AV8" s="277">
        <f t="shared" si="2"/>
        <v>0</v>
      </c>
      <c r="AW8" s="304">
        <f>IFERROR(D8/(('11.销售及回款表'!D148+'11.销售及回款表'!D153)/1.11),0)</f>
        <v>0</v>
      </c>
    </row>
    <row r="9" spans="2:49" s="256" customFormat="1" ht="15.75" customHeight="1">
      <c r="B9" s="1975"/>
      <c r="C9" s="273" t="s">
        <v>21</v>
      </c>
      <c r="D9" s="274">
        <f>SUM(E9:AV9)</f>
        <v>0</v>
      </c>
      <c r="E9" s="275">
        <f>E16+E23</f>
        <v>0</v>
      </c>
      <c r="F9" s="276">
        <f t="shared" ref="F9:AV9" si="3">F16+F23</f>
        <v>0</v>
      </c>
      <c r="G9" s="276">
        <f t="shared" si="3"/>
        <v>0</v>
      </c>
      <c r="H9" s="277">
        <f t="shared" si="3"/>
        <v>0</v>
      </c>
      <c r="I9" s="275">
        <f t="shared" si="3"/>
        <v>0</v>
      </c>
      <c r="J9" s="276">
        <f t="shared" si="3"/>
        <v>0</v>
      </c>
      <c r="K9" s="276">
        <f t="shared" si="3"/>
        <v>0</v>
      </c>
      <c r="L9" s="277">
        <f t="shared" si="3"/>
        <v>0</v>
      </c>
      <c r="M9" s="275">
        <f t="shared" si="3"/>
        <v>0</v>
      </c>
      <c r="N9" s="276">
        <f t="shared" si="3"/>
        <v>0</v>
      </c>
      <c r="O9" s="276">
        <f t="shared" si="3"/>
        <v>0</v>
      </c>
      <c r="P9" s="277">
        <f t="shared" si="3"/>
        <v>0</v>
      </c>
      <c r="Q9" s="275">
        <f t="shared" si="3"/>
        <v>0</v>
      </c>
      <c r="R9" s="276">
        <f t="shared" si="3"/>
        <v>0</v>
      </c>
      <c r="S9" s="276">
        <f t="shared" si="3"/>
        <v>0</v>
      </c>
      <c r="T9" s="277">
        <f t="shared" si="3"/>
        <v>0</v>
      </c>
      <c r="U9" s="275">
        <f t="shared" si="3"/>
        <v>0</v>
      </c>
      <c r="V9" s="276">
        <f t="shared" si="3"/>
        <v>0</v>
      </c>
      <c r="W9" s="276">
        <f t="shared" si="3"/>
        <v>0</v>
      </c>
      <c r="X9" s="277">
        <f t="shared" si="3"/>
        <v>0</v>
      </c>
      <c r="Y9" s="275">
        <f t="shared" si="3"/>
        <v>0</v>
      </c>
      <c r="Z9" s="276">
        <f t="shared" si="3"/>
        <v>0</v>
      </c>
      <c r="AA9" s="276">
        <f t="shared" si="3"/>
        <v>0</v>
      </c>
      <c r="AB9" s="277">
        <f t="shared" si="3"/>
        <v>0</v>
      </c>
      <c r="AC9" s="275">
        <f t="shared" si="3"/>
        <v>0</v>
      </c>
      <c r="AD9" s="276">
        <f t="shared" si="3"/>
        <v>0</v>
      </c>
      <c r="AE9" s="276">
        <f t="shared" si="3"/>
        <v>0</v>
      </c>
      <c r="AF9" s="277">
        <f t="shared" si="3"/>
        <v>0</v>
      </c>
      <c r="AG9" s="275">
        <f t="shared" si="3"/>
        <v>0</v>
      </c>
      <c r="AH9" s="276">
        <f t="shared" si="3"/>
        <v>0</v>
      </c>
      <c r="AI9" s="276">
        <f t="shared" si="3"/>
        <v>0</v>
      </c>
      <c r="AJ9" s="277">
        <f t="shared" si="3"/>
        <v>0</v>
      </c>
      <c r="AK9" s="275">
        <f t="shared" si="3"/>
        <v>0</v>
      </c>
      <c r="AL9" s="276">
        <f t="shared" si="3"/>
        <v>0</v>
      </c>
      <c r="AM9" s="276">
        <f t="shared" si="3"/>
        <v>0</v>
      </c>
      <c r="AN9" s="277">
        <f t="shared" si="3"/>
        <v>0</v>
      </c>
      <c r="AO9" s="275">
        <f t="shared" si="3"/>
        <v>0</v>
      </c>
      <c r="AP9" s="276">
        <f t="shared" si="3"/>
        <v>0</v>
      </c>
      <c r="AQ9" s="276">
        <f t="shared" si="3"/>
        <v>0</v>
      </c>
      <c r="AR9" s="277">
        <f t="shared" si="3"/>
        <v>0</v>
      </c>
      <c r="AS9" s="275">
        <f t="shared" si="3"/>
        <v>0</v>
      </c>
      <c r="AT9" s="276">
        <f t="shared" si="3"/>
        <v>0</v>
      </c>
      <c r="AU9" s="276">
        <f t="shared" si="3"/>
        <v>0</v>
      </c>
      <c r="AV9" s="277">
        <f t="shared" si="3"/>
        <v>0</v>
      </c>
      <c r="AW9" s="304">
        <f>IFERROR(D9/(('11.销售及回款表'!D218+'11.销售及回款表'!D223)/1.11),0)</f>
        <v>0</v>
      </c>
    </row>
    <row r="10" spans="2:49" s="256" customFormat="1" ht="15.75" customHeight="1">
      <c r="B10" s="1975"/>
      <c r="C10" s="273" t="s">
        <v>22</v>
      </c>
      <c r="D10" s="274">
        <f t="shared" ref="D10:D12" si="4">SUM(E10:AV10)</f>
        <v>0</v>
      </c>
      <c r="E10" s="275">
        <f>E17+E24</f>
        <v>0</v>
      </c>
      <c r="F10" s="276">
        <f t="shared" ref="F10:AV10" si="5">F17+F24</f>
        <v>0</v>
      </c>
      <c r="G10" s="276">
        <f t="shared" si="5"/>
        <v>0</v>
      </c>
      <c r="H10" s="277">
        <f t="shared" si="5"/>
        <v>0</v>
      </c>
      <c r="I10" s="275">
        <f t="shared" si="5"/>
        <v>0</v>
      </c>
      <c r="J10" s="276">
        <f t="shared" si="5"/>
        <v>0</v>
      </c>
      <c r="K10" s="276">
        <f t="shared" si="5"/>
        <v>0</v>
      </c>
      <c r="L10" s="277">
        <f t="shared" si="5"/>
        <v>0</v>
      </c>
      <c r="M10" s="275">
        <f t="shared" si="5"/>
        <v>0</v>
      </c>
      <c r="N10" s="276">
        <f t="shared" si="5"/>
        <v>0</v>
      </c>
      <c r="O10" s="276">
        <f t="shared" si="5"/>
        <v>0</v>
      </c>
      <c r="P10" s="277">
        <f t="shared" si="5"/>
        <v>0</v>
      </c>
      <c r="Q10" s="275">
        <f t="shared" si="5"/>
        <v>0</v>
      </c>
      <c r="R10" s="276">
        <f t="shared" si="5"/>
        <v>0</v>
      </c>
      <c r="S10" s="276">
        <f t="shared" si="5"/>
        <v>0</v>
      </c>
      <c r="T10" s="277">
        <f t="shared" si="5"/>
        <v>0</v>
      </c>
      <c r="U10" s="275">
        <f t="shared" si="5"/>
        <v>0</v>
      </c>
      <c r="V10" s="276">
        <f t="shared" si="5"/>
        <v>0</v>
      </c>
      <c r="W10" s="276">
        <f t="shared" si="5"/>
        <v>0</v>
      </c>
      <c r="X10" s="277">
        <f t="shared" si="5"/>
        <v>0</v>
      </c>
      <c r="Y10" s="275">
        <f t="shared" si="5"/>
        <v>0</v>
      </c>
      <c r="Z10" s="276">
        <f t="shared" si="5"/>
        <v>0</v>
      </c>
      <c r="AA10" s="276">
        <f t="shared" si="5"/>
        <v>0</v>
      </c>
      <c r="AB10" s="277">
        <f t="shared" si="5"/>
        <v>0</v>
      </c>
      <c r="AC10" s="275">
        <f t="shared" si="5"/>
        <v>0</v>
      </c>
      <c r="AD10" s="276">
        <f t="shared" si="5"/>
        <v>0</v>
      </c>
      <c r="AE10" s="276">
        <f t="shared" si="5"/>
        <v>0</v>
      </c>
      <c r="AF10" s="277">
        <f t="shared" si="5"/>
        <v>0</v>
      </c>
      <c r="AG10" s="275">
        <f t="shared" si="5"/>
        <v>0</v>
      </c>
      <c r="AH10" s="276">
        <f t="shared" si="5"/>
        <v>0</v>
      </c>
      <c r="AI10" s="276">
        <f t="shared" si="5"/>
        <v>0</v>
      </c>
      <c r="AJ10" s="277">
        <f t="shared" si="5"/>
        <v>0</v>
      </c>
      <c r="AK10" s="275">
        <f t="shared" si="5"/>
        <v>0</v>
      </c>
      <c r="AL10" s="276">
        <f t="shared" si="5"/>
        <v>0</v>
      </c>
      <c r="AM10" s="276">
        <f t="shared" si="5"/>
        <v>0</v>
      </c>
      <c r="AN10" s="277">
        <f t="shared" si="5"/>
        <v>0</v>
      </c>
      <c r="AO10" s="275">
        <f t="shared" si="5"/>
        <v>0</v>
      </c>
      <c r="AP10" s="276">
        <f t="shared" si="5"/>
        <v>0</v>
      </c>
      <c r="AQ10" s="276">
        <f t="shared" si="5"/>
        <v>0</v>
      </c>
      <c r="AR10" s="277">
        <f t="shared" si="5"/>
        <v>0</v>
      </c>
      <c r="AS10" s="275">
        <f t="shared" si="5"/>
        <v>0</v>
      </c>
      <c r="AT10" s="276">
        <f t="shared" si="5"/>
        <v>0</v>
      </c>
      <c r="AU10" s="276">
        <f t="shared" si="5"/>
        <v>0</v>
      </c>
      <c r="AV10" s="277">
        <f t="shared" si="5"/>
        <v>0</v>
      </c>
      <c r="AW10" s="304">
        <f>IFERROR(D10/(('11.销售及回款表'!D288+'11.销售及回款表'!D293)/1.11),0)</f>
        <v>0</v>
      </c>
    </row>
    <row r="11" spans="2:49" s="256" customFormat="1" ht="15.75" customHeight="1">
      <c r="B11" s="1975"/>
      <c r="C11" s="273" t="s">
        <v>23</v>
      </c>
      <c r="D11" s="274">
        <f t="shared" si="4"/>
        <v>0</v>
      </c>
      <c r="E11" s="275">
        <f>E18+E25</f>
        <v>0</v>
      </c>
      <c r="F11" s="276">
        <f t="shared" ref="F11:AV11" si="6">F18+F25</f>
        <v>0</v>
      </c>
      <c r="G11" s="276">
        <f t="shared" si="6"/>
        <v>0</v>
      </c>
      <c r="H11" s="277">
        <f t="shared" si="6"/>
        <v>0</v>
      </c>
      <c r="I11" s="275">
        <f t="shared" si="6"/>
        <v>0</v>
      </c>
      <c r="J11" s="276">
        <f t="shared" si="6"/>
        <v>0</v>
      </c>
      <c r="K11" s="276">
        <f t="shared" si="6"/>
        <v>0</v>
      </c>
      <c r="L11" s="277">
        <f t="shared" si="6"/>
        <v>0</v>
      </c>
      <c r="M11" s="275">
        <f t="shared" si="6"/>
        <v>0</v>
      </c>
      <c r="N11" s="276">
        <f t="shared" si="6"/>
        <v>0</v>
      </c>
      <c r="O11" s="276">
        <f t="shared" si="6"/>
        <v>0</v>
      </c>
      <c r="P11" s="277">
        <f t="shared" si="6"/>
        <v>0</v>
      </c>
      <c r="Q11" s="275">
        <f t="shared" si="6"/>
        <v>0</v>
      </c>
      <c r="R11" s="276">
        <f t="shared" si="6"/>
        <v>0</v>
      </c>
      <c r="S11" s="276">
        <f t="shared" si="6"/>
        <v>0</v>
      </c>
      <c r="T11" s="277">
        <f t="shared" si="6"/>
        <v>0</v>
      </c>
      <c r="U11" s="275">
        <f t="shared" si="6"/>
        <v>0</v>
      </c>
      <c r="V11" s="276">
        <f t="shared" si="6"/>
        <v>0</v>
      </c>
      <c r="W11" s="276">
        <f t="shared" si="6"/>
        <v>0</v>
      </c>
      <c r="X11" s="277">
        <f t="shared" si="6"/>
        <v>0</v>
      </c>
      <c r="Y11" s="275">
        <f t="shared" si="6"/>
        <v>0</v>
      </c>
      <c r="Z11" s="276">
        <f t="shared" si="6"/>
        <v>0</v>
      </c>
      <c r="AA11" s="276">
        <f t="shared" si="6"/>
        <v>0</v>
      </c>
      <c r="AB11" s="277">
        <f t="shared" si="6"/>
        <v>0</v>
      </c>
      <c r="AC11" s="275">
        <f t="shared" si="6"/>
        <v>0</v>
      </c>
      <c r="AD11" s="276">
        <f t="shared" si="6"/>
        <v>0</v>
      </c>
      <c r="AE11" s="276">
        <f t="shared" si="6"/>
        <v>0</v>
      </c>
      <c r="AF11" s="277">
        <f t="shared" si="6"/>
        <v>0</v>
      </c>
      <c r="AG11" s="275">
        <f t="shared" si="6"/>
        <v>0</v>
      </c>
      <c r="AH11" s="276">
        <f t="shared" si="6"/>
        <v>0</v>
      </c>
      <c r="AI11" s="276">
        <f t="shared" si="6"/>
        <v>0</v>
      </c>
      <c r="AJ11" s="277">
        <f t="shared" si="6"/>
        <v>0</v>
      </c>
      <c r="AK11" s="275">
        <f t="shared" si="6"/>
        <v>0</v>
      </c>
      <c r="AL11" s="276">
        <f t="shared" si="6"/>
        <v>0</v>
      </c>
      <c r="AM11" s="276">
        <f t="shared" si="6"/>
        <v>0</v>
      </c>
      <c r="AN11" s="277">
        <f t="shared" si="6"/>
        <v>0</v>
      </c>
      <c r="AO11" s="275">
        <f t="shared" si="6"/>
        <v>0</v>
      </c>
      <c r="AP11" s="276">
        <f t="shared" si="6"/>
        <v>0</v>
      </c>
      <c r="AQ11" s="276">
        <f t="shared" si="6"/>
        <v>0</v>
      </c>
      <c r="AR11" s="277">
        <f t="shared" si="6"/>
        <v>0</v>
      </c>
      <c r="AS11" s="275">
        <f t="shared" si="6"/>
        <v>0</v>
      </c>
      <c r="AT11" s="276">
        <f t="shared" si="6"/>
        <v>0</v>
      </c>
      <c r="AU11" s="276">
        <f t="shared" si="6"/>
        <v>0</v>
      </c>
      <c r="AV11" s="277">
        <f t="shared" si="6"/>
        <v>0</v>
      </c>
      <c r="AW11" s="304">
        <f>IFERROR(D11/(('11.销售及回款表'!D358+'11.销售及回款表'!D363)/1.11),0)</f>
        <v>0</v>
      </c>
    </row>
    <row r="12" spans="2:49" s="256" customFormat="1" ht="15.75" customHeight="1">
      <c r="B12" s="1976"/>
      <c r="C12" s="278" t="s">
        <v>24</v>
      </c>
      <c r="D12" s="279">
        <f t="shared" si="4"/>
        <v>0</v>
      </c>
      <c r="E12" s="280">
        <f t="shared" ref="E12:AV12" si="7">E19+E26</f>
        <v>0</v>
      </c>
      <c r="F12" s="281">
        <f t="shared" si="7"/>
        <v>0</v>
      </c>
      <c r="G12" s="281">
        <f t="shared" si="7"/>
        <v>0</v>
      </c>
      <c r="H12" s="282">
        <f t="shared" si="7"/>
        <v>0</v>
      </c>
      <c r="I12" s="280">
        <f t="shared" si="7"/>
        <v>0</v>
      </c>
      <c r="J12" s="281">
        <f t="shared" si="7"/>
        <v>0</v>
      </c>
      <c r="K12" s="281">
        <f t="shared" si="7"/>
        <v>0</v>
      </c>
      <c r="L12" s="282">
        <f t="shared" si="7"/>
        <v>0</v>
      </c>
      <c r="M12" s="280">
        <f t="shared" si="7"/>
        <v>0</v>
      </c>
      <c r="N12" s="281">
        <f t="shared" si="7"/>
        <v>0</v>
      </c>
      <c r="O12" s="281">
        <f t="shared" si="7"/>
        <v>0</v>
      </c>
      <c r="P12" s="282">
        <f t="shared" si="7"/>
        <v>0</v>
      </c>
      <c r="Q12" s="280">
        <f t="shared" si="7"/>
        <v>0</v>
      </c>
      <c r="R12" s="281">
        <f t="shared" si="7"/>
        <v>0</v>
      </c>
      <c r="S12" s="281">
        <f t="shared" si="7"/>
        <v>0</v>
      </c>
      <c r="T12" s="282">
        <f t="shared" si="7"/>
        <v>0</v>
      </c>
      <c r="U12" s="280">
        <f t="shared" si="7"/>
        <v>0</v>
      </c>
      <c r="V12" s="281">
        <f t="shared" si="7"/>
        <v>0</v>
      </c>
      <c r="W12" s="281">
        <f t="shared" si="7"/>
        <v>0</v>
      </c>
      <c r="X12" s="282">
        <f t="shared" si="7"/>
        <v>0</v>
      </c>
      <c r="Y12" s="280">
        <f t="shared" si="7"/>
        <v>0</v>
      </c>
      <c r="Z12" s="281">
        <f t="shared" si="7"/>
        <v>0</v>
      </c>
      <c r="AA12" s="281">
        <f t="shared" si="7"/>
        <v>0</v>
      </c>
      <c r="AB12" s="282">
        <f t="shared" si="7"/>
        <v>0</v>
      </c>
      <c r="AC12" s="280">
        <f t="shared" si="7"/>
        <v>0</v>
      </c>
      <c r="AD12" s="281">
        <f t="shared" si="7"/>
        <v>0</v>
      </c>
      <c r="AE12" s="281">
        <f t="shared" si="7"/>
        <v>0</v>
      </c>
      <c r="AF12" s="282">
        <f t="shared" si="7"/>
        <v>0</v>
      </c>
      <c r="AG12" s="280">
        <f t="shared" si="7"/>
        <v>0</v>
      </c>
      <c r="AH12" s="281">
        <f t="shared" si="7"/>
        <v>0</v>
      </c>
      <c r="AI12" s="281">
        <f t="shared" si="7"/>
        <v>0</v>
      </c>
      <c r="AJ12" s="282">
        <f t="shared" si="7"/>
        <v>0</v>
      </c>
      <c r="AK12" s="280">
        <f t="shared" si="7"/>
        <v>0</v>
      </c>
      <c r="AL12" s="281">
        <f t="shared" si="7"/>
        <v>0</v>
      </c>
      <c r="AM12" s="281">
        <f t="shared" si="7"/>
        <v>0</v>
      </c>
      <c r="AN12" s="282">
        <f t="shared" si="7"/>
        <v>0</v>
      </c>
      <c r="AO12" s="280">
        <f t="shared" si="7"/>
        <v>0</v>
      </c>
      <c r="AP12" s="281">
        <f t="shared" si="7"/>
        <v>0</v>
      </c>
      <c r="AQ12" s="281">
        <f t="shared" si="7"/>
        <v>0</v>
      </c>
      <c r="AR12" s="282">
        <f t="shared" si="7"/>
        <v>0</v>
      </c>
      <c r="AS12" s="280">
        <f t="shared" si="7"/>
        <v>0</v>
      </c>
      <c r="AT12" s="281">
        <f t="shared" si="7"/>
        <v>0</v>
      </c>
      <c r="AU12" s="281">
        <f t="shared" si="7"/>
        <v>0</v>
      </c>
      <c r="AV12" s="282">
        <f t="shared" si="7"/>
        <v>0</v>
      </c>
      <c r="AW12" s="304">
        <f>IFERROR(D12/(('11.销售及回款表'!D428+'11.销售及回款表'!D433)/1.11),0)</f>
        <v>0</v>
      </c>
    </row>
    <row r="13" spans="2:49" s="257" customFormat="1" ht="15.75" customHeight="1">
      <c r="B13" s="1977" t="s">
        <v>924</v>
      </c>
      <c r="C13" s="283" t="s">
        <v>251</v>
      </c>
      <c r="D13" s="284">
        <f>SUM(D14:D19)</f>
        <v>2743.4507716363632</v>
      </c>
      <c r="E13" s="285">
        <f t="shared" ref="E13:AV13" si="8">SUM(E14:E19)</f>
        <v>0</v>
      </c>
      <c r="F13" s="284">
        <f t="shared" si="8"/>
        <v>0</v>
      </c>
      <c r="G13" s="284">
        <f t="shared" si="8"/>
        <v>0</v>
      </c>
      <c r="H13" s="286">
        <f t="shared" si="8"/>
        <v>0</v>
      </c>
      <c r="I13" s="285">
        <f t="shared" si="8"/>
        <v>0</v>
      </c>
      <c r="J13" s="284">
        <f t="shared" si="8"/>
        <v>562.27499999999998</v>
      </c>
      <c r="K13" s="284">
        <f t="shared" si="8"/>
        <v>825.74099999999987</v>
      </c>
      <c r="L13" s="286">
        <f t="shared" si="8"/>
        <v>506.24027999999998</v>
      </c>
      <c r="M13" s="285">
        <f t="shared" si="8"/>
        <v>370.29292559999999</v>
      </c>
      <c r="N13" s="284">
        <f t="shared" si="8"/>
        <v>245.16774785454547</v>
      </c>
      <c r="O13" s="284">
        <f t="shared" si="8"/>
        <v>138.87490909090909</v>
      </c>
      <c r="P13" s="286">
        <f t="shared" si="8"/>
        <v>62.633454545454548</v>
      </c>
      <c r="Q13" s="285">
        <f t="shared" si="8"/>
        <v>32.225454545454539</v>
      </c>
      <c r="R13" s="284">
        <f t="shared" si="8"/>
        <v>0</v>
      </c>
      <c r="S13" s="284">
        <f t="shared" si="8"/>
        <v>0</v>
      </c>
      <c r="T13" s="286">
        <f t="shared" si="8"/>
        <v>0</v>
      </c>
      <c r="U13" s="285">
        <f t="shared" si="8"/>
        <v>0</v>
      </c>
      <c r="V13" s="284">
        <f t="shared" si="8"/>
        <v>0</v>
      </c>
      <c r="W13" s="284">
        <f t="shared" si="8"/>
        <v>0</v>
      </c>
      <c r="X13" s="286">
        <f t="shared" si="8"/>
        <v>0</v>
      </c>
      <c r="Y13" s="285">
        <f t="shared" si="8"/>
        <v>0</v>
      </c>
      <c r="Z13" s="284">
        <f t="shared" si="8"/>
        <v>0</v>
      </c>
      <c r="AA13" s="284">
        <f t="shared" si="8"/>
        <v>0</v>
      </c>
      <c r="AB13" s="286">
        <f t="shared" si="8"/>
        <v>0</v>
      </c>
      <c r="AC13" s="285">
        <f t="shared" si="8"/>
        <v>0</v>
      </c>
      <c r="AD13" s="284">
        <f t="shared" si="8"/>
        <v>0</v>
      </c>
      <c r="AE13" s="284">
        <f t="shared" si="8"/>
        <v>0</v>
      </c>
      <c r="AF13" s="286">
        <f t="shared" si="8"/>
        <v>0</v>
      </c>
      <c r="AG13" s="285">
        <f t="shared" si="8"/>
        <v>0</v>
      </c>
      <c r="AH13" s="284">
        <f t="shared" si="8"/>
        <v>0</v>
      </c>
      <c r="AI13" s="284">
        <f t="shared" si="8"/>
        <v>0</v>
      </c>
      <c r="AJ13" s="286">
        <f t="shared" si="8"/>
        <v>0</v>
      </c>
      <c r="AK13" s="285">
        <f t="shared" si="8"/>
        <v>0</v>
      </c>
      <c r="AL13" s="284">
        <f t="shared" si="8"/>
        <v>0</v>
      </c>
      <c r="AM13" s="284">
        <f t="shared" si="8"/>
        <v>0</v>
      </c>
      <c r="AN13" s="286">
        <f t="shared" si="8"/>
        <v>0</v>
      </c>
      <c r="AO13" s="285">
        <f t="shared" si="8"/>
        <v>0</v>
      </c>
      <c r="AP13" s="284">
        <f t="shared" si="8"/>
        <v>0</v>
      </c>
      <c r="AQ13" s="284">
        <f t="shared" si="8"/>
        <v>0</v>
      </c>
      <c r="AR13" s="286">
        <f t="shared" si="8"/>
        <v>0</v>
      </c>
      <c r="AS13" s="285">
        <f t="shared" si="8"/>
        <v>0</v>
      </c>
      <c r="AT13" s="284">
        <f t="shared" si="8"/>
        <v>0</v>
      </c>
      <c r="AU13" s="284">
        <f t="shared" si="8"/>
        <v>0</v>
      </c>
      <c r="AV13" s="286">
        <f t="shared" si="8"/>
        <v>0</v>
      </c>
    </row>
    <row r="14" spans="2:49" s="257" customFormat="1" ht="15.75" customHeight="1">
      <c r="B14" s="1975"/>
      <c r="C14" s="273" t="s">
        <v>19</v>
      </c>
      <c r="D14" s="274">
        <f>SUM(E14:AV14)</f>
        <v>2743.4507716363632</v>
      </c>
      <c r="E14" s="275">
        <f>('11.销售及回款表'!E79+'11.销售及回款表'!E84)/1.1*0.03</f>
        <v>0</v>
      </c>
      <c r="F14" s="276">
        <f>('11.销售及回款表'!F79+'11.销售及回款表'!F84)/1.1*0.03</f>
        <v>0</v>
      </c>
      <c r="G14" s="276">
        <f>('11.销售及回款表'!G79+'11.销售及回款表'!G84)/1.1*0.03</f>
        <v>0</v>
      </c>
      <c r="H14" s="277">
        <f>('11.销售及回款表'!H79+'11.销售及回款表'!H84)/1.1*0.03</f>
        <v>0</v>
      </c>
      <c r="I14" s="275">
        <f>('11.销售及回款表'!I79+'11.销售及回款表'!I84)/1.1*0.03</f>
        <v>0</v>
      </c>
      <c r="J14" s="276">
        <f>('11.销售及回款表'!J79+'11.销售及回款表'!J84)/1.1*0.03</f>
        <v>562.27499999999998</v>
      </c>
      <c r="K14" s="276">
        <f>('11.销售及回款表'!K79+'11.销售及回款表'!K84)/1.1*0.03</f>
        <v>825.74099999999987</v>
      </c>
      <c r="L14" s="277">
        <f>('11.销售及回款表'!L79+'11.销售及回款表'!L84)/1.1*0.03</f>
        <v>506.24027999999998</v>
      </c>
      <c r="M14" s="275">
        <f>('11.销售及回款表'!M79+'11.销售及回款表'!M84)/1.1*0.03</f>
        <v>370.29292559999999</v>
      </c>
      <c r="N14" s="276">
        <f>('11.销售及回款表'!N79+'11.销售及回款表'!N84)/1.1*0.03</f>
        <v>245.16774785454547</v>
      </c>
      <c r="O14" s="276">
        <f>('11.销售及回款表'!O79+'11.销售及回款表'!O84)/1.1*0.03</f>
        <v>138.87490909090909</v>
      </c>
      <c r="P14" s="277">
        <f>('11.销售及回款表'!P79+'11.销售及回款表'!P84)/1.1*0.03</f>
        <v>62.633454545454548</v>
      </c>
      <c r="Q14" s="275">
        <f>('11.销售及回款表'!Q79+'11.销售及回款表'!Q84)/1.1*0.03</f>
        <v>32.225454545454539</v>
      </c>
      <c r="R14" s="276">
        <f>('11.销售及回款表'!R79+'11.销售及回款表'!R84)/1.1*0.03</f>
        <v>0</v>
      </c>
      <c r="S14" s="276">
        <f>('11.销售及回款表'!S79+'11.销售及回款表'!S84)/1.1*0.03</f>
        <v>0</v>
      </c>
      <c r="T14" s="277">
        <f>('11.销售及回款表'!T79+'11.销售及回款表'!T84)/1.1*0.03</f>
        <v>0</v>
      </c>
      <c r="U14" s="275">
        <f>('11.销售及回款表'!U79+'11.销售及回款表'!U84)/1.1*0.03</f>
        <v>0</v>
      </c>
      <c r="V14" s="276">
        <f>('11.销售及回款表'!V79+'11.销售及回款表'!V84)/1.1*0.03</f>
        <v>0</v>
      </c>
      <c r="W14" s="276">
        <f>('11.销售及回款表'!W79+'11.销售及回款表'!W84)/1.1*0.03</f>
        <v>0</v>
      </c>
      <c r="X14" s="277">
        <f>('11.销售及回款表'!X79+'11.销售及回款表'!X84)/1.1*0.03</f>
        <v>0</v>
      </c>
      <c r="Y14" s="275">
        <f>('11.销售及回款表'!Y79+'11.销售及回款表'!Y84)/1.1*0.03</f>
        <v>0</v>
      </c>
      <c r="Z14" s="276">
        <f>('11.销售及回款表'!Z79+'11.销售及回款表'!Z84)/1.1*0.03</f>
        <v>0</v>
      </c>
      <c r="AA14" s="276">
        <f>('11.销售及回款表'!AA79+'11.销售及回款表'!AA84)/1.1*0.03</f>
        <v>0</v>
      </c>
      <c r="AB14" s="277">
        <f>('11.销售及回款表'!AB79+'11.销售及回款表'!AB84)/1.1*0.03</f>
        <v>0</v>
      </c>
      <c r="AC14" s="275">
        <f>('11.销售及回款表'!AC79+'11.销售及回款表'!AC84)/1.1*0.03</f>
        <v>0</v>
      </c>
      <c r="AD14" s="276">
        <f>('11.销售及回款表'!AD79+'11.销售及回款表'!AD84)/1.1*0.03</f>
        <v>0</v>
      </c>
      <c r="AE14" s="276">
        <f>('11.销售及回款表'!AE79+'11.销售及回款表'!AE84)/1.1*0.03</f>
        <v>0</v>
      </c>
      <c r="AF14" s="277">
        <f>('11.销售及回款表'!AF79+'11.销售及回款表'!AF84)/1.1*0.03</f>
        <v>0</v>
      </c>
      <c r="AG14" s="275">
        <f>('11.销售及回款表'!AG79+'11.销售及回款表'!AG84)/1.1*0.03</f>
        <v>0</v>
      </c>
      <c r="AH14" s="276">
        <f>('11.销售及回款表'!AH79+'11.销售及回款表'!AH84)/1.1*0.03</f>
        <v>0</v>
      </c>
      <c r="AI14" s="276">
        <f>('11.销售及回款表'!AI79+'11.销售及回款表'!AI84)/1.1*0.03</f>
        <v>0</v>
      </c>
      <c r="AJ14" s="277">
        <f>('11.销售及回款表'!AJ79+'11.销售及回款表'!AJ84)/1.1*0.03</f>
        <v>0</v>
      </c>
      <c r="AK14" s="275">
        <f>('11.销售及回款表'!AK79+'11.销售及回款表'!AK84)/1.1*0.03</f>
        <v>0</v>
      </c>
      <c r="AL14" s="276">
        <f>('11.销售及回款表'!AL79+'11.销售及回款表'!AL84)/1.1*0.03</f>
        <v>0</v>
      </c>
      <c r="AM14" s="276">
        <f>('11.销售及回款表'!AM79+'11.销售及回款表'!AM84)/1.1*0.03</f>
        <v>0</v>
      </c>
      <c r="AN14" s="277">
        <f>('11.销售及回款表'!AN79+'11.销售及回款表'!AN84)/1.1*0.03</f>
        <v>0</v>
      </c>
      <c r="AO14" s="275">
        <f>('11.销售及回款表'!AO79+'11.销售及回款表'!AO84)/1.1*0.03</f>
        <v>0</v>
      </c>
      <c r="AP14" s="276">
        <f>('11.销售及回款表'!AP79+'11.销售及回款表'!AP84)/1.1*0.03</f>
        <v>0</v>
      </c>
      <c r="AQ14" s="276">
        <f>('11.销售及回款表'!AQ79+'11.销售及回款表'!AQ84)/1.1*0.03</f>
        <v>0</v>
      </c>
      <c r="AR14" s="277">
        <f>('11.销售及回款表'!AR79+'11.销售及回款表'!AR84)/1.1*0.03</f>
        <v>0</v>
      </c>
      <c r="AS14" s="275">
        <f>('11.销售及回款表'!AS79+'11.销售及回款表'!AS84)/1.1*0.03</f>
        <v>0</v>
      </c>
      <c r="AT14" s="276">
        <f>('11.销售及回款表'!AT79+'11.销售及回款表'!AT84)/1.1*0.03</f>
        <v>0</v>
      </c>
      <c r="AU14" s="276">
        <f>('11.销售及回款表'!AU79+'11.销售及回款表'!AU84)/1.1*0.03</f>
        <v>0</v>
      </c>
      <c r="AV14" s="277">
        <f>('11.销售及回款表'!AV79+'11.销售及回款表'!AV84)/1.1*0.03</f>
        <v>0</v>
      </c>
    </row>
    <row r="15" spans="2:49" s="256" customFormat="1" ht="15.75" customHeight="1">
      <c r="B15" s="1975"/>
      <c r="C15" s="273" t="s">
        <v>20</v>
      </c>
      <c r="D15" s="274">
        <f t="shared" ref="D15:D26" si="9">SUM(E15:AV15)</f>
        <v>0</v>
      </c>
      <c r="E15" s="275">
        <f>('11.销售及回款表'!E149+'11.销售及回款表'!E154)/1.1*0.03</f>
        <v>0</v>
      </c>
      <c r="F15" s="276">
        <f>('11.销售及回款表'!F149+'11.销售及回款表'!F154)/1.1*0.03</f>
        <v>0</v>
      </c>
      <c r="G15" s="276">
        <f>('11.销售及回款表'!G149+'11.销售及回款表'!G154)/1.1*0.03</f>
        <v>0</v>
      </c>
      <c r="H15" s="277">
        <f>('11.销售及回款表'!H149+'11.销售及回款表'!H154)/1.1*0.03</f>
        <v>0</v>
      </c>
      <c r="I15" s="275">
        <f>('11.销售及回款表'!I149+'11.销售及回款表'!I154)/1.1*0.03</f>
        <v>0</v>
      </c>
      <c r="J15" s="276">
        <f>('11.销售及回款表'!J149+'11.销售及回款表'!J154)/1.1*0.03</f>
        <v>0</v>
      </c>
      <c r="K15" s="276">
        <f>('11.销售及回款表'!K149+'11.销售及回款表'!K154)/1.1*0.03</f>
        <v>0</v>
      </c>
      <c r="L15" s="277">
        <f>('11.销售及回款表'!L149+'11.销售及回款表'!L154)/1.1*0.03</f>
        <v>0</v>
      </c>
      <c r="M15" s="275">
        <f>('11.销售及回款表'!M149+'11.销售及回款表'!M154)/1.1*0.03</f>
        <v>0</v>
      </c>
      <c r="N15" s="276">
        <f>('11.销售及回款表'!N149+'11.销售及回款表'!N154)/1.1*0.03</f>
        <v>0</v>
      </c>
      <c r="O15" s="276">
        <f>('11.销售及回款表'!O149+'11.销售及回款表'!O154)/1.1*0.03</f>
        <v>0</v>
      </c>
      <c r="P15" s="277">
        <f>('11.销售及回款表'!P149+'11.销售及回款表'!P154)/1.1*0.03</f>
        <v>0</v>
      </c>
      <c r="Q15" s="275">
        <f>('11.销售及回款表'!Q149+'11.销售及回款表'!Q154)/1.1*0.03</f>
        <v>0</v>
      </c>
      <c r="R15" s="276">
        <f>('11.销售及回款表'!R149+'11.销售及回款表'!R154)/1.1*0.03</f>
        <v>0</v>
      </c>
      <c r="S15" s="276">
        <f>('11.销售及回款表'!S149+'11.销售及回款表'!S154)/1.1*0.03</f>
        <v>0</v>
      </c>
      <c r="T15" s="277">
        <f>('11.销售及回款表'!T149+'11.销售及回款表'!T154)/1.1*0.03</f>
        <v>0</v>
      </c>
      <c r="U15" s="275">
        <f>('11.销售及回款表'!U149+'11.销售及回款表'!U154)/1.1*0.03</f>
        <v>0</v>
      </c>
      <c r="V15" s="276">
        <f>('11.销售及回款表'!V149+'11.销售及回款表'!V154)/1.1*0.03</f>
        <v>0</v>
      </c>
      <c r="W15" s="276">
        <f>('11.销售及回款表'!W149+'11.销售及回款表'!W154)/1.1*0.03</f>
        <v>0</v>
      </c>
      <c r="X15" s="277">
        <f>('11.销售及回款表'!X149+'11.销售及回款表'!X154)/1.1*0.03</f>
        <v>0</v>
      </c>
      <c r="Y15" s="275">
        <f>('11.销售及回款表'!Y149+'11.销售及回款表'!Y154)/1.1*0.03</f>
        <v>0</v>
      </c>
      <c r="Z15" s="276">
        <f>('11.销售及回款表'!Z149+'11.销售及回款表'!Z154)/1.1*0.03</f>
        <v>0</v>
      </c>
      <c r="AA15" s="276">
        <f>('11.销售及回款表'!AA149+'11.销售及回款表'!AA154)/1.1*0.03</f>
        <v>0</v>
      </c>
      <c r="AB15" s="277">
        <f>('11.销售及回款表'!AB149+'11.销售及回款表'!AB154)/1.1*0.03</f>
        <v>0</v>
      </c>
      <c r="AC15" s="275">
        <f>('11.销售及回款表'!AC149+'11.销售及回款表'!AC154)/1.1*0.03</f>
        <v>0</v>
      </c>
      <c r="AD15" s="276">
        <f>('11.销售及回款表'!AD149+'11.销售及回款表'!AD154)/1.1*0.03</f>
        <v>0</v>
      </c>
      <c r="AE15" s="276">
        <f>('11.销售及回款表'!AE149+'11.销售及回款表'!AE154)/1.1*0.03</f>
        <v>0</v>
      </c>
      <c r="AF15" s="277">
        <f>('11.销售及回款表'!AF149+'11.销售及回款表'!AF154)/1.1*0.03</f>
        <v>0</v>
      </c>
      <c r="AG15" s="275">
        <f>('11.销售及回款表'!AG149+'11.销售及回款表'!AG154)/1.1*0.03</f>
        <v>0</v>
      </c>
      <c r="AH15" s="276">
        <f>('11.销售及回款表'!AH149+'11.销售及回款表'!AH154)/1.1*0.03</f>
        <v>0</v>
      </c>
      <c r="AI15" s="276">
        <f>('11.销售及回款表'!AI149+'11.销售及回款表'!AI154)/1.1*0.03</f>
        <v>0</v>
      </c>
      <c r="AJ15" s="277">
        <f>('11.销售及回款表'!AJ149+'11.销售及回款表'!AJ154)/1.1*0.03</f>
        <v>0</v>
      </c>
      <c r="AK15" s="275">
        <f>('11.销售及回款表'!AK149+'11.销售及回款表'!AK154)/1.1*0.03</f>
        <v>0</v>
      </c>
      <c r="AL15" s="276">
        <f>('11.销售及回款表'!AL149+'11.销售及回款表'!AL154)/1.1*0.03</f>
        <v>0</v>
      </c>
      <c r="AM15" s="276">
        <f>('11.销售及回款表'!AM149+'11.销售及回款表'!AM154)/1.1*0.03</f>
        <v>0</v>
      </c>
      <c r="AN15" s="277">
        <f>('11.销售及回款表'!AN149+'11.销售及回款表'!AN154)/1.1*0.03</f>
        <v>0</v>
      </c>
      <c r="AO15" s="275">
        <f>('11.销售及回款表'!AO149+'11.销售及回款表'!AO154)/1.1*0.03</f>
        <v>0</v>
      </c>
      <c r="AP15" s="276">
        <f>('11.销售及回款表'!AP149+'11.销售及回款表'!AP154)/1.1*0.03</f>
        <v>0</v>
      </c>
      <c r="AQ15" s="276">
        <f>('11.销售及回款表'!AQ149+'11.销售及回款表'!AQ154)/1.1*0.03</f>
        <v>0</v>
      </c>
      <c r="AR15" s="277">
        <f>('11.销售及回款表'!AR149+'11.销售及回款表'!AR154)/1.1*0.03</f>
        <v>0</v>
      </c>
      <c r="AS15" s="275">
        <f>('11.销售及回款表'!AS149+'11.销售及回款表'!AS154)/1.1*0.03</f>
        <v>0</v>
      </c>
      <c r="AT15" s="276">
        <f>('11.销售及回款表'!AT149+'11.销售及回款表'!AT154)/1.1*0.03</f>
        <v>0</v>
      </c>
      <c r="AU15" s="276">
        <f>('11.销售及回款表'!AU149+'11.销售及回款表'!AU154)/1.1*0.03</f>
        <v>0</v>
      </c>
      <c r="AV15" s="277">
        <f>('11.销售及回款表'!AV149+'11.销售及回款表'!AV154)/1.1*0.03</f>
        <v>0</v>
      </c>
    </row>
    <row r="16" spans="2:49" s="256" customFormat="1" ht="15.75" customHeight="1">
      <c r="B16" s="1975"/>
      <c r="C16" s="273" t="s">
        <v>21</v>
      </c>
      <c r="D16" s="274">
        <f t="shared" si="9"/>
        <v>0</v>
      </c>
      <c r="E16" s="275">
        <f>('11.销售及回款表'!E219+'11.销售及回款表'!E224)/1.1*0.03</f>
        <v>0</v>
      </c>
      <c r="F16" s="276">
        <f>('11.销售及回款表'!F219+'11.销售及回款表'!F224)/1.1*0.03</f>
        <v>0</v>
      </c>
      <c r="G16" s="276">
        <f>('11.销售及回款表'!G219+'11.销售及回款表'!G224)/1.1*0.03</f>
        <v>0</v>
      </c>
      <c r="H16" s="277">
        <f>('11.销售及回款表'!H219+'11.销售及回款表'!H224)/1.1*0.03</f>
        <v>0</v>
      </c>
      <c r="I16" s="275">
        <f>('11.销售及回款表'!I219+'11.销售及回款表'!I224)/1.1*0.03</f>
        <v>0</v>
      </c>
      <c r="J16" s="276">
        <f>('11.销售及回款表'!J219+'11.销售及回款表'!J224)/1.1*0.03</f>
        <v>0</v>
      </c>
      <c r="K16" s="276">
        <f>('11.销售及回款表'!K219+'11.销售及回款表'!K224)/1.1*0.03</f>
        <v>0</v>
      </c>
      <c r="L16" s="277">
        <f>('11.销售及回款表'!L219+'11.销售及回款表'!L224)/1.1*0.03</f>
        <v>0</v>
      </c>
      <c r="M16" s="275">
        <f>('11.销售及回款表'!M219+'11.销售及回款表'!M224)/1.1*0.03</f>
        <v>0</v>
      </c>
      <c r="N16" s="276">
        <f>('11.销售及回款表'!N219+'11.销售及回款表'!N224)/1.1*0.03</f>
        <v>0</v>
      </c>
      <c r="O16" s="276">
        <f>('11.销售及回款表'!O219+'11.销售及回款表'!O224)/1.1*0.03</f>
        <v>0</v>
      </c>
      <c r="P16" s="277">
        <f>('11.销售及回款表'!P219+'11.销售及回款表'!P224)/1.1*0.03</f>
        <v>0</v>
      </c>
      <c r="Q16" s="275">
        <f>('11.销售及回款表'!Q219+'11.销售及回款表'!Q224)/1.1*0.03</f>
        <v>0</v>
      </c>
      <c r="R16" s="276">
        <f>('11.销售及回款表'!R219+'11.销售及回款表'!R224)/1.1*0.03</f>
        <v>0</v>
      </c>
      <c r="S16" s="276">
        <f>('11.销售及回款表'!S219+'11.销售及回款表'!S224)/1.1*0.03</f>
        <v>0</v>
      </c>
      <c r="T16" s="277">
        <f>('11.销售及回款表'!T219+'11.销售及回款表'!T224)/1.1*0.03</f>
        <v>0</v>
      </c>
      <c r="U16" s="275">
        <f>('11.销售及回款表'!U219+'11.销售及回款表'!U224)/1.1*0.03</f>
        <v>0</v>
      </c>
      <c r="V16" s="276">
        <f>('11.销售及回款表'!V219+'11.销售及回款表'!V224)/1.1*0.03</f>
        <v>0</v>
      </c>
      <c r="W16" s="276">
        <f>('11.销售及回款表'!W219+'11.销售及回款表'!W224)/1.1*0.03</f>
        <v>0</v>
      </c>
      <c r="X16" s="277">
        <f>('11.销售及回款表'!X219+'11.销售及回款表'!X224)/1.1*0.03</f>
        <v>0</v>
      </c>
      <c r="Y16" s="275">
        <f>('11.销售及回款表'!Y219+'11.销售及回款表'!Y224)/1.1*0.03</f>
        <v>0</v>
      </c>
      <c r="Z16" s="276">
        <f>('11.销售及回款表'!Z219+'11.销售及回款表'!Z224)/1.1*0.03</f>
        <v>0</v>
      </c>
      <c r="AA16" s="276">
        <f>('11.销售及回款表'!AA219+'11.销售及回款表'!AA224)/1.1*0.03</f>
        <v>0</v>
      </c>
      <c r="AB16" s="277">
        <f>('11.销售及回款表'!AB219+'11.销售及回款表'!AB224)/1.1*0.03</f>
        <v>0</v>
      </c>
      <c r="AC16" s="275">
        <f>('11.销售及回款表'!AC219+'11.销售及回款表'!AC224)/1.1*0.03</f>
        <v>0</v>
      </c>
      <c r="AD16" s="276">
        <f>('11.销售及回款表'!AD219+'11.销售及回款表'!AD224)/1.1*0.03</f>
        <v>0</v>
      </c>
      <c r="AE16" s="276">
        <f>('11.销售及回款表'!AE219+'11.销售及回款表'!AE224)/1.1*0.03</f>
        <v>0</v>
      </c>
      <c r="AF16" s="277">
        <f>('11.销售及回款表'!AF219+'11.销售及回款表'!AF224)/1.1*0.03</f>
        <v>0</v>
      </c>
      <c r="AG16" s="275">
        <f>('11.销售及回款表'!AG219+'11.销售及回款表'!AG224)/1.1*0.03</f>
        <v>0</v>
      </c>
      <c r="AH16" s="276">
        <f>('11.销售及回款表'!AH219+'11.销售及回款表'!AH224)/1.1*0.03</f>
        <v>0</v>
      </c>
      <c r="AI16" s="276">
        <f>('11.销售及回款表'!AI219+'11.销售及回款表'!AI224)/1.1*0.03</f>
        <v>0</v>
      </c>
      <c r="AJ16" s="277">
        <f>('11.销售及回款表'!AJ219+'11.销售及回款表'!AJ224)/1.1*0.03</f>
        <v>0</v>
      </c>
      <c r="AK16" s="275">
        <f>('11.销售及回款表'!AK219+'11.销售及回款表'!AK224)/1.1*0.03</f>
        <v>0</v>
      </c>
      <c r="AL16" s="276">
        <f>('11.销售及回款表'!AL219+'11.销售及回款表'!AL224)/1.1*0.03</f>
        <v>0</v>
      </c>
      <c r="AM16" s="276">
        <f>('11.销售及回款表'!AM219+'11.销售及回款表'!AM224)/1.1*0.03</f>
        <v>0</v>
      </c>
      <c r="AN16" s="277">
        <f>('11.销售及回款表'!AN219+'11.销售及回款表'!AN224)/1.1*0.03</f>
        <v>0</v>
      </c>
      <c r="AO16" s="275">
        <f>('11.销售及回款表'!AO219+'11.销售及回款表'!AO224)/1.1*0.03</f>
        <v>0</v>
      </c>
      <c r="AP16" s="276">
        <f>('11.销售及回款表'!AP219+'11.销售及回款表'!AP224)/1.1*0.03</f>
        <v>0</v>
      </c>
      <c r="AQ16" s="276">
        <f>('11.销售及回款表'!AQ219+'11.销售及回款表'!AQ224)/1.1*0.03</f>
        <v>0</v>
      </c>
      <c r="AR16" s="277">
        <f>('11.销售及回款表'!AR219+'11.销售及回款表'!AR224)/1.1*0.03</f>
        <v>0</v>
      </c>
      <c r="AS16" s="275">
        <f>('11.销售及回款表'!AS219+'11.销售及回款表'!AS224)/1.1*0.03</f>
        <v>0</v>
      </c>
      <c r="AT16" s="276">
        <f>('11.销售及回款表'!AT219+'11.销售及回款表'!AT224)/1.1*0.03</f>
        <v>0</v>
      </c>
      <c r="AU16" s="276">
        <f>('11.销售及回款表'!AU219+'11.销售及回款表'!AU224)/1.1*0.03</f>
        <v>0</v>
      </c>
      <c r="AV16" s="277">
        <f>('11.销售及回款表'!AV219+'11.销售及回款表'!AV224)/1.1*0.03</f>
        <v>0</v>
      </c>
    </row>
    <row r="17" spans="2:48" s="256" customFormat="1" ht="15.75" customHeight="1">
      <c r="B17" s="1975"/>
      <c r="C17" s="273" t="s">
        <v>22</v>
      </c>
      <c r="D17" s="274">
        <f t="shared" si="9"/>
        <v>0</v>
      </c>
      <c r="E17" s="275">
        <f>('11.销售及回款表'!E289+'11.销售及回款表'!E294)/1.1*0.03</f>
        <v>0</v>
      </c>
      <c r="F17" s="276">
        <f>('11.销售及回款表'!F289+'11.销售及回款表'!F294)/1.1*0.03</f>
        <v>0</v>
      </c>
      <c r="G17" s="276">
        <f>('11.销售及回款表'!G289+'11.销售及回款表'!G294)/1.1*0.03</f>
        <v>0</v>
      </c>
      <c r="H17" s="277">
        <f>('11.销售及回款表'!H289+'11.销售及回款表'!H294)/1.1*0.03</f>
        <v>0</v>
      </c>
      <c r="I17" s="275">
        <f>('11.销售及回款表'!I289+'11.销售及回款表'!I294)/1.1*0.03</f>
        <v>0</v>
      </c>
      <c r="J17" s="276">
        <f>('11.销售及回款表'!J289+'11.销售及回款表'!J294)/1.1*0.03</f>
        <v>0</v>
      </c>
      <c r="K17" s="276">
        <f>('11.销售及回款表'!K289+'11.销售及回款表'!K294)/1.1*0.03</f>
        <v>0</v>
      </c>
      <c r="L17" s="277">
        <f>('11.销售及回款表'!L289+'11.销售及回款表'!L294)/1.1*0.03</f>
        <v>0</v>
      </c>
      <c r="M17" s="275">
        <f>('11.销售及回款表'!M289+'11.销售及回款表'!M294)/1.1*0.03</f>
        <v>0</v>
      </c>
      <c r="N17" s="276">
        <f>('11.销售及回款表'!N289+'11.销售及回款表'!N294)/1.1*0.03</f>
        <v>0</v>
      </c>
      <c r="O17" s="276">
        <f>('11.销售及回款表'!O289+'11.销售及回款表'!O294)/1.1*0.03</f>
        <v>0</v>
      </c>
      <c r="P17" s="277">
        <f>('11.销售及回款表'!P289+'11.销售及回款表'!P294)/1.1*0.03</f>
        <v>0</v>
      </c>
      <c r="Q17" s="275">
        <f>('11.销售及回款表'!Q289+'11.销售及回款表'!Q294)/1.1*0.03</f>
        <v>0</v>
      </c>
      <c r="R17" s="276">
        <f>('11.销售及回款表'!R289+'11.销售及回款表'!R294)/1.1*0.03</f>
        <v>0</v>
      </c>
      <c r="S17" s="276">
        <f>('11.销售及回款表'!S289+'11.销售及回款表'!S294)/1.1*0.03</f>
        <v>0</v>
      </c>
      <c r="T17" s="277">
        <f>('11.销售及回款表'!T289+'11.销售及回款表'!T294)/1.1*0.03</f>
        <v>0</v>
      </c>
      <c r="U17" s="275">
        <f>('11.销售及回款表'!U289+'11.销售及回款表'!U294)/1.1*0.03</f>
        <v>0</v>
      </c>
      <c r="V17" s="276">
        <f>('11.销售及回款表'!V289+'11.销售及回款表'!V294)/1.1*0.03</f>
        <v>0</v>
      </c>
      <c r="W17" s="276">
        <f>('11.销售及回款表'!W289+'11.销售及回款表'!W294)/1.1*0.03</f>
        <v>0</v>
      </c>
      <c r="X17" s="277">
        <f>('11.销售及回款表'!X289+'11.销售及回款表'!X294)/1.1*0.03</f>
        <v>0</v>
      </c>
      <c r="Y17" s="275">
        <f>('11.销售及回款表'!Y289+'11.销售及回款表'!Y294)/1.1*0.03</f>
        <v>0</v>
      </c>
      <c r="Z17" s="276">
        <f>('11.销售及回款表'!Z289+'11.销售及回款表'!Z294)/1.1*0.03</f>
        <v>0</v>
      </c>
      <c r="AA17" s="276">
        <f>('11.销售及回款表'!AA289+'11.销售及回款表'!AA294)/1.1*0.03</f>
        <v>0</v>
      </c>
      <c r="AB17" s="277">
        <f>('11.销售及回款表'!AB289+'11.销售及回款表'!AB294)/1.1*0.03</f>
        <v>0</v>
      </c>
      <c r="AC17" s="275">
        <f>('11.销售及回款表'!AC289+'11.销售及回款表'!AC294)/1.1*0.03</f>
        <v>0</v>
      </c>
      <c r="AD17" s="276">
        <f>('11.销售及回款表'!AD289+'11.销售及回款表'!AD294)/1.1*0.03</f>
        <v>0</v>
      </c>
      <c r="AE17" s="276">
        <f>('11.销售及回款表'!AE289+'11.销售及回款表'!AE294)/1.1*0.03</f>
        <v>0</v>
      </c>
      <c r="AF17" s="277">
        <f>('11.销售及回款表'!AF289+'11.销售及回款表'!AF294)/1.1*0.03</f>
        <v>0</v>
      </c>
      <c r="AG17" s="275">
        <f>('11.销售及回款表'!AG289+'11.销售及回款表'!AG294)/1.1*0.03</f>
        <v>0</v>
      </c>
      <c r="AH17" s="276">
        <f>('11.销售及回款表'!AH289+'11.销售及回款表'!AH294)/1.1*0.03</f>
        <v>0</v>
      </c>
      <c r="AI17" s="276">
        <f>('11.销售及回款表'!AI289+'11.销售及回款表'!AI294)/1.1*0.03</f>
        <v>0</v>
      </c>
      <c r="AJ17" s="277">
        <f>('11.销售及回款表'!AJ289+'11.销售及回款表'!AJ294)/1.1*0.03</f>
        <v>0</v>
      </c>
      <c r="AK17" s="275">
        <f>('11.销售及回款表'!AK289+'11.销售及回款表'!AK294)/1.1*0.03</f>
        <v>0</v>
      </c>
      <c r="AL17" s="276">
        <f>('11.销售及回款表'!AL289+'11.销售及回款表'!AL294)/1.1*0.03</f>
        <v>0</v>
      </c>
      <c r="AM17" s="276">
        <f>('11.销售及回款表'!AM289+'11.销售及回款表'!AM294)/1.1*0.03</f>
        <v>0</v>
      </c>
      <c r="AN17" s="277">
        <f>('11.销售及回款表'!AN289+'11.销售及回款表'!AN294)/1.1*0.03</f>
        <v>0</v>
      </c>
      <c r="AO17" s="275">
        <f>('11.销售及回款表'!AO289+'11.销售及回款表'!AO294)/1.1*0.03</f>
        <v>0</v>
      </c>
      <c r="AP17" s="276">
        <f>('11.销售及回款表'!AP289+'11.销售及回款表'!AP294)/1.1*0.03</f>
        <v>0</v>
      </c>
      <c r="AQ17" s="276">
        <f>('11.销售及回款表'!AQ289+'11.销售及回款表'!AQ294)/1.1*0.03</f>
        <v>0</v>
      </c>
      <c r="AR17" s="277">
        <f>('11.销售及回款表'!AR289+'11.销售及回款表'!AR294)/1.1*0.03</f>
        <v>0</v>
      </c>
      <c r="AS17" s="275">
        <f>('11.销售及回款表'!AS289+'11.销售及回款表'!AS294)/1.1*0.03</f>
        <v>0</v>
      </c>
      <c r="AT17" s="276">
        <f>('11.销售及回款表'!AT289+'11.销售及回款表'!AT294)/1.1*0.03</f>
        <v>0</v>
      </c>
      <c r="AU17" s="276">
        <f>('11.销售及回款表'!AU289+'11.销售及回款表'!AU294)/1.1*0.03</f>
        <v>0</v>
      </c>
      <c r="AV17" s="277">
        <f>('11.销售及回款表'!AV289+'11.销售及回款表'!AV294)/1.1*0.03</f>
        <v>0</v>
      </c>
    </row>
    <row r="18" spans="2:48" s="256" customFormat="1" ht="15.75" customHeight="1">
      <c r="B18" s="1975"/>
      <c r="C18" s="273" t="s">
        <v>23</v>
      </c>
      <c r="D18" s="274">
        <f t="shared" si="9"/>
        <v>0</v>
      </c>
      <c r="E18" s="275">
        <f>('11.销售及回款表'!E359+'11.销售及回款表'!E364)/1.1*0.03</f>
        <v>0</v>
      </c>
      <c r="F18" s="276">
        <f>('11.销售及回款表'!F359+'11.销售及回款表'!F364)/1.1*0.03</f>
        <v>0</v>
      </c>
      <c r="G18" s="276">
        <f>('11.销售及回款表'!G359+'11.销售及回款表'!G364)/1.1*0.03</f>
        <v>0</v>
      </c>
      <c r="H18" s="277">
        <f>('11.销售及回款表'!H359+'11.销售及回款表'!H364)/1.1*0.03</f>
        <v>0</v>
      </c>
      <c r="I18" s="275">
        <f>('11.销售及回款表'!I359+'11.销售及回款表'!I364)/1.1*0.03</f>
        <v>0</v>
      </c>
      <c r="J18" s="276">
        <f>('11.销售及回款表'!J359+'11.销售及回款表'!J364)/1.1*0.03</f>
        <v>0</v>
      </c>
      <c r="K18" s="276">
        <f>('11.销售及回款表'!K359+'11.销售及回款表'!K364)/1.1*0.03</f>
        <v>0</v>
      </c>
      <c r="L18" s="277">
        <f>('11.销售及回款表'!L359+'11.销售及回款表'!L364)/1.1*0.03</f>
        <v>0</v>
      </c>
      <c r="M18" s="275">
        <f>('11.销售及回款表'!M359+'11.销售及回款表'!M364)/1.1*0.03</f>
        <v>0</v>
      </c>
      <c r="N18" s="276">
        <f>('11.销售及回款表'!N359+'11.销售及回款表'!N364)/1.1*0.03</f>
        <v>0</v>
      </c>
      <c r="O18" s="276">
        <f>('11.销售及回款表'!O359+'11.销售及回款表'!O364)/1.1*0.03</f>
        <v>0</v>
      </c>
      <c r="P18" s="277">
        <f>('11.销售及回款表'!P359+'11.销售及回款表'!P364)/1.1*0.03</f>
        <v>0</v>
      </c>
      <c r="Q18" s="275">
        <f>('11.销售及回款表'!Q359+'11.销售及回款表'!Q364)/1.1*0.03</f>
        <v>0</v>
      </c>
      <c r="R18" s="276">
        <f>('11.销售及回款表'!R359+'11.销售及回款表'!R364)/1.1*0.03</f>
        <v>0</v>
      </c>
      <c r="S18" s="276">
        <f>('11.销售及回款表'!S359+'11.销售及回款表'!S364)/1.1*0.03</f>
        <v>0</v>
      </c>
      <c r="T18" s="277">
        <f>('11.销售及回款表'!T359+'11.销售及回款表'!T364)/1.1*0.03</f>
        <v>0</v>
      </c>
      <c r="U18" s="275">
        <f>('11.销售及回款表'!U359+'11.销售及回款表'!U364)/1.1*0.03</f>
        <v>0</v>
      </c>
      <c r="V18" s="276">
        <f>('11.销售及回款表'!V359+'11.销售及回款表'!V364)/1.1*0.03</f>
        <v>0</v>
      </c>
      <c r="W18" s="276">
        <f>('11.销售及回款表'!W359+'11.销售及回款表'!W364)/1.1*0.03</f>
        <v>0</v>
      </c>
      <c r="X18" s="277">
        <f>('11.销售及回款表'!X359+'11.销售及回款表'!X364)/1.1*0.03</f>
        <v>0</v>
      </c>
      <c r="Y18" s="275">
        <f>('11.销售及回款表'!Y359+'11.销售及回款表'!Y364)/1.1*0.03</f>
        <v>0</v>
      </c>
      <c r="Z18" s="276">
        <f>('11.销售及回款表'!Z359+'11.销售及回款表'!Z364)/1.1*0.03</f>
        <v>0</v>
      </c>
      <c r="AA18" s="276">
        <f>('11.销售及回款表'!AA359+'11.销售及回款表'!AA364)/1.1*0.03</f>
        <v>0</v>
      </c>
      <c r="AB18" s="277">
        <f>('11.销售及回款表'!AB359+'11.销售及回款表'!AB364)/1.1*0.03</f>
        <v>0</v>
      </c>
      <c r="AC18" s="275">
        <f>('11.销售及回款表'!AC359+'11.销售及回款表'!AC364)/1.1*0.03</f>
        <v>0</v>
      </c>
      <c r="AD18" s="276">
        <f>('11.销售及回款表'!AD359+'11.销售及回款表'!AD364)/1.1*0.03</f>
        <v>0</v>
      </c>
      <c r="AE18" s="276">
        <f>('11.销售及回款表'!AE359+'11.销售及回款表'!AE364)/1.1*0.03</f>
        <v>0</v>
      </c>
      <c r="AF18" s="277">
        <f>('11.销售及回款表'!AF359+'11.销售及回款表'!AF364)/1.1*0.03</f>
        <v>0</v>
      </c>
      <c r="AG18" s="275">
        <f>('11.销售及回款表'!AG359+'11.销售及回款表'!AG364)/1.1*0.03</f>
        <v>0</v>
      </c>
      <c r="AH18" s="276">
        <f>('11.销售及回款表'!AH359+'11.销售及回款表'!AH364)/1.1*0.03</f>
        <v>0</v>
      </c>
      <c r="AI18" s="276">
        <f>('11.销售及回款表'!AI359+'11.销售及回款表'!AI364)/1.1*0.03</f>
        <v>0</v>
      </c>
      <c r="AJ18" s="277">
        <f>('11.销售及回款表'!AJ359+'11.销售及回款表'!AJ364)/1.1*0.03</f>
        <v>0</v>
      </c>
      <c r="AK18" s="275">
        <f>('11.销售及回款表'!AK359+'11.销售及回款表'!AK364)/1.1*0.03</f>
        <v>0</v>
      </c>
      <c r="AL18" s="276">
        <f>('11.销售及回款表'!AL359+'11.销售及回款表'!AL364)/1.1*0.03</f>
        <v>0</v>
      </c>
      <c r="AM18" s="276">
        <f>('11.销售及回款表'!AM359+'11.销售及回款表'!AM364)/1.1*0.03</f>
        <v>0</v>
      </c>
      <c r="AN18" s="277">
        <f>('11.销售及回款表'!AN359+'11.销售及回款表'!AN364)/1.1*0.03</f>
        <v>0</v>
      </c>
      <c r="AO18" s="275">
        <f>('11.销售及回款表'!AO359+'11.销售及回款表'!AO364)/1.1*0.03</f>
        <v>0</v>
      </c>
      <c r="AP18" s="276">
        <f>('11.销售及回款表'!AP359+'11.销售及回款表'!AP364)/1.1*0.03</f>
        <v>0</v>
      </c>
      <c r="AQ18" s="276">
        <f>('11.销售及回款表'!AQ359+'11.销售及回款表'!AQ364)/1.1*0.03</f>
        <v>0</v>
      </c>
      <c r="AR18" s="277">
        <f>('11.销售及回款表'!AR359+'11.销售及回款表'!AR364)/1.1*0.03</f>
        <v>0</v>
      </c>
      <c r="AS18" s="275">
        <f>('11.销售及回款表'!AS359+'11.销售及回款表'!AS364)/1.1*0.03</f>
        <v>0</v>
      </c>
      <c r="AT18" s="276">
        <f>('11.销售及回款表'!AT359+'11.销售及回款表'!AT364)/1.1*0.03</f>
        <v>0</v>
      </c>
      <c r="AU18" s="276">
        <f>('11.销售及回款表'!AU359+'11.销售及回款表'!AU364)/1.1*0.03</f>
        <v>0</v>
      </c>
      <c r="AV18" s="277">
        <f>('11.销售及回款表'!AV359+'11.销售及回款表'!AV364)/1.1*0.03</f>
        <v>0</v>
      </c>
    </row>
    <row r="19" spans="2:48" s="256" customFormat="1" ht="15.75" customHeight="1">
      <c r="B19" s="1976"/>
      <c r="C19" s="278" t="s">
        <v>24</v>
      </c>
      <c r="D19" s="279">
        <f t="shared" si="9"/>
        <v>0</v>
      </c>
      <c r="E19" s="280">
        <f>('11.销售及回款表'!E429+'11.销售及回款表'!E434)/1.1*0.03</f>
        <v>0</v>
      </c>
      <c r="F19" s="281">
        <f>('11.销售及回款表'!F429+'11.销售及回款表'!F434)/1.1*0.03</f>
        <v>0</v>
      </c>
      <c r="G19" s="281">
        <f>('11.销售及回款表'!G429+'11.销售及回款表'!G434)/1.1*0.03</f>
        <v>0</v>
      </c>
      <c r="H19" s="282">
        <f>('11.销售及回款表'!H429+'11.销售及回款表'!H434)/1.1*0.03</f>
        <v>0</v>
      </c>
      <c r="I19" s="280">
        <f>('11.销售及回款表'!I429+'11.销售及回款表'!I434)/1.1*0.03</f>
        <v>0</v>
      </c>
      <c r="J19" s="281">
        <f>('11.销售及回款表'!J429+'11.销售及回款表'!J434)/1.1*0.03</f>
        <v>0</v>
      </c>
      <c r="K19" s="281">
        <f>('11.销售及回款表'!K429+'11.销售及回款表'!K434)/1.1*0.03</f>
        <v>0</v>
      </c>
      <c r="L19" s="282">
        <f>('11.销售及回款表'!L429+'11.销售及回款表'!L434)/1.1*0.03</f>
        <v>0</v>
      </c>
      <c r="M19" s="280">
        <f>('11.销售及回款表'!M429+'11.销售及回款表'!M434)/1.1*0.03</f>
        <v>0</v>
      </c>
      <c r="N19" s="281">
        <f>('11.销售及回款表'!N429+'11.销售及回款表'!N434)/1.1*0.03</f>
        <v>0</v>
      </c>
      <c r="O19" s="281">
        <f>('11.销售及回款表'!O429+'11.销售及回款表'!O434)/1.1*0.03</f>
        <v>0</v>
      </c>
      <c r="P19" s="282">
        <f>('11.销售及回款表'!P429+'11.销售及回款表'!P434)/1.1*0.03</f>
        <v>0</v>
      </c>
      <c r="Q19" s="280">
        <f>('11.销售及回款表'!Q429+'11.销售及回款表'!Q434)/1.1*0.03</f>
        <v>0</v>
      </c>
      <c r="R19" s="281">
        <f>('11.销售及回款表'!R429+'11.销售及回款表'!R434)/1.1*0.03</f>
        <v>0</v>
      </c>
      <c r="S19" s="281">
        <f>('11.销售及回款表'!S429+'11.销售及回款表'!S434)/1.1*0.03</f>
        <v>0</v>
      </c>
      <c r="T19" s="282">
        <f>('11.销售及回款表'!T429+'11.销售及回款表'!T434)/1.1*0.03</f>
        <v>0</v>
      </c>
      <c r="U19" s="280">
        <f>('11.销售及回款表'!U429+'11.销售及回款表'!U434)/1.1*0.03</f>
        <v>0</v>
      </c>
      <c r="V19" s="281">
        <f>('11.销售及回款表'!V429+'11.销售及回款表'!V434)/1.1*0.03</f>
        <v>0</v>
      </c>
      <c r="W19" s="281">
        <f>('11.销售及回款表'!W429+'11.销售及回款表'!W434)/1.1*0.03</f>
        <v>0</v>
      </c>
      <c r="X19" s="282">
        <f>('11.销售及回款表'!X429+'11.销售及回款表'!X434)/1.1*0.03</f>
        <v>0</v>
      </c>
      <c r="Y19" s="280">
        <f>('11.销售及回款表'!Y429+'11.销售及回款表'!Y434)/1.1*0.03</f>
        <v>0</v>
      </c>
      <c r="Z19" s="281">
        <f>('11.销售及回款表'!Z429+'11.销售及回款表'!Z434)/1.1*0.03</f>
        <v>0</v>
      </c>
      <c r="AA19" s="281">
        <f>('11.销售及回款表'!AA429+'11.销售及回款表'!AA434)/1.1*0.03</f>
        <v>0</v>
      </c>
      <c r="AB19" s="282">
        <f>('11.销售及回款表'!AB429+'11.销售及回款表'!AB434)/1.1*0.03</f>
        <v>0</v>
      </c>
      <c r="AC19" s="280">
        <f>('11.销售及回款表'!AC429+'11.销售及回款表'!AC434)/1.1*0.03</f>
        <v>0</v>
      </c>
      <c r="AD19" s="281">
        <f>('11.销售及回款表'!AD429+'11.销售及回款表'!AD434)/1.1*0.03</f>
        <v>0</v>
      </c>
      <c r="AE19" s="281">
        <f>('11.销售及回款表'!AE429+'11.销售及回款表'!AE434)/1.1*0.03</f>
        <v>0</v>
      </c>
      <c r="AF19" s="282">
        <f>('11.销售及回款表'!AF429+'11.销售及回款表'!AF434)/1.1*0.03</f>
        <v>0</v>
      </c>
      <c r="AG19" s="280">
        <f>('11.销售及回款表'!AG429+'11.销售及回款表'!AG434)/1.1*0.03</f>
        <v>0</v>
      </c>
      <c r="AH19" s="281">
        <f>('11.销售及回款表'!AH429+'11.销售及回款表'!AH434)/1.1*0.03</f>
        <v>0</v>
      </c>
      <c r="AI19" s="281">
        <f>('11.销售及回款表'!AI429+'11.销售及回款表'!AI434)/1.1*0.03</f>
        <v>0</v>
      </c>
      <c r="AJ19" s="282">
        <f>('11.销售及回款表'!AJ429+'11.销售及回款表'!AJ434)/1.1*0.03</f>
        <v>0</v>
      </c>
      <c r="AK19" s="280">
        <f>('11.销售及回款表'!AK429+'11.销售及回款表'!AK434)/1.1*0.03</f>
        <v>0</v>
      </c>
      <c r="AL19" s="281">
        <f>('11.销售及回款表'!AL429+'11.销售及回款表'!AL434)/1.1*0.03</f>
        <v>0</v>
      </c>
      <c r="AM19" s="281">
        <f>('11.销售及回款表'!AM429+'11.销售及回款表'!AM434)/1.1*0.03</f>
        <v>0</v>
      </c>
      <c r="AN19" s="282">
        <f>('11.销售及回款表'!AN429+'11.销售及回款表'!AN434)/1.1*0.03</f>
        <v>0</v>
      </c>
      <c r="AO19" s="280">
        <f>('11.销售及回款表'!AO429+'11.销售及回款表'!AO434)/1.1*0.03</f>
        <v>0</v>
      </c>
      <c r="AP19" s="281">
        <f>('11.销售及回款表'!AP429+'11.销售及回款表'!AP434)/1.1*0.03</f>
        <v>0</v>
      </c>
      <c r="AQ19" s="281">
        <f>('11.销售及回款表'!AQ429+'11.销售及回款表'!AQ434)/1.1*0.03</f>
        <v>0</v>
      </c>
      <c r="AR19" s="282">
        <f>('11.销售及回款表'!AR429+'11.销售及回款表'!AR434)/1.1*0.03</f>
        <v>0</v>
      </c>
      <c r="AS19" s="280">
        <f>('11.销售及回款表'!AS429+'11.销售及回款表'!AS434)/1.1*0.03</f>
        <v>0</v>
      </c>
      <c r="AT19" s="281">
        <f>('11.销售及回款表'!AT429+'11.销售及回款表'!AT434)/1.1*0.03</f>
        <v>0</v>
      </c>
      <c r="AU19" s="281">
        <f>('11.销售及回款表'!AU429+'11.销售及回款表'!AU434)/1.1*0.03</f>
        <v>0</v>
      </c>
      <c r="AV19" s="282">
        <f>('11.销售及回款表'!AV429+'11.销售及回款表'!AV434)/1.1*0.03</f>
        <v>0</v>
      </c>
    </row>
    <row r="20" spans="2:48" s="257" customFormat="1" ht="15.75" customHeight="1">
      <c r="B20" s="1977" t="s">
        <v>925</v>
      </c>
      <c r="C20" s="283"/>
      <c r="D20" s="284">
        <f>SUM(D21:D26)</f>
        <v>2829.6710689953279</v>
      </c>
      <c r="E20" s="285">
        <f>SUM(E21:E26)</f>
        <v>0</v>
      </c>
      <c r="F20" s="284">
        <f t="shared" ref="F20:AV20" si="10">SUM(F21:F26)</f>
        <v>0</v>
      </c>
      <c r="G20" s="284">
        <f t="shared" si="10"/>
        <v>0</v>
      </c>
      <c r="H20" s="286">
        <f t="shared" si="10"/>
        <v>0</v>
      </c>
      <c r="I20" s="285">
        <f t="shared" si="10"/>
        <v>0</v>
      </c>
      <c r="J20" s="284">
        <f t="shared" si="10"/>
        <v>0</v>
      </c>
      <c r="K20" s="284">
        <f t="shared" si="10"/>
        <v>0</v>
      </c>
      <c r="L20" s="286">
        <f t="shared" si="10"/>
        <v>0</v>
      </c>
      <c r="M20" s="285">
        <f t="shared" si="10"/>
        <v>0</v>
      </c>
      <c r="N20" s="284">
        <f t="shared" si="10"/>
        <v>0</v>
      </c>
      <c r="O20" s="284">
        <f t="shared" si="10"/>
        <v>0</v>
      </c>
      <c r="P20" s="286">
        <f t="shared" si="10"/>
        <v>2796.4328431247368</v>
      </c>
      <c r="Q20" s="285">
        <f t="shared" si="10"/>
        <v>33.238225870591123</v>
      </c>
      <c r="R20" s="284">
        <f t="shared" si="10"/>
        <v>0</v>
      </c>
      <c r="S20" s="284">
        <f t="shared" si="10"/>
        <v>0</v>
      </c>
      <c r="T20" s="286">
        <f t="shared" si="10"/>
        <v>0</v>
      </c>
      <c r="U20" s="285">
        <f t="shared" si="10"/>
        <v>0</v>
      </c>
      <c r="V20" s="284">
        <f t="shared" si="10"/>
        <v>0</v>
      </c>
      <c r="W20" s="284">
        <f t="shared" si="10"/>
        <v>0</v>
      </c>
      <c r="X20" s="286">
        <f t="shared" si="10"/>
        <v>0</v>
      </c>
      <c r="Y20" s="285">
        <f t="shared" si="10"/>
        <v>0</v>
      </c>
      <c r="Z20" s="284">
        <f t="shared" si="10"/>
        <v>0</v>
      </c>
      <c r="AA20" s="284">
        <f t="shared" si="10"/>
        <v>0</v>
      </c>
      <c r="AB20" s="286">
        <f t="shared" si="10"/>
        <v>0</v>
      </c>
      <c r="AC20" s="285">
        <f t="shared" si="10"/>
        <v>0</v>
      </c>
      <c r="AD20" s="284">
        <f t="shared" si="10"/>
        <v>0</v>
      </c>
      <c r="AE20" s="284">
        <f t="shared" si="10"/>
        <v>0</v>
      </c>
      <c r="AF20" s="286">
        <f t="shared" si="10"/>
        <v>0</v>
      </c>
      <c r="AG20" s="285">
        <f t="shared" si="10"/>
        <v>0</v>
      </c>
      <c r="AH20" s="284">
        <f t="shared" si="10"/>
        <v>0</v>
      </c>
      <c r="AI20" s="284">
        <f t="shared" si="10"/>
        <v>0</v>
      </c>
      <c r="AJ20" s="286">
        <f t="shared" si="10"/>
        <v>0</v>
      </c>
      <c r="AK20" s="285">
        <f t="shared" si="10"/>
        <v>0</v>
      </c>
      <c r="AL20" s="284">
        <f t="shared" si="10"/>
        <v>0</v>
      </c>
      <c r="AM20" s="284">
        <f t="shared" si="10"/>
        <v>0</v>
      </c>
      <c r="AN20" s="286">
        <f t="shared" si="10"/>
        <v>0</v>
      </c>
      <c r="AO20" s="285">
        <f t="shared" si="10"/>
        <v>0</v>
      </c>
      <c r="AP20" s="284">
        <f t="shared" si="10"/>
        <v>0</v>
      </c>
      <c r="AQ20" s="284">
        <f t="shared" si="10"/>
        <v>0</v>
      </c>
      <c r="AR20" s="286">
        <f t="shared" si="10"/>
        <v>0</v>
      </c>
      <c r="AS20" s="285">
        <f t="shared" si="10"/>
        <v>0</v>
      </c>
      <c r="AT20" s="284">
        <f t="shared" si="10"/>
        <v>0</v>
      </c>
      <c r="AU20" s="284">
        <f t="shared" si="10"/>
        <v>0</v>
      </c>
      <c r="AV20" s="286">
        <f t="shared" si="10"/>
        <v>0</v>
      </c>
    </row>
    <row r="21" spans="2:48" s="257" customFormat="1" ht="15.75" customHeight="1">
      <c r="B21" s="1975"/>
      <c r="C21" s="273" t="s">
        <v>19</v>
      </c>
      <c r="D21" s="274">
        <f>SUM(E21:AV21)</f>
        <v>2829.6710689953279</v>
      </c>
      <c r="E21" s="275">
        <f>IF(E33=0,0,SUM($E33:E33)-SUM($E14:E14)+SUM($E21:E21))</f>
        <v>0</v>
      </c>
      <c r="F21" s="276">
        <f>IF(F33=0,0,SUM($E33:F33)-SUM($E14:F14)-SUM($E21:E21))</f>
        <v>0</v>
      </c>
      <c r="G21" s="276">
        <f>IF(G33=0,0,SUM($E33:G33)-SUM($E14:G14)-SUM($E21:F21))</f>
        <v>0</v>
      </c>
      <c r="H21" s="277">
        <f>IF(H33=0,0,SUM($E33:H33)-SUM($E14:H14)-SUM($E21:G21))</f>
        <v>0</v>
      </c>
      <c r="I21" s="275">
        <f>IF(I33=0,0,SUM($E33:I33)-SUM($E14:I14)-SUM($E21:H21))</f>
        <v>0</v>
      </c>
      <c r="J21" s="276">
        <f>IF(J33=0,0,SUM($E33:J33)-SUM($E14:J14)-SUM($E21:I21))</f>
        <v>0</v>
      </c>
      <c r="K21" s="276">
        <f>IF(K33=0,0,SUM($E33:K33)-SUM($E14:K14)-SUM($E21:J21))</f>
        <v>0</v>
      </c>
      <c r="L21" s="277">
        <f>IF(L33=0,0,SUM($E33:L33)-SUM($E14:L14)-SUM($E21:K21))</f>
        <v>0</v>
      </c>
      <c r="M21" s="275">
        <f>IF(M33=0,0,SUM($E33:M33)-SUM($E14:M14)-SUM($E21:L21))</f>
        <v>0</v>
      </c>
      <c r="N21" s="276">
        <f>IF(N33=0,0,SUM($E33:N33)-SUM($E14:N14)-SUM($E21:M21))</f>
        <v>0</v>
      </c>
      <c r="O21" s="276">
        <f>IF(O33=0,0,SUM($E33:O33)-SUM($E14:O14)-SUM($E21:N21))</f>
        <v>0</v>
      </c>
      <c r="P21" s="277">
        <f>IF(P33=0,0,SUM($E33:P33)-SUM($E14:P14)-SUM($E21:O21))</f>
        <v>2796.4328431247368</v>
      </c>
      <c r="Q21" s="275">
        <f>IF(Q33=0,0,SUM($E33:Q33)-SUM($E14:Q14)-SUM($E21:P21))</f>
        <v>33.238225870591123</v>
      </c>
      <c r="R21" s="276">
        <f>IF(R33=0,0,SUM($E33:R33)-SUM($E14:R14)-SUM($E21:Q21))</f>
        <v>0</v>
      </c>
      <c r="S21" s="276">
        <f>IF(S33=0,0,SUM($E33:S33)-SUM($E14:S14)-SUM($E21:R21))</f>
        <v>0</v>
      </c>
      <c r="T21" s="277">
        <f>IF(T33=0,0,SUM($E33:T33)-SUM($E14:T14)-SUM($E21:S21))</f>
        <v>0</v>
      </c>
      <c r="U21" s="275">
        <f>IF(U33=0,0,SUM($E33:U33)-SUM($E14:U14)-SUM($E21:T21))</f>
        <v>0</v>
      </c>
      <c r="V21" s="276">
        <f>IF(V33=0,0,SUM($E33:V33)-SUM($E14:V14)-SUM($E21:U21))</f>
        <v>0</v>
      </c>
      <c r="W21" s="276">
        <f>IF(W33=0,0,SUM($E33:W33)-SUM($E14:W14)-SUM($E21:V21))</f>
        <v>0</v>
      </c>
      <c r="X21" s="277">
        <f>IF(X33=0,0,SUM($E33:X33)-SUM($E14:X14)-SUM($E21:W21))</f>
        <v>0</v>
      </c>
      <c r="Y21" s="275">
        <f>IF(Y33=0,0,SUM($E33:Y33)-SUM($E14:Y14)-SUM($E21:X21))</f>
        <v>0</v>
      </c>
      <c r="Z21" s="276">
        <f>IF(Z33=0,0,SUM($E33:Z33)-SUM($E14:Z14)-SUM($E21:Y21))</f>
        <v>0</v>
      </c>
      <c r="AA21" s="276">
        <f>IF(AA33=0,0,SUM($E33:AA33)-SUM($E14:AA14)-SUM($E21:Z21))</f>
        <v>0</v>
      </c>
      <c r="AB21" s="277">
        <f>IF(AB33=0,0,SUM($E33:AB33)-SUM($E14:AB14)-SUM($E21:AA21))</f>
        <v>0</v>
      </c>
      <c r="AC21" s="275">
        <f>IF(AC33=0,0,SUM($E33:AC33)-SUM($E14:AC14)-SUM($E21:AB21))</f>
        <v>0</v>
      </c>
      <c r="AD21" s="276">
        <f>IF(AD33=0,0,SUM($E33:AD33)-SUM($E14:AD14)-SUM($E21:AC21))</f>
        <v>0</v>
      </c>
      <c r="AE21" s="276">
        <f>IF(AE33=0,0,SUM($E33:AE33)-SUM($E14:AE14)-SUM($E21:AD21))</f>
        <v>0</v>
      </c>
      <c r="AF21" s="277">
        <f>IF(AF33=0,0,SUM($E33:AF33)-SUM($E14:AF14)-SUM($E21:AE21))</f>
        <v>0</v>
      </c>
      <c r="AG21" s="275">
        <f>IF(AG33=0,0,SUM($E33:AG33)-SUM($E14:AG14)-SUM($E21:AF21))</f>
        <v>0</v>
      </c>
      <c r="AH21" s="276">
        <f>IF(AH33=0,0,SUM($E33:AH33)-SUM($E14:AH14)-SUM($E21:AG21))</f>
        <v>0</v>
      </c>
      <c r="AI21" s="276">
        <f>IF(AI33=0,0,SUM($E33:AI33)-SUM($E14:AI14)-SUM($E21:AH21))</f>
        <v>0</v>
      </c>
      <c r="AJ21" s="277">
        <f>IF(AJ33=0,0,SUM($E33:AJ33)-SUM($E14:AJ14)-SUM($E21:AI21))</f>
        <v>0</v>
      </c>
      <c r="AK21" s="275">
        <f>IF(AK33=0,0,SUM($E33:AK33)-SUM($E14:AK14)-SUM($E21:AJ21))</f>
        <v>0</v>
      </c>
      <c r="AL21" s="276">
        <f>IF(AL33=0,0,SUM($E33:AL33)-SUM($E14:AL14)-SUM($E21:AK21))</f>
        <v>0</v>
      </c>
      <c r="AM21" s="276">
        <f>IF(AM33=0,0,SUM($E33:AM33)-SUM($E14:AM14)-SUM($E21:AL21))</f>
        <v>0</v>
      </c>
      <c r="AN21" s="277">
        <f>IF(AN33=0,0,SUM($E33:AN33)-SUM($E14:AN14)-SUM($E21:AM21))</f>
        <v>0</v>
      </c>
      <c r="AO21" s="275">
        <f>IF(AO33=0,0,SUM($E33:AO33)-SUM($E14:AO14)-SUM($E21:AN21))</f>
        <v>0</v>
      </c>
      <c r="AP21" s="276">
        <f>IF(AP33=0,0,SUM($E33:AP33)-SUM($E14:AP14)-SUM($E21:AO21))</f>
        <v>0</v>
      </c>
      <c r="AQ21" s="276">
        <f>IF(AQ33=0,0,SUM($E33:AQ33)-SUM($E14:AQ14)-SUM($E21:AP21))</f>
        <v>0</v>
      </c>
      <c r="AR21" s="277">
        <f>IF(AR33=0,0,SUM($E33:AR33)-SUM($E14:AR14)-SUM($E21:AQ21))</f>
        <v>0</v>
      </c>
      <c r="AS21" s="275">
        <f>IF(AS33=0,0,SUM($E33:AS33)-SUM($E14:AS14)-SUM($E21:AR21))</f>
        <v>0</v>
      </c>
      <c r="AT21" s="276">
        <f>IF(AT33=0,0,SUM($E33:AT33)-SUM($E14:AT14)-SUM($E21:AS21))</f>
        <v>0</v>
      </c>
      <c r="AU21" s="276">
        <f>IF(AU33=0,0,SUM($E33:AU33)-SUM($E14:AU14)-SUM($E21:AT21))</f>
        <v>0</v>
      </c>
      <c r="AV21" s="277">
        <f>IF(AV33=0,0,SUM($E33:AV33)-SUM($E14:AV14)-SUM($E21:AU21))</f>
        <v>0</v>
      </c>
    </row>
    <row r="22" spans="2:48" s="256" customFormat="1" ht="15.75" customHeight="1">
      <c r="B22" s="1975"/>
      <c r="C22" s="273" t="s">
        <v>20</v>
      </c>
      <c r="D22" s="274">
        <f t="shared" si="9"/>
        <v>0</v>
      </c>
      <c r="E22" s="275">
        <f>IF(E46=0,0,SUM($E46:E46)-SUM($E15:E15)+SUM($E22:E22))</f>
        <v>0</v>
      </c>
      <c r="F22" s="276">
        <f>IF(F46=0,0,SUM($E46:F46)-SUM($E15:F15)-SUM($E22:E22))</f>
        <v>0</v>
      </c>
      <c r="G22" s="276">
        <f>IF(G46=0,0,SUM($E46:G46)-SUM($E15:G15)-SUM($E22:F22))</f>
        <v>0</v>
      </c>
      <c r="H22" s="277">
        <f>IF(H46=0,0,SUM($E46:H46)-SUM($E15:H15)-SUM($E22:G22))</f>
        <v>0</v>
      </c>
      <c r="I22" s="275">
        <f>IF(I46=0,0,SUM($E46:I46)-SUM($E15:I15)-SUM($E22:H22))</f>
        <v>0</v>
      </c>
      <c r="J22" s="276">
        <f>IF(J46=0,0,SUM($E46:J46)-SUM($E15:J15)-SUM($E22:I22))</f>
        <v>0</v>
      </c>
      <c r="K22" s="276">
        <f>IF(K46=0,0,SUM($E46:K46)-SUM($E15:K15)-SUM($E22:J22))</f>
        <v>0</v>
      </c>
      <c r="L22" s="277">
        <f>IF(L46=0,0,SUM($E46:L46)-SUM($E15:L15)-SUM($E22:K22))</f>
        <v>0</v>
      </c>
      <c r="M22" s="275">
        <f>IF(M46=0,0,SUM($E46:M46)-SUM($E15:M15)-SUM($E22:L22))</f>
        <v>0</v>
      </c>
      <c r="N22" s="276">
        <f>IF(N46=0,0,SUM($E46:N46)-SUM($E15:N15)-SUM($E22:M22))</f>
        <v>0</v>
      </c>
      <c r="O22" s="276">
        <f>IF(O46=0,0,SUM($E46:O46)-SUM($E15:O15)-SUM($E22:N22))</f>
        <v>0</v>
      </c>
      <c r="P22" s="277">
        <f>IF(P46=0,0,SUM($E46:P46)-SUM($E15:P15)-SUM($E22:O22))</f>
        <v>0</v>
      </c>
      <c r="Q22" s="275">
        <f>IF(Q46=0,0,SUM($E46:Q46)-SUM($E15:Q15)-SUM($E22:P22))</f>
        <v>0</v>
      </c>
      <c r="R22" s="276">
        <f>IF(R46=0,0,SUM($E46:R46)-SUM($E15:R15)-SUM($E22:Q22))</f>
        <v>0</v>
      </c>
      <c r="S22" s="276">
        <f>IF(S46=0,0,SUM($E46:S46)-SUM($E15:S15)-SUM($E22:R22))</f>
        <v>0</v>
      </c>
      <c r="T22" s="277">
        <f>IF(T46=0,0,SUM($E46:T46)-SUM($E15:T15)-SUM($E22:S22))</f>
        <v>0</v>
      </c>
      <c r="U22" s="275">
        <f>IF(U46=0,0,SUM($E46:U46)-SUM($E15:U15)-SUM($E22:T22))</f>
        <v>0</v>
      </c>
      <c r="V22" s="276">
        <f>IF(V46=0,0,SUM($E46:V46)-SUM($E15:V15)-SUM($E22:U22))</f>
        <v>0</v>
      </c>
      <c r="W22" s="276">
        <f>IF(W46=0,0,SUM($E46:W46)-SUM($E15:W15)-SUM($E22:V22))</f>
        <v>0</v>
      </c>
      <c r="X22" s="277">
        <f>IF(X46=0,0,SUM($E46:X46)-SUM($E15:X15)-SUM($E22:W22))</f>
        <v>0</v>
      </c>
      <c r="Y22" s="275">
        <f>IF(Y46=0,0,SUM($E46:Y46)-SUM($E15:Y15)-SUM($E22:X22))</f>
        <v>0</v>
      </c>
      <c r="Z22" s="276">
        <f>IF(Z46=0,0,SUM($E46:Z46)-SUM($E15:Z15)-SUM($E22:Y22))</f>
        <v>0</v>
      </c>
      <c r="AA22" s="276">
        <f>IF(AA46=0,0,SUM($E46:AA46)-SUM($E15:AA15)-SUM($E22:Z22))</f>
        <v>0</v>
      </c>
      <c r="AB22" s="277">
        <f>IF(AB46=0,0,SUM($E46:AB46)-SUM($E15:AB15)-SUM($E22:AA22))</f>
        <v>0</v>
      </c>
      <c r="AC22" s="275">
        <f>IF(AC46=0,0,SUM($E46:AC46)-SUM($E15:AC15)-SUM($E22:AB22))</f>
        <v>0</v>
      </c>
      <c r="AD22" s="276">
        <f>IF(AD46=0,0,SUM($E46:AD46)-SUM($E15:AD15)-SUM($E22:AC22))</f>
        <v>0</v>
      </c>
      <c r="AE22" s="276">
        <f>IF(AE46=0,0,SUM($E46:AE46)-SUM($E15:AE15)-SUM($E22:AD22))</f>
        <v>0</v>
      </c>
      <c r="AF22" s="277">
        <f>IF(AF46=0,0,SUM($E46:AF46)-SUM($E15:AF15)-SUM($E22:AE22))</f>
        <v>0</v>
      </c>
      <c r="AG22" s="275">
        <f>IF(AG46=0,0,SUM($E46:AG46)-SUM($E15:AG15)-SUM($E22:AF22))</f>
        <v>0</v>
      </c>
      <c r="AH22" s="276">
        <f>IF(AH46=0,0,SUM($E46:AH46)-SUM($E15:AH15)-SUM($E22:AG22))</f>
        <v>0</v>
      </c>
      <c r="AI22" s="276">
        <f>IF(AI46=0,0,SUM($E46:AI46)-SUM($E15:AI15)-SUM($E22:AH22))</f>
        <v>0</v>
      </c>
      <c r="AJ22" s="277">
        <f>IF(AJ46=0,0,SUM($E46:AJ46)-SUM($E15:AJ15)-SUM($E22:AI22))</f>
        <v>0</v>
      </c>
      <c r="AK22" s="275">
        <f>IF(AK46=0,0,SUM($E46:AK46)-SUM($E15:AK15)-SUM($E22:AJ22))</f>
        <v>0</v>
      </c>
      <c r="AL22" s="276">
        <f>IF(AL46=0,0,SUM($E46:AL46)-SUM($E15:AL15)-SUM($E22:AK22))</f>
        <v>0</v>
      </c>
      <c r="AM22" s="276">
        <f>IF(AM46=0,0,SUM($E46:AM46)-SUM($E15:AM15)-SUM($E22:AL22))</f>
        <v>0</v>
      </c>
      <c r="AN22" s="277">
        <f>IF(AN46=0,0,SUM($E46:AN46)-SUM($E15:AN15)-SUM($E22:AM22))</f>
        <v>0</v>
      </c>
      <c r="AO22" s="275">
        <f>IF(AO46=0,0,SUM($E46:AO46)-SUM($E15:AO15)-SUM($E22:AN22))</f>
        <v>0</v>
      </c>
      <c r="AP22" s="276">
        <f>IF(AP46=0,0,SUM($E46:AP46)-SUM($E15:AP15)-SUM($E22:AO22))</f>
        <v>0</v>
      </c>
      <c r="AQ22" s="276">
        <f>IF(AQ46=0,0,SUM($E46:AQ46)-SUM($E15:AQ15)-SUM($E22:AP22))</f>
        <v>0</v>
      </c>
      <c r="AR22" s="277">
        <f>IF(AR46=0,0,SUM($E46:AR46)-SUM($E15:AR15)-SUM($E22:AQ22))</f>
        <v>0</v>
      </c>
      <c r="AS22" s="275">
        <f>IF(AS46=0,0,SUM($E46:AS46)-SUM($E15:AS15)-SUM($E22:AR22))</f>
        <v>0</v>
      </c>
      <c r="AT22" s="276">
        <f>IF(AT46=0,0,SUM($E46:AT46)-SUM($E15:AT15)-SUM($E22:AS22))</f>
        <v>0</v>
      </c>
      <c r="AU22" s="276">
        <f>IF(AU46=0,0,SUM($E46:AU46)-SUM($E15:AU15)-SUM($E22:AT22))</f>
        <v>0</v>
      </c>
      <c r="AV22" s="277">
        <f>IF(AV46=0,0,SUM($E46:AV46)-SUM($E15:AV15)-SUM($E22:AU22))</f>
        <v>0</v>
      </c>
    </row>
    <row r="23" spans="2:48" s="256" customFormat="1" ht="15.75" customHeight="1">
      <c r="B23" s="1975"/>
      <c r="C23" s="273" t="s">
        <v>21</v>
      </c>
      <c r="D23" s="274">
        <f t="shared" si="9"/>
        <v>0</v>
      </c>
      <c r="E23" s="275">
        <f>IF(E59=0,0,SUM($E59:E59)-SUM($E16:E16)+SUM($E23:E23))</f>
        <v>0</v>
      </c>
      <c r="F23" s="276">
        <f>IF(F59=0,0,SUM($E59:F59)-SUM($E16:F16)-SUM($E23:E23))</f>
        <v>0</v>
      </c>
      <c r="G23" s="276">
        <f>IF(G59=0,0,SUM($E59:G59)-SUM($E16:G16)-SUM($E23:F23))</f>
        <v>0</v>
      </c>
      <c r="H23" s="277">
        <f>IF(H59=0,0,SUM($E59:H59)-SUM($E16:H16)-SUM($E23:G23))</f>
        <v>0</v>
      </c>
      <c r="I23" s="275">
        <f>IF(I59=0,0,SUM($E59:I59)-SUM($E16:I16)-SUM($E23:H23))</f>
        <v>0</v>
      </c>
      <c r="J23" s="276">
        <f>IF(J59=0,0,SUM($E59:J59)-SUM($E16:J16)-SUM($E23:I23))</f>
        <v>0</v>
      </c>
      <c r="K23" s="276">
        <f>IF(K59=0,0,SUM($E59:K59)-SUM($E16:K16)-SUM($E23:J23))</f>
        <v>0</v>
      </c>
      <c r="L23" s="277">
        <f>IF(L59=0,0,SUM($E59:L59)-SUM($E16:L16)-SUM($E23:K23))</f>
        <v>0</v>
      </c>
      <c r="M23" s="275">
        <f>IF(M59=0,0,SUM($E59:M59)-SUM($E16:M16)-SUM($E23:L23))</f>
        <v>0</v>
      </c>
      <c r="N23" s="276">
        <f>IF(N59=0,0,SUM($E59:N59)-SUM($E16:N16)-SUM($E23:M23))</f>
        <v>0</v>
      </c>
      <c r="O23" s="276">
        <f>IF(O59=0,0,SUM($E59:O59)-SUM($E16:O16)-SUM($E23:N23))</f>
        <v>0</v>
      </c>
      <c r="P23" s="277">
        <f>IF(P59=0,0,SUM($E59:P59)-SUM($E16:P16)-SUM($E23:O23))</f>
        <v>0</v>
      </c>
      <c r="Q23" s="275">
        <f>IF(Q59=0,0,SUM($E59:Q59)-SUM($E16:Q16)-SUM($E23:P23))</f>
        <v>0</v>
      </c>
      <c r="R23" s="276">
        <f>IF(R59=0,0,SUM($E59:R59)-SUM($E16:R16)-SUM($E23:Q23))</f>
        <v>0</v>
      </c>
      <c r="S23" s="276">
        <f>IF(S59=0,0,SUM($E59:S59)-SUM($E16:S16)-SUM($E23:R23))</f>
        <v>0</v>
      </c>
      <c r="T23" s="277">
        <f>IF(T59=0,0,SUM($E59:T59)-SUM($E16:T16)-SUM($E23:S23))</f>
        <v>0</v>
      </c>
      <c r="U23" s="275">
        <f>IF(U59=0,0,SUM($E59:U59)-SUM($E16:U16)-SUM($E23:T23))</f>
        <v>0</v>
      </c>
      <c r="V23" s="276">
        <f>IF(V59=0,0,SUM($E59:V59)-SUM($E16:V16)-SUM($E23:U23))</f>
        <v>0</v>
      </c>
      <c r="W23" s="276">
        <f>IF(W59=0,0,SUM($E59:W59)-SUM($E16:W16)-SUM($E23:V23))</f>
        <v>0</v>
      </c>
      <c r="X23" s="277">
        <f>IF(X59=0,0,SUM($E59:X59)-SUM($E16:X16)-SUM($E23:W23))</f>
        <v>0</v>
      </c>
      <c r="Y23" s="275">
        <f>IF(Y59=0,0,SUM($E59:Y59)-SUM($E16:Y16)-SUM($E23:X23))</f>
        <v>0</v>
      </c>
      <c r="Z23" s="276">
        <f>IF(Z59=0,0,SUM($E59:Z59)-SUM($E16:Z16)-SUM($E23:Y23))</f>
        <v>0</v>
      </c>
      <c r="AA23" s="276">
        <f>IF(AA59=0,0,SUM($E59:AA59)-SUM($E16:AA16)-SUM($E23:Z23))</f>
        <v>0</v>
      </c>
      <c r="AB23" s="277">
        <f>IF(AB59=0,0,SUM($E59:AB59)-SUM($E16:AB16)-SUM($E23:AA23))</f>
        <v>0</v>
      </c>
      <c r="AC23" s="275">
        <f>IF(AC59=0,0,SUM($E59:AC59)-SUM($E16:AC16)-SUM($E23:AB23))</f>
        <v>0</v>
      </c>
      <c r="AD23" s="276">
        <f>IF(AD59=0,0,SUM($E59:AD59)-SUM($E16:AD16)-SUM($E23:AC23))</f>
        <v>0</v>
      </c>
      <c r="AE23" s="276">
        <f>IF(AE59=0,0,SUM($E59:AE59)-SUM($E16:AE16)-SUM($E23:AD23))</f>
        <v>0</v>
      </c>
      <c r="AF23" s="277">
        <f>IF(AF59=0,0,SUM($E59:AF59)-SUM($E16:AF16)-SUM($E23:AE23))</f>
        <v>0</v>
      </c>
      <c r="AG23" s="275">
        <f>IF(AG59=0,0,SUM($E59:AG59)-SUM($E16:AG16)-SUM($E23:AF23))</f>
        <v>0</v>
      </c>
      <c r="AH23" s="276">
        <f>IF(AH59=0,0,SUM($E59:AH59)-SUM($E16:AH16)-SUM($E23:AG23))</f>
        <v>0</v>
      </c>
      <c r="AI23" s="276">
        <f>IF(AI59=0,0,SUM($E59:AI59)-SUM($E16:AI16)-SUM($E23:AH23))</f>
        <v>0</v>
      </c>
      <c r="AJ23" s="277">
        <f>IF(AJ59=0,0,SUM($E59:AJ59)-SUM($E16:AJ16)-SUM($E23:AI23))</f>
        <v>0</v>
      </c>
      <c r="AK23" s="275">
        <f>IF(AK59=0,0,SUM($E59:AK59)-SUM($E16:AK16)-SUM($E23:AJ23))</f>
        <v>0</v>
      </c>
      <c r="AL23" s="276">
        <f>IF(AL59=0,0,SUM($E59:AL59)-SUM($E16:AL16)-SUM($E23:AK23))</f>
        <v>0</v>
      </c>
      <c r="AM23" s="276">
        <f>IF(AM59=0,0,SUM($E59:AM59)-SUM($E16:AM16)-SUM($E23:AL23))</f>
        <v>0</v>
      </c>
      <c r="AN23" s="277">
        <f>IF(AN59=0,0,SUM($E59:AN59)-SUM($E16:AN16)-SUM($E23:AM23))</f>
        <v>0</v>
      </c>
      <c r="AO23" s="275">
        <f>IF(AO59=0,0,SUM($E59:AO59)-SUM($E16:AO16)-SUM($E23:AN23))</f>
        <v>0</v>
      </c>
      <c r="AP23" s="276">
        <f>IF(AP59=0,0,SUM($E59:AP59)-SUM($E16:AP16)-SUM($E23:AO23))</f>
        <v>0</v>
      </c>
      <c r="AQ23" s="276">
        <f>IF(AQ59=0,0,SUM($E59:AQ59)-SUM($E16:AQ16)-SUM($E23:AP23))</f>
        <v>0</v>
      </c>
      <c r="AR23" s="277">
        <f>IF(AR59=0,0,SUM($E59:AR59)-SUM($E16:AR16)-SUM($E23:AQ23))</f>
        <v>0</v>
      </c>
      <c r="AS23" s="275">
        <f>IF(AS59=0,0,SUM($E59:AS59)-SUM($E16:AS16)-SUM($E23:AR23))</f>
        <v>0</v>
      </c>
      <c r="AT23" s="276">
        <f>IF(AT59=0,0,SUM($E59:AT59)-SUM($E16:AT16)-SUM($E23:AS23))</f>
        <v>0</v>
      </c>
      <c r="AU23" s="276">
        <f>IF(AU59=0,0,SUM($E59:AU59)-SUM($E16:AU16)-SUM($E23:AT23))</f>
        <v>0</v>
      </c>
      <c r="AV23" s="277">
        <f>IF(AV59=0,0,SUM($E59:AV59)-SUM($E16:AV16)-SUM($E23:AU23))</f>
        <v>0</v>
      </c>
    </row>
    <row r="24" spans="2:48" s="256" customFormat="1" ht="15.75" customHeight="1">
      <c r="B24" s="1975"/>
      <c r="C24" s="273" t="s">
        <v>22</v>
      </c>
      <c r="D24" s="274">
        <f t="shared" si="9"/>
        <v>0</v>
      </c>
      <c r="E24" s="275">
        <f>IF(E72=0,0,SUM($E72:E72)-SUM($E17:E17)+SUM($E24:E24))</f>
        <v>0</v>
      </c>
      <c r="F24" s="276">
        <f>IF(F72=0,0,SUM($E72:F72)-SUM($E17:F17)-SUM($E24:E24))</f>
        <v>0</v>
      </c>
      <c r="G24" s="276">
        <f>IF(G72=0,0,SUM($E72:G72)-SUM($E17:G17)-SUM($E24:F24))</f>
        <v>0</v>
      </c>
      <c r="H24" s="277">
        <f>IF(H72=0,0,SUM($E72:H72)-SUM($E17:H17)-SUM($E24:G24))</f>
        <v>0</v>
      </c>
      <c r="I24" s="275">
        <f>IF(I72=0,0,SUM($E72:I72)-SUM($E17:I17)-SUM($E24:H24))</f>
        <v>0</v>
      </c>
      <c r="J24" s="276">
        <f>IF(J72=0,0,SUM($E72:J72)-SUM($E17:J17)-SUM($E24:I24))</f>
        <v>0</v>
      </c>
      <c r="K24" s="276">
        <f>IF(K72=0,0,SUM($E72:K72)-SUM($E17:K17)-SUM($E24:J24))</f>
        <v>0</v>
      </c>
      <c r="L24" s="277">
        <f>IF(L72=0,0,SUM($E72:L72)-SUM($E17:L17)-SUM($E24:K24))</f>
        <v>0</v>
      </c>
      <c r="M24" s="275">
        <f>IF(M72=0,0,SUM($E72:M72)-SUM($E17:M17)-SUM($E24:L24))</f>
        <v>0</v>
      </c>
      <c r="N24" s="276">
        <f>IF(N72=0,0,SUM($E72:N72)-SUM($E17:N17)-SUM($E24:M24))</f>
        <v>0</v>
      </c>
      <c r="O24" s="276">
        <f>IF(O72=0,0,SUM($E72:O72)-SUM($E17:O17)-SUM($E24:N24))</f>
        <v>0</v>
      </c>
      <c r="P24" s="277">
        <f>IF(P72=0,0,SUM($E72:P72)-SUM($E17:P17)-SUM($E24:O24))</f>
        <v>0</v>
      </c>
      <c r="Q24" s="275">
        <f>IF(Q72=0,0,SUM($E72:Q72)-SUM($E17:Q17)-SUM($E24:P24))</f>
        <v>0</v>
      </c>
      <c r="R24" s="276">
        <f>IF(R72=0,0,SUM($E72:R72)-SUM($E17:R17)-SUM($E24:Q24))</f>
        <v>0</v>
      </c>
      <c r="S24" s="276">
        <f>IF(S72=0,0,SUM($E72:S72)-SUM($E17:S17)-SUM($E24:R24))</f>
        <v>0</v>
      </c>
      <c r="T24" s="277">
        <f>IF(T72=0,0,SUM($E72:T72)-SUM($E17:T17)-SUM($E24:S24))</f>
        <v>0</v>
      </c>
      <c r="U24" s="275">
        <f>IF(U72=0,0,SUM($E72:U72)-SUM($E17:U17)-SUM($E24:T24))</f>
        <v>0</v>
      </c>
      <c r="V24" s="276">
        <f>IF(V72=0,0,SUM($E72:V72)-SUM($E17:V17)-SUM($E24:U24))</f>
        <v>0</v>
      </c>
      <c r="W24" s="276">
        <f>IF(W72=0,0,SUM($E72:W72)-SUM($E17:W17)-SUM($E24:V24))</f>
        <v>0</v>
      </c>
      <c r="X24" s="277">
        <f>IF(X72=0,0,SUM($E72:X72)-SUM($E17:X17)-SUM($E24:W24))</f>
        <v>0</v>
      </c>
      <c r="Y24" s="275">
        <f>IF(Y72=0,0,SUM($E72:Y72)-SUM($E17:Y17)-SUM($E24:X24))</f>
        <v>0</v>
      </c>
      <c r="Z24" s="276">
        <f>IF(Z72=0,0,SUM($E72:Z72)-SUM($E17:Z17)-SUM($E24:Y24))</f>
        <v>0</v>
      </c>
      <c r="AA24" s="276">
        <f>IF(AA72=0,0,SUM($E72:AA72)-SUM($E17:AA17)-SUM($E24:Z24))</f>
        <v>0</v>
      </c>
      <c r="AB24" s="277">
        <f>IF(AB72=0,0,SUM($E72:AB72)-SUM($E17:AB17)-SUM($E24:AA24))</f>
        <v>0</v>
      </c>
      <c r="AC24" s="275">
        <f>IF(AC72=0,0,SUM($E72:AC72)-SUM($E17:AC17)-SUM($E24:AB24))</f>
        <v>0</v>
      </c>
      <c r="AD24" s="276">
        <f>IF(AD72=0,0,SUM($E72:AD72)-SUM($E17:AD17)-SUM($E24:AC24))</f>
        <v>0</v>
      </c>
      <c r="AE24" s="276">
        <f>IF(AE72=0,0,SUM($E72:AE72)-SUM($E17:AE17)-SUM($E24:AD24))</f>
        <v>0</v>
      </c>
      <c r="AF24" s="277">
        <f>IF(AF72=0,0,SUM($E72:AF72)-SUM($E17:AF17)-SUM($E24:AE24))</f>
        <v>0</v>
      </c>
      <c r="AG24" s="275">
        <f>IF(AG72=0,0,SUM($E72:AG72)-SUM($E17:AG17)-SUM($E24:AF24))</f>
        <v>0</v>
      </c>
      <c r="AH24" s="276">
        <f>IF(AH72=0,0,SUM($E72:AH72)-SUM($E17:AH17)-SUM($E24:AG24))</f>
        <v>0</v>
      </c>
      <c r="AI24" s="276">
        <f>IF(AI72=0,0,SUM($E72:AI72)-SUM($E17:AI17)-SUM($E24:AH24))</f>
        <v>0</v>
      </c>
      <c r="AJ24" s="277">
        <f>IF(AJ72=0,0,SUM($E72:AJ72)-SUM($E17:AJ17)-SUM($E24:AI24))</f>
        <v>0</v>
      </c>
      <c r="AK24" s="275">
        <f>IF(AK72=0,0,SUM($E72:AK72)-SUM($E17:AK17)-SUM($E24:AJ24))</f>
        <v>0</v>
      </c>
      <c r="AL24" s="276">
        <f>IF(AL72=0,0,SUM($E72:AL72)-SUM($E17:AL17)-SUM($E24:AK24))</f>
        <v>0</v>
      </c>
      <c r="AM24" s="276">
        <f>IF(AM72=0,0,SUM($E72:AM72)-SUM($E17:AM17)-SUM($E24:AL24))</f>
        <v>0</v>
      </c>
      <c r="AN24" s="277">
        <f>IF(AN72=0,0,SUM($E72:AN72)-SUM($E17:AN17)-SUM($E24:AM24))</f>
        <v>0</v>
      </c>
      <c r="AO24" s="275">
        <f>IF(AO72=0,0,SUM($E72:AO72)-SUM($E17:AO17)-SUM($E24:AN24))</f>
        <v>0</v>
      </c>
      <c r="AP24" s="276">
        <f>IF(AP72=0,0,SUM($E72:AP72)-SUM($E17:AP17)-SUM($E24:AO24))</f>
        <v>0</v>
      </c>
      <c r="AQ24" s="276">
        <f>IF(AQ72=0,0,SUM($E72:AQ72)-SUM($E17:AQ17)-SUM($E24:AP24))</f>
        <v>0</v>
      </c>
      <c r="AR24" s="277">
        <f>IF(AR72=0,0,SUM($E72:AR72)-SUM($E17:AR17)-SUM($E24:AQ24))</f>
        <v>0</v>
      </c>
      <c r="AS24" s="275">
        <f>IF(AS72=0,0,SUM($E72:AS72)-SUM($E17:AS17)-SUM($E24:AR24))</f>
        <v>0</v>
      </c>
      <c r="AT24" s="276">
        <f>IF(AT72=0,0,SUM($E72:AT72)-SUM($E17:AT17)-SUM($E24:AS24))</f>
        <v>0</v>
      </c>
      <c r="AU24" s="276">
        <f>IF(AU72=0,0,SUM($E72:AU72)-SUM($E17:AU17)-SUM($E24:AT24))</f>
        <v>0</v>
      </c>
      <c r="AV24" s="277">
        <f>IF(AV72=0,0,SUM($E72:AV72)-SUM($E17:AV17)-SUM($E24:AU24))</f>
        <v>0</v>
      </c>
    </row>
    <row r="25" spans="2:48" s="256" customFormat="1" ht="15.75" customHeight="1">
      <c r="B25" s="1975"/>
      <c r="C25" s="273" t="s">
        <v>23</v>
      </c>
      <c r="D25" s="274">
        <f t="shared" si="9"/>
        <v>0</v>
      </c>
      <c r="E25" s="275">
        <f>IF(E85=0,0,SUM($E85:E85)-SUM($E18:E18)+SUM($E25:E25))</f>
        <v>0</v>
      </c>
      <c r="F25" s="276">
        <f>IF(F85=0,0,SUM($E85:F85)-SUM($E18:F18)-SUM($E25:E25))</f>
        <v>0</v>
      </c>
      <c r="G25" s="276">
        <f>IF(G85=0,0,SUM($E85:G85)-SUM($E18:G18)-SUM($E25:F25))</f>
        <v>0</v>
      </c>
      <c r="H25" s="277">
        <f>IF(H85=0,0,SUM($E85:H85)-SUM($E18:H18)-SUM($E25:G25))</f>
        <v>0</v>
      </c>
      <c r="I25" s="275">
        <f>IF(I85=0,0,SUM($E85:I85)-SUM($E18:I18)-SUM($E25:H25))</f>
        <v>0</v>
      </c>
      <c r="J25" s="276">
        <f>IF(J85=0,0,SUM($E85:J85)-SUM($E18:J18)-SUM($E25:I25))</f>
        <v>0</v>
      </c>
      <c r="K25" s="276">
        <f>IF(K85=0,0,SUM($E85:K85)-SUM($E18:K18)-SUM($E25:J25))</f>
        <v>0</v>
      </c>
      <c r="L25" s="277">
        <f>IF(L85=0,0,SUM($E85:L85)-SUM($E18:L18)-SUM($E25:K25))</f>
        <v>0</v>
      </c>
      <c r="M25" s="275">
        <f>IF(M85=0,0,SUM($E85:M85)-SUM($E18:M18)-SUM($E25:L25))</f>
        <v>0</v>
      </c>
      <c r="N25" s="276">
        <f>IF(N85=0,0,SUM($E85:N85)-SUM($E18:N18)-SUM($E25:M25))</f>
        <v>0</v>
      </c>
      <c r="O25" s="276">
        <f>IF(O85=0,0,SUM($E85:O85)-SUM($E18:O18)-SUM($E25:N25))</f>
        <v>0</v>
      </c>
      <c r="P25" s="277">
        <f>IF(P85=0,0,SUM($E85:P85)-SUM($E18:P18)-SUM($E25:O25))</f>
        <v>0</v>
      </c>
      <c r="Q25" s="275">
        <f>IF(Q85=0,0,SUM($E85:Q85)-SUM($E18:Q18)-SUM($E25:P25))</f>
        <v>0</v>
      </c>
      <c r="R25" s="276">
        <f>IF(R85=0,0,SUM($E85:R85)-SUM($E18:R18)-SUM($E25:Q25))</f>
        <v>0</v>
      </c>
      <c r="S25" s="276">
        <f>IF(S85=0,0,SUM($E85:S85)-SUM($E18:S18)-SUM($E25:R25))</f>
        <v>0</v>
      </c>
      <c r="T25" s="277">
        <f>IF(T85=0,0,SUM($E85:T85)-SUM($E18:T18)-SUM($E25:S25))</f>
        <v>0</v>
      </c>
      <c r="U25" s="275">
        <f>IF(U85=0,0,SUM($E85:U85)-SUM($E18:U18)-SUM($E25:T25))</f>
        <v>0</v>
      </c>
      <c r="V25" s="276">
        <f>IF(V85=0,0,SUM($E85:V85)-SUM($E18:V18)-SUM($E25:U25))</f>
        <v>0</v>
      </c>
      <c r="W25" s="276">
        <f>IF(W85=0,0,SUM($E85:W85)-SUM($E18:W18)-SUM($E25:V25))</f>
        <v>0</v>
      </c>
      <c r="X25" s="277">
        <f>IF(X85=0,0,SUM($E85:X85)-SUM($E18:X18)-SUM($E25:W25))</f>
        <v>0</v>
      </c>
      <c r="Y25" s="275">
        <f>IF(Y85=0,0,SUM($E85:Y85)-SUM($E18:Y18)-SUM($E25:X25))</f>
        <v>0</v>
      </c>
      <c r="Z25" s="276">
        <f>IF(Z85=0,0,SUM($E85:Z85)-SUM($E18:Z18)-SUM($E25:Y25))</f>
        <v>0</v>
      </c>
      <c r="AA25" s="276">
        <f>IF(AA85=0,0,SUM($E85:AA85)-SUM($E18:AA18)-SUM($E25:Z25))</f>
        <v>0</v>
      </c>
      <c r="AB25" s="277">
        <f>IF(AB85=0,0,SUM($E85:AB85)-SUM($E18:AB18)-SUM($E25:AA25))</f>
        <v>0</v>
      </c>
      <c r="AC25" s="275">
        <f>IF(AC85=0,0,SUM($E85:AC85)-SUM($E18:AC18)-SUM($E25:AB25))</f>
        <v>0</v>
      </c>
      <c r="AD25" s="276">
        <f>IF(AD85=0,0,SUM($E85:AD85)-SUM($E18:AD18)-SUM($E25:AC25))</f>
        <v>0</v>
      </c>
      <c r="AE25" s="276">
        <f>IF(AE85=0,0,SUM($E85:AE85)-SUM($E18:AE18)-SUM($E25:AD25))</f>
        <v>0</v>
      </c>
      <c r="AF25" s="277">
        <f>IF(AF85=0,0,SUM($E85:AF85)-SUM($E18:AF18)-SUM($E25:AE25))</f>
        <v>0</v>
      </c>
      <c r="AG25" s="275">
        <f>IF(AG85=0,0,SUM($E85:AG85)-SUM($E18:AG18)-SUM($E25:AF25))</f>
        <v>0</v>
      </c>
      <c r="AH25" s="276">
        <f>IF(AH85=0,0,SUM($E85:AH85)-SUM($E18:AH18)-SUM($E25:AG25))</f>
        <v>0</v>
      </c>
      <c r="AI25" s="276">
        <f>IF(AI85=0,0,SUM($E85:AI85)-SUM($E18:AI18)-SUM($E25:AH25))</f>
        <v>0</v>
      </c>
      <c r="AJ25" s="277">
        <f>IF(AJ85=0,0,SUM($E85:AJ85)-SUM($E18:AJ18)-SUM($E25:AI25))</f>
        <v>0</v>
      </c>
      <c r="AK25" s="275">
        <f>IF(AK85=0,0,SUM($E85:AK85)-SUM($E18:AK18)-SUM($E25:AJ25))</f>
        <v>0</v>
      </c>
      <c r="AL25" s="276">
        <f>IF(AL85=0,0,SUM($E85:AL85)-SUM($E18:AL18)-SUM($E25:AK25))</f>
        <v>0</v>
      </c>
      <c r="AM25" s="276">
        <f>IF(AM85=0,0,SUM($E85:AM85)-SUM($E18:AM18)-SUM($E25:AL25))</f>
        <v>0</v>
      </c>
      <c r="AN25" s="277">
        <f>IF(AN85=0,0,SUM($E85:AN85)-SUM($E18:AN18)-SUM($E25:AM25))</f>
        <v>0</v>
      </c>
      <c r="AO25" s="275">
        <f>IF(AO85=0,0,SUM($E85:AO85)-SUM($E18:AO18)-SUM($E25:AN25))</f>
        <v>0</v>
      </c>
      <c r="AP25" s="276">
        <f>IF(AP85=0,0,SUM($E85:AP85)-SUM($E18:AP18)-SUM($E25:AO25))</f>
        <v>0</v>
      </c>
      <c r="AQ25" s="276">
        <f>IF(AQ85=0,0,SUM($E85:AQ85)-SUM($E18:AQ18)-SUM($E25:AP25))</f>
        <v>0</v>
      </c>
      <c r="AR25" s="277">
        <f>IF(AR85=0,0,SUM($E85:AR85)-SUM($E18:AR18)-SUM($E25:AQ25))</f>
        <v>0</v>
      </c>
      <c r="AS25" s="275">
        <f>IF(AS85=0,0,SUM($E85:AS85)-SUM($E18:AS18)-SUM($E25:AR25))</f>
        <v>0</v>
      </c>
      <c r="AT25" s="276">
        <f>IF(AT85=0,0,SUM($E85:AT85)-SUM($E18:AT18)-SUM($E25:AS25))</f>
        <v>0</v>
      </c>
      <c r="AU25" s="276">
        <f>IF(AU85=0,0,SUM($E85:AU85)-SUM($E18:AU18)-SUM($E25:AT25))</f>
        <v>0</v>
      </c>
      <c r="AV25" s="277">
        <f>IF(AV85=0,0,SUM($E85:AV85)-SUM($E18:AV18)-SUM($E25:AU25))</f>
        <v>0</v>
      </c>
    </row>
    <row r="26" spans="2:48" s="256" customFormat="1" ht="15.75" customHeight="1">
      <c r="B26" s="1976"/>
      <c r="C26" s="278" t="s">
        <v>24</v>
      </c>
      <c r="D26" s="279">
        <f t="shared" si="9"/>
        <v>0</v>
      </c>
      <c r="E26" s="280">
        <f>IF(E98=0,0,SUM($E98:E98)-SUM($E19:E19)+SUM($E26:E26))</f>
        <v>0</v>
      </c>
      <c r="F26" s="281">
        <f>IF(F98=0,0,SUM($E98:F98)-SUM($E19:F19)-SUM($E26:E26))</f>
        <v>0</v>
      </c>
      <c r="G26" s="281">
        <f>IF(G98=0,0,SUM($E98:G98)-SUM($E19:G19)-SUM($E26:F26))</f>
        <v>0</v>
      </c>
      <c r="H26" s="282">
        <f>IF(H98=0,0,SUM($E98:H98)-SUM($E19:H19)-SUM($E26:G26))</f>
        <v>0</v>
      </c>
      <c r="I26" s="280">
        <f>IF(I98=0,0,SUM($E98:I98)-SUM($E19:I19)-SUM($E26:H26))</f>
        <v>0</v>
      </c>
      <c r="J26" s="281">
        <f>IF(J98=0,0,SUM($E98:J98)-SUM($E19:J19)-SUM($E26:I26))</f>
        <v>0</v>
      </c>
      <c r="K26" s="281">
        <f>IF(K98=0,0,SUM($E98:K98)-SUM($E19:K19)-SUM($E26:J26))</f>
        <v>0</v>
      </c>
      <c r="L26" s="282">
        <f>IF(L98=0,0,SUM($E98:L98)-SUM($E19:L19)-SUM($E26:K26))</f>
        <v>0</v>
      </c>
      <c r="M26" s="280">
        <f>IF(M98=0,0,SUM($E98:M98)-SUM($E19:M19)-SUM($E26:L26))</f>
        <v>0</v>
      </c>
      <c r="N26" s="281">
        <f>IF(N98=0,0,SUM($E98:N98)-SUM($E19:N19)-SUM($E26:M26))</f>
        <v>0</v>
      </c>
      <c r="O26" s="281">
        <f>IF(O98=0,0,SUM($E98:O98)-SUM($E19:O19)-SUM($E26:N26))</f>
        <v>0</v>
      </c>
      <c r="P26" s="282">
        <f>IF(P98=0,0,SUM($E98:P98)-SUM($E19:P19)-SUM($E26:O26))</f>
        <v>0</v>
      </c>
      <c r="Q26" s="280">
        <f>IF(Q98=0,0,SUM($E98:Q98)-SUM($E19:Q19)-SUM($E26:P26))</f>
        <v>0</v>
      </c>
      <c r="R26" s="281">
        <f>IF(R98=0,0,SUM($E98:R98)-SUM($E19:R19)-SUM($E26:Q26))</f>
        <v>0</v>
      </c>
      <c r="S26" s="281">
        <f>IF(S98=0,0,SUM($E98:S98)-SUM($E19:S19)-SUM($E26:R26))</f>
        <v>0</v>
      </c>
      <c r="T26" s="282">
        <f>IF(T98=0,0,SUM($E98:T98)-SUM($E19:T19)-SUM($E26:S26))</f>
        <v>0</v>
      </c>
      <c r="U26" s="280">
        <f>IF(U98=0,0,SUM($E98:U98)-SUM($E19:U19)-SUM($E26:T26))</f>
        <v>0</v>
      </c>
      <c r="V26" s="281">
        <f>IF(V98=0,0,SUM($E98:V98)-SUM($E19:V19)-SUM($E26:U26))</f>
        <v>0</v>
      </c>
      <c r="W26" s="281">
        <f>IF(W98=0,0,SUM($E98:W98)-SUM($E19:W19)-SUM($E26:V26))</f>
        <v>0</v>
      </c>
      <c r="X26" s="282">
        <f>IF(X98=0,0,SUM($E98:X98)-SUM($E19:X19)-SUM($E26:W26))</f>
        <v>0</v>
      </c>
      <c r="Y26" s="280">
        <f>IF(Y98=0,0,SUM($E98:Y98)-SUM($E19:Y19)-SUM($E26:X26))</f>
        <v>0</v>
      </c>
      <c r="Z26" s="281">
        <f>IF(Z98=0,0,SUM($E98:Z98)-SUM($E19:Z19)-SUM($E26:Y26))</f>
        <v>0</v>
      </c>
      <c r="AA26" s="281">
        <f>IF(AA98=0,0,SUM($E98:AA98)-SUM($E19:AA19)-SUM($E26:Z26))</f>
        <v>0</v>
      </c>
      <c r="AB26" s="282">
        <f>IF(AB98=0,0,SUM($E98:AB98)-SUM($E19:AB19)-SUM($E26:AA26))</f>
        <v>0</v>
      </c>
      <c r="AC26" s="280">
        <f>IF(AC98=0,0,SUM($E98:AC98)-SUM($E19:AC19)-SUM($E26:AB26))</f>
        <v>0</v>
      </c>
      <c r="AD26" s="281">
        <f>IF(AD98=0,0,SUM($E98:AD98)-SUM($E19:AD19)-SUM($E26:AC26))</f>
        <v>0</v>
      </c>
      <c r="AE26" s="281">
        <f>IF(AE98=0,0,SUM($E98:AE98)-SUM($E19:AE19)-SUM($E26:AD26))</f>
        <v>0</v>
      </c>
      <c r="AF26" s="282">
        <f>IF(AF98=0,0,SUM($E98:AF98)-SUM($E19:AF19)-SUM($E26:AE26))</f>
        <v>0</v>
      </c>
      <c r="AG26" s="280">
        <f>IF(AG98=0,0,SUM($E98:AG98)-SUM($E19:AG19)-SUM($E26:AF26))</f>
        <v>0</v>
      </c>
      <c r="AH26" s="281">
        <f>IF(AH98=0,0,SUM($E98:AH98)-SUM($E19:AH19)-SUM($E26:AG26))</f>
        <v>0</v>
      </c>
      <c r="AI26" s="281">
        <f>IF(AI98=0,0,SUM($E98:AI98)-SUM($E19:AI19)-SUM($E26:AH26))</f>
        <v>0</v>
      </c>
      <c r="AJ26" s="282">
        <f>IF(AJ98=0,0,SUM($E98:AJ98)-SUM($E19:AJ19)-SUM($E26:AI26))</f>
        <v>0</v>
      </c>
      <c r="AK26" s="280">
        <f>IF(AK98=0,0,SUM($E98:AK98)-SUM($E19:AK19)-SUM($E26:AJ26))</f>
        <v>0</v>
      </c>
      <c r="AL26" s="281">
        <f>IF(AL98=0,0,SUM($E98:AL98)-SUM($E19:AL19)-SUM($E26:AK26))</f>
        <v>0</v>
      </c>
      <c r="AM26" s="281">
        <f>IF(AM98=0,0,SUM($E98:AM98)-SUM($E19:AM19)-SUM($E26:AL26))</f>
        <v>0</v>
      </c>
      <c r="AN26" s="282">
        <f>IF(AN98=0,0,SUM($E98:AN98)-SUM($E19:AN19)-SUM($E26:AM26))</f>
        <v>0</v>
      </c>
      <c r="AO26" s="280">
        <f>IF(AO98=0,0,SUM($E98:AO98)-SUM($E19:AO19)-SUM($E26:AN26))</f>
        <v>0</v>
      </c>
      <c r="AP26" s="281">
        <f>IF(AP98=0,0,SUM($E98:AP98)-SUM($E19:AP19)-SUM($E26:AO26))</f>
        <v>0</v>
      </c>
      <c r="AQ26" s="281">
        <f>IF(AQ98=0,0,SUM($E98:AQ98)-SUM($E19:AQ19)-SUM($E26:AP26))</f>
        <v>0</v>
      </c>
      <c r="AR26" s="282">
        <f>IF(AR98=0,0,SUM($E98:AR98)-SUM($E19:AR19)-SUM($E26:AQ26))</f>
        <v>0</v>
      </c>
      <c r="AS26" s="280">
        <f>IF(AS98=0,0,SUM($E98:AS98)-SUM($E19:AS19)-SUM($E26:AR26))</f>
        <v>0</v>
      </c>
      <c r="AT26" s="281">
        <f>IF(AT98=0,0,SUM($E98:AT98)-SUM($E19:AT19)-SUM($E26:AS26))</f>
        <v>0</v>
      </c>
      <c r="AU26" s="281">
        <f>IF(AU98=0,0,SUM($E98:AU98)-SUM($E19:AU19)-SUM($E26:AT26))</f>
        <v>0</v>
      </c>
      <c r="AV26" s="282">
        <f>IF(AV98=0,0,SUM($E98:AV98)-SUM($E19:AV19)-SUM($E26:AU26))</f>
        <v>0</v>
      </c>
    </row>
    <row r="27" spans="2:48" s="256" customFormat="1" ht="15.75" customHeight="1">
      <c r="B27" s="287"/>
      <c r="C27" s="288" t="s">
        <v>553</v>
      </c>
      <c r="D27" s="289">
        <f>MAX((('11.销售及回款表'!D8+'11.销售及回款表'!D13-'12.土地成本表'!C67)/1.1*0.1-'13.建安成本表'!E196-'13.建安成本表'!H196-'13.建安成本表'!K196-'13.建安成本表'!N196-'13.建安成本表'!Q196-'13.建安成本表'!T196),D6)-D6</f>
        <v>0</v>
      </c>
      <c r="E27" s="290"/>
      <c r="F27" s="290"/>
      <c r="G27" s="290"/>
      <c r="H27" s="290"/>
      <c r="I27" s="290"/>
      <c r="J27" s="290"/>
      <c r="K27" s="290"/>
      <c r="L27" s="290"/>
      <c r="M27" s="290"/>
      <c r="N27" s="290"/>
      <c r="O27" s="290"/>
      <c r="P27" s="290"/>
      <c r="Q27" s="290"/>
      <c r="R27" s="290"/>
      <c r="S27" s="290"/>
      <c r="T27" s="290"/>
      <c r="U27" s="290"/>
      <c r="V27" s="290"/>
      <c r="W27" s="290"/>
      <c r="X27" s="290"/>
      <c r="Y27" s="290"/>
      <c r="Z27" s="290"/>
      <c r="AA27" s="290"/>
      <c r="AB27" s="290"/>
      <c r="AC27" s="290"/>
      <c r="AD27" s="290"/>
      <c r="AE27" s="290"/>
      <c r="AF27" s="290"/>
      <c r="AG27" s="290"/>
      <c r="AH27" s="290"/>
      <c r="AI27" s="290"/>
      <c r="AJ27" s="290"/>
      <c r="AK27" s="290"/>
      <c r="AL27" s="290"/>
      <c r="AM27" s="290"/>
      <c r="AN27" s="290"/>
      <c r="AO27" s="290"/>
      <c r="AP27" s="290"/>
      <c r="AQ27" s="290"/>
      <c r="AR27" s="290"/>
      <c r="AS27" s="290"/>
      <c r="AT27" s="290"/>
      <c r="AU27" s="290"/>
      <c r="AV27" s="290"/>
    </row>
    <row r="28" spans="2:48" s="256" customFormat="1" ht="15.75" customHeight="1">
      <c r="B28" s="287"/>
      <c r="C28" s="287"/>
      <c r="D28" s="291"/>
      <c r="E28" s="290"/>
      <c r="F28" s="290"/>
      <c r="G28" s="290"/>
      <c r="H28" s="290"/>
      <c r="I28" s="290"/>
      <c r="J28" s="290"/>
      <c r="K28" s="290"/>
      <c r="L28" s="290"/>
      <c r="M28" s="290"/>
      <c r="N28" s="290"/>
      <c r="O28" s="290"/>
      <c r="P28" s="290"/>
      <c r="Q28" s="290"/>
      <c r="R28" s="290"/>
      <c r="S28" s="290"/>
      <c r="T28" s="290"/>
      <c r="U28" s="290"/>
      <c r="V28" s="290"/>
      <c r="W28" s="290"/>
      <c r="X28" s="290"/>
      <c r="Y28" s="290"/>
      <c r="Z28" s="290"/>
      <c r="AA28" s="290"/>
      <c r="AB28" s="290"/>
      <c r="AC28" s="290"/>
      <c r="AD28" s="290"/>
      <c r="AE28" s="290"/>
      <c r="AF28" s="290"/>
      <c r="AG28" s="290"/>
      <c r="AH28" s="290"/>
      <c r="AI28" s="290"/>
      <c r="AJ28" s="290"/>
      <c r="AK28" s="290"/>
      <c r="AL28" s="290"/>
      <c r="AM28" s="290"/>
      <c r="AN28" s="290"/>
      <c r="AO28" s="290"/>
      <c r="AP28" s="290"/>
      <c r="AQ28" s="290"/>
      <c r="AR28" s="290"/>
      <c r="AS28" s="290"/>
      <c r="AT28" s="290"/>
      <c r="AU28" s="290"/>
      <c r="AV28" s="290"/>
    </row>
    <row r="29" spans="2:48" s="258" customFormat="1" ht="15.75" customHeight="1">
      <c r="B29" s="292" t="s">
        <v>926</v>
      </c>
      <c r="C29" s="293"/>
      <c r="D29" s="290"/>
      <c r="E29" s="290"/>
      <c r="F29" s="290"/>
      <c r="G29" s="290"/>
      <c r="H29" s="290"/>
      <c r="I29" s="290"/>
      <c r="J29" s="290"/>
      <c r="K29" s="290"/>
      <c r="L29" s="290"/>
      <c r="M29" s="290"/>
      <c r="N29" s="290"/>
      <c r="O29" s="290"/>
      <c r="P29" s="290"/>
      <c r="Q29" s="290"/>
      <c r="R29" s="290"/>
      <c r="S29" s="290"/>
      <c r="T29" s="290"/>
      <c r="U29" s="290"/>
      <c r="V29" s="290"/>
      <c r="W29" s="290"/>
      <c r="X29" s="290"/>
      <c r="Y29" s="290"/>
      <c r="Z29" s="290"/>
      <c r="AA29" s="290"/>
      <c r="AB29" s="290"/>
      <c r="AC29" s="290"/>
      <c r="AD29" s="290"/>
      <c r="AE29" s="290"/>
      <c r="AF29" s="290"/>
      <c r="AG29" s="290"/>
      <c r="AH29" s="290"/>
      <c r="AI29" s="290"/>
      <c r="AJ29" s="290"/>
      <c r="AK29" s="290"/>
      <c r="AL29" s="290"/>
      <c r="AM29" s="290"/>
      <c r="AN29" s="290"/>
      <c r="AO29" s="290"/>
      <c r="AP29" s="290"/>
      <c r="AQ29" s="290"/>
      <c r="AR29" s="290"/>
      <c r="AS29" s="290"/>
      <c r="AT29" s="290"/>
      <c r="AU29" s="290"/>
      <c r="AV29" s="290"/>
    </row>
    <row r="30" spans="2:48" s="256" customFormat="1" ht="15.75" customHeight="1">
      <c r="B30" s="1978" t="s">
        <v>183</v>
      </c>
      <c r="C30" s="1978" t="s">
        <v>598</v>
      </c>
      <c r="D30" s="1987" t="s">
        <v>251</v>
      </c>
      <c r="E30" s="1971">
        <f>'1.参数设置'!$C$4</f>
        <v>2018</v>
      </c>
      <c r="F30" s="1972"/>
      <c r="G30" s="1972"/>
      <c r="H30" s="1973"/>
      <c r="I30" s="1971">
        <f>E30+1</f>
        <v>2019</v>
      </c>
      <c r="J30" s="1972"/>
      <c r="K30" s="1972"/>
      <c r="L30" s="1973"/>
      <c r="M30" s="1971">
        <f>I30+1</f>
        <v>2020</v>
      </c>
      <c r="N30" s="1972"/>
      <c r="O30" s="1972"/>
      <c r="P30" s="1973"/>
      <c r="Q30" s="1971">
        <f>M30+1</f>
        <v>2021</v>
      </c>
      <c r="R30" s="1972"/>
      <c r="S30" s="1972"/>
      <c r="T30" s="1973"/>
      <c r="U30" s="1971">
        <f>Q30+1</f>
        <v>2022</v>
      </c>
      <c r="V30" s="1972"/>
      <c r="W30" s="1972"/>
      <c r="X30" s="1973"/>
      <c r="Y30" s="1971">
        <f>U30+1</f>
        <v>2023</v>
      </c>
      <c r="Z30" s="1972"/>
      <c r="AA30" s="1972"/>
      <c r="AB30" s="1973"/>
      <c r="AC30" s="1971">
        <f>Y30+1</f>
        <v>2024</v>
      </c>
      <c r="AD30" s="1972"/>
      <c r="AE30" s="1972"/>
      <c r="AF30" s="1973"/>
      <c r="AG30" s="1971">
        <f>AC30+1</f>
        <v>2025</v>
      </c>
      <c r="AH30" s="1972"/>
      <c r="AI30" s="1972"/>
      <c r="AJ30" s="1973"/>
      <c r="AK30" s="1971">
        <f>AG30+1</f>
        <v>2026</v>
      </c>
      <c r="AL30" s="1972"/>
      <c r="AM30" s="1972"/>
      <c r="AN30" s="1973"/>
      <c r="AO30" s="1971">
        <f>AK30+1</f>
        <v>2027</v>
      </c>
      <c r="AP30" s="1972"/>
      <c r="AQ30" s="1972"/>
      <c r="AR30" s="1973"/>
      <c r="AS30" s="1971">
        <f>AO30+1</f>
        <v>2028</v>
      </c>
      <c r="AT30" s="1972"/>
      <c r="AU30" s="1972"/>
      <c r="AV30" s="1973"/>
    </row>
    <row r="31" spans="2:48" s="256" customFormat="1" ht="15.75" customHeight="1">
      <c r="B31" s="1979"/>
      <c r="C31" s="1979"/>
      <c r="D31" s="1988"/>
      <c r="E31" s="265" t="s">
        <v>920</v>
      </c>
      <c r="F31" s="266" t="s">
        <v>921</v>
      </c>
      <c r="G31" s="266" t="s">
        <v>922</v>
      </c>
      <c r="H31" s="267" t="s">
        <v>923</v>
      </c>
      <c r="I31" s="265" t="s">
        <v>920</v>
      </c>
      <c r="J31" s="266" t="s">
        <v>921</v>
      </c>
      <c r="K31" s="266" t="s">
        <v>922</v>
      </c>
      <c r="L31" s="267" t="s">
        <v>923</v>
      </c>
      <c r="M31" s="265" t="s">
        <v>920</v>
      </c>
      <c r="N31" s="266" t="s">
        <v>921</v>
      </c>
      <c r="O31" s="266" t="s">
        <v>922</v>
      </c>
      <c r="P31" s="267" t="s">
        <v>923</v>
      </c>
      <c r="Q31" s="265" t="s">
        <v>920</v>
      </c>
      <c r="R31" s="266" t="s">
        <v>921</v>
      </c>
      <c r="S31" s="266" t="s">
        <v>922</v>
      </c>
      <c r="T31" s="267" t="s">
        <v>923</v>
      </c>
      <c r="U31" s="265" t="s">
        <v>920</v>
      </c>
      <c r="V31" s="266" t="s">
        <v>921</v>
      </c>
      <c r="W31" s="266" t="s">
        <v>922</v>
      </c>
      <c r="X31" s="267" t="s">
        <v>923</v>
      </c>
      <c r="Y31" s="265" t="s">
        <v>920</v>
      </c>
      <c r="Z31" s="266" t="s">
        <v>921</v>
      </c>
      <c r="AA31" s="266" t="s">
        <v>922</v>
      </c>
      <c r="AB31" s="267" t="s">
        <v>923</v>
      </c>
      <c r="AC31" s="265" t="s">
        <v>920</v>
      </c>
      <c r="AD31" s="266" t="s">
        <v>921</v>
      </c>
      <c r="AE31" s="266" t="s">
        <v>922</v>
      </c>
      <c r="AF31" s="267" t="s">
        <v>923</v>
      </c>
      <c r="AG31" s="265" t="s">
        <v>920</v>
      </c>
      <c r="AH31" s="266" t="s">
        <v>921</v>
      </c>
      <c r="AI31" s="266" t="s">
        <v>922</v>
      </c>
      <c r="AJ31" s="267" t="s">
        <v>923</v>
      </c>
      <c r="AK31" s="265" t="s">
        <v>920</v>
      </c>
      <c r="AL31" s="266" t="s">
        <v>921</v>
      </c>
      <c r="AM31" s="266" t="s">
        <v>922</v>
      </c>
      <c r="AN31" s="267" t="s">
        <v>923</v>
      </c>
      <c r="AO31" s="265" t="s">
        <v>920</v>
      </c>
      <c r="AP31" s="266" t="s">
        <v>921</v>
      </c>
      <c r="AQ31" s="266" t="s">
        <v>922</v>
      </c>
      <c r="AR31" s="267" t="s">
        <v>923</v>
      </c>
      <c r="AS31" s="265" t="s">
        <v>920</v>
      </c>
      <c r="AT31" s="266" t="s">
        <v>921</v>
      </c>
      <c r="AU31" s="266" t="s">
        <v>922</v>
      </c>
      <c r="AV31" s="267" t="s">
        <v>923</v>
      </c>
    </row>
    <row r="32" spans="2:48" s="257" customFormat="1" ht="15.75" customHeight="1">
      <c r="B32" s="1980" t="s">
        <v>925</v>
      </c>
      <c r="C32" s="295" t="s">
        <v>251</v>
      </c>
      <c r="D32" s="296">
        <f>SUM(D33,D46,D59,D72,D85,D98)</f>
        <v>5573.1218406316912</v>
      </c>
      <c r="E32" s="297">
        <f t="shared" ref="E32:J32" si="11">SUM(E33,E46,E59,E72,E85,E98)</f>
        <v>0</v>
      </c>
      <c r="F32" s="296">
        <f t="shared" si="11"/>
        <v>0</v>
      </c>
      <c r="G32" s="296">
        <f t="shared" si="11"/>
        <v>0</v>
      </c>
      <c r="H32" s="298">
        <f t="shared" si="11"/>
        <v>0</v>
      </c>
      <c r="I32" s="297">
        <f t="shared" si="11"/>
        <v>0</v>
      </c>
      <c r="J32" s="296">
        <f t="shared" si="11"/>
        <v>0</v>
      </c>
      <c r="K32" s="296">
        <f t="shared" ref="K32:AV32" si="12">SUM(K33,K46,K59,K72,K85,K98)</f>
        <v>0</v>
      </c>
      <c r="L32" s="298">
        <f t="shared" si="12"/>
        <v>0</v>
      </c>
      <c r="M32" s="297">
        <f t="shared" si="12"/>
        <v>0</v>
      </c>
      <c r="N32" s="296">
        <f t="shared" si="12"/>
        <v>0</v>
      </c>
      <c r="O32" s="296">
        <f t="shared" si="12"/>
        <v>0</v>
      </c>
      <c r="P32" s="298">
        <f t="shared" si="12"/>
        <v>5507.6581602156457</v>
      </c>
      <c r="Q32" s="297">
        <f t="shared" si="12"/>
        <v>65.463680416045577</v>
      </c>
      <c r="R32" s="296">
        <f t="shared" si="12"/>
        <v>0</v>
      </c>
      <c r="S32" s="296">
        <f t="shared" si="12"/>
        <v>0</v>
      </c>
      <c r="T32" s="298">
        <f t="shared" si="12"/>
        <v>0</v>
      </c>
      <c r="U32" s="297">
        <f t="shared" si="12"/>
        <v>0</v>
      </c>
      <c r="V32" s="296">
        <f t="shared" si="12"/>
        <v>0</v>
      </c>
      <c r="W32" s="296">
        <f t="shared" si="12"/>
        <v>0</v>
      </c>
      <c r="X32" s="298">
        <f t="shared" si="12"/>
        <v>0</v>
      </c>
      <c r="Y32" s="297">
        <f t="shared" si="12"/>
        <v>0</v>
      </c>
      <c r="Z32" s="296">
        <f t="shared" si="12"/>
        <v>0</v>
      </c>
      <c r="AA32" s="296">
        <f t="shared" si="12"/>
        <v>0</v>
      </c>
      <c r="AB32" s="298">
        <f t="shared" si="12"/>
        <v>0</v>
      </c>
      <c r="AC32" s="297">
        <f t="shared" si="12"/>
        <v>0</v>
      </c>
      <c r="AD32" s="296">
        <f t="shared" si="12"/>
        <v>0</v>
      </c>
      <c r="AE32" s="296">
        <f t="shared" si="12"/>
        <v>0</v>
      </c>
      <c r="AF32" s="298">
        <f t="shared" si="12"/>
        <v>0</v>
      </c>
      <c r="AG32" s="297">
        <f t="shared" si="12"/>
        <v>0</v>
      </c>
      <c r="AH32" s="296">
        <f t="shared" si="12"/>
        <v>0</v>
      </c>
      <c r="AI32" s="296">
        <f t="shared" si="12"/>
        <v>0</v>
      </c>
      <c r="AJ32" s="298">
        <f t="shared" si="12"/>
        <v>0</v>
      </c>
      <c r="AK32" s="297">
        <f t="shared" si="12"/>
        <v>0</v>
      </c>
      <c r="AL32" s="296">
        <f t="shared" si="12"/>
        <v>0</v>
      </c>
      <c r="AM32" s="296">
        <f t="shared" si="12"/>
        <v>0</v>
      </c>
      <c r="AN32" s="298">
        <f t="shared" si="12"/>
        <v>0</v>
      </c>
      <c r="AO32" s="297">
        <f t="shared" si="12"/>
        <v>0</v>
      </c>
      <c r="AP32" s="296">
        <f t="shared" si="12"/>
        <v>0</v>
      </c>
      <c r="AQ32" s="296">
        <f t="shared" si="12"/>
        <v>0</v>
      </c>
      <c r="AR32" s="298">
        <f t="shared" si="12"/>
        <v>0</v>
      </c>
      <c r="AS32" s="297">
        <f t="shared" si="12"/>
        <v>0</v>
      </c>
      <c r="AT32" s="296">
        <f t="shared" si="12"/>
        <v>0</v>
      </c>
      <c r="AU32" s="296">
        <f t="shared" si="12"/>
        <v>0</v>
      </c>
      <c r="AV32" s="298">
        <f t="shared" si="12"/>
        <v>0</v>
      </c>
    </row>
    <row r="33" spans="2:48" s="257" customFormat="1" ht="15.75" customHeight="1">
      <c r="B33" s="1980"/>
      <c r="C33" s="299" t="s">
        <v>19</v>
      </c>
      <c r="D33" s="300">
        <f>SUM(D34:D45)</f>
        <v>5573.1218406316912</v>
      </c>
      <c r="E33" s="301">
        <f>SUM(E34:E45)</f>
        <v>0</v>
      </c>
      <c r="F33" s="300">
        <f t="shared" ref="F33:AV33" si="13">SUM(F34:F45)</f>
        <v>0</v>
      </c>
      <c r="G33" s="300">
        <f t="shared" si="13"/>
        <v>0</v>
      </c>
      <c r="H33" s="302">
        <f t="shared" si="13"/>
        <v>0</v>
      </c>
      <c r="I33" s="301">
        <f t="shared" si="13"/>
        <v>0</v>
      </c>
      <c r="J33" s="300">
        <f t="shared" si="13"/>
        <v>0</v>
      </c>
      <c r="K33" s="300">
        <f t="shared" si="13"/>
        <v>0</v>
      </c>
      <c r="L33" s="302">
        <f t="shared" si="13"/>
        <v>0</v>
      </c>
      <c r="M33" s="301">
        <f t="shared" si="13"/>
        <v>0</v>
      </c>
      <c r="N33" s="300">
        <f t="shared" si="13"/>
        <v>0</v>
      </c>
      <c r="O33" s="300">
        <f t="shared" si="13"/>
        <v>0</v>
      </c>
      <c r="P33" s="302">
        <f t="shared" si="13"/>
        <v>5507.6581602156457</v>
      </c>
      <c r="Q33" s="301">
        <f t="shared" si="13"/>
        <v>65.463680416045577</v>
      </c>
      <c r="R33" s="300">
        <f t="shared" si="13"/>
        <v>0</v>
      </c>
      <c r="S33" s="300">
        <f t="shared" si="13"/>
        <v>0</v>
      </c>
      <c r="T33" s="302">
        <f t="shared" si="13"/>
        <v>0</v>
      </c>
      <c r="U33" s="301">
        <f t="shared" si="13"/>
        <v>0</v>
      </c>
      <c r="V33" s="300">
        <f t="shared" si="13"/>
        <v>0</v>
      </c>
      <c r="W33" s="300">
        <f t="shared" si="13"/>
        <v>0</v>
      </c>
      <c r="X33" s="302">
        <f t="shared" si="13"/>
        <v>0</v>
      </c>
      <c r="Y33" s="301">
        <f t="shared" si="13"/>
        <v>0</v>
      </c>
      <c r="Z33" s="300">
        <f t="shared" si="13"/>
        <v>0</v>
      </c>
      <c r="AA33" s="300">
        <f t="shared" si="13"/>
        <v>0</v>
      </c>
      <c r="AB33" s="302">
        <f t="shared" si="13"/>
        <v>0</v>
      </c>
      <c r="AC33" s="301">
        <f t="shared" si="13"/>
        <v>0</v>
      </c>
      <c r="AD33" s="300">
        <f t="shared" si="13"/>
        <v>0</v>
      </c>
      <c r="AE33" s="300">
        <f t="shared" si="13"/>
        <v>0</v>
      </c>
      <c r="AF33" s="302">
        <f t="shared" si="13"/>
        <v>0</v>
      </c>
      <c r="AG33" s="301">
        <f t="shared" si="13"/>
        <v>0</v>
      </c>
      <c r="AH33" s="300">
        <f t="shared" si="13"/>
        <v>0</v>
      </c>
      <c r="AI33" s="300">
        <f t="shared" si="13"/>
        <v>0</v>
      </c>
      <c r="AJ33" s="302">
        <f t="shared" si="13"/>
        <v>0</v>
      </c>
      <c r="AK33" s="301">
        <f t="shared" si="13"/>
        <v>0</v>
      </c>
      <c r="AL33" s="300">
        <f t="shared" si="13"/>
        <v>0</v>
      </c>
      <c r="AM33" s="300">
        <f t="shared" si="13"/>
        <v>0</v>
      </c>
      <c r="AN33" s="302">
        <f t="shared" si="13"/>
        <v>0</v>
      </c>
      <c r="AO33" s="301">
        <f t="shared" si="13"/>
        <v>0</v>
      </c>
      <c r="AP33" s="300">
        <f t="shared" si="13"/>
        <v>0</v>
      </c>
      <c r="AQ33" s="300">
        <f t="shared" si="13"/>
        <v>0</v>
      </c>
      <c r="AR33" s="302">
        <f t="shared" si="13"/>
        <v>0</v>
      </c>
      <c r="AS33" s="301">
        <f t="shared" si="13"/>
        <v>0</v>
      </c>
      <c r="AT33" s="300">
        <f t="shared" si="13"/>
        <v>0</v>
      </c>
      <c r="AU33" s="300">
        <f t="shared" si="13"/>
        <v>0</v>
      </c>
      <c r="AV33" s="302">
        <f t="shared" si="13"/>
        <v>0</v>
      </c>
    </row>
    <row r="34" spans="2:48" s="257" customFormat="1" ht="15.75" customHeight="1" outlineLevel="1">
      <c r="B34" s="1980"/>
      <c r="C34" s="303" t="str">
        <f>'8.项目规划指标表'!$B$5</f>
        <v>高层</v>
      </c>
      <c r="D34" s="274">
        <f>SUM(E34:AV34)</f>
        <v>4827.2702400621483</v>
      </c>
      <c r="E34" s="275">
        <f>E127*'2.税率表'!$D$7</f>
        <v>0</v>
      </c>
      <c r="F34" s="276">
        <f>F127*'2.税率表'!$D$7</f>
        <v>0</v>
      </c>
      <c r="G34" s="276">
        <f>G127*'2.税率表'!$D$7</f>
        <v>0</v>
      </c>
      <c r="H34" s="277">
        <f>H127*'2.税率表'!$D$7</f>
        <v>0</v>
      </c>
      <c r="I34" s="275">
        <f>I127*'2.税率表'!$D$7</f>
        <v>0</v>
      </c>
      <c r="J34" s="276">
        <f>J127*'2.税率表'!$D$7</f>
        <v>0</v>
      </c>
      <c r="K34" s="276">
        <f>K127*'2.税率表'!$D$7</f>
        <v>0</v>
      </c>
      <c r="L34" s="277">
        <f>L127*'2.税率表'!$D$7</f>
        <v>0</v>
      </c>
      <c r="M34" s="275">
        <f>M127*'2.税率表'!$D$7</f>
        <v>0</v>
      </c>
      <c r="N34" s="276">
        <f>N127*'2.税率表'!$D$7</f>
        <v>0</v>
      </c>
      <c r="O34" s="276">
        <f>O127*'2.税率表'!$D$7</f>
        <v>0</v>
      </c>
      <c r="P34" s="277">
        <f>P127*'2.税率表'!$D$7</f>
        <v>4827.2702400621483</v>
      </c>
      <c r="Q34" s="275">
        <f>Q127*'2.税率表'!$D$7</f>
        <v>0</v>
      </c>
      <c r="R34" s="276">
        <f>R127*'2.税率表'!$D$7</f>
        <v>0</v>
      </c>
      <c r="S34" s="276">
        <f>S127*'2.税率表'!$D$7</f>
        <v>0</v>
      </c>
      <c r="T34" s="277">
        <f>T127*'2.税率表'!$D$7</f>
        <v>0</v>
      </c>
      <c r="U34" s="275">
        <f>U127*'2.税率表'!$D$7</f>
        <v>0</v>
      </c>
      <c r="V34" s="276">
        <f>V127*'2.税率表'!$D$7</f>
        <v>0</v>
      </c>
      <c r="W34" s="276">
        <f>W127*'2.税率表'!$D$7</f>
        <v>0</v>
      </c>
      <c r="X34" s="277">
        <f>X127*'2.税率表'!$D$7</f>
        <v>0</v>
      </c>
      <c r="Y34" s="275">
        <f>Y127*'2.税率表'!$D$7</f>
        <v>0</v>
      </c>
      <c r="Z34" s="276">
        <f>Z127*'2.税率表'!$D$7</f>
        <v>0</v>
      </c>
      <c r="AA34" s="276">
        <f>AA127*'2.税率表'!$D$7</f>
        <v>0</v>
      </c>
      <c r="AB34" s="277">
        <f>AB127*'2.税率表'!$D$7</f>
        <v>0</v>
      </c>
      <c r="AC34" s="275">
        <f>AC127*'2.税率表'!$D$7</f>
        <v>0</v>
      </c>
      <c r="AD34" s="276">
        <f>AD127*'2.税率表'!$D$7</f>
        <v>0</v>
      </c>
      <c r="AE34" s="276">
        <f>AE127*'2.税率表'!$D$7</f>
        <v>0</v>
      </c>
      <c r="AF34" s="277">
        <f>AF127*'2.税率表'!$D$7</f>
        <v>0</v>
      </c>
      <c r="AG34" s="275">
        <f>AG127*'2.税率表'!$D$7</f>
        <v>0</v>
      </c>
      <c r="AH34" s="276">
        <f>AH127*'2.税率表'!$D$7</f>
        <v>0</v>
      </c>
      <c r="AI34" s="276">
        <f>AI127*'2.税率表'!$D$7</f>
        <v>0</v>
      </c>
      <c r="AJ34" s="277">
        <f>AJ127*'2.税率表'!$D$7</f>
        <v>0</v>
      </c>
      <c r="AK34" s="275">
        <f>AK127*'2.税率表'!$D$7</f>
        <v>0</v>
      </c>
      <c r="AL34" s="276">
        <f>AL127*'2.税率表'!$D$7</f>
        <v>0</v>
      </c>
      <c r="AM34" s="276">
        <f>AM127*'2.税率表'!$D$7</f>
        <v>0</v>
      </c>
      <c r="AN34" s="277">
        <f>AN127*'2.税率表'!$D$7</f>
        <v>0</v>
      </c>
      <c r="AO34" s="275">
        <f>AO127*'2.税率表'!$D$7</f>
        <v>0</v>
      </c>
      <c r="AP34" s="276">
        <f>AP127*'2.税率表'!$D$7</f>
        <v>0</v>
      </c>
      <c r="AQ34" s="276">
        <f>AQ127*'2.税率表'!$D$7</f>
        <v>0</v>
      </c>
      <c r="AR34" s="277">
        <f>AR127*'2.税率表'!$D$7</f>
        <v>0</v>
      </c>
      <c r="AS34" s="275">
        <f>AS127*'2.税率表'!$D$7</f>
        <v>0</v>
      </c>
      <c r="AT34" s="276">
        <f>AT127*'2.税率表'!$D$7</f>
        <v>0</v>
      </c>
      <c r="AU34" s="276">
        <f>AU127*'2.税率表'!$D$7</f>
        <v>0</v>
      </c>
      <c r="AV34" s="277">
        <f>AV127*'2.税率表'!$D$7</f>
        <v>0</v>
      </c>
    </row>
    <row r="35" spans="2:48" s="257" customFormat="1" ht="15.75" customHeight="1" outlineLevel="1">
      <c r="B35" s="1980"/>
      <c r="C35" s="303" t="str">
        <f>'8.项目规划指标表'!$B$6</f>
        <v>商铺</v>
      </c>
      <c r="D35" s="274">
        <f t="shared" ref="D35:D45" si="14">SUM(E35:AV35)</f>
        <v>483.99687890536069</v>
      </c>
      <c r="E35" s="275">
        <f>E128*'2.税率表'!$D$7</f>
        <v>0</v>
      </c>
      <c r="F35" s="276">
        <f>F128*'2.税率表'!$D$7</f>
        <v>0</v>
      </c>
      <c r="G35" s="276">
        <f>G128*'2.税率表'!$D$7</f>
        <v>0</v>
      </c>
      <c r="H35" s="277">
        <f>H128*'2.税率表'!$D$7</f>
        <v>0</v>
      </c>
      <c r="I35" s="275">
        <f>I128*'2.税率表'!$D$7</f>
        <v>0</v>
      </c>
      <c r="J35" s="276">
        <f>J128*'2.税率表'!$D$7</f>
        <v>0</v>
      </c>
      <c r="K35" s="276">
        <f>K128*'2.税率表'!$D$7</f>
        <v>0</v>
      </c>
      <c r="L35" s="277">
        <f>L128*'2.税率表'!$D$7</f>
        <v>0</v>
      </c>
      <c r="M35" s="275">
        <f>M128*'2.税率表'!$D$7</f>
        <v>0</v>
      </c>
      <c r="N35" s="276">
        <f>N128*'2.税率表'!$D$7</f>
        <v>0</v>
      </c>
      <c r="O35" s="276">
        <f>O128*'2.税率表'!$D$7</f>
        <v>0</v>
      </c>
      <c r="P35" s="277">
        <f>P128*'2.税率表'!$D$7</f>
        <v>483.99687890536069</v>
      </c>
      <c r="Q35" s="275">
        <f>Q128*'2.税率表'!$D$7</f>
        <v>0</v>
      </c>
      <c r="R35" s="276">
        <f>R128*'2.税率表'!$D$7</f>
        <v>0</v>
      </c>
      <c r="S35" s="276">
        <f>S128*'2.税率表'!$D$7</f>
        <v>0</v>
      </c>
      <c r="T35" s="277">
        <f>T128*'2.税率表'!$D$7</f>
        <v>0</v>
      </c>
      <c r="U35" s="275">
        <f>U128*'2.税率表'!$D$7</f>
        <v>0</v>
      </c>
      <c r="V35" s="276">
        <f>V128*'2.税率表'!$D$7</f>
        <v>0</v>
      </c>
      <c r="W35" s="276">
        <f>W128*'2.税率表'!$D$7</f>
        <v>0</v>
      </c>
      <c r="X35" s="277">
        <f>X128*'2.税率表'!$D$7</f>
        <v>0</v>
      </c>
      <c r="Y35" s="275">
        <f>Y128*'2.税率表'!$D$7</f>
        <v>0</v>
      </c>
      <c r="Z35" s="276">
        <f>Z128*'2.税率表'!$D$7</f>
        <v>0</v>
      </c>
      <c r="AA35" s="276">
        <f>AA128*'2.税率表'!$D$7</f>
        <v>0</v>
      </c>
      <c r="AB35" s="277">
        <f>AB128*'2.税率表'!$D$7</f>
        <v>0</v>
      </c>
      <c r="AC35" s="275">
        <f>AC128*'2.税率表'!$D$7</f>
        <v>0</v>
      </c>
      <c r="AD35" s="276">
        <f>AD128*'2.税率表'!$D$7</f>
        <v>0</v>
      </c>
      <c r="AE35" s="276">
        <f>AE128*'2.税率表'!$D$7</f>
        <v>0</v>
      </c>
      <c r="AF35" s="277">
        <f>AF128*'2.税率表'!$D$7</f>
        <v>0</v>
      </c>
      <c r="AG35" s="275">
        <f>AG128*'2.税率表'!$D$7</f>
        <v>0</v>
      </c>
      <c r="AH35" s="276">
        <f>AH128*'2.税率表'!$D$7</f>
        <v>0</v>
      </c>
      <c r="AI35" s="276">
        <f>AI128*'2.税率表'!$D$7</f>
        <v>0</v>
      </c>
      <c r="AJ35" s="277">
        <f>AJ128*'2.税率表'!$D$7</f>
        <v>0</v>
      </c>
      <c r="AK35" s="275">
        <f>AK128*'2.税率表'!$D$7</f>
        <v>0</v>
      </c>
      <c r="AL35" s="276">
        <f>AL128*'2.税率表'!$D$7</f>
        <v>0</v>
      </c>
      <c r="AM35" s="276">
        <f>AM128*'2.税率表'!$D$7</f>
        <v>0</v>
      </c>
      <c r="AN35" s="277">
        <f>AN128*'2.税率表'!$D$7</f>
        <v>0</v>
      </c>
      <c r="AO35" s="275">
        <f>AO128*'2.税率表'!$D$7</f>
        <v>0</v>
      </c>
      <c r="AP35" s="276">
        <f>AP128*'2.税率表'!$D$7</f>
        <v>0</v>
      </c>
      <c r="AQ35" s="276">
        <f>AQ128*'2.税率表'!$D$7</f>
        <v>0</v>
      </c>
      <c r="AR35" s="277">
        <f>AR128*'2.税率表'!$D$7</f>
        <v>0</v>
      </c>
      <c r="AS35" s="275">
        <f>AS128*'2.税率表'!$D$7</f>
        <v>0</v>
      </c>
      <c r="AT35" s="276">
        <f>AT128*'2.税率表'!$D$7</f>
        <v>0</v>
      </c>
      <c r="AU35" s="276">
        <f>AU128*'2.税率表'!$D$7</f>
        <v>0</v>
      </c>
      <c r="AV35" s="277">
        <f>AV128*'2.税率表'!$D$7</f>
        <v>0</v>
      </c>
    </row>
    <row r="36" spans="2:48" s="257" customFormat="1" ht="15.75" customHeight="1" outlineLevel="1">
      <c r="B36" s="1980"/>
      <c r="C36" s="303" t="str">
        <f>'8.项目规划指标表'!$B$7</f>
        <v>回迁商业</v>
      </c>
      <c r="D36" s="274">
        <f t="shared" si="14"/>
        <v>0</v>
      </c>
      <c r="E36" s="275">
        <f>E129*'2.税率表'!$D$7</f>
        <v>0</v>
      </c>
      <c r="F36" s="276">
        <f>F129*'2.税率表'!$D$7</f>
        <v>0</v>
      </c>
      <c r="G36" s="276">
        <f>G129*'2.税率表'!$D$7</f>
        <v>0</v>
      </c>
      <c r="H36" s="277">
        <f>H129*'2.税率表'!$D$7</f>
        <v>0</v>
      </c>
      <c r="I36" s="275">
        <f>I129*'2.税率表'!$D$7</f>
        <v>0</v>
      </c>
      <c r="J36" s="276">
        <f>J129*'2.税率表'!$D$7</f>
        <v>0</v>
      </c>
      <c r="K36" s="276">
        <f>K129*'2.税率表'!$D$7</f>
        <v>0</v>
      </c>
      <c r="L36" s="277">
        <f>L129*'2.税率表'!$D$7</f>
        <v>0</v>
      </c>
      <c r="M36" s="275">
        <f>M129*'2.税率表'!$D$7</f>
        <v>0</v>
      </c>
      <c r="N36" s="276">
        <f>N129*'2.税率表'!$D$7</f>
        <v>0</v>
      </c>
      <c r="O36" s="276">
        <f>O129*'2.税率表'!$D$7</f>
        <v>0</v>
      </c>
      <c r="P36" s="277">
        <f>P129*'2.税率表'!$D$7</f>
        <v>0</v>
      </c>
      <c r="Q36" s="275">
        <f>Q129*'2.税率表'!$D$7</f>
        <v>0</v>
      </c>
      <c r="R36" s="276">
        <f>R129*'2.税率表'!$D$7</f>
        <v>0</v>
      </c>
      <c r="S36" s="276">
        <f>S129*'2.税率表'!$D$7</f>
        <v>0</v>
      </c>
      <c r="T36" s="277">
        <f>T129*'2.税率表'!$D$7</f>
        <v>0</v>
      </c>
      <c r="U36" s="275">
        <f>U129*'2.税率表'!$D$7</f>
        <v>0</v>
      </c>
      <c r="V36" s="276">
        <f>V129*'2.税率表'!$D$7</f>
        <v>0</v>
      </c>
      <c r="W36" s="276">
        <f>W129*'2.税率表'!$D$7</f>
        <v>0</v>
      </c>
      <c r="X36" s="277">
        <f>X129*'2.税率表'!$D$7</f>
        <v>0</v>
      </c>
      <c r="Y36" s="275">
        <f>Y129*'2.税率表'!$D$7</f>
        <v>0</v>
      </c>
      <c r="Z36" s="276">
        <f>Z129*'2.税率表'!$D$7</f>
        <v>0</v>
      </c>
      <c r="AA36" s="276">
        <f>AA129*'2.税率表'!$D$7</f>
        <v>0</v>
      </c>
      <c r="AB36" s="277">
        <f>AB129*'2.税率表'!$D$7</f>
        <v>0</v>
      </c>
      <c r="AC36" s="275">
        <f>AC129*'2.税率表'!$D$7</f>
        <v>0</v>
      </c>
      <c r="AD36" s="276">
        <f>AD129*'2.税率表'!$D$7</f>
        <v>0</v>
      </c>
      <c r="AE36" s="276">
        <f>AE129*'2.税率表'!$D$7</f>
        <v>0</v>
      </c>
      <c r="AF36" s="277">
        <f>AF129*'2.税率表'!$D$7</f>
        <v>0</v>
      </c>
      <c r="AG36" s="275">
        <f>AG129*'2.税率表'!$D$7</f>
        <v>0</v>
      </c>
      <c r="AH36" s="276">
        <f>AH129*'2.税率表'!$D$7</f>
        <v>0</v>
      </c>
      <c r="AI36" s="276">
        <f>AI129*'2.税率表'!$D$7</f>
        <v>0</v>
      </c>
      <c r="AJ36" s="277">
        <f>AJ129*'2.税率表'!$D$7</f>
        <v>0</v>
      </c>
      <c r="AK36" s="275">
        <f>AK129*'2.税率表'!$D$7</f>
        <v>0</v>
      </c>
      <c r="AL36" s="276">
        <f>AL129*'2.税率表'!$D$7</f>
        <v>0</v>
      </c>
      <c r="AM36" s="276">
        <f>AM129*'2.税率表'!$D$7</f>
        <v>0</v>
      </c>
      <c r="AN36" s="277">
        <f>AN129*'2.税率表'!$D$7</f>
        <v>0</v>
      </c>
      <c r="AO36" s="275">
        <f>AO129*'2.税率表'!$D$7</f>
        <v>0</v>
      </c>
      <c r="AP36" s="276">
        <f>AP129*'2.税率表'!$D$7</f>
        <v>0</v>
      </c>
      <c r="AQ36" s="276">
        <f>AQ129*'2.税率表'!$D$7</f>
        <v>0</v>
      </c>
      <c r="AR36" s="277">
        <f>AR129*'2.税率表'!$D$7</f>
        <v>0</v>
      </c>
      <c r="AS36" s="275">
        <f>AS129*'2.税率表'!$D$7</f>
        <v>0</v>
      </c>
      <c r="AT36" s="276">
        <f>AT129*'2.税率表'!$D$7</f>
        <v>0</v>
      </c>
      <c r="AU36" s="276">
        <f>AU129*'2.税率表'!$D$7</f>
        <v>0</v>
      </c>
      <c r="AV36" s="277">
        <f>AV129*'2.税率表'!$D$7</f>
        <v>0</v>
      </c>
    </row>
    <row r="37" spans="2:48" s="257" customFormat="1" ht="15.75" customHeight="1" outlineLevel="1">
      <c r="B37" s="1980"/>
      <c r="C37" s="303">
        <f>'8.项目规划指标表'!$B$8</f>
        <v>0</v>
      </c>
      <c r="D37" s="274">
        <f t="shared" si="14"/>
        <v>0</v>
      </c>
      <c r="E37" s="275">
        <f>E130*'2.税率表'!$D$7</f>
        <v>0</v>
      </c>
      <c r="F37" s="276">
        <f>F130*'2.税率表'!$D$7</f>
        <v>0</v>
      </c>
      <c r="G37" s="276">
        <f>G130*'2.税率表'!$D$7</f>
        <v>0</v>
      </c>
      <c r="H37" s="277">
        <f>H130*'2.税率表'!$D$7</f>
        <v>0</v>
      </c>
      <c r="I37" s="275">
        <f>I130*'2.税率表'!$D$7</f>
        <v>0</v>
      </c>
      <c r="J37" s="276">
        <f>J130*'2.税率表'!$D$7</f>
        <v>0</v>
      </c>
      <c r="K37" s="276">
        <f>K130*'2.税率表'!$D$7</f>
        <v>0</v>
      </c>
      <c r="L37" s="277">
        <f>L130*'2.税率表'!$D$7</f>
        <v>0</v>
      </c>
      <c r="M37" s="275">
        <f>M130*'2.税率表'!$D$7</f>
        <v>0</v>
      </c>
      <c r="N37" s="276">
        <f>N130*'2.税率表'!$D$7</f>
        <v>0</v>
      </c>
      <c r="O37" s="276">
        <f>O130*'2.税率表'!$D$7</f>
        <v>0</v>
      </c>
      <c r="P37" s="277">
        <f>P130*'2.税率表'!$D$7</f>
        <v>0</v>
      </c>
      <c r="Q37" s="275">
        <f>Q130*'2.税率表'!$D$7</f>
        <v>0</v>
      </c>
      <c r="R37" s="276">
        <f>R130*'2.税率表'!$D$7</f>
        <v>0</v>
      </c>
      <c r="S37" s="276">
        <f>S130*'2.税率表'!$D$7</f>
        <v>0</v>
      </c>
      <c r="T37" s="277">
        <f>T130*'2.税率表'!$D$7</f>
        <v>0</v>
      </c>
      <c r="U37" s="275">
        <f>U130*'2.税率表'!$D$7</f>
        <v>0</v>
      </c>
      <c r="V37" s="276">
        <f>V130*'2.税率表'!$D$7</f>
        <v>0</v>
      </c>
      <c r="W37" s="276">
        <f>W130*'2.税率表'!$D$7</f>
        <v>0</v>
      </c>
      <c r="X37" s="277">
        <f>X130*'2.税率表'!$D$7</f>
        <v>0</v>
      </c>
      <c r="Y37" s="275">
        <f>Y130*'2.税率表'!$D$7</f>
        <v>0</v>
      </c>
      <c r="Z37" s="276">
        <f>Z130*'2.税率表'!$D$7</f>
        <v>0</v>
      </c>
      <c r="AA37" s="276">
        <f>AA130*'2.税率表'!$D$7</f>
        <v>0</v>
      </c>
      <c r="AB37" s="277">
        <f>AB130*'2.税率表'!$D$7</f>
        <v>0</v>
      </c>
      <c r="AC37" s="275">
        <f>AC130*'2.税率表'!$D$7</f>
        <v>0</v>
      </c>
      <c r="AD37" s="276">
        <f>AD130*'2.税率表'!$D$7</f>
        <v>0</v>
      </c>
      <c r="AE37" s="276">
        <f>AE130*'2.税率表'!$D$7</f>
        <v>0</v>
      </c>
      <c r="AF37" s="277">
        <f>AF130*'2.税率表'!$D$7</f>
        <v>0</v>
      </c>
      <c r="AG37" s="275">
        <f>AG130*'2.税率表'!$D$7</f>
        <v>0</v>
      </c>
      <c r="AH37" s="276">
        <f>AH130*'2.税率表'!$D$7</f>
        <v>0</v>
      </c>
      <c r="AI37" s="276">
        <f>AI130*'2.税率表'!$D$7</f>
        <v>0</v>
      </c>
      <c r="AJ37" s="277">
        <f>AJ130*'2.税率表'!$D$7</f>
        <v>0</v>
      </c>
      <c r="AK37" s="275">
        <f>AK130*'2.税率表'!$D$7</f>
        <v>0</v>
      </c>
      <c r="AL37" s="276">
        <f>AL130*'2.税率表'!$D$7</f>
        <v>0</v>
      </c>
      <c r="AM37" s="276">
        <f>AM130*'2.税率表'!$D$7</f>
        <v>0</v>
      </c>
      <c r="AN37" s="277">
        <f>AN130*'2.税率表'!$D$7</f>
        <v>0</v>
      </c>
      <c r="AO37" s="275">
        <f>AO130*'2.税率表'!$D$7</f>
        <v>0</v>
      </c>
      <c r="AP37" s="276">
        <f>AP130*'2.税率表'!$D$7</f>
        <v>0</v>
      </c>
      <c r="AQ37" s="276">
        <f>AQ130*'2.税率表'!$D$7</f>
        <v>0</v>
      </c>
      <c r="AR37" s="277">
        <f>AR130*'2.税率表'!$D$7</f>
        <v>0</v>
      </c>
      <c r="AS37" s="275">
        <f>AS130*'2.税率表'!$D$7</f>
        <v>0</v>
      </c>
      <c r="AT37" s="276">
        <f>AT130*'2.税率表'!$D$7</f>
        <v>0</v>
      </c>
      <c r="AU37" s="276">
        <f>AU130*'2.税率表'!$D$7</f>
        <v>0</v>
      </c>
      <c r="AV37" s="277">
        <f>AV130*'2.税率表'!$D$7</f>
        <v>0</v>
      </c>
    </row>
    <row r="38" spans="2:48" s="257" customFormat="1" ht="15.75" customHeight="1" outlineLevel="1">
      <c r="B38" s="1980"/>
      <c r="C38" s="303">
        <f>'8.项目规划指标表'!$B$9</f>
        <v>0</v>
      </c>
      <c r="D38" s="274">
        <f t="shared" si="14"/>
        <v>0</v>
      </c>
      <c r="E38" s="275">
        <f>E131*'2.税率表'!$D$7</f>
        <v>0</v>
      </c>
      <c r="F38" s="276">
        <f>F131*'2.税率表'!$D$7</f>
        <v>0</v>
      </c>
      <c r="G38" s="276">
        <f>G131*'2.税率表'!$D$7</f>
        <v>0</v>
      </c>
      <c r="H38" s="277">
        <f>H131*'2.税率表'!$D$7</f>
        <v>0</v>
      </c>
      <c r="I38" s="275">
        <f>I131*'2.税率表'!$D$7</f>
        <v>0</v>
      </c>
      <c r="J38" s="276">
        <f>J131*'2.税率表'!$D$7</f>
        <v>0</v>
      </c>
      <c r="K38" s="276">
        <f>K131*'2.税率表'!$D$7</f>
        <v>0</v>
      </c>
      <c r="L38" s="277">
        <f>L131*'2.税率表'!$D$7</f>
        <v>0</v>
      </c>
      <c r="M38" s="275">
        <f>M131*'2.税率表'!$D$7</f>
        <v>0</v>
      </c>
      <c r="N38" s="276">
        <f>N131*'2.税率表'!$D$7</f>
        <v>0</v>
      </c>
      <c r="O38" s="276">
        <f>O131*'2.税率表'!$D$7</f>
        <v>0</v>
      </c>
      <c r="P38" s="277">
        <f>P131*'2.税率表'!$D$7</f>
        <v>0</v>
      </c>
      <c r="Q38" s="275">
        <f>Q131*'2.税率表'!$D$7</f>
        <v>0</v>
      </c>
      <c r="R38" s="276">
        <f>R131*'2.税率表'!$D$7</f>
        <v>0</v>
      </c>
      <c r="S38" s="276">
        <f>S131*'2.税率表'!$D$7</f>
        <v>0</v>
      </c>
      <c r="T38" s="277">
        <f>T131*'2.税率表'!$D$7</f>
        <v>0</v>
      </c>
      <c r="U38" s="275">
        <f>U131*'2.税率表'!$D$7</f>
        <v>0</v>
      </c>
      <c r="V38" s="276">
        <f>V131*'2.税率表'!$D$7</f>
        <v>0</v>
      </c>
      <c r="W38" s="276">
        <f>W131*'2.税率表'!$D$7</f>
        <v>0</v>
      </c>
      <c r="X38" s="277">
        <f>X131*'2.税率表'!$D$7</f>
        <v>0</v>
      </c>
      <c r="Y38" s="275">
        <f>Y131*'2.税率表'!$D$7</f>
        <v>0</v>
      </c>
      <c r="Z38" s="276">
        <f>Z131*'2.税率表'!$D$7</f>
        <v>0</v>
      </c>
      <c r="AA38" s="276">
        <f>AA131*'2.税率表'!$D$7</f>
        <v>0</v>
      </c>
      <c r="AB38" s="277">
        <f>AB131*'2.税率表'!$D$7</f>
        <v>0</v>
      </c>
      <c r="AC38" s="275">
        <f>AC131*'2.税率表'!$D$7</f>
        <v>0</v>
      </c>
      <c r="AD38" s="276">
        <f>AD131*'2.税率表'!$D$7</f>
        <v>0</v>
      </c>
      <c r="AE38" s="276">
        <f>AE131*'2.税率表'!$D$7</f>
        <v>0</v>
      </c>
      <c r="AF38" s="277">
        <f>AF131*'2.税率表'!$D$7</f>
        <v>0</v>
      </c>
      <c r="AG38" s="275">
        <f>AG131*'2.税率表'!$D$7</f>
        <v>0</v>
      </c>
      <c r="AH38" s="276">
        <f>AH131*'2.税率表'!$D$7</f>
        <v>0</v>
      </c>
      <c r="AI38" s="276">
        <f>AI131*'2.税率表'!$D$7</f>
        <v>0</v>
      </c>
      <c r="AJ38" s="277">
        <f>AJ131*'2.税率表'!$D$7</f>
        <v>0</v>
      </c>
      <c r="AK38" s="275">
        <f>AK131*'2.税率表'!$D$7</f>
        <v>0</v>
      </c>
      <c r="AL38" s="276">
        <f>AL131*'2.税率表'!$D$7</f>
        <v>0</v>
      </c>
      <c r="AM38" s="276">
        <f>AM131*'2.税率表'!$D$7</f>
        <v>0</v>
      </c>
      <c r="AN38" s="277">
        <f>AN131*'2.税率表'!$D$7</f>
        <v>0</v>
      </c>
      <c r="AO38" s="275">
        <f>AO131*'2.税率表'!$D$7</f>
        <v>0</v>
      </c>
      <c r="AP38" s="276">
        <f>AP131*'2.税率表'!$D$7</f>
        <v>0</v>
      </c>
      <c r="AQ38" s="276">
        <f>AQ131*'2.税率表'!$D$7</f>
        <v>0</v>
      </c>
      <c r="AR38" s="277">
        <f>AR131*'2.税率表'!$D$7</f>
        <v>0</v>
      </c>
      <c r="AS38" s="275">
        <f>AS131*'2.税率表'!$D$7</f>
        <v>0</v>
      </c>
      <c r="AT38" s="276">
        <f>AT131*'2.税率表'!$D$7</f>
        <v>0</v>
      </c>
      <c r="AU38" s="276">
        <f>AU131*'2.税率表'!$D$7</f>
        <v>0</v>
      </c>
      <c r="AV38" s="277">
        <f>AV131*'2.税率表'!$D$7</f>
        <v>0</v>
      </c>
    </row>
    <row r="39" spans="2:48" s="257" customFormat="1" ht="15.75" customHeight="1" outlineLevel="1">
      <c r="B39" s="1980"/>
      <c r="C39" s="303">
        <f>'8.项目规划指标表'!$B$10</f>
        <v>0</v>
      </c>
      <c r="D39" s="274">
        <f t="shared" si="14"/>
        <v>0</v>
      </c>
      <c r="E39" s="275">
        <f>E132*'2.税率表'!$D$7</f>
        <v>0</v>
      </c>
      <c r="F39" s="276">
        <f>F132*'2.税率表'!$D$7</f>
        <v>0</v>
      </c>
      <c r="G39" s="276">
        <f>G132*'2.税率表'!$D$7</f>
        <v>0</v>
      </c>
      <c r="H39" s="277">
        <f>H132*'2.税率表'!$D$7</f>
        <v>0</v>
      </c>
      <c r="I39" s="275">
        <f>I132*'2.税率表'!$D$7</f>
        <v>0</v>
      </c>
      <c r="J39" s="276">
        <f>J132*'2.税率表'!$D$7</f>
        <v>0</v>
      </c>
      <c r="K39" s="276">
        <f>K132*'2.税率表'!$D$7</f>
        <v>0</v>
      </c>
      <c r="L39" s="277">
        <f>L132*'2.税率表'!$D$7</f>
        <v>0</v>
      </c>
      <c r="M39" s="275">
        <f>M132*'2.税率表'!$D$7</f>
        <v>0</v>
      </c>
      <c r="N39" s="276">
        <f>N132*'2.税率表'!$D$7</f>
        <v>0</v>
      </c>
      <c r="O39" s="276">
        <f>O132*'2.税率表'!$D$7</f>
        <v>0</v>
      </c>
      <c r="P39" s="277">
        <f>P132*'2.税率表'!$D$7</f>
        <v>0</v>
      </c>
      <c r="Q39" s="275">
        <f>Q132*'2.税率表'!$D$7</f>
        <v>0</v>
      </c>
      <c r="R39" s="276">
        <f>R132*'2.税率表'!$D$7</f>
        <v>0</v>
      </c>
      <c r="S39" s="276">
        <f>S132*'2.税率表'!$D$7</f>
        <v>0</v>
      </c>
      <c r="T39" s="277">
        <f>T132*'2.税率表'!$D$7</f>
        <v>0</v>
      </c>
      <c r="U39" s="275">
        <f>U132*'2.税率表'!$D$7</f>
        <v>0</v>
      </c>
      <c r="V39" s="276">
        <f>V132*'2.税率表'!$D$7</f>
        <v>0</v>
      </c>
      <c r="W39" s="276">
        <f>W132*'2.税率表'!$D$7</f>
        <v>0</v>
      </c>
      <c r="X39" s="277">
        <f>X132*'2.税率表'!$D$7</f>
        <v>0</v>
      </c>
      <c r="Y39" s="275">
        <f>Y132*'2.税率表'!$D$7</f>
        <v>0</v>
      </c>
      <c r="Z39" s="276">
        <f>Z132*'2.税率表'!$D$7</f>
        <v>0</v>
      </c>
      <c r="AA39" s="276">
        <f>AA132*'2.税率表'!$D$7</f>
        <v>0</v>
      </c>
      <c r="AB39" s="277">
        <f>AB132*'2.税率表'!$D$7</f>
        <v>0</v>
      </c>
      <c r="AC39" s="275">
        <f>AC132*'2.税率表'!$D$7</f>
        <v>0</v>
      </c>
      <c r="AD39" s="276">
        <f>AD132*'2.税率表'!$D$7</f>
        <v>0</v>
      </c>
      <c r="AE39" s="276">
        <f>AE132*'2.税率表'!$D$7</f>
        <v>0</v>
      </c>
      <c r="AF39" s="277">
        <f>AF132*'2.税率表'!$D$7</f>
        <v>0</v>
      </c>
      <c r="AG39" s="275">
        <f>AG132*'2.税率表'!$D$7</f>
        <v>0</v>
      </c>
      <c r="AH39" s="276">
        <f>AH132*'2.税率表'!$D$7</f>
        <v>0</v>
      </c>
      <c r="AI39" s="276">
        <f>AI132*'2.税率表'!$D$7</f>
        <v>0</v>
      </c>
      <c r="AJ39" s="277">
        <f>AJ132*'2.税率表'!$D$7</f>
        <v>0</v>
      </c>
      <c r="AK39" s="275">
        <f>AK132*'2.税率表'!$D$7</f>
        <v>0</v>
      </c>
      <c r="AL39" s="276">
        <f>AL132*'2.税率表'!$D$7</f>
        <v>0</v>
      </c>
      <c r="AM39" s="276">
        <f>AM132*'2.税率表'!$D$7</f>
        <v>0</v>
      </c>
      <c r="AN39" s="277">
        <f>AN132*'2.税率表'!$D$7</f>
        <v>0</v>
      </c>
      <c r="AO39" s="275">
        <f>AO132*'2.税率表'!$D$7</f>
        <v>0</v>
      </c>
      <c r="AP39" s="276">
        <f>AP132*'2.税率表'!$D$7</f>
        <v>0</v>
      </c>
      <c r="AQ39" s="276">
        <f>AQ132*'2.税率表'!$D$7</f>
        <v>0</v>
      </c>
      <c r="AR39" s="277">
        <f>AR132*'2.税率表'!$D$7</f>
        <v>0</v>
      </c>
      <c r="AS39" s="275">
        <f>AS132*'2.税率表'!$D$7</f>
        <v>0</v>
      </c>
      <c r="AT39" s="276">
        <f>AT132*'2.税率表'!$D$7</f>
        <v>0</v>
      </c>
      <c r="AU39" s="276">
        <f>AU132*'2.税率表'!$D$7</f>
        <v>0</v>
      </c>
      <c r="AV39" s="277">
        <f>AV132*'2.税率表'!$D$7</f>
        <v>0</v>
      </c>
    </row>
    <row r="40" spans="2:48" s="257" customFormat="1" ht="15.75" customHeight="1" outlineLevel="1">
      <c r="B40" s="1980"/>
      <c r="C40" s="303">
        <f>'8.项目规划指标表'!$B$11</f>
        <v>0</v>
      </c>
      <c r="D40" s="274">
        <f t="shared" si="14"/>
        <v>0</v>
      </c>
      <c r="E40" s="275">
        <f>E133*'2.税率表'!$D$7</f>
        <v>0</v>
      </c>
      <c r="F40" s="276">
        <f>F133*'2.税率表'!$D$7</f>
        <v>0</v>
      </c>
      <c r="G40" s="276">
        <f>G133*'2.税率表'!$D$7</f>
        <v>0</v>
      </c>
      <c r="H40" s="277">
        <f>H133*'2.税率表'!$D$7</f>
        <v>0</v>
      </c>
      <c r="I40" s="275">
        <f>I133*'2.税率表'!$D$7</f>
        <v>0</v>
      </c>
      <c r="J40" s="276">
        <f>J133*'2.税率表'!$D$7</f>
        <v>0</v>
      </c>
      <c r="K40" s="276">
        <f>K133*'2.税率表'!$D$7</f>
        <v>0</v>
      </c>
      <c r="L40" s="277">
        <f>L133*'2.税率表'!$D$7</f>
        <v>0</v>
      </c>
      <c r="M40" s="275">
        <f>M133*'2.税率表'!$D$7</f>
        <v>0</v>
      </c>
      <c r="N40" s="276">
        <f>N133*'2.税率表'!$D$7</f>
        <v>0</v>
      </c>
      <c r="O40" s="276">
        <f>O133*'2.税率表'!$D$7</f>
        <v>0</v>
      </c>
      <c r="P40" s="277">
        <f>P133*'2.税率表'!$D$7</f>
        <v>0</v>
      </c>
      <c r="Q40" s="275">
        <f>Q133*'2.税率表'!$D$7</f>
        <v>0</v>
      </c>
      <c r="R40" s="276">
        <f>R133*'2.税率表'!$D$7</f>
        <v>0</v>
      </c>
      <c r="S40" s="276">
        <f>S133*'2.税率表'!$D$7</f>
        <v>0</v>
      </c>
      <c r="T40" s="277">
        <f>T133*'2.税率表'!$D$7</f>
        <v>0</v>
      </c>
      <c r="U40" s="275">
        <f>U133*'2.税率表'!$D$7</f>
        <v>0</v>
      </c>
      <c r="V40" s="276">
        <f>V133*'2.税率表'!$D$7</f>
        <v>0</v>
      </c>
      <c r="W40" s="276">
        <f>W133*'2.税率表'!$D$7</f>
        <v>0</v>
      </c>
      <c r="X40" s="277">
        <f>X133*'2.税率表'!$D$7</f>
        <v>0</v>
      </c>
      <c r="Y40" s="275">
        <f>Y133*'2.税率表'!$D$7</f>
        <v>0</v>
      </c>
      <c r="Z40" s="276">
        <f>Z133*'2.税率表'!$D$7</f>
        <v>0</v>
      </c>
      <c r="AA40" s="276">
        <f>AA133*'2.税率表'!$D$7</f>
        <v>0</v>
      </c>
      <c r="AB40" s="277">
        <f>AB133*'2.税率表'!$D$7</f>
        <v>0</v>
      </c>
      <c r="AC40" s="275">
        <f>AC133*'2.税率表'!$D$7</f>
        <v>0</v>
      </c>
      <c r="AD40" s="276">
        <f>AD133*'2.税率表'!$D$7</f>
        <v>0</v>
      </c>
      <c r="AE40" s="276">
        <f>AE133*'2.税率表'!$D$7</f>
        <v>0</v>
      </c>
      <c r="AF40" s="277">
        <f>AF133*'2.税率表'!$D$7</f>
        <v>0</v>
      </c>
      <c r="AG40" s="275">
        <f>AG133*'2.税率表'!$D$7</f>
        <v>0</v>
      </c>
      <c r="AH40" s="276">
        <f>AH133*'2.税率表'!$D$7</f>
        <v>0</v>
      </c>
      <c r="AI40" s="276">
        <f>AI133*'2.税率表'!$D$7</f>
        <v>0</v>
      </c>
      <c r="AJ40" s="277">
        <f>AJ133*'2.税率表'!$D$7</f>
        <v>0</v>
      </c>
      <c r="AK40" s="275">
        <f>AK133*'2.税率表'!$D$7</f>
        <v>0</v>
      </c>
      <c r="AL40" s="276">
        <f>AL133*'2.税率表'!$D$7</f>
        <v>0</v>
      </c>
      <c r="AM40" s="276">
        <f>AM133*'2.税率表'!$D$7</f>
        <v>0</v>
      </c>
      <c r="AN40" s="277">
        <f>AN133*'2.税率表'!$D$7</f>
        <v>0</v>
      </c>
      <c r="AO40" s="275">
        <f>AO133*'2.税率表'!$D$7</f>
        <v>0</v>
      </c>
      <c r="AP40" s="276">
        <f>AP133*'2.税率表'!$D$7</f>
        <v>0</v>
      </c>
      <c r="AQ40" s="276">
        <f>AQ133*'2.税率表'!$D$7</f>
        <v>0</v>
      </c>
      <c r="AR40" s="277">
        <f>AR133*'2.税率表'!$D$7</f>
        <v>0</v>
      </c>
      <c r="AS40" s="275">
        <f>AS133*'2.税率表'!$D$7</f>
        <v>0</v>
      </c>
      <c r="AT40" s="276">
        <f>AT133*'2.税率表'!$D$7</f>
        <v>0</v>
      </c>
      <c r="AU40" s="276">
        <f>AU133*'2.税率表'!$D$7</f>
        <v>0</v>
      </c>
      <c r="AV40" s="277">
        <f>AV133*'2.税率表'!$D$7</f>
        <v>0</v>
      </c>
    </row>
    <row r="41" spans="2:48" s="257" customFormat="1" ht="15.75" customHeight="1" outlineLevel="1">
      <c r="B41" s="1980"/>
      <c r="C41" s="303">
        <f>'8.项目规划指标表'!$B$12</f>
        <v>0</v>
      </c>
      <c r="D41" s="274">
        <f t="shared" si="14"/>
        <v>0</v>
      </c>
      <c r="E41" s="275">
        <f>E134*'2.税率表'!$D$7</f>
        <v>0</v>
      </c>
      <c r="F41" s="276">
        <f>F134*'2.税率表'!$D$7</f>
        <v>0</v>
      </c>
      <c r="G41" s="276">
        <f>G134*'2.税率表'!$D$7</f>
        <v>0</v>
      </c>
      <c r="H41" s="277">
        <f>H134*'2.税率表'!$D$7</f>
        <v>0</v>
      </c>
      <c r="I41" s="275">
        <f>I134*'2.税率表'!$D$7</f>
        <v>0</v>
      </c>
      <c r="J41" s="276">
        <f>J134*'2.税率表'!$D$7</f>
        <v>0</v>
      </c>
      <c r="K41" s="276">
        <f>K134*'2.税率表'!$D$7</f>
        <v>0</v>
      </c>
      <c r="L41" s="277">
        <f>L134*'2.税率表'!$D$7</f>
        <v>0</v>
      </c>
      <c r="M41" s="275">
        <f>M134*'2.税率表'!$D$7</f>
        <v>0</v>
      </c>
      <c r="N41" s="276">
        <f>N134*'2.税率表'!$D$7</f>
        <v>0</v>
      </c>
      <c r="O41" s="276">
        <f>O134*'2.税率表'!$D$7</f>
        <v>0</v>
      </c>
      <c r="P41" s="277">
        <f>P134*'2.税率表'!$D$7</f>
        <v>0</v>
      </c>
      <c r="Q41" s="275">
        <f>Q134*'2.税率表'!$D$7</f>
        <v>0</v>
      </c>
      <c r="R41" s="276">
        <f>R134*'2.税率表'!$D$7</f>
        <v>0</v>
      </c>
      <c r="S41" s="276">
        <f>S134*'2.税率表'!$D$7</f>
        <v>0</v>
      </c>
      <c r="T41" s="277">
        <f>T134*'2.税率表'!$D$7</f>
        <v>0</v>
      </c>
      <c r="U41" s="275">
        <f>U134*'2.税率表'!$D$7</f>
        <v>0</v>
      </c>
      <c r="V41" s="276">
        <f>V134*'2.税率表'!$D$7</f>
        <v>0</v>
      </c>
      <c r="W41" s="276">
        <f>W134*'2.税率表'!$D$7</f>
        <v>0</v>
      </c>
      <c r="X41" s="277">
        <f>X134*'2.税率表'!$D$7</f>
        <v>0</v>
      </c>
      <c r="Y41" s="275">
        <f>Y134*'2.税率表'!$D$7</f>
        <v>0</v>
      </c>
      <c r="Z41" s="276">
        <f>Z134*'2.税率表'!$D$7</f>
        <v>0</v>
      </c>
      <c r="AA41" s="276">
        <f>AA134*'2.税率表'!$D$7</f>
        <v>0</v>
      </c>
      <c r="AB41" s="277">
        <f>AB134*'2.税率表'!$D$7</f>
        <v>0</v>
      </c>
      <c r="AC41" s="275">
        <f>AC134*'2.税率表'!$D$7</f>
        <v>0</v>
      </c>
      <c r="AD41" s="276">
        <f>AD134*'2.税率表'!$D$7</f>
        <v>0</v>
      </c>
      <c r="AE41" s="276">
        <f>AE134*'2.税率表'!$D$7</f>
        <v>0</v>
      </c>
      <c r="AF41" s="277">
        <f>AF134*'2.税率表'!$D$7</f>
        <v>0</v>
      </c>
      <c r="AG41" s="275">
        <f>AG134*'2.税率表'!$D$7</f>
        <v>0</v>
      </c>
      <c r="AH41" s="276">
        <f>AH134*'2.税率表'!$D$7</f>
        <v>0</v>
      </c>
      <c r="AI41" s="276">
        <f>AI134*'2.税率表'!$D$7</f>
        <v>0</v>
      </c>
      <c r="AJ41" s="277">
        <f>AJ134*'2.税率表'!$D$7</f>
        <v>0</v>
      </c>
      <c r="AK41" s="275">
        <f>AK134*'2.税率表'!$D$7</f>
        <v>0</v>
      </c>
      <c r="AL41" s="276">
        <f>AL134*'2.税率表'!$D$7</f>
        <v>0</v>
      </c>
      <c r="AM41" s="276">
        <f>AM134*'2.税率表'!$D$7</f>
        <v>0</v>
      </c>
      <c r="AN41" s="277">
        <f>AN134*'2.税率表'!$D$7</f>
        <v>0</v>
      </c>
      <c r="AO41" s="275">
        <f>AO134*'2.税率表'!$D$7</f>
        <v>0</v>
      </c>
      <c r="AP41" s="276">
        <f>AP134*'2.税率表'!$D$7</f>
        <v>0</v>
      </c>
      <c r="AQ41" s="276">
        <f>AQ134*'2.税率表'!$D$7</f>
        <v>0</v>
      </c>
      <c r="AR41" s="277">
        <f>AR134*'2.税率表'!$D$7</f>
        <v>0</v>
      </c>
      <c r="AS41" s="275">
        <f>AS134*'2.税率表'!$D$7</f>
        <v>0</v>
      </c>
      <c r="AT41" s="276">
        <f>AT134*'2.税率表'!$D$7</f>
        <v>0</v>
      </c>
      <c r="AU41" s="276">
        <f>AU134*'2.税率表'!$D$7</f>
        <v>0</v>
      </c>
      <c r="AV41" s="277">
        <f>AV134*'2.税率表'!$D$7</f>
        <v>0</v>
      </c>
    </row>
    <row r="42" spans="2:48" s="257" customFormat="1" ht="15.75" customHeight="1" outlineLevel="1">
      <c r="B42" s="1980"/>
      <c r="C42" s="303">
        <f>'8.项目规划指标表'!$B$13</f>
        <v>0</v>
      </c>
      <c r="D42" s="274">
        <f t="shared" si="14"/>
        <v>0</v>
      </c>
      <c r="E42" s="275">
        <f>E135*'2.税率表'!$D$7</f>
        <v>0</v>
      </c>
      <c r="F42" s="276">
        <f>F135*'2.税率表'!$D$7</f>
        <v>0</v>
      </c>
      <c r="G42" s="276">
        <f>G135*'2.税率表'!$D$7</f>
        <v>0</v>
      </c>
      <c r="H42" s="277">
        <f>H135*'2.税率表'!$D$7</f>
        <v>0</v>
      </c>
      <c r="I42" s="275">
        <f>I135*'2.税率表'!$D$7</f>
        <v>0</v>
      </c>
      <c r="J42" s="276">
        <f>J135*'2.税率表'!$D$7</f>
        <v>0</v>
      </c>
      <c r="K42" s="276">
        <f>K135*'2.税率表'!$D$7</f>
        <v>0</v>
      </c>
      <c r="L42" s="277">
        <f>L135*'2.税率表'!$D$7</f>
        <v>0</v>
      </c>
      <c r="M42" s="275">
        <f>M135*'2.税率表'!$D$7</f>
        <v>0</v>
      </c>
      <c r="N42" s="276">
        <f>N135*'2.税率表'!$D$7</f>
        <v>0</v>
      </c>
      <c r="O42" s="276">
        <f>O135*'2.税率表'!$D$7</f>
        <v>0</v>
      </c>
      <c r="P42" s="277">
        <f>P135*'2.税率表'!$D$7</f>
        <v>0</v>
      </c>
      <c r="Q42" s="275">
        <f>Q135*'2.税率表'!$D$7</f>
        <v>0</v>
      </c>
      <c r="R42" s="276">
        <f>R135*'2.税率表'!$D$7</f>
        <v>0</v>
      </c>
      <c r="S42" s="276">
        <f>S135*'2.税率表'!$D$7</f>
        <v>0</v>
      </c>
      <c r="T42" s="277">
        <f>T135*'2.税率表'!$D$7</f>
        <v>0</v>
      </c>
      <c r="U42" s="275">
        <f>U135*'2.税率表'!$D$7</f>
        <v>0</v>
      </c>
      <c r="V42" s="276">
        <f>V135*'2.税率表'!$D$7</f>
        <v>0</v>
      </c>
      <c r="W42" s="276">
        <f>W135*'2.税率表'!$D$7</f>
        <v>0</v>
      </c>
      <c r="X42" s="277">
        <f>X135*'2.税率表'!$D$7</f>
        <v>0</v>
      </c>
      <c r="Y42" s="275">
        <f>Y135*'2.税率表'!$D$7</f>
        <v>0</v>
      </c>
      <c r="Z42" s="276">
        <f>Z135*'2.税率表'!$D$7</f>
        <v>0</v>
      </c>
      <c r="AA42" s="276">
        <f>AA135*'2.税率表'!$D$7</f>
        <v>0</v>
      </c>
      <c r="AB42" s="277">
        <f>AB135*'2.税率表'!$D$7</f>
        <v>0</v>
      </c>
      <c r="AC42" s="275">
        <f>AC135*'2.税率表'!$D$7</f>
        <v>0</v>
      </c>
      <c r="AD42" s="276">
        <f>AD135*'2.税率表'!$D$7</f>
        <v>0</v>
      </c>
      <c r="AE42" s="276">
        <f>AE135*'2.税率表'!$D$7</f>
        <v>0</v>
      </c>
      <c r="AF42" s="277">
        <f>AF135*'2.税率表'!$D$7</f>
        <v>0</v>
      </c>
      <c r="AG42" s="275">
        <f>AG135*'2.税率表'!$D$7</f>
        <v>0</v>
      </c>
      <c r="AH42" s="276">
        <f>AH135*'2.税率表'!$D$7</f>
        <v>0</v>
      </c>
      <c r="AI42" s="276">
        <f>AI135*'2.税率表'!$D$7</f>
        <v>0</v>
      </c>
      <c r="AJ42" s="277">
        <f>AJ135*'2.税率表'!$D$7</f>
        <v>0</v>
      </c>
      <c r="AK42" s="275">
        <f>AK135*'2.税率表'!$D$7</f>
        <v>0</v>
      </c>
      <c r="AL42" s="276">
        <f>AL135*'2.税率表'!$D$7</f>
        <v>0</v>
      </c>
      <c r="AM42" s="276">
        <f>AM135*'2.税率表'!$D$7</f>
        <v>0</v>
      </c>
      <c r="AN42" s="277">
        <f>AN135*'2.税率表'!$D$7</f>
        <v>0</v>
      </c>
      <c r="AO42" s="275">
        <f>AO135*'2.税率表'!$D$7</f>
        <v>0</v>
      </c>
      <c r="AP42" s="276">
        <f>AP135*'2.税率表'!$D$7</f>
        <v>0</v>
      </c>
      <c r="AQ42" s="276">
        <f>AQ135*'2.税率表'!$D$7</f>
        <v>0</v>
      </c>
      <c r="AR42" s="277">
        <f>AR135*'2.税率表'!$D$7</f>
        <v>0</v>
      </c>
      <c r="AS42" s="275">
        <f>AS135*'2.税率表'!$D$7</f>
        <v>0</v>
      </c>
      <c r="AT42" s="276">
        <f>AT135*'2.税率表'!$D$7</f>
        <v>0</v>
      </c>
      <c r="AU42" s="276">
        <f>AU135*'2.税率表'!$D$7</f>
        <v>0</v>
      </c>
      <c r="AV42" s="277">
        <f>AV135*'2.税率表'!$D$7</f>
        <v>0</v>
      </c>
    </row>
    <row r="43" spans="2:48" s="257" customFormat="1" ht="15.75" customHeight="1" outlineLevel="1">
      <c r="B43" s="1980"/>
      <c r="C43" s="303" t="str">
        <f>'8.项目规划指标表'!$B$14</f>
        <v>自持物业</v>
      </c>
      <c r="D43" s="274">
        <f t="shared" si="14"/>
        <v>0</v>
      </c>
      <c r="E43" s="275">
        <f>E136*'2.税率表'!$D$7</f>
        <v>0</v>
      </c>
      <c r="F43" s="276">
        <f>F136*'2.税率表'!$D$7</f>
        <v>0</v>
      </c>
      <c r="G43" s="276">
        <f>G136*'2.税率表'!$D$7</f>
        <v>0</v>
      </c>
      <c r="H43" s="277">
        <f>H136*'2.税率表'!$D$7</f>
        <v>0</v>
      </c>
      <c r="I43" s="275">
        <f>I136*'2.税率表'!$D$7</f>
        <v>0</v>
      </c>
      <c r="J43" s="276">
        <f>J136*'2.税率表'!$D$7</f>
        <v>0</v>
      </c>
      <c r="K43" s="276">
        <f>K136*'2.税率表'!$D$7</f>
        <v>0</v>
      </c>
      <c r="L43" s="277">
        <f>L136*'2.税率表'!$D$7</f>
        <v>0</v>
      </c>
      <c r="M43" s="275">
        <f>M136*'2.税率表'!$D$7</f>
        <v>0</v>
      </c>
      <c r="N43" s="276">
        <f>N136*'2.税率表'!$D$7</f>
        <v>0</v>
      </c>
      <c r="O43" s="276">
        <f>O136*'2.税率表'!$D$7</f>
        <v>0</v>
      </c>
      <c r="P43" s="277">
        <f>P136*'2.税率表'!$D$7</f>
        <v>0</v>
      </c>
      <c r="Q43" s="275">
        <f>Q136*'2.税率表'!$D$7</f>
        <v>0</v>
      </c>
      <c r="R43" s="276">
        <f>R136*'2.税率表'!$D$7</f>
        <v>0</v>
      </c>
      <c r="S43" s="276">
        <f>S136*'2.税率表'!$D$7</f>
        <v>0</v>
      </c>
      <c r="T43" s="277">
        <f>T136*'2.税率表'!$D$7</f>
        <v>0</v>
      </c>
      <c r="U43" s="275">
        <f>U136*'2.税率表'!$D$7</f>
        <v>0</v>
      </c>
      <c r="V43" s="276">
        <f>V136*'2.税率表'!$D$7</f>
        <v>0</v>
      </c>
      <c r="W43" s="276">
        <f>W136*'2.税率表'!$D$7</f>
        <v>0</v>
      </c>
      <c r="X43" s="277">
        <f>X136*'2.税率表'!$D$7</f>
        <v>0</v>
      </c>
      <c r="Y43" s="275">
        <f>Y136*'2.税率表'!$D$7</f>
        <v>0</v>
      </c>
      <c r="Z43" s="276">
        <f>Z136*'2.税率表'!$D$7</f>
        <v>0</v>
      </c>
      <c r="AA43" s="276">
        <f>AA136*'2.税率表'!$D$7</f>
        <v>0</v>
      </c>
      <c r="AB43" s="277">
        <f>AB136*'2.税率表'!$D$7</f>
        <v>0</v>
      </c>
      <c r="AC43" s="275">
        <f>AC136*'2.税率表'!$D$7</f>
        <v>0</v>
      </c>
      <c r="AD43" s="276">
        <f>AD136*'2.税率表'!$D$7</f>
        <v>0</v>
      </c>
      <c r="AE43" s="276">
        <f>AE136*'2.税率表'!$D$7</f>
        <v>0</v>
      </c>
      <c r="AF43" s="277">
        <f>AF136*'2.税率表'!$D$7</f>
        <v>0</v>
      </c>
      <c r="AG43" s="275">
        <f>AG136*'2.税率表'!$D$7</f>
        <v>0</v>
      </c>
      <c r="AH43" s="276">
        <f>AH136*'2.税率表'!$D$7</f>
        <v>0</v>
      </c>
      <c r="AI43" s="276">
        <f>AI136*'2.税率表'!$D$7</f>
        <v>0</v>
      </c>
      <c r="AJ43" s="277">
        <f>AJ136*'2.税率表'!$D$7</f>
        <v>0</v>
      </c>
      <c r="AK43" s="275">
        <f>AK136*'2.税率表'!$D$7</f>
        <v>0</v>
      </c>
      <c r="AL43" s="276">
        <f>AL136*'2.税率表'!$D$7</f>
        <v>0</v>
      </c>
      <c r="AM43" s="276">
        <f>AM136*'2.税率表'!$D$7</f>
        <v>0</v>
      </c>
      <c r="AN43" s="277">
        <f>AN136*'2.税率表'!$D$7</f>
        <v>0</v>
      </c>
      <c r="AO43" s="275">
        <f>AO136*'2.税率表'!$D$7</f>
        <v>0</v>
      </c>
      <c r="AP43" s="276">
        <f>AP136*'2.税率表'!$D$7</f>
        <v>0</v>
      </c>
      <c r="AQ43" s="276">
        <f>AQ136*'2.税率表'!$D$7</f>
        <v>0</v>
      </c>
      <c r="AR43" s="277">
        <f>AR136*'2.税率表'!$D$7</f>
        <v>0</v>
      </c>
      <c r="AS43" s="275">
        <f>AS136*'2.税率表'!$D$7</f>
        <v>0</v>
      </c>
      <c r="AT43" s="276">
        <f>AT136*'2.税率表'!$D$7</f>
        <v>0</v>
      </c>
      <c r="AU43" s="276">
        <f>AU136*'2.税率表'!$D$7</f>
        <v>0</v>
      </c>
      <c r="AV43" s="277">
        <f>AV136*'2.税率表'!$D$7</f>
        <v>0</v>
      </c>
    </row>
    <row r="44" spans="2:48" s="257" customFormat="1" ht="15.75" customHeight="1" outlineLevel="1">
      <c r="B44" s="1980"/>
      <c r="C44" s="303" t="str">
        <f>'8.项目规划指标表'!$B$18</f>
        <v>有产权车库(个)</v>
      </c>
      <c r="D44" s="274">
        <f t="shared" si="14"/>
        <v>261.85472166418231</v>
      </c>
      <c r="E44" s="275">
        <f>E137*'2.税率表'!$D$7</f>
        <v>0</v>
      </c>
      <c r="F44" s="276">
        <f>F137*'2.税率表'!$D$7</f>
        <v>0</v>
      </c>
      <c r="G44" s="276">
        <f>G137*'2.税率表'!$D$7</f>
        <v>0</v>
      </c>
      <c r="H44" s="277">
        <f>H137*'2.税率表'!$D$7</f>
        <v>0</v>
      </c>
      <c r="I44" s="275">
        <f>I137*'2.税率表'!$D$7</f>
        <v>0</v>
      </c>
      <c r="J44" s="276">
        <f>J137*'2.税率表'!$D$7</f>
        <v>0</v>
      </c>
      <c r="K44" s="276">
        <f>K137*'2.税率表'!$D$7</f>
        <v>0</v>
      </c>
      <c r="L44" s="277">
        <f>L137*'2.税率表'!$D$7</f>
        <v>0</v>
      </c>
      <c r="M44" s="275">
        <f>M137*'2.税率表'!$D$7</f>
        <v>0</v>
      </c>
      <c r="N44" s="276">
        <f>N137*'2.税率表'!$D$7</f>
        <v>0</v>
      </c>
      <c r="O44" s="276">
        <f>O137*'2.税率表'!$D$7</f>
        <v>0</v>
      </c>
      <c r="P44" s="277">
        <f>P137*'2.税率表'!$D$7</f>
        <v>196.39104124813676</v>
      </c>
      <c r="Q44" s="275">
        <f>Q137*'2.税率表'!$D$7</f>
        <v>65.463680416045577</v>
      </c>
      <c r="R44" s="276">
        <f>R137*'2.税率表'!$D$7</f>
        <v>0</v>
      </c>
      <c r="S44" s="276">
        <f>S137*'2.税率表'!$D$7</f>
        <v>0</v>
      </c>
      <c r="T44" s="277">
        <f>T137*'2.税率表'!$D$7</f>
        <v>0</v>
      </c>
      <c r="U44" s="275">
        <f>U137*'2.税率表'!$D$7</f>
        <v>0</v>
      </c>
      <c r="V44" s="276">
        <f>V137*'2.税率表'!$D$7</f>
        <v>0</v>
      </c>
      <c r="W44" s="276">
        <f>W137*'2.税率表'!$D$7</f>
        <v>0</v>
      </c>
      <c r="X44" s="277">
        <f>X137*'2.税率表'!$D$7</f>
        <v>0</v>
      </c>
      <c r="Y44" s="275">
        <f>Y137*'2.税率表'!$D$7</f>
        <v>0</v>
      </c>
      <c r="Z44" s="276">
        <f>Z137*'2.税率表'!$D$7</f>
        <v>0</v>
      </c>
      <c r="AA44" s="276">
        <f>AA137*'2.税率表'!$D$7</f>
        <v>0</v>
      </c>
      <c r="AB44" s="277">
        <f>AB137*'2.税率表'!$D$7</f>
        <v>0</v>
      </c>
      <c r="AC44" s="275">
        <f>AC137*'2.税率表'!$D$7</f>
        <v>0</v>
      </c>
      <c r="AD44" s="276">
        <f>AD137*'2.税率表'!$D$7</f>
        <v>0</v>
      </c>
      <c r="AE44" s="276">
        <f>AE137*'2.税率表'!$D$7</f>
        <v>0</v>
      </c>
      <c r="AF44" s="277">
        <f>AF137*'2.税率表'!$D$7</f>
        <v>0</v>
      </c>
      <c r="AG44" s="275">
        <f>AG137*'2.税率表'!$D$7</f>
        <v>0</v>
      </c>
      <c r="AH44" s="276">
        <f>AH137*'2.税率表'!$D$7</f>
        <v>0</v>
      </c>
      <c r="AI44" s="276">
        <f>AI137*'2.税率表'!$D$7</f>
        <v>0</v>
      </c>
      <c r="AJ44" s="277">
        <f>AJ137*'2.税率表'!$D$7</f>
        <v>0</v>
      </c>
      <c r="AK44" s="275">
        <f>AK137*'2.税率表'!$D$7</f>
        <v>0</v>
      </c>
      <c r="AL44" s="276">
        <f>AL137*'2.税率表'!$D$7</f>
        <v>0</v>
      </c>
      <c r="AM44" s="276">
        <f>AM137*'2.税率表'!$D$7</f>
        <v>0</v>
      </c>
      <c r="AN44" s="277">
        <f>AN137*'2.税率表'!$D$7</f>
        <v>0</v>
      </c>
      <c r="AO44" s="275">
        <f>AO137*'2.税率表'!$D$7</f>
        <v>0</v>
      </c>
      <c r="AP44" s="276">
        <f>AP137*'2.税率表'!$D$7</f>
        <v>0</v>
      </c>
      <c r="AQ44" s="276">
        <f>AQ137*'2.税率表'!$D$7</f>
        <v>0</v>
      </c>
      <c r="AR44" s="277">
        <f>AR137*'2.税率表'!$D$7</f>
        <v>0</v>
      </c>
      <c r="AS44" s="275">
        <f>AS137*'2.税率表'!$D$7</f>
        <v>0</v>
      </c>
      <c r="AT44" s="276">
        <f>AT137*'2.税率表'!$D$7</f>
        <v>0</v>
      </c>
      <c r="AU44" s="276">
        <f>AU137*'2.税率表'!$D$7</f>
        <v>0</v>
      </c>
      <c r="AV44" s="277">
        <f>AV137*'2.税率表'!$D$7</f>
        <v>0</v>
      </c>
    </row>
    <row r="45" spans="2:48" s="257" customFormat="1" ht="15.75" customHeight="1" outlineLevel="1">
      <c r="B45" s="1980"/>
      <c r="C45" s="303" t="str">
        <f>'8.项目规划指标表'!$B$19</f>
        <v>无产权车库(个)</v>
      </c>
      <c r="D45" s="274">
        <f t="shared" si="14"/>
        <v>0</v>
      </c>
      <c r="E45" s="275">
        <f>E138*'2.税率表'!$D$7</f>
        <v>0</v>
      </c>
      <c r="F45" s="276">
        <f>F138*'2.税率表'!$D$7</f>
        <v>0</v>
      </c>
      <c r="G45" s="276">
        <f>G138*'2.税率表'!$D$7</f>
        <v>0</v>
      </c>
      <c r="H45" s="277">
        <f>H138*'2.税率表'!$D$7</f>
        <v>0</v>
      </c>
      <c r="I45" s="275">
        <f>I138*'2.税率表'!$D$7</f>
        <v>0</v>
      </c>
      <c r="J45" s="276">
        <f>J138*'2.税率表'!$D$7</f>
        <v>0</v>
      </c>
      <c r="K45" s="276">
        <f>K138*'2.税率表'!$D$7</f>
        <v>0</v>
      </c>
      <c r="L45" s="277">
        <f>L138*'2.税率表'!$D$7</f>
        <v>0</v>
      </c>
      <c r="M45" s="275">
        <f>M138*'2.税率表'!$D$7</f>
        <v>0</v>
      </c>
      <c r="N45" s="276">
        <f>N138*'2.税率表'!$D$7</f>
        <v>0</v>
      </c>
      <c r="O45" s="276">
        <f>O138*'2.税率表'!$D$7</f>
        <v>0</v>
      </c>
      <c r="P45" s="277">
        <f>P138*'2.税率表'!$D$7</f>
        <v>0</v>
      </c>
      <c r="Q45" s="275">
        <f>Q138*'2.税率表'!$D$7</f>
        <v>0</v>
      </c>
      <c r="R45" s="276">
        <f>R138*'2.税率表'!$D$7</f>
        <v>0</v>
      </c>
      <c r="S45" s="276">
        <f>S138*'2.税率表'!$D$7</f>
        <v>0</v>
      </c>
      <c r="T45" s="277">
        <f>T138*'2.税率表'!$D$7</f>
        <v>0</v>
      </c>
      <c r="U45" s="275">
        <f>U138*'2.税率表'!$D$7</f>
        <v>0</v>
      </c>
      <c r="V45" s="276">
        <f>V138*'2.税率表'!$D$7</f>
        <v>0</v>
      </c>
      <c r="W45" s="276">
        <f>W138*'2.税率表'!$D$7</f>
        <v>0</v>
      </c>
      <c r="X45" s="277">
        <f>X138*'2.税率表'!$D$7</f>
        <v>0</v>
      </c>
      <c r="Y45" s="275">
        <f>Y138*'2.税率表'!$D$7</f>
        <v>0</v>
      </c>
      <c r="Z45" s="276">
        <f>Z138*'2.税率表'!$D$7</f>
        <v>0</v>
      </c>
      <c r="AA45" s="276">
        <f>AA138*'2.税率表'!$D$7</f>
        <v>0</v>
      </c>
      <c r="AB45" s="277">
        <f>AB138*'2.税率表'!$D$7</f>
        <v>0</v>
      </c>
      <c r="AC45" s="275">
        <f>AC138*'2.税率表'!$D$7</f>
        <v>0</v>
      </c>
      <c r="AD45" s="276">
        <f>AD138*'2.税率表'!$D$7</f>
        <v>0</v>
      </c>
      <c r="AE45" s="276">
        <f>AE138*'2.税率表'!$D$7</f>
        <v>0</v>
      </c>
      <c r="AF45" s="277">
        <f>AF138*'2.税率表'!$D$7</f>
        <v>0</v>
      </c>
      <c r="AG45" s="275">
        <f>AG138*'2.税率表'!$D$7</f>
        <v>0</v>
      </c>
      <c r="AH45" s="276">
        <f>AH138*'2.税率表'!$D$7</f>
        <v>0</v>
      </c>
      <c r="AI45" s="276">
        <f>AI138*'2.税率表'!$D$7</f>
        <v>0</v>
      </c>
      <c r="AJ45" s="277">
        <f>AJ138*'2.税率表'!$D$7</f>
        <v>0</v>
      </c>
      <c r="AK45" s="275">
        <f>AK138*'2.税率表'!$D$7</f>
        <v>0</v>
      </c>
      <c r="AL45" s="276">
        <f>AL138*'2.税率表'!$D$7</f>
        <v>0</v>
      </c>
      <c r="AM45" s="276">
        <f>AM138*'2.税率表'!$D$7</f>
        <v>0</v>
      </c>
      <c r="AN45" s="277">
        <f>AN138*'2.税率表'!$D$7</f>
        <v>0</v>
      </c>
      <c r="AO45" s="275">
        <f>AO138*'2.税率表'!$D$7</f>
        <v>0</v>
      </c>
      <c r="AP45" s="276">
        <f>AP138*'2.税率表'!$D$7</f>
        <v>0</v>
      </c>
      <c r="AQ45" s="276">
        <f>AQ138*'2.税率表'!$D$7</f>
        <v>0</v>
      </c>
      <c r="AR45" s="277">
        <f>AR138*'2.税率表'!$D$7</f>
        <v>0</v>
      </c>
      <c r="AS45" s="275">
        <f>AS138*'2.税率表'!$D$7</f>
        <v>0</v>
      </c>
      <c r="AT45" s="276">
        <f>AT138*'2.税率表'!$D$7</f>
        <v>0</v>
      </c>
      <c r="AU45" s="276">
        <f>AU138*'2.税率表'!$D$7</f>
        <v>0</v>
      </c>
      <c r="AV45" s="277">
        <f>AV138*'2.税率表'!$D$7</f>
        <v>0</v>
      </c>
    </row>
    <row r="46" spans="2:48" s="256" customFormat="1" ht="15.75" customHeight="1">
      <c r="B46" s="1980"/>
      <c r="C46" s="299" t="s">
        <v>20</v>
      </c>
      <c r="D46" s="300">
        <f t="shared" ref="D46:AV46" si="15">SUM(D47:D58)</f>
        <v>0</v>
      </c>
      <c r="E46" s="301">
        <f t="shared" si="15"/>
        <v>0</v>
      </c>
      <c r="F46" s="300">
        <f t="shared" si="15"/>
        <v>0</v>
      </c>
      <c r="G46" s="300">
        <f t="shared" si="15"/>
        <v>0</v>
      </c>
      <c r="H46" s="302">
        <f t="shared" si="15"/>
        <v>0</v>
      </c>
      <c r="I46" s="301">
        <f t="shared" si="15"/>
        <v>0</v>
      </c>
      <c r="J46" s="300">
        <f t="shared" si="15"/>
        <v>0</v>
      </c>
      <c r="K46" s="300">
        <f t="shared" si="15"/>
        <v>0</v>
      </c>
      <c r="L46" s="302">
        <f t="shared" si="15"/>
        <v>0</v>
      </c>
      <c r="M46" s="301">
        <f t="shared" si="15"/>
        <v>0</v>
      </c>
      <c r="N46" s="300">
        <f t="shared" si="15"/>
        <v>0</v>
      </c>
      <c r="O46" s="300">
        <f t="shared" si="15"/>
        <v>0</v>
      </c>
      <c r="P46" s="302">
        <f t="shared" si="15"/>
        <v>0</v>
      </c>
      <c r="Q46" s="301">
        <f t="shared" si="15"/>
        <v>0</v>
      </c>
      <c r="R46" s="300">
        <f t="shared" si="15"/>
        <v>0</v>
      </c>
      <c r="S46" s="300">
        <f t="shared" si="15"/>
        <v>0</v>
      </c>
      <c r="T46" s="302">
        <f t="shared" si="15"/>
        <v>0</v>
      </c>
      <c r="U46" s="301">
        <f t="shared" si="15"/>
        <v>0</v>
      </c>
      <c r="V46" s="300">
        <f t="shared" si="15"/>
        <v>0</v>
      </c>
      <c r="W46" s="300">
        <f t="shared" si="15"/>
        <v>0</v>
      </c>
      <c r="X46" s="302">
        <f t="shared" si="15"/>
        <v>0</v>
      </c>
      <c r="Y46" s="301">
        <f t="shared" si="15"/>
        <v>0</v>
      </c>
      <c r="Z46" s="300">
        <f t="shared" si="15"/>
        <v>0</v>
      </c>
      <c r="AA46" s="300">
        <f t="shared" si="15"/>
        <v>0</v>
      </c>
      <c r="AB46" s="302">
        <f t="shared" si="15"/>
        <v>0</v>
      </c>
      <c r="AC46" s="301">
        <f t="shared" si="15"/>
        <v>0</v>
      </c>
      <c r="AD46" s="300">
        <f t="shared" si="15"/>
        <v>0</v>
      </c>
      <c r="AE46" s="300">
        <f t="shared" si="15"/>
        <v>0</v>
      </c>
      <c r="AF46" s="302">
        <f t="shared" si="15"/>
        <v>0</v>
      </c>
      <c r="AG46" s="301">
        <f t="shared" si="15"/>
        <v>0</v>
      </c>
      <c r="AH46" s="300">
        <f t="shared" si="15"/>
        <v>0</v>
      </c>
      <c r="AI46" s="300">
        <f t="shared" si="15"/>
        <v>0</v>
      </c>
      <c r="AJ46" s="302">
        <f t="shared" si="15"/>
        <v>0</v>
      </c>
      <c r="AK46" s="301">
        <f t="shared" si="15"/>
        <v>0</v>
      </c>
      <c r="AL46" s="300">
        <f t="shared" si="15"/>
        <v>0</v>
      </c>
      <c r="AM46" s="300">
        <f t="shared" si="15"/>
        <v>0</v>
      </c>
      <c r="AN46" s="302">
        <f t="shared" si="15"/>
        <v>0</v>
      </c>
      <c r="AO46" s="301">
        <f t="shared" si="15"/>
        <v>0</v>
      </c>
      <c r="AP46" s="300">
        <f t="shared" si="15"/>
        <v>0</v>
      </c>
      <c r="AQ46" s="300">
        <f t="shared" si="15"/>
        <v>0</v>
      </c>
      <c r="AR46" s="302">
        <f t="shared" si="15"/>
        <v>0</v>
      </c>
      <c r="AS46" s="301">
        <f t="shared" si="15"/>
        <v>0</v>
      </c>
      <c r="AT46" s="300">
        <f t="shared" si="15"/>
        <v>0</v>
      </c>
      <c r="AU46" s="300">
        <f t="shared" si="15"/>
        <v>0</v>
      </c>
      <c r="AV46" s="302">
        <f t="shared" si="15"/>
        <v>0</v>
      </c>
    </row>
    <row r="47" spans="2:48" s="257" customFormat="1" ht="15.75" customHeight="1" outlineLevel="1">
      <c r="B47" s="1980"/>
      <c r="C47" s="303" t="str">
        <f>'8.项目规划指标表'!$B$5</f>
        <v>高层</v>
      </c>
      <c r="D47" s="274">
        <f>SUM(E47:AV47)</f>
        <v>0</v>
      </c>
      <c r="E47" s="275">
        <f>E140*'2.税率表'!$D$8</f>
        <v>0</v>
      </c>
      <c r="F47" s="276">
        <f>F140*'2.税率表'!$D$8</f>
        <v>0</v>
      </c>
      <c r="G47" s="276">
        <f>G140*'2.税率表'!$D$8</f>
        <v>0</v>
      </c>
      <c r="H47" s="277">
        <f>H140*'2.税率表'!$D$8</f>
        <v>0</v>
      </c>
      <c r="I47" s="275">
        <f>I140*'2.税率表'!$D$8</f>
        <v>0</v>
      </c>
      <c r="J47" s="276">
        <f>J140*'2.税率表'!$D$8</f>
        <v>0</v>
      </c>
      <c r="K47" s="276">
        <f>K140*'2.税率表'!$D$8</f>
        <v>0</v>
      </c>
      <c r="L47" s="277">
        <f>L140*'2.税率表'!$D$8</f>
        <v>0</v>
      </c>
      <c r="M47" s="275">
        <f>M140*'2.税率表'!$D$8</f>
        <v>0</v>
      </c>
      <c r="N47" s="276">
        <f>N140*'2.税率表'!$D$8</f>
        <v>0</v>
      </c>
      <c r="O47" s="276">
        <f>O140*'2.税率表'!$D$8</f>
        <v>0</v>
      </c>
      <c r="P47" s="277">
        <f>P140*'2.税率表'!$D$8</f>
        <v>0</v>
      </c>
      <c r="Q47" s="275">
        <f>Q140*'2.税率表'!$D$8</f>
        <v>0</v>
      </c>
      <c r="R47" s="276">
        <f>R140*'2.税率表'!$D$8</f>
        <v>0</v>
      </c>
      <c r="S47" s="276">
        <f>S140*'2.税率表'!$D$8</f>
        <v>0</v>
      </c>
      <c r="T47" s="277">
        <f>T140*'2.税率表'!$D$8</f>
        <v>0</v>
      </c>
      <c r="U47" s="275">
        <f>U140*'2.税率表'!$D$8</f>
        <v>0</v>
      </c>
      <c r="V47" s="276">
        <f>V140*'2.税率表'!$D$8</f>
        <v>0</v>
      </c>
      <c r="W47" s="276">
        <f>W140*'2.税率表'!$D$8</f>
        <v>0</v>
      </c>
      <c r="X47" s="277">
        <f>X140*'2.税率表'!$D$8</f>
        <v>0</v>
      </c>
      <c r="Y47" s="275">
        <f>Y140*'2.税率表'!$D$8</f>
        <v>0</v>
      </c>
      <c r="Z47" s="276">
        <f>Z140*'2.税率表'!$D$8</f>
        <v>0</v>
      </c>
      <c r="AA47" s="276">
        <f>AA140*'2.税率表'!$D$8</f>
        <v>0</v>
      </c>
      <c r="AB47" s="277">
        <f>AB140*'2.税率表'!$D$8</f>
        <v>0</v>
      </c>
      <c r="AC47" s="275">
        <f>AC140*'2.税率表'!$D$8</f>
        <v>0</v>
      </c>
      <c r="AD47" s="276">
        <f>AD140*'2.税率表'!$D$8</f>
        <v>0</v>
      </c>
      <c r="AE47" s="276">
        <f>AE140*'2.税率表'!$D$8</f>
        <v>0</v>
      </c>
      <c r="AF47" s="277">
        <f>AF140*'2.税率表'!$D$8</f>
        <v>0</v>
      </c>
      <c r="AG47" s="275">
        <f>AG140*'2.税率表'!$D$8</f>
        <v>0</v>
      </c>
      <c r="AH47" s="276">
        <f>AH140*'2.税率表'!$D$8</f>
        <v>0</v>
      </c>
      <c r="AI47" s="276">
        <f>AI140*'2.税率表'!$D$8</f>
        <v>0</v>
      </c>
      <c r="AJ47" s="277">
        <f>AJ140*'2.税率表'!$D$8</f>
        <v>0</v>
      </c>
      <c r="AK47" s="275">
        <f>AK140*'2.税率表'!$D$8</f>
        <v>0</v>
      </c>
      <c r="AL47" s="276">
        <f>AL140*'2.税率表'!$D$8</f>
        <v>0</v>
      </c>
      <c r="AM47" s="276">
        <f>AM140*'2.税率表'!$D$8</f>
        <v>0</v>
      </c>
      <c r="AN47" s="277">
        <f>AN140*'2.税率表'!$D$8</f>
        <v>0</v>
      </c>
      <c r="AO47" s="275">
        <f>AO140*'2.税率表'!$D$8</f>
        <v>0</v>
      </c>
      <c r="AP47" s="276">
        <f>AP140*'2.税率表'!$D$8</f>
        <v>0</v>
      </c>
      <c r="AQ47" s="276">
        <f>AQ140*'2.税率表'!$D$8</f>
        <v>0</v>
      </c>
      <c r="AR47" s="277">
        <f>AR140*'2.税率表'!$D$8</f>
        <v>0</v>
      </c>
      <c r="AS47" s="275">
        <f>AS140*'2.税率表'!$D$8</f>
        <v>0</v>
      </c>
      <c r="AT47" s="276">
        <f>AT140*'2.税率表'!$D$8</f>
        <v>0</v>
      </c>
      <c r="AU47" s="276">
        <f>AU140*'2.税率表'!$D$8</f>
        <v>0</v>
      </c>
      <c r="AV47" s="277">
        <f>AV140*'2.税率表'!$D$8</f>
        <v>0</v>
      </c>
    </row>
    <row r="48" spans="2:48" s="257" customFormat="1" ht="15.75" customHeight="1" outlineLevel="1">
      <c r="B48" s="1980"/>
      <c r="C48" s="303" t="str">
        <f>'8.项目规划指标表'!$B$6</f>
        <v>商铺</v>
      </c>
      <c r="D48" s="274">
        <f t="shared" ref="D48:D58" si="16">SUM(E48:AV48)</f>
        <v>0</v>
      </c>
      <c r="E48" s="275">
        <f>E141*'2.税率表'!$D$8</f>
        <v>0</v>
      </c>
      <c r="F48" s="276">
        <f>F141*'2.税率表'!$D$8</f>
        <v>0</v>
      </c>
      <c r="G48" s="276">
        <f>G141*'2.税率表'!$D$8</f>
        <v>0</v>
      </c>
      <c r="H48" s="277">
        <f>H141*'2.税率表'!$D$8</f>
        <v>0</v>
      </c>
      <c r="I48" s="275">
        <f>I141*'2.税率表'!$D$8</f>
        <v>0</v>
      </c>
      <c r="J48" s="276">
        <f>J141*'2.税率表'!$D$8</f>
        <v>0</v>
      </c>
      <c r="K48" s="276">
        <f>K141*'2.税率表'!$D$8</f>
        <v>0</v>
      </c>
      <c r="L48" s="277">
        <f>L141*'2.税率表'!$D$8</f>
        <v>0</v>
      </c>
      <c r="M48" s="275">
        <f>M141*'2.税率表'!$D$8</f>
        <v>0</v>
      </c>
      <c r="N48" s="276">
        <f>N141*'2.税率表'!$D$8</f>
        <v>0</v>
      </c>
      <c r="O48" s="276">
        <f>O141*'2.税率表'!$D$8</f>
        <v>0</v>
      </c>
      <c r="P48" s="277">
        <f>P141*'2.税率表'!$D$8</f>
        <v>0</v>
      </c>
      <c r="Q48" s="275">
        <f>Q141*'2.税率表'!$D$8</f>
        <v>0</v>
      </c>
      <c r="R48" s="276">
        <f>R141*'2.税率表'!$D$8</f>
        <v>0</v>
      </c>
      <c r="S48" s="276">
        <f>S141*'2.税率表'!$D$8</f>
        <v>0</v>
      </c>
      <c r="T48" s="277">
        <f>T141*'2.税率表'!$D$8</f>
        <v>0</v>
      </c>
      <c r="U48" s="275">
        <f>U141*'2.税率表'!$D$8</f>
        <v>0</v>
      </c>
      <c r="V48" s="276">
        <f>V141*'2.税率表'!$D$8</f>
        <v>0</v>
      </c>
      <c r="W48" s="276">
        <f>W141*'2.税率表'!$D$8</f>
        <v>0</v>
      </c>
      <c r="X48" s="277">
        <f>X141*'2.税率表'!$D$8</f>
        <v>0</v>
      </c>
      <c r="Y48" s="275">
        <f>Y141*'2.税率表'!$D$8</f>
        <v>0</v>
      </c>
      <c r="Z48" s="276">
        <f>Z141*'2.税率表'!$D$8</f>
        <v>0</v>
      </c>
      <c r="AA48" s="276">
        <f>AA141*'2.税率表'!$D$8</f>
        <v>0</v>
      </c>
      <c r="AB48" s="277">
        <f>AB141*'2.税率表'!$D$8</f>
        <v>0</v>
      </c>
      <c r="AC48" s="275">
        <f>AC141*'2.税率表'!$D$8</f>
        <v>0</v>
      </c>
      <c r="AD48" s="276">
        <f>AD141*'2.税率表'!$D$8</f>
        <v>0</v>
      </c>
      <c r="AE48" s="276">
        <f>AE141*'2.税率表'!$D$8</f>
        <v>0</v>
      </c>
      <c r="AF48" s="277">
        <f>AF141*'2.税率表'!$D$8</f>
        <v>0</v>
      </c>
      <c r="AG48" s="275">
        <f>AG141*'2.税率表'!$D$8</f>
        <v>0</v>
      </c>
      <c r="AH48" s="276">
        <f>AH141*'2.税率表'!$D$8</f>
        <v>0</v>
      </c>
      <c r="AI48" s="276">
        <f>AI141*'2.税率表'!$D$8</f>
        <v>0</v>
      </c>
      <c r="AJ48" s="277">
        <f>AJ141*'2.税率表'!$D$8</f>
        <v>0</v>
      </c>
      <c r="AK48" s="275">
        <f>AK141*'2.税率表'!$D$8</f>
        <v>0</v>
      </c>
      <c r="AL48" s="276">
        <f>AL141*'2.税率表'!$D$8</f>
        <v>0</v>
      </c>
      <c r="AM48" s="276">
        <f>AM141*'2.税率表'!$D$8</f>
        <v>0</v>
      </c>
      <c r="AN48" s="277">
        <f>AN141*'2.税率表'!$D$8</f>
        <v>0</v>
      </c>
      <c r="AO48" s="275">
        <f>AO141*'2.税率表'!$D$8</f>
        <v>0</v>
      </c>
      <c r="AP48" s="276">
        <f>AP141*'2.税率表'!$D$8</f>
        <v>0</v>
      </c>
      <c r="AQ48" s="276">
        <f>AQ141*'2.税率表'!$D$8</f>
        <v>0</v>
      </c>
      <c r="AR48" s="277">
        <f>AR141*'2.税率表'!$D$8</f>
        <v>0</v>
      </c>
      <c r="AS48" s="275">
        <f>AS141*'2.税率表'!$D$8</f>
        <v>0</v>
      </c>
      <c r="AT48" s="276">
        <f>AT141*'2.税率表'!$D$8</f>
        <v>0</v>
      </c>
      <c r="AU48" s="276">
        <f>AU141*'2.税率表'!$D$8</f>
        <v>0</v>
      </c>
      <c r="AV48" s="277">
        <f>AV141*'2.税率表'!$D$8</f>
        <v>0</v>
      </c>
    </row>
    <row r="49" spans="2:48" s="257" customFormat="1" ht="15.75" customHeight="1" outlineLevel="1">
      <c r="B49" s="1980"/>
      <c r="C49" s="303" t="str">
        <f>'8.项目规划指标表'!$B$7</f>
        <v>回迁商业</v>
      </c>
      <c r="D49" s="274">
        <f t="shared" si="16"/>
        <v>0</v>
      </c>
      <c r="E49" s="275">
        <f>E142*'2.税率表'!$D$8</f>
        <v>0</v>
      </c>
      <c r="F49" s="276">
        <f>F142*'2.税率表'!$D$8</f>
        <v>0</v>
      </c>
      <c r="G49" s="276">
        <f>G142*'2.税率表'!$D$8</f>
        <v>0</v>
      </c>
      <c r="H49" s="277">
        <f>H142*'2.税率表'!$D$8</f>
        <v>0</v>
      </c>
      <c r="I49" s="275">
        <f>I142*'2.税率表'!$D$8</f>
        <v>0</v>
      </c>
      <c r="J49" s="276">
        <f>J142*'2.税率表'!$D$8</f>
        <v>0</v>
      </c>
      <c r="K49" s="276">
        <f>K142*'2.税率表'!$D$8</f>
        <v>0</v>
      </c>
      <c r="L49" s="277">
        <f>L142*'2.税率表'!$D$8</f>
        <v>0</v>
      </c>
      <c r="M49" s="275">
        <f>M142*'2.税率表'!$D$8</f>
        <v>0</v>
      </c>
      <c r="N49" s="276">
        <f>N142*'2.税率表'!$D$8</f>
        <v>0</v>
      </c>
      <c r="O49" s="276">
        <f>O142*'2.税率表'!$D$8</f>
        <v>0</v>
      </c>
      <c r="P49" s="277">
        <f>P142*'2.税率表'!$D$8</f>
        <v>0</v>
      </c>
      <c r="Q49" s="275">
        <f>Q142*'2.税率表'!$D$8</f>
        <v>0</v>
      </c>
      <c r="R49" s="276">
        <f>R142*'2.税率表'!$D$8</f>
        <v>0</v>
      </c>
      <c r="S49" s="276">
        <f>S142*'2.税率表'!$D$8</f>
        <v>0</v>
      </c>
      <c r="T49" s="277">
        <f>T142*'2.税率表'!$D$8</f>
        <v>0</v>
      </c>
      <c r="U49" s="275">
        <f>U142*'2.税率表'!$D$8</f>
        <v>0</v>
      </c>
      <c r="V49" s="276">
        <f>V142*'2.税率表'!$D$8</f>
        <v>0</v>
      </c>
      <c r="W49" s="276">
        <f>W142*'2.税率表'!$D$8</f>
        <v>0</v>
      </c>
      <c r="X49" s="277">
        <f>X142*'2.税率表'!$D$8</f>
        <v>0</v>
      </c>
      <c r="Y49" s="275">
        <f>Y142*'2.税率表'!$D$8</f>
        <v>0</v>
      </c>
      <c r="Z49" s="276">
        <f>Z142*'2.税率表'!$D$8</f>
        <v>0</v>
      </c>
      <c r="AA49" s="276">
        <f>AA142*'2.税率表'!$D$8</f>
        <v>0</v>
      </c>
      <c r="AB49" s="277">
        <f>AB142*'2.税率表'!$D$8</f>
        <v>0</v>
      </c>
      <c r="AC49" s="275">
        <f>AC142*'2.税率表'!$D$8</f>
        <v>0</v>
      </c>
      <c r="AD49" s="276">
        <f>AD142*'2.税率表'!$D$8</f>
        <v>0</v>
      </c>
      <c r="AE49" s="276">
        <f>AE142*'2.税率表'!$D$8</f>
        <v>0</v>
      </c>
      <c r="AF49" s="277">
        <f>AF142*'2.税率表'!$D$8</f>
        <v>0</v>
      </c>
      <c r="AG49" s="275">
        <f>AG142*'2.税率表'!$D$8</f>
        <v>0</v>
      </c>
      <c r="AH49" s="276">
        <f>AH142*'2.税率表'!$D$8</f>
        <v>0</v>
      </c>
      <c r="AI49" s="276">
        <f>AI142*'2.税率表'!$D$8</f>
        <v>0</v>
      </c>
      <c r="AJ49" s="277">
        <f>AJ142*'2.税率表'!$D$8</f>
        <v>0</v>
      </c>
      <c r="AK49" s="275">
        <f>AK142*'2.税率表'!$D$8</f>
        <v>0</v>
      </c>
      <c r="AL49" s="276">
        <f>AL142*'2.税率表'!$D$8</f>
        <v>0</v>
      </c>
      <c r="AM49" s="276">
        <f>AM142*'2.税率表'!$D$8</f>
        <v>0</v>
      </c>
      <c r="AN49" s="277">
        <f>AN142*'2.税率表'!$D$8</f>
        <v>0</v>
      </c>
      <c r="AO49" s="275">
        <f>AO142*'2.税率表'!$D$8</f>
        <v>0</v>
      </c>
      <c r="AP49" s="276">
        <f>AP142*'2.税率表'!$D$8</f>
        <v>0</v>
      </c>
      <c r="AQ49" s="276">
        <f>AQ142*'2.税率表'!$D$8</f>
        <v>0</v>
      </c>
      <c r="AR49" s="277">
        <f>AR142*'2.税率表'!$D$8</f>
        <v>0</v>
      </c>
      <c r="AS49" s="275">
        <f>AS142*'2.税率表'!$D$8</f>
        <v>0</v>
      </c>
      <c r="AT49" s="276">
        <f>AT142*'2.税率表'!$D$8</f>
        <v>0</v>
      </c>
      <c r="AU49" s="276">
        <f>AU142*'2.税率表'!$D$8</f>
        <v>0</v>
      </c>
      <c r="AV49" s="277">
        <f>AV142*'2.税率表'!$D$8</f>
        <v>0</v>
      </c>
    </row>
    <row r="50" spans="2:48" s="257" customFormat="1" ht="15.75" customHeight="1" outlineLevel="1">
      <c r="B50" s="1980"/>
      <c r="C50" s="303">
        <f>'8.项目规划指标表'!$B$8</f>
        <v>0</v>
      </c>
      <c r="D50" s="274">
        <f t="shared" si="16"/>
        <v>0</v>
      </c>
      <c r="E50" s="275">
        <f>E143*'2.税率表'!$D$8</f>
        <v>0</v>
      </c>
      <c r="F50" s="276">
        <f>F143*'2.税率表'!$D$8</f>
        <v>0</v>
      </c>
      <c r="G50" s="276">
        <f>G143*'2.税率表'!$D$8</f>
        <v>0</v>
      </c>
      <c r="H50" s="277">
        <f>H143*'2.税率表'!$D$8</f>
        <v>0</v>
      </c>
      <c r="I50" s="275">
        <f>I143*'2.税率表'!$D$8</f>
        <v>0</v>
      </c>
      <c r="J50" s="276">
        <f>J143*'2.税率表'!$D$8</f>
        <v>0</v>
      </c>
      <c r="K50" s="276">
        <f>K143*'2.税率表'!$D$8</f>
        <v>0</v>
      </c>
      <c r="L50" s="277">
        <f>L143*'2.税率表'!$D$8</f>
        <v>0</v>
      </c>
      <c r="M50" s="275">
        <f>M143*'2.税率表'!$D$8</f>
        <v>0</v>
      </c>
      <c r="N50" s="276">
        <f>N143*'2.税率表'!$D$8</f>
        <v>0</v>
      </c>
      <c r="O50" s="276">
        <f>O143*'2.税率表'!$D$8</f>
        <v>0</v>
      </c>
      <c r="P50" s="277">
        <f>P143*'2.税率表'!$D$8</f>
        <v>0</v>
      </c>
      <c r="Q50" s="275">
        <f>Q143*'2.税率表'!$D$8</f>
        <v>0</v>
      </c>
      <c r="R50" s="276">
        <f>R143*'2.税率表'!$D$8</f>
        <v>0</v>
      </c>
      <c r="S50" s="276">
        <f>S143*'2.税率表'!$D$8</f>
        <v>0</v>
      </c>
      <c r="T50" s="277">
        <f>T143*'2.税率表'!$D$8</f>
        <v>0</v>
      </c>
      <c r="U50" s="275">
        <f>U143*'2.税率表'!$D$8</f>
        <v>0</v>
      </c>
      <c r="V50" s="276">
        <f>V143*'2.税率表'!$D$8</f>
        <v>0</v>
      </c>
      <c r="W50" s="276">
        <f>W143*'2.税率表'!$D$8</f>
        <v>0</v>
      </c>
      <c r="X50" s="277">
        <f>X143*'2.税率表'!$D$8</f>
        <v>0</v>
      </c>
      <c r="Y50" s="275">
        <f>Y143*'2.税率表'!$D$8</f>
        <v>0</v>
      </c>
      <c r="Z50" s="276">
        <f>Z143*'2.税率表'!$D$8</f>
        <v>0</v>
      </c>
      <c r="AA50" s="276">
        <f>AA143*'2.税率表'!$D$8</f>
        <v>0</v>
      </c>
      <c r="AB50" s="277">
        <f>AB143*'2.税率表'!$D$8</f>
        <v>0</v>
      </c>
      <c r="AC50" s="275">
        <f>AC143*'2.税率表'!$D$8</f>
        <v>0</v>
      </c>
      <c r="AD50" s="276">
        <f>AD143*'2.税率表'!$D$8</f>
        <v>0</v>
      </c>
      <c r="AE50" s="276">
        <f>AE143*'2.税率表'!$D$8</f>
        <v>0</v>
      </c>
      <c r="AF50" s="277">
        <f>AF143*'2.税率表'!$D$8</f>
        <v>0</v>
      </c>
      <c r="AG50" s="275">
        <f>AG143*'2.税率表'!$D$8</f>
        <v>0</v>
      </c>
      <c r="AH50" s="276">
        <f>AH143*'2.税率表'!$D$8</f>
        <v>0</v>
      </c>
      <c r="AI50" s="276">
        <f>AI143*'2.税率表'!$D$8</f>
        <v>0</v>
      </c>
      <c r="AJ50" s="277">
        <f>AJ143*'2.税率表'!$D$8</f>
        <v>0</v>
      </c>
      <c r="AK50" s="275">
        <f>AK143*'2.税率表'!$D$8</f>
        <v>0</v>
      </c>
      <c r="AL50" s="276">
        <f>AL143*'2.税率表'!$D$8</f>
        <v>0</v>
      </c>
      <c r="AM50" s="276">
        <f>AM143*'2.税率表'!$D$8</f>
        <v>0</v>
      </c>
      <c r="AN50" s="277">
        <f>AN143*'2.税率表'!$D$8</f>
        <v>0</v>
      </c>
      <c r="AO50" s="275">
        <f>AO143*'2.税率表'!$D$8</f>
        <v>0</v>
      </c>
      <c r="AP50" s="276">
        <f>AP143*'2.税率表'!$D$8</f>
        <v>0</v>
      </c>
      <c r="AQ50" s="276">
        <f>AQ143*'2.税率表'!$D$8</f>
        <v>0</v>
      </c>
      <c r="AR50" s="277">
        <f>AR143*'2.税率表'!$D$8</f>
        <v>0</v>
      </c>
      <c r="AS50" s="275">
        <f>AS143*'2.税率表'!$D$8</f>
        <v>0</v>
      </c>
      <c r="AT50" s="276">
        <f>AT143*'2.税率表'!$D$8</f>
        <v>0</v>
      </c>
      <c r="AU50" s="276">
        <f>AU143*'2.税率表'!$D$8</f>
        <v>0</v>
      </c>
      <c r="AV50" s="277">
        <f>AV143*'2.税率表'!$D$8</f>
        <v>0</v>
      </c>
    </row>
    <row r="51" spans="2:48" s="257" customFormat="1" ht="15.75" customHeight="1" outlineLevel="1">
      <c r="B51" s="1980"/>
      <c r="C51" s="303">
        <f>'8.项目规划指标表'!$B$9</f>
        <v>0</v>
      </c>
      <c r="D51" s="274">
        <f t="shared" si="16"/>
        <v>0</v>
      </c>
      <c r="E51" s="275">
        <f>E144*'2.税率表'!$D$8</f>
        <v>0</v>
      </c>
      <c r="F51" s="276">
        <f>F144*'2.税率表'!$D$8</f>
        <v>0</v>
      </c>
      <c r="G51" s="276">
        <f>G144*'2.税率表'!$D$8</f>
        <v>0</v>
      </c>
      <c r="H51" s="277">
        <f>H144*'2.税率表'!$D$8</f>
        <v>0</v>
      </c>
      <c r="I51" s="275">
        <f>I144*'2.税率表'!$D$8</f>
        <v>0</v>
      </c>
      <c r="J51" s="276">
        <f>J144*'2.税率表'!$D$8</f>
        <v>0</v>
      </c>
      <c r="K51" s="276">
        <f>K144*'2.税率表'!$D$8</f>
        <v>0</v>
      </c>
      <c r="L51" s="277">
        <f>L144*'2.税率表'!$D$8</f>
        <v>0</v>
      </c>
      <c r="M51" s="275">
        <f>M144*'2.税率表'!$D$8</f>
        <v>0</v>
      </c>
      <c r="N51" s="276">
        <f>N144*'2.税率表'!$D$8</f>
        <v>0</v>
      </c>
      <c r="O51" s="276">
        <f>O144*'2.税率表'!$D$8</f>
        <v>0</v>
      </c>
      <c r="P51" s="277">
        <f>P144*'2.税率表'!$D$8</f>
        <v>0</v>
      </c>
      <c r="Q51" s="275">
        <f>Q144*'2.税率表'!$D$8</f>
        <v>0</v>
      </c>
      <c r="R51" s="276">
        <f>R144*'2.税率表'!$D$8</f>
        <v>0</v>
      </c>
      <c r="S51" s="276">
        <f>S144*'2.税率表'!$D$8</f>
        <v>0</v>
      </c>
      <c r="T51" s="277">
        <f>T144*'2.税率表'!$D$8</f>
        <v>0</v>
      </c>
      <c r="U51" s="275">
        <f>U144*'2.税率表'!$D$8</f>
        <v>0</v>
      </c>
      <c r="V51" s="276">
        <f>V144*'2.税率表'!$D$8</f>
        <v>0</v>
      </c>
      <c r="W51" s="276">
        <f>W144*'2.税率表'!$D$8</f>
        <v>0</v>
      </c>
      <c r="X51" s="277">
        <f>X144*'2.税率表'!$D$8</f>
        <v>0</v>
      </c>
      <c r="Y51" s="275">
        <f>Y144*'2.税率表'!$D$8</f>
        <v>0</v>
      </c>
      <c r="Z51" s="276">
        <f>Z144*'2.税率表'!$D$8</f>
        <v>0</v>
      </c>
      <c r="AA51" s="276">
        <f>AA144*'2.税率表'!$D$8</f>
        <v>0</v>
      </c>
      <c r="AB51" s="277">
        <f>AB144*'2.税率表'!$D$8</f>
        <v>0</v>
      </c>
      <c r="AC51" s="275">
        <f>AC144*'2.税率表'!$D$8</f>
        <v>0</v>
      </c>
      <c r="AD51" s="276">
        <f>AD144*'2.税率表'!$D$8</f>
        <v>0</v>
      </c>
      <c r="AE51" s="276">
        <f>AE144*'2.税率表'!$D$8</f>
        <v>0</v>
      </c>
      <c r="AF51" s="277">
        <f>AF144*'2.税率表'!$D$8</f>
        <v>0</v>
      </c>
      <c r="AG51" s="275">
        <f>AG144*'2.税率表'!$D$8</f>
        <v>0</v>
      </c>
      <c r="AH51" s="276">
        <f>AH144*'2.税率表'!$D$8</f>
        <v>0</v>
      </c>
      <c r="AI51" s="276">
        <f>AI144*'2.税率表'!$D$8</f>
        <v>0</v>
      </c>
      <c r="AJ51" s="277">
        <f>AJ144*'2.税率表'!$D$8</f>
        <v>0</v>
      </c>
      <c r="AK51" s="275">
        <f>AK144*'2.税率表'!$D$8</f>
        <v>0</v>
      </c>
      <c r="AL51" s="276">
        <f>AL144*'2.税率表'!$D$8</f>
        <v>0</v>
      </c>
      <c r="AM51" s="276">
        <f>AM144*'2.税率表'!$D$8</f>
        <v>0</v>
      </c>
      <c r="AN51" s="277">
        <f>AN144*'2.税率表'!$D$8</f>
        <v>0</v>
      </c>
      <c r="AO51" s="275">
        <f>AO144*'2.税率表'!$D$8</f>
        <v>0</v>
      </c>
      <c r="AP51" s="276">
        <f>AP144*'2.税率表'!$D$8</f>
        <v>0</v>
      </c>
      <c r="AQ51" s="276">
        <f>AQ144*'2.税率表'!$D$8</f>
        <v>0</v>
      </c>
      <c r="AR51" s="277">
        <f>AR144*'2.税率表'!$D$8</f>
        <v>0</v>
      </c>
      <c r="AS51" s="275">
        <f>AS144*'2.税率表'!$D$8</f>
        <v>0</v>
      </c>
      <c r="AT51" s="276">
        <f>AT144*'2.税率表'!$D$8</f>
        <v>0</v>
      </c>
      <c r="AU51" s="276">
        <f>AU144*'2.税率表'!$D$8</f>
        <v>0</v>
      </c>
      <c r="AV51" s="277">
        <f>AV144*'2.税率表'!$D$8</f>
        <v>0</v>
      </c>
    </row>
    <row r="52" spans="2:48" s="257" customFormat="1" ht="15.75" customHeight="1" outlineLevel="1">
      <c r="B52" s="1980"/>
      <c r="C52" s="303">
        <f>'8.项目规划指标表'!$B$10</f>
        <v>0</v>
      </c>
      <c r="D52" s="274">
        <f t="shared" si="16"/>
        <v>0</v>
      </c>
      <c r="E52" s="275">
        <f>E145*'2.税率表'!$D$8</f>
        <v>0</v>
      </c>
      <c r="F52" s="276">
        <f>F145*'2.税率表'!$D$8</f>
        <v>0</v>
      </c>
      <c r="G52" s="276">
        <f>G145*'2.税率表'!$D$8</f>
        <v>0</v>
      </c>
      <c r="H52" s="277">
        <f>H145*'2.税率表'!$D$8</f>
        <v>0</v>
      </c>
      <c r="I52" s="275">
        <f>I145*'2.税率表'!$D$8</f>
        <v>0</v>
      </c>
      <c r="J52" s="276">
        <f>J145*'2.税率表'!$D$8</f>
        <v>0</v>
      </c>
      <c r="K52" s="276">
        <f>K145*'2.税率表'!$D$8</f>
        <v>0</v>
      </c>
      <c r="L52" s="277">
        <f>L145*'2.税率表'!$D$8</f>
        <v>0</v>
      </c>
      <c r="M52" s="275">
        <f>M145*'2.税率表'!$D$8</f>
        <v>0</v>
      </c>
      <c r="N52" s="276">
        <f>N145*'2.税率表'!$D$8</f>
        <v>0</v>
      </c>
      <c r="O52" s="276">
        <f>O145*'2.税率表'!$D$8</f>
        <v>0</v>
      </c>
      <c r="P52" s="277">
        <f>P145*'2.税率表'!$D$8</f>
        <v>0</v>
      </c>
      <c r="Q52" s="275">
        <f>Q145*'2.税率表'!$D$8</f>
        <v>0</v>
      </c>
      <c r="R52" s="276">
        <f>R145*'2.税率表'!$D$8</f>
        <v>0</v>
      </c>
      <c r="S52" s="276">
        <f>S145*'2.税率表'!$D$8</f>
        <v>0</v>
      </c>
      <c r="T52" s="277">
        <f>T145*'2.税率表'!$D$8</f>
        <v>0</v>
      </c>
      <c r="U52" s="275">
        <f>U145*'2.税率表'!$D$8</f>
        <v>0</v>
      </c>
      <c r="V52" s="276">
        <f>V145*'2.税率表'!$D$8</f>
        <v>0</v>
      </c>
      <c r="W52" s="276">
        <f>W145*'2.税率表'!$D$8</f>
        <v>0</v>
      </c>
      <c r="X52" s="277">
        <f>X145*'2.税率表'!$D$8</f>
        <v>0</v>
      </c>
      <c r="Y52" s="275">
        <f>Y145*'2.税率表'!$D$8</f>
        <v>0</v>
      </c>
      <c r="Z52" s="276">
        <f>Z145*'2.税率表'!$D$8</f>
        <v>0</v>
      </c>
      <c r="AA52" s="276">
        <f>AA145*'2.税率表'!$D$8</f>
        <v>0</v>
      </c>
      <c r="AB52" s="277">
        <f>AB145*'2.税率表'!$D$8</f>
        <v>0</v>
      </c>
      <c r="AC52" s="275">
        <f>AC145*'2.税率表'!$D$8</f>
        <v>0</v>
      </c>
      <c r="AD52" s="276">
        <f>AD145*'2.税率表'!$D$8</f>
        <v>0</v>
      </c>
      <c r="AE52" s="276">
        <f>AE145*'2.税率表'!$D$8</f>
        <v>0</v>
      </c>
      <c r="AF52" s="277">
        <f>AF145*'2.税率表'!$D$8</f>
        <v>0</v>
      </c>
      <c r="AG52" s="275">
        <f>AG145*'2.税率表'!$D$8</f>
        <v>0</v>
      </c>
      <c r="AH52" s="276">
        <f>AH145*'2.税率表'!$D$8</f>
        <v>0</v>
      </c>
      <c r="AI52" s="276">
        <f>AI145*'2.税率表'!$D$8</f>
        <v>0</v>
      </c>
      <c r="AJ52" s="277">
        <f>AJ145*'2.税率表'!$D$8</f>
        <v>0</v>
      </c>
      <c r="AK52" s="275">
        <f>AK145*'2.税率表'!$D$8</f>
        <v>0</v>
      </c>
      <c r="AL52" s="276">
        <f>AL145*'2.税率表'!$D$8</f>
        <v>0</v>
      </c>
      <c r="AM52" s="276">
        <f>AM145*'2.税率表'!$D$8</f>
        <v>0</v>
      </c>
      <c r="AN52" s="277">
        <f>AN145*'2.税率表'!$D$8</f>
        <v>0</v>
      </c>
      <c r="AO52" s="275">
        <f>AO145*'2.税率表'!$D$8</f>
        <v>0</v>
      </c>
      <c r="AP52" s="276">
        <f>AP145*'2.税率表'!$D$8</f>
        <v>0</v>
      </c>
      <c r="AQ52" s="276">
        <f>AQ145*'2.税率表'!$D$8</f>
        <v>0</v>
      </c>
      <c r="AR52" s="277">
        <f>AR145*'2.税率表'!$D$8</f>
        <v>0</v>
      </c>
      <c r="AS52" s="275">
        <f>AS145*'2.税率表'!$D$8</f>
        <v>0</v>
      </c>
      <c r="AT52" s="276">
        <f>AT145*'2.税率表'!$D$8</f>
        <v>0</v>
      </c>
      <c r="AU52" s="276">
        <f>AU145*'2.税率表'!$D$8</f>
        <v>0</v>
      </c>
      <c r="AV52" s="277">
        <f>AV145*'2.税率表'!$D$8</f>
        <v>0</v>
      </c>
    </row>
    <row r="53" spans="2:48" s="257" customFormat="1" ht="15.75" customHeight="1" outlineLevel="1">
      <c r="B53" s="1980"/>
      <c r="C53" s="303">
        <f>'8.项目规划指标表'!$B$11</f>
        <v>0</v>
      </c>
      <c r="D53" s="274">
        <f t="shared" si="16"/>
        <v>0</v>
      </c>
      <c r="E53" s="275">
        <f>E146*'2.税率表'!$D$8</f>
        <v>0</v>
      </c>
      <c r="F53" s="276">
        <f>F146*'2.税率表'!$D$8</f>
        <v>0</v>
      </c>
      <c r="G53" s="276">
        <f>G146*'2.税率表'!$D$8</f>
        <v>0</v>
      </c>
      <c r="H53" s="277">
        <f>H146*'2.税率表'!$D$8</f>
        <v>0</v>
      </c>
      <c r="I53" s="275">
        <f>I146*'2.税率表'!$D$8</f>
        <v>0</v>
      </c>
      <c r="J53" s="276">
        <f>J146*'2.税率表'!$D$8</f>
        <v>0</v>
      </c>
      <c r="K53" s="276">
        <f>K146*'2.税率表'!$D$8</f>
        <v>0</v>
      </c>
      <c r="L53" s="277">
        <f>L146*'2.税率表'!$D$8</f>
        <v>0</v>
      </c>
      <c r="M53" s="275">
        <f>M146*'2.税率表'!$D$8</f>
        <v>0</v>
      </c>
      <c r="N53" s="276">
        <f>N146*'2.税率表'!$D$8</f>
        <v>0</v>
      </c>
      <c r="O53" s="276">
        <f>O146*'2.税率表'!$D$8</f>
        <v>0</v>
      </c>
      <c r="P53" s="277">
        <f>P146*'2.税率表'!$D$8</f>
        <v>0</v>
      </c>
      <c r="Q53" s="275">
        <f>Q146*'2.税率表'!$D$8</f>
        <v>0</v>
      </c>
      <c r="R53" s="276">
        <f>R146*'2.税率表'!$D$8</f>
        <v>0</v>
      </c>
      <c r="S53" s="276">
        <f>S146*'2.税率表'!$D$8</f>
        <v>0</v>
      </c>
      <c r="T53" s="277">
        <f>T146*'2.税率表'!$D$8</f>
        <v>0</v>
      </c>
      <c r="U53" s="275">
        <f>U146*'2.税率表'!$D$8</f>
        <v>0</v>
      </c>
      <c r="V53" s="276">
        <f>V146*'2.税率表'!$D$8</f>
        <v>0</v>
      </c>
      <c r="W53" s="276">
        <f>W146*'2.税率表'!$D$8</f>
        <v>0</v>
      </c>
      <c r="X53" s="277">
        <f>X146*'2.税率表'!$D$8</f>
        <v>0</v>
      </c>
      <c r="Y53" s="275">
        <f>Y146*'2.税率表'!$D$8</f>
        <v>0</v>
      </c>
      <c r="Z53" s="276">
        <f>Z146*'2.税率表'!$D$8</f>
        <v>0</v>
      </c>
      <c r="AA53" s="276">
        <f>AA146*'2.税率表'!$D$8</f>
        <v>0</v>
      </c>
      <c r="AB53" s="277">
        <f>AB146*'2.税率表'!$D$8</f>
        <v>0</v>
      </c>
      <c r="AC53" s="275">
        <f>AC146*'2.税率表'!$D$8</f>
        <v>0</v>
      </c>
      <c r="AD53" s="276">
        <f>AD146*'2.税率表'!$D$8</f>
        <v>0</v>
      </c>
      <c r="AE53" s="276">
        <f>AE146*'2.税率表'!$D$8</f>
        <v>0</v>
      </c>
      <c r="AF53" s="277">
        <f>AF146*'2.税率表'!$D$8</f>
        <v>0</v>
      </c>
      <c r="AG53" s="275">
        <f>AG146*'2.税率表'!$D$8</f>
        <v>0</v>
      </c>
      <c r="AH53" s="276">
        <f>AH146*'2.税率表'!$D$8</f>
        <v>0</v>
      </c>
      <c r="AI53" s="276">
        <f>AI146*'2.税率表'!$D$8</f>
        <v>0</v>
      </c>
      <c r="AJ53" s="277">
        <f>AJ146*'2.税率表'!$D$8</f>
        <v>0</v>
      </c>
      <c r="AK53" s="275">
        <f>AK146*'2.税率表'!$D$8</f>
        <v>0</v>
      </c>
      <c r="AL53" s="276">
        <f>AL146*'2.税率表'!$D$8</f>
        <v>0</v>
      </c>
      <c r="AM53" s="276">
        <f>AM146*'2.税率表'!$D$8</f>
        <v>0</v>
      </c>
      <c r="AN53" s="277">
        <f>AN146*'2.税率表'!$D$8</f>
        <v>0</v>
      </c>
      <c r="AO53" s="275">
        <f>AO146*'2.税率表'!$D$8</f>
        <v>0</v>
      </c>
      <c r="AP53" s="276">
        <f>AP146*'2.税率表'!$D$8</f>
        <v>0</v>
      </c>
      <c r="AQ53" s="276">
        <f>AQ146*'2.税率表'!$D$8</f>
        <v>0</v>
      </c>
      <c r="AR53" s="277">
        <f>AR146*'2.税率表'!$D$8</f>
        <v>0</v>
      </c>
      <c r="AS53" s="275">
        <f>AS146*'2.税率表'!$D$8</f>
        <v>0</v>
      </c>
      <c r="AT53" s="276">
        <f>AT146*'2.税率表'!$D$8</f>
        <v>0</v>
      </c>
      <c r="AU53" s="276">
        <f>AU146*'2.税率表'!$D$8</f>
        <v>0</v>
      </c>
      <c r="AV53" s="277">
        <f>AV146*'2.税率表'!$D$8</f>
        <v>0</v>
      </c>
    </row>
    <row r="54" spans="2:48" s="257" customFormat="1" ht="15.75" customHeight="1" outlineLevel="1">
      <c r="B54" s="1980"/>
      <c r="C54" s="303">
        <f>'8.项目规划指标表'!$B$12</f>
        <v>0</v>
      </c>
      <c r="D54" s="274">
        <f t="shared" si="16"/>
        <v>0</v>
      </c>
      <c r="E54" s="275">
        <f>E147*'2.税率表'!$D$8</f>
        <v>0</v>
      </c>
      <c r="F54" s="276">
        <f>F147*'2.税率表'!$D$8</f>
        <v>0</v>
      </c>
      <c r="G54" s="276">
        <f>G147*'2.税率表'!$D$8</f>
        <v>0</v>
      </c>
      <c r="H54" s="277">
        <f>H147*'2.税率表'!$D$8</f>
        <v>0</v>
      </c>
      <c r="I54" s="275">
        <f>I147*'2.税率表'!$D$8</f>
        <v>0</v>
      </c>
      <c r="J54" s="276">
        <f>J147*'2.税率表'!$D$8</f>
        <v>0</v>
      </c>
      <c r="K54" s="276">
        <f>K147*'2.税率表'!$D$8</f>
        <v>0</v>
      </c>
      <c r="L54" s="277">
        <f>L147*'2.税率表'!$D$8</f>
        <v>0</v>
      </c>
      <c r="M54" s="275">
        <f>M147*'2.税率表'!$D$8</f>
        <v>0</v>
      </c>
      <c r="N54" s="276">
        <f>N147*'2.税率表'!$D$8</f>
        <v>0</v>
      </c>
      <c r="O54" s="276">
        <f>O147*'2.税率表'!$D$8</f>
        <v>0</v>
      </c>
      <c r="P54" s="277">
        <f>P147*'2.税率表'!$D$8</f>
        <v>0</v>
      </c>
      <c r="Q54" s="275">
        <f>Q147*'2.税率表'!$D$8</f>
        <v>0</v>
      </c>
      <c r="R54" s="276">
        <f>R147*'2.税率表'!$D$8</f>
        <v>0</v>
      </c>
      <c r="S54" s="276">
        <f>S147*'2.税率表'!$D$8</f>
        <v>0</v>
      </c>
      <c r="T54" s="277">
        <f>T147*'2.税率表'!$D$8</f>
        <v>0</v>
      </c>
      <c r="U54" s="275">
        <f>U147*'2.税率表'!$D$8</f>
        <v>0</v>
      </c>
      <c r="V54" s="276">
        <f>V147*'2.税率表'!$D$8</f>
        <v>0</v>
      </c>
      <c r="W54" s="276">
        <f>W147*'2.税率表'!$D$8</f>
        <v>0</v>
      </c>
      <c r="X54" s="277">
        <f>X147*'2.税率表'!$D$8</f>
        <v>0</v>
      </c>
      <c r="Y54" s="275">
        <f>Y147*'2.税率表'!$D$8</f>
        <v>0</v>
      </c>
      <c r="Z54" s="276">
        <f>Z147*'2.税率表'!$D$8</f>
        <v>0</v>
      </c>
      <c r="AA54" s="276">
        <f>AA147*'2.税率表'!$D$8</f>
        <v>0</v>
      </c>
      <c r="AB54" s="277">
        <f>AB147*'2.税率表'!$D$8</f>
        <v>0</v>
      </c>
      <c r="AC54" s="275">
        <f>AC147*'2.税率表'!$D$8</f>
        <v>0</v>
      </c>
      <c r="AD54" s="276">
        <f>AD147*'2.税率表'!$D$8</f>
        <v>0</v>
      </c>
      <c r="AE54" s="276">
        <f>AE147*'2.税率表'!$D$8</f>
        <v>0</v>
      </c>
      <c r="AF54" s="277">
        <f>AF147*'2.税率表'!$D$8</f>
        <v>0</v>
      </c>
      <c r="AG54" s="275">
        <f>AG147*'2.税率表'!$D$8</f>
        <v>0</v>
      </c>
      <c r="AH54" s="276">
        <f>AH147*'2.税率表'!$D$8</f>
        <v>0</v>
      </c>
      <c r="AI54" s="276">
        <f>AI147*'2.税率表'!$D$8</f>
        <v>0</v>
      </c>
      <c r="AJ54" s="277">
        <f>AJ147*'2.税率表'!$D$8</f>
        <v>0</v>
      </c>
      <c r="AK54" s="275">
        <f>AK147*'2.税率表'!$D$8</f>
        <v>0</v>
      </c>
      <c r="AL54" s="276">
        <f>AL147*'2.税率表'!$D$8</f>
        <v>0</v>
      </c>
      <c r="AM54" s="276">
        <f>AM147*'2.税率表'!$D$8</f>
        <v>0</v>
      </c>
      <c r="AN54" s="277">
        <f>AN147*'2.税率表'!$D$8</f>
        <v>0</v>
      </c>
      <c r="AO54" s="275">
        <f>AO147*'2.税率表'!$D$8</f>
        <v>0</v>
      </c>
      <c r="AP54" s="276">
        <f>AP147*'2.税率表'!$D$8</f>
        <v>0</v>
      </c>
      <c r="AQ54" s="276">
        <f>AQ147*'2.税率表'!$D$8</f>
        <v>0</v>
      </c>
      <c r="AR54" s="277">
        <f>AR147*'2.税率表'!$D$8</f>
        <v>0</v>
      </c>
      <c r="AS54" s="275">
        <f>AS147*'2.税率表'!$D$8</f>
        <v>0</v>
      </c>
      <c r="AT54" s="276">
        <f>AT147*'2.税率表'!$D$8</f>
        <v>0</v>
      </c>
      <c r="AU54" s="276">
        <f>AU147*'2.税率表'!$D$8</f>
        <v>0</v>
      </c>
      <c r="AV54" s="277">
        <f>AV147*'2.税率表'!$D$8</f>
        <v>0</v>
      </c>
    </row>
    <row r="55" spans="2:48" s="257" customFormat="1" ht="15.75" customHeight="1" outlineLevel="1">
      <c r="B55" s="1980"/>
      <c r="C55" s="303">
        <f>'8.项目规划指标表'!$B$13</f>
        <v>0</v>
      </c>
      <c r="D55" s="274">
        <f t="shared" si="16"/>
        <v>0</v>
      </c>
      <c r="E55" s="275">
        <f>E148*'2.税率表'!$D$8</f>
        <v>0</v>
      </c>
      <c r="F55" s="276">
        <f>F148*'2.税率表'!$D$8</f>
        <v>0</v>
      </c>
      <c r="G55" s="276">
        <f>G148*'2.税率表'!$D$8</f>
        <v>0</v>
      </c>
      <c r="H55" s="277">
        <f>H148*'2.税率表'!$D$8</f>
        <v>0</v>
      </c>
      <c r="I55" s="275">
        <f>I148*'2.税率表'!$D$8</f>
        <v>0</v>
      </c>
      <c r="J55" s="276">
        <f>J148*'2.税率表'!$D$8</f>
        <v>0</v>
      </c>
      <c r="K55" s="276">
        <f>K148*'2.税率表'!$D$8</f>
        <v>0</v>
      </c>
      <c r="L55" s="277">
        <f>L148*'2.税率表'!$D$8</f>
        <v>0</v>
      </c>
      <c r="M55" s="275">
        <f>M148*'2.税率表'!$D$8</f>
        <v>0</v>
      </c>
      <c r="N55" s="276">
        <f>N148*'2.税率表'!$D$8</f>
        <v>0</v>
      </c>
      <c r="O55" s="276">
        <f>O148*'2.税率表'!$D$8</f>
        <v>0</v>
      </c>
      <c r="P55" s="277">
        <f>P148*'2.税率表'!$D$8</f>
        <v>0</v>
      </c>
      <c r="Q55" s="275">
        <f>Q148*'2.税率表'!$D$8</f>
        <v>0</v>
      </c>
      <c r="R55" s="276">
        <f>R148*'2.税率表'!$D$8</f>
        <v>0</v>
      </c>
      <c r="S55" s="276">
        <f>S148*'2.税率表'!$D$8</f>
        <v>0</v>
      </c>
      <c r="T55" s="277">
        <f>T148*'2.税率表'!$D$8</f>
        <v>0</v>
      </c>
      <c r="U55" s="275">
        <f>U148*'2.税率表'!$D$8</f>
        <v>0</v>
      </c>
      <c r="V55" s="276">
        <f>V148*'2.税率表'!$D$8</f>
        <v>0</v>
      </c>
      <c r="W55" s="276">
        <f>W148*'2.税率表'!$D$8</f>
        <v>0</v>
      </c>
      <c r="X55" s="277">
        <f>X148*'2.税率表'!$D$8</f>
        <v>0</v>
      </c>
      <c r="Y55" s="275">
        <f>Y148*'2.税率表'!$D$8</f>
        <v>0</v>
      </c>
      <c r="Z55" s="276">
        <f>Z148*'2.税率表'!$D$8</f>
        <v>0</v>
      </c>
      <c r="AA55" s="276">
        <f>AA148*'2.税率表'!$D$8</f>
        <v>0</v>
      </c>
      <c r="AB55" s="277">
        <f>AB148*'2.税率表'!$D$8</f>
        <v>0</v>
      </c>
      <c r="AC55" s="275">
        <f>AC148*'2.税率表'!$D$8</f>
        <v>0</v>
      </c>
      <c r="AD55" s="276">
        <f>AD148*'2.税率表'!$D$8</f>
        <v>0</v>
      </c>
      <c r="AE55" s="276">
        <f>AE148*'2.税率表'!$D$8</f>
        <v>0</v>
      </c>
      <c r="AF55" s="277">
        <f>AF148*'2.税率表'!$D$8</f>
        <v>0</v>
      </c>
      <c r="AG55" s="275">
        <f>AG148*'2.税率表'!$D$8</f>
        <v>0</v>
      </c>
      <c r="AH55" s="276">
        <f>AH148*'2.税率表'!$D$8</f>
        <v>0</v>
      </c>
      <c r="AI55" s="276">
        <f>AI148*'2.税率表'!$D$8</f>
        <v>0</v>
      </c>
      <c r="AJ55" s="277">
        <f>AJ148*'2.税率表'!$D$8</f>
        <v>0</v>
      </c>
      <c r="AK55" s="275">
        <f>AK148*'2.税率表'!$D$8</f>
        <v>0</v>
      </c>
      <c r="AL55" s="276">
        <f>AL148*'2.税率表'!$D$8</f>
        <v>0</v>
      </c>
      <c r="AM55" s="276">
        <f>AM148*'2.税率表'!$D$8</f>
        <v>0</v>
      </c>
      <c r="AN55" s="277">
        <f>AN148*'2.税率表'!$D$8</f>
        <v>0</v>
      </c>
      <c r="AO55" s="275">
        <f>AO148*'2.税率表'!$D$8</f>
        <v>0</v>
      </c>
      <c r="AP55" s="276">
        <f>AP148*'2.税率表'!$D$8</f>
        <v>0</v>
      </c>
      <c r="AQ55" s="276">
        <f>AQ148*'2.税率表'!$D$8</f>
        <v>0</v>
      </c>
      <c r="AR55" s="277">
        <f>AR148*'2.税率表'!$D$8</f>
        <v>0</v>
      </c>
      <c r="AS55" s="275">
        <f>AS148*'2.税率表'!$D$8</f>
        <v>0</v>
      </c>
      <c r="AT55" s="276">
        <f>AT148*'2.税率表'!$D$8</f>
        <v>0</v>
      </c>
      <c r="AU55" s="276">
        <f>AU148*'2.税率表'!$D$8</f>
        <v>0</v>
      </c>
      <c r="AV55" s="277">
        <f>AV148*'2.税率表'!$D$8</f>
        <v>0</v>
      </c>
    </row>
    <row r="56" spans="2:48" s="257" customFormat="1" ht="15.75" customHeight="1" outlineLevel="1">
      <c r="B56" s="1980"/>
      <c r="C56" s="303" t="str">
        <f>'8.项目规划指标表'!$B$14</f>
        <v>自持物业</v>
      </c>
      <c r="D56" s="274">
        <f t="shared" si="16"/>
        <v>0</v>
      </c>
      <c r="E56" s="275">
        <f>E149*'2.税率表'!$D$8</f>
        <v>0</v>
      </c>
      <c r="F56" s="276">
        <f>F149*'2.税率表'!$D$8</f>
        <v>0</v>
      </c>
      <c r="G56" s="276">
        <f>G149*'2.税率表'!$D$8</f>
        <v>0</v>
      </c>
      <c r="H56" s="277">
        <f>H149*'2.税率表'!$D$8</f>
        <v>0</v>
      </c>
      <c r="I56" s="275">
        <f>I149*'2.税率表'!$D$8</f>
        <v>0</v>
      </c>
      <c r="J56" s="276">
        <f>J149*'2.税率表'!$D$8</f>
        <v>0</v>
      </c>
      <c r="K56" s="276">
        <f>K149*'2.税率表'!$D$8</f>
        <v>0</v>
      </c>
      <c r="L56" s="277">
        <f>L149*'2.税率表'!$D$8</f>
        <v>0</v>
      </c>
      <c r="M56" s="275">
        <f>M149*'2.税率表'!$D$8</f>
        <v>0</v>
      </c>
      <c r="N56" s="276">
        <f>N149*'2.税率表'!$D$8</f>
        <v>0</v>
      </c>
      <c r="O56" s="276">
        <f>O149*'2.税率表'!$D$8</f>
        <v>0</v>
      </c>
      <c r="P56" s="277">
        <f>P149*'2.税率表'!$D$8</f>
        <v>0</v>
      </c>
      <c r="Q56" s="275">
        <f>Q149*'2.税率表'!$D$8</f>
        <v>0</v>
      </c>
      <c r="R56" s="276">
        <f>R149*'2.税率表'!$D$8</f>
        <v>0</v>
      </c>
      <c r="S56" s="276">
        <f>S149*'2.税率表'!$D$8</f>
        <v>0</v>
      </c>
      <c r="T56" s="277">
        <f>T149*'2.税率表'!$D$8</f>
        <v>0</v>
      </c>
      <c r="U56" s="275">
        <f>U149*'2.税率表'!$D$8</f>
        <v>0</v>
      </c>
      <c r="V56" s="276">
        <f>V149*'2.税率表'!$D$8</f>
        <v>0</v>
      </c>
      <c r="W56" s="276">
        <f>W149*'2.税率表'!$D$8</f>
        <v>0</v>
      </c>
      <c r="X56" s="277">
        <f>X149*'2.税率表'!$D$8</f>
        <v>0</v>
      </c>
      <c r="Y56" s="275">
        <f>Y149*'2.税率表'!$D$8</f>
        <v>0</v>
      </c>
      <c r="Z56" s="276">
        <f>Z149*'2.税率表'!$D$8</f>
        <v>0</v>
      </c>
      <c r="AA56" s="276">
        <f>AA149*'2.税率表'!$D$8</f>
        <v>0</v>
      </c>
      <c r="AB56" s="277">
        <f>AB149*'2.税率表'!$D$8</f>
        <v>0</v>
      </c>
      <c r="AC56" s="275">
        <f>AC149*'2.税率表'!$D$8</f>
        <v>0</v>
      </c>
      <c r="AD56" s="276">
        <f>AD149*'2.税率表'!$D$8</f>
        <v>0</v>
      </c>
      <c r="AE56" s="276">
        <f>AE149*'2.税率表'!$D$8</f>
        <v>0</v>
      </c>
      <c r="AF56" s="277">
        <f>AF149*'2.税率表'!$D$8</f>
        <v>0</v>
      </c>
      <c r="AG56" s="275">
        <f>AG149*'2.税率表'!$D$8</f>
        <v>0</v>
      </c>
      <c r="AH56" s="276">
        <f>AH149*'2.税率表'!$D$8</f>
        <v>0</v>
      </c>
      <c r="AI56" s="276">
        <f>AI149*'2.税率表'!$D$8</f>
        <v>0</v>
      </c>
      <c r="AJ56" s="277">
        <f>AJ149*'2.税率表'!$D$8</f>
        <v>0</v>
      </c>
      <c r="AK56" s="275">
        <f>AK149*'2.税率表'!$D$8</f>
        <v>0</v>
      </c>
      <c r="AL56" s="276">
        <f>AL149*'2.税率表'!$D$8</f>
        <v>0</v>
      </c>
      <c r="AM56" s="276">
        <f>AM149*'2.税率表'!$D$8</f>
        <v>0</v>
      </c>
      <c r="AN56" s="277">
        <f>AN149*'2.税率表'!$D$8</f>
        <v>0</v>
      </c>
      <c r="AO56" s="275">
        <f>AO149*'2.税率表'!$D$8</f>
        <v>0</v>
      </c>
      <c r="AP56" s="276">
        <f>AP149*'2.税率表'!$D$8</f>
        <v>0</v>
      </c>
      <c r="AQ56" s="276">
        <f>AQ149*'2.税率表'!$D$8</f>
        <v>0</v>
      </c>
      <c r="AR56" s="277">
        <f>AR149*'2.税率表'!$D$8</f>
        <v>0</v>
      </c>
      <c r="AS56" s="275">
        <f>AS149*'2.税率表'!$D$8</f>
        <v>0</v>
      </c>
      <c r="AT56" s="276">
        <f>AT149*'2.税率表'!$D$8</f>
        <v>0</v>
      </c>
      <c r="AU56" s="276">
        <f>AU149*'2.税率表'!$D$8</f>
        <v>0</v>
      </c>
      <c r="AV56" s="277">
        <f>AV149*'2.税率表'!$D$8</f>
        <v>0</v>
      </c>
    </row>
    <row r="57" spans="2:48" s="257" customFormat="1" ht="15.75" customHeight="1" outlineLevel="1">
      <c r="B57" s="1980"/>
      <c r="C57" s="303" t="str">
        <f>'8.项目规划指标表'!$B$18</f>
        <v>有产权车库(个)</v>
      </c>
      <c r="D57" s="274">
        <f t="shared" si="16"/>
        <v>0</v>
      </c>
      <c r="E57" s="275">
        <f>E150*'2.税率表'!$D$8</f>
        <v>0</v>
      </c>
      <c r="F57" s="276">
        <f>F150*'2.税率表'!$D$8</f>
        <v>0</v>
      </c>
      <c r="G57" s="276">
        <f>G150*'2.税率表'!$D$8</f>
        <v>0</v>
      </c>
      <c r="H57" s="277">
        <f>H150*'2.税率表'!$D$8</f>
        <v>0</v>
      </c>
      <c r="I57" s="275">
        <f>I150*'2.税率表'!$D$8</f>
        <v>0</v>
      </c>
      <c r="J57" s="276">
        <f>J150*'2.税率表'!$D$8</f>
        <v>0</v>
      </c>
      <c r="K57" s="276">
        <f>K150*'2.税率表'!$D$8</f>
        <v>0</v>
      </c>
      <c r="L57" s="277">
        <f>L150*'2.税率表'!$D$8</f>
        <v>0</v>
      </c>
      <c r="M57" s="275">
        <f>M150*'2.税率表'!$D$8</f>
        <v>0</v>
      </c>
      <c r="N57" s="276">
        <f>N150*'2.税率表'!$D$8</f>
        <v>0</v>
      </c>
      <c r="O57" s="276">
        <f>O150*'2.税率表'!$D$8</f>
        <v>0</v>
      </c>
      <c r="P57" s="277">
        <f>P150*'2.税率表'!$D$8</f>
        <v>0</v>
      </c>
      <c r="Q57" s="275">
        <f>Q150*'2.税率表'!$D$8</f>
        <v>0</v>
      </c>
      <c r="R57" s="276">
        <f>R150*'2.税率表'!$D$8</f>
        <v>0</v>
      </c>
      <c r="S57" s="276">
        <f>S150*'2.税率表'!$D$8</f>
        <v>0</v>
      </c>
      <c r="T57" s="277">
        <f>T150*'2.税率表'!$D$8</f>
        <v>0</v>
      </c>
      <c r="U57" s="275">
        <f>U150*'2.税率表'!$D$8</f>
        <v>0</v>
      </c>
      <c r="V57" s="276">
        <f>V150*'2.税率表'!$D$8</f>
        <v>0</v>
      </c>
      <c r="W57" s="276">
        <f>W150*'2.税率表'!$D$8</f>
        <v>0</v>
      </c>
      <c r="X57" s="277">
        <f>X150*'2.税率表'!$D$8</f>
        <v>0</v>
      </c>
      <c r="Y57" s="275">
        <f>Y150*'2.税率表'!$D$8</f>
        <v>0</v>
      </c>
      <c r="Z57" s="276">
        <f>Z150*'2.税率表'!$D$8</f>
        <v>0</v>
      </c>
      <c r="AA57" s="276">
        <f>AA150*'2.税率表'!$D$8</f>
        <v>0</v>
      </c>
      <c r="AB57" s="277">
        <f>AB150*'2.税率表'!$D$8</f>
        <v>0</v>
      </c>
      <c r="AC57" s="275">
        <f>AC150*'2.税率表'!$D$8</f>
        <v>0</v>
      </c>
      <c r="AD57" s="276">
        <f>AD150*'2.税率表'!$D$8</f>
        <v>0</v>
      </c>
      <c r="AE57" s="276">
        <f>AE150*'2.税率表'!$D$8</f>
        <v>0</v>
      </c>
      <c r="AF57" s="277">
        <f>AF150*'2.税率表'!$D$8</f>
        <v>0</v>
      </c>
      <c r="AG57" s="275">
        <f>AG150*'2.税率表'!$D$8</f>
        <v>0</v>
      </c>
      <c r="AH57" s="276">
        <f>AH150*'2.税率表'!$D$8</f>
        <v>0</v>
      </c>
      <c r="AI57" s="276">
        <f>AI150*'2.税率表'!$D$8</f>
        <v>0</v>
      </c>
      <c r="AJ57" s="277">
        <f>AJ150*'2.税率表'!$D$8</f>
        <v>0</v>
      </c>
      <c r="AK57" s="275">
        <f>AK150*'2.税率表'!$D$8</f>
        <v>0</v>
      </c>
      <c r="AL57" s="276">
        <f>AL150*'2.税率表'!$D$8</f>
        <v>0</v>
      </c>
      <c r="AM57" s="276">
        <f>AM150*'2.税率表'!$D$8</f>
        <v>0</v>
      </c>
      <c r="AN57" s="277">
        <f>AN150*'2.税率表'!$D$8</f>
        <v>0</v>
      </c>
      <c r="AO57" s="275">
        <f>AO150*'2.税率表'!$D$8</f>
        <v>0</v>
      </c>
      <c r="AP57" s="276">
        <f>AP150*'2.税率表'!$D$8</f>
        <v>0</v>
      </c>
      <c r="AQ57" s="276">
        <f>AQ150*'2.税率表'!$D$8</f>
        <v>0</v>
      </c>
      <c r="AR57" s="277">
        <f>AR150*'2.税率表'!$D$8</f>
        <v>0</v>
      </c>
      <c r="AS57" s="275">
        <f>AS150*'2.税率表'!$D$8</f>
        <v>0</v>
      </c>
      <c r="AT57" s="276">
        <f>AT150*'2.税率表'!$D$8</f>
        <v>0</v>
      </c>
      <c r="AU57" s="276">
        <f>AU150*'2.税率表'!$D$8</f>
        <v>0</v>
      </c>
      <c r="AV57" s="277">
        <f>AV150*'2.税率表'!$D$8</f>
        <v>0</v>
      </c>
    </row>
    <row r="58" spans="2:48" s="257" customFormat="1" ht="15.75" customHeight="1" outlineLevel="1">
      <c r="B58" s="1980"/>
      <c r="C58" s="303" t="str">
        <f>'8.项目规划指标表'!$B$19</f>
        <v>无产权车库(个)</v>
      </c>
      <c r="D58" s="274">
        <f t="shared" si="16"/>
        <v>0</v>
      </c>
      <c r="E58" s="275">
        <f>E151*'2.税率表'!$D$8</f>
        <v>0</v>
      </c>
      <c r="F58" s="276">
        <f>F151*'2.税率表'!$D$8</f>
        <v>0</v>
      </c>
      <c r="G58" s="276">
        <f>G151*'2.税率表'!$D$8</f>
        <v>0</v>
      </c>
      <c r="H58" s="277">
        <f>H151*'2.税率表'!$D$8</f>
        <v>0</v>
      </c>
      <c r="I58" s="275">
        <f>I151*'2.税率表'!$D$8</f>
        <v>0</v>
      </c>
      <c r="J58" s="276">
        <f>J151*'2.税率表'!$D$8</f>
        <v>0</v>
      </c>
      <c r="K58" s="276">
        <f>K151*'2.税率表'!$D$8</f>
        <v>0</v>
      </c>
      <c r="L58" s="277">
        <f>L151*'2.税率表'!$D$8</f>
        <v>0</v>
      </c>
      <c r="M58" s="275">
        <f>M151*'2.税率表'!$D$8</f>
        <v>0</v>
      </c>
      <c r="N58" s="276">
        <f>N151*'2.税率表'!$D$8</f>
        <v>0</v>
      </c>
      <c r="O58" s="276">
        <f>O151*'2.税率表'!$D$8</f>
        <v>0</v>
      </c>
      <c r="P58" s="277">
        <f>P151*'2.税率表'!$D$8</f>
        <v>0</v>
      </c>
      <c r="Q58" s="275">
        <f>Q151*'2.税率表'!$D$8</f>
        <v>0</v>
      </c>
      <c r="R58" s="276">
        <f>R151*'2.税率表'!$D$8</f>
        <v>0</v>
      </c>
      <c r="S58" s="276">
        <f>S151*'2.税率表'!$D$8</f>
        <v>0</v>
      </c>
      <c r="T58" s="277">
        <f>T151*'2.税率表'!$D$8</f>
        <v>0</v>
      </c>
      <c r="U58" s="275">
        <f>U151*'2.税率表'!$D$8</f>
        <v>0</v>
      </c>
      <c r="V58" s="276">
        <f>V151*'2.税率表'!$D$8</f>
        <v>0</v>
      </c>
      <c r="W58" s="276">
        <f>W151*'2.税率表'!$D$8</f>
        <v>0</v>
      </c>
      <c r="X58" s="277">
        <f>X151*'2.税率表'!$D$8</f>
        <v>0</v>
      </c>
      <c r="Y58" s="275">
        <f>Y151*'2.税率表'!$D$8</f>
        <v>0</v>
      </c>
      <c r="Z58" s="276">
        <f>Z151*'2.税率表'!$D$8</f>
        <v>0</v>
      </c>
      <c r="AA58" s="276">
        <f>AA151*'2.税率表'!$D$8</f>
        <v>0</v>
      </c>
      <c r="AB58" s="277">
        <f>AB151*'2.税率表'!$D$8</f>
        <v>0</v>
      </c>
      <c r="AC58" s="275">
        <f>AC151*'2.税率表'!$D$8</f>
        <v>0</v>
      </c>
      <c r="AD58" s="276">
        <f>AD151*'2.税率表'!$D$8</f>
        <v>0</v>
      </c>
      <c r="AE58" s="276">
        <f>AE151*'2.税率表'!$D$8</f>
        <v>0</v>
      </c>
      <c r="AF58" s="277">
        <f>AF151*'2.税率表'!$D$8</f>
        <v>0</v>
      </c>
      <c r="AG58" s="275">
        <f>AG151*'2.税率表'!$D$8</f>
        <v>0</v>
      </c>
      <c r="AH58" s="276">
        <f>AH151*'2.税率表'!$D$8</f>
        <v>0</v>
      </c>
      <c r="AI58" s="276">
        <f>AI151*'2.税率表'!$D$8</f>
        <v>0</v>
      </c>
      <c r="AJ58" s="277">
        <f>AJ151*'2.税率表'!$D$8</f>
        <v>0</v>
      </c>
      <c r="AK58" s="275">
        <f>AK151*'2.税率表'!$D$8</f>
        <v>0</v>
      </c>
      <c r="AL58" s="276">
        <f>AL151*'2.税率表'!$D$8</f>
        <v>0</v>
      </c>
      <c r="AM58" s="276">
        <f>AM151*'2.税率表'!$D$8</f>
        <v>0</v>
      </c>
      <c r="AN58" s="277">
        <f>AN151*'2.税率表'!$D$8</f>
        <v>0</v>
      </c>
      <c r="AO58" s="275">
        <f>AO151*'2.税率表'!$D$8</f>
        <v>0</v>
      </c>
      <c r="AP58" s="276">
        <f>AP151*'2.税率表'!$D$8</f>
        <v>0</v>
      </c>
      <c r="AQ58" s="276">
        <f>AQ151*'2.税率表'!$D$8</f>
        <v>0</v>
      </c>
      <c r="AR58" s="277">
        <f>AR151*'2.税率表'!$D$8</f>
        <v>0</v>
      </c>
      <c r="AS58" s="275">
        <f>AS151*'2.税率表'!$D$8</f>
        <v>0</v>
      </c>
      <c r="AT58" s="276">
        <f>AT151*'2.税率表'!$D$8</f>
        <v>0</v>
      </c>
      <c r="AU58" s="276">
        <f>AU151*'2.税率表'!$D$8</f>
        <v>0</v>
      </c>
      <c r="AV58" s="277">
        <f>AV151*'2.税率表'!$D$8</f>
        <v>0</v>
      </c>
    </row>
    <row r="59" spans="2:48" s="256" customFormat="1" ht="15.75" customHeight="1">
      <c r="B59" s="1980"/>
      <c r="C59" s="299" t="s">
        <v>21</v>
      </c>
      <c r="D59" s="300">
        <f t="shared" ref="D59:AV59" si="17">SUM(D60:D71)</f>
        <v>0</v>
      </c>
      <c r="E59" s="301">
        <f t="shared" si="17"/>
        <v>0</v>
      </c>
      <c r="F59" s="300">
        <f t="shared" si="17"/>
        <v>0</v>
      </c>
      <c r="G59" s="300">
        <f t="shared" si="17"/>
        <v>0</v>
      </c>
      <c r="H59" s="302">
        <f t="shared" si="17"/>
        <v>0</v>
      </c>
      <c r="I59" s="301">
        <f t="shared" si="17"/>
        <v>0</v>
      </c>
      <c r="J59" s="300">
        <f t="shared" si="17"/>
        <v>0</v>
      </c>
      <c r="K59" s="300">
        <f t="shared" si="17"/>
        <v>0</v>
      </c>
      <c r="L59" s="302">
        <f t="shared" si="17"/>
        <v>0</v>
      </c>
      <c r="M59" s="301">
        <f t="shared" si="17"/>
        <v>0</v>
      </c>
      <c r="N59" s="300">
        <f t="shared" si="17"/>
        <v>0</v>
      </c>
      <c r="O59" s="300">
        <f t="shared" si="17"/>
        <v>0</v>
      </c>
      <c r="P59" s="302">
        <f t="shared" si="17"/>
        <v>0</v>
      </c>
      <c r="Q59" s="301">
        <f t="shared" si="17"/>
        <v>0</v>
      </c>
      <c r="R59" s="300">
        <f t="shared" si="17"/>
        <v>0</v>
      </c>
      <c r="S59" s="300">
        <f t="shared" si="17"/>
        <v>0</v>
      </c>
      <c r="T59" s="302">
        <f t="shared" si="17"/>
        <v>0</v>
      </c>
      <c r="U59" s="301">
        <f t="shared" si="17"/>
        <v>0</v>
      </c>
      <c r="V59" s="300">
        <f t="shared" si="17"/>
        <v>0</v>
      </c>
      <c r="W59" s="300">
        <f t="shared" si="17"/>
        <v>0</v>
      </c>
      <c r="X59" s="302">
        <f t="shared" si="17"/>
        <v>0</v>
      </c>
      <c r="Y59" s="301">
        <f t="shared" si="17"/>
        <v>0</v>
      </c>
      <c r="Z59" s="300">
        <f t="shared" si="17"/>
        <v>0</v>
      </c>
      <c r="AA59" s="300">
        <f t="shared" si="17"/>
        <v>0</v>
      </c>
      <c r="AB59" s="302">
        <f t="shared" si="17"/>
        <v>0</v>
      </c>
      <c r="AC59" s="301">
        <f t="shared" si="17"/>
        <v>0</v>
      </c>
      <c r="AD59" s="300">
        <f t="shared" si="17"/>
        <v>0</v>
      </c>
      <c r="AE59" s="300">
        <f t="shared" si="17"/>
        <v>0</v>
      </c>
      <c r="AF59" s="302">
        <f t="shared" si="17"/>
        <v>0</v>
      </c>
      <c r="AG59" s="301">
        <f t="shared" si="17"/>
        <v>0</v>
      </c>
      <c r="AH59" s="300">
        <f t="shared" si="17"/>
        <v>0</v>
      </c>
      <c r="AI59" s="300">
        <f t="shared" si="17"/>
        <v>0</v>
      </c>
      <c r="AJ59" s="302">
        <f t="shared" si="17"/>
        <v>0</v>
      </c>
      <c r="AK59" s="301">
        <f t="shared" si="17"/>
        <v>0</v>
      </c>
      <c r="AL59" s="300">
        <f t="shared" si="17"/>
        <v>0</v>
      </c>
      <c r="AM59" s="300">
        <f t="shared" si="17"/>
        <v>0</v>
      </c>
      <c r="AN59" s="302">
        <f t="shared" si="17"/>
        <v>0</v>
      </c>
      <c r="AO59" s="301">
        <f t="shared" si="17"/>
        <v>0</v>
      </c>
      <c r="AP59" s="300">
        <f t="shared" si="17"/>
        <v>0</v>
      </c>
      <c r="AQ59" s="300">
        <f t="shared" si="17"/>
        <v>0</v>
      </c>
      <c r="AR59" s="302">
        <f t="shared" si="17"/>
        <v>0</v>
      </c>
      <c r="AS59" s="301">
        <f t="shared" si="17"/>
        <v>0</v>
      </c>
      <c r="AT59" s="300">
        <f t="shared" si="17"/>
        <v>0</v>
      </c>
      <c r="AU59" s="300">
        <f t="shared" si="17"/>
        <v>0</v>
      </c>
      <c r="AV59" s="302">
        <f t="shared" si="17"/>
        <v>0</v>
      </c>
    </row>
    <row r="60" spans="2:48" s="257" customFormat="1" ht="15.75" customHeight="1" outlineLevel="1">
      <c r="B60" s="1980"/>
      <c r="C60" s="303" t="str">
        <f>'8.项目规划指标表'!$B$5</f>
        <v>高层</v>
      </c>
      <c r="D60" s="274">
        <f>SUM(E60:AV60)</f>
        <v>0</v>
      </c>
      <c r="E60" s="275">
        <f>E153*'2.税率表'!$D$9</f>
        <v>0</v>
      </c>
      <c r="F60" s="276">
        <f>F153*'2.税率表'!$D$9</f>
        <v>0</v>
      </c>
      <c r="G60" s="276">
        <f>G153*'2.税率表'!$D$9</f>
        <v>0</v>
      </c>
      <c r="H60" s="277">
        <f>H153*'2.税率表'!$D$9</f>
        <v>0</v>
      </c>
      <c r="I60" s="275">
        <f>I153*'2.税率表'!$D$9</f>
        <v>0</v>
      </c>
      <c r="J60" s="276">
        <f>J153*'2.税率表'!$D$9</f>
        <v>0</v>
      </c>
      <c r="K60" s="276">
        <f>K153*'2.税率表'!$D$9</f>
        <v>0</v>
      </c>
      <c r="L60" s="277">
        <f>L153*'2.税率表'!$D$9</f>
        <v>0</v>
      </c>
      <c r="M60" s="275">
        <f>M153*'2.税率表'!$D$9</f>
        <v>0</v>
      </c>
      <c r="N60" s="276">
        <f>N153*'2.税率表'!$D$9</f>
        <v>0</v>
      </c>
      <c r="O60" s="276">
        <f>O153*'2.税率表'!$D$9</f>
        <v>0</v>
      </c>
      <c r="P60" s="277">
        <f>P153*'2.税率表'!$D$9</f>
        <v>0</v>
      </c>
      <c r="Q60" s="275">
        <f>Q153*'2.税率表'!$D$9</f>
        <v>0</v>
      </c>
      <c r="R60" s="276">
        <f>R153*'2.税率表'!$D$9</f>
        <v>0</v>
      </c>
      <c r="S60" s="276">
        <f>S153*'2.税率表'!$D$9</f>
        <v>0</v>
      </c>
      <c r="T60" s="277">
        <f>T153*'2.税率表'!$D$9</f>
        <v>0</v>
      </c>
      <c r="U60" s="275">
        <f>U153*'2.税率表'!$D$9</f>
        <v>0</v>
      </c>
      <c r="V60" s="276">
        <f>V153*'2.税率表'!$D$9</f>
        <v>0</v>
      </c>
      <c r="W60" s="276">
        <f>W153*'2.税率表'!$D$9</f>
        <v>0</v>
      </c>
      <c r="X60" s="277">
        <f>X153*'2.税率表'!$D$9</f>
        <v>0</v>
      </c>
      <c r="Y60" s="275">
        <f>Y153*'2.税率表'!$D$9</f>
        <v>0</v>
      </c>
      <c r="Z60" s="276">
        <f>Z153*'2.税率表'!$D$9</f>
        <v>0</v>
      </c>
      <c r="AA60" s="276">
        <f>AA153*'2.税率表'!$D$9</f>
        <v>0</v>
      </c>
      <c r="AB60" s="277">
        <f>AB153*'2.税率表'!$D$9</f>
        <v>0</v>
      </c>
      <c r="AC60" s="275">
        <f>AC153*'2.税率表'!$D$9</f>
        <v>0</v>
      </c>
      <c r="AD60" s="276">
        <f>AD153*'2.税率表'!$D$9</f>
        <v>0</v>
      </c>
      <c r="AE60" s="276">
        <f>AE153*'2.税率表'!$D$9</f>
        <v>0</v>
      </c>
      <c r="AF60" s="277">
        <f>AF153*'2.税率表'!$D$9</f>
        <v>0</v>
      </c>
      <c r="AG60" s="275">
        <f>AG153*'2.税率表'!$D$9</f>
        <v>0</v>
      </c>
      <c r="AH60" s="276">
        <f>AH153*'2.税率表'!$D$9</f>
        <v>0</v>
      </c>
      <c r="AI60" s="276">
        <f>AI153*'2.税率表'!$D$9</f>
        <v>0</v>
      </c>
      <c r="AJ60" s="277">
        <f>AJ153*'2.税率表'!$D$9</f>
        <v>0</v>
      </c>
      <c r="AK60" s="275">
        <f>AK153*'2.税率表'!$D$9</f>
        <v>0</v>
      </c>
      <c r="AL60" s="276">
        <f>AL153*'2.税率表'!$D$9</f>
        <v>0</v>
      </c>
      <c r="AM60" s="276">
        <f>AM153*'2.税率表'!$D$9</f>
        <v>0</v>
      </c>
      <c r="AN60" s="277">
        <f>AN153*'2.税率表'!$D$9</f>
        <v>0</v>
      </c>
      <c r="AO60" s="275">
        <f>AO153*'2.税率表'!$D$9</f>
        <v>0</v>
      </c>
      <c r="AP60" s="276">
        <f>AP153*'2.税率表'!$D$9</f>
        <v>0</v>
      </c>
      <c r="AQ60" s="276">
        <f>AQ153*'2.税率表'!$D$9</f>
        <v>0</v>
      </c>
      <c r="AR60" s="277">
        <f>AR153*'2.税率表'!$D$9</f>
        <v>0</v>
      </c>
      <c r="AS60" s="275">
        <f>AS153*'2.税率表'!$D$9</f>
        <v>0</v>
      </c>
      <c r="AT60" s="276">
        <f>AT153*'2.税率表'!$D$9</f>
        <v>0</v>
      </c>
      <c r="AU60" s="276">
        <f>AU153*'2.税率表'!$D$9</f>
        <v>0</v>
      </c>
      <c r="AV60" s="277">
        <f>AV153*'2.税率表'!$D$9</f>
        <v>0</v>
      </c>
    </row>
    <row r="61" spans="2:48" s="257" customFormat="1" ht="15.75" customHeight="1" outlineLevel="1">
      <c r="B61" s="1980"/>
      <c r="C61" s="303" t="str">
        <f>'8.项目规划指标表'!$B$6</f>
        <v>商铺</v>
      </c>
      <c r="D61" s="274">
        <f t="shared" ref="D61:D71" si="18">SUM(E61:AV61)</f>
        <v>0</v>
      </c>
      <c r="E61" s="275">
        <f>E154*'2.税率表'!$D$9</f>
        <v>0</v>
      </c>
      <c r="F61" s="276">
        <f>F154*'2.税率表'!$D$9</f>
        <v>0</v>
      </c>
      <c r="G61" s="276">
        <f>G154*'2.税率表'!$D$9</f>
        <v>0</v>
      </c>
      <c r="H61" s="277">
        <f>H154*'2.税率表'!$D$9</f>
        <v>0</v>
      </c>
      <c r="I61" s="275">
        <f>I154*'2.税率表'!$D$9</f>
        <v>0</v>
      </c>
      <c r="J61" s="276">
        <f>J154*'2.税率表'!$D$9</f>
        <v>0</v>
      </c>
      <c r="K61" s="276">
        <f>K154*'2.税率表'!$D$9</f>
        <v>0</v>
      </c>
      <c r="L61" s="277">
        <f>L154*'2.税率表'!$D$9</f>
        <v>0</v>
      </c>
      <c r="M61" s="275">
        <f>M154*'2.税率表'!$D$9</f>
        <v>0</v>
      </c>
      <c r="N61" s="276">
        <f>N154*'2.税率表'!$D$9</f>
        <v>0</v>
      </c>
      <c r="O61" s="276">
        <f>O154*'2.税率表'!$D$9</f>
        <v>0</v>
      </c>
      <c r="P61" s="277">
        <f>P154*'2.税率表'!$D$9</f>
        <v>0</v>
      </c>
      <c r="Q61" s="275">
        <f>Q154*'2.税率表'!$D$9</f>
        <v>0</v>
      </c>
      <c r="R61" s="276">
        <f>R154*'2.税率表'!$D$9</f>
        <v>0</v>
      </c>
      <c r="S61" s="276">
        <f>S154*'2.税率表'!$D$9</f>
        <v>0</v>
      </c>
      <c r="T61" s="277">
        <f>T154*'2.税率表'!$D$9</f>
        <v>0</v>
      </c>
      <c r="U61" s="275">
        <f>U154*'2.税率表'!$D$9</f>
        <v>0</v>
      </c>
      <c r="V61" s="276">
        <f>V154*'2.税率表'!$D$9</f>
        <v>0</v>
      </c>
      <c r="W61" s="276">
        <f>W154*'2.税率表'!$D$9</f>
        <v>0</v>
      </c>
      <c r="X61" s="277">
        <f>X154*'2.税率表'!$D$9</f>
        <v>0</v>
      </c>
      <c r="Y61" s="275">
        <f>Y154*'2.税率表'!$D$9</f>
        <v>0</v>
      </c>
      <c r="Z61" s="276">
        <f>Z154*'2.税率表'!$D$9</f>
        <v>0</v>
      </c>
      <c r="AA61" s="276">
        <f>AA154*'2.税率表'!$D$9</f>
        <v>0</v>
      </c>
      <c r="AB61" s="277">
        <f>AB154*'2.税率表'!$D$9</f>
        <v>0</v>
      </c>
      <c r="AC61" s="275">
        <f>AC154*'2.税率表'!$D$9</f>
        <v>0</v>
      </c>
      <c r="AD61" s="276">
        <f>AD154*'2.税率表'!$D$9</f>
        <v>0</v>
      </c>
      <c r="AE61" s="276">
        <f>AE154*'2.税率表'!$D$9</f>
        <v>0</v>
      </c>
      <c r="AF61" s="277">
        <f>AF154*'2.税率表'!$D$9</f>
        <v>0</v>
      </c>
      <c r="AG61" s="275">
        <f>AG154*'2.税率表'!$D$9</f>
        <v>0</v>
      </c>
      <c r="AH61" s="276">
        <f>AH154*'2.税率表'!$D$9</f>
        <v>0</v>
      </c>
      <c r="AI61" s="276">
        <f>AI154*'2.税率表'!$D$9</f>
        <v>0</v>
      </c>
      <c r="AJ61" s="277">
        <f>AJ154*'2.税率表'!$D$9</f>
        <v>0</v>
      </c>
      <c r="AK61" s="275">
        <f>AK154*'2.税率表'!$D$9</f>
        <v>0</v>
      </c>
      <c r="AL61" s="276">
        <f>AL154*'2.税率表'!$D$9</f>
        <v>0</v>
      </c>
      <c r="AM61" s="276">
        <f>AM154*'2.税率表'!$D$9</f>
        <v>0</v>
      </c>
      <c r="AN61" s="277">
        <f>AN154*'2.税率表'!$D$9</f>
        <v>0</v>
      </c>
      <c r="AO61" s="275">
        <f>AO154*'2.税率表'!$D$9</f>
        <v>0</v>
      </c>
      <c r="AP61" s="276">
        <f>AP154*'2.税率表'!$D$9</f>
        <v>0</v>
      </c>
      <c r="AQ61" s="276">
        <f>AQ154*'2.税率表'!$D$9</f>
        <v>0</v>
      </c>
      <c r="AR61" s="277">
        <f>AR154*'2.税率表'!$D$9</f>
        <v>0</v>
      </c>
      <c r="AS61" s="275">
        <f>AS154*'2.税率表'!$D$9</f>
        <v>0</v>
      </c>
      <c r="AT61" s="276">
        <f>AT154*'2.税率表'!$D$9</f>
        <v>0</v>
      </c>
      <c r="AU61" s="276">
        <f>AU154*'2.税率表'!$D$9</f>
        <v>0</v>
      </c>
      <c r="AV61" s="277">
        <f>AV154*'2.税率表'!$D$9</f>
        <v>0</v>
      </c>
    </row>
    <row r="62" spans="2:48" s="257" customFormat="1" ht="15.75" customHeight="1" outlineLevel="1">
      <c r="B62" s="1980"/>
      <c r="C62" s="303" t="str">
        <f>'8.项目规划指标表'!$B$7</f>
        <v>回迁商业</v>
      </c>
      <c r="D62" s="274">
        <f t="shared" si="18"/>
        <v>0</v>
      </c>
      <c r="E62" s="275">
        <f>E155*'2.税率表'!$D$9</f>
        <v>0</v>
      </c>
      <c r="F62" s="276">
        <f>F155*'2.税率表'!$D$9</f>
        <v>0</v>
      </c>
      <c r="G62" s="276">
        <f>G155*'2.税率表'!$D$9</f>
        <v>0</v>
      </c>
      <c r="H62" s="277">
        <f>H155*'2.税率表'!$D$9</f>
        <v>0</v>
      </c>
      <c r="I62" s="275">
        <f>I155*'2.税率表'!$D$9</f>
        <v>0</v>
      </c>
      <c r="J62" s="276">
        <f>J155*'2.税率表'!$D$9</f>
        <v>0</v>
      </c>
      <c r="K62" s="276">
        <f>K155*'2.税率表'!$D$9</f>
        <v>0</v>
      </c>
      <c r="L62" s="277">
        <f>L155*'2.税率表'!$D$9</f>
        <v>0</v>
      </c>
      <c r="M62" s="275">
        <f>M155*'2.税率表'!$D$9</f>
        <v>0</v>
      </c>
      <c r="N62" s="276">
        <f>N155*'2.税率表'!$D$9</f>
        <v>0</v>
      </c>
      <c r="O62" s="276">
        <f>O155*'2.税率表'!$D$9</f>
        <v>0</v>
      </c>
      <c r="P62" s="277">
        <f>P155*'2.税率表'!$D$9</f>
        <v>0</v>
      </c>
      <c r="Q62" s="275">
        <f>Q155*'2.税率表'!$D$9</f>
        <v>0</v>
      </c>
      <c r="R62" s="276">
        <f>R155*'2.税率表'!$D$9</f>
        <v>0</v>
      </c>
      <c r="S62" s="276">
        <f>S155*'2.税率表'!$D$9</f>
        <v>0</v>
      </c>
      <c r="T62" s="277">
        <f>T155*'2.税率表'!$D$9</f>
        <v>0</v>
      </c>
      <c r="U62" s="275">
        <f>U155*'2.税率表'!$D$9</f>
        <v>0</v>
      </c>
      <c r="V62" s="276">
        <f>V155*'2.税率表'!$D$9</f>
        <v>0</v>
      </c>
      <c r="W62" s="276">
        <f>W155*'2.税率表'!$D$9</f>
        <v>0</v>
      </c>
      <c r="X62" s="277">
        <f>X155*'2.税率表'!$D$9</f>
        <v>0</v>
      </c>
      <c r="Y62" s="275">
        <f>Y155*'2.税率表'!$D$9</f>
        <v>0</v>
      </c>
      <c r="Z62" s="276">
        <f>Z155*'2.税率表'!$D$9</f>
        <v>0</v>
      </c>
      <c r="AA62" s="276">
        <f>AA155*'2.税率表'!$D$9</f>
        <v>0</v>
      </c>
      <c r="AB62" s="277">
        <f>AB155*'2.税率表'!$D$9</f>
        <v>0</v>
      </c>
      <c r="AC62" s="275">
        <f>AC155*'2.税率表'!$D$9</f>
        <v>0</v>
      </c>
      <c r="AD62" s="276">
        <f>AD155*'2.税率表'!$D$9</f>
        <v>0</v>
      </c>
      <c r="AE62" s="276">
        <f>AE155*'2.税率表'!$D$9</f>
        <v>0</v>
      </c>
      <c r="AF62" s="277">
        <f>AF155*'2.税率表'!$D$9</f>
        <v>0</v>
      </c>
      <c r="AG62" s="275">
        <f>AG155*'2.税率表'!$D$9</f>
        <v>0</v>
      </c>
      <c r="AH62" s="276">
        <f>AH155*'2.税率表'!$D$9</f>
        <v>0</v>
      </c>
      <c r="AI62" s="276">
        <f>AI155*'2.税率表'!$D$9</f>
        <v>0</v>
      </c>
      <c r="AJ62" s="277">
        <f>AJ155*'2.税率表'!$D$9</f>
        <v>0</v>
      </c>
      <c r="AK62" s="275">
        <f>AK155*'2.税率表'!$D$9</f>
        <v>0</v>
      </c>
      <c r="AL62" s="276">
        <f>AL155*'2.税率表'!$D$9</f>
        <v>0</v>
      </c>
      <c r="AM62" s="276">
        <f>AM155*'2.税率表'!$D$9</f>
        <v>0</v>
      </c>
      <c r="AN62" s="277">
        <f>AN155*'2.税率表'!$D$9</f>
        <v>0</v>
      </c>
      <c r="AO62" s="275">
        <f>AO155*'2.税率表'!$D$9</f>
        <v>0</v>
      </c>
      <c r="AP62" s="276">
        <f>AP155*'2.税率表'!$D$9</f>
        <v>0</v>
      </c>
      <c r="AQ62" s="276">
        <f>AQ155*'2.税率表'!$D$9</f>
        <v>0</v>
      </c>
      <c r="AR62" s="277">
        <f>AR155*'2.税率表'!$D$9</f>
        <v>0</v>
      </c>
      <c r="AS62" s="275">
        <f>AS155*'2.税率表'!$D$9</f>
        <v>0</v>
      </c>
      <c r="AT62" s="276">
        <f>AT155*'2.税率表'!$D$9</f>
        <v>0</v>
      </c>
      <c r="AU62" s="276">
        <f>AU155*'2.税率表'!$D$9</f>
        <v>0</v>
      </c>
      <c r="AV62" s="277">
        <f>AV155*'2.税率表'!$D$9</f>
        <v>0</v>
      </c>
    </row>
    <row r="63" spans="2:48" s="257" customFormat="1" ht="15.75" customHeight="1" outlineLevel="1">
      <c r="B63" s="1980"/>
      <c r="C63" s="303">
        <f>'8.项目规划指标表'!$B$8</f>
        <v>0</v>
      </c>
      <c r="D63" s="274">
        <f t="shared" si="18"/>
        <v>0</v>
      </c>
      <c r="E63" s="275">
        <f>E156*'2.税率表'!$D$9</f>
        <v>0</v>
      </c>
      <c r="F63" s="276">
        <f>F156*'2.税率表'!$D$9</f>
        <v>0</v>
      </c>
      <c r="G63" s="276">
        <f>G156*'2.税率表'!$D$9</f>
        <v>0</v>
      </c>
      <c r="H63" s="277">
        <f>H156*'2.税率表'!$D$9</f>
        <v>0</v>
      </c>
      <c r="I63" s="275">
        <f>I156*'2.税率表'!$D$9</f>
        <v>0</v>
      </c>
      <c r="J63" s="276">
        <f>J156*'2.税率表'!$D$9</f>
        <v>0</v>
      </c>
      <c r="K63" s="276">
        <f>K156*'2.税率表'!$D$9</f>
        <v>0</v>
      </c>
      <c r="L63" s="277">
        <f>L156*'2.税率表'!$D$9</f>
        <v>0</v>
      </c>
      <c r="M63" s="275">
        <f>M156*'2.税率表'!$D$9</f>
        <v>0</v>
      </c>
      <c r="N63" s="276">
        <f>N156*'2.税率表'!$D$9</f>
        <v>0</v>
      </c>
      <c r="O63" s="276">
        <f>O156*'2.税率表'!$D$9</f>
        <v>0</v>
      </c>
      <c r="P63" s="277">
        <f>P156*'2.税率表'!$D$9</f>
        <v>0</v>
      </c>
      <c r="Q63" s="275">
        <f>Q156*'2.税率表'!$D$9</f>
        <v>0</v>
      </c>
      <c r="R63" s="276">
        <f>R156*'2.税率表'!$D$9</f>
        <v>0</v>
      </c>
      <c r="S63" s="276">
        <f>S156*'2.税率表'!$D$9</f>
        <v>0</v>
      </c>
      <c r="T63" s="277">
        <f>T156*'2.税率表'!$D$9</f>
        <v>0</v>
      </c>
      <c r="U63" s="275">
        <f>U156*'2.税率表'!$D$9</f>
        <v>0</v>
      </c>
      <c r="V63" s="276">
        <f>V156*'2.税率表'!$D$9</f>
        <v>0</v>
      </c>
      <c r="W63" s="276">
        <f>W156*'2.税率表'!$D$9</f>
        <v>0</v>
      </c>
      <c r="X63" s="277">
        <f>X156*'2.税率表'!$D$9</f>
        <v>0</v>
      </c>
      <c r="Y63" s="275">
        <f>Y156*'2.税率表'!$D$9</f>
        <v>0</v>
      </c>
      <c r="Z63" s="276">
        <f>Z156*'2.税率表'!$D$9</f>
        <v>0</v>
      </c>
      <c r="AA63" s="276">
        <f>AA156*'2.税率表'!$D$9</f>
        <v>0</v>
      </c>
      <c r="AB63" s="277">
        <f>AB156*'2.税率表'!$D$9</f>
        <v>0</v>
      </c>
      <c r="AC63" s="275">
        <f>AC156*'2.税率表'!$D$9</f>
        <v>0</v>
      </c>
      <c r="AD63" s="276">
        <f>AD156*'2.税率表'!$D$9</f>
        <v>0</v>
      </c>
      <c r="AE63" s="276">
        <f>AE156*'2.税率表'!$D$9</f>
        <v>0</v>
      </c>
      <c r="AF63" s="277">
        <f>AF156*'2.税率表'!$D$9</f>
        <v>0</v>
      </c>
      <c r="AG63" s="275">
        <f>AG156*'2.税率表'!$D$9</f>
        <v>0</v>
      </c>
      <c r="AH63" s="276">
        <f>AH156*'2.税率表'!$D$9</f>
        <v>0</v>
      </c>
      <c r="AI63" s="276">
        <f>AI156*'2.税率表'!$D$9</f>
        <v>0</v>
      </c>
      <c r="AJ63" s="277">
        <f>AJ156*'2.税率表'!$D$9</f>
        <v>0</v>
      </c>
      <c r="AK63" s="275">
        <f>AK156*'2.税率表'!$D$9</f>
        <v>0</v>
      </c>
      <c r="AL63" s="276">
        <f>AL156*'2.税率表'!$D$9</f>
        <v>0</v>
      </c>
      <c r="AM63" s="276">
        <f>AM156*'2.税率表'!$D$9</f>
        <v>0</v>
      </c>
      <c r="AN63" s="277">
        <f>AN156*'2.税率表'!$D$9</f>
        <v>0</v>
      </c>
      <c r="AO63" s="275">
        <f>AO156*'2.税率表'!$D$9</f>
        <v>0</v>
      </c>
      <c r="AP63" s="276">
        <f>AP156*'2.税率表'!$D$9</f>
        <v>0</v>
      </c>
      <c r="AQ63" s="276">
        <f>AQ156*'2.税率表'!$D$9</f>
        <v>0</v>
      </c>
      <c r="AR63" s="277">
        <f>AR156*'2.税率表'!$D$9</f>
        <v>0</v>
      </c>
      <c r="AS63" s="275">
        <f>AS156*'2.税率表'!$D$9</f>
        <v>0</v>
      </c>
      <c r="AT63" s="276">
        <f>AT156*'2.税率表'!$D$9</f>
        <v>0</v>
      </c>
      <c r="AU63" s="276">
        <f>AU156*'2.税率表'!$D$9</f>
        <v>0</v>
      </c>
      <c r="AV63" s="277">
        <f>AV156*'2.税率表'!$D$9</f>
        <v>0</v>
      </c>
    </row>
    <row r="64" spans="2:48" s="257" customFormat="1" ht="15.75" customHeight="1" outlineLevel="1">
      <c r="B64" s="1980"/>
      <c r="C64" s="303">
        <f>'8.项目规划指标表'!$B$9</f>
        <v>0</v>
      </c>
      <c r="D64" s="274">
        <f t="shared" si="18"/>
        <v>0</v>
      </c>
      <c r="E64" s="275">
        <f>E157*'2.税率表'!$D$9</f>
        <v>0</v>
      </c>
      <c r="F64" s="276">
        <f>F157*'2.税率表'!$D$9</f>
        <v>0</v>
      </c>
      <c r="G64" s="276">
        <f>G157*'2.税率表'!$D$9</f>
        <v>0</v>
      </c>
      <c r="H64" s="277">
        <f>H157*'2.税率表'!$D$9</f>
        <v>0</v>
      </c>
      <c r="I64" s="275">
        <f>I157*'2.税率表'!$D$9</f>
        <v>0</v>
      </c>
      <c r="J64" s="276">
        <f>J157*'2.税率表'!$D$9</f>
        <v>0</v>
      </c>
      <c r="K64" s="276">
        <f>K157*'2.税率表'!$D$9</f>
        <v>0</v>
      </c>
      <c r="L64" s="277">
        <f>L157*'2.税率表'!$D$9</f>
        <v>0</v>
      </c>
      <c r="M64" s="275">
        <f>M157*'2.税率表'!$D$9</f>
        <v>0</v>
      </c>
      <c r="N64" s="276">
        <f>N157*'2.税率表'!$D$9</f>
        <v>0</v>
      </c>
      <c r="O64" s="276">
        <f>O157*'2.税率表'!$D$9</f>
        <v>0</v>
      </c>
      <c r="P64" s="277">
        <f>P157*'2.税率表'!$D$9</f>
        <v>0</v>
      </c>
      <c r="Q64" s="275">
        <f>Q157*'2.税率表'!$D$9</f>
        <v>0</v>
      </c>
      <c r="R64" s="276">
        <f>R157*'2.税率表'!$D$9</f>
        <v>0</v>
      </c>
      <c r="S64" s="276">
        <f>S157*'2.税率表'!$D$9</f>
        <v>0</v>
      </c>
      <c r="T64" s="277">
        <f>T157*'2.税率表'!$D$9</f>
        <v>0</v>
      </c>
      <c r="U64" s="275">
        <f>U157*'2.税率表'!$D$9</f>
        <v>0</v>
      </c>
      <c r="V64" s="276">
        <f>V157*'2.税率表'!$D$9</f>
        <v>0</v>
      </c>
      <c r="W64" s="276">
        <f>W157*'2.税率表'!$D$9</f>
        <v>0</v>
      </c>
      <c r="X64" s="277">
        <f>X157*'2.税率表'!$D$9</f>
        <v>0</v>
      </c>
      <c r="Y64" s="275">
        <f>Y157*'2.税率表'!$D$9</f>
        <v>0</v>
      </c>
      <c r="Z64" s="276">
        <f>Z157*'2.税率表'!$D$9</f>
        <v>0</v>
      </c>
      <c r="AA64" s="276">
        <f>AA157*'2.税率表'!$D$9</f>
        <v>0</v>
      </c>
      <c r="AB64" s="277">
        <f>AB157*'2.税率表'!$D$9</f>
        <v>0</v>
      </c>
      <c r="AC64" s="275">
        <f>AC157*'2.税率表'!$D$9</f>
        <v>0</v>
      </c>
      <c r="AD64" s="276">
        <f>AD157*'2.税率表'!$D$9</f>
        <v>0</v>
      </c>
      <c r="AE64" s="276">
        <f>AE157*'2.税率表'!$D$9</f>
        <v>0</v>
      </c>
      <c r="AF64" s="277">
        <f>AF157*'2.税率表'!$D$9</f>
        <v>0</v>
      </c>
      <c r="AG64" s="275">
        <f>AG157*'2.税率表'!$D$9</f>
        <v>0</v>
      </c>
      <c r="AH64" s="276">
        <f>AH157*'2.税率表'!$D$9</f>
        <v>0</v>
      </c>
      <c r="AI64" s="276">
        <f>AI157*'2.税率表'!$D$9</f>
        <v>0</v>
      </c>
      <c r="AJ64" s="277">
        <f>AJ157*'2.税率表'!$D$9</f>
        <v>0</v>
      </c>
      <c r="AK64" s="275">
        <f>AK157*'2.税率表'!$D$9</f>
        <v>0</v>
      </c>
      <c r="AL64" s="276">
        <f>AL157*'2.税率表'!$D$9</f>
        <v>0</v>
      </c>
      <c r="AM64" s="276">
        <f>AM157*'2.税率表'!$D$9</f>
        <v>0</v>
      </c>
      <c r="AN64" s="277">
        <f>AN157*'2.税率表'!$D$9</f>
        <v>0</v>
      </c>
      <c r="AO64" s="275">
        <f>AO157*'2.税率表'!$D$9</f>
        <v>0</v>
      </c>
      <c r="AP64" s="276">
        <f>AP157*'2.税率表'!$D$9</f>
        <v>0</v>
      </c>
      <c r="AQ64" s="276">
        <f>AQ157*'2.税率表'!$D$9</f>
        <v>0</v>
      </c>
      <c r="AR64" s="277">
        <f>AR157*'2.税率表'!$D$9</f>
        <v>0</v>
      </c>
      <c r="AS64" s="275">
        <f>AS157*'2.税率表'!$D$9</f>
        <v>0</v>
      </c>
      <c r="AT64" s="276">
        <f>AT157*'2.税率表'!$D$9</f>
        <v>0</v>
      </c>
      <c r="AU64" s="276">
        <f>AU157*'2.税率表'!$D$9</f>
        <v>0</v>
      </c>
      <c r="AV64" s="277">
        <f>AV157*'2.税率表'!$D$9</f>
        <v>0</v>
      </c>
    </row>
    <row r="65" spans="2:48" s="257" customFormat="1" ht="15.75" customHeight="1" outlineLevel="1">
      <c r="B65" s="1980"/>
      <c r="C65" s="303">
        <f>'8.项目规划指标表'!$B$10</f>
        <v>0</v>
      </c>
      <c r="D65" s="274">
        <f t="shared" si="18"/>
        <v>0</v>
      </c>
      <c r="E65" s="275">
        <f>E158*'2.税率表'!$D$9</f>
        <v>0</v>
      </c>
      <c r="F65" s="276">
        <f>F158*'2.税率表'!$D$9</f>
        <v>0</v>
      </c>
      <c r="G65" s="276">
        <f>G158*'2.税率表'!$D$9</f>
        <v>0</v>
      </c>
      <c r="H65" s="277">
        <f>H158*'2.税率表'!$D$9</f>
        <v>0</v>
      </c>
      <c r="I65" s="275">
        <f>I158*'2.税率表'!$D$9</f>
        <v>0</v>
      </c>
      <c r="J65" s="276">
        <f>J158*'2.税率表'!$D$9</f>
        <v>0</v>
      </c>
      <c r="K65" s="276">
        <f>K158*'2.税率表'!$D$9</f>
        <v>0</v>
      </c>
      <c r="L65" s="277">
        <f>L158*'2.税率表'!$D$9</f>
        <v>0</v>
      </c>
      <c r="M65" s="275">
        <f>M158*'2.税率表'!$D$9</f>
        <v>0</v>
      </c>
      <c r="N65" s="276">
        <f>N158*'2.税率表'!$D$9</f>
        <v>0</v>
      </c>
      <c r="O65" s="276">
        <f>O158*'2.税率表'!$D$9</f>
        <v>0</v>
      </c>
      <c r="P65" s="277">
        <f>P158*'2.税率表'!$D$9</f>
        <v>0</v>
      </c>
      <c r="Q65" s="275">
        <f>Q158*'2.税率表'!$D$9</f>
        <v>0</v>
      </c>
      <c r="R65" s="276">
        <f>R158*'2.税率表'!$D$9</f>
        <v>0</v>
      </c>
      <c r="S65" s="276">
        <f>S158*'2.税率表'!$D$9</f>
        <v>0</v>
      </c>
      <c r="T65" s="277">
        <f>T158*'2.税率表'!$D$9</f>
        <v>0</v>
      </c>
      <c r="U65" s="275">
        <f>U158*'2.税率表'!$D$9</f>
        <v>0</v>
      </c>
      <c r="V65" s="276">
        <f>V158*'2.税率表'!$D$9</f>
        <v>0</v>
      </c>
      <c r="W65" s="276">
        <f>W158*'2.税率表'!$D$9</f>
        <v>0</v>
      </c>
      <c r="X65" s="277">
        <f>X158*'2.税率表'!$D$9</f>
        <v>0</v>
      </c>
      <c r="Y65" s="275">
        <f>Y158*'2.税率表'!$D$9</f>
        <v>0</v>
      </c>
      <c r="Z65" s="276">
        <f>Z158*'2.税率表'!$D$9</f>
        <v>0</v>
      </c>
      <c r="AA65" s="276">
        <f>AA158*'2.税率表'!$D$9</f>
        <v>0</v>
      </c>
      <c r="AB65" s="277">
        <f>AB158*'2.税率表'!$D$9</f>
        <v>0</v>
      </c>
      <c r="AC65" s="275">
        <f>AC158*'2.税率表'!$D$9</f>
        <v>0</v>
      </c>
      <c r="AD65" s="276">
        <f>AD158*'2.税率表'!$D$9</f>
        <v>0</v>
      </c>
      <c r="AE65" s="276">
        <f>AE158*'2.税率表'!$D$9</f>
        <v>0</v>
      </c>
      <c r="AF65" s="277">
        <f>AF158*'2.税率表'!$D$9</f>
        <v>0</v>
      </c>
      <c r="AG65" s="275">
        <f>AG158*'2.税率表'!$D$9</f>
        <v>0</v>
      </c>
      <c r="AH65" s="276">
        <f>AH158*'2.税率表'!$D$9</f>
        <v>0</v>
      </c>
      <c r="AI65" s="276">
        <f>AI158*'2.税率表'!$D$9</f>
        <v>0</v>
      </c>
      <c r="AJ65" s="277">
        <f>AJ158*'2.税率表'!$D$9</f>
        <v>0</v>
      </c>
      <c r="AK65" s="275">
        <f>AK158*'2.税率表'!$D$9</f>
        <v>0</v>
      </c>
      <c r="AL65" s="276">
        <f>AL158*'2.税率表'!$D$9</f>
        <v>0</v>
      </c>
      <c r="AM65" s="276">
        <f>AM158*'2.税率表'!$D$9</f>
        <v>0</v>
      </c>
      <c r="AN65" s="277">
        <f>AN158*'2.税率表'!$D$9</f>
        <v>0</v>
      </c>
      <c r="AO65" s="275">
        <f>AO158*'2.税率表'!$D$9</f>
        <v>0</v>
      </c>
      <c r="AP65" s="276">
        <f>AP158*'2.税率表'!$D$9</f>
        <v>0</v>
      </c>
      <c r="AQ65" s="276">
        <f>AQ158*'2.税率表'!$D$9</f>
        <v>0</v>
      </c>
      <c r="AR65" s="277">
        <f>AR158*'2.税率表'!$D$9</f>
        <v>0</v>
      </c>
      <c r="AS65" s="275">
        <f>AS158*'2.税率表'!$D$9</f>
        <v>0</v>
      </c>
      <c r="AT65" s="276">
        <f>AT158*'2.税率表'!$D$9</f>
        <v>0</v>
      </c>
      <c r="AU65" s="276">
        <f>AU158*'2.税率表'!$D$9</f>
        <v>0</v>
      </c>
      <c r="AV65" s="277">
        <f>AV158*'2.税率表'!$D$9</f>
        <v>0</v>
      </c>
    </row>
    <row r="66" spans="2:48" s="257" customFormat="1" ht="15.75" customHeight="1" outlineLevel="1">
      <c r="B66" s="1980"/>
      <c r="C66" s="303">
        <f>'8.项目规划指标表'!$B$11</f>
        <v>0</v>
      </c>
      <c r="D66" s="274">
        <f t="shared" si="18"/>
        <v>0</v>
      </c>
      <c r="E66" s="275">
        <f>E159*'2.税率表'!$D$9</f>
        <v>0</v>
      </c>
      <c r="F66" s="276">
        <f>F159*'2.税率表'!$D$9</f>
        <v>0</v>
      </c>
      <c r="G66" s="276">
        <f>G159*'2.税率表'!$D$9</f>
        <v>0</v>
      </c>
      <c r="H66" s="277">
        <f>H159*'2.税率表'!$D$9</f>
        <v>0</v>
      </c>
      <c r="I66" s="275">
        <f>I159*'2.税率表'!$D$9</f>
        <v>0</v>
      </c>
      <c r="J66" s="276">
        <f>J159*'2.税率表'!$D$9</f>
        <v>0</v>
      </c>
      <c r="K66" s="276">
        <f>K159*'2.税率表'!$D$9</f>
        <v>0</v>
      </c>
      <c r="L66" s="277">
        <f>L159*'2.税率表'!$D$9</f>
        <v>0</v>
      </c>
      <c r="M66" s="275">
        <f>M159*'2.税率表'!$D$9</f>
        <v>0</v>
      </c>
      <c r="N66" s="276">
        <f>N159*'2.税率表'!$D$9</f>
        <v>0</v>
      </c>
      <c r="O66" s="276">
        <f>O159*'2.税率表'!$D$9</f>
        <v>0</v>
      </c>
      <c r="P66" s="277">
        <f>P159*'2.税率表'!$D$9</f>
        <v>0</v>
      </c>
      <c r="Q66" s="275">
        <f>Q159*'2.税率表'!$D$9</f>
        <v>0</v>
      </c>
      <c r="R66" s="276">
        <f>R159*'2.税率表'!$D$9</f>
        <v>0</v>
      </c>
      <c r="S66" s="276">
        <f>S159*'2.税率表'!$D$9</f>
        <v>0</v>
      </c>
      <c r="T66" s="277">
        <f>T159*'2.税率表'!$D$9</f>
        <v>0</v>
      </c>
      <c r="U66" s="275">
        <f>U159*'2.税率表'!$D$9</f>
        <v>0</v>
      </c>
      <c r="V66" s="276">
        <f>V159*'2.税率表'!$D$9</f>
        <v>0</v>
      </c>
      <c r="W66" s="276">
        <f>W159*'2.税率表'!$D$9</f>
        <v>0</v>
      </c>
      <c r="X66" s="277">
        <f>X159*'2.税率表'!$D$9</f>
        <v>0</v>
      </c>
      <c r="Y66" s="275">
        <f>Y159*'2.税率表'!$D$9</f>
        <v>0</v>
      </c>
      <c r="Z66" s="276">
        <f>Z159*'2.税率表'!$D$9</f>
        <v>0</v>
      </c>
      <c r="AA66" s="276">
        <f>AA159*'2.税率表'!$D$9</f>
        <v>0</v>
      </c>
      <c r="AB66" s="277">
        <f>AB159*'2.税率表'!$D$9</f>
        <v>0</v>
      </c>
      <c r="AC66" s="275">
        <f>AC159*'2.税率表'!$D$9</f>
        <v>0</v>
      </c>
      <c r="AD66" s="276">
        <f>AD159*'2.税率表'!$D$9</f>
        <v>0</v>
      </c>
      <c r="AE66" s="276">
        <f>AE159*'2.税率表'!$D$9</f>
        <v>0</v>
      </c>
      <c r="AF66" s="277">
        <f>AF159*'2.税率表'!$D$9</f>
        <v>0</v>
      </c>
      <c r="AG66" s="275">
        <f>AG159*'2.税率表'!$D$9</f>
        <v>0</v>
      </c>
      <c r="AH66" s="276">
        <f>AH159*'2.税率表'!$D$9</f>
        <v>0</v>
      </c>
      <c r="AI66" s="276">
        <f>AI159*'2.税率表'!$D$9</f>
        <v>0</v>
      </c>
      <c r="AJ66" s="277">
        <f>AJ159*'2.税率表'!$D$9</f>
        <v>0</v>
      </c>
      <c r="AK66" s="275">
        <f>AK159*'2.税率表'!$D$9</f>
        <v>0</v>
      </c>
      <c r="AL66" s="276">
        <f>AL159*'2.税率表'!$D$9</f>
        <v>0</v>
      </c>
      <c r="AM66" s="276">
        <f>AM159*'2.税率表'!$D$9</f>
        <v>0</v>
      </c>
      <c r="AN66" s="277">
        <f>AN159*'2.税率表'!$D$9</f>
        <v>0</v>
      </c>
      <c r="AO66" s="275">
        <f>AO159*'2.税率表'!$D$9</f>
        <v>0</v>
      </c>
      <c r="AP66" s="276">
        <f>AP159*'2.税率表'!$D$9</f>
        <v>0</v>
      </c>
      <c r="AQ66" s="276">
        <f>AQ159*'2.税率表'!$D$9</f>
        <v>0</v>
      </c>
      <c r="AR66" s="277">
        <f>AR159*'2.税率表'!$D$9</f>
        <v>0</v>
      </c>
      <c r="AS66" s="275">
        <f>AS159*'2.税率表'!$D$9</f>
        <v>0</v>
      </c>
      <c r="AT66" s="276">
        <f>AT159*'2.税率表'!$D$9</f>
        <v>0</v>
      </c>
      <c r="AU66" s="276">
        <f>AU159*'2.税率表'!$D$9</f>
        <v>0</v>
      </c>
      <c r="AV66" s="277">
        <f>AV159*'2.税率表'!$D$9</f>
        <v>0</v>
      </c>
    </row>
    <row r="67" spans="2:48" s="257" customFormat="1" ht="15.75" customHeight="1" outlineLevel="1">
      <c r="B67" s="1980"/>
      <c r="C67" s="303">
        <f>'8.项目规划指标表'!$B$12</f>
        <v>0</v>
      </c>
      <c r="D67" s="274">
        <f t="shared" si="18"/>
        <v>0</v>
      </c>
      <c r="E67" s="275">
        <f>E160*'2.税率表'!$D$9</f>
        <v>0</v>
      </c>
      <c r="F67" s="276">
        <f>F160*'2.税率表'!$D$9</f>
        <v>0</v>
      </c>
      <c r="G67" s="276">
        <f>G160*'2.税率表'!$D$9</f>
        <v>0</v>
      </c>
      <c r="H67" s="277">
        <f>H160*'2.税率表'!$D$9</f>
        <v>0</v>
      </c>
      <c r="I67" s="275">
        <f>I160*'2.税率表'!$D$9</f>
        <v>0</v>
      </c>
      <c r="J67" s="276">
        <f>J160*'2.税率表'!$D$9</f>
        <v>0</v>
      </c>
      <c r="K67" s="276">
        <f>K160*'2.税率表'!$D$9</f>
        <v>0</v>
      </c>
      <c r="L67" s="277">
        <f>L160*'2.税率表'!$D$9</f>
        <v>0</v>
      </c>
      <c r="M67" s="275">
        <f>M160*'2.税率表'!$D$9</f>
        <v>0</v>
      </c>
      <c r="N67" s="276">
        <f>N160*'2.税率表'!$D$9</f>
        <v>0</v>
      </c>
      <c r="O67" s="276">
        <f>O160*'2.税率表'!$D$9</f>
        <v>0</v>
      </c>
      <c r="P67" s="277">
        <f>P160*'2.税率表'!$D$9</f>
        <v>0</v>
      </c>
      <c r="Q67" s="275">
        <f>Q160*'2.税率表'!$D$9</f>
        <v>0</v>
      </c>
      <c r="R67" s="276">
        <f>R160*'2.税率表'!$D$9</f>
        <v>0</v>
      </c>
      <c r="S67" s="276">
        <f>S160*'2.税率表'!$D$9</f>
        <v>0</v>
      </c>
      <c r="T67" s="277">
        <f>T160*'2.税率表'!$D$9</f>
        <v>0</v>
      </c>
      <c r="U67" s="275">
        <f>U160*'2.税率表'!$D$9</f>
        <v>0</v>
      </c>
      <c r="V67" s="276">
        <f>V160*'2.税率表'!$D$9</f>
        <v>0</v>
      </c>
      <c r="W67" s="276">
        <f>W160*'2.税率表'!$D$9</f>
        <v>0</v>
      </c>
      <c r="X67" s="277">
        <f>X160*'2.税率表'!$D$9</f>
        <v>0</v>
      </c>
      <c r="Y67" s="275">
        <f>Y160*'2.税率表'!$D$9</f>
        <v>0</v>
      </c>
      <c r="Z67" s="276">
        <f>Z160*'2.税率表'!$D$9</f>
        <v>0</v>
      </c>
      <c r="AA67" s="276">
        <f>AA160*'2.税率表'!$D$9</f>
        <v>0</v>
      </c>
      <c r="AB67" s="277">
        <f>AB160*'2.税率表'!$D$9</f>
        <v>0</v>
      </c>
      <c r="AC67" s="275">
        <f>AC160*'2.税率表'!$D$9</f>
        <v>0</v>
      </c>
      <c r="AD67" s="276">
        <f>AD160*'2.税率表'!$D$9</f>
        <v>0</v>
      </c>
      <c r="AE67" s="276">
        <f>AE160*'2.税率表'!$D$9</f>
        <v>0</v>
      </c>
      <c r="AF67" s="277">
        <f>AF160*'2.税率表'!$D$9</f>
        <v>0</v>
      </c>
      <c r="AG67" s="275">
        <f>AG160*'2.税率表'!$D$9</f>
        <v>0</v>
      </c>
      <c r="AH67" s="276">
        <f>AH160*'2.税率表'!$D$9</f>
        <v>0</v>
      </c>
      <c r="AI67" s="276">
        <f>AI160*'2.税率表'!$D$9</f>
        <v>0</v>
      </c>
      <c r="AJ67" s="277">
        <f>AJ160*'2.税率表'!$D$9</f>
        <v>0</v>
      </c>
      <c r="AK67" s="275">
        <f>AK160*'2.税率表'!$D$9</f>
        <v>0</v>
      </c>
      <c r="AL67" s="276">
        <f>AL160*'2.税率表'!$D$9</f>
        <v>0</v>
      </c>
      <c r="AM67" s="276">
        <f>AM160*'2.税率表'!$D$9</f>
        <v>0</v>
      </c>
      <c r="AN67" s="277">
        <f>AN160*'2.税率表'!$D$9</f>
        <v>0</v>
      </c>
      <c r="AO67" s="275">
        <f>AO160*'2.税率表'!$D$9</f>
        <v>0</v>
      </c>
      <c r="AP67" s="276">
        <f>AP160*'2.税率表'!$D$9</f>
        <v>0</v>
      </c>
      <c r="AQ67" s="276">
        <f>AQ160*'2.税率表'!$D$9</f>
        <v>0</v>
      </c>
      <c r="AR67" s="277">
        <f>AR160*'2.税率表'!$D$9</f>
        <v>0</v>
      </c>
      <c r="AS67" s="275">
        <f>AS160*'2.税率表'!$D$9</f>
        <v>0</v>
      </c>
      <c r="AT67" s="276">
        <f>AT160*'2.税率表'!$D$9</f>
        <v>0</v>
      </c>
      <c r="AU67" s="276">
        <f>AU160*'2.税率表'!$D$9</f>
        <v>0</v>
      </c>
      <c r="AV67" s="277">
        <f>AV160*'2.税率表'!$D$9</f>
        <v>0</v>
      </c>
    </row>
    <row r="68" spans="2:48" s="257" customFormat="1" ht="15.75" customHeight="1" outlineLevel="1">
      <c r="B68" s="1980"/>
      <c r="C68" s="303">
        <f>'8.项目规划指标表'!$B$13</f>
        <v>0</v>
      </c>
      <c r="D68" s="274">
        <f t="shared" si="18"/>
        <v>0</v>
      </c>
      <c r="E68" s="275">
        <f>E161*'2.税率表'!$D$9</f>
        <v>0</v>
      </c>
      <c r="F68" s="276">
        <f>F161*'2.税率表'!$D$9</f>
        <v>0</v>
      </c>
      <c r="G68" s="276">
        <f>G161*'2.税率表'!$D$9</f>
        <v>0</v>
      </c>
      <c r="H68" s="277">
        <f>H161*'2.税率表'!$D$9</f>
        <v>0</v>
      </c>
      <c r="I68" s="275">
        <f>I161*'2.税率表'!$D$9</f>
        <v>0</v>
      </c>
      <c r="J68" s="276">
        <f>J161*'2.税率表'!$D$9</f>
        <v>0</v>
      </c>
      <c r="K68" s="276">
        <f>K161*'2.税率表'!$D$9</f>
        <v>0</v>
      </c>
      <c r="L68" s="277">
        <f>L161*'2.税率表'!$D$9</f>
        <v>0</v>
      </c>
      <c r="M68" s="275">
        <f>M161*'2.税率表'!$D$9</f>
        <v>0</v>
      </c>
      <c r="N68" s="276">
        <f>N161*'2.税率表'!$D$9</f>
        <v>0</v>
      </c>
      <c r="O68" s="276">
        <f>O161*'2.税率表'!$D$9</f>
        <v>0</v>
      </c>
      <c r="P68" s="277">
        <f>P161*'2.税率表'!$D$9</f>
        <v>0</v>
      </c>
      <c r="Q68" s="275">
        <f>Q161*'2.税率表'!$D$9</f>
        <v>0</v>
      </c>
      <c r="R68" s="276">
        <f>R161*'2.税率表'!$D$9</f>
        <v>0</v>
      </c>
      <c r="S68" s="276">
        <f>S161*'2.税率表'!$D$9</f>
        <v>0</v>
      </c>
      <c r="T68" s="277">
        <f>T161*'2.税率表'!$D$9</f>
        <v>0</v>
      </c>
      <c r="U68" s="275">
        <f>U161*'2.税率表'!$D$9</f>
        <v>0</v>
      </c>
      <c r="V68" s="276">
        <f>V161*'2.税率表'!$D$9</f>
        <v>0</v>
      </c>
      <c r="W68" s="276">
        <f>W161*'2.税率表'!$D$9</f>
        <v>0</v>
      </c>
      <c r="X68" s="277">
        <f>X161*'2.税率表'!$D$9</f>
        <v>0</v>
      </c>
      <c r="Y68" s="275">
        <f>Y161*'2.税率表'!$D$9</f>
        <v>0</v>
      </c>
      <c r="Z68" s="276">
        <f>Z161*'2.税率表'!$D$9</f>
        <v>0</v>
      </c>
      <c r="AA68" s="276">
        <f>AA161*'2.税率表'!$D$9</f>
        <v>0</v>
      </c>
      <c r="AB68" s="277">
        <f>AB161*'2.税率表'!$D$9</f>
        <v>0</v>
      </c>
      <c r="AC68" s="275">
        <f>AC161*'2.税率表'!$D$9</f>
        <v>0</v>
      </c>
      <c r="AD68" s="276">
        <f>AD161*'2.税率表'!$D$9</f>
        <v>0</v>
      </c>
      <c r="AE68" s="276">
        <f>AE161*'2.税率表'!$D$9</f>
        <v>0</v>
      </c>
      <c r="AF68" s="277">
        <f>AF161*'2.税率表'!$D$9</f>
        <v>0</v>
      </c>
      <c r="AG68" s="275">
        <f>AG161*'2.税率表'!$D$9</f>
        <v>0</v>
      </c>
      <c r="AH68" s="276">
        <f>AH161*'2.税率表'!$D$9</f>
        <v>0</v>
      </c>
      <c r="AI68" s="276">
        <f>AI161*'2.税率表'!$D$9</f>
        <v>0</v>
      </c>
      <c r="AJ68" s="277">
        <f>AJ161*'2.税率表'!$D$9</f>
        <v>0</v>
      </c>
      <c r="AK68" s="275">
        <f>AK161*'2.税率表'!$D$9</f>
        <v>0</v>
      </c>
      <c r="AL68" s="276">
        <f>AL161*'2.税率表'!$D$9</f>
        <v>0</v>
      </c>
      <c r="AM68" s="276">
        <f>AM161*'2.税率表'!$D$9</f>
        <v>0</v>
      </c>
      <c r="AN68" s="277">
        <f>AN161*'2.税率表'!$D$9</f>
        <v>0</v>
      </c>
      <c r="AO68" s="275">
        <f>AO161*'2.税率表'!$D$9</f>
        <v>0</v>
      </c>
      <c r="AP68" s="276">
        <f>AP161*'2.税率表'!$D$9</f>
        <v>0</v>
      </c>
      <c r="AQ68" s="276">
        <f>AQ161*'2.税率表'!$D$9</f>
        <v>0</v>
      </c>
      <c r="AR68" s="277">
        <f>AR161*'2.税率表'!$D$9</f>
        <v>0</v>
      </c>
      <c r="AS68" s="275">
        <f>AS161*'2.税率表'!$D$9</f>
        <v>0</v>
      </c>
      <c r="AT68" s="276">
        <f>AT161*'2.税率表'!$D$9</f>
        <v>0</v>
      </c>
      <c r="AU68" s="276">
        <f>AU161*'2.税率表'!$D$9</f>
        <v>0</v>
      </c>
      <c r="AV68" s="277">
        <f>AV161*'2.税率表'!$D$9</f>
        <v>0</v>
      </c>
    </row>
    <row r="69" spans="2:48" s="257" customFormat="1" ht="15.75" customHeight="1" outlineLevel="1">
      <c r="B69" s="1980"/>
      <c r="C69" s="303" t="str">
        <f>'8.项目规划指标表'!$B$14</f>
        <v>自持物业</v>
      </c>
      <c r="D69" s="274">
        <f t="shared" si="18"/>
        <v>0</v>
      </c>
      <c r="E69" s="275">
        <f>E162*'2.税率表'!$D$9</f>
        <v>0</v>
      </c>
      <c r="F69" s="276">
        <f>F162*'2.税率表'!$D$9</f>
        <v>0</v>
      </c>
      <c r="G69" s="276">
        <f>G162*'2.税率表'!$D$9</f>
        <v>0</v>
      </c>
      <c r="H69" s="277">
        <f>H162*'2.税率表'!$D$9</f>
        <v>0</v>
      </c>
      <c r="I69" s="275">
        <f>I162*'2.税率表'!$D$9</f>
        <v>0</v>
      </c>
      <c r="J69" s="276">
        <f>J162*'2.税率表'!$D$9</f>
        <v>0</v>
      </c>
      <c r="K69" s="276">
        <f>K162*'2.税率表'!$D$9</f>
        <v>0</v>
      </c>
      <c r="L69" s="277">
        <f>L162*'2.税率表'!$D$9</f>
        <v>0</v>
      </c>
      <c r="M69" s="275">
        <f>M162*'2.税率表'!$D$9</f>
        <v>0</v>
      </c>
      <c r="N69" s="276">
        <f>N162*'2.税率表'!$D$9</f>
        <v>0</v>
      </c>
      <c r="O69" s="276">
        <f>O162*'2.税率表'!$D$9</f>
        <v>0</v>
      </c>
      <c r="P69" s="277">
        <f>P162*'2.税率表'!$D$9</f>
        <v>0</v>
      </c>
      <c r="Q69" s="275">
        <f>Q162*'2.税率表'!$D$9</f>
        <v>0</v>
      </c>
      <c r="R69" s="276">
        <f>R162*'2.税率表'!$D$9</f>
        <v>0</v>
      </c>
      <c r="S69" s="276">
        <f>S162*'2.税率表'!$D$9</f>
        <v>0</v>
      </c>
      <c r="T69" s="277">
        <f>T162*'2.税率表'!$D$9</f>
        <v>0</v>
      </c>
      <c r="U69" s="275">
        <f>U162*'2.税率表'!$D$9</f>
        <v>0</v>
      </c>
      <c r="V69" s="276">
        <f>V162*'2.税率表'!$D$9</f>
        <v>0</v>
      </c>
      <c r="W69" s="276">
        <f>W162*'2.税率表'!$D$9</f>
        <v>0</v>
      </c>
      <c r="X69" s="277">
        <f>X162*'2.税率表'!$D$9</f>
        <v>0</v>
      </c>
      <c r="Y69" s="275">
        <f>Y162*'2.税率表'!$D$9</f>
        <v>0</v>
      </c>
      <c r="Z69" s="276">
        <f>Z162*'2.税率表'!$D$9</f>
        <v>0</v>
      </c>
      <c r="AA69" s="276">
        <f>AA162*'2.税率表'!$D$9</f>
        <v>0</v>
      </c>
      <c r="AB69" s="277">
        <f>AB162*'2.税率表'!$D$9</f>
        <v>0</v>
      </c>
      <c r="AC69" s="275">
        <f>AC162*'2.税率表'!$D$9</f>
        <v>0</v>
      </c>
      <c r="AD69" s="276">
        <f>AD162*'2.税率表'!$D$9</f>
        <v>0</v>
      </c>
      <c r="AE69" s="276">
        <f>AE162*'2.税率表'!$D$9</f>
        <v>0</v>
      </c>
      <c r="AF69" s="277">
        <f>AF162*'2.税率表'!$D$9</f>
        <v>0</v>
      </c>
      <c r="AG69" s="275">
        <f>AG162*'2.税率表'!$D$9</f>
        <v>0</v>
      </c>
      <c r="AH69" s="276">
        <f>AH162*'2.税率表'!$D$9</f>
        <v>0</v>
      </c>
      <c r="AI69" s="276">
        <f>AI162*'2.税率表'!$D$9</f>
        <v>0</v>
      </c>
      <c r="AJ69" s="277">
        <f>AJ162*'2.税率表'!$D$9</f>
        <v>0</v>
      </c>
      <c r="AK69" s="275">
        <f>AK162*'2.税率表'!$D$9</f>
        <v>0</v>
      </c>
      <c r="AL69" s="276">
        <f>AL162*'2.税率表'!$D$9</f>
        <v>0</v>
      </c>
      <c r="AM69" s="276">
        <f>AM162*'2.税率表'!$D$9</f>
        <v>0</v>
      </c>
      <c r="AN69" s="277">
        <f>AN162*'2.税率表'!$D$9</f>
        <v>0</v>
      </c>
      <c r="AO69" s="275">
        <f>AO162*'2.税率表'!$D$9</f>
        <v>0</v>
      </c>
      <c r="AP69" s="276">
        <f>AP162*'2.税率表'!$D$9</f>
        <v>0</v>
      </c>
      <c r="AQ69" s="276">
        <f>AQ162*'2.税率表'!$D$9</f>
        <v>0</v>
      </c>
      <c r="AR69" s="277">
        <f>AR162*'2.税率表'!$D$9</f>
        <v>0</v>
      </c>
      <c r="AS69" s="275">
        <f>AS162*'2.税率表'!$D$9</f>
        <v>0</v>
      </c>
      <c r="AT69" s="276">
        <f>AT162*'2.税率表'!$D$9</f>
        <v>0</v>
      </c>
      <c r="AU69" s="276">
        <f>AU162*'2.税率表'!$D$9</f>
        <v>0</v>
      </c>
      <c r="AV69" s="277">
        <f>AV162*'2.税率表'!$D$9</f>
        <v>0</v>
      </c>
    </row>
    <row r="70" spans="2:48" s="257" customFormat="1" ht="15.75" customHeight="1" outlineLevel="1">
      <c r="B70" s="1980"/>
      <c r="C70" s="303" t="str">
        <f>'8.项目规划指标表'!$B$18</f>
        <v>有产权车库(个)</v>
      </c>
      <c r="D70" s="274">
        <f t="shared" si="18"/>
        <v>0</v>
      </c>
      <c r="E70" s="275">
        <f>E163*'2.税率表'!$D$9</f>
        <v>0</v>
      </c>
      <c r="F70" s="276">
        <f>F163*'2.税率表'!$D$9</f>
        <v>0</v>
      </c>
      <c r="G70" s="276">
        <f>G163*'2.税率表'!$D$9</f>
        <v>0</v>
      </c>
      <c r="H70" s="277">
        <f>H163*'2.税率表'!$D$9</f>
        <v>0</v>
      </c>
      <c r="I70" s="275">
        <f>I163*'2.税率表'!$D$9</f>
        <v>0</v>
      </c>
      <c r="J70" s="276">
        <f>J163*'2.税率表'!$D$9</f>
        <v>0</v>
      </c>
      <c r="K70" s="276">
        <f>K163*'2.税率表'!$D$9</f>
        <v>0</v>
      </c>
      <c r="L70" s="277">
        <f>L163*'2.税率表'!$D$9</f>
        <v>0</v>
      </c>
      <c r="M70" s="275">
        <f>M163*'2.税率表'!$D$9</f>
        <v>0</v>
      </c>
      <c r="N70" s="276">
        <f>N163*'2.税率表'!$D$9</f>
        <v>0</v>
      </c>
      <c r="O70" s="276">
        <f>O163*'2.税率表'!$D$9</f>
        <v>0</v>
      </c>
      <c r="P70" s="277">
        <f>P163*'2.税率表'!$D$9</f>
        <v>0</v>
      </c>
      <c r="Q70" s="275">
        <f>Q163*'2.税率表'!$D$9</f>
        <v>0</v>
      </c>
      <c r="R70" s="276">
        <f>R163*'2.税率表'!$D$9</f>
        <v>0</v>
      </c>
      <c r="S70" s="276">
        <f>S163*'2.税率表'!$D$9</f>
        <v>0</v>
      </c>
      <c r="T70" s="277">
        <f>T163*'2.税率表'!$D$9</f>
        <v>0</v>
      </c>
      <c r="U70" s="275">
        <f>U163*'2.税率表'!$D$9</f>
        <v>0</v>
      </c>
      <c r="V70" s="276">
        <f>V163*'2.税率表'!$D$9</f>
        <v>0</v>
      </c>
      <c r="W70" s="276">
        <f>W163*'2.税率表'!$D$9</f>
        <v>0</v>
      </c>
      <c r="X70" s="277">
        <f>X163*'2.税率表'!$D$9</f>
        <v>0</v>
      </c>
      <c r="Y70" s="275">
        <f>Y163*'2.税率表'!$D$9</f>
        <v>0</v>
      </c>
      <c r="Z70" s="276">
        <f>Z163*'2.税率表'!$D$9</f>
        <v>0</v>
      </c>
      <c r="AA70" s="276">
        <f>AA163*'2.税率表'!$D$9</f>
        <v>0</v>
      </c>
      <c r="AB70" s="277">
        <f>AB163*'2.税率表'!$D$9</f>
        <v>0</v>
      </c>
      <c r="AC70" s="275">
        <f>AC163*'2.税率表'!$D$9</f>
        <v>0</v>
      </c>
      <c r="AD70" s="276">
        <f>AD163*'2.税率表'!$D$9</f>
        <v>0</v>
      </c>
      <c r="AE70" s="276">
        <f>AE163*'2.税率表'!$D$9</f>
        <v>0</v>
      </c>
      <c r="AF70" s="277">
        <f>AF163*'2.税率表'!$D$9</f>
        <v>0</v>
      </c>
      <c r="AG70" s="275">
        <f>AG163*'2.税率表'!$D$9</f>
        <v>0</v>
      </c>
      <c r="AH70" s="276">
        <f>AH163*'2.税率表'!$D$9</f>
        <v>0</v>
      </c>
      <c r="AI70" s="276">
        <f>AI163*'2.税率表'!$D$9</f>
        <v>0</v>
      </c>
      <c r="AJ70" s="277">
        <f>AJ163*'2.税率表'!$D$9</f>
        <v>0</v>
      </c>
      <c r="AK70" s="275">
        <f>AK163*'2.税率表'!$D$9</f>
        <v>0</v>
      </c>
      <c r="AL70" s="276">
        <f>AL163*'2.税率表'!$D$9</f>
        <v>0</v>
      </c>
      <c r="AM70" s="276">
        <f>AM163*'2.税率表'!$D$9</f>
        <v>0</v>
      </c>
      <c r="AN70" s="277">
        <f>AN163*'2.税率表'!$D$9</f>
        <v>0</v>
      </c>
      <c r="AO70" s="275">
        <f>AO163*'2.税率表'!$D$9</f>
        <v>0</v>
      </c>
      <c r="AP70" s="276">
        <f>AP163*'2.税率表'!$D$9</f>
        <v>0</v>
      </c>
      <c r="AQ70" s="276">
        <f>AQ163*'2.税率表'!$D$9</f>
        <v>0</v>
      </c>
      <c r="AR70" s="277">
        <f>AR163*'2.税率表'!$D$9</f>
        <v>0</v>
      </c>
      <c r="AS70" s="275">
        <f>AS163*'2.税率表'!$D$9</f>
        <v>0</v>
      </c>
      <c r="AT70" s="276">
        <f>AT163*'2.税率表'!$D$9</f>
        <v>0</v>
      </c>
      <c r="AU70" s="276">
        <f>AU163*'2.税率表'!$D$9</f>
        <v>0</v>
      </c>
      <c r="AV70" s="277">
        <f>AV163*'2.税率表'!$D$9</f>
        <v>0</v>
      </c>
    </row>
    <row r="71" spans="2:48" s="257" customFormat="1" ht="15.75" customHeight="1" outlineLevel="1">
      <c r="B71" s="1980"/>
      <c r="C71" s="303" t="str">
        <f>'8.项目规划指标表'!$B$19</f>
        <v>无产权车库(个)</v>
      </c>
      <c r="D71" s="274">
        <f t="shared" si="18"/>
        <v>0</v>
      </c>
      <c r="E71" s="275">
        <f>E164*'2.税率表'!$D$9</f>
        <v>0</v>
      </c>
      <c r="F71" s="276">
        <f>F164*'2.税率表'!$D$9</f>
        <v>0</v>
      </c>
      <c r="G71" s="276">
        <f>G164*'2.税率表'!$D$9</f>
        <v>0</v>
      </c>
      <c r="H71" s="277">
        <f>H164*'2.税率表'!$D$9</f>
        <v>0</v>
      </c>
      <c r="I71" s="275">
        <f>I164*'2.税率表'!$D$9</f>
        <v>0</v>
      </c>
      <c r="J71" s="276">
        <f>J164*'2.税率表'!$D$9</f>
        <v>0</v>
      </c>
      <c r="K71" s="276">
        <f>K164*'2.税率表'!$D$9</f>
        <v>0</v>
      </c>
      <c r="L71" s="277">
        <f>L164*'2.税率表'!$D$9</f>
        <v>0</v>
      </c>
      <c r="M71" s="275">
        <f>M164*'2.税率表'!$D$9</f>
        <v>0</v>
      </c>
      <c r="N71" s="276">
        <f>N164*'2.税率表'!$D$9</f>
        <v>0</v>
      </c>
      <c r="O71" s="276">
        <f>O164*'2.税率表'!$D$9</f>
        <v>0</v>
      </c>
      <c r="P71" s="277">
        <f>P164*'2.税率表'!$D$9</f>
        <v>0</v>
      </c>
      <c r="Q71" s="275">
        <f>Q164*'2.税率表'!$D$9</f>
        <v>0</v>
      </c>
      <c r="R71" s="276">
        <f>R164*'2.税率表'!$D$9</f>
        <v>0</v>
      </c>
      <c r="S71" s="276">
        <f>S164*'2.税率表'!$D$9</f>
        <v>0</v>
      </c>
      <c r="T71" s="277">
        <f>T164*'2.税率表'!$D$9</f>
        <v>0</v>
      </c>
      <c r="U71" s="275">
        <f>U164*'2.税率表'!$D$9</f>
        <v>0</v>
      </c>
      <c r="V71" s="276">
        <f>V164*'2.税率表'!$D$9</f>
        <v>0</v>
      </c>
      <c r="W71" s="276">
        <f>W164*'2.税率表'!$D$9</f>
        <v>0</v>
      </c>
      <c r="X71" s="277">
        <f>X164*'2.税率表'!$D$9</f>
        <v>0</v>
      </c>
      <c r="Y71" s="275">
        <f>Y164*'2.税率表'!$D$9</f>
        <v>0</v>
      </c>
      <c r="Z71" s="276">
        <f>Z164*'2.税率表'!$D$9</f>
        <v>0</v>
      </c>
      <c r="AA71" s="276">
        <f>AA164*'2.税率表'!$D$9</f>
        <v>0</v>
      </c>
      <c r="AB71" s="277">
        <f>AB164*'2.税率表'!$D$9</f>
        <v>0</v>
      </c>
      <c r="AC71" s="275">
        <f>AC164*'2.税率表'!$D$9</f>
        <v>0</v>
      </c>
      <c r="AD71" s="276">
        <f>AD164*'2.税率表'!$D$9</f>
        <v>0</v>
      </c>
      <c r="AE71" s="276">
        <f>AE164*'2.税率表'!$D$9</f>
        <v>0</v>
      </c>
      <c r="AF71" s="277">
        <f>AF164*'2.税率表'!$D$9</f>
        <v>0</v>
      </c>
      <c r="AG71" s="275">
        <f>AG164*'2.税率表'!$D$9</f>
        <v>0</v>
      </c>
      <c r="AH71" s="276">
        <f>AH164*'2.税率表'!$D$9</f>
        <v>0</v>
      </c>
      <c r="AI71" s="276">
        <f>AI164*'2.税率表'!$D$9</f>
        <v>0</v>
      </c>
      <c r="AJ71" s="277">
        <f>AJ164*'2.税率表'!$D$9</f>
        <v>0</v>
      </c>
      <c r="AK71" s="275">
        <f>AK164*'2.税率表'!$D$9</f>
        <v>0</v>
      </c>
      <c r="AL71" s="276">
        <f>AL164*'2.税率表'!$D$9</f>
        <v>0</v>
      </c>
      <c r="AM71" s="276">
        <f>AM164*'2.税率表'!$D$9</f>
        <v>0</v>
      </c>
      <c r="AN71" s="277">
        <f>AN164*'2.税率表'!$D$9</f>
        <v>0</v>
      </c>
      <c r="AO71" s="275">
        <f>AO164*'2.税率表'!$D$9</f>
        <v>0</v>
      </c>
      <c r="AP71" s="276">
        <f>AP164*'2.税率表'!$D$9</f>
        <v>0</v>
      </c>
      <c r="AQ71" s="276">
        <f>AQ164*'2.税率表'!$D$9</f>
        <v>0</v>
      </c>
      <c r="AR71" s="277">
        <f>AR164*'2.税率表'!$D$9</f>
        <v>0</v>
      </c>
      <c r="AS71" s="275">
        <f>AS164*'2.税率表'!$D$9</f>
        <v>0</v>
      </c>
      <c r="AT71" s="276">
        <f>AT164*'2.税率表'!$D$9</f>
        <v>0</v>
      </c>
      <c r="AU71" s="276">
        <f>AU164*'2.税率表'!$D$9</f>
        <v>0</v>
      </c>
      <c r="AV71" s="277">
        <f>AV164*'2.税率表'!$D$9</f>
        <v>0</v>
      </c>
    </row>
    <row r="72" spans="2:48" s="256" customFormat="1" ht="15.75" customHeight="1">
      <c r="B72" s="1980"/>
      <c r="C72" s="299" t="s">
        <v>22</v>
      </c>
      <c r="D72" s="300">
        <f t="shared" ref="D72:AV72" si="19">SUM(D73:D84)</f>
        <v>0</v>
      </c>
      <c r="E72" s="301">
        <f t="shared" si="19"/>
        <v>0</v>
      </c>
      <c r="F72" s="300">
        <f t="shared" si="19"/>
        <v>0</v>
      </c>
      <c r="G72" s="300">
        <f t="shared" si="19"/>
        <v>0</v>
      </c>
      <c r="H72" s="302">
        <f t="shared" si="19"/>
        <v>0</v>
      </c>
      <c r="I72" s="301">
        <f t="shared" si="19"/>
        <v>0</v>
      </c>
      <c r="J72" s="300">
        <f t="shared" si="19"/>
        <v>0</v>
      </c>
      <c r="K72" s="300">
        <f t="shared" si="19"/>
        <v>0</v>
      </c>
      <c r="L72" s="302">
        <f t="shared" si="19"/>
        <v>0</v>
      </c>
      <c r="M72" s="301">
        <f t="shared" si="19"/>
        <v>0</v>
      </c>
      <c r="N72" s="300">
        <f t="shared" si="19"/>
        <v>0</v>
      </c>
      <c r="O72" s="300">
        <f t="shared" si="19"/>
        <v>0</v>
      </c>
      <c r="P72" s="302">
        <f t="shared" si="19"/>
        <v>0</v>
      </c>
      <c r="Q72" s="301">
        <f t="shared" si="19"/>
        <v>0</v>
      </c>
      <c r="R72" s="300">
        <f t="shared" si="19"/>
        <v>0</v>
      </c>
      <c r="S72" s="300">
        <f t="shared" si="19"/>
        <v>0</v>
      </c>
      <c r="T72" s="302">
        <f t="shared" si="19"/>
        <v>0</v>
      </c>
      <c r="U72" s="301">
        <f t="shared" si="19"/>
        <v>0</v>
      </c>
      <c r="V72" s="300">
        <f t="shared" si="19"/>
        <v>0</v>
      </c>
      <c r="W72" s="300">
        <f t="shared" si="19"/>
        <v>0</v>
      </c>
      <c r="X72" s="302">
        <f t="shared" si="19"/>
        <v>0</v>
      </c>
      <c r="Y72" s="301">
        <f t="shared" si="19"/>
        <v>0</v>
      </c>
      <c r="Z72" s="300">
        <f t="shared" si="19"/>
        <v>0</v>
      </c>
      <c r="AA72" s="300">
        <f t="shared" si="19"/>
        <v>0</v>
      </c>
      <c r="AB72" s="302">
        <f t="shared" si="19"/>
        <v>0</v>
      </c>
      <c r="AC72" s="301">
        <f t="shared" si="19"/>
        <v>0</v>
      </c>
      <c r="AD72" s="300">
        <f t="shared" si="19"/>
        <v>0</v>
      </c>
      <c r="AE72" s="300">
        <f t="shared" si="19"/>
        <v>0</v>
      </c>
      <c r="AF72" s="302">
        <f t="shared" si="19"/>
        <v>0</v>
      </c>
      <c r="AG72" s="301">
        <f t="shared" si="19"/>
        <v>0</v>
      </c>
      <c r="AH72" s="300">
        <f t="shared" si="19"/>
        <v>0</v>
      </c>
      <c r="AI72" s="300">
        <f t="shared" si="19"/>
        <v>0</v>
      </c>
      <c r="AJ72" s="302">
        <f t="shared" si="19"/>
        <v>0</v>
      </c>
      <c r="AK72" s="301">
        <f t="shared" si="19"/>
        <v>0</v>
      </c>
      <c r="AL72" s="300">
        <f t="shared" si="19"/>
        <v>0</v>
      </c>
      <c r="AM72" s="300">
        <f t="shared" si="19"/>
        <v>0</v>
      </c>
      <c r="AN72" s="302">
        <f t="shared" si="19"/>
        <v>0</v>
      </c>
      <c r="AO72" s="301">
        <f t="shared" si="19"/>
        <v>0</v>
      </c>
      <c r="AP72" s="300">
        <f t="shared" si="19"/>
        <v>0</v>
      </c>
      <c r="AQ72" s="300">
        <f t="shared" si="19"/>
        <v>0</v>
      </c>
      <c r="AR72" s="302">
        <f t="shared" si="19"/>
        <v>0</v>
      </c>
      <c r="AS72" s="301">
        <f t="shared" si="19"/>
        <v>0</v>
      </c>
      <c r="AT72" s="300">
        <f t="shared" si="19"/>
        <v>0</v>
      </c>
      <c r="AU72" s="300">
        <f t="shared" si="19"/>
        <v>0</v>
      </c>
      <c r="AV72" s="302">
        <f t="shared" si="19"/>
        <v>0</v>
      </c>
    </row>
    <row r="73" spans="2:48" s="257" customFormat="1" ht="15.75" customHeight="1" outlineLevel="1">
      <c r="B73" s="1980"/>
      <c r="C73" s="303" t="str">
        <f>'8.项目规划指标表'!$B$5</f>
        <v>高层</v>
      </c>
      <c r="D73" s="274">
        <f>SUM(E73:AV73)</f>
        <v>0</v>
      </c>
      <c r="E73" s="275">
        <f>E166*'2.税率表'!$D$10</f>
        <v>0</v>
      </c>
      <c r="F73" s="276">
        <f>F166*'2.税率表'!$D$10</f>
        <v>0</v>
      </c>
      <c r="G73" s="276">
        <f>G166*'2.税率表'!$D$10</f>
        <v>0</v>
      </c>
      <c r="H73" s="277">
        <f>H166*'2.税率表'!$D$10</f>
        <v>0</v>
      </c>
      <c r="I73" s="275">
        <f>I166*'2.税率表'!$D$10</f>
        <v>0</v>
      </c>
      <c r="J73" s="276">
        <f>J166*'2.税率表'!$D$10</f>
        <v>0</v>
      </c>
      <c r="K73" s="276">
        <f>K166*'2.税率表'!$D$10</f>
        <v>0</v>
      </c>
      <c r="L73" s="277">
        <f>L166*'2.税率表'!$D$10</f>
        <v>0</v>
      </c>
      <c r="M73" s="275">
        <f>M166*'2.税率表'!$D$10</f>
        <v>0</v>
      </c>
      <c r="N73" s="276">
        <f>N166*'2.税率表'!$D$10</f>
        <v>0</v>
      </c>
      <c r="O73" s="276">
        <f>O166*'2.税率表'!$D$10</f>
        <v>0</v>
      </c>
      <c r="P73" s="277">
        <f>P166*'2.税率表'!$D$10</f>
        <v>0</v>
      </c>
      <c r="Q73" s="275">
        <f>Q166*'2.税率表'!$D$10</f>
        <v>0</v>
      </c>
      <c r="R73" s="276">
        <f>R166*'2.税率表'!$D$10</f>
        <v>0</v>
      </c>
      <c r="S73" s="276">
        <f>S166*'2.税率表'!$D$10</f>
        <v>0</v>
      </c>
      <c r="T73" s="277">
        <f>T166*'2.税率表'!$D$10</f>
        <v>0</v>
      </c>
      <c r="U73" s="275">
        <f>U166*'2.税率表'!$D$10</f>
        <v>0</v>
      </c>
      <c r="V73" s="276">
        <f>V166*'2.税率表'!$D$10</f>
        <v>0</v>
      </c>
      <c r="W73" s="276">
        <f>W166*'2.税率表'!$D$10</f>
        <v>0</v>
      </c>
      <c r="X73" s="277">
        <f>X166*'2.税率表'!$D$10</f>
        <v>0</v>
      </c>
      <c r="Y73" s="275">
        <f>Y166*'2.税率表'!$D$10</f>
        <v>0</v>
      </c>
      <c r="Z73" s="276">
        <f>Z166*'2.税率表'!$D$10</f>
        <v>0</v>
      </c>
      <c r="AA73" s="276">
        <f>AA166*'2.税率表'!$D$10</f>
        <v>0</v>
      </c>
      <c r="AB73" s="277">
        <f>AB166*'2.税率表'!$D$10</f>
        <v>0</v>
      </c>
      <c r="AC73" s="275">
        <f>AC166*'2.税率表'!$D$10</f>
        <v>0</v>
      </c>
      <c r="AD73" s="276">
        <f>AD166*'2.税率表'!$D$10</f>
        <v>0</v>
      </c>
      <c r="AE73" s="276">
        <f>AE166*'2.税率表'!$D$10</f>
        <v>0</v>
      </c>
      <c r="AF73" s="277">
        <f>AF166*'2.税率表'!$D$10</f>
        <v>0</v>
      </c>
      <c r="AG73" s="275">
        <f>AG166*'2.税率表'!$D$10</f>
        <v>0</v>
      </c>
      <c r="AH73" s="276">
        <f>AH166*'2.税率表'!$D$10</f>
        <v>0</v>
      </c>
      <c r="AI73" s="276">
        <f>AI166*'2.税率表'!$D$10</f>
        <v>0</v>
      </c>
      <c r="AJ73" s="277">
        <f>AJ166*'2.税率表'!$D$10</f>
        <v>0</v>
      </c>
      <c r="AK73" s="275">
        <f>AK166*'2.税率表'!$D$10</f>
        <v>0</v>
      </c>
      <c r="AL73" s="276">
        <f>AL166*'2.税率表'!$D$10</f>
        <v>0</v>
      </c>
      <c r="AM73" s="276">
        <f>AM166*'2.税率表'!$D$10</f>
        <v>0</v>
      </c>
      <c r="AN73" s="277">
        <f>AN166*'2.税率表'!$D$10</f>
        <v>0</v>
      </c>
      <c r="AO73" s="275">
        <f>AO166*'2.税率表'!$D$10</f>
        <v>0</v>
      </c>
      <c r="AP73" s="276">
        <f>AP166*'2.税率表'!$D$10</f>
        <v>0</v>
      </c>
      <c r="AQ73" s="276">
        <f>AQ166*'2.税率表'!$D$10</f>
        <v>0</v>
      </c>
      <c r="AR73" s="277">
        <f>AR166*'2.税率表'!$D$10</f>
        <v>0</v>
      </c>
      <c r="AS73" s="275">
        <f>AS166*'2.税率表'!$D$10</f>
        <v>0</v>
      </c>
      <c r="AT73" s="276">
        <f>AT166*'2.税率表'!$D$10</f>
        <v>0</v>
      </c>
      <c r="AU73" s="276">
        <f>AU166*'2.税率表'!$D$10</f>
        <v>0</v>
      </c>
      <c r="AV73" s="277">
        <f>AV166*'2.税率表'!$D$10</f>
        <v>0</v>
      </c>
    </row>
    <row r="74" spans="2:48" s="257" customFormat="1" ht="15.75" customHeight="1" outlineLevel="1">
      <c r="B74" s="1980"/>
      <c r="C74" s="303" t="str">
        <f>'8.项目规划指标表'!$B$6</f>
        <v>商铺</v>
      </c>
      <c r="D74" s="274">
        <f t="shared" ref="D74:D84" si="20">SUM(E74:AV74)</f>
        <v>0</v>
      </c>
      <c r="E74" s="275">
        <f>E167*'2.税率表'!$D$10</f>
        <v>0</v>
      </c>
      <c r="F74" s="276">
        <f>F167*'2.税率表'!$D$10</f>
        <v>0</v>
      </c>
      <c r="G74" s="276">
        <f>G167*'2.税率表'!$D$10</f>
        <v>0</v>
      </c>
      <c r="H74" s="277">
        <f>H167*'2.税率表'!$D$10</f>
        <v>0</v>
      </c>
      <c r="I74" s="275">
        <f>I167*'2.税率表'!$D$10</f>
        <v>0</v>
      </c>
      <c r="J74" s="276">
        <f>J167*'2.税率表'!$D$10</f>
        <v>0</v>
      </c>
      <c r="K74" s="276">
        <f>K167*'2.税率表'!$D$10</f>
        <v>0</v>
      </c>
      <c r="L74" s="277">
        <f>L167*'2.税率表'!$D$10</f>
        <v>0</v>
      </c>
      <c r="M74" s="275">
        <f>M167*'2.税率表'!$D$10</f>
        <v>0</v>
      </c>
      <c r="N74" s="276">
        <f>N167*'2.税率表'!$D$10</f>
        <v>0</v>
      </c>
      <c r="O74" s="276">
        <f>O167*'2.税率表'!$D$10</f>
        <v>0</v>
      </c>
      <c r="P74" s="277">
        <f>P167*'2.税率表'!$D$10</f>
        <v>0</v>
      </c>
      <c r="Q74" s="275">
        <f>Q167*'2.税率表'!$D$10</f>
        <v>0</v>
      </c>
      <c r="R74" s="276">
        <f>R167*'2.税率表'!$D$10</f>
        <v>0</v>
      </c>
      <c r="S74" s="276">
        <f>S167*'2.税率表'!$D$10</f>
        <v>0</v>
      </c>
      <c r="T74" s="277">
        <f>T167*'2.税率表'!$D$10</f>
        <v>0</v>
      </c>
      <c r="U74" s="275">
        <f>U167*'2.税率表'!$D$10</f>
        <v>0</v>
      </c>
      <c r="V74" s="276">
        <f>V167*'2.税率表'!$D$10</f>
        <v>0</v>
      </c>
      <c r="W74" s="276">
        <f>W167*'2.税率表'!$D$10</f>
        <v>0</v>
      </c>
      <c r="X74" s="277">
        <f>X167*'2.税率表'!$D$10</f>
        <v>0</v>
      </c>
      <c r="Y74" s="275">
        <f>Y167*'2.税率表'!$D$10</f>
        <v>0</v>
      </c>
      <c r="Z74" s="276">
        <f>Z167*'2.税率表'!$D$10</f>
        <v>0</v>
      </c>
      <c r="AA74" s="276">
        <f>AA167*'2.税率表'!$D$10</f>
        <v>0</v>
      </c>
      <c r="AB74" s="277">
        <f>AB167*'2.税率表'!$D$10</f>
        <v>0</v>
      </c>
      <c r="AC74" s="275">
        <f>AC167*'2.税率表'!$D$10</f>
        <v>0</v>
      </c>
      <c r="AD74" s="276">
        <f>AD167*'2.税率表'!$D$10</f>
        <v>0</v>
      </c>
      <c r="AE74" s="276">
        <f>AE167*'2.税率表'!$D$10</f>
        <v>0</v>
      </c>
      <c r="AF74" s="277">
        <f>AF167*'2.税率表'!$D$10</f>
        <v>0</v>
      </c>
      <c r="AG74" s="275">
        <f>AG167*'2.税率表'!$D$10</f>
        <v>0</v>
      </c>
      <c r="AH74" s="276">
        <f>AH167*'2.税率表'!$D$10</f>
        <v>0</v>
      </c>
      <c r="AI74" s="276">
        <f>AI167*'2.税率表'!$D$10</f>
        <v>0</v>
      </c>
      <c r="AJ74" s="277">
        <f>AJ167*'2.税率表'!$D$10</f>
        <v>0</v>
      </c>
      <c r="AK74" s="275">
        <f>AK167*'2.税率表'!$D$10</f>
        <v>0</v>
      </c>
      <c r="AL74" s="276">
        <f>AL167*'2.税率表'!$D$10</f>
        <v>0</v>
      </c>
      <c r="AM74" s="276">
        <f>AM167*'2.税率表'!$D$10</f>
        <v>0</v>
      </c>
      <c r="AN74" s="277">
        <f>AN167*'2.税率表'!$D$10</f>
        <v>0</v>
      </c>
      <c r="AO74" s="275">
        <f>AO167*'2.税率表'!$D$10</f>
        <v>0</v>
      </c>
      <c r="AP74" s="276">
        <f>AP167*'2.税率表'!$D$10</f>
        <v>0</v>
      </c>
      <c r="AQ74" s="276">
        <f>AQ167*'2.税率表'!$D$10</f>
        <v>0</v>
      </c>
      <c r="AR74" s="277">
        <f>AR167*'2.税率表'!$D$10</f>
        <v>0</v>
      </c>
      <c r="AS74" s="275">
        <f>AS167*'2.税率表'!$D$10</f>
        <v>0</v>
      </c>
      <c r="AT74" s="276">
        <f>AT167*'2.税率表'!$D$10</f>
        <v>0</v>
      </c>
      <c r="AU74" s="276">
        <f>AU167*'2.税率表'!$D$10</f>
        <v>0</v>
      </c>
      <c r="AV74" s="277">
        <f>AV167*'2.税率表'!$D$10</f>
        <v>0</v>
      </c>
    </row>
    <row r="75" spans="2:48" s="257" customFormat="1" ht="15.75" customHeight="1" outlineLevel="1">
      <c r="B75" s="1980"/>
      <c r="C75" s="303" t="str">
        <f>'8.项目规划指标表'!$B$7</f>
        <v>回迁商业</v>
      </c>
      <c r="D75" s="274">
        <f t="shared" si="20"/>
        <v>0</v>
      </c>
      <c r="E75" s="275">
        <f>E168*'2.税率表'!$D$10</f>
        <v>0</v>
      </c>
      <c r="F75" s="276">
        <f>F168*'2.税率表'!$D$10</f>
        <v>0</v>
      </c>
      <c r="G75" s="276">
        <f>G168*'2.税率表'!$D$10</f>
        <v>0</v>
      </c>
      <c r="H75" s="277">
        <f>H168*'2.税率表'!$D$10</f>
        <v>0</v>
      </c>
      <c r="I75" s="275">
        <f>I168*'2.税率表'!$D$10</f>
        <v>0</v>
      </c>
      <c r="J75" s="276">
        <f>J168*'2.税率表'!$D$10</f>
        <v>0</v>
      </c>
      <c r="K75" s="276">
        <f>K168*'2.税率表'!$D$10</f>
        <v>0</v>
      </c>
      <c r="L75" s="277">
        <f>L168*'2.税率表'!$D$10</f>
        <v>0</v>
      </c>
      <c r="M75" s="275">
        <f>M168*'2.税率表'!$D$10</f>
        <v>0</v>
      </c>
      <c r="N75" s="276">
        <f>N168*'2.税率表'!$D$10</f>
        <v>0</v>
      </c>
      <c r="O75" s="276">
        <f>O168*'2.税率表'!$D$10</f>
        <v>0</v>
      </c>
      <c r="P75" s="277">
        <f>P168*'2.税率表'!$D$10</f>
        <v>0</v>
      </c>
      <c r="Q75" s="275">
        <f>Q168*'2.税率表'!$D$10</f>
        <v>0</v>
      </c>
      <c r="R75" s="276">
        <f>R168*'2.税率表'!$D$10</f>
        <v>0</v>
      </c>
      <c r="S75" s="276">
        <f>S168*'2.税率表'!$D$10</f>
        <v>0</v>
      </c>
      <c r="T75" s="277">
        <f>T168*'2.税率表'!$D$10</f>
        <v>0</v>
      </c>
      <c r="U75" s="275">
        <f>U168*'2.税率表'!$D$10</f>
        <v>0</v>
      </c>
      <c r="V75" s="276">
        <f>V168*'2.税率表'!$D$10</f>
        <v>0</v>
      </c>
      <c r="W75" s="276">
        <f>W168*'2.税率表'!$D$10</f>
        <v>0</v>
      </c>
      <c r="X75" s="277">
        <f>X168*'2.税率表'!$D$10</f>
        <v>0</v>
      </c>
      <c r="Y75" s="275">
        <f>Y168*'2.税率表'!$D$10</f>
        <v>0</v>
      </c>
      <c r="Z75" s="276">
        <f>Z168*'2.税率表'!$D$10</f>
        <v>0</v>
      </c>
      <c r="AA75" s="276">
        <f>AA168*'2.税率表'!$D$10</f>
        <v>0</v>
      </c>
      <c r="AB75" s="277">
        <f>AB168*'2.税率表'!$D$10</f>
        <v>0</v>
      </c>
      <c r="AC75" s="275">
        <f>AC168*'2.税率表'!$D$10</f>
        <v>0</v>
      </c>
      <c r="AD75" s="276">
        <f>AD168*'2.税率表'!$D$10</f>
        <v>0</v>
      </c>
      <c r="AE75" s="276">
        <f>AE168*'2.税率表'!$D$10</f>
        <v>0</v>
      </c>
      <c r="AF75" s="277">
        <f>AF168*'2.税率表'!$D$10</f>
        <v>0</v>
      </c>
      <c r="AG75" s="275">
        <f>AG168*'2.税率表'!$D$10</f>
        <v>0</v>
      </c>
      <c r="AH75" s="276">
        <f>AH168*'2.税率表'!$D$10</f>
        <v>0</v>
      </c>
      <c r="AI75" s="276">
        <f>AI168*'2.税率表'!$D$10</f>
        <v>0</v>
      </c>
      <c r="AJ75" s="277">
        <f>AJ168*'2.税率表'!$D$10</f>
        <v>0</v>
      </c>
      <c r="AK75" s="275">
        <f>AK168*'2.税率表'!$D$10</f>
        <v>0</v>
      </c>
      <c r="AL75" s="276">
        <f>AL168*'2.税率表'!$D$10</f>
        <v>0</v>
      </c>
      <c r="AM75" s="276">
        <f>AM168*'2.税率表'!$D$10</f>
        <v>0</v>
      </c>
      <c r="AN75" s="277">
        <f>AN168*'2.税率表'!$D$10</f>
        <v>0</v>
      </c>
      <c r="AO75" s="275">
        <f>AO168*'2.税率表'!$D$10</f>
        <v>0</v>
      </c>
      <c r="AP75" s="276">
        <f>AP168*'2.税率表'!$D$10</f>
        <v>0</v>
      </c>
      <c r="AQ75" s="276">
        <f>AQ168*'2.税率表'!$D$10</f>
        <v>0</v>
      </c>
      <c r="AR75" s="277">
        <f>AR168*'2.税率表'!$D$10</f>
        <v>0</v>
      </c>
      <c r="AS75" s="275">
        <f>AS168*'2.税率表'!$D$10</f>
        <v>0</v>
      </c>
      <c r="AT75" s="276">
        <f>AT168*'2.税率表'!$D$10</f>
        <v>0</v>
      </c>
      <c r="AU75" s="276">
        <f>AU168*'2.税率表'!$D$10</f>
        <v>0</v>
      </c>
      <c r="AV75" s="277">
        <f>AV168*'2.税率表'!$D$10</f>
        <v>0</v>
      </c>
    </row>
    <row r="76" spans="2:48" s="257" customFormat="1" ht="15.75" customHeight="1" outlineLevel="1">
      <c r="B76" s="1980"/>
      <c r="C76" s="303">
        <f>'8.项目规划指标表'!$B$8</f>
        <v>0</v>
      </c>
      <c r="D76" s="274">
        <f t="shared" si="20"/>
        <v>0</v>
      </c>
      <c r="E76" s="275">
        <f>E169*'2.税率表'!$D$10</f>
        <v>0</v>
      </c>
      <c r="F76" s="276">
        <f>F169*'2.税率表'!$D$10</f>
        <v>0</v>
      </c>
      <c r="G76" s="276">
        <f>G169*'2.税率表'!$D$10</f>
        <v>0</v>
      </c>
      <c r="H76" s="277">
        <f>H169*'2.税率表'!$D$10</f>
        <v>0</v>
      </c>
      <c r="I76" s="275">
        <f>I169*'2.税率表'!$D$10</f>
        <v>0</v>
      </c>
      <c r="J76" s="276">
        <f>J169*'2.税率表'!$D$10</f>
        <v>0</v>
      </c>
      <c r="K76" s="276">
        <f>K169*'2.税率表'!$D$10</f>
        <v>0</v>
      </c>
      <c r="L76" s="277">
        <f>L169*'2.税率表'!$D$10</f>
        <v>0</v>
      </c>
      <c r="M76" s="275">
        <f>M169*'2.税率表'!$D$10</f>
        <v>0</v>
      </c>
      <c r="N76" s="276">
        <f>N169*'2.税率表'!$D$10</f>
        <v>0</v>
      </c>
      <c r="O76" s="276">
        <f>O169*'2.税率表'!$D$10</f>
        <v>0</v>
      </c>
      <c r="P76" s="277">
        <f>P169*'2.税率表'!$D$10</f>
        <v>0</v>
      </c>
      <c r="Q76" s="275">
        <f>Q169*'2.税率表'!$D$10</f>
        <v>0</v>
      </c>
      <c r="R76" s="276">
        <f>R169*'2.税率表'!$D$10</f>
        <v>0</v>
      </c>
      <c r="S76" s="276">
        <f>S169*'2.税率表'!$D$10</f>
        <v>0</v>
      </c>
      <c r="T76" s="277">
        <f>T169*'2.税率表'!$D$10</f>
        <v>0</v>
      </c>
      <c r="U76" s="275">
        <f>U169*'2.税率表'!$D$10</f>
        <v>0</v>
      </c>
      <c r="V76" s="276">
        <f>V169*'2.税率表'!$D$10</f>
        <v>0</v>
      </c>
      <c r="W76" s="276">
        <f>W169*'2.税率表'!$D$10</f>
        <v>0</v>
      </c>
      <c r="X76" s="277">
        <f>X169*'2.税率表'!$D$10</f>
        <v>0</v>
      </c>
      <c r="Y76" s="275">
        <f>Y169*'2.税率表'!$D$10</f>
        <v>0</v>
      </c>
      <c r="Z76" s="276">
        <f>Z169*'2.税率表'!$D$10</f>
        <v>0</v>
      </c>
      <c r="AA76" s="276">
        <f>AA169*'2.税率表'!$D$10</f>
        <v>0</v>
      </c>
      <c r="AB76" s="277">
        <f>AB169*'2.税率表'!$D$10</f>
        <v>0</v>
      </c>
      <c r="AC76" s="275">
        <f>AC169*'2.税率表'!$D$10</f>
        <v>0</v>
      </c>
      <c r="AD76" s="276">
        <f>AD169*'2.税率表'!$D$10</f>
        <v>0</v>
      </c>
      <c r="AE76" s="276">
        <f>AE169*'2.税率表'!$D$10</f>
        <v>0</v>
      </c>
      <c r="AF76" s="277">
        <f>AF169*'2.税率表'!$D$10</f>
        <v>0</v>
      </c>
      <c r="AG76" s="275">
        <f>AG169*'2.税率表'!$D$10</f>
        <v>0</v>
      </c>
      <c r="AH76" s="276">
        <f>AH169*'2.税率表'!$D$10</f>
        <v>0</v>
      </c>
      <c r="AI76" s="276">
        <f>AI169*'2.税率表'!$D$10</f>
        <v>0</v>
      </c>
      <c r="AJ76" s="277">
        <f>AJ169*'2.税率表'!$D$10</f>
        <v>0</v>
      </c>
      <c r="AK76" s="275">
        <f>AK169*'2.税率表'!$D$10</f>
        <v>0</v>
      </c>
      <c r="AL76" s="276">
        <f>AL169*'2.税率表'!$D$10</f>
        <v>0</v>
      </c>
      <c r="AM76" s="276">
        <f>AM169*'2.税率表'!$D$10</f>
        <v>0</v>
      </c>
      <c r="AN76" s="277">
        <f>AN169*'2.税率表'!$D$10</f>
        <v>0</v>
      </c>
      <c r="AO76" s="275">
        <f>AO169*'2.税率表'!$D$10</f>
        <v>0</v>
      </c>
      <c r="AP76" s="276">
        <f>AP169*'2.税率表'!$D$10</f>
        <v>0</v>
      </c>
      <c r="AQ76" s="276">
        <f>AQ169*'2.税率表'!$D$10</f>
        <v>0</v>
      </c>
      <c r="AR76" s="277">
        <f>AR169*'2.税率表'!$D$10</f>
        <v>0</v>
      </c>
      <c r="AS76" s="275">
        <f>AS169*'2.税率表'!$D$10</f>
        <v>0</v>
      </c>
      <c r="AT76" s="276">
        <f>AT169*'2.税率表'!$D$10</f>
        <v>0</v>
      </c>
      <c r="AU76" s="276">
        <f>AU169*'2.税率表'!$D$10</f>
        <v>0</v>
      </c>
      <c r="AV76" s="277">
        <f>AV169*'2.税率表'!$D$10</f>
        <v>0</v>
      </c>
    </row>
    <row r="77" spans="2:48" s="257" customFormat="1" ht="15.75" customHeight="1" outlineLevel="1">
      <c r="B77" s="1980"/>
      <c r="C77" s="303">
        <f>'8.项目规划指标表'!$B$9</f>
        <v>0</v>
      </c>
      <c r="D77" s="274">
        <f t="shared" si="20"/>
        <v>0</v>
      </c>
      <c r="E77" s="275">
        <f>E170*'2.税率表'!$D$10</f>
        <v>0</v>
      </c>
      <c r="F77" s="276">
        <f>F170*'2.税率表'!$D$10</f>
        <v>0</v>
      </c>
      <c r="G77" s="276">
        <f>G170*'2.税率表'!$D$10</f>
        <v>0</v>
      </c>
      <c r="H77" s="277">
        <f>H170*'2.税率表'!$D$10</f>
        <v>0</v>
      </c>
      <c r="I77" s="275">
        <f>I170*'2.税率表'!$D$10</f>
        <v>0</v>
      </c>
      <c r="J77" s="276">
        <f>J170*'2.税率表'!$D$10</f>
        <v>0</v>
      </c>
      <c r="K77" s="276">
        <f>K170*'2.税率表'!$D$10</f>
        <v>0</v>
      </c>
      <c r="L77" s="277">
        <f>L170*'2.税率表'!$D$10</f>
        <v>0</v>
      </c>
      <c r="M77" s="275">
        <f>M170*'2.税率表'!$D$10</f>
        <v>0</v>
      </c>
      <c r="N77" s="276">
        <f>N170*'2.税率表'!$D$10</f>
        <v>0</v>
      </c>
      <c r="O77" s="276">
        <f>O170*'2.税率表'!$D$10</f>
        <v>0</v>
      </c>
      <c r="P77" s="277">
        <f>P170*'2.税率表'!$D$10</f>
        <v>0</v>
      </c>
      <c r="Q77" s="275">
        <f>Q170*'2.税率表'!$D$10</f>
        <v>0</v>
      </c>
      <c r="R77" s="276">
        <f>R170*'2.税率表'!$D$10</f>
        <v>0</v>
      </c>
      <c r="S77" s="276">
        <f>S170*'2.税率表'!$D$10</f>
        <v>0</v>
      </c>
      <c r="T77" s="277">
        <f>T170*'2.税率表'!$D$10</f>
        <v>0</v>
      </c>
      <c r="U77" s="275">
        <f>U170*'2.税率表'!$D$10</f>
        <v>0</v>
      </c>
      <c r="V77" s="276">
        <f>V170*'2.税率表'!$D$10</f>
        <v>0</v>
      </c>
      <c r="W77" s="276">
        <f>W170*'2.税率表'!$D$10</f>
        <v>0</v>
      </c>
      <c r="X77" s="277">
        <f>X170*'2.税率表'!$D$10</f>
        <v>0</v>
      </c>
      <c r="Y77" s="275">
        <f>Y170*'2.税率表'!$D$10</f>
        <v>0</v>
      </c>
      <c r="Z77" s="276">
        <f>Z170*'2.税率表'!$D$10</f>
        <v>0</v>
      </c>
      <c r="AA77" s="276">
        <f>AA170*'2.税率表'!$D$10</f>
        <v>0</v>
      </c>
      <c r="AB77" s="277">
        <f>AB170*'2.税率表'!$D$10</f>
        <v>0</v>
      </c>
      <c r="AC77" s="275">
        <f>AC170*'2.税率表'!$D$10</f>
        <v>0</v>
      </c>
      <c r="AD77" s="276">
        <f>AD170*'2.税率表'!$D$10</f>
        <v>0</v>
      </c>
      <c r="AE77" s="276">
        <f>AE170*'2.税率表'!$D$10</f>
        <v>0</v>
      </c>
      <c r="AF77" s="277">
        <f>AF170*'2.税率表'!$D$10</f>
        <v>0</v>
      </c>
      <c r="AG77" s="275">
        <f>AG170*'2.税率表'!$D$10</f>
        <v>0</v>
      </c>
      <c r="AH77" s="276">
        <f>AH170*'2.税率表'!$D$10</f>
        <v>0</v>
      </c>
      <c r="AI77" s="276">
        <f>AI170*'2.税率表'!$D$10</f>
        <v>0</v>
      </c>
      <c r="AJ77" s="277">
        <f>AJ170*'2.税率表'!$D$10</f>
        <v>0</v>
      </c>
      <c r="AK77" s="275">
        <f>AK170*'2.税率表'!$D$10</f>
        <v>0</v>
      </c>
      <c r="AL77" s="276">
        <f>AL170*'2.税率表'!$D$10</f>
        <v>0</v>
      </c>
      <c r="AM77" s="276">
        <f>AM170*'2.税率表'!$D$10</f>
        <v>0</v>
      </c>
      <c r="AN77" s="277">
        <f>AN170*'2.税率表'!$D$10</f>
        <v>0</v>
      </c>
      <c r="AO77" s="275">
        <f>AO170*'2.税率表'!$D$10</f>
        <v>0</v>
      </c>
      <c r="AP77" s="276">
        <f>AP170*'2.税率表'!$D$10</f>
        <v>0</v>
      </c>
      <c r="AQ77" s="276">
        <f>AQ170*'2.税率表'!$D$10</f>
        <v>0</v>
      </c>
      <c r="AR77" s="277">
        <f>AR170*'2.税率表'!$D$10</f>
        <v>0</v>
      </c>
      <c r="AS77" s="275">
        <f>AS170*'2.税率表'!$D$10</f>
        <v>0</v>
      </c>
      <c r="AT77" s="276">
        <f>AT170*'2.税率表'!$D$10</f>
        <v>0</v>
      </c>
      <c r="AU77" s="276">
        <f>AU170*'2.税率表'!$D$10</f>
        <v>0</v>
      </c>
      <c r="AV77" s="277">
        <f>AV170*'2.税率表'!$D$10</f>
        <v>0</v>
      </c>
    </row>
    <row r="78" spans="2:48" s="257" customFormat="1" ht="15.75" customHeight="1" outlineLevel="1">
      <c r="B78" s="1980"/>
      <c r="C78" s="303">
        <f>'8.项目规划指标表'!$B$10</f>
        <v>0</v>
      </c>
      <c r="D78" s="274">
        <f t="shared" si="20"/>
        <v>0</v>
      </c>
      <c r="E78" s="275">
        <f>E171*'2.税率表'!$D$10</f>
        <v>0</v>
      </c>
      <c r="F78" s="276">
        <f>F171*'2.税率表'!$D$10</f>
        <v>0</v>
      </c>
      <c r="G78" s="276">
        <f>G171*'2.税率表'!$D$10</f>
        <v>0</v>
      </c>
      <c r="H78" s="277">
        <f>H171*'2.税率表'!$D$10</f>
        <v>0</v>
      </c>
      <c r="I78" s="275">
        <f>I171*'2.税率表'!$D$10</f>
        <v>0</v>
      </c>
      <c r="J78" s="276">
        <f>J171*'2.税率表'!$D$10</f>
        <v>0</v>
      </c>
      <c r="K78" s="276">
        <f>K171*'2.税率表'!$D$10</f>
        <v>0</v>
      </c>
      <c r="L78" s="277">
        <f>L171*'2.税率表'!$D$10</f>
        <v>0</v>
      </c>
      <c r="M78" s="275">
        <f>M171*'2.税率表'!$D$10</f>
        <v>0</v>
      </c>
      <c r="N78" s="276">
        <f>N171*'2.税率表'!$D$10</f>
        <v>0</v>
      </c>
      <c r="O78" s="276">
        <f>O171*'2.税率表'!$D$10</f>
        <v>0</v>
      </c>
      <c r="P78" s="277">
        <f>P171*'2.税率表'!$D$10</f>
        <v>0</v>
      </c>
      <c r="Q78" s="275">
        <f>Q171*'2.税率表'!$D$10</f>
        <v>0</v>
      </c>
      <c r="R78" s="276">
        <f>R171*'2.税率表'!$D$10</f>
        <v>0</v>
      </c>
      <c r="S78" s="276">
        <f>S171*'2.税率表'!$D$10</f>
        <v>0</v>
      </c>
      <c r="T78" s="277">
        <f>T171*'2.税率表'!$D$10</f>
        <v>0</v>
      </c>
      <c r="U78" s="275">
        <f>U171*'2.税率表'!$D$10</f>
        <v>0</v>
      </c>
      <c r="V78" s="276">
        <f>V171*'2.税率表'!$D$10</f>
        <v>0</v>
      </c>
      <c r="W78" s="276">
        <f>W171*'2.税率表'!$D$10</f>
        <v>0</v>
      </c>
      <c r="X78" s="277">
        <f>X171*'2.税率表'!$D$10</f>
        <v>0</v>
      </c>
      <c r="Y78" s="275">
        <f>Y171*'2.税率表'!$D$10</f>
        <v>0</v>
      </c>
      <c r="Z78" s="276">
        <f>Z171*'2.税率表'!$D$10</f>
        <v>0</v>
      </c>
      <c r="AA78" s="276">
        <f>AA171*'2.税率表'!$D$10</f>
        <v>0</v>
      </c>
      <c r="AB78" s="277">
        <f>AB171*'2.税率表'!$D$10</f>
        <v>0</v>
      </c>
      <c r="AC78" s="275">
        <f>AC171*'2.税率表'!$D$10</f>
        <v>0</v>
      </c>
      <c r="AD78" s="276">
        <f>AD171*'2.税率表'!$D$10</f>
        <v>0</v>
      </c>
      <c r="AE78" s="276">
        <f>AE171*'2.税率表'!$D$10</f>
        <v>0</v>
      </c>
      <c r="AF78" s="277">
        <f>AF171*'2.税率表'!$D$10</f>
        <v>0</v>
      </c>
      <c r="AG78" s="275">
        <f>AG171*'2.税率表'!$D$10</f>
        <v>0</v>
      </c>
      <c r="AH78" s="276">
        <f>AH171*'2.税率表'!$D$10</f>
        <v>0</v>
      </c>
      <c r="AI78" s="276">
        <f>AI171*'2.税率表'!$D$10</f>
        <v>0</v>
      </c>
      <c r="AJ78" s="277">
        <f>AJ171*'2.税率表'!$D$10</f>
        <v>0</v>
      </c>
      <c r="AK78" s="275">
        <f>AK171*'2.税率表'!$D$10</f>
        <v>0</v>
      </c>
      <c r="AL78" s="276">
        <f>AL171*'2.税率表'!$D$10</f>
        <v>0</v>
      </c>
      <c r="AM78" s="276">
        <f>AM171*'2.税率表'!$D$10</f>
        <v>0</v>
      </c>
      <c r="AN78" s="277">
        <f>AN171*'2.税率表'!$D$10</f>
        <v>0</v>
      </c>
      <c r="AO78" s="275">
        <f>AO171*'2.税率表'!$D$10</f>
        <v>0</v>
      </c>
      <c r="AP78" s="276">
        <f>AP171*'2.税率表'!$D$10</f>
        <v>0</v>
      </c>
      <c r="AQ78" s="276">
        <f>AQ171*'2.税率表'!$D$10</f>
        <v>0</v>
      </c>
      <c r="AR78" s="277">
        <f>AR171*'2.税率表'!$D$10</f>
        <v>0</v>
      </c>
      <c r="AS78" s="275">
        <f>AS171*'2.税率表'!$D$10</f>
        <v>0</v>
      </c>
      <c r="AT78" s="276">
        <f>AT171*'2.税率表'!$D$10</f>
        <v>0</v>
      </c>
      <c r="AU78" s="276">
        <f>AU171*'2.税率表'!$D$10</f>
        <v>0</v>
      </c>
      <c r="AV78" s="277">
        <f>AV171*'2.税率表'!$D$10</f>
        <v>0</v>
      </c>
    </row>
    <row r="79" spans="2:48" s="257" customFormat="1" ht="15.75" customHeight="1" outlineLevel="1">
      <c r="B79" s="1980"/>
      <c r="C79" s="303">
        <f>'8.项目规划指标表'!$B$11</f>
        <v>0</v>
      </c>
      <c r="D79" s="274">
        <f t="shared" si="20"/>
        <v>0</v>
      </c>
      <c r="E79" s="275">
        <f>E172*'2.税率表'!$D$10</f>
        <v>0</v>
      </c>
      <c r="F79" s="276">
        <f>F172*'2.税率表'!$D$10</f>
        <v>0</v>
      </c>
      <c r="G79" s="276">
        <f>G172*'2.税率表'!$D$10</f>
        <v>0</v>
      </c>
      <c r="H79" s="277">
        <f>H172*'2.税率表'!$D$10</f>
        <v>0</v>
      </c>
      <c r="I79" s="275">
        <f>I172*'2.税率表'!$D$10</f>
        <v>0</v>
      </c>
      <c r="J79" s="276">
        <f>J172*'2.税率表'!$D$10</f>
        <v>0</v>
      </c>
      <c r="K79" s="276">
        <f>K172*'2.税率表'!$D$10</f>
        <v>0</v>
      </c>
      <c r="L79" s="277">
        <f>L172*'2.税率表'!$D$10</f>
        <v>0</v>
      </c>
      <c r="M79" s="275">
        <f>M172*'2.税率表'!$D$10</f>
        <v>0</v>
      </c>
      <c r="N79" s="276">
        <f>N172*'2.税率表'!$D$10</f>
        <v>0</v>
      </c>
      <c r="O79" s="276">
        <f>O172*'2.税率表'!$D$10</f>
        <v>0</v>
      </c>
      <c r="P79" s="277">
        <f>P172*'2.税率表'!$D$10</f>
        <v>0</v>
      </c>
      <c r="Q79" s="275">
        <f>Q172*'2.税率表'!$D$10</f>
        <v>0</v>
      </c>
      <c r="R79" s="276">
        <f>R172*'2.税率表'!$D$10</f>
        <v>0</v>
      </c>
      <c r="S79" s="276">
        <f>S172*'2.税率表'!$D$10</f>
        <v>0</v>
      </c>
      <c r="T79" s="277">
        <f>T172*'2.税率表'!$D$10</f>
        <v>0</v>
      </c>
      <c r="U79" s="275">
        <f>U172*'2.税率表'!$D$10</f>
        <v>0</v>
      </c>
      <c r="V79" s="276">
        <f>V172*'2.税率表'!$D$10</f>
        <v>0</v>
      </c>
      <c r="W79" s="276">
        <f>W172*'2.税率表'!$D$10</f>
        <v>0</v>
      </c>
      <c r="X79" s="277">
        <f>X172*'2.税率表'!$D$10</f>
        <v>0</v>
      </c>
      <c r="Y79" s="275">
        <f>Y172*'2.税率表'!$D$10</f>
        <v>0</v>
      </c>
      <c r="Z79" s="276">
        <f>Z172*'2.税率表'!$D$10</f>
        <v>0</v>
      </c>
      <c r="AA79" s="276">
        <f>AA172*'2.税率表'!$D$10</f>
        <v>0</v>
      </c>
      <c r="AB79" s="277">
        <f>AB172*'2.税率表'!$D$10</f>
        <v>0</v>
      </c>
      <c r="AC79" s="275">
        <f>AC172*'2.税率表'!$D$10</f>
        <v>0</v>
      </c>
      <c r="AD79" s="276">
        <f>AD172*'2.税率表'!$D$10</f>
        <v>0</v>
      </c>
      <c r="AE79" s="276">
        <f>AE172*'2.税率表'!$D$10</f>
        <v>0</v>
      </c>
      <c r="AF79" s="277">
        <f>AF172*'2.税率表'!$D$10</f>
        <v>0</v>
      </c>
      <c r="AG79" s="275">
        <f>AG172*'2.税率表'!$D$10</f>
        <v>0</v>
      </c>
      <c r="AH79" s="276">
        <f>AH172*'2.税率表'!$D$10</f>
        <v>0</v>
      </c>
      <c r="AI79" s="276">
        <f>AI172*'2.税率表'!$D$10</f>
        <v>0</v>
      </c>
      <c r="AJ79" s="277">
        <f>AJ172*'2.税率表'!$D$10</f>
        <v>0</v>
      </c>
      <c r="AK79" s="275">
        <f>AK172*'2.税率表'!$D$10</f>
        <v>0</v>
      </c>
      <c r="AL79" s="276">
        <f>AL172*'2.税率表'!$D$10</f>
        <v>0</v>
      </c>
      <c r="AM79" s="276">
        <f>AM172*'2.税率表'!$D$10</f>
        <v>0</v>
      </c>
      <c r="AN79" s="277">
        <f>AN172*'2.税率表'!$D$10</f>
        <v>0</v>
      </c>
      <c r="AO79" s="275">
        <f>AO172*'2.税率表'!$D$10</f>
        <v>0</v>
      </c>
      <c r="AP79" s="276">
        <f>AP172*'2.税率表'!$D$10</f>
        <v>0</v>
      </c>
      <c r="AQ79" s="276">
        <f>AQ172*'2.税率表'!$D$10</f>
        <v>0</v>
      </c>
      <c r="AR79" s="277">
        <f>AR172*'2.税率表'!$D$10</f>
        <v>0</v>
      </c>
      <c r="AS79" s="275">
        <f>AS172*'2.税率表'!$D$10</f>
        <v>0</v>
      </c>
      <c r="AT79" s="276">
        <f>AT172*'2.税率表'!$D$10</f>
        <v>0</v>
      </c>
      <c r="AU79" s="276">
        <f>AU172*'2.税率表'!$D$10</f>
        <v>0</v>
      </c>
      <c r="AV79" s="277">
        <f>AV172*'2.税率表'!$D$10</f>
        <v>0</v>
      </c>
    </row>
    <row r="80" spans="2:48" s="257" customFormat="1" ht="15.75" customHeight="1" outlineLevel="1">
      <c r="B80" s="1980"/>
      <c r="C80" s="303">
        <f>'8.项目规划指标表'!$B$12</f>
        <v>0</v>
      </c>
      <c r="D80" s="274">
        <f t="shared" si="20"/>
        <v>0</v>
      </c>
      <c r="E80" s="275">
        <f>E173*'2.税率表'!$D$10</f>
        <v>0</v>
      </c>
      <c r="F80" s="276">
        <f>F173*'2.税率表'!$D$10</f>
        <v>0</v>
      </c>
      <c r="G80" s="276">
        <f>G173*'2.税率表'!$D$10</f>
        <v>0</v>
      </c>
      <c r="H80" s="277">
        <f>H173*'2.税率表'!$D$10</f>
        <v>0</v>
      </c>
      <c r="I80" s="275">
        <f>I173*'2.税率表'!$D$10</f>
        <v>0</v>
      </c>
      <c r="J80" s="276">
        <f>J173*'2.税率表'!$D$10</f>
        <v>0</v>
      </c>
      <c r="K80" s="276">
        <f>K173*'2.税率表'!$D$10</f>
        <v>0</v>
      </c>
      <c r="L80" s="277">
        <f>L173*'2.税率表'!$D$10</f>
        <v>0</v>
      </c>
      <c r="M80" s="275">
        <f>M173*'2.税率表'!$D$10</f>
        <v>0</v>
      </c>
      <c r="N80" s="276">
        <f>N173*'2.税率表'!$D$10</f>
        <v>0</v>
      </c>
      <c r="O80" s="276">
        <f>O173*'2.税率表'!$D$10</f>
        <v>0</v>
      </c>
      <c r="P80" s="277">
        <f>P173*'2.税率表'!$D$10</f>
        <v>0</v>
      </c>
      <c r="Q80" s="275">
        <f>Q173*'2.税率表'!$D$10</f>
        <v>0</v>
      </c>
      <c r="R80" s="276">
        <f>R173*'2.税率表'!$D$10</f>
        <v>0</v>
      </c>
      <c r="S80" s="276">
        <f>S173*'2.税率表'!$D$10</f>
        <v>0</v>
      </c>
      <c r="T80" s="277">
        <f>T173*'2.税率表'!$D$10</f>
        <v>0</v>
      </c>
      <c r="U80" s="275">
        <f>U173*'2.税率表'!$D$10</f>
        <v>0</v>
      </c>
      <c r="V80" s="276">
        <f>V173*'2.税率表'!$D$10</f>
        <v>0</v>
      </c>
      <c r="W80" s="276">
        <f>W173*'2.税率表'!$D$10</f>
        <v>0</v>
      </c>
      <c r="X80" s="277">
        <f>X173*'2.税率表'!$D$10</f>
        <v>0</v>
      </c>
      <c r="Y80" s="275">
        <f>Y173*'2.税率表'!$D$10</f>
        <v>0</v>
      </c>
      <c r="Z80" s="276">
        <f>Z173*'2.税率表'!$D$10</f>
        <v>0</v>
      </c>
      <c r="AA80" s="276">
        <f>AA173*'2.税率表'!$D$10</f>
        <v>0</v>
      </c>
      <c r="AB80" s="277">
        <f>AB173*'2.税率表'!$D$10</f>
        <v>0</v>
      </c>
      <c r="AC80" s="275">
        <f>AC173*'2.税率表'!$D$10</f>
        <v>0</v>
      </c>
      <c r="AD80" s="276">
        <f>AD173*'2.税率表'!$D$10</f>
        <v>0</v>
      </c>
      <c r="AE80" s="276">
        <f>AE173*'2.税率表'!$D$10</f>
        <v>0</v>
      </c>
      <c r="AF80" s="277">
        <f>AF173*'2.税率表'!$D$10</f>
        <v>0</v>
      </c>
      <c r="AG80" s="275">
        <f>AG173*'2.税率表'!$D$10</f>
        <v>0</v>
      </c>
      <c r="AH80" s="276">
        <f>AH173*'2.税率表'!$D$10</f>
        <v>0</v>
      </c>
      <c r="AI80" s="276">
        <f>AI173*'2.税率表'!$D$10</f>
        <v>0</v>
      </c>
      <c r="AJ80" s="277">
        <f>AJ173*'2.税率表'!$D$10</f>
        <v>0</v>
      </c>
      <c r="AK80" s="275">
        <f>AK173*'2.税率表'!$D$10</f>
        <v>0</v>
      </c>
      <c r="AL80" s="276">
        <f>AL173*'2.税率表'!$D$10</f>
        <v>0</v>
      </c>
      <c r="AM80" s="276">
        <f>AM173*'2.税率表'!$D$10</f>
        <v>0</v>
      </c>
      <c r="AN80" s="277">
        <f>AN173*'2.税率表'!$D$10</f>
        <v>0</v>
      </c>
      <c r="AO80" s="275">
        <f>AO173*'2.税率表'!$D$10</f>
        <v>0</v>
      </c>
      <c r="AP80" s="276">
        <f>AP173*'2.税率表'!$D$10</f>
        <v>0</v>
      </c>
      <c r="AQ80" s="276">
        <f>AQ173*'2.税率表'!$D$10</f>
        <v>0</v>
      </c>
      <c r="AR80" s="277">
        <f>AR173*'2.税率表'!$D$10</f>
        <v>0</v>
      </c>
      <c r="AS80" s="275">
        <f>AS173*'2.税率表'!$D$10</f>
        <v>0</v>
      </c>
      <c r="AT80" s="276">
        <f>AT173*'2.税率表'!$D$10</f>
        <v>0</v>
      </c>
      <c r="AU80" s="276">
        <f>AU173*'2.税率表'!$D$10</f>
        <v>0</v>
      </c>
      <c r="AV80" s="277">
        <f>AV173*'2.税率表'!$D$10</f>
        <v>0</v>
      </c>
    </row>
    <row r="81" spans="2:48" s="257" customFormat="1" ht="15.75" customHeight="1" outlineLevel="1">
      <c r="B81" s="1980"/>
      <c r="C81" s="303">
        <f>'8.项目规划指标表'!$B$13</f>
        <v>0</v>
      </c>
      <c r="D81" s="274">
        <f t="shared" si="20"/>
        <v>0</v>
      </c>
      <c r="E81" s="275">
        <f>E174*'2.税率表'!$D$10</f>
        <v>0</v>
      </c>
      <c r="F81" s="276">
        <f>F174*'2.税率表'!$D$10</f>
        <v>0</v>
      </c>
      <c r="G81" s="276">
        <f>G174*'2.税率表'!$D$10</f>
        <v>0</v>
      </c>
      <c r="H81" s="277">
        <f>H174*'2.税率表'!$D$10</f>
        <v>0</v>
      </c>
      <c r="I81" s="275">
        <f>I174*'2.税率表'!$D$10</f>
        <v>0</v>
      </c>
      <c r="J81" s="276">
        <f>J174*'2.税率表'!$D$10</f>
        <v>0</v>
      </c>
      <c r="K81" s="276">
        <f>K174*'2.税率表'!$D$10</f>
        <v>0</v>
      </c>
      <c r="L81" s="277">
        <f>L174*'2.税率表'!$D$10</f>
        <v>0</v>
      </c>
      <c r="M81" s="275">
        <f>M174*'2.税率表'!$D$10</f>
        <v>0</v>
      </c>
      <c r="N81" s="276">
        <f>N174*'2.税率表'!$D$10</f>
        <v>0</v>
      </c>
      <c r="O81" s="276">
        <f>O174*'2.税率表'!$D$10</f>
        <v>0</v>
      </c>
      <c r="P81" s="277">
        <f>P174*'2.税率表'!$D$10</f>
        <v>0</v>
      </c>
      <c r="Q81" s="275">
        <f>Q174*'2.税率表'!$D$10</f>
        <v>0</v>
      </c>
      <c r="R81" s="276">
        <f>R174*'2.税率表'!$D$10</f>
        <v>0</v>
      </c>
      <c r="S81" s="276">
        <f>S174*'2.税率表'!$D$10</f>
        <v>0</v>
      </c>
      <c r="T81" s="277">
        <f>T174*'2.税率表'!$D$10</f>
        <v>0</v>
      </c>
      <c r="U81" s="275">
        <f>U174*'2.税率表'!$D$10</f>
        <v>0</v>
      </c>
      <c r="V81" s="276">
        <f>V174*'2.税率表'!$D$10</f>
        <v>0</v>
      </c>
      <c r="W81" s="276">
        <f>W174*'2.税率表'!$D$10</f>
        <v>0</v>
      </c>
      <c r="X81" s="277">
        <f>X174*'2.税率表'!$D$10</f>
        <v>0</v>
      </c>
      <c r="Y81" s="275">
        <f>Y174*'2.税率表'!$D$10</f>
        <v>0</v>
      </c>
      <c r="Z81" s="276">
        <f>Z174*'2.税率表'!$D$10</f>
        <v>0</v>
      </c>
      <c r="AA81" s="276">
        <f>AA174*'2.税率表'!$D$10</f>
        <v>0</v>
      </c>
      <c r="AB81" s="277">
        <f>AB174*'2.税率表'!$D$10</f>
        <v>0</v>
      </c>
      <c r="AC81" s="275">
        <f>AC174*'2.税率表'!$D$10</f>
        <v>0</v>
      </c>
      <c r="AD81" s="276">
        <f>AD174*'2.税率表'!$D$10</f>
        <v>0</v>
      </c>
      <c r="AE81" s="276">
        <f>AE174*'2.税率表'!$D$10</f>
        <v>0</v>
      </c>
      <c r="AF81" s="277">
        <f>AF174*'2.税率表'!$D$10</f>
        <v>0</v>
      </c>
      <c r="AG81" s="275">
        <f>AG174*'2.税率表'!$D$10</f>
        <v>0</v>
      </c>
      <c r="AH81" s="276">
        <f>AH174*'2.税率表'!$D$10</f>
        <v>0</v>
      </c>
      <c r="AI81" s="276">
        <f>AI174*'2.税率表'!$D$10</f>
        <v>0</v>
      </c>
      <c r="AJ81" s="277">
        <f>AJ174*'2.税率表'!$D$10</f>
        <v>0</v>
      </c>
      <c r="AK81" s="275">
        <f>AK174*'2.税率表'!$D$10</f>
        <v>0</v>
      </c>
      <c r="AL81" s="276">
        <f>AL174*'2.税率表'!$D$10</f>
        <v>0</v>
      </c>
      <c r="AM81" s="276">
        <f>AM174*'2.税率表'!$D$10</f>
        <v>0</v>
      </c>
      <c r="AN81" s="277">
        <f>AN174*'2.税率表'!$D$10</f>
        <v>0</v>
      </c>
      <c r="AO81" s="275">
        <f>AO174*'2.税率表'!$D$10</f>
        <v>0</v>
      </c>
      <c r="AP81" s="276">
        <f>AP174*'2.税率表'!$D$10</f>
        <v>0</v>
      </c>
      <c r="AQ81" s="276">
        <f>AQ174*'2.税率表'!$D$10</f>
        <v>0</v>
      </c>
      <c r="AR81" s="277">
        <f>AR174*'2.税率表'!$D$10</f>
        <v>0</v>
      </c>
      <c r="AS81" s="275">
        <f>AS174*'2.税率表'!$D$10</f>
        <v>0</v>
      </c>
      <c r="AT81" s="276">
        <f>AT174*'2.税率表'!$D$10</f>
        <v>0</v>
      </c>
      <c r="AU81" s="276">
        <f>AU174*'2.税率表'!$D$10</f>
        <v>0</v>
      </c>
      <c r="AV81" s="277">
        <f>AV174*'2.税率表'!$D$10</f>
        <v>0</v>
      </c>
    </row>
    <row r="82" spans="2:48" s="257" customFormat="1" ht="15.75" customHeight="1" outlineLevel="1">
      <c r="B82" s="1980"/>
      <c r="C82" s="303" t="str">
        <f>'8.项目规划指标表'!$B$14</f>
        <v>自持物业</v>
      </c>
      <c r="D82" s="274">
        <f t="shared" si="20"/>
        <v>0</v>
      </c>
      <c r="E82" s="275">
        <f>E175*'2.税率表'!$D$10</f>
        <v>0</v>
      </c>
      <c r="F82" s="276">
        <f>F175*'2.税率表'!$D$10</f>
        <v>0</v>
      </c>
      <c r="G82" s="276">
        <f>G175*'2.税率表'!$D$10</f>
        <v>0</v>
      </c>
      <c r="H82" s="277">
        <f>H175*'2.税率表'!$D$10</f>
        <v>0</v>
      </c>
      <c r="I82" s="275">
        <f>I175*'2.税率表'!$D$10</f>
        <v>0</v>
      </c>
      <c r="J82" s="276">
        <f>J175*'2.税率表'!$D$10</f>
        <v>0</v>
      </c>
      <c r="K82" s="276">
        <f>K175*'2.税率表'!$D$10</f>
        <v>0</v>
      </c>
      <c r="L82" s="277">
        <f>L175*'2.税率表'!$D$10</f>
        <v>0</v>
      </c>
      <c r="M82" s="275">
        <f>M175*'2.税率表'!$D$10</f>
        <v>0</v>
      </c>
      <c r="N82" s="276">
        <f>N175*'2.税率表'!$D$10</f>
        <v>0</v>
      </c>
      <c r="O82" s="276">
        <f>O175*'2.税率表'!$D$10</f>
        <v>0</v>
      </c>
      <c r="P82" s="277">
        <f>P175*'2.税率表'!$D$10</f>
        <v>0</v>
      </c>
      <c r="Q82" s="275">
        <f>Q175*'2.税率表'!$D$10</f>
        <v>0</v>
      </c>
      <c r="R82" s="276">
        <f>R175*'2.税率表'!$D$10</f>
        <v>0</v>
      </c>
      <c r="S82" s="276">
        <f>S175*'2.税率表'!$D$10</f>
        <v>0</v>
      </c>
      <c r="T82" s="277">
        <f>T175*'2.税率表'!$D$10</f>
        <v>0</v>
      </c>
      <c r="U82" s="275">
        <f>U175*'2.税率表'!$D$10</f>
        <v>0</v>
      </c>
      <c r="V82" s="276">
        <f>V175*'2.税率表'!$D$10</f>
        <v>0</v>
      </c>
      <c r="W82" s="276">
        <f>W175*'2.税率表'!$D$10</f>
        <v>0</v>
      </c>
      <c r="X82" s="277">
        <f>X175*'2.税率表'!$D$10</f>
        <v>0</v>
      </c>
      <c r="Y82" s="275">
        <f>Y175*'2.税率表'!$D$10</f>
        <v>0</v>
      </c>
      <c r="Z82" s="276">
        <f>Z175*'2.税率表'!$D$10</f>
        <v>0</v>
      </c>
      <c r="AA82" s="276">
        <f>AA175*'2.税率表'!$D$10</f>
        <v>0</v>
      </c>
      <c r="AB82" s="277">
        <f>AB175*'2.税率表'!$D$10</f>
        <v>0</v>
      </c>
      <c r="AC82" s="275">
        <f>AC175*'2.税率表'!$D$10</f>
        <v>0</v>
      </c>
      <c r="AD82" s="276">
        <f>AD175*'2.税率表'!$D$10</f>
        <v>0</v>
      </c>
      <c r="AE82" s="276">
        <f>AE175*'2.税率表'!$D$10</f>
        <v>0</v>
      </c>
      <c r="AF82" s="277">
        <f>AF175*'2.税率表'!$D$10</f>
        <v>0</v>
      </c>
      <c r="AG82" s="275">
        <f>AG175*'2.税率表'!$D$10</f>
        <v>0</v>
      </c>
      <c r="AH82" s="276">
        <f>AH175*'2.税率表'!$D$10</f>
        <v>0</v>
      </c>
      <c r="AI82" s="276">
        <f>AI175*'2.税率表'!$D$10</f>
        <v>0</v>
      </c>
      <c r="AJ82" s="277">
        <f>AJ175*'2.税率表'!$D$10</f>
        <v>0</v>
      </c>
      <c r="AK82" s="275">
        <f>AK175*'2.税率表'!$D$10</f>
        <v>0</v>
      </c>
      <c r="AL82" s="276">
        <f>AL175*'2.税率表'!$D$10</f>
        <v>0</v>
      </c>
      <c r="AM82" s="276">
        <f>AM175*'2.税率表'!$D$10</f>
        <v>0</v>
      </c>
      <c r="AN82" s="277">
        <f>AN175*'2.税率表'!$D$10</f>
        <v>0</v>
      </c>
      <c r="AO82" s="275">
        <f>AO175*'2.税率表'!$D$10</f>
        <v>0</v>
      </c>
      <c r="AP82" s="276">
        <f>AP175*'2.税率表'!$D$10</f>
        <v>0</v>
      </c>
      <c r="AQ82" s="276">
        <f>AQ175*'2.税率表'!$D$10</f>
        <v>0</v>
      </c>
      <c r="AR82" s="277">
        <f>AR175*'2.税率表'!$D$10</f>
        <v>0</v>
      </c>
      <c r="AS82" s="275">
        <f>AS175*'2.税率表'!$D$10</f>
        <v>0</v>
      </c>
      <c r="AT82" s="276">
        <f>AT175*'2.税率表'!$D$10</f>
        <v>0</v>
      </c>
      <c r="AU82" s="276">
        <f>AU175*'2.税率表'!$D$10</f>
        <v>0</v>
      </c>
      <c r="AV82" s="277">
        <f>AV175*'2.税率表'!$D$10</f>
        <v>0</v>
      </c>
    </row>
    <row r="83" spans="2:48" s="257" customFormat="1" ht="15.75" customHeight="1" outlineLevel="1">
      <c r="B83" s="1980"/>
      <c r="C83" s="303" t="str">
        <f>'8.项目规划指标表'!$B$18</f>
        <v>有产权车库(个)</v>
      </c>
      <c r="D83" s="274">
        <f t="shared" si="20"/>
        <v>0</v>
      </c>
      <c r="E83" s="275">
        <f>E176*'2.税率表'!$D$10</f>
        <v>0</v>
      </c>
      <c r="F83" s="276">
        <f>F176*'2.税率表'!$D$10</f>
        <v>0</v>
      </c>
      <c r="G83" s="276">
        <f>G176*'2.税率表'!$D$10</f>
        <v>0</v>
      </c>
      <c r="H83" s="277">
        <f>H176*'2.税率表'!$D$10</f>
        <v>0</v>
      </c>
      <c r="I83" s="275">
        <f>I176*'2.税率表'!$D$10</f>
        <v>0</v>
      </c>
      <c r="J83" s="276">
        <f>J176*'2.税率表'!$D$10</f>
        <v>0</v>
      </c>
      <c r="K83" s="276">
        <f>K176*'2.税率表'!$D$10</f>
        <v>0</v>
      </c>
      <c r="L83" s="277">
        <f>L176*'2.税率表'!$D$10</f>
        <v>0</v>
      </c>
      <c r="M83" s="275">
        <f>M176*'2.税率表'!$D$10</f>
        <v>0</v>
      </c>
      <c r="N83" s="276">
        <f>N176*'2.税率表'!$D$10</f>
        <v>0</v>
      </c>
      <c r="O83" s="276">
        <f>O176*'2.税率表'!$D$10</f>
        <v>0</v>
      </c>
      <c r="P83" s="277">
        <f>P176*'2.税率表'!$D$10</f>
        <v>0</v>
      </c>
      <c r="Q83" s="275">
        <f>Q176*'2.税率表'!$D$10</f>
        <v>0</v>
      </c>
      <c r="R83" s="276">
        <f>R176*'2.税率表'!$D$10</f>
        <v>0</v>
      </c>
      <c r="S83" s="276">
        <f>S176*'2.税率表'!$D$10</f>
        <v>0</v>
      </c>
      <c r="T83" s="277">
        <f>T176*'2.税率表'!$D$10</f>
        <v>0</v>
      </c>
      <c r="U83" s="275">
        <f>U176*'2.税率表'!$D$10</f>
        <v>0</v>
      </c>
      <c r="V83" s="276">
        <f>V176*'2.税率表'!$D$10</f>
        <v>0</v>
      </c>
      <c r="W83" s="276">
        <f>W176*'2.税率表'!$D$10</f>
        <v>0</v>
      </c>
      <c r="X83" s="277">
        <f>X176*'2.税率表'!$D$10</f>
        <v>0</v>
      </c>
      <c r="Y83" s="275">
        <f>Y176*'2.税率表'!$D$10</f>
        <v>0</v>
      </c>
      <c r="Z83" s="276">
        <f>Z176*'2.税率表'!$D$10</f>
        <v>0</v>
      </c>
      <c r="AA83" s="276">
        <f>AA176*'2.税率表'!$D$10</f>
        <v>0</v>
      </c>
      <c r="AB83" s="277">
        <f>AB176*'2.税率表'!$D$10</f>
        <v>0</v>
      </c>
      <c r="AC83" s="275">
        <f>AC176*'2.税率表'!$D$10</f>
        <v>0</v>
      </c>
      <c r="AD83" s="276">
        <f>AD176*'2.税率表'!$D$10</f>
        <v>0</v>
      </c>
      <c r="AE83" s="276">
        <f>AE176*'2.税率表'!$D$10</f>
        <v>0</v>
      </c>
      <c r="AF83" s="277">
        <f>AF176*'2.税率表'!$D$10</f>
        <v>0</v>
      </c>
      <c r="AG83" s="275">
        <f>AG176*'2.税率表'!$D$10</f>
        <v>0</v>
      </c>
      <c r="AH83" s="276">
        <f>AH176*'2.税率表'!$D$10</f>
        <v>0</v>
      </c>
      <c r="AI83" s="276">
        <f>AI176*'2.税率表'!$D$10</f>
        <v>0</v>
      </c>
      <c r="AJ83" s="277">
        <f>AJ176*'2.税率表'!$D$10</f>
        <v>0</v>
      </c>
      <c r="AK83" s="275">
        <f>AK176*'2.税率表'!$D$10</f>
        <v>0</v>
      </c>
      <c r="AL83" s="276">
        <f>AL176*'2.税率表'!$D$10</f>
        <v>0</v>
      </c>
      <c r="AM83" s="276">
        <f>AM176*'2.税率表'!$D$10</f>
        <v>0</v>
      </c>
      <c r="AN83" s="277">
        <f>AN176*'2.税率表'!$D$10</f>
        <v>0</v>
      </c>
      <c r="AO83" s="275">
        <f>AO176*'2.税率表'!$D$10</f>
        <v>0</v>
      </c>
      <c r="AP83" s="276">
        <f>AP176*'2.税率表'!$D$10</f>
        <v>0</v>
      </c>
      <c r="AQ83" s="276">
        <f>AQ176*'2.税率表'!$D$10</f>
        <v>0</v>
      </c>
      <c r="AR83" s="277">
        <f>AR176*'2.税率表'!$D$10</f>
        <v>0</v>
      </c>
      <c r="AS83" s="275">
        <f>AS176*'2.税率表'!$D$10</f>
        <v>0</v>
      </c>
      <c r="AT83" s="276">
        <f>AT176*'2.税率表'!$D$10</f>
        <v>0</v>
      </c>
      <c r="AU83" s="276">
        <f>AU176*'2.税率表'!$D$10</f>
        <v>0</v>
      </c>
      <c r="AV83" s="277">
        <f>AV176*'2.税率表'!$D$10</f>
        <v>0</v>
      </c>
    </row>
    <row r="84" spans="2:48" s="257" customFormat="1" ht="15.75" customHeight="1" outlineLevel="1">
      <c r="B84" s="1980"/>
      <c r="C84" s="303" t="str">
        <f>'8.项目规划指标表'!$B$19</f>
        <v>无产权车库(个)</v>
      </c>
      <c r="D84" s="274">
        <f t="shared" si="20"/>
        <v>0</v>
      </c>
      <c r="E84" s="275">
        <f>E177*'2.税率表'!$D$10</f>
        <v>0</v>
      </c>
      <c r="F84" s="276">
        <f>F177*'2.税率表'!$D$10</f>
        <v>0</v>
      </c>
      <c r="G84" s="276">
        <f>G177*'2.税率表'!$D$10</f>
        <v>0</v>
      </c>
      <c r="H84" s="277">
        <f>H177*'2.税率表'!$D$10</f>
        <v>0</v>
      </c>
      <c r="I84" s="275">
        <f>I177*'2.税率表'!$D$10</f>
        <v>0</v>
      </c>
      <c r="J84" s="276">
        <f>J177*'2.税率表'!$D$10</f>
        <v>0</v>
      </c>
      <c r="K84" s="276">
        <f>K177*'2.税率表'!$D$10</f>
        <v>0</v>
      </c>
      <c r="L84" s="277">
        <f>L177*'2.税率表'!$D$10</f>
        <v>0</v>
      </c>
      <c r="M84" s="275">
        <f>M177*'2.税率表'!$D$10</f>
        <v>0</v>
      </c>
      <c r="N84" s="276">
        <f>N177*'2.税率表'!$D$10</f>
        <v>0</v>
      </c>
      <c r="O84" s="276">
        <f>O177*'2.税率表'!$D$10</f>
        <v>0</v>
      </c>
      <c r="P84" s="277">
        <f>P177*'2.税率表'!$D$10</f>
        <v>0</v>
      </c>
      <c r="Q84" s="275">
        <f>Q177*'2.税率表'!$D$10</f>
        <v>0</v>
      </c>
      <c r="R84" s="276">
        <f>R177*'2.税率表'!$D$10</f>
        <v>0</v>
      </c>
      <c r="S84" s="276">
        <f>S177*'2.税率表'!$D$10</f>
        <v>0</v>
      </c>
      <c r="T84" s="277">
        <f>T177*'2.税率表'!$D$10</f>
        <v>0</v>
      </c>
      <c r="U84" s="275">
        <f>U177*'2.税率表'!$D$10</f>
        <v>0</v>
      </c>
      <c r="V84" s="276">
        <f>V177*'2.税率表'!$D$10</f>
        <v>0</v>
      </c>
      <c r="W84" s="276">
        <f>W177*'2.税率表'!$D$10</f>
        <v>0</v>
      </c>
      <c r="X84" s="277">
        <f>X177*'2.税率表'!$D$10</f>
        <v>0</v>
      </c>
      <c r="Y84" s="275">
        <f>Y177*'2.税率表'!$D$10</f>
        <v>0</v>
      </c>
      <c r="Z84" s="276">
        <f>Z177*'2.税率表'!$D$10</f>
        <v>0</v>
      </c>
      <c r="AA84" s="276">
        <f>AA177*'2.税率表'!$D$10</f>
        <v>0</v>
      </c>
      <c r="AB84" s="277">
        <f>AB177*'2.税率表'!$D$10</f>
        <v>0</v>
      </c>
      <c r="AC84" s="275">
        <f>AC177*'2.税率表'!$D$10</f>
        <v>0</v>
      </c>
      <c r="AD84" s="276">
        <f>AD177*'2.税率表'!$D$10</f>
        <v>0</v>
      </c>
      <c r="AE84" s="276">
        <f>AE177*'2.税率表'!$D$10</f>
        <v>0</v>
      </c>
      <c r="AF84" s="277">
        <f>AF177*'2.税率表'!$D$10</f>
        <v>0</v>
      </c>
      <c r="AG84" s="275">
        <f>AG177*'2.税率表'!$D$10</f>
        <v>0</v>
      </c>
      <c r="AH84" s="276">
        <f>AH177*'2.税率表'!$D$10</f>
        <v>0</v>
      </c>
      <c r="AI84" s="276">
        <f>AI177*'2.税率表'!$D$10</f>
        <v>0</v>
      </c>
      <c r="AJ84" s="277">
        <f>AJ177*'2.税率表'!$D$10</f>
        <v>0</v>
      </c>
      <c r="AK84" s="275">
        <f>AK177*'2.税率表'!$D$10</f>
        <v>0</v>
      </c>
      <c r="AL84" s="276">
        <f>AL177*'2.税率表'!$D$10</f>
        <v>0</v>
      </c>
      <c r="AM84" s="276">
        <f>AM177*'2.税率表'!$D$10</f>
        <v>0</v>
      </c>
      <c r="AN84" s="277">
        <f>AN177*'2.税率表'!$D$10</f>
        <v>0</v>
      </c>
      <c r="AO84" s="275">
        <f>AO177*'2.税率表'!$D$10</f>
        <v>0</v>
      </c>
      <c r="AP84" s="276">
        <f>AP177*'2.税率表'!$D$10</f>
        <v>0</v>
      </c>
      <c r="AQ84" s="276">
        <f>AQ177*'2.税率表'!$D$10</f>
        <v>0</v>
      </c>
      <c r="AR84" s="277">
        <f>AR177*'2.税率表'!$D$10</f>
        <v>0</v>
      </c>
      <c r="AS84" s="275">
        <f>AS177*'2.税率表'!$D$10</f>
        <v>0</v>
      </c>
      <c r="AT84" s="276">
        <f>AT177*'2.税率表'!$D$10</f>
        <v>0</v>
      </c>
      <c r="AU84" s="276">
        <f>AU177*'2.税率表'!$D$10</f>
        <v>0</v>
      </c>
      <c r="AV84" s="277">
        <f>AV177*'2.税率表'!$D$10</f>
        <v>0</v>
      </c>
    </row>
    <row r="85" spans="2:48" s="256" customFormat="1" ht="15.75" customHeight="1">
      <c r="B85" s="1980"/>
      <c r="C85" s="299" t="s">
        <v>23</v>
      </c>
      <c r="D85" s="300">
        <f t="shared" ref="D85:AV85" si="21">SUM(D86:D97)</f>
        <v>0</v>
      </c>
      <c r="E85" s="301">
        <f t="shared" si="21"/>
        <v>0</v>
      </c>
      <c r="F85" s="300">
        <f t="shared" si="21"/>
        <v>0</v>
      </c>
      <c r="G85" s="300">
        <f t="shared" si="21"/>
        <v>0</v>
      </c>
      <c r="H85" s="302">
        <f t="shared" si="21"/>
        <v>0</v>
      </c>
      <c r="I85" s="301">
        <f t="shared" si="21"/>
        <v>0</v>
      </c>
      <c r="J85" s="300">
        <f t="shared" si="21"/>
        <v>0</v>
      </c>
      <c r="K85" s="300">
        <f t="shared" si="21"/>
        <v>0</v>
      </c>
      <c r="L85" s="302">
        <f t="shared" si="21"/>
        <v>0</v>
      </c>
      <c r="M85" s="301">
        <f t="shared" si="21"/>
        <v>0</v>
      </c>
      <c r="N85" s="300">
        <f t="shared" si="21"/>
        <v>0</v>
      </c>
      <c r="O85" s="300">
        <f t="shared" si="21"/>
        <v>0</v>
      </c>
      <c r="P85" s="302">
        <f t="shared" si="21"/>
        <v>0</v>
      </c>
      <c r="Q85" s="301">
        <f t="shared" si="21"/>
        <v>0</v>
      </c>
      <c r="R85" s="300">
        <f t="shared" si="21"/>
        <v>0</v>
      </c>
      <c r="S85" s="300">
        <f t="shared" si="21"/>
        <v>0</v>
      </c>
      <c r="T85" s="302">
        <f t="shared" si="21"/>
        <v>0</v>
      </c>
      <c r="U85" s="301">
        <f t="shared" si="21"/>
        <v>0</v>
      </c>
      <c r="V85" s="300">
        <f t="shared" si="21"/>
        <v>0</v>
      </c>
      <c r="W85" s="300">
        <f t="shared" si="21"/>
        <v>0</v>
      </c>
      <c r="X85" s="302">
        <f t="shared" si="21"/>
        <v>0</v>
      </c>
      <c r="Y85" s="301">
        <f t="shared" si="21"/>
        <v>0</v>
      </c>
      <c r="Z85" s="300">
        <f t="shared" si="21"/>
        <v>0</v>
      </c>
      <c r="AA85" s="300">
        <f t="shared" si="21"/>
        <v>0</v>
      </c>
      <c r="AB85" s="302">
        <f t="shared" si="21"/>
        <v>0</v>
      </c>
      <c r="AC85" s="301">
        <f t="shared" si="21"/>
        <v>0</v>
      </c>
      <c r="AD85" s="300">
        <f t="shared" si="21"/>
        <v>0</v>
      </c>
      <c r="AE85" s="300">
        <f t="shared" si="21"/>
        <v>0</v>
      </c>
      <c r="AF85" s="302">
        <f t="shared" si="21"/>
        <v>0</v>
      </c>
      <c r="AG85" s="301">
        <f t="shared" si="21"/>
        <v>0</v>
      </c>
      <c r="AH85" s="300">
        <f t="shared" si="21"/>
        <v>0</v>
      </c>
      <c r="AI85" s="300">
        <f t="shared" si="21"/>
        <v>0</v>
      </c>
      <c r="AJ85" s="302">
        <f t="shared" si="21"/>
        <v>0</v>
      </c>
      <c r="AK85" s="301">
        <f t="shared" si="21"/>
        <v>0</v>
      </c>
      <c r="AL85" s="300">
        <f t="shared" si="21"/>
        <v>0</v>
      </c>
      <c r="AM85" s="300">
        <f t="shared" si="21"/>
        <v>0</v>
      </c>
      <c r="AN85" s="302">
        <f t="shared" si="21"/>
        <v>0</v>
      </c>
      <c r="AO85" s="301">
        <f t="shared" si="21"/>
        <v>0</v>
      </c>
      <c r="AP85" s="300">
        <f t="shared" si="21"/>
        <v>0</v>
      </c>
      <c r="AQ85" s="300">
        <f t="shared" si="21"/>
        <v>0</v>
      </c>
      <c r="AR85" s="302">
        <f t="shared" si="21"/>
        <v>0</v>
      </c>
      <c r="AS85" s="301">
        <f t="shared" si="21"/>
        <v>0</v>
      </c>
      <c r="AT85" s="300">
        <f t="shared" si="21"/>
        <v>0</v>
      </c>
      <c r="AU85" s="300">
        <f t="shared" si="21"/>
        <v>0</v>
      </c>
      <c r="AV85" s="302">
        <f t="shared" si="21"/>
        <v>0</v>
      </c>
    </row>
    <row r="86" spans="2:48" s="257" customFormat="1" ht="15.75" customHeight="1" outlineLevel="1">
      <c r="B86" s="1980"/>
      <c r="C86" s="303" t="str">
        <f>'8.项目规划指标表'!$B$5</f>
        <v>高层</v>
      </c>
      <c r="D86" s="274">
        <f>SUM(E86:AV86)</f>
        <v>0</v>
      </c>
      <c r="E86" s="275">
        <f>E179*'2.税率表'!$D$11</f>
        <v>0</v>
      </c>
      <c r="F86" s="276">
        <f>F179*'2.税率表'!$D$11</f>
        <v>0</v>
      </c>
      <c r="G86" s="276">
        <f>G179*'2.税率表'!$D$11</f>
        <v>0</v>
      </c>
      <c r="H86" s="277">
        <f>H179*'2.税率表'!$D$11</f>
        <v>0</v>
      </c>
      <c r="I86" s="275">
        <f>I179*'2.税率表'!$D$11</f>
        <v>0</v>
      </c>
      <c r="J86" s="276">
        <f>J179*'2.税率表'!$D$11</f>
        <v>0</v>
      </c>
      <c r="K86" s="276">
        <f>K179*'2.税率表'!$D$11</f>
        <v>0</v>
      </c>
      <c r="L86" s="277">
        <f>L179*'2.税率表'!$D$11</f>
        <v>0</v>
      </c>
      <c r="M86" s="275">
        <f>M179*'2.税率表'!$D$11</f>
        <v>0</v>
      </c>
      <c r="N86" s="276">
        <f>N179*'2.税率表'!$D$11</f>
        <v>0</v>
      </c>
      <c r="O86" s="276">
        <f>O179*'2.税率表'!$D$11</f>
        <v>0</v>
      </c>
      <c r="P86" s="277">
        <f>P179*'2.税率表'!$D$11</f>
        <v>0</v>
      </c>
      <c r="Q86" s="275">
        <f>Q179*'2.税率表'!$D$11</f>
        <v>0</v>
      </c>
      <c r="R86" s="276">
        <f>R179*'2.税率表'!$D$11</f>
        <v>0</v>
      </c>
      <c r="S86" s="276">
        <f>S179*'2.税率表'!$D$11</f>
        <v>0</v>
      </c>
      <c r="T86" s="277">
        <f>T179*'2.税率表'!$D$11</f>
        <v>0</v>
      </c>
      <c r="U86" s="275">
        <f>U179*'2.税率表'!$D$11</f>
        <v>0</v>
      </c>
      <c r="V86" s="276">
        <f>V179*'2.税率表'!$D$11</f>
        <v>0</v>
      </c>
      <c r="W86" s="276">
        <f>W179*'2.税率表'!$D$11</f>
        <v>0</v>
      </c>
      <c r="X86" s="277">
        <f>X179*'2.税率表'!$D$11</f>
        <v>0</v>
      </c>
      <c r="Y86" s="275">
        <f>Y179*'2.税率表'!$D$11</f>
        <v>0</v>
      </c>
      <c r="Z86" s="276">
        <f>Z179*'2.税率表'!$D$11</f>
        <v>0</v>
      </c>
      <c r="AA86" s="276">
        <f>AA179*'2.税率表'!$D$11</f>
        <v>0</v>
      </c>
      <c r="AB86" s="277">
        <f>AB179*'2.税率表'!$D$11</f>
        <v>0</v>
      </c>
      <c r="AC86" s="275">
        <f>AC179*'2.税率表'!$D$11</f>
        <v>0</v>
      </c>
      <c r="AD86" s="276">
        <f>AD179*'2.税率表'!$D$11</f>
        <v>0</v>
      </c>
      <c r="AE86" s="276">
        <f>AE179*'2.税率表'!$D$11</f>
        <v>0</v>
      </c>
      <c r="AF86" s="277">
        <f>AF179*'2.税率表'!$D$11</f>
        <v>0</v>
      </c>
      <c r="AG86" s="275">
        <f>AG179*'2.税率表'!$D$11</f>
        <v>0</v>
      </c>
      <c r="AH86" s="276">
        <f>AH179*'2.税率表'!$D$11</f>
        <v>0</v>
      </c>
      <c r="AI86" s="276">
        <f>AI179*'2.税率表'!$D$11</f>
        <v>0</v>
      </c>
      <c r="AJ86" s="277">
        <f>AJ179*'2.税率表'!$D$11</f>
        <v>0</v>
      </c>
      <c r="AK86" s="275">
        <f>AK179*'2.税率表'!$D$11</f>
        <v>0</v>
      </c>
      <c r="AL86" s="276">
        <f>AL179*'2.税率表'!$D$11</f>
        <v>0</v>
      </c>
      <c r="AM86" s="276">
        <f>AM179*'2.税率表'!$D$11</f>
        <v>0</v>
      </c>
      <c r="AN86" s="277">
        <f>AN179*'2.税率表'!$D$11</f>
        <v>0</v>
      </c>
      <c r="AO86" s="275">
        <f>AO179*'2.税率表'!$D$11</f>
        <v>0</v>
      </c>
      <c r="AP86" s="276">
        <f>AP179*'2.税率表'!$D$11</f>
        <v>0</v>
      </c>
      <c r="AQ86" s="276">
        <f>AQ179*'2.税率表'!$D$11</f>
        <v>0</v>
      </c>
      <c r="AR86" s="277">
        <f>AR179*'2.税率表'!$D$11</f>
        <v>0</v>
      </c>
      <c r="AS86" s="275">
        <f>AS179*'2.税率表'!$D$11</f>
        <v>0</v>
      </c>
      <c r="AT86" s="276">
        <f>AT179*'2.税率表'!$D$11</f>
        <v>0</v>
      </c>
      <c r="AU86" s="276">
        <f>AU179*'2.税率表'!$D$11</f>
        <v>0</v>
      </c>
      <c r="AV86" s="277">
        <f>AV179*'2.税率表'!$D$11</f>
        <v>0</v>
      </c>
    </row>
    <row r="87" spans="2:48" s="257" customFormat="1" ht="15.75" customHeight="1" outlineLevel="1">
      <c r="B87" s="1980"/>
      <c r="C87" s="303" t="str">
        <f>'8.项目规划指标表'!$B$6</f>
        <v>商铺</v>
      </c>
      <c r="D87" s="274">
        <f t="shared" ref="D87:D97" si="22">SUM(E87:AV87)</f>
        <v>0</v>
      </c>
      <c r="E87" s="275">
        <f>E180*'2.税率表'!$D$11</f>
        <v>0</v>
      </c>
      <c r="F87" s="276">
        <f>F180*'2.税率表'!$D$11</f>
        <v>0</v>
      </c>
      <c r="G87" s="276">
        <f>G180*'2.税率表'!$D$11</f>
        <v>0</v>
      </c>
      <c r="H87" s="277">
        <f>H180*'2.税率表'!$D$11</f>
        <v>0</v>
      </c>
      <c r="I87" s="275">
        <f>I180*'2.税率表'!$D$11</f>
        <v>0</v>
      </c>
      <c r="J87" s="276">
        <f>J180*'2.税率表'!$D$11</f>
        <v>0</v>
      </c>
      <c r="K87" s="276">
        <f>K180*'2.税率表'!$D$11</f>
        <v>0</v>
      </c>
      <c r="L87" s="277">
        <f>L180*'2.税率表'!$D$11</f>
        <v>0</v>
      </c>
      <c r="M87" s="275">
        <f>M180*'2.税率表'!$D$11</f>
        <v>0</v>
      </c>
      <c r="N87" s="276">
        <f>N180*'2.税率表'!$D$11</f>
        <v>0</v>
      </c>
      <c r="O87" s="276">
        <f>O180*'2.税率表'!$D$11</f>
        <v>0</v>
      </c>
      <c r="P87" s="277">
        <f>P180*'2.税率表'!$D$11</f>
        <v>0</v>
      </c>
      <c r="Q87" s="275">
        <f>Q180*'2.税率表'!$D$11</f>
        <v>0</v>
      </c>
      <c r="R87" s="276">
        <f>R180*'2.税率表'!$D$11</f>
        <v>0</v>
      </c>
      <c r="S87" s="276">
        <f>S180*'2.税率表'!$D$11</f>
        <v>0</v>
      </c>
      <c r="T87" s="277">
        <f>T180*'2.税率表'!$D$11</f>
        <v>0</v>
      </c>
      <c r="U87" s="275">
        <f>U180*'2.税率表'!$D$11</f>
        <v>0</v>
      </c>
      <c r="V87" s="276">
        <f>V180*'2.税率表'!$D$11</f>
        <v>0</v>
      </c>
      <c r="W87" s="276">
        <f>W180*'2.税率表'!$D$11</f>
        <v>0</v>
      </c>
      <c r="X87" s="277">
        <f>X180*'2.税率表'!$D$11</f>
        <v>0</v>
      </c>
      <c r="Y87" s="275">
        <f>Y180*'2.税率表'!$D$11</f>
        <v>0</v>
      </c>
      <c r="Z87" s="276">
        <f>Z180*'2.税率表'!$D$11</f>
        <v>0</v>
      </c>
      <c r="AA87" s="276">
        <f>AA180*'2.税率表'!$D$11</f>
        <v>0</v>
      </c>
      <c r="AB87" s="277">
        <f>AB180*'2.税率表'!$D$11</f>
        <v>0</v>
      </c>
      <c r="AC87" s="275">
        <f>AC180*'2.税率表'!$D$11</f>
        <v>0</v>
      </c>
      <c r="AD87" s="276">
        <f>AD180*'2.税率表'!$D$11</f>
        <v>0</v>
      </c>
      <c r="AE87" s="276">
        <f>AE180*'2.税率表'!$D$11</f>
        <v>0</v>
      </c>
      <c r="AF87" s="277">
        <f>AF180*'2.税率表'!$D$11</f>
        <v>0</v>
      </c>
      <c r="AG87" s="275">
        <f>AG180*'2.税率表'!$D$11</f>
        <v>0</v>
      </c>
      <c r="AH87" s="276">
        <f>AH180*'2.税率表'!$D$11</f>
        <v>0</v>
      </c>
      <c r="AI87" s="276">
        <f>AI180*'2.税率表'!$D$11</f>
        <v>0</v>
      </c>
      <c r="AJ87" s="277">
        <f>AJ180*'2.税率表'!$D$11</f>
        <v>0</v>
      </c>
      <c r="AK87" s="275">
        <f>AK180*'2.税率表'!$D$11</f>
        <v>0</v>
      </c>
      <c r="AL87" s="276">
        <f>AL180*'2.税率表'!$D$11</f>
        <v>0</v>
      </c>
      <c r="AM87" s="276">
        <f>AM180*'2.税率表'!$D$11</f>
        <v>0</v>
      </c>
      <c r="AN87" s="277">
        <f>AN180*'2.税率表'!$D$11</f>
        <v>0</v>
      </c>
      <c r="AO87" s="275">
        <f>AO180*'2.税率表'!$D$11</f>
        <v>0</v>
      </c>
      <c r="AP87" s="276">
        <f>AP180*'2.税率表'!$D$11</f>
        <v>0</v>
      </c>
      <c r="AQ87" s="276">
        <f>AQ180*'2.税率表'!$D$11</f>
        <v>0</v>
      </c>
      <c r="AR87" s="277">
        <f>AR180*'2.税率表'!$D$11</f>
        <v>0</v>
      </c>
      <c r="AS87" s="275">
        <f>AS180*'2.税率表'!$D$11</f>
        <v>0</v>
      </c>
      <c r="AT87" s="276">
        <f>AT180*'2.税率表'!$D$11</f>
        <v>0</v>
      </c>
      <c r="AU87" s="276">
        <f>AU180*'2.税率表'!$D$11</f>
        <v>0</v>
      </c>
      <c r="AV87" s="277">
        <f>AV180*'2.税率表'!$D$11</f>
        <v>0</v>
      </c>
    </row>
    <row r="88" spans="2:48" s="257" customFormat="1" ht="15.75" customHeight="1" outlineLevel="1">
      <c r="B88" s="1980"/>
      <c r="C88" s="303" t="str">
        <f>'8.项目规划指标表'!$B$7</f>
        <v>回迁商业</v>
      </c>
      <c r="D88" s="274">
        <f t="shared" si="22"/>
        <v>0</v>
      </c>
      <c r="E88" s="275">
        <f>E181*'2.税率表'!$D$11</f>
        <v>0</v>
      </c>
      <c r="F88" s="276">
        <f>F181*'2.税率表'!$D$11</f>
        <v>0</v>
      </c>
      <c r="G88" s="276">
        <f>G181*'2.税率表'!$D$11</f>
        <v>0</v>
      </c>
      <c r="H88" s="277">
        <f>H181*'2.税率表'!$D$11</f>
        <v>0</v>
      </c>
      <c r="I88" s="275">
        <f>I181*'2.税率表'!$D$11</f>
        <v>0</v>
      </c>
      <c r="J88" s="276">
        <f>J181*'2.税率表'!$D$11</f>
        <v>0</v>
      </c>
      <c r="K88" s="276">
        <f>K181*'2.税率表'!$D$11</f>
        <v>0</v>
      </c>
      <c r="L88" s="277">
        <f>L181*'2.税率表'!$D$11</f>
        <v>0</v>
      </c>
      <c r="M88" s="275">
        <f>M181*'2.税率表'!$D$11</f>
        <v>0</v>
      </c>
      <c r="N88" s="276">
        <f>N181*'2.税率表'!$D$11</f>
        <v>0</v>
      </c>
      <c r="O88" s="276">
        <f>O181*'2.税率表'!$D$11</f>
        <v>0</v>
      </c>
      <c r="P88" s="277">
        <f>P181*'2.税率表'!$D$11</f>
        <v>0</v>
      </c>
      <c r="Q88" s="275">
        <f>Q181*'2.税率表'!$D$11</f>
        <v>0</v>
      </c>
      <c r="R88" s="276">
        <f>R181*'2.税率表'!$D$11</f>
        <v>0</v>
      </c>
      <c r="S88" s="276">
        <f>S181*'2.税率表'!$D$11</f>
        <v>0</v>
      </c>
      <c r="T88" s="277">
        <f>T181*'2.税率表'!$D$11</f>
        <v>0</v>
      </c>
      <c r="U88" s="275">
        <f>U181*'2.税率表'!$D$11</f>
        <v>0</v>
      </c>
      <c r="V88" s="276">
        <f>V181*'2.税率表'!$D$11</f>
        <v>0</v>
      </c>
      <c r="W88" s="276">
        <f>W181*'2.税率表'!$D$11</f>
        <v>0</v>
      </c>
      <c r="X88" s="277">
        <f>X181*'2.税率表'!$D$11</f>
        <v>0</v>
      </c>
      <c r="Y88" s="275">
        <f>Y181*'2.税率表'!$D$11</f>
        <v>0</v>
      </c>
      <c r="Z88" s="276">
        <f>Z181*'2.税率表'!$D$11</f>
        <v>0</v>
      </c>
      <c r="AA88" s="276">
        <f>AA181*'2.税率表'!$D$11</f>
        <v>0</v>
      </c>
      <c r="AB88" s="277">
        <f>AB181*'2.税率表'!$D$11</f>
        <v>0</v>
      </c>
      <c r="AC88" s="275">
        <f>AC181*'2.税率表'!$D$11</f>
        <v>0</v>
      </c>
      <c r="AD88" s="276">
        <f>AD181*'2.税率表'!$D$11</f>
        <v>0</v>
      </c>
      <c r="AE88" s="276">
        <f>AE181*'2.税率表'!$D$11</f>
        <v>0</v>
      </c>
      <c r="AF88" s="277">
        <f>AF181*'2.税率表'!$D$11</f>
        <v>0</v>
      </c>
      <c r="AG88" s="275">
        <f>AG181*'2.税率表'!$D$11</f>
        <v>0</v>
      </c>
      <c r="AH88" s="276">
        <f>AH181*'2.税率表'!$D$11</f>
        <v>0</v>
      </c>
      <c r="AI88" s="276">
        <f>AI181*'2.税率表'!$D$11</f>
        <v>0</v>
      </c>
      <c r="AJ88" s="277">
        <f>AJ181*'2.税率表'!$D$11</f>
        <v>0</v>
      </c>
      <c r="AK88" s="275">
        <f>AK181*'2.税率表'!$D$11</f>
        <v>0</v>
      </c>
      <c r="AL88" s="276">
        <f>AL181*'2.税率表'!$D$11</f>
        <v>0</v>
      </c>
      <c r="AM88" s="276">
        <f>AM181*'2.税率表'!$D$11</f>
        <v>0</v>
      </c>
      <c r="AN88" s="277">
        <f>AN181*'2.税率表'!$D$11</f>
        <v>0</v>
      </c>
      <c r="AO88" s="275">
        <f>AO181*'2.税率表'!$D$11</f>
        <v>0</v>
      </c>
      <c r="AP88" s="276">
        <f>AP181*'2.税率表'!$D$11</f>
        <v>0</v>
      </c>
      <c r="AQ88" s="276">
        <f>AQ181*'2.税率表'!$D$11</f>
        <v>0</v>
      </c>
      <c r="AR88" s="277">
        <f>AR181*'2.税率表'!$D$11</f>
        <v>0</v>
      </c>
      <c r="AS88" s="275">
        <f>AS181*'2.税率表'!$D$11</f>
        <v>0</v>
      </c>
      <c r="AT88" s="276">
        <f>AT181*'2.税率表'!$D$11</f>
        <v>0</v>
      </c>
      <c r="AU88" s="276">
        <f>AU181*'2.税率表'!$D$11</f>
        <v>0</v>
      </c>
      <c r="AV88" s="277">
        <f>AV181*'2.税率表'!$D$11</f>
        <v>0</v>
      </c>
    </row>
    <row r="89" spans="2:48" s="257" customFormat="1" ht="15.75" customHeight="1" outlineLevel="1">
      <c r="B89" s="1980"/>
      <c r="C89" s="303">
        <f>'8.项目规划指标表'!$B$8</f>
        <v>0</v>
      </c>
      <c r="D89" s="274">
        <f t="shared" si="22"/>
        <v>0</v>
      </c>
      <c r="E89" s="275">
        <f>E182*'2.税率表'!$D$11</f>
        <v>0</v>
      </c>
      <c r="F89" s="276">
        <f>F182*'2.税率表'!$D$11</f>
        <v>0</v>
      </c>
      <c r="G89" s="276">
        <f>G182*'2.税率表'!$D$11</f>
        <v>0</v>
      </c>
      <c r="H89" s="277">
        <f>H182*'2.税率表'!$D$11</f>
        <v>0</v>
      </c>
      <c r="I89" s="275">
        <f>I182*'2.税率表'!$D$11</f>
        <v>0</v>
      </c>
      <c r="J89" s="276">
        <f>J182*'2.税率表'!$D$11</f>
        <v>0</v>
      </c>
      <c r="K89" s="276">
        <f>K182*'2.税率表'!$D$11</f>
        <v>0</v>
      </c>
      <c r="L89" s="277">
        <f>L182*'2.税率表'!$D$11</f>
        <v>0</v>
      </c>
      <c r="M89" s="275">
        <f>M182*'2.税率表'!$D$11</f>
        <v>0</v>
      </c>
      <c r="N89" s="276">
        <f>N182*'2.税率表'!$D$11</f>
        <v>0</v>
      </c>
      <c r="O89" s="276">
        <f>O182*'2.税率表'!$D$11</f>
        <v>0</v>
      </c>
      <c r="P89" s="277">
        <f>P182*'2.税率表'!$D$11</f>
        <v>0</v>
      </c>
      <c r="Q89" s="275">
        <f>Q182*'2.税率表'!$D$11</f>
        <v>0</v>
      </c>
      <c r="R89" s="276">
        <f>R182*'2.税率表'!$D$11</f>
        <v>0</v>
      </c>
      <c r="S89" s="276">
        <f>S182*'2.税率表'!$D$11</f>
        <v>0</v>
      </c>
      <c r="T89" s="277">
        <f>T182*'2.税率表'!$D$11</f>
        <v>0</v>
      </c>
      <c r="U89" s="275">
        <f>U182*'2.税率表'!$D$11</f>
        <v>0</v>
      </c>
      <c r="V89" s="276">
        <f>V182*'2.税率表'!$D$11</f>
        <v>0</v>
      </c>
      <c r="W89" s="276">
        <f>W182*'2.税率表'!$D$11</f>
        <v>0</v>
      </c>
      <c r="X89" s="277">
        <f>X182*'2.税率表'!$D$11</f>
        <v>0</v>
      </c>
      <c r="Y89" s="275">
        <f>Y182*'2.税率表'!$D$11</f>
        <v>0</v>
      </c>
      <c r="Z89" s="276">
        <f>Z182*'2.税率表'!$D$11</f>
        <v>0</v>
      </c>
      <c r="AA89" s="276">
        <f>AA182*'2.税率表'!$D$11</f>
        <v>0</v>
      </c>
      <c r="AB89" s="277">
        <f>AB182*'2.税率表'!$D$11</f>
        <v>0</v>
      </c>
      <c r="AC89" s="275">
        <f>AC182*'2.税率表'!$D$11</f>
        <v>0</v>
      </c>
      <c r="AD89" s="276">
        <f>AD182*'2.税率表'!$D$11</f>
        <v>0</v>
      </c>
      <c r="AE89" s="276">
        <f>AE182*'2.税率表'!$D$11</f>
        <v>0</v>
      </c>
      <c r="AF89" s="277">
        <f>AF182*'2.税率表'!$D$11</f>
        <v>0</v>
      </c>
      <c r="AG89" s="275">
        <f>AG182*'2.税率表'!$D$11</f>
        <v>0</v>
      </c>
      <c r="AH89" s="276">
        <f>AH182*'2.税率表'!$D$11</f>
        <v>0</v>
      </c>
      <c r="AI89" s="276">
        <f>AI182*'2.税率表'!$D$11</f>
        <v>0</v>
      </c>
      <c r="AJ89" s="277">
        <f>AJ182*'2.税率表'!$D$11</f>
        <v>0</v>
      </c>
      <c r="AK89" s="275">
        <f>AK182*'2.税率表'!$D$11</f>
        <v>0</v>
      </c>
      <c r="AL89" s="276">
        <f>AL182*'2.税率表'!$D$11</f>
        <v>0</v>
      </c>
      <c r="AM89" s="276">
        <f>AM182*'2.税率表'!$D$11</f>
        <v>0</v>
      </c>
      <c r="AN89" s="277">
        <f>AN182*'2.税率表'!$D$11</f>
        <v>0</v>
      </c>
      <c r="AO89" s="275">
        <f>AO182*'2.税率表'!$D$11</f>
        <v>0</v>
      </c>
      <c r="AP89" s="276">
        <f>AP182*'2.税率表'!$D$11</f>
        <v>0</v>
      </c>
      <c r="AQ89" s="276">
        <f>AQ182*'2.税率表'!$D$11</f>
        <v>0</v>
      </c>
      <c r="AR89" s="277">
        <f>AR182*'2.税率表'!$D$11</f>
        <v>0</v>
      </c>
      <c r="AS89" s="275">
        <f>AS182*'2.税率表'!$D$11</f>
        <v>0</v>
      </c>
      <c r="AT89" s="276">
        <f>AT182*'2.税率表'!$D$11</f>
        <v>0</v>
      </c>
      <c r="AU89" s="276">
        <f>AU182*'2.税率表'!$D$11</f>
        <v>0</v>
      </c>
      <c r="AV89" s="277">
        <f>AV182*'2.税率表'!$D$11</f>
        <v>0</v>
      </c>
    </row>
    <row r="90" spans="2:48" s="257" customFormat="1" ht="15.75" customHeight="1" outlineLevel="1">
      <c r="B90" s="1980"/>
      <c r="C90" s="303">
        <f>'8.项目规划指标表'!$B$9</f>
        <v>0</v>
      </c>
      <c r="D90" s="274">
        <f t="shared" si="22"/>
        <v>0</v>
      </c>
      <c r="E90" s="275">
        <f>E183*'2.税率表'!$D$11</f>
        <v>0</v>
      </c>
      <c r="F90" s="276">
        <f>F183*'2.税率表'!$D$11</f>
        <v>0</v>
      </c>
      <c r="G90" s="276">
        <f>G183*'2.税率表'!$D$11</f>
        <v>0</v>
      </c>
      <c r="H90" s="277">
        <f>H183*'2.税率表'!$D$11</f>
        <v>0</v>
      </c>
      <c r="I90" s="275">
        <f>I183*'2.税率表'!$D$11</f>
        <v>0</v>
      </c>
      <c r="J90" s="276">
        <f>J183*'2.税率表'!$D$11</f>
        <v>0</v>
      </c>
      <c r="K90" s="276">
        <f>K183*'2.税率表'!$D$11</f>
        <v>0</v>
      </c>
      <c r="L90" s="277">
        <f>L183*'2.税率表'!$D$11</f>
        <v>0</v>
      </c>
      <c r="M90" s="275">
        <f>M183*'2.税率表'!$D$11</f>
        <v>0</v>
      </c>
      <c r="N90" s="276">
        <f>N183*'2.税率表'!$D$11</f>
        <v>0</v>
      </c>
      <c r="O90" s="276">
        <f>O183*'2.税率表'!$D$11</f>
        <v>0</v>
      </c>
      <c r="P90" s="277">
        <f>P183*'2.税率表'!$D$11</f>
        <v>0</v>
      </c>
      <c r="Q90" s="275">
        <f>Q183*'2.税率表'!$D$11</f>
        <v>0</v>
      </c>
      <c r="R90" s="276">
        <f>R183*'2.税率表'!$D$11</f>
        <v>0</v>
      </c>
      <c r="S90" s="276">
        <f>S183*'2.税率表'!$D$11</f>
        <v>0</v>
      </c>
      <c r="T90" s="277">
        <f>T183*'2.税率表'!$D$11</f>
        <v>0</v>
      </c>
      <c r="U90" s="275">
        <f>U183*'2.税率表'!$D$11</f>
        <v>0</v>
      </c>
      <c r="V90" s="276">
        <f>V183*'2.税率表'!$D$11</f>
        <v>0</v>
      </c>
      <c r="W90" s="276">
        <f>W183*'2.税率表'!$D$11</f>
        <v>0</v>
      </c>
      <c r="X90" s="277">
        <f>X183*'2.税率表'!$D$11</f>
        <v>0</v>
      </c>
      <c r="Y90" s="275">
        <f>Y183*'2.税率表'!$D$11</f>
        <v>0</v>
      </c>
      <c r="Z90" s="276">
        <f>Z183*'2.税率表'!$D$11</f>
        <v>0</v>
      </c>
      <c r="AA90" s="276">
        <f>AA183*'2.税率表'!$D$11</f>
        <v>0</v>
      </c>
      <c r="AB90" s="277">
        <f>AB183*'2.税率表'!$D$11</f>
        <v>0</v>
      </c>
      <c r="AC90" s="275">
        <f>AC183*'2.税率表'!$D$11</f>
        <v>0</v>
      </c>
      <c r="AD90" s="276">
        <f>AD183*'2.税率表'!$D$11</f>
        <v>0</v>
      </c>
      <c r="AE90" s="276">
        <f>AE183*'2.税率表'!$D$11</f>
        <v>0</v>
      </c>
      <c r="AF90" s="277">
        <f>AF183*'2.税率表'!$D$11</f>
        <v>0</v>
      </c>
      <c r="AG90" s="275">
        <f>AG183*'2.税率表'!$D$11</f>
        <v>0</v>
      </c>
      <c r="AH90" s="276">
        <f>AH183*'2.税率表'!$D$11</f>
        <v>0</v>
      </c>
      <c r="AI90" s="276">
        <f>AI183*'2.税率表'!$D$11</f>
        <v>0</v>
      </c>
      <c r="AJ90" s="277">
        <f>AJ183*'2.税率表'!$D$11</f>
        <v>0</v>
      </c>
      <c r="AK90" s="275">
        <f>AK183*'2.税率表'!$D$11</f>
        <v>0</v>
      </c>
      <c r="AL90" s="276">
        <f>AL183*'2.税率表'!$D$11</f>
        <v>0</v>
      </c>
      <c r="AM90" s="276">
        <f>AM183*'2.税率表'!$D$11</f>
        <v>0</v>
      </c>
      <c r="AN90" s="277">
        <f>AN183*'2.税率表'!$D$11</f>
        <v>0</v>
      </c>
      <c r="AO90" s="275">
        <f>AO183*'2.税率表'!$D$11</f>
        <v>0</v>
      </c>
      <c r="AP90" s="276">
        <f>AP183*'2.税率表'!$D$11</f>
        <v>0</v>
      </c>
      <c r="AQ90" s="276">
        <f>AQ183*'2.税率表'!$D$11</f>
        <v>0</v>
      </c>
      <c r="AR90" s="277">
        <f>AR183*'2.税率表'!$D$11</f>
        <v>0</v>
      </c>
      <c r="AS90" s="275">
        <f>AS183*'2.税率表'!$D$11</f>
        <v>0</v>
      </c>
      <c r="AT90" s="276">
        <f>AT183*'2.税率表'!$D$11</f>
        <v>0</v>
      </c>
      <c r="AU90" s="276">
        <f>AU183*'2.税率表'!$D$11</f>
        <v>0</v>
      </c>
      <c r="AV90" s="277">
        <f>AV183*'2.税率表'!$D$11</f>
        <v>0</v>
      </c>
    </row>
    <row r="91" spans="2:48" s="257" customFormat="1" ht="15.75" customHeight="1" outlineLevel="1">
      <c r="B91" s="1980"/>
      <c r="C91" s="303">
        <f>'8.项目规划指标表'!$B$10</f>
        <v>0</v>
      </c>
      <c r="D91" s="274">
        <f t="shared" si="22"/>
        <v>0</v>
      </c>
      <c r="E91" s="275">
        <f>E184*'2.税率表'!$D$11</f>
        <v>0</v>
      </c>
      <c r="F91" s="276">
        <f>F184*'2.税率表'!$D$11</f>
        <v>0</v>
      </c>
      <c r="G91" s="276">
        <f>G184*'2.税率表'!$D$11</f>
        <v>0</v>
      </c>
      <c r="H91" s="277">
        <f>H184*'2.税率表'!$D$11</f>
        <v>0</v>
      </c>
      <c r="I91" s="275">
        <f>I184*'2.税率表'!$D$11</f>
        <v>0</v>
      </c>
      <c r="J91" s="276">
        <f>J184*'2.税率表'!$D$11</f>
        <v>0</v>
      </c>
      <c r="K91" s="276">
        <f>K184*'2.税率表'!$D$11</f>
        <v>0</v>
      </c>
      <c r="L91" s="277">
        <f>L184*'2.税率表'!$D$11</f>
        <v>0</v>
      </c>
      <c r="M91" s="275">
        <f>M184*'2.税率表'!$D$11</f>
        <v>0</v>
      </c>
      <c r="N91" s="276">
        <f>N184*'2.税率表'!$D$11</f>
        <v>0</v>
      </c>
      <c r="O91" s="276">
        <f>O184*'2.税率表'!$D$11</f>
        <v>0</v>
      </c>
      <c r="P91" s="277">
        <f>P184*'2.税率表'!$D$11</f>
        <v>0</v>
      </c>
      <c r="Q91" s="275">
        <f>Q184*'2.税率表'!$D$11</f>
        <v>0</v>
      </c>
      <c r="R91" s="276">
        <f>R184*'2.税率表'!$D$11</f>
        <v>0</v>
      </c>
      <c r="S91" s="276">
        <f>S184*'2.税率表'!$D$11</f>
        <v>0</v>
      </c>
      <c r="T91" s="277">
        <f>T184*'2.税率表'!$D$11</f>
        <v>0</v>
      </c>
      <c r="U91" s="275">
        <f>U184*'2.税率表'!$D$11</f>
        <v>0</v>
      </c>
      <c r="V91" s="276">
        <f>V184*'2.税率表'!$D$11</f>
        <v>0</v>
      </c>
      <c r="W91" s="276">
        <f>W184*'2.税率表'!$D$11</f>
        <v>0</v>
      </c>
      <c r="X91" s="277">
        <f>X184*'2.税率表'!$D$11</f>
        <v>0</v>
      </c>
      <c r="Y91" s="275">
        <f>Y184*'2.税率表'!$D$11</f>
        <v>0</v>
      </c>
      <c r="Z91" s="276">
        <f>Z184*'2.税率表'!$D$11</f>
        <v>0</v>
      </c>
      <c r="AA91" s="276">
        <f>AA184*'2.税率表'!$D$11</f>
        <v>0</v>
      </c>
      <c r="AB91" s="277">
        <f>AB184*'2.税率表'!$D$11</f>
        <v>0</v>
      </c>
      <c r="AC91" s="275">
        <f>AC184*'2.税率表'!$D$11</f>
        <v>0</v>
      </c>
      <c r="AD91" s="276">
        <f>AD184*'2.税率表'!$D$11</f>
        <v>0</v>
      </c>
      <c r="AE91" s="276">
        <f>AE184*'2.税率表'!$D$11</f>
        <v>0</v>
      </c>
      <c r="AF91" s="277">
        <f>AF184*'2.税率表'!$D$11</f>
        <v>0</v>
      </c>
      <c r="AG91" s="275">
        <f>AG184*'2.税率表'!$D$11</f>
        <v>0</v>
      </c>
      <c r="AH91" s="276">
        <f>AH184*'2.税率表'!$D$11</f>
        <v>0</v>
      </c>
      <c r="AI91" s="276">
        <f>AI184*'2.税率表'!$D$11</f>
        <v>0</v>
      </c>
      <c r="AJ91" s="277">
        <f>AJ184*'2.税率表'!$D$11</f>
        <v>0</v>
      </c>
      <c r="AK91" s="275">
        <f>AK184*'2.税率表'!$D$11</f>
        <v>0</v>
      </c>
      <c r="AL91" s="276">
        <f>AL184*'2.税率表'!$D$11</f>
        <v>0</v>
      </c>
      <c r="AM91" s="276">
        <f>AM184*'2.税率表'!$D$11</f>
        <v>0</v>
      </c>
      <c r="AN91" s="277">
        <f>AN184*'2.税率表'!$D$11</f>
        <v>0</v>
      </c>
      <c r="AO91" s="275">
        <f>AO184*'2.税率表'!$D$11</f>
        <v>0</v>
      </c>
      <c r="AP91" s="276">
        <f>AP184*'2.税率表'!$D$11</f>
        <v>0</v>
      </c>
      <c r="AQ91" s="276">
        <f>AQ184*'2.税率表'!$D$11</f>
        <v>0</v>
      </c>
      <c r="AR91" s="277">
        <f>AR184*'2.税率表'!$D$11</f>
        <v>0</v>
      </c>
      <c r="AS91" s="275">
        <f>AS184*'2.税率表'!$D$11</f>
        <v>0</v>
      </c>
      <c r="AT91" s="276">
        <f>AT184*'2.税率表'!$D$11</f>
        <v>0</v>
      </c>
      <c r="AU91" s="276">
        <f>AU184*'2.税率表'!$D$11</f>
        <v>0</v>
      </c>
      <c r="AV91" s="277">
        <f>AV184*'2.税率表'!$D$11</f>
        <v>0</v>
      </c>
    </row>
    <row r="92" spans="2:48" s="257" customFormat="1" ht="15.75" customHeight="1" outlineLevel="1">
      <c r="B92" s="1980"/>
      <c r="C92" s="303">
        <f>'8.项目规划指标表'!$B$11</f>
        <v>0</v>
      </c>
      <c r="D92" s="274">
        <f t="shared" si="22"/>
        <v>0</v>
      </c>
      <c r="E92" s="275">
        <f>E185*'2.税率表'!$D$11</f>
        <v>0</v>
      </c>
      <c r="F92" s="276">
        <f>F185*'2.税率表'!$D$11</f>
        <v>0</v>
      </c>
      <c r="G92" s="276">
        <f>G185*'2.税率表'!$D$11</f>
        <v>0</v>
      </c>
      <c r="H92" s="277">
        <f>H185*'2.税率表'!$D$11</f>
        <v>0</v>
      </c>
      <c r="I92" s="275">
        <f>I185*'2.税率表'!$D$11</f>
        <v>0</v>
      </c>
      <c r="J92" s="276">
        <f>J185*'2.税率表'!$D$11</f>
        <v>0</v>
      </c>
      <c r="K92" s="276">
        <f>K185*'2.税率表'!$D$11</f>
        <v>0</v>
      </c>
      <c r="L92" s="277">
        <f>L185*'2.税率表'!$D$11</f>
        <v>0</v>
      </c>
      <c r="M92" s="275">
        <f>M185*'2.税率表'!$D$11</f>
        <v>0</v>
      </c>
      <c r="N92" s="276">
        <f>N185*'2.税率表'!$D$11</f>
        <v>0</v>
      </c>
      <c r="O92" s="276">
        <f>O185*'2.税率表'!$D$11</f>
        <v>0</v>
      </c>
      <c r="P92" s="277">
        <f>P185*'2.税率表'!$D$11</f>
        <v>0</v>
      </c>
      <c r="Q92" s="275">
        <f>Q185*'2.税率表'!$D$11</f>
        <v>0</v>
      </c>
      <c r="R92" s="276">
        <f>R185*'2.税率表'!$D$11</f>
        <v>0</v>
      </c>
      <c r="S92" s="276">
        <f>S185*'2.税率表'!$D$11</f>
        <v>0</v>
      </c>
      <c r="T92" s="277">
        <f>T185*'2.税率表'!$D$11</f>
        <v>0</v>
      </c>
      <c r="U92" s="275">
        <f>U185*'2.税率表'!$D$11</f>
        <v>0</v>
      </c>
      <c r="V92" s="276">
        <f>V185*'2.税率表'!$D$11</f>
        <v>0</v>
      </c>
      <c r="W92" s="276">
        <f>W185*'2.税率表'!$D$11</f>
        <v>0</v>
      </c>
      <c r="X92" s="277">
        <f>X185*'2.税率表'!$D$11</f>
        <v>0</v>
      </c>
      <c r="Y92" s="275">
        <f>Y185*'2.税率表'!$D$11</f>
        <v>0</v>
      </c>
      <c r="Z92" s="276">
        <f>Z185*'2.税率表'!$D$11</f>
        <v>0</v>
      </c>
      <c r="AA92" s="276">
        <f>AA185*'2.税率表'!$D$11</f>
        <v>0</v>
      </c>
      <c r="AB92" s="277">
        <f>AB185*'2.税率表'!$D$11</f>
        <v>0</v>
      </c>
      <c r="AC92" s="275">
        <f>AC185*'2.税率表'!$D$11</f>
        <v>0</v>
      </c>
      <c r="AD92" s="276">
        <f>AD185*'2.税率表'!$D$11</f>
        <v>0</v>
      </c>
      <c r="AE92" s="276">
        <f>AE185*'2.税率表'!$D$11</f>
        <v>0</v>
      </c>
      <c r="AF92" s="277">
        <f>AF185*'2.税率表'!$D$11</f>
        <v>0</v>
      </c>
      <c r="AG92" s="275">
        <f>AG185*'2.税率表'!$D$11</f>
        <v>0</v>
      </c>
      <c r="AH92" s="276">
        <f>AH185*'2.税率表'!$D$11</f>
        <v>0</v>
      </c>
      <c r="AI92" s="276">
        <f>AI185*'2.税率表'!$D$11</f>
        <v>0</v>
      </c>
      <c r="AJ92" s="277">
        <f>AJ185*'2.税率表'!$D$11</f>
        <v>0</v>
      </c>
      <c r="AK92" s="275">
        <f>AK185*'2.税率表'!$D$11</f>
        <v>0</v>
      </c>
      <c r="AL92" s="276">
        <f>AL185*'2.税率表'!$D$11</f>
        <v>0</v>
      </c>
      <c r="AM92" s="276">
        <f>AM185*'2.税率表'!$D$11</f>
        <v>0</v>
      </c>
      <c r="AN92" s="277">
        <f>AN185*'2.税率表'!$D$11</f>
        <v>0</v>
      </c>
      <c r="AO92" s="275">
        <f>AO185*'2.税率表'!$D$11</f>
        <v>0</v>
      </c>
      <c r="AP92" s="276">
        <f>AP185*'2.税率表'!$D$11</f>
        <v>0</v>
      </c>
      <c r="AQ92" s="276">
        <f>AQ185*'2.税率表'!$D$11</f>
        <v>0</v>
      </c>
      <c r="AR92" s="277">
        <f>AR185*'2.税率表'!$D$11</f>
        <v>0</v>
      </c>
      <c r="AS92" s="275">
        <f>AS185*'2.税率表'!$D$11</f>
        <v>0</v>
      </c>
      <c r="AT92" s="276">
        <f>AT185*'2.税率表'!$D$11</f>
        <v>0</v>
      </c>
      <c r="AU92" s="276">
        <f>AU185*'2.税率表'!$D$11</f>
        <v>0</v>
      </c>
      <c r="AV92" s="277">
        <f>AV185*'2.税率表'!$D$11</f>
        <v>0</v>
      </c>
    </row>
    <row r="93" spans="2:48" s="257" customFormat="1" ht="15.75" customHeight="1" outlineLevel="1">
      <c r="B93" s="1980"/>
      <c r="C93" s="303">
        <f>'8.项目规划指标表'!$B$12</f>
        <v>0</v>
      </c>
      <c r="D93" s="274">
        <f t="shared" si="22"/>
        <v>0</v>
      </c>
      <c r="E93" s="275">
        <f>E186*'2.税率表'!$D$11</f>
        <v>0</v>
      </c>
      <c r="F93" s="276">
        <f>F186*'2.税率表'!$D$11</f>
        <v>0</v>
      </c>
      <c r="G93" s="276">
        <f>G186*'2.税率表'!$D$11</f>
        <v>0</v>
      </c>
      <c r="H93" s="277">
        <f>H186*'2.税率表'!$D$11</f>
        <v>0</v>
      </c>
      <c r="I93" s="275">
        <f>I186*'2.税率表'!$D$11</f>
        <v>0</v>
      </c>
      <c r="J93" s="276">
        <f>J186*'2.税率表'!$D$11</f>
        <v>0</v>
      </c>
      <c r="K93" s="276">
        <f>K186*'2.税率表'!$D$11</f>
        <v>0</v>
      </c>
      <c r="L93" s="277">
        <f>L186*'2.税率表'!$D$11</f>
        <v>0</v>
      </c>
      <c r="M93" s="275">
        <f>M186*'2.税率表'!$D$11</f>
        <v>0</v>
      </c>
      <c r="N93" s="276">
        <f>N186*'2.税率表'!$D$11</f>
        <v>0</v>
      </c>
      <c r="O93" s="276">
        <f>O186*'2.税率表'!$D$11</f>
        <v>0</v>
      </c>
      <c r="P93" s="277">
        <f>P186*'2.税率表'!$D$11</f>
        <v>0</v>
      </c>
      <c r="Q93" s="275">
        <f>Q186*'2.税率表'!$D$11</f>
        <v>0</v>
      </c>
      <c r="R93" s="276">
        <f>R186*'2.税率表'!$D$11</f>
        <v>0</v>
      </c>
      <c r="S93" s="276">
        <f>S186*'2.税率表'!$D$11</f>
        <v>0</v>
      </c>
      <c r="T93" s="277">
        <f>T186*'2.税率表'!$D$11</f>
        <v>0</v>
      </c>
      <c r="U93" s="275">
        <f>U186*'2.税率表'!$D$11</f>
        <v>0</v>
      </c>
      <c r="V93" s="276">
        <f>V186*'2.税率表'!$D$11</f>
        <v>0</v>
      </c>
      <c r="W93" s="276">
        <f>W186*'2.税率表'!$D$11</f>
        <v>0</v>
      </c>
      <c r="X93" s="277">
        <f>X186*'2.税率表'!$D$11</f>
        <v>0</v>
      </c>
      <c r="Y93" s="275">
        <f>Y186*'2.税率表'!$D$11</f>
        <v>0</v>
      </c>
      <c r="Z93" s="276">
        <f>Z186*'2.税率表'!$D$11</f>
        <v>0</v>
      </c>
      <c r="AA93" s="276">
        <f>AA186*'2.税率表'!$D$11</f>
        <v>0</v>
      </c>
      <c r="AB93" s="277">
        <f>AB186*'2.税率表'!$D$11</f>
        <v>0</v>
      </c>
      <c r="AC93" s="275">
        <f>AC186*'2.税率表'!$D$11</f>
        <v>0</v>
      </c>
      <c r="AD93" s="276">
        <f>AD186*'2.税率表'!$D$11</f>
        <v>0</v>
      </c>
      <c r="AE93" s="276">
        <f>AE186*'2.税率表'!$D$11</f>
        <v>0</v>
      </c>
      <c r="AF93" s="277">
        <f>AF186*'2.税率表'!$D$11</f>
        <v>0</v>
      </c>
      <c r="AG93" s="275">
        <f>AG186*'2.税率表'!$D$11</f>
        <v>0</v>
      </c>
      <c r="AH93" s="276">
        <f>AH186*'2.税率表'!$D$11</f>
        <v>0</v>
      </c>
      <c r="AI93" s="276">
        <f>AI186*'2.税率表'!$D$11</f>
        <v>0</v>
      </c>
      <c r="AJ93" s="277">
        <f>AJ186*'2.税率表'!$D$11</f>
        <v>0</v>
      </c>
      <c r="AK93" s="275">
        <f>AK186*'2.税率表'!$D$11</f>
        <v>0</v>
      </c>
      <c r="AL93" s="276">
        <f>AL186*'2.税率表'!$D$11</f>
        <v>0</v>
      </c>
      <c r="AM93" s="276">
        <f>AM186*'2.税率表'!$D$11</f>
        <v>0</v>
      </c>
      <c r="AN93" s="277">
        <f>AN186*'2.税率表'!$D$11</f>
        <v>0</v>
      </c>
      <c r="AO93" s="275">
        <f>AO186*'2.税率表'!$D$11</f>
        <v>0</v>
      </c>
      <c r="AP93" s="276">
        <f>AP186*'2.税率表'!$D$11</f>
        <v>0</v>
      </c>
      <c r="AQ93" s="276">
        <f>AQ186*'2.税率表'!$D$11</f>
        <v>0</v>
      </c>
      <c r="AR93" s="277">
        <f>AR186*'2.税率表'!$D$11</f>
        <v>0</v>
      </c>
      <c r="AS93" s="275">
        <f>AS186*'2.税率表'!$D$11</f>
        <v>0</v>
      </c>
      <c r="AT93" s="276">
        <f>AT186*'2.税率表'!$D$11</f>
        <v>0</v>
      </c>
      <c r="AU93" s="276">
        <f>AU186*'2.税率表'!$D$11</f>
        <v>0</v>
      </c>
      <c r="AV93" s="277">
        <f>AV186*'2.税率表'!$D$11</f>
        <v>0</v>
      </c>
    </row>
    <row r="94" spans="2:48" s="257" customFormat="1" ht="15.75" customHeight="1" outlineLevel="1">
      <c r="B94" s="1980"/>
      <c r="C94" s="303">
        <f>'8.项目规划指标表'!$B$13</f>
        <v>0</v>
      </c>
      <c r="D94" s="274">
        <f t="shared" si="22"/>
        <v>0</v>
      </c>
      <c r="E94" s="275">
        <f>E187*'2.税率表'!$D$11</f>
        <v>0</v>
      </c>
      <c r="F94" s="276">
        <f>F187*'2.税率表'!$D$11</f>
        <v>0</v>
      </c>
      <c r="G94" s="276">
        <f>G187*'2.税率表'!$D$11</f>
        <v>0</v>
      </c>
      <c r="H94" s="277">
        <f>H187*'2.税率表'!$D$11</f>
        <v>0</v>
      </c>
      <c r="I94" s="275">
        <f>I187*'2.税率表'!$D$11</f>
        <v>0</v>
      </c>
      <c r="J94" s="276">
        <f>J187*'2.税率表'!$D$11</f>
        <v>0</v>
      </c>
      <c r="K94" s="276">
        <f>K187*'2.税率表'!$D$11</f>
        <v>0</v>
      </c>
      <c r="L94" s="277">
        <f>L187*'2.税率表'!$D$11</f>
        <v>0</v>
      </c>
      <c r="M94" s="275">
        <f>M187*'2.税率表'!$D$11</f>
        <v>0</v>
      </c>
      <c r="N94" s="276">
        <f>N187*'2.税率表'!$D$11</f>
        <v>0</v>
      </c>
      <c r="O94" s="276">
        <f>O187*'2.税率表'!$D$11</f>
        <v>0</v>
      </c>
      <c r="P94" s="277">
        <f>P187*'2.税率表'!$D$11</f>
        <v>0</v>
      </c>
      <c r="Q94" s="275">
        <f>Q187*'2.税率表'!$D$11</f>
        <v>0</v>
      </c>
      <c r="R94" s="276">
        <f>R187*'2.税率表'!$D$11</f>
        <v>0</v>
      </c>
      <c r="S94" s="276">
        <f>S187*'2.税率表'!$D$11</f>
        <v>0</v>
      </c>
      <c r="T94" s="277">
        <f>T187*'2.税率表'!$D$11</f>
        <v>0</v>
      </c>
      <c r="U94" s="275">
        <f>U187*'2.税率表'!$D$11</f>
        <v>0</v>
      </c>
      <c r="V94" s="276">
        <f>V187*'2.税率表'!$D$11</f>
        <v>0</v>
      </c>
      <c r="W94" s="276">
        <f>W187*'2.税率表'!$D$11</f>
        <v>0</v>
      </c>
      <c r="X94" s="277">
        <f>X187*'2.税率表'!$D$11</f>
        <v>0</v>
      </c>
      <c r="Y94" s="275">
        <f>Y187*'2.税率表'!$D$11</f>
        <v>0</v>
      </c>
      <c r="Z94" s="276">
        <f>Z187*'2.税率表'!$D$11</f>
        <v>0</v>
      </c>
      <c r="AA94" s="276">
        <f>AA187*'2.税率表'!$D$11</f>
        <v>0</v>
      </c>
      <c r="AB94" s="277">
        <f>AB187*'2.税率表'!$D$11</f>
        <v>0</v>
      </c>
      <c r="AC94" s="275">
        <f>AC187*'2.税率表'!$D$11</f>
        <v>0</v>
      </c>
      <c r="AD94" s="276">
        <f>AD187*'2.税率表'!$D$11</f>
        <v>0</v>
      </c>
      <c r="AE94" s="276">
        <f>AE187*'2.税率表'!$D$11</f>
        <v>0</v>
      </c>
      <c r="AF94" s="277">
        <f>AF187*'2.税率表'!$D$11</f>
        <v>0</v>
      </c>
      <c r="AG94" s="275">
        <f>AG187*'2.税率表'!$D$11</f>
        <v>0</v>
      </c>
      <c r="AH94" s="276">
        <f>AH187*'2.税率表'!$D$11</f>
        <v>0</v>
      </c>
      <c r="AI94" s="276">
        <f>AI187*'2.税率表'!$D$11</f>
        <v>0</v>
      </c>
      <c r="AJ94" s="277">
        <f>AJ187*'2.税率表'!$D$11</f>
        <v>0</v>
      </c>
      <c r="AK94" s="275">
        <f>AK187*'2.税率表'!$D$11</f>
        <v>0</v>
      </c>
      <c r="AL94" s="276">
        <f>AL187*'2.税率表'!$D$11</f>
        <v>0</v>
      </c>
      <c r="AM94" s="276">
        <f>AM187*'2.税率表'!$D$11</f>
        <v>0</v>
      </c>
      <c r="AN94" s="277">
        <f>AN187*'2.税率表'!$D$11</f>
        <v>0</v>
      </c>
      <c r="AO94" s="275">
        <f>AO187*'2.税率表'!$D$11</f>
        <v>0</v>
      </c>
      <c r="AP94" s="276">
        <f>AP187*'2.税率表'!$D$11</f>
        <v>0</v>
      </c>
      <c r="AQ94" s="276">
        <f>AQ187*'2.税率表'!$D$11</f>
        <v>0</v>
      </c>
      <c r="AR94" s="277">
        <f>AR187*'2.税率表'!$D$11</f>
        <v>0</v>
      </c>
      <c r="AS94" s="275">
        <f>AS187*'2.税率表'!$D$11</f>
        <v>0</v>
      </c>
      <c r="AT94" s="276">
        <f>AT187*'2.税率表'!$D$11</f>
        <v>0</v>
      </c>
      <c r="AU94" s="276">
        <f>AU187*'2.税率表'!$D$11</f>
        <v>0</v>
      </c>
      <c r="AV94" s="277">
        <f>AV187*'2.税率表'!$D$11</f>
        <v>0</v>
      </c>
    </row>
    <row r="95" spans="2:48" s="257" customFormat="1" ht="15.75" customHeight="1" outlineLevel="1">
      <c r="B95" s="1980"/>
      <c r="C95" s="303" t="str">
        <f>'8.项目规划指标表'!$B$14</f>
        <v>自持物业</v>
      </c>
      <c r="D95" s="274">
        <f t="shared" si="22"/>
        <v>0</v>
      </c>
      <c r="E95" s="275">
        <f>E188*'2.税率表'!$D$11</f>
        <v>0</v>
      </c>
      <c r="F95" s="276">
        <f>F188*'2.税率表'!$D$11</f>
        <v>0</v>
      </c>
      <c r="G95" s="276">
        <f>G188*'2.税率表'!$D$11</f>
        <v>0</v>
      </c>
      <c r="H95" s="277">
        <f>H188*'2.税率表'!$D$11</f>
        <v>0</v>
      </c>
      <c r="I95" s="275">
        <f>I188*'2.税率表'!$D$11</f>
        <v>0</v>
      </c>
      <c r="J95" s="276">
        <f>J188*'2.税率表'!$D$11</f>
        <v>0</v>
      </c>
      <c r="K95" s="276">
        <f>K188*'2.税率表'!$D$11</f>
        <v>0</v>
      </c>
      <c r="L95" s="277">
        <f>L188*'2.税率表'!$D$11</f>
        <v>0</v>
      </c>
      <c r="M95" s="275">
        <f>M188*'2.税率表'!$D$11</f>
        <v>0</v>
      </c>
      <c r="N95" s="276">
        <f>N188*'2.税率表'!$D$11</f>
        <v>0</v>
      </c>
      <c r="O95" s="276">
        <f>O188*'2.税率表'!$D$11</f>
        <v>0</v>
      </c>
      <c r="P95" s="277">
        <f>P188*'2.税率表'!$D$11</f>
        <v>0</v>
      </c>
      <c r="Q95" s="275">
        <f>Q188*'2.税率表'!$D$11</f>
        <v>0</v>
      </c>
      <c r="R95" s="276">
        <f>R188*'2.税率表'!$D$11</f>
        <v>0</v>
      </c>
      <c r="S95" s="276">
        <f>S188*'2.税率表'!$D$11</f>
        <v>0</v>
      </c>
      <c r="T95" s="277">
        <f>T188*'2.税率表'!$D$11</f>
        <v>0</v>
      </c>
      <c r="U95" s="275">
        <f>U188*'2.税率表'!$D$11</f>
        <v>0</v>
      </c>
      <c r="V95" s="276">
        <f>V188*'2.税率表'!$D$11</f>
        <v>0</v>
      </c>
      <c r="W95" s="276">
        <f>W188*'2.税率表'!$D$11</f>
        <v>0</v>
      </c>
      <c r="X95" s="277">
        <f>X188*'2.税率表'!$D$11</f>
        <v>0</v>
      </c>
      <c r="Y95" s="275">
        <f>Y188*'2.税率表'!$D$11</f>
        <v>0</v>
      </c>
      <c r="Z95" s="276">
        <f>Z188*'2.税率表'!$D$11</f>
        <v>0</v>
      </c>
      <c r="AA95" s="276">
        <f>AA188*'2.税率表'!$D$11</f>
        <v>0</v>
      </c>
      <c r="AB95" s="277">
        <f>AB188*'2.税率表'!$D$11</f>
        <v>0</v>
      </c>
      <c r="AC95" s="275">
        <f>AC188*'2.税率表'!$D$11</f>
        <v>0</v>
      </c>
      <c r="AD95" s="276">
        <f>AD188*'2.税率表'!$D$11</f>
        <v>0</v>
      </c>
      <c r="AE95" s="276">
        <f>AE188*'2.税率表'!$D$11</f>
        <v>0</v>
      </c>
      <c r="AF95" s="277">
        <f>AF188*'2.税率表'!$D$11</f>
        <v>0</v>
      </c>
      <c r="AG95" s="275">
        <f>AG188*'2.税率表'!$D$11</f>
        <v>0</v>
      </c>
      <c r="AH95" s="276">
        <f>AH188*'2.税率表'!$D$11</f>
        <v>0</v>
      </c>
      <c r="AI95" s="276">
        <f>AI188*'2.税率表'!$D$11</f>
        <v>0</v>
      </c>
      <c r="AJ95" s="277">
        <f>AJ188*'2.税率表'!$D$11</f>
        <v>0</v>
      </c>
      <c r="AK95" s="275">
        <f>AK188*'2.税率表'!$D$11</f>
        <v>0</v>
      </c>
      <c r="AL95" s="276">
        <f>AL188*'2.税率表'!$D$11</f>
        <v>0</v>
      </c>
      <c r="AM95" s="276">
        <f>AM188*'2.税率表'!$D$11</f>
        <v>0</v>
      </c>
      <c r="AN95" s="277">
        <f>AN188*'2.税率表'!$D$11</f>
        <v>0</v>
      </c>
      <c r="AO95" s="275">
        <f>AO188*'2.税率表'!$D$11</f>
        <v>0</v>
      </c>
      <c r="AP95" s="276">
        <f>AP188*'2.税率表'!$D$11</f>
        <v>0</v>
      </c>
      <c r="AQ95" s="276">
        <f>AQ188*'2.税率表'!$D$11</f>
        <v>0</v>
      </c>
      <c r="AR95" s="277">
        <f>AR188*'2.税率表'!$D$11</f>
        <v>0</v>
      </c>
      <c r="AS95" s="275">
        <f>AS188*'2.税率表'!$D$11</f>
        <v>0</v>
      </c>
      <c r="AT95" s="276">
        <f>AT188*'2.税率表'!$D$11</f>
        <v>0</v>
      </c>
      <c r="AU95" s="276">
        <f>AU188*'2.税率表'!$D$11</f>
        <v>0</v>
      </c>
      <c r="AV95" s="277">
        <f>AV188*'2.税率表'!$D$11</f>
        <v>0</v>
      </c>
    </row>
    <row r="96" spans="2:48" s="257" customFormat="1" ht="15.75" customHeight="1" outlineLevel="1">
      <c r="B96" s="1980"/>
      <c r="C96" s="303" t="str">
        <f>'8.项目规划指标表'!$B$18</f>
        <v>有产权车库(个)</v>
      </c>
      <c r="D96" s="274">
        <f t="shared" si="22"/>
        <v>0</v>
      </c>
      <c r="E96" s="275">
        <f>E189*'2.税率表'!$D$11</f>
        <v>0</v>
      </c>
      <c r="F96" s="276">
        <f>F189*'2.税率表'!$D$11</f>
        <v>0</v>
      </c>
      <c r="G96" s="276">
        <f>G189*'2.税率表'!$D$11</f>
        <v>0</v>
      </c>
      <c r="H96" s="277">
        <f>H189*'2.税率表'!$D$11</f>
        <v>0</v>
      </c>
      <c r="I96" s="275">
        <f>I189*'2.税率表'!$D$11</f>
        <v>0</v>
      </c>
      <c r="J96" s="276">
        <f>J189*'2.税率表'!$D$11</f>
        <v>0</v>
      </c>
      <c r="K96" s="276">
        <f>K189*'2.税率表'!$D$11</f>
        <v>0</v>
      </c>
      <c r="L96" s="277">
        <f>L189*'2.税率表'!$D$11</f>
        <v>0</v>
      </c>
      <c r="M96" s="275">
        <f>M189*'2.税率表'!$D$11</f>
        <v>0</v>
      </c>
      <c r="N96" s="276">
        <f>N189*'2.税率表'!$D$11</f>
        <v>0</v>
      </c>
      <c r="O96" s="276">
        <f>O189*'2.税率表'!$D$11</f>
        <v>0</v>
      </c>
      <c r="P96" s="277">
        <f>P189*'2.税率表'!$D$11</f>
        <v>0</v>
      </c>
      <c r="Q96" s="275">
        <f>Q189*'2.税率表'!$D$11</f>
        <v>0</v>
      </c>
      <c r="R96" s="276">
        <f>R189*'2.税率表'!$D$11</f>
        <v>0</v>
      </c>
      <c r="S96" s="276">
        <f>S189*'2.税率表'!$D$11</f>
        <v>0</v>
      </c>
      <c r="T96" s="277">
        <f>T189*'2.税率表'!$D$11</f>
        <v>0</v>
      </c>
      <c r="U96" s="275">
        <f>U189*'2.税率表'!$D$11</f>
        <v>0</v>
      </c>
      <c r="V96" s="276">
        <f>V189*'2.税率表'!$D$11</f>
        <v>0</v>
      </c>
      <c r="W96" s="276">
        <f>W189*'2.税率表'!$D$11</f>
        <v>0</v>
      </c>
      <c r="X96" s="277">
        <f>X189*'2.税率表'!$D$11</f>
        <v>0</v>
      </c>
      <c r="Y96" s="275">
        <f>Y189*'2.税率表'!$D$11</f>
        <v>0</v>
      </c>
      <c r="Z96" s="276">
        <f>Z189*'2.税率表'!$D$11</f>
        <v>0</v>
      </c>
      <c r="AA96" s="276">
        <f>AA189*'2.税率表'!$D$11</f>
        <v>0</v>
      </c>
      <c r="AB96" s="277">
        <f>AB189*'2.税率表'!$D$11</f>
        <v>0</v>
      </c>
      <c r="AC96" s="275">
        <f>AC189*'2.税率表'!$D$11</f>
        <v>0</v>
      </c>
      <c r="AD96" s="276">
        <f>AD189*'2.税率表'!$D$11</f>
        <v>0</v>
      </c>
      <c r="AE96" s="276">
        <f>AE189*'2.税率表'!$D$11</f>
        <v>0</v>
      </c>
      <c r="AF96" s="277">
        <f>AF189*'2.税率表'!$D$11</f>
        <v>0</v>
      </c>
      <c r="AG96" s="275">
        <f>AG189*'2.税率表'!$D$11</f>
        <v>0</v>
      </c>
      <c r="AH96" s="276">
        <f>AH189*'2.税率表'!$D$11</f>
        <v>0</v>
      </c>
      <c r="AI96" s="276">
        <f>AI189*'2.税率表'!$D$11</f>
        <v>0</v>
      </c>
      <c r="AJ96" s="277">
        <f>AJ189*'2.税率表'!$D$11</f>
        <v>0</v>
      </c>
      <c r="AK96" s="275">
        <f>AK189*'2.税率表'!$D$11</f>
        <v>0</v>
      </c>
      <c r="AL96" s="276">
        <f>AL189*'2.税率表'!$D$11</f>
        <v>0</v>
      </c>
      <c r="AM96" s="276">
        <f>AM189*'2.税率表'!$D$11</f>
        <v>0</v>
      </c>
      <c r="AN96" s="277">
        <f>AN189*'2.税率表'!$D$11</f>
        <v>0</v>
      </c>
      <c r="AO96" s="275">
        <f>AO189*'2.税率表'!$D$11</f>
        <v>0</v>
      </c>
      <c r="AP96" s="276">
        <f>AP189*'2.税率表'!$D$11</f>
        <v>0</v>
      </c>
      <c r="AQ96" s="276">
        <f>AQ189*'2.税率表'!$D$11</f>
        <v>0</v>
      </c>
      <c r="AR96" s="277">
        <f>AR189*'2.税率表'!$D$11</f>
        <v>0</v>
      </c>
      <c r="AS96" s="275">
        <f>AS189*'2.税率表'!$D$11</f>
        <v>0</v>
      </c>
      <c r="AT96" s="276">
        <f>AT189*'2.税率表'!$D$11</f>
        <v>0</v>
      </c>
      <c r="AU96" s="276">
        <f>AU189*'2.税率表'!$D$11</f>
        <v>0</v>
      </c>
      <c r="AV96" s="277">
        <f>AV189*'2.税率表'!$D$11</f>
        <v>0</v>
      </c>
    </row>
    <row r="97" spans="2:48" s="257" customFormat="1" ht="15.75" customHeight="1" outlineLevel="1">
      <c r="B97" s="1980"/>
      <c r="C97" s="303" t="str">
        <f>'8.项目规划指标表'!$B$19</f>
        <v>无产权车库(个)</v>
      </c>
      <c r="D97" s="274">
        <f t="shared" si="22"/>
        <v>0</v>
      </c>
      <c r="E97" s="275">
        <f>E190*'2.税率表'!$D$11</f>
        <v>0</v>
      </c>
      <c r="F97" s="276">
        <f>F190*'2.税率表'!$D$11</f>
        <v>0</v>
      </c>
      <c r="G97" s="276">
        <f>G190*'2.税率表'!$D$11</f>
        <v>0</v>
      </c>
      <c r="H97" s="277">
        <f>H190*'2.税率表'!$D$11</f>
        <v>0</v>
      </c>
      <c r="I97" s="275">
        <f>I190*'2.税率表'!$D$11</f>
        <v>0</v>
      </c>
      <c r="J97" s="276">
        <f>J190*'2.税率表'!$D$11</f>
        <v>0</v>
      </c>
      <c r="K97" s="276">
        <f>K190*'2.税率表'!$D$11</f>
        <v>0</v>
      </c>
      <c r="L97" s="277">
        <f>L190*'2.税率表'!$D$11</f>
        <v>0</v>
      </c>
      <c r="M97" s="275">
        <f>M190*'2.税率表'!$D$11</f>
        <v>0</v>
      </c>
      <c r="N97" s="276">
        <f>N190*'2.税率表'!$D$11</f>
        <v>0</v>
      </c>
      <c r="O97" s="276">
        <f>O190*'2.税率表'!$D$11</f>
        <v>0</v>
      </c>
      <c r="P97" s="277">
        <f>P190*'2.税率表'!$D$11</f>
        <v>0</v>
      </c>
      <c r="Q97" s="275">
        <f>Q190*'2.税率表'!$D$11</f>
        <v>0</v>
      </c>
      <c r="R97" s="276">
        <f>R190*'2.税率表'!$D$11</f>
        <v>0</v>
      </c>
      <c r="S97" s="276">
        <f>S190*'2.税率表'!$D$11</f>
        <v>0</v>
      </c>
      <c r="T97" s="277">
        <f>T190*'2.税率表'!$D$11</f>
        <v>0</v>
      </c>
      <c r="U97" s="275">
        <f>U190*'2.税率表'!$D$11</f>
        <v>0</v>
      </c>
      <c r="V97" s="276">
        <f>V190*'2.税率表'!$D$11</f>
        <v>0</v>
      </c>
      <c r="W97" s="276">
        <f>W190*'2.税率表'!$D$11</f>
        <v>0</v>
      </c>
      <c r="X97" s="277">
        <f>X190*'2.税率表'!$D$11</f>
        <v>0</v>
      </c>
      <c r="Y97" s="275">
        <f>Y190*'2.税率表'!$D$11</f>
        <v>0</v>
      </c>
      <c r="Z97" s="276">
        <f>Z190*'2.税率表'!$D$11</f>
        <v>0</v>
      </c>
      <c r="AA97" s="276">
        <f>AA190*'2.税率表'!$D$11</f>
        <v>0</v>
      </c>
      <c r="AB97" s="277">
        <f>AB190*'2.税率表'!$D$11</f>
        <v>0</v>
      </c>
      <c r="AC97" s="275">
        <f>AC190*'2.税率表'!$D$11</f>
        <v>0</v>
      </c>
      <c r="AD97" s="276">
        <f>AD190*'2.税率表'!$D$11</f>
        <v>0</v>
      </c>
      <c r="AE97" s="276">
        <f>AE190*'2.税率表'!$D$11</f>
        <v>0</v>
      </c>
      <c r="AF97" s="277">
        <f>AF190*'2.税率表'!$D$11</f>
        <v>0</v>
      </c>
      <c r="AG97" s="275">
        <f>AG190*'2.税率表'!$D$11</f>
        <v>0</v>
      </c>
      <c r="AH97" s="276">
        <f>AH190*'2.税率表'!$D$11</f>
        <v>0</v>
      </c>
      <c r="AI97" s="276">
        <f>AI190*'2.税率表'!$D$11</f>
        <v>0</v>
      </c>
      <c r="AJ97" s="277">
        <f>AJ190*'2.税率表'!$D$11</f>
        <v>0</v>
      </c>
      <c r="AK97" s="275">
        <f>AK190*'2.税率表'!$D$11</f>
        <v>0</v>
      </c>
      <c r="AL97" s="276">
        <f>AL190*'2.税率表'!$D$11</f>
        <v>0</v>
      </c>
      <c r="AM97" s="276">
        <f>AM190*'2.税率表'!$D$11</f>
        <v>0</v>
      </c>
      <c r="AN97" s="277">
        <f>AN190*'2.税率表'!$D$11</f>
        <v>0</v>
      </c>
      <c r="AO97" s="275">
        <f>AO190*'2.税率表'!$D$11</f>
        <v>0</v>
      </c>
      <c r="AP97" s="276">
        <f>AP190*'2.税率表'!$D$11</f>
        <v>0</v>
      </c>
      <c r="AQ97" s="276">
        <f>AQ190*'2.税率表'!$D$11</f>
        <v>0</v>
      </c>
      <c r="AR97" s="277">
        <f>AR190*'2.税率表'!$D$11</f>
        <v>0</v>
      </c>
      <c r="AS97" s="275">
        <f>AS190*'2.税率表'!$D$11</f>
        <v>0</v>
      </c>
      <c r="AT97" s="276">
        <f>AT190*'2.税率表'!$D$11</f>
        <v>0</v>
      </c>
      <c r="AU97" s="276">
        <f>AU190*'2.税率表'!$D$11</f>
        <v>0</v>
      </c>
      <c r="AV97" s="277">
        <f>AV190*'2.税率表'!$D$11</f>
        <v>0</v>
      </c>
    </row>
    <row r="98" spans="2:48" s="256" customFormat="1" ht="15.75" customHeight="1">
      <c r="B98" s="1980"/>
      <c r="C98" s="305" t="s">
        <v>24</v>
      </c>
      <c r="D98" s="306">
        <f t="shared" ref="D98:AV98" si="23">SUM(D99:D110)</f>
        <v>0</v>
      </c>
      <c r="E98" s="307">
        <f t="shared" si="23"/>
        <v>0</v>
      </c>
      <c r="F98" s="306">
        <f t="shared" si="23"/>
        <v>0</v>
      </c>
      <c r="G98" s="306">
        <f t="shared" si="23"/>
        <v>0</v>
      </c>
      <c r="H98" s="308">
        <f t="shared" si="23"/>
        <v>0</v>
      </c>
      <c r="I98" s="307">
        <f t="shared" si="23"/>
        <v>0</v>
      </c>
      <c r="J98" s="306">
        <f t="shared" si="23"/>
        <v>0</v>
      </c>
      <c r="K98" s="306">
        <f t="shared" si="23"/>
        <v>0</v>
      </c>
      <c r="L98" s="308">
        <f t="shared" si="23"/>
        <v>0</v>
      </c>
      <c r="M98" s="307">
        <f t="shared" si="23"/>
        <v>0</v>
      </c>
      <c r="N98" s="306">
        <f t="shared" si="23"/>
        <v>0</v>
      </c>
      <c r="O98" s="306">
        <f t="shared" si="23"/>
        <v>0</v>
      </c>
      <c r="P98" s="308">
        <f t="shared" si="23"/>
        <v>0</v>
      </c>
      <c r="Q98" s="307">
        <f t="shared" si="23"/>
        <v>0</v>
      </c>
      <c r="R98" s="306">
        <f t="shared" si="23"/>
        <v>0</v>
      </c>
      <c r="S98" s="306">
        <f t="shared" si="23"/>
        <v>0</v>
      </c>
      <c r="T98" s="308">
        <f t="shared" si="23"/>
        <v>0</v>
      </c>
      <c r="U98" s="307">
        <f t="shared" si="23"/>
        <v>0</v>
      </c>
      <c r="V98" s="306">
        <f t="shared" si="23"/>
        <v>0</v>
      </c>
      <c r="W98" s="306">
        <f t="shared" si="23"/>
        <v>0</v>
      </c>
      <c r="X98" s="308">
        <f t="shared" si="23"/>
        <v>0</v>
      </c>
      <c r="Y98" s="307">
        <f t="shared" si="23"/>
        <v>0</v>
      </c>
      <c r="Z98" s="306">
        <f t="shared" si="23"/>
        <v>0</v>
      </c>
      <c r="AA98" s="306">
        <f t="shared" si="23"/>
        <v>0</v>
      </c>
      <c r="AB98" s="308">
        <f t="shared" si="23"/>
        <v>0</v>
      </c>
      <c r="AC98" s="307">
        <f t="shared" si="23"/>
        <v>0</v>
      </c>
      <c r="AD98" s="306">
        <f t="shared" si="23"/>
        <v>0</v>
      </c>
      <c r="AE98" s="306">
        <f t="shared" si="23"/>
        <v>0</v>
      </c>
      <c r="AF98" s="308">
        <f t="shared" si="23"/>
        <v>0</v>
      </c>
      <c r="AG98" s="307">
        <f t="shared" si="23"/>
        <v>0</v>
      </c>
      <c r="AH98" s="306">
        <f t="shared" si="23"/>
        <v>0</v>
      </c>
      <c r="AI98" s="306">
        <f t="shared" si="23"/>
        <v>0</v>
      </c>
      <c r="AJ98" s="308">
        <f t="shared" si="23"/>
        <v>0</v>
      </c>
      <c r="AK98" s="307">
        <f t="shared" si="23"/>
        <v>0</v>
      </c>
      <c r="AL98" s="306">
        <f t="shared" si="23"/>
        <v>0</v>
      </c>
      <c r="AM98" s="306">
        <f t="shared" si="23"/>
        <v>0</v>
      </c>
      <c r="AN98" s="308">
        <f t="shared" si="23"/>
        <v>0</v>
      </c>
      <c r="AO98" s="307">
        <f t="shared" si="23"/>
        <v>0</v>
      </c>
      <c r="AP98" s="306">
        <f t="shared" si="23"/>
        <v>0</v>
      </c>
      <c r="AQ98" s="306">
        <f t="shared" si="23"/>
        <v>0</v>
      </c>
      <c r="AR98" s="308">
        <f t="shared" si="23"/>
        <v>0</v>
      </c>
      <c r="AS98" s="307">
        <f t="shared" si="23"/>
        <v>0</v>
      </c>
      <c r="AT98" s="306">
        <f t="shared" si="23"/>
        <v>0</v>
      </c>
      <c r="AU98" s="306">
        <f t="shared" si="23"/>
        <v>0</v>
      </c>
      <c r="AV98" s="308">
        <f t="shared" si="23"/>
        <v>0</v>
      </c>
    </row>
    <row r="99" spans="2:48" s="257" customFormat="1" ht="15.75" customHeight="1" outlineLevel="1">
      <c r="B99" s="1980"/>
      <c r="C99" s="309" t="str">
        <f>'8.项目规划指标表'!$B$5</f>
        <v>高层</v>
      </c>
      <c r="D99" s="310">
        <f>SUM(E99:AV99)</f>
        <v>0</v>
      </c>
      <c r="E99" s="311">
        <f>E192*'2.税率表'!$D$12</f>
        <v>0</v>
      </c>
      <c r="F99" s="312">
        <f>F192*'2.税率表'!$D$12</f>
        <v>0</v>
      </c>
      <c r="G99" s="312">
        <f>G192*'2.税率表'!$D$12</f>
        <v>0</v>
      </c>
      <c r="H99" s="313">
        <f>H192*'2.税率表'!$D$12</f>
        <v>0</v>
      </c>
      <c r="I99" s="311">
        <f>I192*'2.税率表'!$D$12</f>
        <v>0</v>
      </c>
      <c r="J99" s="312">
        <f>J192*'2.税率表'!$D$12</f>
        <v>0</v>
      </c>
      <c r="K99" s="312">
        <f>K192*'2.税率表'!$D$12</f>
        <v>0</v>
      </c>
      <c r="L99" s="313">
        <f>L192*'2.税率表'!$D$12</f>
        <v>0</v>
      </c>
      <c r="M99" s="311">
        <f>M192*'2.税率表'!$D$12</f>
        <v>0</v>
      </c>
      <c r="N99" s="312">
        <f>N192*'2.税率表'!$D$12</f>
        <v>0</v>
      </c>
      <c r="O99" s="312">
        <f>O192*'2.税率表'!$D$12</f>
        <v>0</v>
      </c>
      <c r="P99" s="313">
        <f>P192*'2.税率表'!$D$12</f>
        <v>0</v>
      </c>
      <c r="Q99" s="311">
        <f>Q192*'2.税率表'!$D$12</f>
        <v>0</v>
      </c>
      <c r="R99" s="312">
        <f>R192*'2.税率表'!$D$12</f>
        <v>0</v>
      </c>
      <c r="S99" s="312">
        <f>S192*'2.税率表'!$D$12</f>
        <v>0</v>
      </c>
      <c r="T99" s="313">
        <f>T192*'2.税率表'!$D$12</f>
        <v>0</v>
      </c>
      <c r="U99" s="311">
        <f>U192*'2.税率表'!$D$12</f>
        <v>0</v>
      </c>
      <c r="V99" s="312">
        <f>V192*'2.税率表'!$D$12</f>
        <v>0</v>
      </c>
      <c r="W99" s="312">
        <f>W192*'2.税率表'!$D$12</f>
        <v>0</v>
      </c>
      <c r="X99" s="313">
        <f>X192*'2.税率表'!$D$12</f>
        <v>0</v>
      </c>
      <c r="Y99" s="311">
        <f>Y192*'2.税率表'!$D$12</f>
        <v>0</v>
      </c>
      <c r="Z99" s="312">
        <f>Z192*'2.税率表'!$D$12</f>
        <v>0</v>
      </c>
      <c r="AA99" s="312">
        <f>AA192*'2.税率表'!$D$12</f>
        <v>0</v>
      </c>
      <c r="AB99" s="313">
        <f>AB192*'2.税率表'!$D$12</f>
        <v>0</v>
      </c>
      <c r="AC99" s="311">
        <f>AC192*'2.税率表'!$D$12</f>
        <v>0</v>
      </c>
      <c r="AD99" s="312">
        <f>AD192*'2.税率表'!$D$12</f>
        <v>0</v>
      </c>
      <c r="AE99" s="312">
        <f>AE192*'2.税率表'!$D$12</f>
        <v>0</v>
      </c>
      <c r="AF99" s="313">
        <f>AF192*'2.税率表'!$D$12</f>
        <v>0</v>
      </c>
      <c r="AG99" s="311">
        <f>AG192*'2.税率表'!$D$12</f>
        <v>0</v>
      </c>
      <c r="AH99" s="312">
        <f>AH192*'2.税率表'!$D$12</f>
        <v>0</v>
      </c>
      <c r="AI99" s="312">
        <f>AI192*'2.税率表'!$D$12</f>
        <v>0</v>
      </c>
      <c r="AJ99" s="313">
        <f>AJ192*'2.税率表'!$D$12</f>
        <v>0</v>
      </c>
      <c r="AK99" s="311">
        <f>AK192*'2.税率表'!$D$12</f>
        <v>0</v>
      </c>
      <c r="AL99" s="312">
        <f>AL192*'2.税率表'!$D$12</f>
        <v>0</v>
      </c>
      <c r="AM99" s="312">
        <f>AM192*'2.税率表'!$D$12</f>
        <v>0</v>
      </c>
      <c r="AN99" s="313">
        <f>AN192*'2.税率表'!$D$12</f>
        <v>0</v>
      </c>
      <c r="AO99" s="311">
        <f>AO192*'2.税率表'!$D$12</f>
        <v>0</v>
      </c>
      <c r="AP99" s="312">
        <f>AP192*'2.税率表'!$D$12</f>
        <v>0</v>
      </c>
      <c r="AQ99" s="312">
        <f>AQ192*'2.税率表'!$D$12</f>
        <v>0</v>
      </c>
      <c r="AR99" s="313">
        <f>AR192*'2.税率表'!$D$12</f>
        <v>0</v>
      </c>
      <c r="AS99" s="311">
        <f>AS192*'2.税率表'!$D$12</f>
        <v>0</v>
      </c>
      <c r="AT99" s="312">
        <f>AT192*'2.税率表'!$D$12</f>
        <v>0</v>
      </c>
      <c r="AU99" s="312">
        <f>AU192*'2.税率表'!$D$12</f>
        <v>0</v>
      </c>
      <c r="AV99" s="313">
        <f>AV192*'2.税率表'!$D$12</f>
        <v>0</v>
      </c>
    </row>
    <row r="100" spans="2:48" s="257" customFormat="1" ht="15.75" customHeight="1" outlineLevel="1">
      <c r="B100" s="1980"/>
      <c r="C100" s="303" t="str">
        <f>'8.项目规划指标表'!$B$6</f>
        <v>商铺</v>
      </c>
      <c r="D100" s="274">
        <f t="shared" ref="D100:D110" si="24">SUM(E100:AV100)</f>
        <v>0</v>
      </c>
      <c r="E100" s="275">
        <f>E193*'2.税率表'!$D$12</f>
        <v>0</v>
      </c>
      <c r="F100" s="276">
        <f>F193*'2.税率表'!$D$12</f>
        <v>0</v>
      </c>
      <c r="G100" s="276">
        <f>G193*'2.税率表'!$D$12</f>
        <v>0</v>
      </c>
      <c r="H100" s="277">
        <f>H193*'2.税率表'!$D$12</f>
        <v>0</v>
      </c>
      <c r="I100" s="275">
        <f>I193*'2.税率表'!$D$12</f>
        <v>0</v>
      </c>
      <c r="J100" s="276">
        <f>J193*'2.税率表'!$D$12</f>
        <v>0</v>
      </c>
      <c r="K100" s="276">
        <f>K193*'2.税率表'!$D$12</f>
        <v>0</v>
      </c>
      <c r="L100" s="277">
        <f>L193*'2.税率表'!$D$12</f>
        <v>0</v>
      </c>
      <c r="M100" s="275">
        <f>M193*'2.税率表'!$D$12</f>
        <v>0</v>
      </c>
      <c r="N100" s="276">
        <f>N193*'2.税率表'!$D$12</f>
        <v>0</v>
      </c>
      <c r="O100" s="276">
        <f>O193*'2.税率表'!$D$12</f>
        <v>0</v>
      </c>
      <c r="P100" s="277">
        <f>P193*'2.税率表'!$D$12</f>
        <v>0</v>
      </c>
      <c r="Q100" s="275">
        <f>Q193*'2.税率表'!$D$12</f>
        <v>0</v>
      </c>
      <c r="R100" s="276">
        <f>R193*'2.税率表'!$D$12</f>
        <v>0</v>
      </c>
      <c r="S100" s="276">
        <f>S193*'2.税率表'!$D$12</f>
        <v>0</v>
      </c>
      <c r="T100" s="277">
        <f>T193*'2.税率表'!$D$12</f>
        <v>0</v>
      </c>
      <c r="U100" s="275">
        <f>U193*'2.税率表'!$D$12</f>
        <v>0</v>
      </c>
      <c r="V100" s="276">
        <f>V193*'2.税率表'!$D$12</f>
        <v>0</v>
      </c>
      <c r="W100" s="276">
        <f>W193*'2.税率表'!$D$12</f>
        <v>0</v>
      </c>
      <c r="X100" s="277">
        <f>X193*'2.税率表'!$D$12</f>
        <v>0</v>
      </c>
      <c r="Y100" s="275">
        <f>Y193*'2.税率表'!$D$12</f>
        <v>0</v>
      </c>
      <c r="Z100" s="276">
        <f>Z193*'2.税率表'!$D$12</f>
        <v>0</v>
      </c>
      <c r="AA100" s="276">
        <f>AA193*'2.税率表'!$D$12</f>
        <v>0</v>
      </c>
      <c r="AB100" s="277">
        <f>AB193*'2.税率表'!$D$12</f>
        <v>0</v>
      </c>
      <c r="AC100" s="275">
        <f>AC193*'2.税率表'!$D$12</f>
        <v>0</v>
      </c>
      <c r="AD100" s="276">
        <f>AD193*'2.税率表'!$D$12</f>
        <v>0</v>
      </c>
      <c r="AE100" s="276">
        <f>AE193*'2.税率表'!$D$12</f>
        <v>0</v>
      </c>
      <c r="AF100" s="277">
        <f>AF193*'2.税率表'!$D$12</f>
        <v>0</v>
      </c>
      <c r="AG100" s="275">
        <f>AG193*'2.税率表'!$D$12</f>
        <v>0</v>
      </c>
      <c r="AH100" s="276">
        <f>AH193*'2.税率表'!$D$12</f>
        <v>0</v>
      </c>
      <c r="AI100" s="276">
        <f>AI193*'2.税率表'!$D$12</f>
        <v>0</v>
      </c>
      <c r="AJ100" s="277">
        <f>AJ193*'2.税率表'!$D$12</f>
        <v>0</v>
      </c>
      <c r="AK100" s="275">
        <f>AK193*'2.税率表'!$D$12</f>
        <v>0</v>
      </c>
      <c r="AL100" s="276">
        <f>AL193*'2.税率表'!$D$12</f>
        <v>0</v>
      </c>
      <c r="AM100" s="276">
        <f>AM193*'2.税率表'!$D$12</f>
        <v>0</v>
      </c>
      <c r="AN100" s="277">
        <f>AN193*'2.税率表'!$D$12</f>
        <v>0</v>
      </c>
      <c r="AO100" s="275">
        <f>AO193*'2.税率表'!$D$12</f>
        <v>0</v>
      </c>
      <c r="AP100" s="276">
        <f>AP193*'2.税率表'!$D$12</f>
        <v>0</v>
      </c>
      <c r="AQ100" s="276">
        <f>AQ193*'2.税率表'!$D$12</f>
        <v>0</v>
      </c>
      <c r="AR100" s="277">
        <f>AR193*'2.税率表'!$D$12</f>
        <v>0</v>
      </c>
      <c r="AS100" s="275">
        <f>AS193*'2.税率表'!$D$12</f>
        <v>0</v>
      </c>
      <c r="AT100" s="276">
        <f>AT193*'2.税率表'!$D$12</f>
        <v>0</v>
      </c>
      <c r="AU100" s="276">
        <f>AU193*'2.税率表'!$D$12</f>
        <v>0</v>
      </c>
      <c r="AV100" s="277">
        <f>AV193*'2.税率表'!$D$12</f>
        <v>0</v>
      </c>
    </row>
    <row r="101" spans="2:48" s="257" customFormat="1" ht="15.75" customHeight="1" outlineLevel="1">
      <c r="B101" s="1980"/>
      <c r="C101" s="303" t="str">
        <f>'8.项目规划指标表'!$B$7</f>
        <v>回迁商业</v>
      </c>
      <c r="D101" s="274">
        <f t="shared" si="24"/>
        <v>0</v>
      </c>
      <c r="E101" s="275">
        <f>E194*'2.税率表'!$D$12</f>
        <v>0</v>
      </c>
      <c r="F101" s="276">
        <f>F194*'2.税率表'!$D$12</f>
        <v>0</v>
      </c>
      <c r="G101" s="276">
        <f>G194*'2.税率表'!$D$12</f>
        <v>0</v>
      </c>
      <c r="H101" s="277">
        <f>H194*'2.税率表'!$D$12</f>
        <v>0</v>
      </c>
      <c r="I101" s="275">
        <f>I194*'2.税率表'!$D$12</f>
        <v>0</v>
      </c>
      <c r="J101" s="276">
        <f>J194*'2.税率表'!$D$12</f>
        <v>0</v>
      </c>
      <c r="K101" s="276">
        <f>K194*'2.税率表'!$D$12</f>
        <v>0</v>
      </c>
      <c r="L101" s="277">
        <f>L194*'2.税率表'!$D$12</f>
        <v>0</v>
      </c>
      <c r="M101" s="275">
        <f>M194*'2.税率表'!$D$12</f>
        <v>0</v>
      </c>
      <c r="N101" s="276">
        <f>N194*'2.税率表'!$D$12</f>
        <v>0</v>
      </c>
      <c r="O101" s="276">
        <f>O194*'2.税率表'!$D$12</f>
        <v>0</v>
      </c>
      <c r="P101" s="277">
        <f>P194*'2.税率表'!$D$12</f>
        <v>0</v>
      </c>
      <c r="Q101" s="275">
        <f>Q194*'2.税率表'!$D$12</f>
        <v>0</v>
      </c>
      <c r="R101" s="276">
        <f>R194*'2.税率表'!$D$12</f>
        <v>0</v>
      </c>
      <c r="S101" s="276">
        <f>S194*'2.税率表'!$D$12</f>
        <v>0</v>
      </c>
      <c r="T101" s="277">
        <f>T194*'2.税率表'!$D$12</f>
        <v>0</v>
      </c>
      <c r="U101" s="275">
        <f>U194*'2.税率表'!$D$12</f>
        <v>0</v>
      </c>
      <c r="V101" s="276">
        <f>V194*'2.税率表'!$D$12</f>
        <v>0</v>
      </c>
      <c r="W101" s="276">
        <f>W194*'2.税率表'!$D$12</f>
        <v>0</v>
      </c>
      <c r="X101" s="277">
        <f>X194*'2.税率表'!$D$12</f>
        <v>0</v>
      </c>
      <c r="Y101" s="275">
        <f>Y194*'2.税率表'!$D$12</f>
        <v>0</v>
      </c>
      <c r="Z101" s="276">
        <f>Z194*'2.税率表'!$D$12</f>
        <v>0</v>
      </c>
      <c r="AA101" s="276">
        <f>AA194*'2.税率表'!$D$12</f>
        <v>0</v>
      </c>
      <c r="AB101" s="277">
        <f>AB194*'2.税率表'!$D$12</f>
        <v>0</v>
      </c>
      <c r="AC101" s="275">
        <f>AC194*'2.税率表'!$D$12</f>
        <v>0</v>
      </c>
      <c r="AD101" s="276">
        <f>AD194*'2.税率表'!$D$12</f>
        <v>0</v>
      </c>
      <c r="AE101" s="276">
        <f>AE194*'2.税率表'!$D$12</f>
        <v>0</v>
      </c>
      <c r="AF101" s="277">
        <f>AF194*'2.税率表'!$D$12</f>
        <v>0</v>
      </c>
      <c r="AG101" s="275">
        <f>AG194*'2.税率表'!$D$12</f>
        <v>0</v>
      </c>
      <c r="AH101" s="276">
        <f>AH194*'2.税率表'!$D$12</f>
        <v>0</v>
      </c>
      <c r="AI101" s="276">
        <f>AI194*'2.税率表'!$D$12</f>
        <v>0</v>
      </c>
      <c r="AJ101" s="277">
        <f>AJ194*'2.税率表'!$D$12</f>
        <v>0</v>
      </c>
      <c r="AK101" s="275">
        <f>AK194*'2.税率表'!$D$12</f>
        <v>0</v>
      </c>
      <c r="AL101" s="276">
        <f>AL194*'2.税率表'!$D$12</f>
        <v>0</v>
      </c>
      <c r="AM101" s="276">
        <f>AM194*'2.税率表'!$D$12</f>
        <v>0</v>
      </c>
      <c r="AN101" s="277">
        <f>AN194*'2.税率表'!$D$12</f>
        <v>0</v>
      </c>
      <c r="AO101" s="275">
        <f>AO194*'2.税率表'!$D$12</f>
        <v>0</v>
      </c>
      <c r="AP101" s="276">
        <f>AP194*'2.税率表'!$D$12</f>
        <v>0</v>
      </c>
      <c r="AQ101" s="276">
        <f>AQ194*'2.税率表'!$D$12</f>
        <v>0</v>
      </c>
      <c r="AR101" s="277">
        <f>AR194*'2.税率表'!$D$12</f>
        <v>0</v>
      </c>
      <c r="AS101" s="275">
        <f>AS194*'2.税率表'!$D$12</f>
        <v>0</v>
      </c>
      <c r="AT101" s="276">
        <f>AT194*'2.税率表'!$D$12</f>
        <v>0</v>
      </c>
      <c r="AU101" s="276">
        <f>AU194*'2.税率表'!$D$12</f>
        <v>0</v>
      </c>
      <c r="AV101" s="277">
        <f>AV194*'2.税率表'!$D$12</f>
        <v>0</v>
      </c>
    </row>
    <row r="102" spans="2:48" s="257" customFormat="1" ht="15.75" customHeight="1" outlineLevel="1">
      <c r="B102" s="1980"/>
      <c r="C102" s="303">
        <f>'8.项目规划指标表'!$B$8</f>
        <v>0</v>
      </c>
      <c r="D102" s="274">
        <f t="shared" si="24"/>
        <v>0</v>
      </c>
      <c r="E102" s="275">
        <f>E195*'2.税率表'!$D$12</f>
        <v>0</v>
      </c>
      <c r="F102" s="276">
        <f>F195*'2.税率表'!$D$12</f>
        <v>0</v>
      </c>
      <c r="G102" s="276">
        <f>G195*'2.税率表'!$D$12</f>
        <v>0</v>
      </c>
      <c r="H102" s="277">
        <f>H195*'2.税率表'!$D$12</f>
        <v>0</v>
      </c>
      <c r="I102" s="275">
        <f>I195*'2.税率表'!$D$12</f>
        <v>0</v>
      </c>
      <c r="J102" s="276">
        <f>J195*'2.税率表'!$D$12</f>
        <v>0</v>
      </c>
      <c r="K102" s="276">
        <f>K195*'2.税率表'!$D$12</f>
        <v>0</v>
      </c>
      <c r="L102" s="277">
        <f>L195*'2.税率表'!$D$12</f>
        <v>0</v>
      </c>
      <c r="M102" s="275">
        <f>M195*'2.税率表'!$D$12</f>
        <v>0</v>
      </c>
      <c r="N102" s="276">
        <f>N195*'2.税率表'!$D$12</f>
        <v>0</v>
      </c>
      <c r="O102" s="276">
        <f>O195*'2.税率表'!$D$12</f>
        <v>0</v>
      </c>
      <c r="P102" s="277">
        <f>P195*'2.税率表'!$D$12</f>
        <v>0</v>
      </c>
      <c r="Q102" s="275">
        <f>Q195*'2.税率表'!$D$12</f>
        <v>0</v>
      </c>
      <c r="R102" s="276">
        <f>R195*'2.税率表'!$D$12</f>
        <v>0</v>
      </c>
      <c r="S102" s="276">
        <f>S195*'2.税率表'!$D$12</f>
        <v>0</v>
      </c>
      <c r="T102" s="277">
        <f>T195*'2.税率表'!$D$12</f>
        <v>0</v>
      </c>
      <c r="U102" s="275">
        <f>U195*'2.税率表'!$D$12</f>
        <v>0</v>
      </c>
      <c r="V102" s="276">
        <f>V195*'2.税率表'!$D$12</f>
        <v>0</v>
      </c>
      <c r="W102" s="276">
        <f>W195*'2.税率表'!$D$12</f>
        <v>0</v>
      </c>
      <c r="X102" s="277">
        <f>X195*'2.税率表'!$D$12</f>
        <v>0</v>
      </c>
      <c r="Y102" s="275">
        <f>Y195*'2.税率表'!$D$12</f>
        <v>0</v>
      </c>
      <c r="Z102" s="276">
        <f>Z195*'2.税率表'!$D$12</f>
        <v>0</v>
      </c>
      <c r="AA102" s="276">
        <f>AA195*'2.税率表'!$D$12</f>
        <v>0</v>
      </c>
      <c r="AB102" s="277">
        <f>AB195*'2.税率表'!$D$12</f>
        <v>0</v>
      </c>
      <c r="AC102" s="275">
        <f>AC195*'2.税率表'!$D$12</f>
        <v>0</v>
      </c>
      <c r="AD102" s="276">
        <f>AD195*'2.税率表'!$D$12</f>
        <v>0</v>
      </c>
      <c r="AE102" s="276">
        <f>AE195*'2.税率表'!$D$12</f>
        <v>0</v>
      </c>
      <c r="AF102" s="277">
        <f>AF195*'2.税率表'!$D$12</f>
        <v>0</v>
      </c>
      <c r="AG102" s="275">
        <f>AG195*'2.税率表'!$D$12</f>
        <v>0</v>
      </c>
      <c r="AH102" s="276">
        <f>AH195*'2.税率表'!$D$12</f>
        <v>0</v>
      </c>
      <c r="AI102" s="276">
        <f>AI195*'2.税率表'!$D$12</f>
        <v>0</v>
      </c>
      <c r="AJ102" s="277">
        <f>AJ195*'2.税率表'!$D$12</f>
        <v>0</v>
      </c>
      <c r="AK102" s="275">
        <f>AK195*'2.税率表'!$D$12</f>
        <v>0</v>
      </c>
      <c r="AL102" s="276">
        <f>AL195*'2.税率表'!$D$12</f>
        <v>0</v>
      </c>
      <c r="AM102" s="276">
        <f>AM195*'2.税率表'!$D$12</f>
        <v>0</v>
      </c>
      <c r="AN102" s="277">
        <f>AN195*'2.税率表'!$D$12</f>
        <v>0</v>
      </c>
      <c r="AO102" s="275">
        <f>AO195*'2.税率表'!$D$12</f>
        <v>0</v>
      </c>
      <c r="AP102" s="276">
        <f>AP195*'2.税率表'!$D$12</f>
        <v>0</v>
      </c>
      <c r="AQ102" s="276">
        <f>AQ195*'2.税率表'!$D$12</f>
        <v>0</v>
      </c>
      <c r="AR102" s="277">
        <f>AR195*'2.税率表'!$D$12</f>
        <v>0</v>
      </c>
      <c r="AS102" s="275">
        <f>AS195*'2.税率表'!$D$12</f>
        <v>0</v>
      </c>
      <c r="AT102" s="276">
        <f>AT195*'2.税率表'!$D$12</f>
        <v>0</v>
      </c>
      <c r="AU102" s="276">
        <f>AU195*'2.税率表'!$D$12</f>
        <v>0</v>
      </c>
      <c r="AV102" s="277">
        <f>AV195*'2.税率表'!$D$12</f>
        <v>0</v>
      </c>
    </row>
    <row r="103" spans="2:48" s="257" customFormat="1" ht="15.75" customHeight="1" outlineLevel="1">
      <c r="B103" s="1980"/>
      <c r="C103" s="303">
        <f>'8.项目规划指标表'!$B$9</f>
        <v>0</v>
      </c>
      <c r="D103" s="274">
        <f t="shared" si="24"/>
        <v>0</v>
      </c>
      <c r="E103" s="275">
        <f>E196*'2.税率表'!$D$12</f>
        <v>0</v>
      </c>
      <c r="F103" s="276">
        <f>F196*'2.税率表'!$D$12</f>
        <v>0</v>
      </c>
      <c r="G103" s="276">
        <f>G196*'2.税率表'!$D$12</f>
        <v>0</v>
      </c>
      <c r="H103" s="277">
        <f>H196*'2.税率表'!$D$12</f>
        <v>0</v>
      </c>
      <c r="I103" s="275">
        <f>I196*'2.税率表'!$D$12</f>
        <v>0</v>
      </c>
      <c r="J103" s="276">
        <f>J196*'2.税率表'!$D$12</f>
        <v>0</v>
      </c>
      <c r="K103" s="276">
        <f>K196*'2.税率表'!$D$12</f>
        <v>0</v>
      </c>
      <c r="L103" s="277">
        <f>L196*'2.税率表'!$D$12</f>
        <v>0</v>
      </c>
      <c r="M103" s="275">
        <f>M196*'2.税率表'!$D$12</f>
        <v>0</v>
      </c>
      <c r="N103" s="276">
        <f>N196*'2.税率表'!$D$12</f>
        <v>0</v>
      </c>
      <c r="O103" s="276">
        <f>O196*'2.税率表'!$D$12</f>
        <v>0</v>
      </c>
      <c r="P103" s="277">
        <f>P196*'2.税率表'!$D$12</f>
        <v>0</v>
      </c>
      <c r="Q103" s="275">
        <f>Q196*'2.税率表'!$D$12</f>
        <v>0</v>
      </c>
      <c r="R103" s="276">
        <f>R196*'2.税率表'!$D$12</f>
        <v>0</v>
      </c>
      <c r="S103" s="276">
        <f>S196*'2.税率表'!$D$12</f>
        <v>0</v>
      </c>
      <c r="T103" s="277">
        <f>T196*'2.税率表'!$D$12</f>
        <v>0</v>
      </c>
      <c r="U103" s="275">
        <f>U196*'2.税率表'!$D$12</f>
        <v>0</v>
      </c>
      <c r="V103" s="276">
        <f>V196*'2.税率表'!$D$12</f>
        <v>0</v>
      </c>
      <c r="W103" s="276">
        <f>W196*'2.税率表'!$D$12</f>
        <v>0</v>
      </c>
      <c r="X103" s="277">
        <f>X196*'2.税率表'!$D$12</f>
        <v>0</v>
      </c>
      <c r="Y103" s="275">
        <f>Y196*'2.税率表'!$D$12</f>
        <v>0</v>
      </c>
      <c r="Z103" s="276">
        <f>Z196*'2.税率表'!$D$12</f>
        <v>0</v>
      </c>
      <c r="AA103" s="276">
        <f>AA196*'2.税率表'!$D$12</f>
        <v>0</v>
      </c>
      <c r="AB103" s="277">
        <f>AB196*'2.税率表'!$D$12</f>
        <v>0</v>
      </c>
      <c r="AC103" s="275">
        <f>AC196*'2.税率表'!$D$12</f>
        <v>0</v>
      </c>
      <c r="AD103" s="276">
        <f>AD196*'2.税率表'!$D$12</f>
        <v>0</v>
      </c>
      <c r="AE103" s="276">
        <f>AE196*'2.税率表'!$D$12</f>
        <v>0</v>
      </c>
      <c r="AF103" s="277">
        <f>AF196*'2.税率表'!$D$12</f>
        <v>0</v>
      </c>
      <c r="AG103" s="275">
        <f>AG196*'2.税率表'!$D$12</f>
        <v>0</v>
      </c>
      <c r="AH103" s="276">
        <f>AH196*'2.税率表'!$D$12</f>
        <v>0</v>
      </c>
      <c r="AI103" s="276">
        <f>AI196*'2.税率表'!$D$12</f>
        <v>0</v>
      </c>
      <c r="AJ103" s="277">
        <f>AJ196*'2.税率表'!$D$12</f>
        <v>0</v>
      </c>
      <c r="AK103" s="275">
        <f>AK196*'2.税率表'!$D$12</f>
        <v>0</v>
      </c>
      <c r="AL103" s="276">
        <f>AL196*'2.税率表'!$D$12</f>
        <v>0</v>
      </c>
      <c r="AM103" s="276">
        <f>AM196*'2.税率表'!$D$12</f>
        <v>0</v>
      </c>
      <c r="AN103" s="277">
        <f>AN196*'2.税率表'!$D$12</f>
        <v>0</v>
      </c>
      <c r="AO103" s="275">
        <f>AO196*'2.税率表'!$D$12</f>
        <v>0</v>
      </c>
      <c r="AP103" s="276">
        <f>AP196*'2.税率表'!$D$12</f>
        <v>0</v>
      </c>
      <c r="AQ103" s="276">
        <f>AQ196*'2.税率表'!$D$12</f>
        <v>0</v>
      </c>
      <c r="AR103" s="277">
        <f>AR196*'2.税率表'!$D$12</f>
        <v>0</v>
      </c>
      <c r="AS103" s="275">
        <f>AS196*'2.税率表'!$D$12</f>
        <v>0</v>
      </c>
      <c r="AT103" s="276">
        <f>AT196*'2.税率表'!$D$12</f>
        <v>0</v>
      </c>
      <c r="AU103" s="276">
        <f>AU196*'2.税率表'!$D$12</f>
        <v>0</v>
      </c>
      <c r="AV103" s="277">
        <f>AV196*'2.税率表'!$D$12</f>
        <v>0</v>
      </c>
    </row>
    <row r="104" spans="2:48" s="257" customFormat="1" ht="15.75" customHeight="1" outlineLevel="1">
      <c r="B104" s="1980"/>
      <c r="C104" s="303">
        <f>'8.项目规划指标表'!$B$10</f>
        <v>0</v>
      </c>
      <c r="D104" s="274">
        <f t="shared" si="24"/>
        <v>0</v>
      </c>
      <c r="E104" s="275">
        <f>E197*'2.税率表'!$D$12</f>
        <v>0</v>
      </c>
      <c r="F104" s="276">
        <f>F197*'2.税率表'!$D$12</f>
        <v>0</v>
      </c>
      <c r="G104" s="276">
        <f>G197*'2.税率表'!$D$12</f>
        <v>0</v>
      </c>
      <c r="H104" s="277">
        <f>H197*'2.税率表'!$D$12</f>
        <v>0</v>
      </c>
      <c r="I104" s="275">
        <f>I197*'2.税率表'!$D$12</f>
        <v>0</v>
      </c>
      <c r="J104" s="276">
        <f>J197*'2.税率表'!$D$12</f>
        <v>0</v>
      </c>
      <c r="K104" s="276">
        <f>K197*'2.税率表'!$D$12</f>
        <v>0</v>
      </c>
      <c r="L104" s="277">
        <f>L197*'2.税率表'!$D$12</f>
        <v>0</v>
      </c>
      <c r="M104" s="275">
        <f>M197*'2.税率表'!$D$12</f>
        <v>0</v>
      </c>
      <c r="N104" s="276">
        <f>N197*'2.税率表'!$D$12</f>
        <v>0</v>
      </c>
      <c r="O104" s="276">
        <f>O197*'2.税率表'!$D$12</f>
        <v>0</v>
      </c>
      <c r="P104" s="277">
        <f>P197*'2.税率表'!$D$12</f>
        <v>0</v>
      </c>
      <c r="Q104" s="275">
        <f>Q197*'2.税率表'!$D$12</f>
        <v>0</v>
      </c>
      <c r="R104" s="276">
        <f>R197*'2.税率表'!$D$12</f>
        <v>0</v>
      </c>
      <c r="S104" s="276">
        <f>S197*'2.税率表'!$D$12</f>
        <v>0</v>
      </c>
      <c r="T104" s="277">
        <f>T197*'2.税率表'!$D$12</f>
        <v>0</v>
      </c>
      <c r="U104" s="275">
        <f>U197*'2.税率表'!$D$12</f>
        <v>0</v>
      </c>
      <c r="V104" s="276">
        <f>V197*'2.税率表'!$D$12</f>
        <v>0</v>
      </c>
      <c r="W104" s="276">
        <f>W197*'2.税率表'!$D$12</f>
        <v>0</v>
      </c>
      <c r="X104" s="277">
        <f>X197*'2.税率表'!$D$12</f>
        <v>0</v>
      </c>
      <c r="Y104" s="275">
        <f>Y197*'2.税率表'!$D$12</f>
        <v>0</v>
      </c>
      <c r="Z104" s="276">
        <f>Z197*'2.税率表'!$D$12</f>
        <v>0</v>
      </c>
      <c r="AA104" s="276">
        <f>AA197*'2.税率表'!$D$12</f>
        <v>0</v>
      </c>
      <c r="AB104" s="277">
        <f>AB197*'2.税率表'!$D$12</f>
        <v>0</v>
      </c>
      <c r="AC104" s="275">
        <f>AC197*'2.税率表'!$D$12</f>
        <v>0</v>
      </c>
      <c r="AD104" s="276">
        <f>AD197*'2.税率表'!$D$12</f>
        <v>0</v>
      </c>
      <c r="AE104" s="276">
        <f>AE197*'2.税率表'!$D$12</f>
        <v>0</v>
      </c>
      <c r="AF104" s="277">
        <f>AF197*'2.税率表'!$D$12</f>
        <v>0</v>
      </c>
      <c r="AG104" s="275">
        <f>AG197*'2.税率表'!$D$12</f>
        <v>0</v>
      </c>
      <c r="AH104" s="276">
        <f>AH197*'2.税率表'!$D$12</f>
        <v>0</v>
      </c>
      <c r="AI104" s="276">
        <f>AI197*'2.税率表'!$D$12</f>
        <v>0</v>
      </c>
      <c r="AJ104" s="277">
        <f>AJ197*'2.税率表'!$D$12</f>
        <v>0</v>
      </c>
      <c r="AK104" s="275">
        <f>AK197*'2.税率表'!$D$12</f>
        <v>0</v>
      </c>
      <c r="AL104" s="276">
        <f>AL197*'2.税率表'!$D$12</f>
        <v>0</v>
      </c>
      <c r="AM104" s="276">
        <f>AM197*'2.税率表'!$D$12</f>
        <v>0</v>
      </c>
      <c r="AN104" s="277">
        <f>AN197*'2.税率表'!$D$12</f>
        <v>0</v>
      </c>
      <c r="AO104" s="275">
        <f>AO197*'2.税率表'!$D$12</f>
        <v>0</v>
      </c>
      <c r="AP104" s="276">
        <f>AP197*'2.税率表'!$D$12</f>
        <v>0</v>
      </c>
      <c r="AQ104" s="276">
        <f>AQ197*'2.税率表'!$D$12</f>
        <v>0</v>
      </c>
      <c r="AR104" s="277">
        <f>AR197*'2.税率表'!$D$12</f>
        <v>0</v>
      </c>
      <c r="AS104" s="275">
        <f>AS197*'2.税率表'!$D$12</f>
        <v>0</v>
      </c>
      <c r="AT104" s="276">
        <f>AT197*'2.税率表'!$D$12</f>
        <v>0</v>
      </c>
      <c r="AU104" s="276">
        <f>AU197*'2.税率表'!$D$12</f>
        <v>0</v>
      </c>
      <c r="AV104" s="277">
        <f>AV197*'2.税率表'!$D$12</f>
        <v>0</v>
      </c>
    </row>
    <row r="105" spans="2:48" s="257" customFormat="1" ht="15.75" customHeight="1" outlineLevel="1">
      <c r="B105" s="1980"/>
      <c r="C105" s="303">
        <f>'8.项目规划指标表'!$B$11</f>
        <v>0</v>
      </c>
      <c r="D105" s="274">
        <f t="shared" si="24"/>
        <v>0</v>
      </c>
      <c r="E105" s="275">
        <f>E198*'2.税率表'!$D$12</f>
        <v>0</v>
      </c>
      <c r="F105" s="276">
        <f>F198*'2.税率表'!$D$12</f>
        <v>0</v>
      </c>
      <c r="G105" s="276">
        <f>G198*'2.税率表'!$D$12</f>
        <v>0</v>
      </c>
      <c r="H105" s="277">
        <f>H198*'2.税率表'!$D$12</f>
        <v>0</v>
      </c>
      <c r="I105" s="275">
        <f>I198*'2.税率表'!$D$12</f>
        <v>0</v>
      </c>
      <c r="J105" s="276">
        <f>J198*'2.税率表'!$D$12</f>
        <v>0</v>
      </c>
      <c r="K105" s="276">
        <f>K198*'2.税率表'!$D$12</f>
        <v>0</v>
      </c>
      <c r="L105" s="277">
        <f>L198*'2.税率表'!$D$12</f>
        <v>0</v>
      </c>
      <c r="M105" s="275">
        <f>M198*'2.税率表'!$D$12</f>
        <v>0</v>
      </c>
      <c r="N105" s="276">
        <f>N198*'2.税率表'!$D$12</f>
        <v>0</v>
      </c>
      <c r="O105" s="276">
        <f>O198*'2.税率表'!$D$12</f>
        <v>0</v>
      </c>
      <c r="P105" s="277">
        <f>P198*'2.税率表'!$D$12</f>
        <v>0</v>
      </c>
      <c r="Q105" s="275">
        <f>Q198*'2.税率表'!$D$12</f>
        <v>0</v>
      </c>
      <c r="R105" s="276">
        <f>R198*'2.税率表'!$D$12</f>
        <v>0</v>
      </c>
      <c r="S105" s="276">
        <f>S198*'2.税率表'!$D$12</f>
        <v>0</v>
      </c>
      <c r="T105" s="277">
        <f>T198*'2.税率表'!$D$12</f>
        <v>0</v>
      </c>
      <c r="U105" s="275">
        <f>U198*'2.税率表'!$D$12</f>
        <v>0</v>
      </c>
      <c r="V105" s="276">
        <f>V198*'2.税率表'!$D$12</f>
        <v>0</v>
      </c>
      <c r="W105" s="276">
        <f>W198*'2.税率表'!$D$12</f>
        <v>0</v>
      </c>
      <c r="X105" s="277">
        <f>X198*'2.税率表'!$D$12</f>
        <v>0</v>
      </c>
      <c r="Y105" s="275">
        <f>Y198*'2.税率表'!$D$12</f>
        <v>0</v>
      </c>
      <c r="Z105" s="276">
        <f>Z198*'2.税率表'!$D$12</f>
        <v>0</v>
      </c>
      <c r="AA105" s="276">
        <f>AA198*'2.税率表'!$D$12</f>
        <v>0</v>
      </c>
      <c r="AB105" s="277">
        <f>AB198*'2.税率表'!$D$12</f>
        <v>0</v>
      </c>
      <c r="AC105" s="275">
        <f>AC198*'2.税率表'!$D$12</f>
        <v>0</v>
      </c>
      <c r="AD105" s="276">
        <f>AD198*'2.税率表'!$D$12</f>
        <v>0</v>
      </c>
      <c r="AE105" s="276">
        <f>AE198*'2.税率表'!$D$12</f>
        <v>0</v>
      </c>
      <c r="AF105" s="277">
        <f>AF198*'2.税率表'!$D$12</f>
        <v>0</v>
      </c>
      <c r="AG105" s="275">
        <f>AG198*'2.税率表'!$D$12</f>
        <v>0</v>
      </c>
      <c r="AH105" s="276">
        <f>AH198*'2.税率表'!$D$12</f>
        <v>0</v>
      </c>
      <c r="AI105" s="276">
        <f>AI198*'2.税率表'!$D$12</f>
        <v>0</v>
      </c>
      <c r="AJ105" s="277">
        <f>AJ198*'2.税率表'!$D$12</f>
        <v>0</v>
      </c>
      <c r="AK105" s="275">
        <f>AK198*'2.税率表'!$D$12</f>
        <v>0</v>
      </c>
      <c r="AL105" s="276">
        <f>AL198*'2.税率表'!$D$12</f>
        <v>0</v>
      </c>
      <c r="AM105" s="276">
        <f>AM198*'2.税率表'!$D$12</f>
        <v>0</v>
      </c>
      <c r="AN105" s="277">
        <f>AN198*'2.税率表'!$D$12</f>
        <v>0</v>
      </c>
      <c r="AO105" s="275">
        <f>AO198*'2.税率表'!$D$12</f>
        <v>0</v>
      </c>
      <c r="AP105" s="276">
        <f>AP198*'2.税率表'!$D$12</f>
        <v>0</v>
      </c>
      <c r="AQ105" s="276">
        <f>AQ198*'2.税率表'!$D$12</f>
        <v>0</v>
      </c>
      <c r="AR105" s="277">
        <f>AR198*'2.税率表'!$D$12</f>
        <v>0</v>
      </c>
      <c r="AS105" s="275">
        <f>AS198*'2.税率表'!$D$12</f>
        <v>0</v>
      </c>
      <c r="AT105" s="276">
        <f>AT198*'2.税率表'!$D$12</f>
        <v>0</v>
      </c>
      <c r="AU105" s="276">
        <f>AU198*'2.税率表'!$D$12</f>
        <v>0</v>
      </c>
      <c r="AV105" s="277">
        <f>AV198*'2.税率表'!$D$12</f>
        <v>0</v>
      </c>
    </row>
    <row r="106" spans="2:48" s="257" customFormat="1" ht="15.75" customHeight="1" outlineLevel="1">
      <c r="B106" s="1980"/>
      <c r="C106" s="303">
        <f>'8.项目规划指标表'!$B$12</f>
        <v>0</v>
      </c>
      <c r="D106" s="274">
        <f t="shared" si="24"/>
        <v>0</v>
      </c>
      <c r="E106" s="275">
        <f>E199*'2.税率表'!$D$12</f>
        <v>0</v>
      </c>
      <c r="F106" s="276">
        <f>F199*'2.税率表'!$D$12</f>
        <v>0</v>
      </c>
      <c r="G106" s="276">
        <f>G199*'2.税率表'!$D$12</f>
        <v>0</v>
      </c>
      <c r="H106" s="277">
        <f>H199*'2.税率表'!$D$12</f>
        <v>0</v>
      </c>
      <c r="I106" s="275">
        <f>I199*'2.税率表'!$D$12</f>
        <v>0</v>
      </c>
      <c r="J106" s="276">
        <f>J199*'2.税率表'!$D$12</f>
        <v>0</v>
      </c>
      <c r="K106" s="276">
        <f>K199*'2.税率表'!$D$12</f>
        <v>0</v>
      </c>
      <c r="L106" s="277">
        <f>L199*'2.税率表'!$D$12</f>
        <v>0</v>
      </c>
      <c r="M106" s="275">
        <f>M199*'2.税率表'!$D$12</f>
        <v>0</v>
      </c>
      <c r="N106" s="276">
        <f>N199*'2.税率表'!$D$12</f>
        <v>0</v>
      </c>
      <c r="O106" s="276">
        <f>O199*'2.税率表'!$D$12</f>
        <v>0</v>
      </c>
      <c r="P106" s="277">
        <f>P199*'2.税率表'!$D$12</f>
        <v>0</v>
      </c>
      <c r="Q106" s="275">
        <f>Q199*'2.税率表'!$D$12</f>
        <v>0</v>
      </c>
      <c r="R106" s="276">
        <f>R199*'2.税率表'!$D$12</f>
        <v>0</v>
      </c>
      <c r="S106" s="276">
        <f>S199*'2.税率表'!$D$12</f>
        <v>0</v>
      </c>
      <c r="T106" s="277">
        <f>T199*'2.税率表'!$D$12</f>
        <v>0</v>
      </c>
      <c r="U106" s="275">
        <f>U199*'2.税率表'!$D$12</f>
        <v>0</v>
      </c>
      <c r="V106" s="276">
        <f>V199*'2.税率表'!$D$12</f>
        <v>0</v>
      </c>
      <c r="W106" s="276">
        <f>W199*'2.税率表'!$D$12</f>
        <v>0</v>
      </c>
      <c r="X106" s="277">
        <f>X199*'2.税率表'!$D$12</f>
        <v>0</v>
      </c>
      <c r="Y106" s="275">
        <f>Y199*'2.税率表'!$D$12</f>
        <v>0</v>
      </c>
      <c r="Z106" s="276">
        <f>Z199*'2.税率表'!$D$12</f>
        <v>0</v>
      </c>
      <c r="AA106" s="276">
        <f>AA199*'2.税率表'!$D$12</f>
        <v>0</v>
      </c>
      <c r="AB106" s="277">
        <f>AB199*'2.税率表'!$D$12</f>
        <v>0</v>
      </c>
      <c r="AC106" s="275">
        <f>AC199*'2.税率表'!$D$12</f>
        <v>0</v>
      </c>
      <c r="AD106" s="276">
        <f>AD199*'2.税率表'!$D$12</f>
        <v>0</v>
      </c>
      <c r="AE106" s="276">
        <f>AE199*'2.税率表'!$D$12</f>
        <v>0</v>
      </c>
      <c r="AF106" s="277">
        <f>AF199*'2.税率表'!$D$12</f>
        <v>0</v>
      </c>
      <c r="AG106" s="275">
        <f>AG199*'2.税率表'!$D$12</f>
        <v>0</v>
      </c>
      <c r="AH106" s="276">
        <f>AH199*'2.税率表'!$D$12</f>
        <v>0</v>
      </c>
      <c r="AI106" s="276">
        <f>AI199*'2.税率表'!$D$12</f>
        <v>0</v>
      </c>
      <c r="AJ106" s="277">
        <f>AJ199*'2.税率表'!$D$12</f>
        <v>0</v>
      </c>
      <c r="AK106" s="275">
        <f>AK199*'2.税率表'!$D$12</f>
        <v>0</v>
      </c>
      <c r="AL106" s="276">
        <f>AL199*'2.税率表'!$D$12</f>
        <v>0</v>
      </c>
      <c r="AM106" s="276">
        <f>AM199*'2.税率表'!$D$12</f>
        <v>0</v>
      </c>
      <c r="AN106" s="277">
        <f>AN199*'2.税率表'!$D$12</f>
        <v>0</v>
      </c>
      <c r="AO106" s="275">
        <f>AO199*'2.税率表'!$D$12</f>
        <v>0</v>
      </c>
      <c r="AP106" s="276">
        <f>AP199*'2.税率表'!$D$12</f>
        <v>0</v>
      </c>
      <c r="AQ106" s="276">
        <f>AQ199*'2.税率表'!$D$12</f>
        <v>0</v>
      </c>
      <c r="AR106" s="277">
        <f>AR199*'2.税率表'!$D$12</f>
        <v>0</v>
      </c>
      <c r="AS106" s="275">
        <f>AS199*'2.税率表'!$D$12</f>
        <v>0</v>
      </c>
      <c r="AT106" s="276">
        <f>AT199*'2.税率表'!$D$12</f>
        <v>0</v>
      </c>
      <c r="AU106" s="276">
        <f>AU199*'2.税率表'!$D$12</f>
        <v>0</v>
      </c>
      <c r="AV106" s="277">
        <f>AV199*'2.税率表'!$D$12</f>
        <v>0</v>
      </c>
    </row>
    <row r="107" spans="2:48" s="257" customFormat="1" ht="15.75" customHeight="1" outlineLevel="1">
      <c r="B107" s="1980"/>
      <c r="C107" s="303">
        <f>'8.项目规划指标表'!$B$13</f>
        <v>0</v>
      </c>
      <c r="D107" s="274">
        <f t="shared" si="24"/>
        <v>0</v>
      </c>
      <c r="E107" s="275">
        <f>E200*'2.税率表'!$D$12</f>
        <v>0</v>
      </c>
      <c r="F107" s="276">
        <f>F200*'2.税率表'!$D$12</f>
        <v>0</v>
      </c>
      <c r="G107" s="276">
        <f>G200*'2.税率表'!$D$12</f>
        <v>0</v>
      </c>
      <c r="H107" s="277">
        <f>H200*'2.税率表'!$D$12</f>
        <v>0</v>
      </c>
      <c r="I107" s="275">
        <f>I200*'2.税率表'!$D$12</f>
        <v>0</v>
      </c>
      <c r="J107" s="276">
        <f>J200*'2.税率表'!$D$12</f>
        <v>0</v>
      </c>
      <c r="K107" s="276">
        <f>K200*'2.税率表'!$D$12</f>
        <v>0</v>
      </c>
      <c r="L107" s="277">
        <f>L200*'2.税率表'!$D$12</f>
        <v>0</v>
      </c>
      <c r="M107" s="275">
        <f>M200*'2.税率表'!$D$12</f>
        <v>0</v>
      </c>
      <c r="N107" s="276">
        <f>N200*'2.税率表'!$D$12</f>
        <v>0</v>
      </c>
      <c r="O107" s="276">
        <f>O200*'2.税率表'!$D$12</f>
        <v>0</v>
      </c>
      <c r="P107" s="277">
        <f>P200*'2.税率表'!$D$12</f>
        <v>0</v>
      </c>
      <c r="Q107" s="275">
        <f>Q200*'2.税率表'!$D$12</f>
        <v>0</v>
      </c>
      <c r="R107" s="276">
        <f>R200*'2.税率表'!$D$12</f>
        <v>0</v>
      </c>
      <c r="S107" s="276">
        <f>S200*'2.税率表'!$D$12</f>
        <v>0</v>
      </c>
      <c r="T107" s="277">
        <f>T200*'2.税率表'!$D$12</f>
        <v>0</v>
      </c>
      <c r="U107" s="275">
        <f>U200*'2.税率表'!$D$12</f>
        <v>0</v>
      </c>
      <c r="V107" s="276">
        <f>V200*'2.税率表'!$D$12</f>
        <v>0</v>
      </c>
      <c r="W107" s="276">
        <f>W200*'2.税率表'!$D$12</f>
        <v>0</v>
      </c>
      <c r="X107" s="277">
        <f>X200*'2.税率表'!$D$12</f>
        <v>0</v>
      </c>
      <c r="Y107" s="275">
        <f>Y200*'2.税率表'!$D$12</f>
        <v>0</v>
      </c>
      <c r="Z107" s="276">
        <f>Z200*'2.税率表'!$D$12</f>
        <v>0</v>
      </c>
      <c r="AA107" s="276">
        <f>AA200*'2.税率表'!$D$12</f>
        <v>0</v>
      </c>
      <c r="AB107" s="277">
        <f>AB200*'2.税率表'!$D$12</f>
        <v>0</v>
      </c>
      <c r="AC107" s="275">
        <f>AC200*'2.税率表'!$D$12</f>
        <v>0</v>
      </c>
      <c r="AD107" s="276">
        <f>AD200*'2.税率表'!$D$12</f>
        <v>0</v>
      </c>
      <c r="AE107" s="276">
        <f>AE200*'2.税率表'!$D$12</f>
        <v>0</v>
      </c>
      <c r="AF107" s="277">
        <f>AF200*'2.税率表'!$D$12</f>
        <v>0</v>
      </c>
      <c r="AG107" s="275">
        <f>AG200*'2.税率表'!$D$12</f>
        <v>0</v>
      </c>
      <c r="AH107" s="276">
        <f>AH200*'2.税率表'!$D$12</f>
        <v>0</v>
      </c>
      <c r="AI107" s="276">
        <f>AI200*'2.税率表'!$D$12</f>
        <v>0</v>
      </c>
      <c r="AJ107" s="277">
        <f>AJ200*'2.税率表'!$D$12</f>
        <v>0</v>
      </c>
      <c r="AK107" s="275">
        <f>AK200*'2.税率表'!$D$12</f>
        <v>0</v>
      </c>
      <c r="AL107" s="276">
        <f>AL200*'2.税率表'!$D$12</f>
        <v>0</v>
      </c>
      <c r="AM107" s="276">
        <f>AM200*'2.税率表'!$D$12</f>
        <v>0</v>
      </c>
      <c r="AN107" s="277">
        <f>AN200*'2.税率表'!$D$12</f>
        <v>0</v>
      </c>
      <c r="AO107" s="275">
        <f>AO200*'2.税率表'!$D$12</f>
        <v>0</v>
      </c>
      <c r="AP107" s="276">
        <f>AP200*'2.税率表'!$D$12</f>
        <v>0</v>
      </c>
      <c r="AQ107" s="276">
        <f>AQ200*'2.税率表'!$D$12</f>
        <v>0</v>
      </c>
      <c r="AR107" s="277">
        <f>AR200*'2.税率表'!$D$12</f>
        <v>0</v>
      </c>
      <c r="AS107" s="275">
        <f>AS200*'2.税率表'!$D$12</f>
        <v>0</v>
      </c>
      <c r="AT107" s="276">
        <f>AT200*'2.税率表'!$D$12</f>
        <v>0</v>
      </c>
      <c r="AU107" s="276">
        <f>AU200*'2.税率表'!$D$12</f>
        <v>0</v>
      </c>
      <c r="AV107" s="277">
        <f>AV200*'2.税率表'!$D$12</f>
        <v>0</v>
      </c>
    </row>
    <row r="108" spans="2:48" s="257" customFormat="1" ht="15.75" customHeight="1" outlineLevel="1">
      <c r="B108" s="1980"/>
      <c r="C108" s="303" t="str">
        <f>'8.项目规划指标表'!$B$14</f>
        <v>自持物业</v>
      </c>
      <c r="D108" s="274">
        <f t="shared" si="24"/>
        <v>0</v>
      </c>
      <c r="E108" s="275">
        <f>E201*'2.税率表'!$D$12</f>
        <v>0</v>
      </c>
      <c r="F108" s="276">
        <f>F201*'2.税率表'!$D$12</f>
        <v>0</v>
      </c>
      <c r="G108" s="276">
        <f>G201*'2.税率表'!$D$12</f>
        <v>0</v>
      </c>
      <c r="H108" s="277">
        <f>H201*'2.税率表'!$D$12</f>
        <v>0</v>
      </c>
      <c r="I108" s="275">
        <f>I201*'2.税率表'!$D$12</f>
        <v>0</v>
      </c>
      <c r="J108" s="276">
        <f>J201*'2.税率表'!$D$12</f>
        <v>0</v>
      </c>
      <c r="K108" s="276">
        <f>K201*'2.税率表'!$D$12</f>
        <v>0</v>
      </c>
      <c r="L108" s="277">
        <f>L201*'2.税率表'!$D$12</f>
        <v>0</v>
      </c>
      <c r="M108" s="275">
        <f>M201*'2.税率表'!$D$12</f>
        <v>0</v>
      </c>
      <c r="N108" s="276">
        <f>N201*'2.税率表'!$D$12</f>
        <v>0</v>
      </c>
      <c r="O108" s="276">
        <f>O201*'2.税率表'!$D$12</f>
        <v>0</v>
      </c>
      <c r="P108" s="277">
        <f>P201*'2.税率表'!$D$12</f>
        <v>0</v>
      </c>
      <c r="Q108" s="275">
        <f>Q201*'2.税率表'!$D$12</f>
        <v>0</v>
      </c>
      <c r="R108" s="276">
        <f>R201*'2.税率表'!$D$12</f>
        <v>0</v>
      </c>
      <c r="S108" s="276">
        <f>S201*'2.税率表'!$D$12</f>
        <v>0</v>
      </c>
      <c r="T108" s="277">
        <f>T201*'2.税率表'!$D$12</f>
        <v>0</v>
      </c>
      <c r="U108" s="275">
        <f>U201*'2.税率表'!$D$12</f>
        <v>0</v>
      </c>
      <c r="V108" s="276">
        <f>V201*'2.税率表'!$D$12</f>
        <v>0</v>
      </c>
      <c r="W108" s="276">
        <f>W201*'2.税率表'!$D$12</f>
        <v>0</v>
      </c>
      <c r="X108" s="277">
        <f>X201*'2.税率表'!$D$12</f>
        <v>0</v>
      </c>
      <c r="Y108" s="275">
        <f>Y201*'2.税率表'!$D$12</f>
        <v>0</v>
      </c>
      <c r="Z108" s="276">
        <f>Z201*'2.税率表'!$D$12</f>
        <v>0</v>
      </c>
      <c r="AA108" s="276">
        <f>AA201*'2.税率表'!$D$12</f>
        <v>0</v>
      </c>
      <c r="AB108" s="277">
        <f>AB201*'2.税率表'!$D$12</f>
        <v>0</v>
      </c>
      <c r="AC108" s="275">
        <f>AC201*'2.税率表'!$D$12</f>
        <v>0</v>
      </c>
      <c r="AD108" s="276">
        <f>AD201*'2.税率表'!$D$12</f>
        <v>0</v>
      </c>
      <c r="AE108" s="276">
        <f>AE201*'2.税率表'!$D$12</f>
        <v>0</v>
      </c>
      <c r="AF108" s="277">
        <f>AF201*'2.税率表'!$D$12</f>
        <v>0</v>
      </c>
      <c r="AG108" s="275">
        <f>AG201*'2.税率表'!$D$12</f>
        <v>0</v>
      </c>
      <c r="AH108" s="276">
        <f>AH201*'2.税率表'!$D$12</f>
        <v>0</v>
      </c>
      <c r="AI108" s="276">
        <f>AI201*'2.税率表'!$D$12</f>
        <v>0</v>
      </c>
      <c r="AJ108" s="277">
        <f>AJ201*'2.税率表'!$D$12</f>
        <v>0</v>
      </c>
      <c r="AK108" s="275">
        <f>AK201*'2.税率表'!$D$12</f>
        <v>0</v>
      </c>
      <c r="AL108" s="276">
        <f>AL201*'2.税率表'!$D$12</f>
        <v>0</v>
      </c>
      <c r="AM108" s="276">
        <f>AM201*'2.税率表'!$D$12</f>
        <v>0</v>
      </c>
      <c r="AN108" s="277">
        <f>AN201*'2.税率表'!$D$12</f>
        <v>0</v>
      </c>
      <c r="AO108" s="275">
        <f>AO201*'2.税率表'!$D$12</f>
        <v>0</v>
      </c>
      <c r="AP108" s="276">
        <f>AP201*'2.税率表'!$D$12</f>
        <v>0</v>
      </c>
      <c r="AQ108" s="276">
        <f>AQ201*'2.税率表'!$D$12</f>
        <v>0</v>
      </c>
      <c r="AR108" s="277">
        <f>AR201*'2.税率表'!$D$12</f>
        <v>0</v>
      </c>
      <c r="AS108" s="275">
        <f>AS201*'2.税率表'!$D$12</f>
        <v>0</v>
      </c>
      <c r="AT108" s="276">
        <f>AT201*'2.税率表'!$D$12</f>
        <v>0</v>
      </c>
      <c r="AU108" s="276">
        <f>AU201*'2.税率表'!$D$12</f>
        <v>0</v>
      </c>
      <c r="AV108" s="277">
        <f>AV201*'2.税率表'!$D$12</f>
        <v>0</v>
      </c>
    </row>
    <row r="109" spans="2:48" s="257" customFormat="1" ht="15.75" customHeight="1" outlineLevel="1">
      <c r="B109" s="1980"/>
      <c r="C109" s="303" t="str">
        <f>'8.项目规划指标表'!$B$18</f>
        <v>有产权车库(个)</v>
      </c>
      <c r="D109" s="274">
        <f t="shared" si="24"/>
        <v>0</v>
      </c>
      <c r="E109" s="275">
        <f>E202*'2.税率表'!$D$12</f>
        <v>0</v>
      </c>
      <c r="F109" s="276">
        <f>F202*'2.税率表'!$D$12</f>
        <v>0</v>
      </c>
      <c r="G109" s="276">
        <f>G202*'2.税率表'!$D$12</f>
        <v>0</v>
      </c>
      <c r="H109" s="277">
        <f>H202*'2.税率表'!$D$12</f>
        <v>0</v>
      </c>
      <c r="I109" s="275">
        <f>I202*'2.税率表'!$D$12</f>
        <v>0</v>
      </c>
      <c r="J109" s="276">
        <f>J202*'2.税率表'!$D$12</f>
        <v>0</v>
      </c>
      <c r="K109" s="276">
        <f>K202*'2.税率表'!$D$12</f>
        <v>0</v>
      </c>
      <c r="L109" s="277">
        <f>L202*'2.税率表'!$D$12</f>
        <v>0</v>
      </c>
      <c r="M109" s="275">
        <f>M202*'2.税率表'!$D$12</f>
        <v>0</v>
      </c>
      <c r="N109" s="276">
        <f>N202*'2.税率表'!$D$12</f>
        <v>0</v>
      </c>
      <c r="O109" s="276">
        <f>O202*'2.税率表'!$D$12</f>
        <v>0</v>
      </c>
      <c r="P109" s="277">
        <f>P202*'2.税率表'!$D$12</f>
        <v>0</v>
      </c>
      <c r="Q109" s="275">
        <f>Q202*'2.税率表'!$D$12</f>
        <v>0</v>
      </c>
      <c r="R109" s="276">
        <f>R202*'2.税率表'!$D$12</f>
        <v>0</v>
      </c>
      <c r="S109" s="276">
        <f>S202*'2.税率表'!$D$12</f>
        <v>0</v>
      </c>
      <c r="T109" s="277">
        <f>T202*'2.税率表'!$D$12</f>
        <v>0</v>
      </c>
      <c r="U109" s="275">
        <f>U202*'2.税率表'!$D$12</f>
        <v>0</v>
      </c>
      <c r="V109" s="276">
        <f>V202*'2.税率表'!$D$12</f>
        <v>0</v>
      </c>
      <c r="W109" s="276">
        <f>W202*'2.税率表'!$D$12</f>
        <v>0</v>
      </c>
      <c r="X109" s="277">
        <f>X202*'2.税率表'!$D$12</f>
        <v>0</v>
      </c>
      <c r="Y109" s="275">
        <f>Y202*'2.税率表'!$D$12</f>
        <v>0</v>
      </c>
      <c r="Z109" s="276">
        <f>Z202*'2.税率表'!$D$12</f>
        <v>0</v>
      </c>
      <c r="AA109" s="276">
        <f>AA202*'2.税率表'!$D$12</f>
        <v>0</v>
      </c>
      <c r="AB109" s="277">
        <f>AB202*'2.税率表'!$D$12</f>
        <v>0</v>
      </c>
      <c r="AC109" s="275">
        <f>AC202*'2.税率表'!$D$12</f>
        <v>0</v>
      </c>
      <c r="AD109" s="276">
        <f>AD202*'2.税率表'!$D$12</f>
        <v>0</v>
      </c>
      <c r="AE109" s="276">
        <f>AE202*'2.税率表'!$D$12</f>
        <v>0</v>
      </c>
      <c r="AF109" s="277">
        <f>AF202*'2.税率表'!$D$12</f>
        <v>0</v>
      </c>
      <c r="AG109" s="275">
        <f>AG202*'2.税率表'!$D$12</f>
        <v>0</v>
      </c>
      <c r="AH109" s="276">
        <f>AH202*'2.税率表'!$D$12</f>
        <v>0</v>
      </c>
      <c r="AI109" s="276">
        <f>AI202*'2.税率表'!$D$12</f>
        <v>0</v>
      </c>
      <c r="AJ109" s="277">
        <f>AJ202*'2.税率表'!$D$12</f>
        <v>0</v>
      </c>
      <c r="AK109" s="275">
        <f>AK202*'2.税率表'!$D$12</f>
        <v>0</v>
      </c>
      <c r="AL109" s="276">
        <f>AL202*'2.税率表'!$D$12</f>
        <v>0</v>
      </c>
      <c r="AM109" s="276">
        <f>AM202*'2.税率表'!$D$12</f>
        <v>0</v>
      </c>
      <c r="AN109" s="277">
        <f>AN202*'2.税率表'!$D$12</f>
        <v>0</v>
      </c>
      <c r="AO109" s="275">
        <f>AO202*'2.税率表'!$D$12</f>
        <v>0</v>
      </c>
      <c r="AP109" s="276">
        <f>AP202*'2.税率表'!$D$12</f>
        <v>0</v>
      </c>
      <c r="AQ109" s="276">
        <f>AQ202*'2.税率表'!$D$12</f>
        <v>0</v>
      </c>
      <c r="AR109" s="277">
        <f>AR202*'2.税率表'!$D$12</f>
        <v>0</v>
      </c>
      <c r="AS109" s="275">
        <f>AS202*'2.税率表'!$D$12</f>
        <v>0</v>
      </c>
      <c r="AT109" s="276">
        <f>AT202*'2.税率表'!$D$12</f>
        <v>0</v>
      </c>
      <c r="AU109" s="276">
        <f>AU202*'2.税率表'!$D$12</f>
        <v>0</v>
      </c>
      <c r="AV109" s="277">
        <f>AV202*'2.税率表'!$D$12</f>
        <v>0</v>
      </c>
    </row>
    <row r="110" spans="2:48" s="257" customFormat="1" ht="15.75" customHeight="1" outlineLevel="1">
      <c r="B110" s="1980"/>
      <c r="C110" s="314" t="str">
        <f>'8.项目规划指标表'!$B$19</f>
        <v>无产权车库(个)</v>
      </c>
      <c r="D110" s="315">
        <f t="shared" si="24"/>
        <v>0</v>
      </c>
      <c r="E110" s="280">
        <f>E203*'2.税率表'!$D$12</f>
        <v>0</v>
      </c>
      <c r="F110" s="281">
        <f>F203*'2.税率表'!$D$12</f>
        <v>0</v>
      </c>
      <c r="G110" s="281">
        <f>G203*'2.税率表'!$D$12</f>
        <v>0</v>
      </c>
      <c r="H110" s="282">
        <f>H203*'2.税率表'!$D$12</f>
        <v>0</v>
      </c>
      <c r="I110" s="280">
        <f>I203*'2.税率表'!$D$12</f>
        <v>0</v>
      </c>
      <c r="J110" s="281">
        <f>J203*'2.税率表'!$D$12</f>
        <v>0</v>
      </c>
      <c r="K110" s="281">
        <f>K203*'2.税率表'!$D$12</f>
        <v>0</v>
      </c>
      <c r="L110" s="282">
        <f>L203*'2.税率表'!$D$12</f>
        <v>0</v>
      </c>
      <c r="M110" s="280">
        <f>M203*'2.税率表'!$D$12</f>
        <v>0</v>
      </c>
      <c r="N110" s="281">
        <f>N203*'2.税率表'!$D$12</f>
        <v>0</v>
      </c>
      <c r="O110" s="281">
        <f>O203*'2.税率表'!$D$12</f>
        <v>0</v>
      </c>
      <c r="P110" s="282">
        <f>P203*'2.税率表'!$D$12</f>
        <v>0</v>
      </c>
      <c r="Q110" s="280">
        <f>Q203*'2.税率表'!$D$12</f>
        <v>0</v>
      </c>
      <c r="R110" s="281">
        <f>R203*'2.税率表'!$D$12</f>
        <v>0</v>
      </c>
      <c r="S110" s="281">
        <f>S203*'2.税率表'!$D$12</f>
        <v>0</v>
      </c>
      <c r="T110" s="282">
        <f>T203*'2.税率表'!$D$12</f>
        <v>0</v>
      </c>
      <c r="U110" s="280">
        <f>U203*'2.税率表'!$D$12</f>
        <v>0</v>
      </c>
      <c r="V110" s="281">
        <f>V203*'2.税率表'!$D$12</f>
        <v>0</v>
      </c>
      <c r="W110" s="281">
        <f>W203*'2.税率表'!$D$12</f>
        <v>0</v>
      </c>
      <c r="X110" s="282">
        <f>X203*'2.税率表'!$D$12</f>
        <v>0</v>
      </c>
      <c r="Y110" s="280">
        <f>Y203*'2.税率表'!$D$12</f>
        <v>0</v>
      </c>
      <c r="Z110" s="281">
        <f>Z203*'2.税率表'!$D$12</f>
        <v>0</v>
      </c>
      <c r="AA110" s="281">
        <f>AA203*'2.税率表'!$D$12</f>
        <v>0</v>
      </c>
      <c r="AB110" s="282">
        <f>AB203*'2.税率表'!$D$12</f>
        <v>0</v>
      </c>
      <c r="AC110" s="280">
        <f>AC203*'2.税率表'!$D$12</f>
        <v>0</v>
      </c>
      <c r="AD110" s="281">
        <f>AD203*'2.税率表'!$D$12</f>
        <v>0</v>
      </c>
      <c r="AE110" s="281">
        <f>AE203*'2.税率表'!$D$12</f>
        <v>0</v>
      </c>
      <c r="AF110" s="282">
        <f>AF203*'2.税率表'!$D$12</f>
        <v>0</v>
      </c>
      <c r="AG110" s="280">
        <f>AG203*'2.税率表'!$D$12</f>
        <v>0</v>
      </c>
      <c r="AH110" s="281">
        <f>AH203*'2.税率表'!$D$12</f>
        <v>0</v>
      </c>
      <c r="AI110" s="281">
        <f>AI203*'2.税率表'!$D$12</f>
        <v>0</v>
      </c>
      <c r="AJ110" s="282">
        <f>AJ203*'2.税率表'!$D$12</f>
        <v>0</v>
      </c>
      <c r="AK110" s="280">
        <f>AK203*'2.税率表'!$D$12</f>
        <v>0</v>
      </c>
      <c r="AL110" s="281">
        <f>AL203*'2.税率表'!$D$12</f>
        <v>0</v>
      </c>
      <c r="AM110" s="281">
        <f>AM203*'2.税率表'!$D$12</f>
        <v>0</v>
      </c>
      <c r="AN110" s="282">
        <f>AN203*'2.税率表'!$D$12</f>
        <v>0</v>
      </c>
      <c r="AO110" s="280">
        <f>AO203*'2.税率表'!$D$12</f>
        <v>0</v>
      </c>
      <c r="AP110" s="281">
        <f>AP203*'2.税率表'!$D$12</f>
        <v>0</v>
      </c>
      <c r="AQ110" s="281">
        <f>AQ203*'2.税率表'!$D$12</f>
        <v>0</v>
      </c>
      <c r="AR110" s="282">
        <f>AR203*'2.税率表'!$D$12</f>
        <v>0</v>
      </c>
      <c r="AS110" s="280">
        <f>AS203*'2.税率表'!$D$12</f>
        <v>0</v>
      </c>
      <c r="AT110" s="281">
        <f>AT203*'2.税率表'!$D$12</f>
        <v>0</v>
      </c>
      <c r="AU110" s="281">
        <f>AU203*'2.税率表'!$D$12</f>
        <v>0</v>
      </c>
      <c r="AV110" s="282">
        <f>AV203*'2.税率表'!$D$12</f>
        <v>0</v>
      </c>
    </row>
    <row r="111" spans="2:48" s="257" customFormat="1" ht="15.75" customHeight="1">
      <c r="B111" s="316"/>
      <c r="C111" s="317"/>
      <c r="D111" s="318"/>
      <c r="E111" s="319"/>
      <c r="F111" s="319"/>
      <c r="G111" s="319"/>
      <c r="H111" s="319"/>
      <c r="I111" s="319"/>
      <c r="J111" s="319"/>
      <c r="K111" s="319"/>
      <c r="L111" s="319"/>
      <c r="M111" s="319"/>
      <c r="N111" s="319"/>
      <c r="O111" s="319"/>
      <c r="P111" s="319"/>
      <c r="Q111" s="319"/>
      <c r="R111" s="319"/>
      <c r="S111" s="319"/>
      <c r="T111" s="319"/>
      <c r="U111" s="319"/>
      <c r="V111" s="319"/>
      <c r="W111" s="319"/>
      <c r="X111" s="319"/>
      <c r="Y111" s="319"/>
      <c r="Z111" s="319"/>
      <c r="AA111" s="319"/>
      <c r="AB111" s="319"/>
      <c r="AC111" s="319"/>
      <c r="AD111" s="319"/>
      <c r="AE111" s="319"/>
      <c r="AF111" s="319"/>
      <c r="AG111" s="319"/>
      <c r="AH111" s="319"/>
      <c r="AI111" s="319"/>
      <c r="AJ111" s="319"/>
      <c r="AK111" s="319"/>
      <c r="AL111" s="319"/>
      <c r="AM111" s="319"/>
      <c r="AN111" s="319"/>
      <c r="AO111" s="319"/>
      <c r="AP111" s="319"/>
      <c r="AQ111" s="319"/>
      <c r="AR111" s="319"/>
      <c r="AS111" s="319"/>
      <c r="AT111" s="319"/>
      <c r="AU111" s="319"/>
      <c r="AV111" s="319"/>
    </row>
    <row r="112" spans="2:48" s="257" customFormat="1" ht="15.75" customHeight="1">
      <c r="B112" s="287"/>
      <c r="C112" s="320"/>
      <c r="D112" s="291"/>
      <c r="E112" s="290"/>
      <c r="F112" s="290"/>
      <c r="G112" s="290"/>
      <c r="H112" s="290"/>
      <c r="I112" s="290"/>
      <c r="J112" s="290"/>
      <c r="K112" s="290"/>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row>
    <row r="113" spans="2:48" s="257" customFormat="1" ht="15.75" customHeight="1">
      <c r="B113" s="287"/>
      <c r="C113" s="320"/>
      <c r="D113" s="291"/>
      <c r="E113" s="290"/>
      <c r="F113" s="290"/>
      <c r="G113" s="290"/>
      <c r="H113" s="290"/>
      <c r="I113" s="290"/>
      <c r="J113" s="290"/>
      <c r="K113" s="290"/>
      <c r="L113" s="290"/>
      <c r="M113" s="290"/>
      <c r="N113" s="290"/>
      <c r="O113" s="290"/>
      <c r="P113" s="290"/>
      <c r="Q113" s="290"/>
      <c r="R113" s="290"/>
      <c r="S113" s="290"/>
      <c r="T113" s="290"/>
      <c r="U113" s="290"/>
      <c r="V113" s="290"/>
      <c r="W113" s="290"/>
      <c r="X113" s="290"/>
      <c r="Y113" s="290"/>
      <c r="Z113" s="290"/>
      <c r="AA113" s="290"/>
      <c r="AB113" s="290"/>
      <c r="AC113" s="290"/>
      <c r="AD113" s="290"/>
      <c r="AE113" s="290"/>
      <c r="AF113" s="290"/>
      <c r="AG113" s="290"/>
      <c r="AH113" s="290"/>
      <c r="AI113" s="290"/>
      <c r="AJ113" s="290"/>
      <c r="AK113" s="290"/>
      <c r="AL113" s="290"/>
      <c r="AM113" s="290"/>
      <c r="AN113" s="290"/>
      <c r="AO113" s="290"/>
      <c r="AP113" s="290"/>
      <c r="AQ113" s="290"/>
      <c r="AR113" s="290"/>
      <c r="AS113" s="290"/>
      <c r="AT113" s="290"/>
      <c r="AU113" s="290"/>
      <c r="AV113" s="290"/>
    </row>
    <row r="114" spans="2:48" s="257" customFormat="1" ht="15.75" customHeight="1">
      <c r="B114" s="287"/>
      <c r="C114" s="320"/>
      <c r="D114" s="291"/>
      <c r="E114" s="290"/>
      <c r="F114" s="290"/>
      <c r="G114" s="290"/>
      <c r="H114" s="290"/>
      <c r="I114" s="290"/>
      <c r="J114" s="290"/>
      <c r="K114" s="290"/>
      <c r="L114" s="290"/>
      <c r="M114" s="290"/>
      <c r="N114" s="290"/>
      <c r="O114" s="290"/>
      <c r="P114" s="290"/>
      <c r="Q114" s="290"/>
      <c r="R114" s="290"/>
      <c r="S114" s="290"/>
      <c r="T114" s="290"/>
      <c r="U114" s="290"/>
      <c r="V114" s="290"/>
      <c r="W114" s="290"/>
      <c r="X114" s="290"/>
      <c r="Y114" s="290"/>
      <c r="Z114" s="290"/>
      <c r="AA114" s="290"/>
      <c r="AB114" s="290"/>
      <c r="AC114" s="290"/>
      <c r="AD114" s="290"/>
      <c r="AE114" s="290"/>
      <c r="AF114" s="290"/>
      <c r="AG114" s="290"/>
      <c r="AH114" s="290"/>
      <c r="AI114" s="290"/>
      <c r="AJ114" s="290"/>
      <c r="AK114" s="290"/>
      <c r="AL114" s="290"/>
      <c r="AM114" s="290"/>
      <c r="AN114" s="290"/>
      <c r="AO114" s="290"/>
      <c r="AP114" s="290"/>
      <c r="AQ114" s="290"/>
      <c r="AR114" s="290"/>
      <c r="AS114" s="290"/>
      <c r="AT114" s="290"/>
      <c r="AU114" s="290"/>
      <c r="AV114" s="290"/>
    </row>
    <row r="115" spans="2:48" s="257" customFormat="1" ht="15.75" customHeight="1">
      <c r="B115" s="287"/>
      <c r="C115" s="320"/>
      <c r="D115" s="291"/>
      <c r="E115" s="290"/>
      <c r="F115" s="290"/>
      <c r="G115" s="290"/>
      <c r="H115" s="290"/>
      <c r="I115" s="290"/>
      <c r="J115" s="290"/>
      <c r="K115" s="290"/>
      <c r="L115" s="290"/>
      <c r="M115" s="290"/>
      <c r="N115" s="290"/>
      <c r="O115" s="290"/>
      <c r="P115" s="290"/>
      <c r="Q115" s="290"/>
      <c r="R115" s="290"/>
      <c r="S115" s="290"/>
      <c r="T115" s="290"/>
      <c r="U115" s="290"/>
      <c r="V115" s="290"/>
      <c r="W115" s="290"/>
      <c r="X115" s="290"/>
      <c r="Y115" s="290"/>
      <c r="Z115" s="290"/>
      <c r="AA115" s="290"/>
      <c r="AB115" s="290"/>
      <c r="AC115" s="290"/>
      <c r="AD115" s="290"/>
      <c r="AE115" s="290"/>
      <c r="AF115" s="290"/>
      <c r="AG115" s="290"/>
      <c r="AH115" s="290"/>
      <c r="AI115" s="290"/>
      <c r="AJ115" s="290"/>
      <c r="AK115" s="290"/>
      <c r="AL115" s="290"/>
      <c r="AM115" s="290"/>
      <c r="AN115" s="290"/>
      <c r="AO115" s="290"/>
      <c r="AP115" s="290"/>
      <c r="AQ115" s="290"/>
      <c r="AR115" s="290"/>
      <c r="AS115" s="290"/>
      <c r="AT115" s="290"/>
      <c r="AU115" s="290"/>
      <c r="AV115" s="290"/>
    </row>
    <row r="116" spans="2:48" s="257" customFormat="1" ht="15.75" customHeight="1">
      <c r="B116" s="287"/>
      <c r="C116" s="320"/>
      <c r="D116" s="291"/>
      <c r="E116" s="290"/>
      <c r="F116" s="290"/>
      <c r="G116" s="290"/>
      <c r="H116" s="290"/>
      <c r="I116" s="290"/>
      <c r="J116" s="290"/>
      <c r="K116" s="290"/>
      <c r="L116" s="290"/>
      <c r="M116" s="290"/>
      <c r="N116" s="290"/>
      <c r="O116" s="290"/>
      <c r="P116" s="290"/>
      <c r="Q116" s="290"/>
      <c r="R116" s="290"/>
      <c r="S116" s="290"/>
      <c r="T116" s="290"/>
      <c r="U116" s="290"/>
      <c r="V116" s="290"/>
      <c r="W116" s="290"/>
      <c r="X116" s="290"/>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row>
    <row r="117" spans="2:48" s="257" customFormat="1" ht="15.75" customHeight="1">
      <c r="B117" s="287"/>
      <c r="C117" s="320"/>
      <c r="D117" s="291"/>
      <c r="E117" s="290"/>
      <c r="F117" s="290"/>
      <c r="G117" s="290"/>
      <c r="H117" s="290"/>
      <c r="I117" s="290"/>
      <c r="J117" s="290"/>
      <c r="K117" s="290"/>
      <c r="L117" s="290"/>
      <c r="M117" s="290"/>
      <c r="N117" s="290"/>
      <c r="O117" s="290"/>
      <c r="P117" s="290"/>
      <c r="Q117" s="290"/>
      <c r="R117" s="290"/>
      <c r="S117" s="290"/>
      <c r="T117" s="290"/>
      <c r="U117" s="290"/>
      <c r="V117" s="290"/>
      <c r="W117" s="290"/>
      <c r="X117" s="290"/>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row>
    <row r="118" spans="2:48" s="257" customFormat="1" ht="15.75" customHeight="1">
      <c r="B118" s="287"/>
      <c r="C118" s="320"/>
      <c r="D118" s="291"/>
      <c r="E118" s="290"/>
      <c r="F118" s="290"/>
      <c r="G118" s="290"/>
      <c r="H118" s="290"/>
      <c r="I118" s="290"/>
      <c r="J118" s="290"/>
      <c r="K118" s="290"/>
      <c r="L118" s="290"/>
      <c r="M118" s="290"/>
      <c r="N118" s="290"/>
      <c r="O118" s="290"/>
      <c r="P118" s="290"/>
      <c r="Q118" s="290"/>
      <c r="R118" s="290"/>
      <c r="S118" s="290"/>
      <c r="T118" s="290"/>
      <c r="U118" s="290"/>
      <c r="V118" s="290"/>
      <c r="W118" s="290"/>
      <c r="X118" s="290"/>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row>
    <row r="119" spans="2:48" s="257" customFormat="1" ht="15.75" customHeight="1">
      <c r="B119" s="287"/>
      <c r="C119" s="320"/>
      <c r="D119" s="291"/>
      <c r="E119" s="290"/>
      <c r="F119" s="290"/>
      <c r="G119" s="290"/>
      <c r="H119" s="290"/>
      <c r="I119" s="290"/>
      <c r="J119" s="290"/>
      <c r="K119" s="290"/>
      <c r="L119" s="290"/>
      <c r="M119" s="290"/>
      <c r="N119" s="290"/>
      <c r="O119" s="290"/>
      <c r="P119" s="290"/>
      <c r="Q119" s="290"/>
      <c r="R119" s="290"/>
      <c r="S119" s="290"/>
      <c r="T119" s="290"/>
      <c r="U119" s="290"/>
      <c r="V119" s="290"/>
      <c r="W119" s="290"/>
      <c r="X119" s="290"/>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row>
    <row r="120" spans="2:48" s="257" customFormat="1" ht="15.75" customHeight="1">
      <c r="B120" s="287"/>
      <c r="C120" s="320"/>
      <c r="D120" s="291"/>
      <c r="E120" s="290"/>
      <c r="F120" s="290"/>
      <c r="G120" s="290"/>
      <c r="H120" s="290"/>
      <c r="I120" s="290"/>
      <c r="J120" s="290"/>
      <c r="K120" s="290"/>
      <c r="L120" s="290"/>
      <c r="M120" s="290"/>
      <c r="N120" s="290"/>
      <c r="O120" s="290"/>
      <c r="P120" s="290"/>
      <c r="Q120" s="290"/>
      <c r="R120" s="290"/>
      <c r="S120" s="290"/>
      <c r="T120" s="290"/>
      <c r="U120" s="290"/>
      <c r="V120" s="290"/>
      <c r="W120" s="290"/>
      <c r="X120" s="290"/>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row>
    <row r="121" spans="2:48" s="257" customFormat="1" ht="15.75" customHeight="1">
      <c r="B121" s="316"/>
      <c r="C121" s="317"/>
      <c r="D121" s="318"/>
      <c r="E121" s="319"/>
      <c r="F121" s="319"/>
      <c r="G121" s="319"/>
      <c r="H121" s="319"/>
      <c r="I121" s="319"/>
      <c r="J121" s="319"/>
      <c r="K121" s="319"/>
      <c r="L121" s="319"/>
      <c r="M121" s="319"/>
      <c r="N121" s="319"/>
      <c r="O121" s="319"/>
      <c r="P121" s="319"/>
      <c r="Q121" s="319"/>
      <c r="R121" s="319"/>
      <c r="S121" s="319"/>
      <c r="T121" s="319"/>
      <c r="U121" s="319"/>
      <c r="V121" s="319"/>
      <c r="W121" s="319"/>
      <c r="X121" s="319"/>
      <c r="Y121" s="319"/>
      <c r="Z121" s="319"/>
      <c r="AA121" s="319"/>
      <c r="AB121" s="319"/>
      <c r="AC121" s="319"/>
      <c r="AD121" s="319"/>
      <c r="AE121" s="319"/>
      <c r="AF121" s="319"/>
      <c r="AG121" s="319"/>
      <c r="AH121" s="319"/>
      <c r="AI121" s="319"/>
      <c r="AJ121" s="319"/>
      <c r="AK121" s="319"/>
      <c r="AL121" s="319"/>
      <c r="AM121" s="319"/>
      <c r="AN121" s="319"/>
      <c r="AO121" s="319"/>
      <c r="AP121" s="319"/>
      <c r="AQ121" s="319"/>
      <c r="AR121" s="319"/>
      <c r="AS121" s="319"/>
      <c r="AT121" s="319"/>
      <c r="AU121" s="319"/>
      <c r="AV121" s="319"/>
    </row>
    <row r="122" spans="2:48" s="258" customFormat="1" ht="15.75" customHeight="1">
      <c r="B122" s="292"/>
      <c r="C122" s="293"/>
      <c r="D122" s="290"/>
      <c r="E122" s="290"/>
      <c r="F122" s="290"/>
      <c r="G122" s="290"/>
      <c r="H122" s="290"/>
      <c r="I122" s="290"/>
      <c r="J122" s="290"/>
      <c r="K122" s="290"/>
      <c r="L122" s="290"/>
      <c r="M122" s="290"/>
      <c r="N122" s="290"/>
      <c r="O122" s="290"/>
      <c r="P122" s="290"/>
      <c r="Q122" s="290"/>
      <c r="R122" s="290"/>
      <c r="S122" s="290"/>
      <c r="T122" s="290"/>
      <c r="U122" s="290"/>
      <c r="V122" s="290"/>
      <c r="W122" s="290"/>
      <c r="X122" s="290"/>
      <c r="Y122" s="290"/>
      <c r="Z122" s="290"/>
      <c r="AA122" s="290"/>
      <c r="AB122" s="290"/>
      <c r="AC122" s="290"/>
      <c r="AD122" s="290"/>
      <c r="AE122" s="290"/>
      <c r="AF122" s="290"/>
      <c r="AG122" s="290"/>
      <c r="AH122" s="290"/>
      <c r="AI122" s="290"/>
      <c r="AJ122" s="290"/>
      <c r="AK122" s="290"/>
      <c r="AL122" s="290"/>
      <c r="AM122" s="290"/>
      <c r="AN122" s="290"/>
      <c r="AO122" s="290"/>
      <c r="AP122" s="290"/>
      <c r="AQ122" s="290"/>
      <c r="AR122" s="290"/>
      <c r="AS122" s="290"/>
      <c r="AT122" s="290"/>
      <c r="AU122" s="290"/>
      <c r="AV122" s="290"/>
    </row>
    <row r="123" spans="2:48" s="256" customFormat="1" ht="15.75" customHeight="1">
      <c r="B123" s="1978" t="s">
        <v>183</v>
      </c>
      <c r="C123" s="1978" t="s">
        <v>598</v>
      </c>
      <c r="D123" s="1987" t="s">
        <v>251</v>
      </c>
      <c r="E123" s="1971">
        <f>'1.参数设置'!$C$4</f>
        <v>2018</v>
      </c>
      <c r="F123" s="1972"/>
      <c r="G123" s="1972"/>
      <c r="H123" s="1973"/>
      <c r="I123" s="1971">
        <f>E123+1</f>
        <v>2019</v>
      </c>
      <c r="J123" s="1972"/>
      <c r="K123" s="1972"/>
      <c r="L123" s="1973"/>
      <c r="M123" s="1971">
        <f>I123+1</f>
        <v>2020</v>
      </c>
      <c r="N123" s="1972"/>
      <c r="O123" s="1972"/>
      <c r="P123" s="1973"/>
      <c r="Q123" s="1971">
        <f>M123+1</f>
        <v>2021</v>
      </c>
      <c r="R123" s="1972"/>
      <c r="S123" s="1972"/>
      <c r="T123" s="1973"/>
      <c r="U123" s="1971">
        <f>Q123+1</f>
        <v>2022</v>
      </c>
      <c r="V123" s="1972"/>
      <c r="W123" s="1972"/>
      <c r="X123" s="1973"/>
      <c r="Y123" s="1971">
        <f>U123+1</f>
        <v>2023</v>
      </c>
      <c r="Z123" s="1972"/>
      <c r="AA123" s="1972"/>
      <c r="AB123" s="1973"/>
      <c r="AC123" s="1971">
        <f>Y123+1</f>
        <v>2024</v>
      </c>
      <c r="AD123" s="1972"/>
      <c r="AE123" s="1972"/>
      <c r="AF123" s="1973"/>
      <c r="AG123" s="1971">
        <f>AC123+1</f>
        <v>2025</v>
      </c>
      <c r="AH123" s="1972"/>
      <c r="AI123" s="1972"/>
      <c r="AJ123" s="1973"/>
      <c r="AK123" s="1971">
        <f>AG123+1</f>
        <v>2026</v>
      </c>
      <c r="AL123" s="1972"/>
      <c r="AM123" s="1972"/>
      <c r="AN123" s="1973"/>
      <c r="AO123" s="1971">
        <f>AK123+1</f>
        <v>2027</v>
      </c>
      <c r="AP123" s="1972"/>
      <c r="AQ123" s="1972"/>
      <c r="AR123" s="1973"/>
      <c r="AS123" s="1971">
        <f>AO123+1</f>
        <v>2028</v>
      </c>
      <c r="AT123" s="1972"/>
      <c r="AU123" s="1972"/>
      <c r="AV123" s="1973"/>
    </row>
    <row r="124" spans="2:48" s="256" customFormat="1" ht="15.75" customHeight="1">
      <c r="B124" s="1979"/>
      <c r="C124" s="1979"/>
      <c r="D124" s="1988"/>
      <c r="E124" s="265" t="s">
        <v>920</v>
      </c>
      <c r="F124" s="266" t="s">
        <v>921</v>
      </c>
      <c r="G124" s="266" t="s">
        <v>922</v>
      </c>
      <c r="H124" s="267" t="s">
        <v>923</v>
      </c>
      <c r="I124" s="265" t="s">
        <v>920</v>
      </c>
      <c r="J124" s="266" t="s">
        <v>921</v>
      </c>
      <c r="K124" s="266" t="s">
        <v>922</v>
      </c>
      <c r="L124" s="267" t="s">
        <v>923</v>
      </c>
      <c r="M124" s="265" t="s">
        <v>920</v>
      </c>
      <c r="N124" s="266" t="s">
        <v>921</v>
      </c>
      <c r="O124" s="266" t="s">
        <v>922</v>
      </c>
      <c r="P124" s="267" t="s">
        <v>923</v>
      </c>
      <c r="Q124" s="265" t="s">
        <v>920</v>
      </c>
      <c r="R124" s="266" t="s">
        <v>921</v>
      </c>
      <c r="S124" s="266" t="s">
        <v>922</v>
      </c>
      <c r="T124" s="267" t="s">
        <v>923</v>
      </c>
      <c r="U124" s="265" t="s">
        <v>920</v>
      </c>
      <c r="V124" s="266" t="s">
        <v>921</v>
      </c>
      <c r="W124" s="266" t="s">
        <v>922</v>
      </c>
      <c r="X124" s="267" t="s">
        <v>923</v>
      </c>
      <c r="Y124" s="265" t="s">
        <v>920</v>
      </c>
      <c r="Z124" s="266" t="s">
        <v>921</v>
      </c>
      <c r="AA124" s="266" t="s">
        <v>922</v>
      </c>
      <c r="AB124" s="267" t="s">
        <v>923</v>
      </c>
      <c r="AC124" s="265" t="s">
        <v>920</v>
      </c>
      <c r="AD124" s="266" t="s">
        <v>921</v>
      </c>
      <c r="AE124" s="266" t="s">
        <v>922</v>
      </c>
      <c r="AF124" s="267" t="s">
        <v>923</v>
      </c>
      <c r="AG124" s="265" t="s">
        <v>920</v>
      </c>
      <c r="AH124" s="266" t="s">
        <v>921</v>
      </c>
      <c r="AI124" s="266" t="s">
        <v>922</v>
      </c>
      <c r="AJ124" s="267" t="s">
        <v>923</v>
      </c>
      <c r="AK124" s="265" t="s">
        <v>920</v>
      </c>
      <c r="AL124" s="266" t="s">
        <v>921</v>
      </c>
      <c r="AM124" s="266" t="s">
        <v>922</v>
      </c>
      <c r="AN124" s="267" t="s">
        <v>923</v>
      </c>
      <c r="AO124" s="265" t="s">
        <v>920</v>
      </c>
      <c r="AP124" s="266" t="s">
        <v>921</v>
      </c>
      <c r="AQ124" s="266" t="s">
        <v>922</v>
      </c>
      <c r="AR124" s="267" t="s">
        <v>923</v>
      </c>
      <c r="AS124" s="265" t="s">
        <v>920</v>
      </c>
      <c r="AT124" s="266" t="s">
        <v>921</v>
      </c>
      <c r="AU124" s="266" t="s">
        <v>922</v>
      </c>
      <c r="AV124" s="267" t="s">
        <v>923</v>
      </c>
    </row>
    <row r="125" spans="2:48" s="257" customFormat="1" ht="15.75" customHeight="1">
      <c r="B125" s="1980" t="s">
        <v>444</v>
      </c>
      <c r="C125" s="295" t="s">
        <v>251</v>
      </c>
      <c r="D125" s="296">
        <f t="shared" ref="D125:AV125" si="25">SUM(D126,D139,D152,D165,D178,D191)</f>
        <v>100593.19495999998</v>
      </c>
      <c r="E125" s="297">
        <f t="shared" si="25"/>
        <v>0</v>
      </c>
      <c r="F125" s="296">
        <f t="shared" si="25"/>
        <v>0</v>
      </c>
      <c r="G125" s="296">
        <f t="shared" si="25"/>
        <v>0</v>
      </c>
      <c r="H125" s="298">
        <f t="shared" si="25"/>
        <v>0</v>
      </c>
      <c r="I125" s="297">
        <f t="shared" si="25"/>
        <v>0</v>
      </c>
      <c r="J125" s="296">
        <f t="shared" si="25"/>
        <v>0</v>
      </c>
      <c r="K125" s="296">
        <f t="shared" si="25"/>
        <v>0</v>
      </c>
      <c r="L125" s="298">
        <f t="shared" si="25"/>
        <v>0</v>
      </c>
      <c r="M125" s="297">
        <f t="shared" si="25"/>
        <v>0</v>
      </c>
      <c r="N125" s="296">
        <f t="shared" si="25"/>
        <v>0</v>
      </c>
      <c r="O125" s="296">
        <f t="shared" si="25"/>
        <v>0</v>
      </c>
      <c r="P125" s="298">
        <f t="shared" si="25"/>
        <v>99411.594959999988</v>
      </c>
      <c r="Q125" s="297">
        <f t="shared" si="25"/>
        <v>1181.5999999999999</v>
      </c>
      <c r="R125" s="296">
        <f t="shared" si="25"/>
        <v>0</v>
      </c>
      <c r="S125" s="296">
        <f t="shared" si="25"/>
        <v>0</v>
      </c>
      <c r="T125" s="298">
        <f t="shared" si="25"/>
        <v>0</v>
      </c>
      <c r="U125" s="297">
        <f t="shared" si="25"/>
        <v>0</v>
      </c>
      <c r="V125" s="296">
        <f t="shared" si="25"/>
        <v>0</v>
      </c>
      <c r="W125" s="296">
        <f t="shared" si="25"/>
        <v>0</v>
      </c>
      <c r="X125" s="298">
        <f t="shared" si="25"/>
        <v>0</v>
      </c>
      <c r="Y125" s="297">
        <f t="shared" si="25"/>
        <v>0</v>
      </c>
      <c r="Z125" s="296">
        <f t="shared" si="25"/>
        <v>0</v>
      </c>
      <c r="AA125" s="296">
        <f t="shared" si="25"/>
        <v>0</v>
      </c>
      <c r="AB125" s="298">
        <f t="shared" si="25"/>
        <v>0</v>
      </c>
      <c r="AC125" s="297">
        <f t="shared" si="25"/>
        <v>0</v>
      </c>
      <c r="AD125" s="296">
        <f t="shared" si="25"/>
        <v>0</v>
      </c>
      <c r="AE125" s="296">
        <f t="shared" si="25"/>
        <v>0</v>
      </c>
      <c r="AF125" s="298">
        <f t="shared" si="25"/>
        <v>0</v>
      </c>
      <c r="AG125" s="297">
        <f t="shared" si="25"/>
        <v>0</v>
      </c>
      <c r="AH125" s="296">
        <f t="shared" si="25"/>
        <v>0</v>
      </c>
      <c r="AI125" s="296">
        <f t="shared" si="25"/>
        <v>0</v>
      </c>
      <c r="AJ125" s="298">
        <f t="shared" si="25"/>
        <v>0</v>
      </c>
      <c r="AK125" s="297">
        <f t="shared" si="25"/>
        <v>0</v>
      </c>
      <c r="AL125" s="296">
        <f t="shared" si="25"/>
        <v>0</v>
      </c>
      <c r="AM125" s="296">
        <f t="shared" si="25"/>
        <v>0</v>
      </c>
      <c r="AN125" s="298">
        <f t="shared" si="25"/>
        <v>0</v>
      </c>
      <c r="AO125" s="297">
        <f t="shared" si="25"/>
        <v>0</v>
      </c>
      <c r="AP125" s="296">
        <f t="shared" si="25"/>
        <v>0</v>
      </c>
      <c r="AQ125" s="296">
        <f t="shared" si="25"/>
        <v>0</v>
      </c>
      <c r="AR125" s="298">
        <f t="shared" si="25"/>
        <v>0</v>
      </c>
      <c r="AS125" s="297">
        <f t="shared" si="25"/>
        <v>0</v>
      </c>
      <c r="AT125" s="296">
        <f t="shared" si="25"/>
        <v>0</v>
      </c>
      <c r="AU125" s="296">
        <f t="shared" si="25"/>
        <v>0</v>
      </c>
      <c r="AV125" s="298">
        <f t="shared" si="25"/>
        <v>0</v>
      </c>
    </row>
    <row r="126" spans="2:48" s="257" customFormat="1" ht="15.75" customHeight="1">
      <c r="B126" s="1980"/>
      <c r="C126" s="299" t="s">
        <v>19</v>
      </c>
      <c r="D126" s="300">
        <f t="shared" ref="D126:Q126" si="26">SUM(D127:D138)</f>
        <v>100593.19495999998</v>
      </c>
      <c r="E126" s="301">
        <f t="shared" si="26"/>
        <v>0</v>
      </c>
      <c r="F126" s="300">
        <f t="shared" si="26"/>
        <v>0</v>
      </c>
      <c r="G126" s="300">
        <f t="shared" si="26"/>
        <v>0</v>
      </c>
      <c r="H126" s="302">
        <f t="shared" si="26"/>
        <v>0</v>
      </c>
      <c r="I126" s="301">
        <f t="shared" si="26"/>
        <v>0</v>
      </c>
      <c r="J126" s="300">
        <f t="shared" si="26"/>
        <v>0</v>
      </c>
      <c r="K126" s="300">
        <f t="shared" si="26"/>
        <v>0</v>
      </c>
      <c r="L126" s="302">
        <f t="shared" si="26"/>
        <v>0</v>
      </c>
      <c r="M126" s="301">
        <f t="shared" si="26"/>
        <v>0</v>
      </c>
      <c r="N126" s="300">
        <f t="shared" si="26"/>
        <v>0</v>
      </c>
      <c r="O126" s="300">
        <f t="shared" si="26"/>
        <v>0</v>
      </c>
      <c r="P126" s="302">
        <f t="shared" si="26"/>
        <v>99411.594959999988</v>
      </c>
      <c r="Q126" s="301">
        <f t="shared" si="26"/>
        <v>1181.5999999999999</v>
      </c>
      <c r="R126" s="300">
        <f t="shared" ref="R126:AV126" si="27">SUM(R127:R138)</f>
        <v>0</v>
      </c>
      <c r="S126" s="300">
        <f t="shared" si="27"/>
        <v>0</v>
      </c>
      <c r="T126" s="302">
        <f t="shared" si="27"/>
        <v>0</v>
      </c>
      <c r="U126" s="301">
        <f t="shared" si="27"/>
        <v>0</v>
      </c>
      <c r="V126" s="300">
        <f t="shared" si="27"/>
        <v>0</v>
      </c>
      <c r="W126" s="300">
        <f t="shared" si="27"/>
        <v>0</v>
      </c>
      <c r="X126" s="302">
        <f t="shared" si="27"/>
        <v>0</v>
      </c>
      <c r="Y126" s="301">
        <f t="shared" si="27"/>
        <v>0</v>
      </c>
      <c r="Z126" s="300">
        <f t="shared" si="27"/>
        <v>0</v>
      </c>
      <c r="AA126" s="300">
        <f t="shared" si="27"/>
        <v>0</v>
      </c>
      <c r="AB126" s="302">
        <f t="shared" si="27"/>
        <v>0</v>
      </c>
      <c r="AC126" s="301">
        <f t="shared" si="27"/>
        <v>0</v>
      </c>
      <c r="AD126" s="300">
        <f t="shared" si="27"/>
        <v>0</v>
      </c>
      <c r="AE126" s="300">
        <f t="shared" si="27"/>
        <v>0</v>
      </c>
      <c r="AF126" s="302">
        <f t="shared" si="27"/>
        <v>0</v>
      </c>
      <c r="AG126" s="301">
        <f t="shared" si="27"/>
        <v>0</v>
      </c>
      <c r="AH126" s="300">
        <f t="shared" si="27"/>
        <v>0</v>
      </c>
      <c r="AI126" s="300">
        <f t="shared" si="27"/>
        <v>0</v>
      </c>
      <c r="AJ126" s="302">
        <f t="shared" si="27"/>
        <v>0</v>
      </c>
      <c r="AK126" s="301">
        <f t="shared" si="27"/>
        <v>0</v>
      </c>
      <c r="AL126" s="300">
        <f t="shared" si="27"/>
        <v>0</v>
      </c>
      <c r="AM126" s="300">
        <f t="shared" si="27"/>
        <v>0</v>
      </c>
      <c r="AN126" s="302">
        <f t="shared" si="27"/>
        <v>0</v>
      </c>
      <c r="AO126" s="301">
        <f t="shared" si="27"/>
        <v>0</v>
      </c>
      <c r="AP126" s="300">
        <f t="shared" si="27"/>
        <v>0</v>
      </c>
      <c r="AQ126" s="300">
        <f t="shared" si="27"/>
        <v>0</v>
      </c>
      <c r="AR126" s="302">
        <f t="shared" si="27"/>
        <v>0</v>
      </c>
      <c r="AS126" s="301">
        <f t="shared" si="27"/>
        <v>0</v>
      </c>
      <c r="AT126" s="300">
        <f t="shared" si="27"/>
        <v>0</v>
      </c>
      <c r="AU126" s="300">
        <f t="shared" si="27"/>
        <v>0</v>
      </c>
      <c r="AV126" s="302">
        <f t="shared" si="27"/>
        <v>0</v>
      </c>
    </row>
    <row r="127" spans="2:48" s="257" customFormat="1" ht="15.75" customHeight="1" outlineLevel="1">
      <c r="B127" s="1980"/>
      <c r="C127" s="303" t="str">
        <f>'8.项目规划指标表'!$B$5</f>
        <v>高层</v>
      </c>
      <c r="D127" s="274">
        <f>SUM(E127:AV127)</f>
        <v>87130.794959999985</v>
      </c>
      <c r="E127" s="275">
        <f t="array" ref="E127">IF(SUM(D206:$E206)&lt;1,SUM(IF('11.销售及回款表'!$E$497:$AV$540=E$205,'11.销售及回款表'!$E89:$AV89,0)),'11.销售及回款表'!E89)</f>
        <v>0</v>
      </c>
      <c r="F127" s="276">
        <f t="array" ref="F127">IF(SUM(E206:$E206)&lt;1,SUM(IF('11.销售及回款表'!$E$497:$AV$540=F$205,'11.销售及回款表'!$E89:$AV89,0)),'11.销售及回款表'!F89)</f>
        <v>0</v>
      </c>
      <c r="G127" s="276">
        <f t="array" ref="G127">IF(SUM($E206:F206)&lt;1,SUM(IF('11.销售及回款表'!$E$497:$AV$540=G$205,'11.销售及回款表'!$E89:$AV89,0)),'11.销售及回款表'!G89)</f>
        <v>0</v>
      </c>
      <c r="H127" s="277">
        <f t="array" ref="H127">IF(SUM($E206:G206)&lt;1,SUM(IF('11.销售及回款表'!$E$497:$AV$540=H$205,'11.销售及回款表'!$E89:$AV89,0)),'11.销售及回款表'!H89)</f>
        <v>0</v>
      </c>
      <c r="I127" s="275">
        <f t="array" ref="I127">IF(SUM($E206:H206)&lt;1,SUM(IF('11.销售及回款表'!$E$497:$AV$540=I$205,'11.销售及回款表'!$E89:$AV89,0)),'11.销售及回款表'!I89)</f>
        <v>0</v>
      </c>
      <c r="J127" s="276">
        <f t="array" ref="J127">IF(SUM($E206:I206)&lt;1,SUM(IF('11.销售及回款表'!$E$497:$AV$540=J$205,'11.销售及回款表'!$E89:$AV89,0)),'11.销售及回款表'!J89)</f>
        <v>0</v>
      </c>
      <c r="K127" s="276">
        <f t="array" ref="K127">IF(SUM($E206:J206)&lt;1,SUM(IF('11.销售及回款表'!$E$497:$AV$540=K$205,'11.销售及回款表'!$E89:$AV89,0)),'11.销售及回款表'!K89)</f>
        <v>0</v>
      </c>
      <c r="L127" s="277">
        <f t="array" ref="L127">IF(SUM($E206:K206)&lt;1,SUM(IF('11.销售及回款表'!$E$497:$AV$540=L$205,'11.销售及回款表'!$E89:$AV89,0)),'11.销售及回款表'!L89)</f>
        <v>0</v>
      </c>
      <c r="M127" s="275">
        <f t="array" ref="M127">IF(SUM($E206:L206)&lt;1,SUM(IF('11.销售及回款表'!$E$497:$AV$540=M$205,'11.销售及回款表'!$E89:$AV89,0)),'11.销售及回款表'!M89)</f>
        <v>0</v>
      </c>
      <c r="N127" s="276">
        <f t="array" ref="N127">IF(SUM($E206:M206)&lt;1,SUM(IF('11.销售及回款表'!$E$497:$AV$540=N$205,'11.销售及回款表'!$E89:$AV89,0)),'11.销售及回款表'!N89)</f>
        <v>0</v>
      </c>
      <c r="O127" s="276">
        <f t="array" ref="O127">IF(SUM($E206:N206)&lt;1,SUM(IF('11.销售及回款表'!$E$497:$AV$540=O$205,'11.销售及回款表'!$E89:$AV89,0)),'11.销售及回款表'!O89)</f>
        <v>0</v>
      </c>
      <c r="P127" s="277">
        <f t="array" ref="P127">IF(SUM($E206:O206)&lt;1,SUM(IF('11.销售及回款表'!$E$497:$AV$540=P$205,'11.销售及回款表'!$E89:$AV89,0)),'11.销售及回款表'!P89)</f>
        <v>87130.794959999985</v>
      </c>
      <c r="Q127" s="275">
        <f t="array" ref="Q127">IF(SUM($E206:P206)&lt;1,SUM(IF('11.销售及回款表'!$E$497:$AV$540=Q$205,'11.销售及回款表'!$E89:$AV89,0)),'11.销售及回款表'!Q89)</f>
        <v>0</v>
      </c>
      <c r="R127" s="276">
        <f t="array" ref="R127">IF(SUM($E206:Q206)&lt;1,SUM(IF('11.销售及回款表'!$E$497:$AV$540=R$205,'11.销售及回款表'!$E89:$AV89,0)),'11.销售及回款表'!R89)</f>
        <v>0</v>
      </c>
      <c r="S127" s="276">
        <f t="array" ref="S127">IF(SUM($E206:R206)&lt;1,SUM(IF('11.销售及回款表'!$E$497:$AV$540=S$205,'11.销售及回款表'!$E89:$AV89,0)),'11.销售及回款表'!S89)</f>
        <v>0</v>
      </c>
      <c r="T127" s="277">
        <f t="array" ref="T127">IF(SUM($E206:S206)&lt;1,SUM(IF('11.销售及回款表'!$E$497:$AV$540=T$205,'11.销售及回款表'!$E89:$AV89,0)),'11.销售及回款表'!T89)</f>
        <v>0</v>
      </c>
      <c r="U127" s="275">
        <f t="array" ref="U127">IF(SUM($E206:T206)&lt;1,SUM(IF('11.销售及回款表'!$E$497:$AV$540=U$205,'11.销售及回款表'!$E89:$AV89,0)),'11.销售及回款表'!U89)</f>
        <v>0</v>
      </c>
      <c r="V127" s="276">
        <f t="array" ref="V127">IF(SUM($E206:U206)&lt;1,SUM(IF('11.销售及回款表'!$E$497:$AV$540=V$205,'11.销售及回款表'!$E89:$AV89,0)),'11.销售及回款表'!V89)</f>
        <v>0</v>
      </c>
      <c r="W127" s="276">
        <f t="array" ref="W127">IF(SUM($E206:V206)&lt;1,SUM(IF('11.销售及回款表'!$E$497:$AV$540=W$205,'11.销售及回款表'!$E89:$AV89,0)),'11.销售及回款表'!W89)</f>
        <v>0</v>
      </c>
      <c r="X127" s="277">
        <f t="array" ref="X127">IF(SUM($E206:W206)&lt;1,SUM(IF('11.销售及回款表'!$E$497:$AV$540=X$205,'11.销售及回款表'!$E89:$AV89,0)),'11.销售及回款表'!X89)</f>
        <v>0</v>
      </c>
      <c r="Y127" s="275">
        <f t="array" ref="Y127">IF(SUM($E206:X206)&lt;1,SUM(IF('11.销售及回款表'!$E$497:$AV$540=Y$205,'11.销售及回款表'!$E89:$AV89,0)),'11.销售及回款表'!Y89)</f>
        <v>0</v>
      </c>
      <c r="Z127" s="276">
        <f t="array" ref="Z127">IF(SUM($E206:Y206)&lt;1,SUM(IF('11.销售及回款表'!$E$497:$AV$540=Z$205,'11.销售及回款表'!$E89:$AV89,0)),'11.销售及回款表'!Z89)</f>
        <v>0</v>
      </c>
      <c r="AA127" s="276">
        <f t="array" ref="AA127">IF(SUM($E206:Z206)&lt;1,SUM(IF('11.销售及回款表'!$E$497:$AV$540=AA$205,'11.销售及回款表'!$E89:$AV89,0)),'11.销售及回款表'!AA89)</f>
        <v>0</v>
      </c>
      <c r="AB127" s="277">
        <f t="array" ref="AB127">IF(SUM($E206:AA206)&lt;1,SUM(IF('11.销售及回款表'!$E$497:$AV$540=AB$205,'11.销售及回款表'!$E89:$AV89,0)),'11.销售及回款表'!AB89)</f>
        <v>0</v>
      </c>
      <c r="AC127" s="275">
        <f t="array" ref="AC127">IF(SUM($E206:AB206)&lt;1,SUM(IF('11.销售及回款表'!$E$497:$AV$540=AC$205,'11.销售及回款表'!$E89:$AV89,0)),'11.销售及回款表'!AC89)</f>
        <v>0</v>
      </c>
      <c r="AD127" s="276">
        <f t="array" ref="AD127">IF(SUM($E206:AC206)&lt;1,SUM(IF('11.销售及回款表'!$E$497:$AV$540=AD$205,'11.销售及回款表'!$E89:$AV89,0)),'11.销售及回款表'!AD89)</f>
        <v>0</v>
      </c>
      <c r="AE127" s="276">
        <f t="array" ref="AE127">IF(SUM($E206:AD206)&lt;1,SUM(IF('11.销售及回款表'!$E$497:$AV$540=AE$205,'11.销售及回款表'!$E89:$AV89,0)),'11.销售及回款表'!AE89)</f>
        <v>0</v>
      </c>
      <c r="AF127" s="277">
        <f t="array" ref="AF127">IF(SUM($E206:AE206)&lt;1,SUM(IF('11.销售及回款表'!$E$497:$AV$540=AF$205,'11.销售及回款表'!$E89:$AV89,0)),'11.销售及回款表'!AF89)</f>
        <v>0</v>
      </c>
      <c r="AG127" s="275">
        <f t="array" ref="AG127">IF(SUM($E206:AF206)&lt;1,SUM(IF('11.销售及回款表'!$E$497:$AV$540=AG$205,'11.销售及回款表'!$E89:$AV89,0)),'11.销售及回款表'!AG89)</f>
        <v>0</v>
      </c>
      <c r="AH127" s="276">
        <f t="array" ref="AH127">IF(SUM($E206:AG206)&lt;1,SUM(IF('11.销售及回款表'!$E$497:$AV$540=AH$205,'11.销售及回款表'!$E89:$AV89,0)),'11.销售及回款表'!AH89)</f>
        <v>0</v>
      </c>
      <c r="AI127" s="276">
        <f t="array" ref="AI127">IF(SUM($E206:AH206)&lt;1,SUM(IF('11.销售及回款表'!$E$497:$AV$540=AI$205,'11.销售及回款表'!$E89:$AV89,0)),'11.销售及回款表'!AI89)</f>
        <v>0</v>
      </c>
      <c r="AJ127" s="277">
        <f t="array" ref="AJ127">IF(SUM($E206:AI206)&lt;1,SUM(IF('11.销售及回款表'!$E$497:$AV$540=AJ$205,'11.销售及回款表'!$E89:$AV89,0)),'11.销售及回款表'!AJ89)</f>
        <v>0</v>
      </c>
      <c r="AK127" s="275">
        <f t="array" ref="AK127">IF(SUM($E206:AJ206)&lt;1,SUM(IF('11.销售及回款表'!$E$497:$AV$540=AK$205,'11.销售及回款表'!$E89:$AV89,0)),'11.销售及回款表'!AK89)</f>
        <v>0</v>
      </c>
      <c r="AL127" s="276">
        <f t="array" ref="AL127">IF(SUM($E206:AK206)&lt;1,SUM(IF('11.销售及回款表'!$E$497:$AV$540=AL$205,'11.销售及回款表'!$E89:$AV89,0)),'11.销售及回款表'!AL89)</f>
        <v>0</v>
      </c>
      <c r="AM127" s="276">
        <f t="array" ref="AM127">IF(SUM($E206:AL206)&lt;1,SUM(IF('11.销售及回款表'!$E$497:$AV$540=AM$205,'11.销售及回款表'!$E89:$AV89,0)),'11.销售及回款表'!AM89)</f>
        <v>0</v>
      </c>
      <c r="AN127" s="277">
        <f t="array" ref="AN127">IF(SUM($E206:AM206)&lt;1,SUM(IF('11.销售及回款表'!$E$497:$AV$540=AN$205,'11.销售及回款表'!$E89:$AV89,0)),'11.销售及回款表'!AN89)</f>
        <v>0</v>
      </c>
      <c r="AO127" s="275">
        <f t="array" ref="AO127">IF(SUM($E206:AN206)&lt;1,SUM(IF('11.销售及回款表'!$E$497:$AV$540=AO$205,'11.销售及回款表'!$E89:$AV89,0)),'11.销售及回款表'!AO89)</f>
        <v>0</v>
      </c>
      <c r="AP127" s="276">
        <f t="array" ref="AP127">IF(SUM($E206:AO206)&lt;1,SUM(IF('11.销售及回款表'!$E$497:$AV$540=AP$205,'11.销售及回款表'!$E89:$AV89,0)),'11.销售及回款表'!AP89)</f>
        <v>0</v>
      </c>
      <c r="AQ127" s="276">
        <f t="array" ref="AQ127">IF(SUM($E206:AP206)&lt;1,SUM(IF('11.销售及回款表'!$E$497:$AV$540=AQ$205,'11.销售及回款表'!$E89:$AV89,0)),'11.销售及回款表'!AQ89)</f>
        <v>0</v>
      </c>
      <c r="AR127" s="277">
        <f t="array" ref="AR127">IF(SUM($E206:AQ206)&lt;1,SUM(IF('11.销售及回款表'!$E$497:$AV$540=AR$205,'11.销售及回款表'!$E89:$AV89,0)),'11.销售及回款表'!AR89)</f>
        <v>0</v>
      </c>
      <c r="AS127" s="275">
        <f t="array" ref="AS127">IF(SUM($E206:AR206)&lt;1,SUM(IF('11.销售及回款表'!$E$497:$AV$540=AS$205,'11.销售及回款表'!$E89:$AV89,0)),'11.销售及回款表'!AS89)</f>
        <v>0</v>
      </c>
      <c r="AT127" s="276">
        <f t="array" ref="AT127">IF(SUM($E206:AS206)&lt;1,SUM(IF('11.销售及回款表'!$E$497:$AV$540=AT$205,'11.销售及回款表'!$E89:$AV89,0)),'11.销售及回款表'!AT89)</f>
        <v>0</v>
      </c>
      <c r="AU127" s="276">
        <f t="array" ref="AU127">IF(SUM($E206:AT206)&lt;1,SUM(IF('11.销售及回款表'!$E$497:$AV$540=AU$205,'11.销售及回款表'!$E89:$AV89,0)),'11.销售及回款表'!AU89)</f>
        <v>0</v>
      </c>
      <c r="AV127" s="277">
        <f t="array" ref="AV127">IF(SUM($E206:AU206)&lt;1,SUM(IF('11.销售及回款表'!$E$497:$AV$540=AV$205,'11.销售及回款表'!$E89:$AV89,0)),'11.销售及回款表'!AV89)</f>
        <v>0</v>
      </c>
    </row>
    <row r="128" spans="2:48" s="257" customFormat="1" ht="15.75" customHeight="1" outlineLevel="1">
      <c r="B128" s="1980"/>
      <c r="C128" s="303" t="str">
        <f>'8.项目规划指标表'!$B$6</f>
        <v>商铺</v>
      </c>
      <c r="D128" s="274">
        <f t="shared" ref="D128:D138" si="28">SUM(E128:AV128)</f>
        <v>8736</v>
      </c>
      <c r="E128" s="275">
        <f t="array" ref="E128">IF(SUM(D208:$E208)&lt;1,SUM(IF('11.销售及回款表'!$E$497:$AV$540=E$207,'11.销售及回款表'!$E94:$AV94,0)),'11.销售及回款表'!E94)</f>
        <v>0</v>
      </c>
      <c r="F128" s="276">
        <f t="array" ref="F128">IF(SUM(E208:$E208)&lt;1,SUM(IF('11.销售及回款表'!$E$497:$AV$540=F$207,'11.销售及回款表'!$E94:$AV94,0)),'11.销售及回款表'!F94)</f>
        <v>0</v>
      </c>
      <c r="G128" s="276">
        <f t="array" ref="G128">IF(SUM($E208:F208)&lt;1,SUM(IF('11.销售及回款表'!$E$497:$AV$540=G$207,'11.销售及回款表'!$E94:$AV94,0)),'11.销售及回款表'!G94)</f>
        <v>0</v>
      </c>
      <c r="H128" s="277">
        <f t="array" ref="H128">IF(SUM($E208:G208)&lt;1,SUM(IF('11.销售及回款表'!$E$497:$AV$540=H$207,'11.销售及回款表'!$E94:$AV94,0)),'11.销售及回款表'!H94)</f>
        <v>0</v>
      </c>
      <c r="I128" s="275">
        <f t="array" ref="I128">IF(SUM($E208:H208)&lt;1,SUM(IF('11.销售及回款表'!$E$497:$AV$540=I$207,'11.销售及回款表'!$E94:$AV94,0)),'11.销售及回款表'!I94)</f>
        <v>0</v>
      </c>
      <c r="J128" s="276">
        <f t="array" ref="J128">IF(SUM($E208:I208)&lt;1,SUM(IF('11.销售及回款表'!$E$497:$AV$540=J$207,'11.销售及回款表'!$E94:$AV94,0)),'11.销售及回款表'!J94)</f>
        <v>0</v>
      </c>
      <c r="K128" s="276">
        <f t="array" ref="K128">IF(SUM($E208:J208)&lt;1,SUM(IF('11.销售及回款表'!$E$497:$AV$540=K$207,'11.销售及回款表'!$E94:$AV94,0)),'11.销售及回款表'!K94)</f>
        <v>0</v>
      </c>
      <c r="L128" s="277">
        <f t="array" ref="L128">IF(SUM($E208:K208)&lt;1,SUM(IF('11.销售及回款表'!$E$497:$AV$540=L$207,'11.销售及回款表'!$E94:$AV94,0)),'11.销售及回款表'!L94)</f>
        <v>0</v>
      </c>
      <c r="M128" s="275">
        <f t="array" ref="M128">IF(SUM($E208:L208)&lt;1,SUM(IF('11.销售及回款表'!$E$497:$AV$540=M$207,'11.销售及回款表'!$E94:$AV94,0)),'11.销售及回款表'!M94)</f>
        <v>0</v>
      </c>
      <c r="N128" s="276">
        <f t="array" ref="N128">IF(SUM($E208:M208)&lt;1,SUM(IF('11.销售及回款表'!$E$497:$AV$540=N$207,'11.销售及回款表'!$E94:$AV94,0)),'11.销售及回款表'!N94)</f>
        <v>0</v>
      </c>
      <c r="O128" s="276">
        <f t="array" ref="O128">IF(SUM($E208:N208)&lt;1,SUM(IF('11.销售及回款表'!$E$497:$AV$540=O$207,'11.销售及回款表'!$E94:$AV94,0)),'11.销售及回款表'!O94)</f>
        <v>0</v>
      </c>
      <c r="P128" s="277">
        <f t="array" ref="P128">IF(SUM($E208:O208)&lt;1,SUM(IF('11.销售及回款表'!$E$497:$AV$540=P$207,'11.销售及回款表'!$E94:$AV94,0)),'11.销售及回款表'!P94)</f>
        <v>8736</v>
      </c>
      <c r="Q128" s="275">
        <f t="array" ref="Q128">IF(SUM($E208:P208)&lt;1,SUM(IF('11.销售及回款表'!$E$497:$AV$540=Q$207,'11.销售及回款表'!$E94:$AV94,0)),'11.销售及回款表'!Q94)</f>
        <v>0</v>
      </c>
      <c r="R128" s="276">
        <f t="array" ref="R128">IF(SUM($E208:Q208)&lt;1,SUM(IF('11.销售及回款表'!$E$497:$AV$540=R$207,'11.销售及回款表'!$E94:$AV94,0)),'11.销售及回款表'!R94)</f>
        <v>0</v>
      </c>
      <c r="S128" s="276">
        <f t="array" ref="S128">IF(SUM($E208:R208)&lt;1,SUM(IF('11.销售及回款表'!$E$497:$AV$540=S$207,'11.销售及回款表'!$E94:$AV94,0)),'11.销售及回款表'!S94)</f>
        <v>0</v>
      </c>
      <c r="T128" s="277">
        <f t="array" ref="T128">IF(SUM($E208:S208)&lt;1,SUM(IF('11.销售及回款表'!$E$497:$AV$540=T$207,'11.销售及回款表'!$E94:$AV94,0)),'11.销售及回款表'!T94)</f>
        <v>0</v>
      </c>
      <c r="U128" s="275">
        <f t="array" ref="U128">IF(SUM($E208:T208)&lt;1,SUM(IF('11.销售及回款表'!$E$497:$AV$540=U$207,'11.销售及回款表'!$E94:$AV94,0)),'11.销售及回款表'!U94)</f>
        <v>0</v>
      </c>
      <c r="V128" s="276">
        <f t="array" ref="V128">IF(SUM($E208:U208)&lt;1,SUM(IF('11.销售及回款表'!$E$497:$AV$540=V$207,'11.销售及回款表'!$E94:$AV94,0)),'11.销售及回款表'!V94)</f>
        <v>0</v>
      </c>
      <c r="W128" s="276">
        <f t="array" ref="W128">IF(SUM($E208:V208)&lt;1,SUM(IF('11.销售及回款表'!$E$497:$AV$540=W$207,'11.销售及回款表'!$E94:$AV94,0)),'11.销售及回款表'!W94)</f>
        <v>0</v>
      </c>
      <c r="X128" s="277">
        <f t="array" ref="X128">IF(SUM($E208:W208)&lt;1,SUM(IF('11.销售及回款表'!$E$497:$AV$540=X$207,'11.销售及回款表'!$E94:$AV94,0)),'11.销售及回款表'!X94)</f>
        <v>0</v>
      </c>
      <c r="Y128" s="275">
        <f t="array" ref="Y128">IF(SUM($E208:X208)&lt;1,SUM(IF('11.销售及回款表'!$E$497:$AV$540=Y$207,'11.销售及回款表'!$E94:$AV94,0)),'11.销售及回款表'!Y94)</f>
        <v>0</v>
      </c>
      <c r="Z128" s="276">
        <f t="array" ref="Z128">IF(SUM($E208:Y208)&lt;1,SUM(IF('11.销售及回款表'!$E$497:$AV$540=Z$207,'11.销售及回款表'!$E94:$AV94,0)),'11.销售及回款表'!Z94)</f>
        <v>0</v>
      </c>
      <c r="AA128" s="276">
        <f t="array" ref="AA128">IF(SUM($E208:Z208)&lt;1,SUM(IF('11.销售及回款表'!$E$497:$AV$540=AA$207,'11.销售及回款表'!$E94:$AV94,0)),'11.销售及回款表'!AA94)</f>
        <v>0</v>
      </c>
      <c r="AB128" s="277">
        <f t="array" ref="AB128">IF(SUM($E208:AA208)&lt;1,SUM(IF('11.销售及回款表'!$E$497:$AV$540=AB$207,'11.销售及回款表'!$E94:$AV94,0)),'11.销售及回款表'!AB94)</f>
        <v>0</v>
      </c>
      <c r="AC128" s="275">
        <f t="array" ref="AC128">IF(SUM($E208:AB208)&lt;1,SUM(IF('11.销售及回款表'!$E$497:$AV$540=AC$207,'11.销售及回款表'!$E94:$AV94,0)),'11.销售及回款表'!AC94)</f>
        <v>0</v>
      </c>
      <c r="AD128" s="276">
        <f t="array" ref="AD128">IF(SUM($E208:AC208)&lt;1,SUM(IF('11.销售及回款表'!$E$497:$AV$540=AD$207,'11.销售及回款表'!$E94:$AV94,0)),'11.销售及回款表'!AD94)</f>
        <v>0</v>
      </c>
      <c r="AE128" s="276">
        <f t="array" ref="AE128">IF(SUM($E208:AD208)&lt;1,SUM(IF('11.销售及回款表'!$E$497:$AV$540=AE$207,'11.销售及回款表'!$E94:$AV94,0)),'11.销售及回款表'!AE94)</f>
        <v>0</v>
      </c>
      <c r="AF128" s="277">
        <f t="array" ref="AF128">IF(SUM($E208:AE208)&lt;1,SUM(IF('11.销售及回款表'!$E$497:$AV$540=AF$207,'11.销售及回款表'!$E94:$AV94,0)),'11.销售及回款表'!AF94)</f>
        <v>0</v>
      </c>
      <c r="AG128" s="275">
        <f t="array" ref="AG128">IF(SUM($E208:AF208)&lt;1,SUM(IF('11.销售及回款表'!$E$497:$AV$540=AG$207,'11.销售及回款表'!$E94:$AV94,0)),'11.销售及回款表'!AG94)</f>
        <v>0</v>
      </c>
      <c r="AH128" s="276">
        <f t="array" ref="AH128">IF(SUM($E208:AG208)&lt;1,SUM(IF('11.销售及回款表'!$E$497:$AV$540=AH$207,'11.销售及回款表'!$E94:$AV94,0)),'11.销售及回款表'!AH94)</f>
        <v>0</v>
      </c>
      <c r="AI128" s="276">
        <f t="array" ref="AI128">IF(SUM($E208:AH208)&lt;1,SUM(IF('11.销售及回款表'!$E$497:$AV$540=AI$207,'11.销售及回款表'!$E94:$AV94,0)),'11.销售及回款表'!AI94)</f>
        <v>0</v>
      </c>
      <c r="AJ128" s="277">
        <f t="array" ref="AJ128">IF(SUM($E208:AI208)&lt;1,SUM(IF('11.销售及回款表'!$E$497:$AV$540=AJ$207,'11.销售及回款表'!$E94:$AV94,0)),'11.销售及回款表'!AJ94)</f>
        <v>0</v>
      </c>
      <c r="AK128" s="275">
        <f t="array" ref="AK128">IF(SUM($E208:AJ208)&lt;1,SUM(IF('11.销售及回款表'!$E$497:$AV$540=AK$207,'11.销售及回款表'!$E94:$AV94,0)),'11.销售及回款表'!AK94)</f>
        <v>0</v>
      </c>
      <c r="AL128" s="276">
        <f t="array" ref="AL128">IF(SUM($E208:AK208)&lt;1,SUM(IF('11.销售及回款表'!$E$497:$AV$540=AL$207,'11.销售及回款表'!$E94:$AV94,0)),'11.销售及回款表'!AL94)</f>
        <v>0</v>
      </c>
      <c r="AM128" s="276">
        <f t="array" ref="AM128">IF(SUM($E208:AL208)&lt;1,SUM(IF('11.销售及回款表'!$E$497:$AV$540=AM$207,'11.销售及回款表'!$E94:$AV94,0)),'11.销售及回款表'!AM94)</f>
        <v>0</v>
      </c>
      <c r="AN128" s="277">
        <f t="array" ref="AN128">IF(SUM($E208:AM208)&lt;1,SUM(IF('11.销售及回款表'!$E$497:$AV$540=AN$207,'11.销售及回款表'!$E94:$AV94,0)),'11.销售及回款表'!AN94)</f>
        <v>0</v>
      </c>
      <c r="AO128" s="275">
        <f t="array" ref="AO128">IF(SUM($E208:AN208)&lt;1,SUM(IF('11.销售及回款表'!$E$497:$AV$540=AO$207,'11.销售及回款表'!$E94:$AV94,0)),'11.销售及回款表'!AO94)</f>
        <v>0</v>
      </c>
      <c r="AP128" s="276">
        <f t="array" ref="AP128">IF(SUM($E208:AO208)&lt;1,SUM(IF('11.销售及回款表'!$E$497:$AV$540=AP$207,'11.销售及回款表'!$E94:$AV94,0)),'11.销售及回款表'!AP94)</f>
        <v>0</v>
      </c>
      <c r="AQ128" s="276">
        <f t="array" ref="AQ128">IF(SUM($E208:AP208)&lt;1,SUM(IF('11.销售及回款表'!$E$497:$AV$540=AQ$207,'11.销售及回款表'!$E94:$AV94,0)),'11.销售及回款表'!AQ94)</f>
        <v>0</v>
      </c>
      <c r="AR128" s="277">
        <f t="array" ref="AR128">IF(SUM($E208:AQ208)&lt;1,SUM(IF('11.销售及回款表'!$E$497:$AV$540=AR$207,'11.销售及回款表'!$E94:$AV94,0)),'11.销售及回款表'!AR94)</f>
        <v>0</v>
      </c>
      <c r="AS128" s="275">
        <f t="array" ref="AS128">IF(SUM($E208:AR208)&lt;1,SUM(IF('11.销售及回款表'!$E$497:$AV$540=AS$207,'11.销售及回款表'!$E94:$AV94,0)),'11.销售及回款表'!AS94)</f>
        <v>0</v>
      </c>
      <c r="AT128" s="276">
        <f t="array" ref="AT128">IF(SUM($E208:AS208)&lt;1,SUM(IF('11.销售及回款表'!$E$497:$AV$540=AT$207,'11.销售及回款表'!$E94:$AV94,0)),'11.销售及回款表'!AT94)</f>
        <v>0</v>
      </c>
      <c r="AU128" s="276">
        <f t="array" ref="AU128">IF(SUM($E208:AT208)&lt;1,SUM(IF('11.销售及回款表'!$E$497:$AV$540=AU$207,'11.销售及回款表'!$E94:$AV94,0)),'11.销售及回款表'!AU94)</f>
        <v>0</v>
      </c>
      <c r="AV128" s="277">
        <f t="array" ref="AV128">IF(SUM($E208:AU208)&lt;1,SUM(IF('11.销售及回款表'!$E$497:$AV$540=AV$207,'11.销售及回款表'!$E94:$AV94,0)),'11.销售及回款表'!AV94)</f>
        <v>0</v>
      </c>
    </row>
    <row r="129" spans="2:48" s="257" customFormat="1" ht="15.75" customHeight="1" outlineLevel="1">
      <c r="B129" s="1980"/>
      <c r="C129" s="303" t="str">
        <f>'8.项目规划指标表'!$B$7</f>
        <v>回迁商业</v>
      </c>
      <c r="D129" s="274">
        <f t="shared" si="28"/>
        <v>0</v>
      </c>
      <c r="E129" s="275">
        <f t="array" ref="E129">IF(SUM(D210:$E210)&lt;1,SUM(IF('11.销售及回款表'!$E$497:$AV$540=E$209,'11.销售及回款表'!$E99:$AV99,0)),'11.销售及回款表'!E99)</f>
        <v>0</v>
      </c>
      <c r="F129" s="276">
        <f t="array" ref="F129">IF(SUM(E210:$E210)&lt;1,SUM(IF('11.销售及回款表'!$E$497:$AV$540=F$209,'11.销售及回款表'!$E99:$AV99,0)),'11.销售及回款表'!F99)</f>
        <v>0</v>
      </c>
      <c r="G129" s="276">
        <f t="array" ref="G129">IF(SUM($E210:F210)&lt;1,SUM(IF('11.销售及回款表'!$E$497:$AV$540=G$209,'11.销售及回款表'!$E99:$AV99,0)),'11.销售及回款表'!G99)</f>
        <v>0</v>
      </c>
      <c r="H129" s="277">
        <f t="array" ref="H129">IF(SUM($E210:G210)&lt;1,SUM(IF('11.销售及回款表'!$E$497:$AV$540=H$209,'11.销售及回款表'!$E99:$AV99,0)),'11.销售及回款表'!H99)</f>
        <v>0</v>
      </c>
      <c r="I129" s="275">
        <f t="array" ref="I129">IF(SUM($E210:H210)&lt;1,SUM(IF('11.销售及回款表'!$E$497:$AV$540=I$209,'11.销售及回款表'!$E99:$AV99,0)),'11.销售及回款表'!I99)</f>
        <v>0</v>
      </c>
      <c r="J129" s="276">
        <f t="array" ref="J129">IF(SUM($E210:I210)&lt;1,SUM(IF('11.销售及回款表'!$E$497:$AV$540=J$209,'11.销售及回款表'!$E99:$AV99,0)),'11.销售及回款表'!J99)</f>
        <v>0</v>
      </c>
      <c r="K129" s="276">
        <f t="array" ref="K129">IF(SUM($E210:J210)&lt;1,SUM(IF('11.销售及回款表'!$E$497:$AV$540=K$209,'11.销售及回款表'!$E99:$AV99,0)),'11.销售及回款表'!K99)</f>
        <v>0</v>
      </c>
      <c r="L129" s="277">
        <f t="array" ref="L129">IF(SUM($E210:K210)&lt;1,SUM(IF('11.销售及回款表'!$E$497:$AV$540=L$209,'11.销售及回款表'!$E99:$AV99,0)),'11.销售及回款表'!L99)</f>
        <v>0</v>
      </c>
      <c r="M129" s="275">
        <f t="array" ref="M129">IF(SUM($E210:L210)&lt;1,SUM(IF('11.销售及回款表'!$E$497:$AV$540=M$209,'11.销售及回款表'!$E99:$AV99,0)),'11.销售及回款表'!M99)</f>
        <v>0</v>
      </c>
      <c r="N129" s="276">
        <f t="array" ref="N129">IF(SUM($E210:M210)&lt;1,SUM(IF('11.销售及回款表'!$E$497:$AV$540=N$209,'11.销售及回款表'!$E99:$AV99,0)),'11.销售及回款表'!N99)</f>
        <v>0</v>
      </c>
      <c r="O129" s="276">
        <f t="array" ref="O129">IF(SUM($E210:N210)&lt;1,SUM(IF('11.销售及回款表'!$E$497:$AV$540=O$209,'11.销售及回款表'!$E99:$AV99,0)),'11.销售及回款表'!O99)</f>
        <v>0</v>
      </c>
      <c r="P129" s="277">
        <f t="array" ref="P129">IF(SUM($E210:O210)&lt;1,SUM(IF('11.销售及回款表'!$E$497:$AV$540=P$209,'11.销售及回款表'!$E99:$AV99,0)),'11.销售及回款表'!P99)</f>
        <v>0</v>
      </c>
      <c r="Q129" s="275">
        <f t="array" ref="Q129">IF(SUM($E210:P210)&lt;1,SUM(IF('11.销售及回款表'!$E$497:$AV$540=Q$209,'11.销售及回款表'!$E99:$AV99,0)),'11.销售及回款表'!Q99)</f>
        <v>0</v>
      </c>
      <c r="R129" s="276">
        <f t="array" ref="R129">IF(SUM($E210:Q210)&lt;1,SUM(IF('11.销售及回款表'!$E$497:$AV$540=R$209,'11.销售及回款表'!$E99:$AV99,0)),'11.销售及回款表'!R99)</f>
        <v>0</v>
      </c>
      <c r="S129" s="276">
        <f t="array" ref="S129">IF(SUM($E210:R210)&lt;1,SUM(IF('11.销售及回款表'!$E$497:$AV$540=S$209,'11.销售及回款表'!$E99:$AV99,0)),'11.销售及回款表'!S99)</f>
        <v>0</v>
      </c>
      <c r="T129" s="277">
        <f t="array" ref="T129">IF(SUM($E210:S210)&lt;1,SUM(IF('11.销售及回款表'!$E$497:$AV$540=T$209,'11.销售及回款表'!$E99:$AV99,0)),'11.销售及回款表'!T99)</f>
        <v>0</v>
      </c>
      <c r="U129" s="275">
        <f t="array" ref="U129">IF(SUM($E210:T210)&lt;1,SUM(IF('11.销售及回款表'!$E$497:$AV$540=U$209,'11.销售及回款表'!$E99:$AV99,0)),'11.销售及回款表'!U99)</f>
        <v>0</v>
      </c>
      <c r="V129" s="276">
        <f t="array" ref="V129">IF(SUM($E210:U210)&lt;1,SUM(IF('11.销售及回款表'!$E$497:$AV$540=V$209,'11.销售及回款表'!$E99:$AV99,0)),'11.销售及回款表'!V99)</f>
        <v>0</v>
      </c>
      <c r="W129" s="276">
        <f t="array" ref="W129">IF(SUM($E210:V210)&lt;1,SUM(IF('11.销售及回款表'!$E$497:$AV$540=W$209,'11.销售及回款表'!$E99:$AV99,0)),'11.销售及回款表'!W99)</f>
        <v>0</v>
      </c>
      <c r="X129" s="277">
        <f t="array" ref="X129">IF(SUM($E210:W210)&lt;1,SUM(IF('11.销售及回款表'!$E$497:$AV$540=X$209,'11.销售及回款表'!$E99:$AV99,0)),'11.销售及回款表'!X99)</f>
        <v>0</v>
      </c>
      <c r="Y129" s="275">
        <f t="array" ref="Y129">IF(SUM($E210:X210)&lt;1,SUM(IF('11.销售及回款表'!$E$497:$AV$540=Y$209,'11.销售及回款表'!$E99:$AV99,0)),'11.销售及回款表'!Y99)</f>
        <v>0</v>
      </c>
      <c r="Z129" s="276">
        <f t="array" ref="Z129">IF(SUM($E210:Y210)&lt;1,SUM(IF('11.销售及回款表'!$E$497:$AV$540=Z$209,'11.销售及回款表'!$E99:$AV99,0)),'11.销售及回款表'!Z99)</f>
        <v>0</v>
      </c>
      <c r="AA129" s="276">
        <f t="array" ref="AA129">IF(SUM($E210:Z210)&lt;1,SUM(IF('11.销售及回款表'!$E$497:$AV$540=AA$209,'11.销售及回款表'!$E99:$AV99,0)),'11.销售及回款表'!AA99)</f>
        <v>0</v>
      </c>
      <c r="AB129" s="277">
        <f t="array" ref="AB129">IF(SUM($E210:AA210)&lt;1,SUM(IF('11.销售及回款表'!$E$497:$AV$540=AB$209,'11.销售及回款表'!$E99:$AV99,0)),'11.销售及回款表'!AB99)</f>
        <v>0</v>
      </c>
      <c r="AC129" s="275">
        <f t="array" ref="AC129">IF(SUM($E210:AB210)&lt;1,SUM(IF('11.销售及回款表'!$E$497:$AV$540=AC$209,'11.销售及回款表'!$E99:$AV99,0)),'11.销售及回款表'!AC99)</f>
        <v>0</v>
      </c>
      <c r="AD129" s="276">
        <f t="array" ref="AD129">IF(SUM($E210:AC210)&lt;1,SUM(IF('11.销售及回款表'!$E$497:$AV$540=AD$209,'11.销售及回款表'!$E99:$AV99,0)),'11.销售及回款表'!AD99)</f>
        <v>0</v>
      </c>
      <c r="AE129" s="276">
        <f t="array" ref="AE129">IF(SUM($E210:AD210)&lt;1,SUM(IF('11.销售及回款表'!$E$497:$AV$540=AE$209,'11.销售及回款表'!$E99:$AV99,0)),'11.销售及回款表'!AE99)</f>
        <v>0</v>
      </c>
      <c r="AF129" s="277">
        <f t="array" ref="AF129">IF(SUM($E210:AE210)&lt;1,SUM(IF('11.销售及回款表'!$E$497:$AV$540=AF$209,'11.销售及回款表'!$E99:$AV99,0)),'11.销售及回款表'!AF99)</f>
        <v>0</v>
      </c>
      <c r="AG129" s="275">
        <f t="array" ref="AG129">IF(SUM($E210:AF210)&lt;1,SUM(IF('11.销售及回款表'!$E$497:$AV$540=AG$209,'11.销售及回款表'!$E99:$AV99,0)),'11.销售及回款表'!AG99)</f>
        <v>0</v>
      </c>
      <c r="AH129" s="276">
        <f t="array" ref="AH129">IF(SUM($E210:AG210)&lt;1,SUM(IF('11.销售及回款表'!$E$497:$AV$540=AH$209,'11.销售及回款表'!$E99:$AV99,0)),'11.销售及回款表'!AH99)</f>
        <v>0</v>
      </c>
      <c r="AI129" s="276">
        <f t="array" ref="AI129">IF(SUM($E210:AH210)&lt;1,SUM(IF('11.销售及回款表'!$E$497:$AV$540=AI$209,'11.销售及回款表'!$E99:$AV99,0)),'11.销售及回款表'!AI99)</f>
        <v>0</v>
      </c>
      <c r="AJ129" s="277">
        <f t="array" ref="AJ129">IF(SUM($E210:AI210)&lt;1,SUM(IF('11.销售及回款表'!$E$497:$AV$540=AJ$209,'11.销售及回款表'!$E99:$AV99,0)),'11.销售及回款表'!AJ99)</f>
        <v>0</v>
      </c>
      <c r="AK129" s="275">
        <f t="array" ref="AK129">IF(SUM($E210:AJ210)&lt;1,SUM(IF('11.销售及回款表'!$E$497:$AV$540=AK$209,'11.销售及回款表'!$E99:$AV99,0)),'11.销售及回款表'!AK99)</f>
        <v>0</v>
      </c>
      <c r="AL129" s="276">
        <f t="array" ref="AL129">IF(SUM($E210:AK210)&lt;1,SUM(IF('11.销售及回款表'!$E$497:$AV$540=AL$209,'11.销售及回款表'!$E99:$AV99,0)),'11.销售及回款表'!AL99)</f>
        <v>0</v>
      </c>
      <c r="AM129" s="276">
        <f t="array" ref="AM129">IF(SUM($E210:AL210)&lt;1,SUM(IF('11.销售及回款表'!$E$497:$AV$540=AM$209,'11.销售及回款表'!$E99:$AV99,0)),'11.销售及回款表'!AM99)</f>
        <v>0</v>
      </c>
      <c r="AN129" s="277">
        <f t="array" ref="AN129">IF(SUM($E210:AM210)&lt;1,SUM(IF('11.销售及回款表'!$E$497:$AV$540=AN$209,'11.销售及回款表'!$E99:$AV99,0)),'11.销售及回款表'!AN99)</f>
        <v>0</v>
      </c>
      <c r="AO129" s="275">
        <f t="array" ref="AO129">IF(SUM($E210:AN210)&lt;1,SUM(IF('11.销售及回款表'!$E$497:$AV$540=AO$209,'11.销售及回款表'!$E99:$AV99,0)),'11.销售及回款表'!AO99)</f>
        <v>0</v>
      </c>
      <c r="AP129" s="276">
        <f t="array" ref="AP129">IF(SUM($E210:AO210)&lt;1,SUM(IF('11.销售及回款表'!$E$497:$AV$540=AP$209,'11.销售及回款表'!$E99:$AV99,0)),'11.销售及回款表'!AP99)</f>
        <v>0</v>
      </c>
      <c r="AQ129" s="276">
        <f t="array" ref="AQ129">IF(SUM($E210:AP210)&lt;1,SUM(IF('11.销售及回款表'!$E$497:$AV$540=AQ$209,'11.销售及回款表'!$E99:$AV99,0)),'11.销售及回款表'!AQ99)</f>
        <v>0</v>
      </c>
      <c r="AR129" s="277">
        <f t="array" ref="AR129">IF(SUM($E210:AQ210)&lt;1,SUM(IF('11.销售及回款表'!$E$497:$AV$540=AR$209,'11.销售及回款表'!$E99:$AV99,0)),'11.销售及回款表'!AR99)</f>
        <v>0</v>
      </c>
      <c r="AS129" s="275">
        <f t="array" ref="AS129">IF(SUM($E210:AR210)&lt;1,SUM(IF('11.销售及回款表'!$E$497:$AV$540=AS$209,'11.销售及回款表'!$E99:$AV99,0)),'11.销售及回款表'!AS99)</f>
        <v>0</v>
      </c>
      <c r="AT129" s="276">
        <f t="array" ref="AT129">IF(SUM($E210:AS210)&lt;1,SUM(IF('11.销售及回款表'!$E$497:$AV$540=AT$209,'11.销售及回款表'!$E99:$AV99,0)),'11.销售及回款表'!AT99)</f>
        <v>0</v>
      </c>
      <c r="AU129" s="276">
        <f t="array" ref="AU129">IF(SUM($E210:AT210)&lt;1,SUM(IF('11.销售及回款表'!$E$497:$AV$540=AU$209,'11.销售及回款表'!$E99:$AV99,0)),'11.销售及回款表'!AU99)</f>
        <v>0</v>
      </c>
      <c r="AV129" s="277">
        <f t="array" ref="AV129">IF(SUM($E210:AU210)&lt;1,SUM(IF('11.销售及回款表'!$E$497:$AV$540=AV$209,'11.销售及回款表'!$E99:$AV99,0)),'11.销售及回款表'!AV99)</f>
        <v>0</v>
      </c>
    </row>
    <row r="130" spans="2:48" s="257" customFormat="1" ht="15.75" customHeight="1" outlineLevel="1">
      <c r="B130" s="1980"/>
      <c r="C130" s="303">
        <f>'8.项目规划指标表'!$B$8</f>
        <v>0</v>
      </c>
      <c r="D130" s="274">
        <f t="shared" si="28"/>
        <v>0</v>
      </c>
      <c r="E130" s="275">
        <f t="array" ref="E130">IF(SUM(D212:$E212)&lt;1,SUM(IF('11.销售及回款表'!$E$497:$AV$540=E$211,'11.销售及回款表'!$E104:$AV104,0)),'11.销售及回款表'!E104)</f>
        <v>0</v>
      </c>
      <c r="F130" s="276">
        <f t="array" ref="F130">IF(SUM(E212:$E212)&lt;1,SUM(IF('11.销售及回款表'!$E$497:$AV$540=F$211,'11.销售及回款表'!$E104:$AV104,0)),'11.销售及回款表'!F104)</f>
        <v>0</v>
      </c>
      <c r="G130" s="276">
        <f t="array" ref="G130">IF(SUM($E212:F212)&lt;1,SUM(IF('11.销售及回款表'!$E$497:$AV$540=G$211,'11.销售及回款表'!$E104:$AV104,0)),'11.销售及回款表'!G104)</f>
        <v>0</v>
      </c>
      <c r="H130" s="277">
        <f t="array" ref="H130">IF(SUM($E212:G212)&lt;1,SUM(IF('11.销售及回款表'!$E$497:$AV$540=H$211,'11.销售及回款表'!$E104:$AV104,0)),'11.销售及回款表'!H104)</f>
        <v>0</v>
      </c>
      <c r="I130" s="275">
        <f t="array" ref="I130">IF(SUM($E212:H212)&lt;1,SUM(IF('11.销售及回款表'!$E$497:$AV$540=I$211,'11.销售及回款表'!$E104:$AV104,0)),'11.销售及回款表'!I104)</f>
        <v>0</v>
      </c>
      <c r="J130" s="276">
        <f t="array" ref="J130">IF(SUM($E212:I212)&lt;1,SUM(IF('11.销售及回款表'!$E$497:$AV$540=J$211,'11.销售及回款表'!$E104:$AV104,0)),'11.销售及回款表'!J104)</f>
        <v>0</v>
      </c>
      <c r="K130" s="276">
        <f t="array" ref="K130">IF(SUM($E212:J212)&lt;1,SUM(IF('11.销售及回款表'!$E$497:$AV$540=K$211,'11.销售及回款表'!$E104:$AV104,0)),'11.销售及回款表'!K104)</f>
        <v>0</v>
      </c>
      <c r="L130" s="277">
        <f t="array" ref="L130">IF(SUM($E212:K212)&lt;1,SUM(IF('11.销售及回款表'!$E$497:$AV$540=L$211,'11.销售及回款表'!$E104:$AV104,0)),'11.销售及回款表'!L104)</f>
        <v>0</v>
      </c>
      <c r="M130" s="275">
        <f t="array" ref="M130">IF(SUM($E212:L212)&lt;1,SUM(IF('11.销售及回款表'!$E$497:$AV$540=M$211,'11.销售及回款表'!$E104:$AV104,0)),'11.销售及回款表'!M104)</f>
        <v>0</v>
      </c>
      <c r="N130" s="276">
        <f t="array" ref="N130">IF(SUM($E212:M212)&lt;1,SUM(IF('11.销售及回款表'!$E$497:$AV$540=N$211,'11.销售及回款表'!$E104:$AV104,0)),'11.销售及回款表'!N104)</f>
        <v>0</v>
      </c>
      <c r="O130" s="276">
        <f t="array" ref="O130">IF(SUM($E212:N212)&lt;1,SUM(IF('11.销售及回款表'!$E$497:$AV$540=O$211,'11.销售及回款表'!$E104:$AV104,0)),'11.销售及回款表'!O104)</f>
        <v>0</v>
      </c>
      <c r="P130" s="277">
        <f t="array" ref="P130">IF(SUM($E212:O212)&lt;1,SUM(IF('11.销售及回款表'!$E$497:$AV$540=P$211,'11.销售及回款表'!$E104:$AV104,0)),'11.销售及回款表'!P104)</f>
        <v>0</v>
      </c>
      <c r="Q130" s="275">
        <f t="array" ref="Q130">IF(SUM($E212:P212)&lt;1,SUM(IF('11.销售及回款表'!$E$497:$AV$540=Q$211,'11.销售及回款表'!$E104:$AV104,0)),'11.销售及回款表'!Q104)</f>
        <v>0</v>
      </c>
      <c r="R130" s="276">
        <f t="array" ref="R130">IF(SUM($E212:Q212)&lt;1,SUM(IF('11.销售及回款表'!$E$497:$AV$540=R$211,'11.销售及回款表'!$E104:$AV104,0)),'11.销售及回款表'!R104)</f>
        <v>0</v>
      </c>
      <c r="S130" s="276">
        <f t="array" ref="S130">IF(SUM($E212:R212)&lt;1,SUM(IF('11.销售及回款表'!$E$497:$AV$540=S$211,'11.销售及回款表'!$E104:$AV104,0)),'11.销售及回款表'!S104)</f>
        <v>0</v>
      </c>
      <c r="T130" s="277">
        <f t="array" ref="T130">IF(SUM($E212:S212)&lt;1,SUM(IF('11.销售及回款表'!$E$497:$AV$540=T$211,'11.销售及回款表'!$E104:$AV104,0)),'11.销售及回款表'!T104)</f>
        <v>0</v>
      </c>
      <c r="U130" s="275">
        <f t="array" ref="U130">IF(SUM($E212:T212)&lt;1,SUM(IF('11.销售及回款表'!$E$497:$AV$540=U$211,'11.销售及回款表'!$E104:$AV104,0)),'11.销售及回款表'!U104)</f>
        <v>0</v>
      </c>
      <c r="V130" s="276">
        <f t="array" ref="V130">IF(SUM($E212:U212)&lt;1,SUM(IF('11.销售及回款表'!$E$497:$AV$540=V$211,'11.销售及回款表'!$E104:$AV104,0)),'11.销售及回款表'!V104)</f>
        <v>0</v>
      </c>
      <c r="W130" s="276">
        <f t="array" ref="W130">IF(SUM($E212:V212)&lt;1,SUM(IF('11.销售及回款表'!$E$497:$AV$540=W$211,'11.销售及回款表'!$E104:$AV104,0)),'11.销售及回款表'!W104)</f>
        <v>0</v>
      </c>
      <c r="X130" s="277">
        <f t="array" ref="X130">IF(SUM($E212:W212)&lt;1,SUM(IF('11.销售及回款表'!$E$497:$AV$540=X$211,'11.销售及回款表'!$E104:$AV104,0)),'11.销售及回款表'!X104)</f>
        <v>0</v>
      </c>
      <c r="Y130" s="275">
        <f t="array" ref="Y130">IF(SUM($E212:X212)&lt;1,SUM(IF('11.销售及回款表'!$E$497:$AV$540=Y$211,'11.销售及回款表'!$E104:$AV104,0)),'11.销售及回款表'!Y104)</f>
        <v>0</v>
      </c>
      <c r="Z130" s="276">
        <f t="array" ref="Z130">IF(SUM($E212:Y212)&lt;1,SUM(IF('11.销售及回款表'!$E$497:$AV$540=Z$211,'11.销售及回款表'!$E104:$AV104,0)),'11.销售及回款表'!Z104)</f>
        <v>0</v>
      </c>
      <c r="AA130" s="276">
        <f t="array" ref="AA130">IF(SUM($E212:Z212)&lt;1,SUM(IF('11.销售及回款表'!$E$497:$AV$540=AA$211,'11.销售及回款表'!$E104:$AV104,0)),'11.销售及回款表'!AA104)</f>
        <v>0</v>
      </c>
      <c r="AB130" s="277">
        <f t="array" ref="AB130">IF(SUM($E212:AA212)&lt;1,SUM(IF('11.销售及回款表'!$E$497:$AV$540=AB$211,'11.销售及回款表'!$E104:$AV104,0)),'11.销售及回款表'!AB104)</f>
        <v>0</v>
      </c>
      <c r="AC130" s="275">
        <f t="array" ref="AC130">IF(SUM($E212:AB212)&lt;1,SUM(IF('11.销售及回款表'!$E$497:$AV$540=AC$211,'11.销售及回款表'!$E104:$AV104,0)),'11.销售及回款表'!AC104)</f>
        <v>0</v>
      </c>
      <c r="AD130" s="276">
        <f t="array" ref="AD130">IF(SUM($E212:AC212)&lt;1,SUM(IF('11.销售及回款表'!$E$497:$AV$540=AD$211,'11.销售及回款表'!$E104:$AV104,0)),'11.销售及回款表'!AD104)</f>
        <v>0</v>
      </c>
      <c r="AE130" s="276">
        <f t="array" ref="AE130">IF(SUM($E212:AD212)&lt;1,SUM(IF('11.销售及回款表'!$E$497:$AV$540=AE$211,'11.销售及回款表'!$E104:$AV104,0)),'11.销售及回款表'!AE104)</f>
        <v>0</v>
      </c>
      <c r="AF130" s="277">
        <f t="array" ref="AF130">IF(SUM($E212:AE212)&lt;1,SUM(IF('11.销售及回款表'!$E$497:$AV$540=AF$211,'11.销售及回款表'!$E104:$AV104,0)),'11.销售及回款表'!AF104)</f>
        <v>0</v>
      </c>
      <c r="AG130" s="275">
        <f t="array" ref="AG130">IF(SUM($E212:AF212)&lt;1,SUM(IF('11.销售及回款表'!$E$497:$AV$540=AG$211,'11.销售及回款表'!$E104:$AV104,0)),'11.销售及回款表'!AG104)</f>
        <v>0</v>
      </c>
      <c r="AH130" s="276">
        <f t="array" ref="AH130">IF(SUM($E212:AG212)&lt;1,SUM(IF('11.销售及回款表'!$E$497:$AV$540=AH$211,'11.销售及回款表'!$E104:$AV104,0)),'11.销售及回款表'!AH104)</f>
        <v>0</v>
      </c>
      <c r="AI130" s="276">
        <f t="array" ref="AI130">IF(SUM($E212:AH212)&lt;1,SUM(IF('11.销售及回款表'!$E$497:$AV$540=AI$211,'11.销售及回款表'!$E104:$AV104,0)),'11.销售及回款表'!AI104)</f>
        <v>0</v>
      </c>
      <c r="AJ130" s="277">
        <f t="array" ref="AJ130">IF(SUM($E212:AI212)&lt;1,SUM(IF('11.销售及回款表'!$E$497:$AV$540=AJ$211,'11.销售及回款表'!$E104:$AV104,0)),'11.销售及回款表'!AJ104)</f>
        <v>0</v>
      </c>
      <c r="AK130" s="275">
        <f t="array" ref="AK130">IF(SUM($E212:AJ212)&lt;1,SUM(IF('11.销售及回款表'!$E$497:$AV$540=AK$211,'11.销售及回款表'!$E104:$AV104,0)),'11.销售及回款表'!AK104)</f>
        <v>0</v>
      </c>
      <c r="AL130" s="276">
        <f t="array" ref="AL130">IF(SUM($E212:AK212)&lt;1,SUM(IF('11.销售及回款表'!$E$497:$AV$540=AL$211,'11.销售及回款表'!$E104:$AV104,0)),'11.销售及回款表'!AL104)</f>
        <v>0</v>
      </c>
      <c r="AM130" s="276">
        <f t="array" ref="AM130">IF(SUM($E212:AL212)&lt;1,SUM(IF('11.销售及回款表'!$E$497:$AV$540=AM$211,'11.销售及回款表'!$E104:$AV104,0)),'11.销售及回款表'!AM104)</f>
        <v>0</v>
      </c>
      <c r="AN130" s="277">
        <f t="array" ref="AN130">IF(SUM($E212:AM212)&lt;1,SUM(IF('11.销售及回款表'!$E$497:$AV$540=AN$211,'11.销售及回款表'!$E104:$AV104,0)),'11.销售及回款表'!AN104)</f>
        <v>0</v>
      </c>
      <c r="AO130" s="275">
        <f t="array" ref="AO130">IF(SUM($E212:AN212)&lt;1,SUM(IF('11.销售及回款表'!$E$497:$AV$540=AO$211,'11.销售及回款表'!$E104:$AV104,0)),'11.销售及回款表'!AO104)</f>
        <v>0</v>
      </c>
      <c r="AP130" s="276">
        <f t="array" ref="AP130">IF(SUM($E212:AO212)&lt;1,SUM(IF('11.销售及回款表'!$E$497:$AV$540=AP$211,'11.销售及回款表'!$E104:$AV104,0)),'11.销售及回款表'!AP104)</f>
        <v>0</v>
      </c>
      <c r="AQ130" s="276">
        <f t="array" ref="AQ130">IF(SUM($E212:AP212)&lt;1,SUM(IF('11.销售及回款表'!$E$497:$AV$540=AQ$211,'11.销售及回款表'!$E104:$AV104,0)),'11.销售及回款表'!AQ104)</f>
        <v>0</v>
      </c>
      <c r="AR130" s="277">
        <f t="array" ref="AR130">IF(SUM($E212:AQ212)&lt;1,SUM(IF('11.销售及回款表'!$E$497:$AV$540=AR$211,'11.销售及回款表'!$E104:$AV104,0)),'11.销售及回款表'!AR104)</f>
        <v>0</v>
      </c>
      <c r="AS130" s="275">
        <f t="array" ref="AS130">IF(SUM($E212:AR212)&lt;1,SUM(IF('11.销售及回款表'!$E$497:$AV$540=AS$211,'11.销售及回款表'!$E104:$AV104,0)),'11.销售及回款表'!AS104)</f>
        <v>0</v>
      </c>
      <c r="AT130" s="276">
        <f t="array" ref="AT130">IF(SUM($E212:AS212)&lt;1,SUM(IF('11.销售及回款表'!$E$497:$AV$540=AT$211,'11.销售及回款表'!$E104:$AV104,0)),'11.销售及回款表'!AT104)</f>
        <v>0</v>
      </c>
      <c r="AU130" s="276">
        <f t="array" ref="AU130">IF(SUM($E212:AT212)&lt;1,SUM(IF('11.销售及回款表'!$E$497:$AV$540=AU$211,'11.销售及回款表'!$E104:$AV104,0)),'11.销售及回款表'!AU104)</f>
        <v>0</v>
      </c>
      <c r="AV130" s="277">
        <f t="array" ref="AV130">IF(SUM($E212:AU212)&lt;1,SUM(IF('11.销售及回款表'!$E$497:$AV$540=AV$211,'11.销售及回款表'!$E104:$AV104,0)),'11.销售及回款表'!AV104)</f>
        <v>0</v>
      </c>
    </row>
    <row r="131" spans="2:48" s="257" customFormat="1" ht="15.75" customHeight="1" outlineLevel="1">
      <c r="B131" s="1980"/>
      <c r="C131" s="303">
        <f>'8.项目规划指标表'!$B$9</f>
        <v>0</v>
      </c>
      <c r="D131" s="274">
        <f t="shared" si="28"/>
        <v>0</v>
      </c>
      <c r="E131" s="275">
        <f t="array" ref="E131">IF(SUM(D214:$E214)&lt;1,SUM(IF('11.销售及回款表'!$E$497:$AV$540=E$213,'11.销售及回款表'!$E109:$AV109,0)),'11.销售及回款表'!E109)</f>
        <v>0</v>
      </c>
      <c r="F131" s="276">
        <f t="array" ref="F131">IF(SUM(E214:$E214)&lt;1,SUM(IF('11.销售及回款表'!$E$497:$AV$540=F$213,'11.销售及回款表'!$E109:$AV109,0)),'11.销售及回款表'!F109)</f>
        <v>0</v>
      </c>
      <c r="G131" s="276">
        <f t="array" ref="G131">IF(SUM($E214:F214)&lt;1,SUM(IF('11.销售及回款表'!$E$497:$AV$540=G$213,'11.销售及回款表'!$E109:$AV109,0)),'11.销售及回款表'!G109)</f>
        <v>0</v>
      </c>
      <c r="H131" s="277">
        <f t="array" ref="H131">IF(SUM($E214:G214)&lt;1,SUM(IF('11.销售及回款表'!$E$497:$AV$540=H$213,'11.销售及回款表'!$E109:$AV109,0)),'11.销售及回款表'!H109)</f>
        <v>0</v>
      </c>
      <c r="I131" s="275">
        <f t="array" ref="I131">IF(SUM($E214:H214)&lt;1,SUM(IF('11.销售及回款表'!$E$497:$AV$540=I$213,'11.销售及回款表'!$E109:$AV109,0)),'11.销售及回款表'!I109)</f>
        <v>0</v>
      </c>
      <c r="J131" s="276">
        <f t="array" ref="J131">IF(SUM($E214:I214)&lt;1,SUM(IF('11.销售及回款表'!$E$497:$AV$540=J$213,'11.销售及回款表'!$E109:$AV109,0)),'11.销售及回款表'!J109)</f>
        <v>0</v>
      </c>
      <c r="K131" s="276">
        <f t="array" ref="K131">IF(SUM($E214:J214)&lt;1,SUM(IF('11.销售及回款表'!$E$497:$AV$540=K$213,'11.销售及回款表'!$E109:$AV109,0)),'11.销售及回款表'!K109)</f>
        <v>0</v>
      </c>
      <c r="L131" s="277">
        <f t="array" ref="L131">IF(SUM($E214:K214)&lt;1,SUM(IF('11.销售及回款表'!$E$497:$AV$540=L$213,'11.销售及回款表'!$E109:$AV109,0)),'11.销售及回款表'!L109)</f>
        <v>0</v>
      </c>
      <c r="M131" s="275">
        <f t="array" ref="M131">IF(SUM($E214:L214)&lt;1,SUM(IF('11.销售及回款表'!$E$497:$AV$540=M$213,'11.销售及回款表'!$E109:$AV109,0)),'11.销售及回款表'!M109)</f>
        <v>0</v>
      </c>
      <c r="N131" s="276">
        <f t="array" ref="N131">IF(SUM($E214:M214)&lt;1,SUM(IF('11.销售及回款表'!$E$497:$AV$540=N$213,'11.销售及回款表'!$E109:$AV109,0)),'11.销售及回款表'!N109)</f>
        <v>0</v>
      </c>
      <c r="O131" s="276">
        <f t="array" ref="O131">IF(SUM($E214:N214)&lt;1,SUM(IF('11.销售及回款表'!$E$497:$AV$540=O$213,'11.销售及回款表'!$E109:$AV109,0)),'11.销售及回款表'!O109)</f>
        <v>0</v>
      </c>
      <c r="P131" s="277">
        <f t="array" ref="P131">IF(SUM($E214:O214)&lt;1,SUM(IF('11.销售及回款表'!$E$497:$AV$540=P$213,'11.销售及回款表'!$E109:$AV109,0)),'11.销售及回款表'!P109)</f>
        <v>0</v>
      </c>
      <c r="Q131" s="275">
        <f t="array" ref="Q131">IF(SUM($E214:P214)&lt;1,SUM(IF('11.销售及回款表'!$E$497:$AV$540=Q$213,'11.销售及回款表'!$E109:$AV109,0)),'11.销售及回款表'!Q109)</f>
        <v>0</v>
      </c>
      <c r="R131" s="276">
        <f t="array" ref="R131">IF(SUM($E214:Q214)&lt;1,SUM(IF('11.销售及回款表'!$E$497:$AV$540=R$213,'11.销售及回款表'!$E109:$AV109,0)),'11.销售及回款表'!R109)</f>
        <v>0</v>
      </c>
      <c r="S131" s="276">
        <f t="array" ref="S131">IF(SUM($E214:R214)&lt;1,SUM(IF('11.销售及回款表'!$E$497:$AV$540=S$213,'11.销售及回款表'!$E109:$AV109,0)),'11.销售及回款表'!S109)</f>
        <v>0</v>
      </c>
      <c r="T131" s="277">
        <f t="array" ref="T131">IF(SUM($E214:S214)&lt;1,SUM(IF('11.销售及回款表'!$E$497:$AV$540=T$213,'11.销售及回款表'!$E109:$AV109,0)),'11.销售及回款表'!T109)</f>
        <v>0</v>
      </c>
      <c r="U131" s="275">
        <f t="array" ref="U131">IF(SUM($E214:T214)&lt;1,SUM(IF('11.销售及回款表'!$E$497:$AV$540=U$213,'11.销售及回款表'!$E109:$AV109,0)),'11.销售及回款表'!U109)</f>
        <v>0</v>
      </c>
      <c r="V131" s="276">
        <f t="array" ref="V131">IF(SUM($E214:U214)&lt;1,SUM(IF('11.销售及回款表'!$E$497:$AV$540=V$213,'11.销售及回款表'!$E109:$AV109,0)),'11.销售及回款表'!V109)</f>
        <v>0</v>
      </c>
      <c r="W131" s="276">
        <f t="array" ref="W131">IF(SUM($E214:V214)&lt;1,SUM(IF('11.销售及回款表'!$E$497:$AV$540=W$213,'11.销售及回款表'!$E109:$AV109,0)),'11.销售及回款表'!W109)</f>
        <v>0</v>
      </c>
      <c r="X131" s="277">
        <f t="array" ref="X131">IF(SUM($E214:W214)&lt;1,SUM(IF('11.销售及回款表'!$E$497:$AV$540=X$213,'11.销售及回款表'!$E109:$AV109,0)),'11.销售及回款表'!X109)</f>
        <v>0</v>
      </c>
      <c r="Y131" s="275">
        <f t="array" ref="Y131">IF(SUM($E214:X214)&lt;1,SUM(IF('11.销售及回款表'!$E$497:$AV$540=Y$213,'11.销售及回款表'!$E109:$AV109,0)),'11.销售及回款表'!Y109)</f>
        <v>0</v>
      </c>
      <c r="Z131" s="276">
        <f t="array" ref="Z131">IF(SUM($E214:Y214)&lt;1,SUM(IF('11.销售及回款表'!$E$497:$AV$540=Z$213,'11.销售及回款表'!$E109:$AV109,0)),'11.销售及回款表'!Z109)</f>
        <v>0</v>
      </c>
      <c r="AA131" s="276">
        <f t="array" ref="AA131">IF(SUM($E214:Z214)&lt;1,SUM(IF('11.销售及回款表'!$E$497:$AV$540=AA$213,'11.销售及回款表'!$E109:$AV109,0)),'11.销售及回款表'!AA109)</f>
        <v>0</v>
      </c>
      <c r="AB131" s="277">
        <f t="array" ref="AB131">IF(SUM($E214:AA214)&lt;1,SUM(IF('11.销售及回款表'!$E$497:$AV$540=AB$213,'11.销售及回款表'!$E109:$AV109,0)),'11.销售及回款表'!AB109)</f>
        <v>0</v>
      </c>
      <c r="AC131" s="275">
        <f t="array" ref="AC131">IF(SUM($E214:AB214)&lt;1,SUM(IF('11.销售及回款表'!$E$497:$AV$540=AC$213,'11.销售及回款表'!$E109:$AV109,0)),'11.销售及回款表'!AC109)</f>
        <v>0</v>
      </c>
      <c r="AD131" s="276">
        <f t="array" ref="AD131">IF(SUM($E214:AC214)&lt;1,SUM(IF('11.销售及回款表'!$E$497:$AV$540=AD$213,'11.销售及回款表'!$E109:$AV109,0)),'11.销售及回款表'!AD109)</f>
        <v>0</v>
      </c>
      <c r="AE131" s="276">
        <f t="array" ref="AE131">IF(SUM($E214:AD214)&lt;1,SUM(IF('11.销售及回款表'!$E$497:$AV$540=AE$213,'11.销售及回款表'!$E109:$AV109,0)),'11.销售及回款表'!AE109)</f>
        <v>0</v>
      </c>
      <c r="AF131" s="277">
        <f t="array" ref="AF131">IF(SUM($E214:AE214)&lt;1,SUM(IF('11.销售及回款表'!$E$497:$AV$540=AF$213,'11.销售及回款表'!$E109:$AV109,0)),'11.销售及回款表'!AF109)</f>
        <v>0</v>
      </c>
      <c r="AG131" s="275">
        <f t="array" ref="AG131">IF(SUM($E214:AF214)&lt;1,SUM(IF('11.销售及回款表'!$E$497:$AV$540=AG$213,'11.销售及回款表'!$E109:$AV109,0)),'11.销售及回款表'!AG109)</f>
        <v>0</v>
      </c>
      <c r="AH131" s="276">
        <f t="array" ref="AH131">IF(SUM($E214:AG214)&lt;1,SUM(IF('11.销售及回款表'!$E$497:$AV$540=AH$213,'11.销售及回款表'!$E109:$AV109,0)),'11.销售及回款表'!AH109)</f>
        <v>0</v>
      </c>
      <c r="AI131" s="276">
        <f t="array" ref="AI131">IF(SUM($E214:AH214)&lt;1,SUM(IF('11.销售及回款表'!$E$497:$AV$540=AI$213,'11.销售及回款表'!$E109:$AV109,0)),'11.销售及回款表'!AI109)</f>
        <v>0</v>
      </c>
      <c r="AJ131" s="277">
        <f t="array" ref="AJ131">IF(SUM($E214:AI214)&lt;1,SUM(IF('11.销售及回款表'!$E$497:$AV$540=AJ$213,'11.销售及回款表'!$E109:$AV109,0)),'11.销售及回款表'!AJ109)</f>
        <v>0</v>
      </c>
      <c r="AK131" s="275">
        <f t="array" ref="AK131">IF(SUM($E214:AJ214)&lt;1,SUM(IF('11.销售及回款表'!$E$497:$AV$540=AK$213,'11.销售及回款表'!$E109:$AV109,0)),'11.销售及回款表'!AK109)</f>
        <v>0</v>
      </c>
      <c r="AL131" s="276">
        <f t="array" ref="AL131">IF(SUM($E214:AK214)&lt;1,SUM(IF('11.销售及回款表'!$E$497:$AV$540=AL$213,'11.销售及回款表'!$E109:$AV109,0)),'11.销售及回款表'!AL109)</f>
        <v>0</v>
      </c>
      <c r="AM131" s="276">
        <f t="array" ref="AM131">IF(SUM($E214:AL214)&lt;1,SUM(IF('11.销售及回款表'!$E$497:$AV$540=AM$213,'11.销售及回款表'!$E109:$AV109,0)),'11.销售及回款表'!AM109)</f>
        <v>0</v>
      </c>
      <c r="AN131" s="277">
        <f t="array" ref="AN131">IF(SUM($E214:AM214)&lt;1,SUM(IF('11.销售及回款表'!$E$497:$AV$540=AN$213,'11.销售及回款表'!$E109:$AV109,0)),'11.销售及回款表'!AN109)</f>
        <v>0</v>
      </c>
      <c r="AO131" s="275">
        <f t="array" ref="AO131">IF(SUM($E214:AN214)&lt;1,SUM(IF('11.销售及回款表'!$E$497:$AV$540=AO$213,'11.销售及回款表'!$E109:$AV109,0)),'11.销售及回款表'!AO109)</f>
        <v>0</v>
      </c>
      <c r="AP131" s="276">
        <f t="array" ref="AP131">IF(SUM($E214:AO214)&lt;1,SUM(IF('11.销售及回款表'!$E$497:$AV$540=AP$213,'11.销售及回款表'!$E109:$AV109,0)),'11.销售及回款表'!AP109)</f>
        <v>0</v>
      </c>
      <c r="AQ131" s="276">
        <f t="array" ref="AQ131">IF(SUM($E214:AP214)&lt;1,SUM(IF('11.销售及回款表'!$E$497:$AV$540=AQ$213,'11.销售及回款表'!$E109:$AV109,0)),'11.销售及回款表'!AQ109)</f>
        <v>0</v>
      </c>
      <c r="AR131" s="277">
        <f t="array" ref="AR131">IF(SUM($E214:AQ214)&lt;1,SUM(IF('11.销售及回款表'!$E$497:$AV$540=AR$213,'11.销售及回款表'!$E109:$AV109,0)),'11.销售及回款表'!AR109)</f>
        <v>0</v>
      </c>
      <c r="AS131" s="275">
        <f t="array" ref="AS131">IF(SUM($E214:AR214)&lt;1,SUM(IF('11.销售及回款表'!$E$497:$AV$540=AS$213,'11.销售及回款表'!$E109:$AV109,0)),'11.销售及回款表'!AS109)</f>
        <v>0</v>
      </c>
      <c r="AT131" s="276">
        <f t="array" ref="AT131">IF(SUM($E214:AS214)&lt;1,SUM(IF('11.销售及回款表'!$E$497:$AV$540=AT$213,'11.销售及回款表'!$E109:$AV109,0)),'11.销售及回款表'!AT109)</f>
        <v>0</v>
      </c>
      <c r="AU131" s="276">
        <f t="array" ref="AU131">IF(SUM($E214:AT214)&lt;1,SUM(IF('11.销售及回款表'!$E$497:$AV$540=AU$213,'11.销售及回款表'!$E109:$AV109,0)),'11.销售及回款表'!AU109)</f>
        <v>0</v>
      </c>
      <c r="AV131" s="277">
        <f t="array" ref="AV131">IF(SUM($E214:AU214)&lt;1,SUM(IF('11.销售及回款表'!$E$497:$AV$540=AV$213,'11.销售及回款表'!$E109:$AV109,0)),'11.销售及回款表'!AV109)</f>
        <v>0</v>
      </c>
    </row>
    <row r="132" spans="2:48" s="257" customFormat="1" ht="15.75" customHeight="1" outlineLevel="1">
      <c r="B132" s="1980"/>
      <c r="C132" s="303">
        <f>'8.项目规划指标表'!$B$10</f>
        <v>0</v>
      </c>
      <c r="D132" s="274">
        <f t="shared" si="28"/>
        <v>0</v>
      </c>
      <c r="E132" s="275">
        <f t="array" ref="E132">IF(SUM(D216:$E216)&lt;1,SUM(IF('11.销售及回款表'!$E$497:$AV$540=E$215,'11.销售及回款表'!$E114:$AV114,0)),'11.销售及回款表'!E114)</f>
        <v>0</v>
      </c>
      <c r="F132" s="276">
        <f t="array" ref="F132">IF(SUM(E216:$E216)&lt;1,SUM(IF('11.销售及回款表'!$E$497:$AV$540=F$215,'11.销售及回款表'!$E114:$AV114,0)),'11.销售及回款表'!F114)</f>
        <v>0</v>
      </c>
      <c r="G132" s="276">
        <f t="array" ref="G132">IF(SUM($E216:F216)&lt;1,SUM(IF('11.销售及回款表'!$E$497:$AV$540=G$215,'11.销售及回款表'!$E114:$AV114,0)),'11.销售及回款表'!G114)</f>
        <v>0</v>
      </c>
      <c r="H132" s="277">
        <f t="array" ref="H132">IF(SUM($E216:G216)&lt;1,SUM(IF('11.销售及回款表'!$E$497:$AV$540=H$215,'11.销售及回款表'!$E114:$AV114,0)),'11.销售及回款表'!H114)</f>
        <v>0</v>
      </c>
      <c r="I132" s="275">
        <f t="array" ref="I132">IF(SUM($E216:H216)&lt;1,SUM(IF('11.销售及回款表'!$E$497:$AV$540=I$215,'11.销售及回款表'!$E114:$AV114,0)),'11.销售及回款表'!I114)</f>
        <v>0</v>
      </c>
      <c r="J132" s="276">
        <f t="array" ref="J132">IF(SUM($E216:I216)&lt;1,SUM(IF('11.销售及回款表'!$E$497:$AV$540=J$215,'11.销售及回款表'!$E114:$AV114,0)),'11.销售及回款表'!J114)</f>
        <v>0</v>
      </c>
      <c r="K132" s="276">
        <f t="array" ref="K132">IF(SUM($E216:J216)&lt;1,SUM(IF('11.销售及回款表'!$E$497:$AV$540=K$215,'11.销售及回款表'!$E114:$AV114,0)),'11.销售及回款表'!K114)</f>
        <v>0</v>
      </c>
      <c r="L132" s="277">
        <f t="array" ref="L132">IF(SUM($E216:K216)&lt;1,SUM(IF('11.销售及回款表'!$E$497:$AV$540=L$215,'11.销售及回款表'!$E114:$AV114,0)),'11.销售及回款表'!L114)</f>
        <v>0</v>
      </c>
      <c r="M132" s="275">
        <f t="array" ref="M132">IF(SUM($E216:L216)&lt;1,SUM(IF('11.销售及回款表'!$E$497:$AV$540=M$215,'11.销售及回款表'!$E114:$AV114,0)),'11.销售及回款表'!M114)</f>
        <v>0</v>
      </c>
      <c r="N132" s="276">
        <f t="array" ref="N132">IF(SUM($E216:M216)&lt;1,SUM(IF('11.销售及回款表'!$E$497:$AV$540=N$215,'11.销售及回款表'!$E114:$AV114,0)),'11.销售及回款表'!N114)</f>
        <v>0</v>
      </c>
      <c r="O132" s="276">
        <f t="array" ref="O132">IF(SUM($E216:N216)&lt;1,SUM(IF('11.销售及回款表'!$E$497:$AV$540=O$215,'11.销售及回款表'!$E114:$AV114,0)),'11.销售及回款表'!O114)</f>
        <v>0</v>
      </c>
      <c r="P132" s="277">
        <f t="array" ref="P132">IF(SUM($E216:O216)&lt;1,SUM(IF('11.销售及回款表'!$E$497:$AV$540=P$215,'11.销售及回款表'!$E114:$AV114,0)),'11.销售及回款表'!P114)</f>
        <v>0</v>
      </c>
      <c r="Q132" s="275">
        <f t="array" ref="Q132">IF(SUM($E216:P216)&lt;1,SUM(IF('11.销售及回款表'!$E$497:$AV$540=Q$215,'11.销售及回款表'!$E114:$AV114,0)),'11.销售及回款表'!Q114)</f>
        <v>0</v>
      </c>
      <c r="R132" s="276">
        <f t="array" ref="R132">IF(SUM($E216:Q216)&lt;1,SUM(IF('11.销售及回款表'!$E$497:$AV$540=R$215,'11.销售及回款表'!$E114:$AV114,0)),'11.销售及回款表'!R114)</f>
        <v>0</v>
      </c>
      <c r="S132" s="276">
        <f t="array" ref="S132">IF(SUM($E216:R216)&lt;1,SUM(IF('11.销售及回款表'!$E$497:$AV$540=S$215,'11.销售及回款表'!$E114:$AV114,0)),'11.销售及回款表'!S114)</f>
        <v>0</v>
      </c>
      <c r="T132" s="277">
        <f t="array" ref="T132">IF(SUM($E216:S216)&lt;1,SUM(IF('11.销售及回款表'!$E$497:$AV$540=T$215,'11.销售及回款表'!$E114:$AV114,0)),'11.销售及回款表'!T114)</f>
        <v>0</v>
      </c>
      <c r="U132" s="275">
        <f t="array" ref="U132">IF(SUM($E216:T216)&lt;1,SUM(IF('11.销售及回款表'!$E$497:$AV$540=U$215,'11.销售及回款表'!$E114:$AV114,0)),'11.销售及回款表'!U114)</f>
        <v>0</v>
      </c>
      <c r="V132" s="276">
        <f t="array" ref="V132">IF(SUM($E216:U216)&lt;1,SUM(IF('11.销售及回款表'!$E$497:$AV$540=V$215,'11.销售及回款表'!$E114:$AV114,0)),'11.销售及回款表'!V114)</f>
        <v>0</v>
      </c>
      <c r="W132" s="276">
        <f t="array" ref="W132">IF(SUM($E216:V216)&lt;1,SUM(IF('11.销售及回款表'!$E$497:$AV$540=W$215,'11.销售及回款表'!$E114:$AV114,0)),'11.销售及回款表'!W114)</f>
        <v>0</v>
      </c>
      <c r="X132" s="277">
        <f t="array" ref="X132">IF(SUM($E216:W216)&lt;1,SUM(IF('11.销售及回款表'!$E$497:$AV$540=X$215,'11.销售及回款表'!$E114:$AV114,0)),'11.销售及回款表'!X114)</f>
        <v>0</v>
      </c>
      <c r="Y132" s="275">
        <f t="array" ref="Y132">IF(SUM($E216:X216)&lt;1,SUM(IF('11.销售及回款表'!$E$497:$AV$540=Y$215,'11.销售及回款表'!$E114:$AV114,0)),'11.销售及回款表'!Y114)</f>
        <v>0</v>
      </c>
      <c r="Z132" s="276">
        <f t="array" ref="Z132">IF(SUM($E216:Y216)&lt;1,SUM(IF('11.销售及回款表'!$E$497:$AV$540=Z$215,'11.销售及回款表'!$E114:$AV114,0)),'11.销售及回款表'!Z114)</f>
        <v>0</v>
      </c>
      <c r="AA132" s="276">
        <f t="array" ref="AA132">IF(SUM($E216:Z216)&lt;1,SUM(IF('11.销售及回款表'!$E$497:$AV$540=AA$215,'11.销售及回款表'!$E114:$AV114,0)),'11.销售及回款表'!AA114)</f>
        <v>0</v>
      </c>
      <c r="AB132" s="277">
        <f t="array" ref="AB132">IF(SUM($E216:AA216)&lt;1,SUM(IF('11.销售及回款表'!$E$497:$AV$540=AB$215,'11.销售及回款表'!$E114:$AV114,0)),'11.销售及回款表'!AB114)</f>
        <v>0</v>
      </c>
      <c r="AC132" s="275">
        <f t="array" ref="AC132">IF(SUM($E216:AB216)&lt;1,SUM(IF('11.销售及回款表'!$E$497:$AV$540=AC$215,'11.销售及回款表'!$E114:$AV114,0)),'11.销售及回款表'!AC114)</f>
        <v>0</v>
      </c>
      <c r="AD132" s="276">
        <f t="array" ref="AD132">IF(SUM($E216:AC216)&lt;1,SUM(IF('11.销售及回款表'!$E$497:$AV$540=AD$215,'11.销售及回款表'!$E114:$AV114,0)),'11.销售及回款表'!AD114)</f>
        <v>0</v>
      </c>
      <c r="AE132" s="276">
        <f t="array" ref="AE132">IF(SUM($E216:AD216)&lt;1,SUM(IF('11.销售及回款表'!$E$497:$AV$540=AE$215,'11.销售及回款表'!$E114:$AV114,0)),'11.销售及回款表'!AE114)</f>
        <v>0</v>
      </c>
      <c r="AF132" s="277">
        <f t="array" ref="AF132">IF(SUM($E216:AE216)&lt;1,SUM(IF('11.销售及回款表'!$E$497:$AV$540=AF$215,'11.销售及回款表'!$E114:$AV114,0)),'11.销售及回款表'!AF114)</f>
        <v>0</v>
      </c>
      <c r="AG132" s="275">
        <f t="array" ref="AG132">IF(SUM($E216:AF216)&lt;1,SUM(IF('11.销售及回款表'!$E$497:$AV$540=AG$215,'11.销售及回款表'!$E114:$AV114,0)),'11.销售及回款表'!AG114)</f>
        <v>0</v>
      </c>
      <c r="AH132" s="276">
        <f t="array" ref="AH132">IF(SUM($E216:AG216)&lt;1,SUM(IF('11.销售及回款表'!$E$497:$AV$540=AH$215,'11.销售及回款表'!$E114:$AV114,0)),'11.销售及回款表'!AH114)</f>
        <v>0</v>
      </c>
      <c r="AI132" s="276">
        <f t="array" ref="AI132">IF(SUM($E216:AH216)&lt;1,SUM(IF('11.销售及回款表'!$E$497:$AV$540=AI$215,'11.销售及回款表'!$E114:$AV114,0)),'11.销售及回款表'!AI114)</f>
        <v>0</v>
      </c>
      <c r="AJ132" s="277">
        <f t="array" ref="AJ132">IF(SUM($E216:AI216)&lt;1,SUM(IF('11.销售及回款表'!$E$497:$AV$540=AJ$215,'11.销售及回款表'!$E114:$AV114,0)),'11.销售及回款表'!AJ114)</f>
        <v>0</v>
      </c>
      <c r="AK132" s="275">
        <f t="array" ref="AK132">IF(SUM($E216:AJ216)&lt;1,SUM(IF('11.销售及回款表'!$E$497:$AV$540=AK$215,'11.销售及回款表'!$E114:$AV114,0)),'11.销售及回款表'!AK114)</f>
        <v>0</v>
      </c>
      <c r="AL132" s="276">
        <f t="array" ref="AL132">IF(SUM($E216:AK216)&lt;1,SUM(IF('11.销售及回款表'!$E$497:$AV$540=AL$215,'11.销售及回款表'!$E114:$AV114,0)),'11.销售及回款表'!AL114)</f>
        <v>0</v>
      </c>
      <c r="AM132" s="276">
        <f t="array" ref="AM132">IF(SUM($E216:AL216)&lt;1,SUM(IF('11.销售及回款表'!$E$497:$AV$540=AM$215,'11.销售及回款表'!$E114:$AV114,0)),'11.销售及回款表'!AM114)</f>
        <v>0</v>
      </c>
      <c r="AN132" s="277">
        <f t="array" ref="AN132">IF(SUM($E216:AM216)&lt;1,SUM(IF('11.销售及回款表'!$E$497:$AV$540=AN$215,'11.销售及回款表'!$E114:$AV114,0)),'11.销售及回款表'!AN114)</f>
        <v>0</v>
      </c>
      <c r="AO132" s="275">
        <f t="array" ref="AO132">IF(SUM($E216:AN216)&lt;1,SUM(IF('11.销售及回款表'!$E$497:$AV$540=AO$215,'11.销售及回款表'!$E114:$AV114,0)),'11.销售及回款表'!AO114)</f>
        <v>0</v>
      </c>
      <c r="AP132" s="276">
        <f t="array" ref="AP132">IF(SUM($E216:AO216)&lt;1,SUM(IF('11.销售及回款表'!$E$497:$AV$540=AP$215,'11.销售及回款表'!$E114:$AV114,0)),'11.销售及回款表'!AP114)</f>
        <v>0</v>
      </c>
      <c r="AQ132" s="276">
        <f t="array" ref="AQ132">IF(SUM($E216:AP216)&lt;1,SUM(IF('11.销售及回款表'!$E$497:$AV$540=AQ$215,'11.销售及回款表'!$E114:$AV114,0)),'11.销售及回款表'!AQ114)</f>
        <v>0</v>
      </c>
      <c r="AR132" s="277">
        <f t="array" ref="AR132">IF(SUM($E216:AQ216)&lt;1,SUM(IF('11.销售及回款表'!$E$497:$AV$540=AR$215,'11.销售及回款表'!$E114:$AV114,0)),'11.销售及回款表'!AR114)</f>
        <v>0</v>
      </c>
      <c r="AS132" s="275">
        <f t="array" ref="AS132">IF(SUM($E216:AR216)&lt;1,SUM(IF('11.销售及回款表'!$E$497:$AV$540=AS$215,'11.销售及回款表'!$E114:$AV114,0)),'11.销售及回款表'!AS114)</f>
        <v>0</v>
      </c>
      <c r="AT132" s="276">
        <f t="array" ref="AT132">IF(SUM($E216:AS216)&lt;1,SUM(IF('11.销售及回款表'!$E$497:$AV$540=AT$215,'11.销售及回款表'!$E114:$AV114,0)),'11.销售及回款表'!AT114)</f>
        <v>0</v>
      </c>
      <c r="AU132" s="276">
        <f t="array" ref="AU132">IF(SUM($E216:AT216)&lt;1,SUM(IF('11.销售及回款表'!$E$497:$AV$540=AU$215,'11.销售及回款表'!$E114:$AV114,0)),'11.销售及回款表'!AU114)</f>
        <v>0</v>
      </c>
      <c r="AV132" s="277">
        <f t="array" ref="AV132">IF(SUM($E216:AU216)&lt;1,SUM(IF('11.销售及回款表'!$E$497:$AV$540=AV$215,'11.销售及回款表'!$E114:$AV114,0)),'11.销售及回款表'!AV114)</f>
        <v>0</v>
      </c>
    </row>
    <row r="133" spans="2:48" s="257" customFormat="1" ht="15.75" customHeight="1" outlineLevel="1">
      <c r="B133" s="1980"/>
      <c r="C133" s="303">
        <f>'8.项目规划指标表'!$B$11</f>
        <v>0</v>
      </c>
      <c r="D133" s="274">
        <f t="shared" si="28"/>
        <v>0</v>
      </c>
      <c r="E133" s="275">
        <f t="array" ref="E133">IF(SUM(D218:$E218)&lt;1,SUM(IF('11.销售及回款表'!$E$497:$AV$540=E$217,'11.销售及回款表'!$E119:$AV119,0)),'11.销售及回款表'!E119)</f>
        <v>0</v>
      </c>
      <c r="F133" s="276">
        <f t="array" ref="F133">IF(SUM(E218:$E218)&lt;1,SUM(IF('11.销售及回款表'!$E$497:$AV$540=F$217,'11.销售及回款表'!$E119:$AV119,0)),'11.销售及回款表'!F119)</f>
        <v>0</v>
      </c>
      <c r="G133" s="276">
        <f t="array" ref="G133">IF(SUM($E218:F218)&lt;1,SUM(IF('11.销售及回款表'!$E$497:$AV$540=G$217,'11.销售及回款表'!$E119:$AV119,0)),'11.销售及回款表'!G119)</f>
        <v>0</v>
      </c>
      <c r="H133" s="277">
        <f t="array" ref="H133">IF(SUM($E218:G218)&lt;1,SUM(IF('11.销售及回款表'!$E$497:$AV$540=H$217,'11.销售及回款表'!$E119:$AV119,0)),'11.销售及回款表'!H119)</f>
        <v>0</v>
      </c>
      <c r="I133" s="275">
        <f t="array" ref="I133">IF(SUM($E218:H218)&lt;1,SUM(IF('11.销售及回款表'!$E$497:$AV$540=I$217,'11.销售及回款表'!$E119:$AV119,0)),'11.销售及回款表'!I119)</f>
        <v>0</v>
      </c>
      <c r="J133" s="276">
        <f t="array" ref="J133">IF(SUM($E218:I218)&lt;1,SUM(IF('11.销售及回款表'!$E$497:$AV$540=J$217,'11.销售及回款表'!$E119:$AV119,0)),'11.销售及回款表'!J119)</f>
        <v>0</v>
      </c>
      <c r="K133" s="276">
        <f t="array" ref="K133">IF(SUM($E218:J218)&lt;1,SUM(IF('11.销售及回款表'!$E$497:$AV$540=K$217,'11.销售及回款表'!$E119:$AV119,0)),'11.销售及回款表'!K119)</f>
        <v>0</v>
      </c>
      <c r="L133" s="277">
        <f t="array" ref="L133">IF(SUM($E218:K218)&lt;1,SUM(IF('11.销售及回款表'!$E$497:$AV$540=L$217,'11.销售及回款表'!$E119:$AV119,0)),'11.销售及回款表'!L119)</f>
        <v>0</v>
      </c>
      <c r="M133" s="275">
        <f t="array" ref="M133">IF(SUM($E218:L218)&lt;1,SUM(IF('11.销售及回款表'!$E$497:$AV$540=M$217,'11.销售及回款表'!$E119:$AV119,0)),'11.销售及回款表'!M119)</f>
        <v>0</v>
      </c>
      <c r="N133" s="276">
        <f t="array" ref="N133">IF(SUM($E218:M218)&lt;1,SUM(IF('11.销售及回款表'!$E$497:$AV$540=N$217,'11.销售及回款表'!$E119:$AV119,0)),'11.销售及回款表'!N119)</f>
        <v>0</v>
      </c>
      <c r="O133" s="276">
        <f t="array" ref="O133">IF(SUM($E218:N218)&lt;1,SUM(IF('11.销售及回款表'!$E$497:$AV$540=O$217,'11.销售及回款表'!$E119:$AV119,0)),'11.销售及回款表'!O119)</f>
        <v>0</v>
      </c>
      <c r="P133" s="277">
        <f t="array" ref="P133">IF(SUM($E218:O218)&lt;1,SUM(IF('11.销售及回款表'!$E$497:$AV$540=P$217,'11.销售及回款表'!$E119:$AV119,0)),'11.销售及回款表'!P119)</f>
        <v>0</v>
      </c>
      <c r="Q133" s="275">
        <f t="array" ref="Q133">IF(SUM($E218:P218)&lt;1,SUM(IF('11.销售及回款表'!$E$497:$AV$540=Q$217,'11.销售及回款表'!$E119:$AV119,0)),'11.销售及回款表'!Q119)</f>
        <v>0</v>
      </c>
      <c r="R133" s="276">
        <f t="array" ref="R133">IF(SUM($E218:Q218)&lt;1,SUM(IF('11.销售及回款表'!$E$497:$AV$540=R$217,'11.销售及回款表'!$E119:$AV119,0)),'11.销售及回款表'!R119)</f>
        <v>0</v>
      </c>
      <c r="S133" s="276">
        <f t="array" ref="S133">IF(SUM($E218:R218)&lt;1,SUM(IF('11.销售及回款表'!$E$497:$AV$540=S$217,'11.销售及回款表'!$E119:$AV119,0)),'11.销售及回款表'!S119)</f>
        <v>0</v>
      </c>
      <c r="T133" s="277">
        <f t="array" ref="T133">IF(SUM($E218:S218)&lt;1,SUM(IF('11.销售及回款表'!$E$497:$AV$540=T$217,'11.销售及回款表'!$E119:$AV119,0)),'11.销售及回款表'!T119)</f>
        <v>0</v>
      </c>
      <c r="U133" s="275">
        <f t="array" ref="U133">IF(SUM($E218:T218)&lt;1,SUM(IF('11.销售及回款表'!$E$497:$AV$540=U$217,'11.销售及回款表'!$E119:$AV119,0)),'11.销售及回款表'!U119)</f>
        <v>0</v>
      </c>
      <c r="V133" s="276">
        <f t="array" ref="V133">IF(SUM($E218:U218)&lt;1,SUM(IF('11.销售及回款表'!$E$497:$AV$540=V$217,'11.销售及回款表'!$E119:$AV119,0)),'11.销售及回款表'!V119)</f>
        <v>0</v>
      </c>
      <c r="W133" s="276">
        <f t="array" ref="W133">IF(SUM($E218:V218)&lt;1,SUM(IF('11.销售及回款表'!$E$497:$AV$540=W$217,'11.销售及回款表'!$E119:$AV119,0)),'11.销售及回款表'!W119)</f>
        <v>0</v>
      </c>
      <c r="X133" s="277">
        <f t="array" ref="X133">IF(SUM($E218:W218)&lt;1,SUM(IF('11.销售及回款表'!$E$497:$AV$540=X$217,'11.销售及回款表'!$E119:$AV119,0)),'11.销售及回款表'!X119)</f>
        <v>0</v>
      </c>
      <c r="Y133" s="275">
        <f t="array" ref="Y133">IF(SUM($E218:X218)&lt;1,SUM(IF('11.销售及回款表'!$E$497:$AV$540=Y$217,'11.销售及回款表'!$E119:$AV119,0)),'11.销售及回款表'!Y119)</f>
        <v>0</v>
      </c>
      <c r="Z133" s="276">
        <f t="array" ref="Z133">IF(SUM($E218:Y218)&lt;1,SUM(IF('11.销售及回款表'!$E$497:$AV$540=Z$217,'11.销售及回款表'!$E119:$AV119,0)),'11.销售及回款表'!Z119)</f>
        <v>0</v>
      </c>
      <c r="AA133" s="276">
        <f t="array" ref="AA133">IF(SUM($E218:Z218)&lt;1,SUM(IF('11.销售及回款表'!$E$497:$AV$540=AA$217,'11.销售及回款表'!$E119:$AV119,0)),'11.销售及回款表'!AA119)</f>
        <v>0</v>
      </c>
      <c r="AB133" s="277">
        <f t="array" ref="AB133">IF(SUM($E218:AA218)&lt;1,SUM(IF('11.销售及回款表'!$E$497:$AV$540=AB$217,'11.销售及回款表'!$E119:$AV119,0)),'11.销售及回款表'!AB119)</f>
        <v>0</v>
      </c>
      <c r="AC133" s="275">
        <f t="array" ref="AC133">IF(SUM($E218:AB218)&lt;1,SUM(IF('11.销售及回款表'!$E$497:$AV$540=AC$217,'11.销售及回款表'!$E119:$AV119,0)),'11.销售及回款表'!AC119)</f>
        <v>0</v>
      </c>
      <c r="AD133" s="276">
        <f t="array" ref="AD133">IF(SUM($E218:AC218)&lt;1,SUM(IF('11.销售及回款表'!$E$497:$AV$540=AD$217,'11.销售及回款表'!$E119:$AV119,0)),'11.销售及回款表'!AD119)</f>
        <v>0</v>
      </c>
      <c r="AE133" s="276">
        <f t="array" ref="AE133">IF(SUM($E218:AD218)&lt;1,SUM(IF('11.销售及回款表'!$E$497:$AV$540=AE$217,'11.销售及回款表'!$E119:$AV119,0)),'11.销售及回款表'!AE119)</f>
        <v>0</v>
      </c>
      <c r="AF133" s="277">
        <f t="array" ref="AF133">IF(SUM($E218:AE218)&lt;1,SUM(IF('11.销售及回款表'!$E$497:$AV$540=AF$217,'11.销售及回款表'!$E119:$AV119,0)),'11.销售及回款表'!AF119)</f>
        <v>0</v>
      </c>
      <c r="AG133" s="275">
        <f t="array" ref="AG133">IF(SUM($E218:AF218)&lt;1,SUM(IF('11.销售及回款表'!$E$497:$AV$540=AG$217,'11.销售及回款表'!$E119:$AV119,0)),'11.销售及回款表'!AG119)</f>
        <v>0</v>
      </c>
      <c r="AH133" s="276">
        <f t="array" ref="AH133">IF(SUM($E218:AG218)&lt;1,SUM(IF('11.销售及回款表'!$E$497:$AV$540=AH$217,'11.销售及回款表'!$E119:$AV119,0)),'11.销售及回款表'!AH119)</f>
        <v>0</v>
      </c>
      <c r="AI133" s="276">
        <f t="array" ref="AI133">IF(SUM($E218:AH218)&lt;1,SUM(IF('11.销售及回款表'!$E$497:$AV$540=AI$217,'11.销售及回款表'!$E119:$AV119,0)),'11.销售及回款表'!AI119)</f>
        <v>0</v>
      </c>
      <c r="AJ133" s="277">
        <f t="array" ref="AJ133">IF(SUM($E218:AI218)&lt;1,SUM(IF('11.销售及回款表'!$E$497:$AV$540=AJ$217,'11.销售及回款表'!$E119:$AV119,0)),'11.销售及回款表'!AJ119)</f>
        <v>0</v>
      </c>
      <c r="AK133" s="275">
        <f t="array" ref="AK133">IF(SUM($E218:AJ218)&lt;1,SUM(IF('11.销售及回款表'!$E$497:$AV$540=AK$217,'11.销售及回款表'!$E119:$AV119,0)),'11.销售及回款表'!AK119)</f>
        <v>0</v>
      </c>
      <c r="AL133" s="276">
        <f t="array" ref="AL133">IF(SUM($E218:AK218)&lt;1,SUM(IF('11.销售及回款表'!$E$497:$AV$540=AL$217,'11.销售及回款表'!$E119:$AV119,0)),'11.销售及回款表'!AL119)</f>
        <v>0</v>
      </c>
      <c r="AM133" s="276">
        <f t="array" ref="AM133">IF(SUM($E218:AL218)&lt;1,SUM(IF('11.销售及回款表'!$E$497:$AV$540=AM$217,'11.销售及回款表'!$E119:$AV119,0)),'11.销售及回款表'!AM119)</f>
        <v>0</v>
      </c>
      <c r="AN133" s="277">
        <f t="array" ref="AN133">IF(SUM($E218:AM218)&lt;1,SUM(IF('11.销售及回款表'!$E$497:$AV$540=AN$217,'11.销售及回款表'!$E119:$AV119,0)),'11.销售及回款表'!AN119)</f>
        <v>0</v>
      </c>
      <c r="AO133" s="275">
        <f t="array" ref="AO133">IF(SUM($E218:AN218)&lt;1,SUM(IF('11.销售及回款表'!$E$497:$AV$540=AO$217,'11.销售及回款表'!$E119:$AV119,0)),'11.销售及回款表'!AO119)</f>
        <v>0</v>
      </c>
      <c r="AP133" s="276">
        <f t="array" ref="AP133">IF(SUM($E218:AO218)&lt;1,SUM(IF('11.销售及回款表'!$E$497:$AV$540=AP$217,'11.销售及回款表'!$E119:$AV119,0)),'11.销售及回款表'!AP119)</f>
        <v>0</v>
      </c>
      <c r="AQ133" s="276">
        <f t="array" ref="AQ133">IF(SUM($E218:AP218)&lt;1,SUM(IF('11.销售及回款表'!$E$497:$AV$540=AQ$217,'11.销售及回款表'!$E119:$AV119,0)),'11.销售及回款表'!AQ119)</f>
        <v>0</v>
      </c>
      <c r="AR133" s="277">
        <f t="array" ref="AR133">IF(SUM($E218:AQ218)&lt;1,SUM(IF('11.销售及回款表'!$E$497:$AV$540=AR$217,'11.销售及回款表'!$E119:$AV119,0)),'11.销售及回款表'!AR119)</f>
        <v>0</v>
      </c>
      <c r="AS133" s="275">
        <f t="array" ref="AS133">IF(SUM($E218:AR218)&lt;1,SUM(IF('11.销售及回款表'!$E$497:$AV$540=AS$217,'11.销售及回款表'!$E119:$AV119,0)),'11.销售及回款表'!AS119)</f>
        <v>0</v>
      </c>
      <c r="AT133" s="276">
        <f t="array" ref="AT133">IF(SUM($E218:AS218)&lt;1,SUM(IF('11.销售及回款表'!$E$497:$AV$540=AT$217,'11.销售及回款表'!$E119:$AV119,0)),'11.销售及回款表'!AT119)</f>
        <v>0</v>
      </c>
      <c r="AU133" s="276">
        <f t="array" ref="AU133">IF(SUM($E218:AT218)&lt;1,SUM(IF('11.销售及回款表'!$E$497:$AV$540=AU$217,'11.销售及回款表'!$E119:$AV119,0)),'11.销售及回款表'!AU119)</f>
        <v>0</v>
      </c>
      <c r="AV133" s="277">
        <f t="array" ref="AV133">IF(SUM($E218:AU218)&lt;1,SUM(IF('11.销售及回款表'!$E$497:$AV$540=AV$217,'11.销售及回款表'!$E119:$AV119,0)),'11.销售及回款表'!AV119)</f>
        <v>0</v>
      </c>
    </row>
    <row r="134" spans="2:48" s="257" customFormat="1" ht="15.75" customHeight="1" outlineLevel="1">
      <c r="B134" s="1980"/>
      <c r="C134" s="303">
        <f>'8.项目规划指标表'!$B$12</f>
        <v>0</v>
      </c>
      <c r="D134" s="274">
        <f t="shared" si="28"/>
        <v>0</v>
      </c>
      <c r="E134" s="275">
        <f t="array" ref="E134">IF(SUM(D220:$E220)&lt;1,SUM(IF('11.销售及回款表'!$E$497:$AV$540=E$219,'11.销售及回款表'!$E124:$AV124,0)),'11.销售及回款表'!E124)</f>
        <v>0</v>
      </c>
      <c r="F134" s="276">
        <f t="array" ref="F134">IF(SUM(E220:$E220)&lt;1,SUM(IF('11.销售及回款表'!$E$497:$AV$540=F$219,'11.销售及回款表'!$E124:$AV124,0)),'11.销售及回款表'!F124)</f>
        <v>0</v>
      </c>
      <c r="G134" s="276">
        <f t="array" ref="G134">IF(SUM($E220:F220)&lt;1,SUM(IF('11.销售及回款表'!$E$497:$AV$540=G$219,'11.销售及回款表'!$E124:$AV124,0)),'11.销售及回款表'!G124)</f>
        <v>0</v>
      </c>
      <c r="H134" s="277">
        <f t="array" ref="H134">IF(SUM($E220:G220)&lt;1,SUM(IF('11.销售及回款表'!$E$497:$AV$540=H$219,'11.销售及回款表'!$E124:$AV124,0)),'11.销售及回款表'!H124)</f>
        <v>0</v>
      </c>
      <c r="I134" s="275">
        <f t="array" ref="I134">IF(SUM($E220:H220)&lt;1,SUM(IF('11.销售及回款表'!$E$497:$AV$540=I$219,'11.销售及回款表'!$E124:$AV124,0)),'11.销售及回款表'!I124)</f>
        <v>0</v>
      </c>
      <c r="J134" s="276">
        <f t="array" ref="J134">IF(SUM($E220:I220)&lt;1,SUM(IF('11.销售及回款表'!$E$497:$AV$540=J$219,'11.销售及回款表'!$E124:$AV124,0)),'11.销售及回款表'!J124)</f>
        <v>0</v>
      </c>
      <c r="K134" s="276">
        <f t="array" ref="K134">IF(SUM($E220:J220)&lt;1,SUM(IF('11.销售及回款表'!$E$497:$AV$540=K$219,'11.销售及回款表'!$E124:$AV124,0)),'11.销售及回款表'!K124)</f>
        <v>0</v>
      </c>
      <c r="L134" s="277">
        <f t="array" ref="L134">IF(SUM($E220:K220)&lt;1,SUM(IF('11.销售及回款表'!$E$497:$AV$540=L$219,'11.销售及回款表'!$E124:$AV124,0)),'11.销售及回款表'!L124)</f>
        <v>0</v>
      </c>
      <c r="M134" s="275">
        <f t="array" ref="M134">IF(SUM($E220:L220)&lt;1,SUM(IF('11.销售及回款表'!$E$497:$AV$540=M$219,'11.销售及回款表'!$E124:$AV124,0)),'11.销售及回款表'!M124)</f>
        <v>0</v>
      </c>
      <c r="N134" s="276">
        <f t="array" ref="N134">IF(SUM($E220:M220)&lt;1,SUM(IF('11.销售及回款表'!$E$497:$AV$540=N$219,'11.销售及回款表'!$E124:$AV124,0)),'11.销售及回款表'!N124)</f>
        <v>0</v>
      </c>
      <c r="O134" s="276">
        <f t="array" ref="O134">IF(SUM($E220:N220)&lt;1,SUM(IF('11.销售及回款表'!$E$497:$AV$540=O$219,'11.销售及回款表'!$E124:$AV124,0)),'11.销售及回款表'!O124)</f>
        <v>0</v>
      </c>
      <c r="P134" s="277">
        <f t="array" ref="P134">IF(SUM($E220:O220)&lt;1,SUM(IF('11.销售及回款表'!$E$497:$AV$540=P$219,'11.销售及回款表'!$E124:$AV124,0)),'11.销售及回款表'!P124)</f>
        <v>0</v>
      </c>
      <c r="Q134" s="275">
        <f t="array" ref="Q134">IF(SUM($E220:P220)&lt;1,SUM(IF('11.销售及回款表'!$E$497:$AV$540=Q$219,'11.销售及回款表'!$E124:$AV124,0)),'11.销售及回款表'!Q124)</f>
        <v>0</v>
      </c>
      <c r="R134" s="276">
        <f t="array" ref="R134">IF(SUM($E220:Q220)&lt;1,SUM(IF('11.销售及回款表'!$E$497:$AV$540=R$219,'11.销售及回款表'!$E124:$AV124,0)),'11.销售及回款表'!R124)</f>
        <v>0</v>
      </c>
      <c r="S134" s="276">
        <f t="array" ref="S134">IF(SUM($E220:R220)&lt;1,SUM(IF('11.销售及回款表'!$E$497:$AV$540=S$219,'11.销售及回款表'!$E124:$AV124,0)),'11.销售及回款表'!S124)</f>
        <v>0</v>
      </c>
      <c r="T134" s="277">
        <f t="array" ref="T134">IF(SUM($E220:S220)&lt;1,SUM(IF('11.销售及回款表'!$E$497:$AV$540=T$219,'11.销售及回款表'!$E124:$AV124,0)),'11.销售及回款表'!T124)</f>
        <v>0</v>
      </c>
      <c r="U134" s="275">
        <f t="array" ref="U134">IF(SUM($E220:T220)&lt;1,SUM(IF('11.销售及回款表'!$E$497:$AV$540=U$219,'11.销售及回款表'!$E124:$AV124,0)),'11.销售及回款表'!U124)</f>
        <v>0</v>
      </c>
      <c r="V134" s="276">
        <f t="array" ref="V134">IF(SUM($E220:U220)&lt;1,SUM(IF('11.销售及回款表'!$E$497:$AV$540=V$219,'11.销售及回款表'!$E124:$AV124,0)),'11.销售及回款表'!V124)</f>
        <v>0</v>
      </c>
      <c r="W134" s="276">
        <f t="array" ref="W134">IF(SUM($E220:V220)&lt;1,SUM(IF('11.销售及回款表'!$E$497:$AV$540=W$219,'11.销售及回款表'!$E124:$AV124,0)),'11.销售及回款表'!W124)</f>
        <v>0</v>
      </c>
      <c r="X134" s="277">
        <f t="array" ref="X134">IF(SUM($E220:W220)&lt;1,SUM(IF('11.销售及回款表'!$E$497:$AV$540=X$219,'11.销售及回款表'!$E124:$AV124,0)),'11.销售及回款表'!X124)</f>
        <v>0</v>
      </c>
      <c r="Y134" s="275">
        <f t="array" ref="Y134">IF(SUM($E220:X220)&lt;1,SUM(IF('11.销售及回款表'!$E$497:$AV$540=Y$219,'11.销售及回款表'!$E124:$AV124,0)),'11.销售及回款表'!Y124)</f>
        <v>0</v>
      </c>
      <c r="Z134" s="276">
        <f t="array" ref="Z134">IF(SUM($E220:Y220)&lt;1,SUM(IF('11.销售及回款表'!$E$497:$AV$540=Z$219,'11.销售及回款表'!$E124:$AV124,0)),'11.销售及回款表'!Z124)</f>
        <v>0</v>
      </c>
      <c r="AA134" s="276">
        <f t="array" ref="AA134">IF(SUM($E220:Z220)&lt;1,SUM(IF('11.销售及回款表'!$E$497:$AV$540=AA$219,'11.销售及回款表'!$E124:$AV124,0)),'11.销售及回款表'!AA124)</f>
        <v>0</v>
      </c>
      <c r="AB134" s="277">
        <f t="array" ref="AB134">IF(SUM($E220:AA220)&lt;1,SUM(IF('11.销售及回款表'!$E$497:$AV$540=AB$219,'11.销售及回款表'!$E124:$AV124,0)),'11.销售及回款表'!AB124)</f>
        <v>0</v>
      </c>
      <c r="AC134" s="275">
        <f t="array" ref="AC134">IF(SUM($E220:AB220)&lt;1,SUM(IF('11.销售及回款表'!$E$497:$AV$540=AC$219,'11.销售及回款表'!$E124:$AV124,0)),'11.销售及回款表'!AC124)</f>
        <v>0</v>
      </c>
      <c r="AD134" s="276">
        <f t="array" ref="AD134">IF(SUM($E220:AC220)&lt;1,SUM(IF('11.销售及回款表'!$E$497:$AV$540=AD$219,'11.销售及回款表'!$E124:$AV124,0)),'11.销售及回款表'!AD124)</f>
        <v>0</v>
      </c>
      <c r="AE134" s="276">
        <f t="array" ref="AE134">IF(SUM($E220:AD220)&lt;1,SUM(IF('11.销售及回款表'!$E$497:$AV$540=AE$219,'11.销售及回款表'!$E124:$AV124,0)),'11.销售及回款表'!AE124)</f>
        <v>0</v>
      </c>
      <c r="AF134" s="277">
        <f t="array" ref="AF134">IF(SUM($E220:AE220)&lt;1,SUM(IF('11.销售及回款表'!$E$497:$AV$540=AF$219,'11.销售及回款表'!$E124:$AV124,0)),'11.销售及回款表'!AF124)</f>
        <v>0</v>
      </c>
      <c r="AG134" s="275">
        <f t="array" ref="AG134">IF(SUM($E220:AF220)&lt;1,SUM(IF('11.销售及回款表'!$E$497:$AV$540=AG$219,'11.销售及回款表'!$E124:$AV124,0)),'11.销售及回款表'!AG124)</f>
        <v>0</v>
      </c>
      <c r="AH134" s="276">
        <f t="array" ref="AH134">IF(SUM($E220:AG220)&lt;1,SUM(IF('11.销售及回款表'!$E$497:$AV$540=AH$219,'11.销售及回款表'!$E124:$AV124,0)),'11.销售及回款表'!AH124)</f>
        <v>0</v>
      </c>
      <c r="AI134" s="276">
        <f t="array" ref="AI134">IF(SUM($E220:AH220)&lt;1,SUM(IF('11.销售及回款表'!$E$497:$AV$540=AI$219,'11.销售及回款表'!$E124:$AV124,0)),'11.销售及回款表'!AI124)</f>
        <v>0</v>
      </c>
      <c r="AJ134" s="277">
        <f t="array" ref="AJ134">IF(SUM($E220:AI220)&lt;1,SUM(IF('11.销售及回款表'!$E$497:$AV$540=AJ$219,'11.销售及回款表'!$E124:$AV124,0)),'11.销售及回款表'!AJ124)</f>
        <v>0</v>
      </c>
      <c r="AK134" s="275">
        <f t="array" ref="AK134">IF(SUM($E220:AJ220)&lt;1,SUM(IF('11.销售及回款表'!$E$497:$AV$540=AK$219,'11.销售及回款表'!$E124:$AV124,0)),'11.销售及回款表'!AK124)</f>
        <v>0</v>
      </c>
      <c r="AL134" s="276">
        <f t="array" ref="AL134">IF(SUM($E220:AK220)&lt;1,SUM(IF('11.销售及回款表'!$E$497:$AV$540=AL$219,'11.销售及回款表'!$E124:$AV124,0)),'11.销售及回款表'!AL124)</f>
        <v>0</v>
      </c>
      <c r="AM134" s="276">
        <f t="array" ref="AM134">IF(SUM($E220:AL220)&lt;1,SUM(IF('11.销售及回款表'!$E$497:$AV$540=AM$219,'11.销售及回款表'!$E124:$AV124,0)),'11.销售及回款表'!AM124)</f>
        <v>0</v>
      </c>
      <c r="AN134" s="277">
        <f t="array" ref="AN134">IF(SUM($E220:AM220)&lt;1,SUM(IF('11.销售及回款表'!$E$497:$AV$540=AN$219,'11.销售及回款表'!$E124:$AV124,0)),'11.销售及回款表'!AN124)</f>
        <v>0</v>
      </c>
      <c r="AO134" s="275">
        <f t="array" ref="AO134">IF(SUM($E220:AN220)&lt;1,SUM(IF('11.销售及回款表'!$E$497:$AV$540=AO$219,'11.销售及回款表'!$E124:$AV124,0)),'11.销售及回款表'!AO124)</f>
        <v>0</v>
      </c>
      <c r="AP134" s="276">
        <f t="array" ref="AP134">IF(SUM($E220:AO220)&lt;1,SUM(IF('11.销售及回款表'!$E$497:$AV$540=AP$219,'11.销售及回款表'!$E124:$AV124,0)),'11.销售及回款表'!AP124)</f>
        <v>0</v>
      </c>
      <c r="AQ134" s="276">
        <f t="array" ref="AQ134">IF(SUM($E220:AP220)&lt;1,SUM(IF('11.销售及回款表'!$E$497:$AV$540=AQ$219,'11.销售及回款表'!$E124:$AV124,0)),'11.销售及回款表'!AQ124)</f>
        <v>0</v>
      </c>
      <c r="AR134" s="277">
        <f t="array" ref="AR134">IF(SUM($E220:AQ220)&lt;1,SUM(IF('11.销售及回款表'!$E$497:$AV$540=AR$219,'11.销售及回款表'!$E124:$AV124,0)),'11.销售及回款表'!AR124)</f>
        <v>0</v>
      </c>
      <c r="AS134" s="275">
        <f t="array" ref="AS134">IF(SUM($E220:AR220)&lt;1,SUM(IF('11.销售及回款表'!$E$497:$AV$540=AS$219,'11.销售及回款表'!$E124:$AV124,0)),'11.销售及回款表'!AS124)</f>
        <v>0</v>
      </c>
      <c r="AT134" s="276">
        <f t="array" ref="AT134">IF(SUM($E220:AS220)&lt;1,SUM(IF('11.销售及回款表'!$E$497:$AV$540=AT$219,'11.销售及回款表'!$E124:$AV124,0)),'11.销售及回款表'!AT124)</f>
        <v>0</v>
      </c>
      <c r="AU134" s="276">
        <f t="array" ref="AU134">IF(SUM($E220:AT220)&lt;1,SUM(IF('11.销售及回款表'!$E$497:$AV$540=AU$219,'11.销售及回款表'!$E124:$AV124,0)),'11.销售及回款表'!AU124)</f>
        <v>0</v>
      </c>
      <c r="AV134" s="277">
        <f t="array" ref="AV134">IF(SUM($E220:AU220)&lt;1,SUM(IF('11.销售及回款表'!$E$497:$AV$540=AV$219,'11.销售及回款表'!$E124:$AV124,0)),'11.销售及回款表'!AV124)</f>
        <v>0</v>
      </c>
    </row>
    <row r="135" spans="2:48" s="257" customFormat="1" ht="15.75" customHeight="1" outlineLevel="1">
      <c r="B135" s="1980"/>
      <c r="C135" s="303">
        <f>'8.项目规划指标表'!$B$13</f>
        <v>0</v>
      </c>
      <c r="D135" s="274">
        <f t="shared" si="28"/>
        <v>0</v>
      </c>
      <c r="E135" s="275">
        <f t="array" ref="E135">IF(SUM(D222:$E222)&lt;1,SUM(IF('11.销售及回款表'!$E$497:$AV$540=E$221,'11.销售及回款表'!$E129:$AV129,0)),'11.销售及回款表'!E129)</f>
        <v>0</v>
      </c>
      <c r="F135" s="276">
        <f t="array" ref="F135">IF(SUM(E222:$E222)&lt;1,SUM(IF('11.销售及回款表'!$E$497:$AV$540=F$221,'11.销售及回款表'!$E129:$AV129,0)),'11.销售及回款表'!F129)</f>
        <v>0</v>
      </c>
      <c r="G135" s="276">
        <f t="array" ref="G135">IF(SUM($E222:F222)&lt;1,SUM(IF('11.销售及回款表'!$E$497:$AV$540=G$221,'11.销售及回款表'!$E129:$AV129,0)),'11.销售及回款表'!G129)</f>
        <v>0</v>
      </c>
      <c r="H135" s="277">
        <f t="array" ref="H135">IF(SUM($E222:G222)&lt;1,SUM(IF('11.销售及回款表'!$E$497:$AV$540=H$221,'11.销售及回款表'!$E129:$AV129,0)),'11.销售及回款表'!H129)</f>
        <v>0</v>
      </c>
      <c r="I135" s="275">
        <f t="array" ref="I135">IF(SUM($E222:H222)&lt;1,SUM(IF('11.销售及回款表'!$E$497:$AV$540=I$221,'11.销售及回款表'!$E129:$AV129,0)),'11.销售及回款表'!I129)</f>
        <v>0</v>
      </c>
      <c r="J135" s="276">
        <f t="array" ref="J135">IF(SUM($E222:I222)&lt;1,SUM(IF('11.销售及回款表'!$E$497:$AV$540=J$221,'11.销售及回款表'!$E129:$AV129,0)),'11.销售及回款表'!J129)</f>
        <v>0</v>
      </c>
      <c r="K135" s="276">
        <f t="array" ref="K135">IF(SUM($E222:J222)&lt;1,SUM(IF('11.销售及回款表'!$E$497:$AV$540=K$221,'11.销售及回款表'!$E129:$AV129,0)),'11.销售及回款表'!K129)</f>
        <v>0</v>
      </c>
      <c r="L135" s="277">
        <f t="array" ref="L135">IF(SUM($E222:K222)&lt;1,SUM(IF('11.销售及回款表'!$E$497:$AV$540=L$221,'11.销售及回款表'!$E129:$AV129,0)),'11.销售及回款表'!L129)</f>
        <v>0</v>
      </c>
      <c r="M135" s="275">
        <f t="array" ref="M135">IF(SUM($E222:L222)&lt;1,SUM(IF('11.销售及回款表'!$E$497:$AV$540=M$221,'11.销售及回款表'!$E129:$AV129,0)),'11.销售及回款表'!M129)</f>
        <v>0</v>
      </c>
      <c r="N135" s="276">
        <f t="array" ref="N135">IF(SUM($E222:M222)&lt;1,SUM(IF('11.销售及回款表'!$E$497:$AV$540=N$221,'11.销售及回款表'!$E129:$AV129,0)),'11.销售及回款表'!N129)</f>
        <v>0</v>
      </c>
      <c r="O135" s="276">
        <f t="array" ref="O135">IF(SUM($E222:N222)&lt;1,SUM(IF('11.销售及回款表'!$E$497:$AV$540=O$221,'11.销售及回款表'!$E129:$AV129,0)),'11.销售及回款表'!O129)</f>
        <v>0</v>
      </c>
      <c r="P135" s="277">
        <f t="array" ref="P135">IF(SUM($E222:O222)&lt;1,SUM(IF('11.销售及回款表'!$E$497:$AV$540=P$221,'11.销售及回款表'!$E129:$AV129,0)),'11.销售及回款表'!P129)</f>
        <v>0</v>
      </c>
      <c r="Q135" s="275">
        <f t="array" ref="Q135">IF(SUM($E222:P222)&lt;1,SUM(IF('11.销售及回款表'!$E$497:$AV$540=Q$221,'11.销售及回款表'!$E129:$AV129,0)),'11.销售及回款表'!Q129)</f>
        <v>0</v>
      </c>
      <c r="R135" s="276">
        <f t="array" ref="R135">IF(SUM($E222:Q222)&lt;1,SUM(IF('11.销售及回款表'!$E$497:$AV$540=R$221,'11.销售及回款表'!$E129:$AV129,0)),'11.销售及回款表'!R129)</f>
        <v>0</v>
      </c>
      <c r="S135" s="276">
        <f t="array" ref="S135">IF(SUM($E222:R222)&lt;1,SUM(IF('11.销售及回款表'!$E$497:$AV$540=S$221,'11.销售及回款表'!$E129:$AV129,0)),'11.销售及回款表'!S129)</f>
        <v>0</v>
      </c>
      <c r="T135" s="277">
        <f t="array" ref="T135">IF(SUM($E222:S222)&lt;1,SUM(IF('11.销售及回款表'!$E$497:$AV$540=T$221,'11.销售及回款表'!$E129:$AV129,0)),'11.销售及回款表'!T129)</f>
        <v>0</v>
      </c>
      <c r="U135" s="275">
        <f t="array" ref="U135">IF(SUM($E222:T222)&lt;1,SUM(IF('11.销售及回款表'!$E$497:$AV$540=U$221,'11.销售及回款表'!$E129:$AV129,0)),'11.销售及回款表'!U129)</f>
        <v>0</v>
      </c>
      <c r="V135" s="276">
        <f t="array" ref="V135">IF(SUM($E222:U222)&lt;1,SUM(IF('11.销售及回款表'!$E$497:$AV$540=V$221,'11.销售及回款表'!$E129:$AV129,0)),'11.销售及回款表'!V129)</f>
        <v>0</v>
      </c>
      <c r="W135" s="276">
        <f t="array" ref="W135">IF(SUM($E222:V222)&lt;1,SUM(IF('11.销售及回款表'!$E$497:$AV$540=W$221,'11.销售及回款表'!$E129:$AV129,0)),'11.销售及回款表'!W129)</f>
        <v>0</v>
      </c>
      <c r="X135" s="277">
        <f t="array" ref="X135">IF(SUM($E222:W222)&lt;1,SUM(IF('11.销售及回款表'!$E$497:$AV$540=X$221,'11.销售及回款表'!$E129:$AV129,0)),'11.销售及回款表'!X129)</f>
        <v>0</v>
      </c>
      <c r="Y135" s="275">
        <f t="array" ref="Y135">IF(SUM($E222:X222)&lt;1,SUM(IF('11.销售及回款表'!$E$497:$AV$540=Y$221,'11.销售及回款表'!$E129:$AV129,0)),'11.销售及回款表'!Y129)</f>
        <v>0</v>
      </c>
      <c r="Z135" s="276">
        <f t="array" ref="Z135">IF(SUM($E222:Y222)&lt;1,SUM(IF('11.销售及回款表'!$E$497:$AV$540=Z$221,'11.销售及回款表'!$E129:$AV129,0)),'11.销售及回款表'!Z129)</f>
        <v>0</v>
      </c>
      <c r="AA135" s="276">
        <f t="array" ref="AA135">IF(SUM($E222:Z222)&lt;1,SUM(IF('11.销售及回款表'!$E$497:$AV$540=AA$221,'11.销售及回款表'!$E129:$AV129,0)),'11.销售及回款表'!AA129)</f>
        <v>0</v>
      </c>
      <c r="AB135" s="277">
        <f t="array" ref="AB135">IF(SUM($E222:AA222)&lt;1,SUM(IF('11.销售及回款表'!$E$497:$AV$540=AB$221,'11.销售及回款表'!$E129:$AV129,0)),'11.销售及回款表'!AB129)</f>
        <v>0</v>
      </c>
      <c r="AC135" s="275">
        <f t="array" ref="AC135">IF(SUM($E222:AB222)&lt;1,SUM(IF('11.销售及回款表'!$E$497:$AV$540=AC$221,'11.销售及回款表'!$E129:$AV129,0)),'11.销售及回款表'!AC129)</f>
        <v>0</v>
      </c>
      <c r="AD135" s="276">
        <f t="array" ref="AD135">IF(SUM($E222:AC222)&lt;1,SUM(IF('11.销售及回款表'!$E$497:$AV$540=AD$221,'11.销售及回款表'!$E129:$AV129,0)),'11.销售及回款表'!AD129)</f>
        <v>0</v>
      </c>
      <c r="AE135" s="276">
        <f t="array" ref="AE135">IF(SUM($E222:AD222)&lt;1,SUM(IF('11.销售及回款表'!$E$497:$AV$540=AE$221,'11.销售及回款表'!$E129:$AV129,0)),'11.销售及回款表'!AE129)</f>
        <v>0</v>
      </c>
      <c r="AF135" s="277">
        <f t="array" ref="AF135">IF(SUM($E222:AE222)&lt;1,SUM(IF('11.销售及回款表'!$E$497:$AV$540=AF$221,'11.销售及回款表'!$E129:$AV129,0)),'11.销售及回款表'!AF129)</f>
        <v>0</v>
      </c>
      <c r="AG135" s="275">
        <f t="array" ref="AG135">IF(SUM($E222:AF222)&lt;1,SUM(IF('11.销售及回款表'!$E$497:$AV$540=AG$221,'11.销售及回款表'!$E129:$AV129,0)),'11.销售及回款表'!AG129)</f>
        <v>0</v>
      </c>
      <c r="AH135" s="276">
        <f t="array" ref="AH135">IF(SUM($E222:AG222)&lt;1,SUM(IF('11.销售及回款表'!$E$497:$AV$540=AH$221,'11.销售及回款表'!$E129:$AV129,0)),'11.销售及回款表'!AH129)</f>
        <v>0</v>
      </c>
      <c r="AI135" s="276">
        <f t="array" ref="AI135">IF(SUM($E222:AH222)&lt;1,SUM(IF('11.销售及回款表'!$E$497:$AV$540=AI$221,'11.销售及回款表'!$E129:$AV129,0)),'11.销售及回款表'!AI129)</f>
        <v>0</v>
      </c>
      <c r="AJ135" s="277">
        <f t="array" ref="AJ135">IF(SUM($E222:AI222)&lt;1,SUM(IF('11.销售及回款表'!$E$497:$AV$540=AJ$221,'11.销售及回款表'!$E129:$AV129,0)),'11.销售及回款表'!AJ129)</f>
        <v>0</v>
      </c>
      <c r="AK135" s="275">
        <f t="array" ref="AK135">IF(SUM($E222:AJ222)&lt;1,SUM(IF('11.销售及回款表'!$E$497:$AV$540=AK$221,'11.销售及回款表'!$E129:$AV129,0)),'11.销售及回款表'!AK129)</f>
        <v>0</v>
      </c>
      <c r="AL135" s="276">
        <f t="array" ref="AL135">IF(SUM($E222:AK222)&lt;1,SUM(IF('11.销售及回款表'!$E$497:$AV$540=AL$221,'11.销售及回款表'!$E129:$AV129,0)),'11.销售及回款表'!AL129)</f>
        <v>0</v>
      </c>
      <c r="AM135" s="276">
        <f t="array" ref="AM135">IF(SUM($E222:AL222)&lt;1,SUM(IF('11.销售及回款表'!$E$497:$AV$540=AM$221,'11.销售及回款表'!$E129:$AV129,0)),'11.销售及回款表'!AM129)</f>
        <v>0</v>
      </c>
      <c r="AN135" s="277">
        <f t="array" ref="AN135">IF(SUM($E222:AM222)&lt;1,SUM(IF('11.销售及回款表'!$E$497:$AV$540=AN$221,'11.销售及回款表'!$E129:$AV129,0)),'11.销售及回款表'!AN129)</f>
        <v>0</v>
      </c>
      <c r="AO135" s="275">
        <f t="array" ref="AO135">IF(SUM($E222:AN222)&lt;1,SUM(IF('11.销售及回款表'!$E$497:$AV$540=AO$221,'11.销售及回款表'!$E129:$AV129,0)),'11.销售及回款表'!AO129)</f>
        <v>0</v>
      </c>
      <c r="AP135" s="276">
        <f t="array" ref="AP135">IF(SUM($E222:AO222)&lt;1,SUM(IF('11.销售及回款表'!$E$497:$AV$540=AP$221,'11.销售及回款表'!$E129:$AV129,0)),'11.销售及回款表'!AP129)</f>
        <v>0</v>
      </c>
      <c r="AQ135" s="276">
        <f t="array" ref="AQ135">IF(SUM($E222:AP222)&lt;1,SUM(IF('11.销售及回款表'!$E$497:$AV$540=AQ$221,'11.销售及回款表'!$E129:$AV129,0)),'11.销售及回款表'!AQ129)</f>
        <v>0</v>
      </c>
      <c r="AR135" s="277">
        <f t="array" ref="AR135">IF(SUM($E222:AQ222)&lt;1,SUM(IF('11.销售及回款表'!$E$497:$AV$540=AR$221,'11.销售及回款表'!$E129:$AV129,0)),'11.销售及回款表'!AR129)</f>
        <v>0</v>
      </c>
      <c r="AS135" s="275">
        <f t="array" ref="AS135">IF(SUM($E222:AR222)&lt;1,SUM(IF('11.销售及回款表'!$E$497:$AV$540=AS$221,'11.销售及回款表'!$E129:$AV129,0)),'11.销售及回款表'!AS129)</f>
        <v>0</v>
      </c>
      <c r="AT135" s="276">
        <f t="array" ref="AT135">IF(SUM($E222:AS222)&lt;1,SUM(IF('11.销售及回款表'!$E$497:$AV$540=AT$221,'11.销售及回款表'!$E129:$AV129,0)),'11.销售及回款表'!AT129)</f>
        <v>0</v>
      </c>
      <c r="AU135" s="276">
        <f t="array" ref="AU135">IF(SUM($E222:AT222)&lt;1,SUM(IF('11.销售及回款表'!$E$497:$AV$540=AU$221,'11.销售及回款表'!$E129:$AV129,0)),'11.销售及回款表'!AU129)</f>
        <v>0</v>
      </c>
      <c r="AV135" s="277">
        <f t="array" ref="AV135">IF(SUM($E222:AU222)&lt;1,SUM(IF('11.销售及回款表'!$E$497:$AV$540=AV$221,'11.销售及回款表'!$E129:$AV129,0)),'11.销售及回款表'!AV129)</f>
        <v>0</v>
      </c>
    </row>
    <row r="136" spans="2:48" s="257" customFormat="1" ht="15.75" customHeight="1" outlineLevel="1">
      <c r="B136" s="1980"/>
      <c r="C136" s="303" t="str">
        <f>'8.项目规划指标表'!$B$14</f>
        <v>自持物业</v>
      </c>
      <c r="D136" s="274">
        <f t="shared" si="28"/>
        <v>0</v>
      </c>
      <c r="E136" s="275">
        <f t="array" ref="E136">IF(SUM(D224:$E224)&lt;1,SUM(IF('11.销售及回款表'!$E$497:$AV$540=E$223,'11.销售及回款表'!$E134:$AV134,0)),'11.销售及回款表'!E134)</f>
        <v>0</v>
      </c>
      <c r="F136" s="276">
        <f t="array" ref="F136">IF(SUM(E224:$E224)&lt;1,SUM(IF('11.销售及回款表'!$E$497:$AV$540=F$223,'11.销售及回款表'!$E134:$AV134,0)),'11.销售及回款表'!F134)</f>
        <v>0</v>
      </c>
      <c r="G136" s="276">
        <f t="array" ref="G136">IF(SUM($E224:F224)&lt;1,SUM(IF('11.销售及回款表'!$E$497:$AV$540=G$223,'11.销售及回款表'!$E134:$AV134,0)),'11.销售及回款表'!G134)</f>
        <v>0</v>
      </c>
      <c r="H136" s="277">
        <f t="array" ref="H136">IF(SUM($E224:G224)&lt;1,SUM(IF('11.销售及回款表'!$E$497:$AV$540=H$223,'11.销售及回款表'!$E134:$AV134,0)),'11.销售及回款表'!H134)</f>
        <v>0</v>
      </c>
      <c r="I136" s="275">
        <f t="array" ref="I136">IF(SUM($E224:H224)&lt;1,SUM(IF('11.销售及回款表'!$E$497:$AV$540=I$223,'11.销售及回款表'!$E134:$AV134,0)),'11.销售及回款表'!I134)</f>
        <v>0</v>
      </c>
      <c r="J136" s="276">
        <f t="array" ref="J136">IF(SUM($E224:I224)&lt;1,SUM(IF('11.销售及回款表'!$E$497:$AV$540=J$223,'11.销售及回款表'!$E134:$AV134,0)),'11.销售及回款表'!J134)</f>
        <v>0</v>
      </c>
      <c r="K136" s="276">
        <f t="array" ref="K136">IF(SUM($E224:J224)&lt;1,SUM(IF('11.销售及回款表'!$E$497:$AV$540=K$223,'11.销售及回款表'!$E134:$AV134,0)),'11.销售及回款表'!K134)</f>
        <v>0</v>
      </c>
      <c r="L136" s="277">
        <f t="array" ref="L136">IF(SUM($E224:K224)&lt;1,SUM(IF('11.销售及回款表'!$E$497:$AV$540=L$223,'11.销售及回款表'!$E134:$AV134,0)),'11.销售及回款表'!L134)</f>
        <v>0</v>
      </c>
      <c r="M136" s="275">
        <f t="array" ref="M136">IF(SUM($E224:L224)&lt;1,SUM(IF('11.销售及回款表'!$E$497:$AV$540=M$223,'11.销售及回款表'!$E134:$AV134,0)),'11.销售及回款表'!M134)</f>
        <v>0</v>
      </c>
      <c r="N136" s="276">
        <f t="array" ref="N136">IF(SUM($E224:M224)&lt;1,SUM(IF('11.销售及回款表'!$E$497:$AV$540=N$223,'11.销售及回款表'!$E134:$AV134,0)),'11.销售及回款表'!N134)</f>
        <v>0</v>
      </c>
      <c r="O136" s="276">
        <f t="array" ref="O136">IF(SUM($E224:N224)&lt;1,SUM(IF('11.销售及回款表'!$E$497:$AV$540=O$223,'11.销售及回款表'!$E134:$AV134,0)),'11.销售及回款表'!O134)</f>
        <v>0</v>
      </c>
      <c r="P136" s="277">
        <f t="array" ref="P136">IF(SUM($E224:O224)&lt;1,SUM(IF('11.销售及回款表'!$E$497:$AV$540=P$223,'11.销售及回款表'!$E134:$AV134,0)),'11.销售及回款表'!P134)</f>
        <v>0</v>
      </c>
      <c r="Q136" s="275">
        <f t="array" ref="Q136">IF(SUM($E224:P224)&lt;1,SUM(IF('11.销售及回款表'!$E$497:$AV$540=Q$223,'11.销售及回款表'!$E134:$AV134,0)),'11.销售及回款表'!Q134)</f>
        <v>0</v>
      </c>
      <c r="R136" s="276">
        <f t="array" ref="R136">IF(SUM($E224:Q224)&lt;1,SUM(IF('11.销售及回款表'!$E$497:$AV$540=R$223,'11.销售及回款表'!$E134:$AV134,0)),'11.销售及回款表'!R134)</f>
        <v>0</v>
      </c>
      <c r="S136" s="276">
        <f t="array" ref="S136">IF(SUM($E224:R224)&lt;1,SUM(IF('11.销售及回款表'!$E$497:$AV$540=S$223,'11.销售及回款表'!$E134:$AV134,0)),'11.销售及回款表'!S134)</f>
        <v>0</v>
      </c>
      <c r="T136" s="277">
        <f t="array" ref="T136">IF(SUM($E224:S224)&lt;1,SUM(IF('11.销售及回款表'!$E$497:$AV$540=T$223,'11.销售及回款表'!$E134:$AV134,0)),'11.销售及回款表'!T134)</f>
        <v>0</v>
      </c>
      <c r="U136" s="275">
        <f t="array" ref="U136">IF(SUM($E224:T224)&lt;1,SUM(IF('11.销售及回款表'!$E$497:$AV$540=U$223,'11.销售及回款表'!$E134:$AV134,0)),'11.销售及回款表'!U134)</f>
        <v>0</v>
      </c>
      <c r="V136" s="276">
        <f t="array" ref="V136">IF(SUM($E224:U224)&lt;1,SUM(IF('11.销售及回款表'!$E$497:$AV$540=V$223,'11.销售及回款表'!$E134:$AV134,0)),'11.销售及回款表'!V134)</f>
        <v>0</v>
      </c>
      <c r="W136" s="276">
        <f t="array" ref="W136">IF(SUM($E224:V224)&lt;1,SUM(IF('11.销售及回款表'!$E$497:$AV$540=W$223,'11.销售及回款表'!$E134:$AV134,0)),'11.销售及回款表'!W134)</f>
        <v>0</v>
      </c>
      <c r="X136" s="277">
        <f t="array" ref="X136">IF(SUM($E224:W224)&lt;1,SUM(IF('11.销售及回款表'!$E$497:$AV$540=X$223,'11.销售及回款表'!$E134:$AV134,0)),'11.销售及回款表'!X134)</f>
        <v>0</v>
      </c>
      <c r="Y136" s="275">
        <f t="array" ref="Y136">IF(SUM($E224:X224)&lt;1,SUM(IF('11.销售及回款表'!$E$497:$AV$540=Y$223,'11.销售及回款表'!$E134:$AV134,0)),'11.销售及回款表'!Y134)</f>
        <v>0</v>
      </c>
      <c r="Z136" s="276">
        <f t="array" ref="Z136">IF(SUM($E224:Y224)&lt;1,SUM(IF('11.销售及回款表'!$E$497:$AV$540=Z$223,'11.销售及回款表'!$E134:$AV134,0)),'11.销售及回款表'!Z134)</f>
        <v>0</v>
      </c>
      <c r="AA136" s="276">
        <f t="array" ref="AA136">IF(SUM($E224:Z224)&lt;1,SUM(IF('11.销售及回款表'!$E$497:$AV$540=AA$223,'11.销售及回款表'!$E134:$AV134,0)),'11.销售及回款表'!AA134)</f>
        <v>0</v>
      </c>
      <c r="AB136" s="277">
        <f t="array" ref="AB136">IF(SUM($E224:AA224)&lt;1,SUM(IF('11.销售及回款表'!$E$497:$AV$540=AB$223,'11.销售及回款表'!$E134:$AV134,0)),'11.销售及回款表'!AB134)</f>
        <v>0</v>
      </c>
      <c r="AC136" s="275">
        <f t="array" ref="AC136">IF(SUM($E224:AB224)&lt;1,SUM(IF('11.销售及回款表'!$E$497:$AV$540=AC$223,'11.销售及回款表'!$E134:$AV134,0)),'11.销售及回款表'!AC134)</f>
        <v>0</v>
      </c>
      <c r="AD136" s="276">
        <f t="array" ref="AD136">IF(SUM($E224:AC224)&lt;1,SUM(IF('11.销售及回款表'!$E$497:$AV$540=AD$223,'11.销售及回款表'!$E134:$AV134,0)),'11.销售及回款表'!AD134)</f>
        <v>0</v>
      </c>
      <c r="AE136" s="276">
        <f t="array" ref="AE136">IF(SUM($E224:AD224)&lt;1,SUM(IF('11.销售及回款表'!$E$497:$AV$540=AE$223,'11.销售及回款表'!$E134:$AV134,0)),'11.销售及回款表'!AE134)</f>
        <v>0</v>
      </c>
      <c r="AF136" s="277">
        <f t="array" ref="AF136">IF(SUM($E224:AE224)&lt;1,SUM(IF('11.销售及回款表'!$E$497:$AV$540=AF$223,'11.销售及回款表'!$E134:$AV134,0)),'11.销售及回款表'!AF134)</f>
        <v>0</v>
      </c>
      <c r="AG136" s="275">
        <f t="array" ref="AG136">IF(SUM($E224:AF224)&lt;1,SUM(IF('11.销售及回款表'!$E$497:$AV$540=AG$223,'11.销售及回款表'!$E134:$AV134,0)),'11.销售及回款表'!AG134)</f>
        <v>0</v>
      </c>
      <c r="AH136" s="276">
        <f t="array" ref="AH136">IF(SUM($E224:AG224)&lt;1,SUM(IF('11.销售及回款表'!$E$497:$AV$540=AH$223,'11.销售及回款表'!$E134:$AV134,0)),'11.销售及回款表'!AH134)</f>
        <v>0</v>
      </c>
      <c r="AI136" s="276">
        <f t="array" ref="AI136">IF(SUM($E224:AH224)&lt;1,SUM(IF('11.销售及回款表'!$E$497:$AV$540=AI$223,'11.销售及回款表'!$E134:$AV134,0)),'11.销售及回款表'!AI134)</f>
        <v>0</v>
      </c>
      <c r="AJ136" s="277">
        <f t="array" ref="AJ136">IF(SUM($E224:AI224)&lt;1,SUM(IF('11.销售及回款表'!$E$497:$AV$540=AJ$223,'11.销售及回款表'!$E134:$AV134,0)),'11.销售及回款表'!AJ134)</f>
        <v>0</v>
      </c>
      <c r="AK136" s="275">
        <f t="array" ref="AK136">IF(SUM($E224:AJ224)&lt;1,SUM(IF('11.销售及回款表'!$E$497:$AV$540=AK$223,'11.销售及回款表'!$E134:$AV134,0)),'11.销售及回款表'!AK134)</f>
        <v>0</v>
      </c>
      <c r="AL136" s="276">
        <f t="array" ref="AL136">IF(SUM($E224:AK224)&lt;1,SUM(IF('11.销售及回款表'!$E$497:$AV$540=AL$223,'11.销售及回款表'!$E134:$AV134,0)),'11.销售及回款表'!AL134)</f>
        <v>0</v>
      </c>
      <c r="AM136" s="276">
        <f t="array" ref="AM136">IF(SUM($E224:AL224)&lt;1,SUM(IF('11.销售及回款表'!$E$497:$AV$540=AM$223,'11.销售及回款表'!$E134:$AV134,0)),'11.销售及回款表'!AM134)</f>
        <v>0</v>
      </c>
      <c r="AN136" s="277">
        <f t="array" ref="AN136">IF(SUM($E224:AM224)&lt;1,SUM(IF('11.销售及回款表'!$E$497:$AV$540=AN$223,'11.销售及回款表'!$E134:$AV134,0)),'11.销售及回款表'!AN134)</f>
        <v>0</v>
      </c>
      <c r="AO136" s="275">
        <f t="array" ref="AO136">IF(SUM($E224:AN224)&lt;1,SUM(IF('11.销售及回款表'!$E$497:$AV$540=AO$223,'11.销售及回款表'!$E134:$AV134,0)),'11.销售及回款表'!AO134)</f>
        <v>0</v>
      </c>
      <c r="AP136" s="276">
        <f t="array" ref="AP136">IF(SUM($E224:AO224)&lt;1,SUM(IF('11.销售及回款表'!$E$497:$AV$540=AP$223,'11.销售及回款表'!$E134:$AV134,0)),'11.销售及回款表'!AP134)</f>
        <v>0</v>
      </c>
      <c r="AQ136" s="276">
        <f t="array" ref="AQ136">IF(SUM($E224:AP224)&lt;1,SUM(IF('11.销售及回款表'!$E$497:$AV$540=AQ$223,'11.销售及回款表'!$E134:$AV134,0)),'11.销售及回款表'!AQ134)</f>
        <v>0</v>
      </c>
      <c r="AR136" s="277">
        <f t="array" ref="AR136">IF(SUM($E224:AQ224)&lt;1,SUM(IF('11.销售及回款表'!$E$497:$AV$540=AR$223,'11.销售及回款表'!$E134:$AV134,0)),'11.销售及回款表'!AR134)</f>
        <v>0</v>
      </c>
      <c r="AS136" s="275">
        <f t="array" ref="AS136">IF(SUM($E224:AR224)&lt;1,SUM(IF('11.销售及回款表'!$E$497:$AV$540=AS$223,'11.销售及回款表'!$E134:$AV134,0)),'11.销售及回款表'!AS134)</f>
        <v>0</v>
      </c>
      <c r="AT136" s="276">
        <f t="array" ref="AT136">IF(SUM($E224:AS224)&lt;1,SUM(IF('11.销售及回款表'!$E$497:$AV$540=AT$223,'11.销售及回款表'!$E134:$AV134,0)),'11.销售及回款表'!AT134)</f>
        <v>0</v>
      </c>
      <c r="AU136" s="276">
        <f t="array" ref="AU136">IF(SUM($E224:AT224)&lt;1,SUM(IF('11.销售及回款表'!$E$497:$AV$540=AU$223,'11.销售及回款表'!$E134:$AV134,0)),'11.销售及回款表'!AU134)</f>
        <v>0</v>
      </c>
      <c r="AV136" s="277">
        <f t="array" ref="AV136">IF(SUM($E224:AU224)&lt;1,SUM(IF('11.销售及回款表'!$E$497:$AV$540=AV$223,'11.销售及回款表'!$E134:$AV134,0)),'11.销售及回款表'!AV134)</f>
        <v>0</v>
      </c>
    </row>
    <row r="137" spans="2:48" s="257" customFormat="1" ht="15.75" customHeight="1" outlineLevel="1">
      <c r="B137" s="1980"/>
      <c r="C137" s="303" t="str">
        <f>'8.项目规划指标表'!$B$18</f>
        <v>有产权车库(个)</v>
      </c>
      <c r="D137" s="274">
        <f t="shared" si="28"/>
        <v>4726.3999999999996</v>
      </c>
      <c r="E137" s="275">
        <f t="array" ref="E137">IF(SUM(D226:$E226)&lt;1,SUM(IF('11.销售及回款表'!$E$497:$AV$540=E$225,'11.销售及回款表'!$E139:$AV139,0)),'11.销售及回款表'!E139)</f>
        <v>0</v>
      </c>
      <c r="F137" s="276">
        <f t="array" ref="F137">IF(SUM(E226:$E226)&lt;1,SUM(IF('11.销售及回款表'!$E$497:$AV$540=F$225,'11.销售及回款表'!$E139:$AV139,0)),'11.销售及回款表'!F139)</f>
        <v>0</v>
      </c>
      <c r="G137" s="276">
        <f t="array" ref="G137">IF(SUM($E226:F226)&lt;1,SUM(IF('11.销售及回款表'!$E$497:$AV$540=G$225,'11.销售及回款表'!$E139:$AV139,0)),'11.销售及回款表'!G139)</f>
        <v>0</v>
      </c>
      <c r="H137" s="277">
        <f t="array" ref="H137">IF(SUM($E226:G226)&lt;1,SUM(IF('11.销售及回款表'!$E$497:$AV$540=H$225,'11.销售及回款表'!$E139:$AV139,0)),'11.销售及回款表'!H139)</f>
        <v>0</v>
      </c>
      <c r="I137" s="275">
        <f t="array" ref="I137">IF(SUM($E226:H226)&lt;1,SUM(IF('11.销售及回款表'!$E$497:$AV$540=I$225,'11.销售及回款表'!$E139:$AV139,0)),'11.销售及回款表'!I139)</f>
        <v>0</v>
      </c>
      <c r="J137" s="276">
        <f t="array" ref="J137">IF(SUM($E226:I226)&lt;1,SUM(IF('11.销售及回款表'!$E$497:$AV$540=J$225,'11.销售及回款表'!$E139:$AV139,0)),'11.销售及回款表'!J139)</f>
        <v>0</v>
      </c>
      <c r="K137" s="276">
        <f t="array" ref="K137">IF(SUM($E226:J226)&lt;1,SUM(IF('11.销售及回款表'!$E$497:$AV$540=K$225,'11.销售及回款表'!$E139:$AV139,0)),'11.销售及回款表'!K139)</f>
        <v>0</v>
      </c>
      <c r="L137" s="277">
        <f t="array" ref="L137">IF(SUM($E226:K226)&lt;1,SUM(IF('11.销售及回款表'!$E$497:$AV$540=L$225,'11.销售及回款表'!$E139:$AV139,0)),'11.销售及回款表'!L139)</f>
        <v>0</v>
      </c>
      <c r="M137" s="275">
        <f t="array" ref="M137">IF(SUM($E226:L226)&lt;1,SUM(IF('11.销售及回款表'!$E$497:$AV$540=M$225,'11.销售及回款表'!$E139:$AV139,0)),'11.销售及回款表'!M139)</f>
        <v>0</v>
      </c>
      <c r="N137" s="276">
        <f t="array" ref="N137">IF(SUM($E226:M226)&lt;1,SUM(IF('11.销售及回款表'!$E$497:$AV$540=N$225,'11.销售及回款表'!$E139:$AV139,0)),'11.销售及回款表'!N139)</f>
        <v>0</v>
      </c>
      <c r="O137" s="276">
        <f t="array" ref="O137">IF(SUM($E226:N226)&lt;1,SUM(IF('11.销售及回款表'!$E$497:$AV$540=O$225,'11.销售及回款表'!$E139:$AV139,0)),'11.销售及回款表'!O139)</f>
        <v>0</v>
      </c>
      <c r="P137" s="277">
        <f t="array" ref="P137">IF(SUM($E226:O226)&lt;1,SUM(IF('11.销售及回款表'!$E$497:$AV$540=P$225,'11.销售及回款表'!$E139:$AV139,0)),'11.销售及回款表'!P139)</f>
        <v>3544.8</v>
      </c>
      <c r="Q137" s="275">
        <f t="array" ref="Q137">IF(SUM($E226:P226)&lt;1,SUM(IF('11.销售及回款表'!$E$497:$AV$540=Q$225,'11.销售及回款表'!$E139:$AV139,0)),'11.销售及回款表'!Q139)</f>
        <v>1181.5999999999999</v>
      </c>
      <c r="R137" s="276">
        <f t="array" ref="R137">IF(SUM($E226:Q226)&lt;1,SUM(IF('11.销售及回款表'!$E$497:$AV$540=R$225,'11.销售及回款表'!$E139:$AV139,0)),'11.销售及回款表'!R139)</f>
        <v>0</v>
      </c>
      <c r="S137" s="276">
        <f t="array" ref="S137">IF(SUM($E226:R226)&lt;1,SUM(IF('11.销售及回款表'!$E$497:$AV$540=S$225,'11.销售及回款表'!$E139:$AV139,0)),'11.销售及回款表'!S139)</f>
        <v>0</v>
      </c>
      <c r="T137" s="277">
        <f t="array" ref="T137">IF(SUM($E226:S226)&lt;1,SUM(IF('11.销售及回款表'!$E$497:$AV$540=T$225,'11.销售及回款表'!$E139:$AV139,0)),'11.销售及回款表'!T139)</f>
        <v>0</v>
      </c>
      <c r="U137" s="275">
        <f t="array" ref="U137">IF(SUM($E226:T226)&lt;1,SUM(IF('11.销售及回款表'!$E$497:$AV$540=U$225,'11.销售及回款表'!$E139:$AV139,0)),'11.销售及回款表'!U139)</f>
        <v>0</v>
      </c>
      <c r="V137" s="276">
        <f t="array" ref="V137">IF(SUM($E226:U226)&lt;1,SUM(IF('11.销售及回款表'!$E$497:$AV$540=V$225,'11.销售及回款表'!$E139:$AV139,0)),'11.销售及回款表'!V139)</f>
        <v>0</v>
      </c>
      <c r="W137" s="276">
        <f t="array" ref="W137">IF(SUM($E226:V226)&lt;1,SUM(IF('11.销售及回款表'!$E$497:$AV$540=W$225,'11.销售及回款表'!$E139:$AV139,0)),'11.销售及回款表'!W139)</f>
        <v>0</v>
      </c>
      <c r="X137" s="277">
        <f t="array" ref="X137">IF(SUM($E226:W226)&lt;1,SUM(IF('11.销售及回款表'!$E$497:$AV$540=X$225,'11.销售及回款表'!$E139:$AV139,0)),'11.销售及回款表'!X139)</f>
        <v>0</v>
      </c>
      <c r="Y137" s="275">
        <f t="array" ref="Y137">IF(SUM($E226:X226)&lt;1,SUM(IF('11.销售及回款表'!$E$497:$AV$540=Y$225,'11.销售及回款表'!$E139:$AV139,0)),'11.销售及回款表'!Y139)</f>
        <v>0</v>
      </c>
      <c r="Z137" s="276">
        <f t="array" ref="Z137">IF(SUM($E226:Y226)&lt;1,SUM(IF('11.销售及回款表'!$E$497:$AV$540=Z$225,'11.销售及回款表'!$E139:$AV139,0)),'11.销售及回款表'!Z139)</f>
        <v>0</v>
      </c>
      <c r="AA137" s="276">
        <f t="array" ref="AA137">IF(SUM($E226:Z226)&lt;1,SUM(IF('11.销售及回款表'!$E$497:$AV$540=AA$225,'11.销售及回款表'!$E139:$AV139,0)),'11.销售及回款表'!AA139)</f>
        <v>0</v>
      </c>
      <c r="AB137" s="277">
        <f t="array" ref="AB137">IF(SUM($E226:AA226)&lt;1,SUM(IF('11.销售及回款表'!$E$497:$AV$540=AB$225,'11.销售及回款表'!$E139:$AV139,0)),'11.销售及回款表'!AB139)</f>
        <v>0</v>
      </c>
      <c r="AC137" s="275">
        <f t="array" ref="AC137">IF(SUM($E226:AB226)&lt;1,SUM(IF('11.销售及回款表'!$E$497:$AV$540=AC$225,'11.销售及回款表'!$E139:$AV139,0)),'11.销售及回款表'!AC139)</f>
        <v>0</v>
      </c>
      <c r="AD137" s="276">
        <f t="array" ref="AD137">IF(SUM($E226:AC226)&lt;1,SUM(IF('11.销售及回款表'!$E$497:$AV$540=AD$225,'11.销售及回款表'!$E139:$AV139,0)),'11.销售及回款表'!AD139)</f>
        <v>0</v>
      </c>
      <c r="AE137" s="276">
        <f t="array" ref="AE137">IF(SUM($E226:AD226)&lt;1,SUM(IF('11.销售及回款表'!$E$497:$AV$540=AE$225,'11.销售及回款表'!$E139:$AV139,0)),'11.销售及回款表'!AE139)</f>
        <v>0</v>
      </c>
      <c r="AF137" s="277">
        <f t="array" ref="AF137">IF(SUM($E226:AE226)&lt;1,SUM(IF('11.销售及回款表'!$E$497:$AV$540=AF$225,'11.销售及回款表'!$E139:$AV139,0)),'11.销售及回款表'!AF139)</f>
        <v>0</v>
      </c>
      <c r="AG137" s="275">
        <f t="array" ref="AG137">IF(SUM($E226:AF226)&lt;1,SUM(IF('11.销售及回款表'!$E$497:$AV$540=AG$225,'11.销售及回款表'!$E139:$AV139,0)),'11.销售及回款表'!AG139)</f>
        <v>0</v>
      </c>
      <c r="AH137" s="276">
        <f t="array" ref="AH137">IF(SUM($E226:AG226)&lt;1,SUM(IF('11.销售及回款表'!$E$497:$AV$540=AH$225,'11.销售及回款表'!$E139:$AV139,0)),'11.销售及回款表'!AH139)</f>
        <v>0</v>
      </c>
      <c r="AI137" s="276">
        <f t="array" ref="AI137">IF(SUM($E226:AH226)&lt;1,SUM(IF('11.销售及回款表'!$E$497:$AV$540=AI$225,'11.销售及回款表'!$E139:$AV139,0)),'11.销售及回款表'!AI139)</f>
        <v>0</v>
      </c>
      <c r="AJ137" s="277">
        <f t="array" ref="AJ137">IF(SUM($E226:AI226)&lt;1,SUM(IF('11.销售及回款表'!$E$497:$AV$540=AJ$225,'11.销售及回款表'!$E139:$AV139,0)),'11.销售及回款表'!AJ139)</f>
        <v>0</v>
      </c>
      <c r="AK137" s="275">
        <f t="array" ref="AK137">IF(SUM($E226:AJ226)&lt;1,SUM(IF('11.销售及回款表'!$E$497:$AV$540=AK$225,'11.销售及回款表'!$E139:$AV139,0)),'11.销售及回款表'!AK139)</f>
        <v>0</v>
      </c>
      <c r="AL137" s="276">
        <f t="array" ref="AL137">IF(SUM($E226:AK226)&lt;1,SUM(IF('11.销售及回款表'!$E$497:$AV$540=AL$225,'11.销售及回款表'!$E139:$AV139,0)),'11.销售及回款表'!AL139)</f>
        <v>0</v>
      </c>
      <c r="AM137" s="276">
        <f t="array" ref="AM137">IF(SUM($E226:AL226)&lt;1,SUM(IF('11.销售及回款表'!$E$497:$AV$540=AM$225,'11.销售及回款表'!$E139:$AV139,0)),'11.销售及回款表'!AM139)</f>
        <v>0</v>
      </c>
      <c r="AN137" s="277">
        <f t="array" ref="AN137">IF(SUM($E226:AM226)&lt;1,SUM(IF('11.销售及回款表'!$E$497:$AV$540=AN$225,'11.销售及回款表'!$E139:$AV139,0)),'11.销售及回款表'!AN139)</f>
        <v>0</v>
      </c>
      <c r="AO137" s="275">
        <f t="array" ref="AO137">IF(SUM($E226:AN226)&lt;1,SUM(IF('11.销售及回款表'!$E$497:$AV$540=AO$225,'11.销售及回款表'!$E139:$AV139,0)),'11.销售及回款表'!AO139)</f>
        <v>0</v>
      </c>
      <c r="AP137" s="276">
        <f t="array" ref="AP137">IF(SUM($E226:AO226)&lt;1,SUM(IF('11.销售及回款表'!$E$497:$AV$540=AP$225,'11.销售及回款表'!$E139:$AV139,0)),'11.销售及回款表'!AP139)</f>
        <v>0</v>
      </c>
      <c r="AQ137" s="276">
        <f t="array" ref="AQ137">IF(SUM($E226:AP226)&lt;1,SUM(IF('11.销售及回款表'!$E$497:$AV$540=AQ$225,'11.销售及回款表'!$E139:$AV139,0)),'11.销售及回款表'!AQ139)</f>
        <v>0</v>
      </c>
      <c r="AR137" s="277">
        <f t="array" ref="AR137">IF(SUM($E226:AQ226)&lt;1,SUM(IF('11.销售及回款表'!$E$497:$AV$540=AR$225,'11.销售及回款表'!$E139:$AV139,0)),'11.销售及回款表'!AR139)</f>
        <v>0</v>
      </c>
      <c r="AS137" s="275">
        <f t="array" ref="AS137">IF(SUM($E226:AR226)&lt;1,SUM(IF('11.销售及回款表'!$E$497:$AV$540=AS$225,'11.销售及回款表'!$E139:$AV139,0)),'11.销售及回款表'!AS139)</f>
        <v>0</v>
      </c>
      <c r="AT137" s="276">
        <f t="array" ref="AT137">IF(SUM($E226:AS226)&lt;1,SUM(IF('11.销售及回款表'!$E$497:$AV$540=AT$225,'11.销售及回款表'!$E139:$AV139,0)),'11.销售及回款表'!AT139)</f>
        <v>0</v>
      </c>
      <c r="AU137" s="276">
        <f t="array" ref="AU137">IF(SUM($E226:AT226)&lt;1,SUM(IF('11.销售及回款表'!$E$497:$AV$540=AU$225,'11.销售及回款表'!$E139:$AV139,0)),'11.销售及回款表'!AU139)</f>
        <v>0</v>
      </c>
      <c r="AV137" s="277">
        <f t="array" ref="AV137">IF(SUM($E226:AU226)&lt;1,SUM(IF('11.销售及回款表'!$E$497:$AV$540=AV$225,'11.销售及回款表'!$E139:$AV139,0)),'11.销售及回款表'!AV139)</f>
        <v>0</v>
      </c>
    </row>
    <row r="138" spans="2:48" s="257" customFormat="1" ht="15.75" customHeight="1" outlineLevel="1">
      <c r="B138" s="1980"/>
      <c r="C138" s="303" t="str">
        <f>'8.项目规划指标表'!$B$19</f>
        <v>无产权车库(个)</v>
      </c>
      <c r="D138" s="274">
        <f t="shared" si="28"/>
        <v>0</v>
      </c>
      <c r="E138" s="275">
        <f t="array" ref="E138">IF(SUM(D228:$E228)&lt;1,SUM(IF('11.销售及回款表'!$E$497:$AV$540=E$227,'11.销售及回款表'!$E144:$AV144,0)),'11.销售及回款表'!E144)</f>
        <v>0</v>
      </c>
      <c r="F138" s="276">
        <f t="array" ref="F138">IF(SUM(E228:$E228)&lt;1,SUM(IF('11.销售及回款表'!$E$497:$AV$540=F$227,'11.销售及回款表'!$E144:$AV144,0)),'11.销售及回款表'!F144)</f>
        <v>0</v>
      </c>
      <c r="G138" s="276">
        <f t="array" ref="G138">IF(SUM($E228:F228)&lt;1,SUM(IF('11.销售及回款表'!$E$497:$AV$540=G$227,'11.销售及回款表'!$E144:$AV144,0)),'11.销售及回款表'!G144)</f>
        <v>0</v>
      </c>
      <c r="H138" s="277">
        <f t="array" ref="H138">IF(SUM($E228:G228)&lt;1,SUM(IF('11.销售及回款表'!$E$497:$AV$540=H$227,'11.销售及回款表'!$E144:$AV144,0)),'11.销售及回款表'!H144)</f>
        <v>0</v>
      </c>
      <c r="I138" s="275">
        <f t="array" ref="I138">IF(SUM($E228:H228)&lt;1,SUM(IF('11.销售及回款表'!$E$497:$AV$540=I$227,'11.销售及回款表'!$E144:$AV144,0)),'11.销售及回款表'!I144)</f>
        <v>0</v>
      </c>
      <c r="J138" s="276">
        <f t="array" ref="J138">IF(SUM($E228:I228)&lt;1,SUM(IF('11.销售及回款表'!$E$497:$AV$540=J$227,'11.销售及回款表'!$E144:$AV144,0)),'11.销售及回款表'!J144)</f>
        <v>0</v>
      </c>
      <c r="K138" s="276">
        <f t="array" ref="K138">IF(SUM($E228:J228)&lt;1,SUM(IF('11.销售及回款表'!$E$497:$AV$540=K$227,'11.销售及回款表'!$E144:$AV144,0)),'11.销售及回款表'!K144)</f>
        <v>0</v>
      </c>
      <c r="L138" s="277">
        <f t="array" ref="L138">IF(SUM($E228:K228)&lt;1,SUM(IF('11.销售及回款表'!$E$497:$AV$540=L$227,'11.销售及回款表'!$E144:$AV144,0)),'11.销售及回款表'!L144)</f>
        <v>0</v>
      </c>
      <c r="M138" s="275">
        <f t="array" ref="M138">IF(SUM($E228:L228)&lt;1,SUM(IF('11.销售及回款表'!$E$497:$AV$540=M$227,'11.销售及回款表'!$E144:$AV144,0)),'11.销售及回款表'!M144)</f>
        <v>0</v>
      </c>
      <c r="N138" s="276">
        <f t="array" ref="N138">IF(SUM($E228:M228)&lt;1,SUM(IF('11.销售及回款表'!$E$497:$AV$540=N$227,'11.销售及回款表'!$E144:$AV144,0)),'11.销售及回款表'!N144)</f>
        <v>0</v>
      </c>
      <c r="O138" s="276">
        <f t="array" ref="O138">IF(SUM($E228:N228)&lt;1,SUM(IF('11.销售及回款表'!$E$497:$AV$540=O$227,'11.销售及回款表'!$E144:$AV144,0)),'11.销售及回款表'!O144)</f>
        <v>0</v>
      </c>
      <c r="P138" s="277">
        <f t="array" ref="P138">IF(SUM($E228:O228)&lt;1,SUM(IF('11.销售及回款表'!$E$497:$AV$540=P$227,'11.销售及回款表'!$E144:$AV144,0)),'11.销售及回款表'!P144)</f>
        <v>0</v>
      </c>
      <c r="Q138" s="275">
        <f t="array" ref="Q138">IF(SUM($E228:P228)&lt;1,SUM(IF('11.销售及回款表'!$E$497:$AV$540=Q$227,'11.销售及回款表'!$E144:$AV144,0)),'11.销售及回款表'!Q144)</f>
        <v>0</v>
      </c>
      <c r="R138" s="276">
        <f t="array" ref="R138">IF(SUM($E228:Q228)&lt;1,SUM(IF('11.销售及回款表'!$E$497:$AV$540=R$227,'11.销售及回款表'!$E144:$AV144,0)),'11.销售及回款表'!R144)</f>
        <v>0</v>
      </c>
      <c r="S138" s="276">
        <f t="array" ref="S138">IF(SUM($E228:R228)&lt;1,SUM(IF('11.销售及回款表'!$E$497:$AV$540=S$227,'11.销售及回款表'!$E144:$AV144,0)),'11.销售及回款表'!S144)</f>
        <v>0</v>
      </c>
      <c r="T138" s="277">
        <f t="array" ref="T138">IF(SUM($E228:S228)&lt;1,SUM(IF('11.销售及回款表'!$E$497:$AV$540=T$227,'11.销售及回款表'!$E144:$AV144,0)),'11.销售及回款表'!T144)</f>
        <v>0</v>
      </c>
      <c r="U138" s="275">
        <f t="array" ref="U138">IF(SUM($E228:T228)&lt;1,SUM(IF('11.销售及回款表'!$E$497:$AV$540=U$227,'11.销售及回款表'!$E144:$AV144,0)),'11.销售及回款表'!U144)</f>
        <v>0</v>
      </c>
      <c r="V138" s="276">
        <f t="array" ref="V138">IF(SUM($E228:U228)&lt;1,SUM(IF('11.销售及回款表'!$E$497:$AV$540=V$227,'11.销售及回款表'!$E144:$AV144,0)),'11.销售及回款表'!V144)</f>
        <v>0</v>
      </c>
      <c r="W138" s="276">
        <f t="array" ref="W138">IF(SUM($E228:V228)&lt;1,SUM(IF('11.销售及回款表'!$E$497:$AV$540=W$227,'11.销售及回款表'!$E144:$AV144,0)),'11.销售及回款表'!W144)</f>
        <v>0</v>
      </c>
      <c r="X138" s="277">
        <f t="array" ref="X138">IF(SUM($E228:W228)&lt;1,SUM(IF('11.销售及回款表'!$E$497:$AV$540=X$227,'11.销售及回款表'!$E144:$AV144,0)),'11.销售及回款表'!X144)</f>
        <v>0</v>
      </c>
      <c r="Y138" s="275">
        <f t="array" ref="Y138">IF(SUM($E228:X228)&lt;1,SUM(IF('11.销售及回款表'!$E$497:$AV$540=Y$227,'11.销售及回款表'!$E144:$AV144,0)),'11.销售及回款表'!Y144)</f>
        <v>0</v>
      </c>
      <c r="Z138" s="276">
        <f t="array" ref="Z138">IF(SUM($E228:Y228)&lt;1,SUM(IF('11.销售及回款表'!$E$497:$AV$540=Z$227,'11.销售及回款表'!$E144:$AV144,0)),'11.销售及回款表'!Z144)</f>
        <v>0</v>
      </c>
      <c r="AA138" s="276">
        <f t="array" ref="AA138">IF(SUM($E228:Z228)&lt;1,SUM(IF('11.销售及回款表'!$E$497:$AV$540=AA$227,'11.销售及回款表'!$E144:$AV144,0)),'11.销售及回款表'!AA144)</f>
        <v>0</v>
      </c>
      <c r="AB138" s="277">
        <f t="array" ref="AB138">IF(SUM($E228:AA228)&lt;1,SUM(IF('11.销售及回款表'!$E$497:$AV$540=AB$227,'11.销售及回款表'!$E144:$AV144,0)),'11.销售及回款表'!AB144)</f>
        <v>0</v>
      </c>
      <c r="AC138" s="275">
        <f t="array" ref="AC138">IF(SUM($E228:AB228)&lt;1,SUM(IF('11.销售及回款表'!$E$497:$AV$540=AC$227,'11.销售及回款表'!$E144:$AV144,0)),'11.销售及回款表'!AC144)</f>
        <v>0</v>
      </c>
      <c r="AD138" s="276">
        <f t="array" ref="AD138">IF(SUM($E228:AC228)&lt;1,SUM(IF('11.销售及回款表'!$E$497:$AV$540=AD$227,'11.销售及回款表'!$E144:$AV144,0)),'11.销售及回款表'!AD144)</f>
        <v>0</v>
      </c>
      <c r="AE138" s="276">
        <f t="array" ref="AE138">IF(SUM($E228:AD228)&lt;1,SUM(IF('11.销售及回款表'!$E$497:$AV$540=AE$227,'11.销售及回款表'!$E144:$AV144,0)),'11.销售及回款表'!AE144)</f>
        <v>0</v>
      </c>
      <c r="AF138" s="277">
        <f t="array" ref="AF138">IF(SUM($E228:AE228)&lt;1,SUM(IF('11.销售及回款表'!$E$497:$AV$540=AF$227,'11.销售及回款表'!$E144:$AV144,0)),'11.销售及回款表'!AF144)</f>
        <v>0</v>
      </c>
      <c r="AG138" s="275">
        <f t="array" ref="AG138">IF(SUM($E228:AF228)&lt;1,SUM(IF('11.销售及回款表'!$E$497:$AV$540=AG$227,'11.销售及回款表'!$E144:$AV144,0)),'11.销售及回款表'!AG144)</f>
        <v>0</v>
      </c>
      <c r="AH138" s="276">
        <f t="array" ref="AH138">IF(SUM($E228:AG228)&lt;1,SUM(IF('11.销售及回款表'!$E$497:$AV$540=AH$227,'11.销售及回款表'!$E144:$AV144,0)),'11.销售及回款表'!AH144)</f>
        <v>0</v>
      </c>
      <c r="AI138" s="276">
        <f t="array" ref="AI138">IF(SUM($E228:AH228)&lt;1,SUM(IF('11.销售及回款表'!$E$497:$AV$540=AI$227,'11.销售及回款表'!$E144:$AV144,0)),'11.销售及回款表'!AI144)</f>
        <v>0</v>
      </c>
      <c r="AJ138" s="277">
        <f t="array" ref="AJ138">IF(SUM($E228:AI228)&lt;1,SUM(IF('11.销售及回款表'!$E$497:$AV$540=AJ$227,'11.销售及回款表'!$E144:$AV144,0)),'11.销售及回款表'!AJ144)</f>
        <v>0</v>
      </c>
      <c r="AK138" s="275">
        <f t="array" ref="AK138">IF(SUM($E228:AJ228)&lt;1,SUM(IF('11.销售及回款表'!$E$497:$AV$540=AK$227,'11.销售及回款表'!$E144:$AV144,0)),'11.销售及回款表'!AK144)</f>
        <v>0</v>
      </c>
      <c r="AL138" s="276">
        <f t="array" ref="AL138">IF(SUM($E228:AK228)&lt;1,SUM(IF('11.销售及回款表'!$E$497:$AV$540=AL$227,'11.销售及回款表'!$E144:$AV144,0)),'11.销售及回款表'!AL144)</f>
        <v>0</v>
      </c>
      <c r="AM138" s="276">
        <f t="array" ref="AM138">IF(SUM($E228:AL228)&lt;1,SUM(IF('11.销售及回款表'!$E$497:$AV$540=AM$227,'11.销售及回款表'!$E144:$AV144,0)),'11.销售及回款表'!AM144)</f>
        <v>0</v>
      </c>
      <c r="AN138" s="277">
        <f t="array" ref="AN138">IF(SUM($E228:AM228)&lt;1,SUM(IF('11.销售及回款表'!$E$497:$AV$540=AN$227,'11.销售及回款表'!$E144:$AV144,0)),'11.销售及回款表'!AN144)</f>
        <v>0</v>
      </c>
      <c r="AO138" s="275">
        <f t="array" ref="AO138">IF(SUM($E228:AN228)&lt;1,SUM(IF('11.销售及回款表'!$E$497:$AV$540=AO$227,'11.销售及回款表'!$E144:$AV144,0)),'11.销售及回款表'!AO144)</f>
        <v>0</v>
      </c>
      <c r="AP138" s="276">
        <f t="array" ref="AP138">IF(SUM($E228:AO228)&lt;1,SUM(IF('11.销售及回款表'!$E$497:$AV$540=AP$227,'11.销售及回款表'!$E144:$AV144,0)),'11.销售及回款表'!AP144)</f>
        <v>0</v>
      </c>
      <c r="AQ138" s="276">
        <f t="array" ref="AQ138">IF(SUM($E228:AP228)&lt;1,SUM(IF('11.销售及回款表'!$E$497:$AV$540=AQ$227,'11.销售及回款表'!$E144:$AV144,0)),'11.销售及回款表'!AQ144)</f>
        <v>0</v>
      </c>
      <c r="AR138" s="277">
        <f t="array" ref="AR138">IF(SUM($E228:AQ228)&lt;1,SUM(IF('11.销售及回款表'!$E$497:$AV$540=AR$227,'11.销售及回款表'!$E144:$AV144,0)),'11.销售及回款表'!AR144)</f>
        <v>0</v>
      </c>
      <c r="AS138" s="275">
        <f t="array" ref="AS138">IF(SUM($E228:AR228)&lt;1,SUM(IF('11.销售及回款表'!$E$497:$AV$540=AS$227,'11.销售及回款表'!$E144:$AV144,0)),'11.销售及回款表'!AS144)</f>
        <v>0</v>
      </c>
      <c r="AT138" s="276">
        <f t="array" ref="AT138">IF(SUM($E228:AS228)&lt;1,SUM(IF('11.销售及回款表'!$E$497:$AV$540=AT$227,'11.销售及回款表'!$E144:$AV144,0)),'11.销售及回款表'!AT144)</f>
        <v>0</v>
      </c>
      <c r="AU138" s="276">
        <f t="array" ref="AU138">IF(SUM($E228:AT228)&lt;1,SUM(IF('11.销售及回款表'!$E$497:$AV$540=AU$227,'11.销售及回款表'!$E144:$AV144,0)),'11.销售及回款表'!AU144)</f>
        <v>0</v>
      </c>
      <c r="AV138" s="277">
        <f t="array" ref="AV138">IF(SUM($E228:AU228)&lt;1,SUM(IF('11.销售及回款表'!$E$497:$AV$540=AV$227,'11.销售及回款表'!$E144:$AV144,0)),'11.销售及回款表'!AV144)</f>
        <v>0</v>
      </c>
    </row>
    <row r="139" spans="2:48" s="256" customFormat="1" ht="15.75" customHeight="1">
      <c r="B139" s="1980"/>
      <c r="C139" s="299" t="s">
        <v>20</v>
      </c>
      <c r="D139" s="300">
        <f>SUM(D140:D151)</f>
        <v>0</v>
      </c>
      <c r="E139" s="301">
        <f>SUM(E140:E151)</f>
        <v>0</v>
      </c>
      <c r="F139" s="300">
        <f t="shared" ref="F139:AV139" si="29">SUM(F140:F151)</f>
        <v>0</v>
      </c>
      <c r="G139" s="300">
        <f t="shared" si="29"/>
        <v>0</v>
      </c>
      <c r="H139" s="302">
        <f t="shared" si="29"/>
        <v>0</v>
      </c>
      <c r="I139" s="301">
        <f t="shared" si="29"/>
        <v>0</v>
      </c>
      <c r="J139" s="300">
        <f t="shared" si="29"/>
        <v>0</v>
      </c>
      <c r="K139" s="300">
        <f t="shared" si="29"/>
        <v>0</v>
      </c>
      <c r="L139" s="302">
        <f t="shared" si="29"/>
        <v>0</v>
      </c>
      <c r="M139" s="301">
        <f t="shared" si="29"/>
        <v>0</v>
      </c>
      <c r="N139" s="300">
        <f t="shared" si="29"/>
        <v>0</v>
      </c>
      <c r="O139" s="300">
        <f t="shared" si="29"/>
        <v>0</v>
      </c>
      <c r="P139" s="302">
        <f t="shared" si="29"/>
        <v>0</v>
      </c>
      <c r="Q139" s="301">
        <f t="shared" si="29"/>
        <v>0</v>
      </c>
      <c r="R139" s="300">
        <f t="shared" si="29"/>
        <v>0</v>
      </c>
      <c r="S139" s="300">
        <f t="shared" si="29"/>
        <v>0</v>
      </c>
      <c r="T139" s="302">
        <f t="shared" si="29"/>
        <v>0</v>
      </c>
      <c r="U139" s="301">
        <f t="shared" si="29"/>
        <v>0</v>
      </c>
      <c r="V139" s="300">
        <f t="shared" si="29"/>
        <v>0</v>
      </c>
      <c r="W139" s="300">
        <f t="shared" si="29"/>
        <v>0</v>
      </c>
      <c r="X139" s="302">
        <f t="shared" si="29"/>
        <v>0</v>
      </c>
      <c r="Y139" s="301">
        <f t="shared" si="29"/>
        <v>0</v>
      </c>
      <c r="Z139" s="300">
        <f t="shared" si="29"/>
        <v>0</v>
      </c>
      <c r="AA139" s="300">
        <f t="shared" si="29"/>
        <v>0</v>
      </c>
      <c r="AB139" s="302">
        <f t="shared" si="29"/>
        <v>0</v>
      </c>
      <c r="AC139" s="301">
        <f t="shared" si="29"/>
        <v>0</v>
      </c>
      <c r="AD139" s="300">
        <f t="shared" si="29"/>
        <v>0</v>
      </c>
      <c r="AE139" s="300">
        <f t="shared" si="29"/>
        <v>0</v>
      </c>
      <c r="AF139" s="302">
        <f t="shared" si="29"/>
        <v>0</v>
      </c>
      <c r="AG139" s="301">
        <f t="shared" si="29"/>
        <v>0</v>
      </c>
      <c r="AH139" s="300">
        <f t="shared" si="29"/>
        <v>0</v>
      </c>
      <c r="AI139" s="300">
        <f t="shared" si="29"/>
        <v>0</v>
      </c>
      <c r="AJ139" s="302">
        <f t="shared" si="29"/>
        <v>0</v>
      </c>
      <c r="AK139" s="301">
        <f t="shared" si="29"/>
        <v>0</v>
      </c>
      <c r="AL139" s="300">
        <f t="shared" si="29"/>
        <v>0</v>
      </c>
      <c r="AM139" s="300">
        <f t="shared" si="29"/>
        <v>0</v>
      </c>
      <c r="AN139" s="302">
        <f t="shared" si="29"/>
        <v>0</v>
      </c>
      <c r="AO139" s="301">
        <f t="shared" si="29"/>
        <v>0</v>
      </c>
      <c r="AP139" s="300">
        <f t="shared" si="29"/>
        <v>0</v>
      </c>
      <c r="AQ139" s="300">
        <f t="shared" si="29"/>
        <v>0</v>
      </c>
      <c r="AR139" s="302">
        <f t="shared" si="29"/>
        <v>0</v>
      </c>
      <c r="AS139" s="301">
        <f t="shared" si="29"/>
        <v>0</v>
      </c>
      <c r="AT139" s="300">
        <f t="shared" si="29"/>
        <v>0</v>
      </c>
      <c r="AU139" s="300">
        <f t="shared" si="29"/>
        <v>0</v>
      </c>
      <c r="AV139" s="302">
        <f t="shared" si="29"/>
        <v>0</v>
      </c>
    </row>
    <row r="140" spans="2:48" s="257" customFormat="1" ht="15.75" customHeight="1" outlineLevel="1">
      <c r="B140" s="1980"/>
      <c r="C140" s="303" t="str">
        <f>'8.项目规划指标表'!$B$5</f>
        <v>高层</v>
      </c>
      <c r="D140" s="274">
        <f>SUM(E140:AV140)</f>
        <v>0</v>
      </c>
      <c r="E140" s="275">
        <f t="array" ref="E140">IF(SUM(D230:$E230)&lt;1,SUM(IF('11.销售及回款表'!$E$497:$AV$540=E$229,'11.销售及回款表'!$E159:$AV159,0)),'11.销售及回款表'!E159)</f>
        <v>0</v>
      </c>
      <c r="F140" s="276">
        <f t="array" ref="F140">IF(SUM(E230:$E230)&lt;1,SUM(IF('11.销售及回款表'!$E$497:$AV$540=F$229,'11.销售及回款表'!$E159:$AV159,0)),'11.销售及回款表'!F159)</f>
        <v>0</v>
      </c>
      <c r="G140" s="276">
        <f t="array" ref="G140">IF(SUM($E230:F230)&lt;1,SUM(IF('11.销售及回款表'!$E$497:$AV$540=G$229,'11.销售及回款表'!$E159:$AV159,0)),'11.销售及回款表'!G159)</f>
        <v>0</v>
      </c>
      <c r="H140" s="277">
        <f t="array" ref="H140">IF(SUM($E230:G230)&lt;1,SUM(IF('11.销售及回款表'!$E$497:$AV$540=H$229,'11.销售及回款表'!$E159:$AV159,0)),'11.销售及回款表'!H159)</f>
        <v>0</v>
      </c>
      <c r="I140" s="275">
        <f t="array" ref="I140">IF(SUM($E230:H230)&lt;1,SUM(IF('11.销售及回款表'!$E$497:$AV$540=I$229,'11.销售及回款表'!$E159:$AV159,0)),'11.销售及回款表'!I159)</f>
        <v>0</v>
      </c>
      <c r="J140" s="276">
        <f t="array" ref="J140">IF(SUM($E230:I230)&lt;1,SUM(IF('11.销售及回款表'!$E$497:$AV$540=J$229,'11.销售及回款表'!$E159:$AV159,0)),'11.销售及回款表'!J159)</f>
        <v>0</v>
      </c>
      <c r="K140" s="276">
        <f t="array" ref="K140">IF(SUM($E230:J230)&lt;1,SUM(IF('11.销售及回款表'!$E$497:$AV$540=K$229,'11.销售及回款表'!$E159:$AV159,0)),'11.销售及回款表'!K159)</f>
        <v>0</v>
      </c>
      <c r="L140" s="277">
        <f t="array" ref="L140">IF(SUM($E230:K230)&lt;1,SUM(IF('11.销售及回款表'!$E$497:$AV$540=L$229,'11.销售及回款表'!$E159:$AV159,0)),'11.销售及回款表'!L159)</f>
        <v>0</v>
      </c>
      <c r="M140" s="275">
        <f t="array" ref="M140">IF(SUM($E230:L230)&lt;1,SUM(IF('11.销售及回款表'!$E$497:$AV$540=M$229,'11.销售及回款表'!$E159:$AV159,0)),'11.销售及回款表'!M159)</f>
        <v>0</v>
      </c>
      <c r="N140" s="276">
        <f t="array" ref="N140">IF(SUM($E230:M230)&lt;1,SUM(IF('11.销售及回款表'!$E$497:$AV$540=N$229,'11.销售及回款表'!$E159:$AV159,0)),'11.销售及回款表'!N159)</f>
        <v>0</v>
      </c>
      <c r="O140" s="276">
        <f t="array" ref="O140">IF(SUM($E230:N230)&lt;1,SUM(IF('11.销售及回款表'!$E$497:$AV$540=O$229,'11.销售及回款表'!$E159:$AV159,0)),'11.销售及回款表'!O159)</f>
        <v>0</v>
      </c>
      <c r="P140" s="277">
        <f t="array" ref="P140">IF(SUM($E230:O230)&lt;1,SUM(IF('11.销售及回款表'!$E$497:$AV$540=P$229,'11.销售及回款表'!$E159:$AV159,0)),'11.销售及回款表'!P159)</f>
        <v>0</v>
      </c>
      <c r="Q140" s="275">
        <f t="array" ref="Q140">IF(SUM($E230:P230)&lt;1,SUM(IF('11.销售及回款表'!$E$497:$AV$540=Q$229,'11.销售及回款表'!$E159:$AV159,0)),'11.销售及回款表'!Q159)</f>
        <v>0</v>
      </c>
      <c r="R140" s="276">
        <f t="array" ref="R140">IF(SUM($E230:Q230)&lt;1,SUM(IF('11.销售及回款表'!$E$497:$AV$540=R$229,'11.销售及回款表'!$E159:$AV159,0)),'11.销售及回款表'!R159)</f>
        <v>0</v>
      </c>
      <c r="S140" s="276">
        <f t="array" ref="S140">IF(SUM($E230:R230)&lt;1,SUM(IF('11.销售及回款表'!$E$497:$AV$540=S$229,'11.销售及回款表'!$E159:$AV159,0)),'11.销售及回款表'!S159)</f>
        <v>0</v>
      </c>
      <c r="T140" s="277">
        <f t="array" ref="T140">IF(SUM($E230:S230)&lt;1,SUM(IF('11.销售及回款表'!$E$497:$AV$540=T$229,'11.销售及回款表'!$E159:$AV159,0)),'11.销售及回款表'!T159)</f>
        <v>0</v>
      </c>
      <c r="U140" s="275">
        <f t="array" ref="U140">IF(SUM($E230:T230)&lt;1,SUM(IF('11.销售及回款表'!$E$497:$AV$540=U$229,'11.销售及回款表'!$E159:$AV159,0)),'11.销售及回款表'!U159)</f>
        <v>0</v>
      </c>
      <c r="V140" s="276">
        <f t="array" ref="V140">IF(SUM($E230:U230)&lt;1,SUM(IF('11.销售及回款表'!$E$497:$AV$540=V$229,'11.销售及回款表'!$E159:$AV159,0)),'11.销售及回款表'!V159)</f>
        <v>0</v>
      </c>
      <c r="W140" s="276">
        <f t="array" ref="W140">IF(SUM($E230:V230)&lt;1,SUM(IF('11.销售及回款表'!$E$497:$AV$540=W$229,'11.销售及回款表'!$E159:$AV159,0)),'11.销售及回款表'!W159)</f>
        <v>0</v>
      </c>
      <c r="X140" s="277">
        <f t="array" ref="X140">IF(SUM($E230:W230)&lt;1,SUM(IF('11.销售及回款表'!$E$497:$AV$540=X$229,'11.销售及回款表'!$E159:$AV159,0)),'11.销售及回款表'!X159)</f>
        <v>0</v>
      </c>
      <c r="Y140" s="275">
        <f t="array" ref="Y140">IF(SUM($E230:X230)&lt;1,SUM(IF('11.销售及回款表'!$E$497:$AV$540=Y$229,'11.销售及回款表'!$E159:$AV159,0)),'11.销售及回款表'!Y159)</f>
        <v>0</v>
      </c>
      <c r="Z140" s="276">
        <f t="array" ref="Z140">IF(SUM($E230:Y230)&lt;1,SUM(IF('11.销售及回款表'!$E$497:$AV$540=Z$229,'11.销售及回款表'!$E159:$AV159,0)),'11.销售及回款表'!Z159)</f>
        <v>0</v>
      </c>
      <c r="AA140" s="276">
        <f t="array" ref="AA140">IF(SUM($E230:Z230)&lt;1,SUM(IF('11.销售及回款表'!$E$497:$AV$540=AA$229,'11.销售及回款表'!$E159:$AV159,0)),'11.销售及回款表'!AA159)</f>
        <v>0</v>
      </c>
      <c r="AB140" s="277">
        <f t="array" ref="AB140">IF(SUM($E230:AA230)&lt;1,SUM(IF('11.销售及回款表'!$E$497:$AV$540=AB$229,'11.销售及回款表'!$E159:$AV159,0)),'11.销售及回款表'!AB159)</f>
        <v>0</v>
      </c>
      <c r="AC140" s="275">
        <f t="array" ref="AC140">IF(SUM($E230:AB230)&lt;1,SUM(IF('11.销售及回款表'!$E$497:$AV$540=AC$229,'11.销售及回款表'!$E159:$AV159,0)),'11.销售及回款表'!AC159)</f>
        <v>0</v>
      </c>
      <c r="AD140" s="276">
        <f t="array" ref="AD140">IF(SUM($E230:AC230)&lt;1,SUM(IF('11.销售及回款表'!$E$497:$AV$540=AD$229,'11.销售及回款表'!$E159:$AV159,0)),'11.销售及回款表'!AD159)</f>
        <v>0</v>
      </c>
      <c r="AE140" s="276">
        <f t="array" ref="AE140">IF(SUM($E230:AD230)&lt;1,SUM(IF('11.销售及回款表'!$E$497:$AV$540=AE$229,'11.销售及回款表'!$E159:$AV159,0)),'11.销售及回款表'!AE159)</f>
        <v>0</v>
      </c>
      <c r="AF140" s="277">
        <f t="array" ref="AF140">IF(SUM($E230:AE230)&lt;1,SUM(IF('11.销售及回款表'!$E$497:$AV$540=AF$229,'11.销售及回款表'!$E159:$AV159,0)),'11.销售及回款表'!AF159)</f>
        <v>0</v>
      </c>
      <c r="AG140" s="275">
        <f t="array" ref="AG140">IF(SUM($E230:AF230)&lt;1,SUM(IF('11.销售及回款表'!$E$497:$AV$540=AG$229,'11.销售及回款表'!$E159:$AV159,0)),'11.销售及回款表'!AG159)</f>
        <v>0</v>
      </c>
      <c r="AH140" s="276">
        <f t="array" ref="AH140">IF(SUM($E230:AG230)&lt;1,SUM(IF('11.销售及回款表'!$E$497:$AV$540=AH$229,'11.销售及回款表'!$E159:$AV159,0)),'11.销售及回款表'!AH159)</f>
        <v>0</v>
      </c>
      <c r="AI140" s="276">
        <f t="array" ref="AI140">IF(SUM($E230:AH230)&lt;1,SUM(IF('11.销售及回款表'!$E$497:$AV$540=AI$229,'11.销售及回款表'!$E159:$AV159,0)),'11.销售及回款表'!AI159)</f>
        <v>0</v>
      </c>
      <c r="AJ140" s="277">
        <f t="array" ref="AJ140">IF(SUM($E230:AI230)&lt;1,SUM(IF('11.销售及回款表'!$E$497:$AV$540=AJ$229,'11.销售及回款表'!$E159:$AV159,0)),'11.销售及回款表'!AJ159)</f>
        <v>0</v>
      </c>
      <c r="AK140" s="275">
        <f t="array" ref="AK140">IF(SUM($E230:AJ230)&lt;1,SUM(IF('11.销售及回款表'!$E$497:$AV$540=AK$229,'11.销售及回款表'!$E159:$AV159,0)),'11.销售及回款表'!AK159)</f>
        <v>0</v>
      </c>
      <c r="AL140" s="276">
        <f t="array" ref="AL140">IF(SUM($E230:AK230)&lt;1,SUM(IF('11.销售及回款表'!$E$497:$AV$540=AL$229,'11.销售及回款表'!$E159:$AV159,0)),'11.销售及回款表'!AL159)</f>
        <v>0</v>
      </c>
      <c r="AM140" s="276">
        <f t="array" ref="AM140">IF(SUM($E230:AL230)&lt;1,SUM(IF('11.销售及回款表'!$E$497:$AV$540=AM$229,'11.销售及回款表'!$E159:$AV159,0)),'11.销售及回款表'!AM159)</f>
        <v>0</v>
      </c>
      <c r="AN140" s="277">
        <f t="array" ref="AN140">IF(SUM($E230:AM230)&lt;1,SUM(IF('11.销售及回款表'!$E$497:$AV$540=AN$229,'11.销售及回款表'!$E159:$AV159,0)),'11.销售及回款表'!AN159)</f>
        <v>0</v>
      </c>
      <c r="AO140" s="275">
        <f t="array" ref="AO140">IF(SUM($E230:AN230)&lt;1,SUM(IF('11.销售及回款表'!$E$497:$AV$540=AO$229,'11.销售及回款表'!$E159:$AV159,0)),'11.销售及回款表'!AO159)</f>
        <v>0</v>
      </c>
      <c r="AP140" s="276">
        <f t="array" ref="AP140">IF(SUM($E230:AO230)&lt;1,SUM(IF('11.销售及回款表'!$E$497:$AV$540=AP$229,'11.销售及回款表'!$E159:$AV159,0)),'11.销售及回款表'!AP159)</f>
        <v>0</v>
      </c>
      <c r="AQ140" s="276">
        <f t="array" ref="AQ140">IF(SUM($E230:AP230)&lt;1,SUM(IF('11.销售及回款表'!$E$497:$AV$540=AQ$229,'11.销售及回款表'!$E159:$AV159,0)),'11.销售及回款表'!AQ159)</f>
        <v>0</v>
      </c>
      <c r="AR140" s="277">
        <f t="array" ref="AR140">IF(SUM($E230:AQ230)&lt;1,SUM(IF('11.销售及回款表'!$E$497:$AV$540=AR$229,'11.销售及回款表'!$E159:$AV159,0)),'11.销售及回款表'!AR159)</f>
        <v>0</v>
      </c>
      <c r="AS140" s="275">
        <f t="array" ref="AS140">IF(SUM($E230:AR230)&lt;1,SUM(IF('11.销售及回款表'!$E$497:$AV$540=AS$229,'11.销售及回款表'!$E159:$AV159,0)),'11.销售及回款表'!AS159)</f>
        <v>0</v>
      </c>
      <c r="AT140" s="276">
        <f t="array" ref="AT140">IF(SUM($E230:AS230)&lt;1,SUM(IF('11.销售及回款表'!$E$497:$AV$540=AT$229,'11.销售及回款表'!$E159:$AV159,0)),'11.销售及回款表'!AT159)</f>
        <v>0</v>
      </c>
      <c r="AU140" s="276">
        <f t="array" ref="AU140">IF(SUM($E230:AT230)&lt;1,SUM(IF('11.销售及回款表'!$E$497:$AV$540=AU$229,'11.销售及回款表'!$E159:$AV159,0)),'11.销售及回款表'!AU159)</f>
        <v>0</v>
      </c>
      <c r="AV140" s="277">
        <f t="array" ref="AV140">IF(SUM($E230:AU230)&lt;1,SUM(IF('11.销售及回款表'!$E$497:$AV$540=AV$229,'11.销售及回款表'!$E159:$AV159,0)),'11.销售及回款表'!AV159)</f>
        <v>0</v>
      </c>
    </row>
    <row r="141" spans="2:48" s="257" customFormat="1" ht="15.75" customHeight="1" outlineLevel="1">
      <c r="B141" s="1980"/>
      <c r="C141" s="303" t="str">
        <f>'8.项目规划指标表'!$B$6</f>
        <v>商铺</v>
      </c>
      <c r="D141" s="274">
        <f t="shared" ref="D141:D151" si="30">SUM(E141:AV141)</f>
        <v>0</v>
      </c>
      <c r="E141" s="275">
        <f t="array" ref="E141">IF(SUM(D232:$E232)&lt;1,SUM(IF('11.销售及回款表'!$E$497:$AV$540=E$231,'11.销售及回款表'!$E164:$AV164,0)),'11.销售及回款表'!E164)</f>
        <v>0</v>
      </c>
      <c r="F141" s="276">
        <f t="array" ref="F141">IF(SUM(E232:$E232)&lt;1,SUM(IF('11.销售及回款表'!$E$497:$AV$540=F$231,'11.销售及回款表'!$E164:$AV164,0)),'11.销售及回款表'!F164)</f>
        <v>0</v>
      </c>
      <c r="G141" s="276">
        <f t="array" ref="G141">IF(SUM($E232:F232)&lt;1,SUM(IF('11.销售及回款表'!$E$497:$AV$540=G$231,'11.销售及回款表'!$E164:$AV164,0)),'11.销售及回款表'!G164)</f>
        <v>0</v>
      </c>
      <c r="H141" s="277">
        <f t="array" ref="H141">IF(SUM($E232:G232)&lt;1,SUM(IF('11.销售及回款表'!$E$497:$AV$540=H$231,'11.销售及回款表'!$E164:$AV164,0)),'11.销售及回款表'!H164)</f>
        <v>0</v>
      </c>
      <c r="I141" s="275">
        <f t="array" ref="I141">IF(SUM($E232:H232)&lt;1,SUM(IF('11.销售及回款表'!$E$497:$AV$540=I$231,'11.销售及回款表'!$E164:$AV164,0)),'11.销售及回款表'!I164)</f>
        <v>0</v>
      </c>
      <c r="J141" s="276">
        <f t="array" ref="J141">IF(SUM($E232:I232)&lt;1,SUM(IF('11.销售及回款表'!$E$497:$AV$540=J$231,'11.销售及回款表'!$E164:$AV164,0)),'11.销售及回款表'!J164)</f>
        <v>0</v>
      </c>
      <c r="K141" s="276">
        <f t="array" ref="K141">IF(SUM($E232:J232)&lt;1,SUM(IF('11.销售及回款表'!$E$497:$AV$540=K$231,'11.销售及回款表'!$E164:$AV164,0)),'11.销售及回款表'!K164)</f>
        <v>0</v>
      </c>
      <c r="L141" s="277">
        <f t="array" ref="L141">IF(SUM($E232:K232)&lt;1,SUM(IF('11.销售及回款表'!$E$497:$AV$540=L$231,'11.销售及回款表'!$E164:$AV164,0)),'11.销售及回款表'!L164)</f>
        <v>0</v>
      </c>
      <c r="M141" s="275">
        <f t="array" ref="M141">IF(SUM($E232:L232)&lt;1,SUM(IF('11.销售及回款表'!$E$497:$AV$540=M$231,'11.销售及回款表'!$E164:$AV164,0)),'11.销售及回款表'!M164)</f>
        <v>0</v>
      </c>
      <c r="N141" s="276">
        <f t="array" ref="N141">IF(SUM($E232:M232)&lt;1,SUM(IF('11.销售及回款表'!$E$497:$AV$540=N$231,'11.销售及回款表'!$E164:$AV164,0)),'11.销售及回款表'!N164)</f>
        <v>0</v>
      </c>
      <c r="O141" s="276">
        <f t="array" ref="O141">IF(SUM($E232:N232)&lt;1,SUM(IF('11.销售及回款表'!$E$497:$AV$540=O$231,'11.销售及回款表'!$E164:$AV164,0)),'11.销售及回款表'!O164)</f>
        <v>0</v>
      </c>
      <c r="P141" s="277">
        <f t="array" ref="P141">IF(SUM($E232:O232)&lt;1,SUM(IF('11.销售及回款表'!$E$497:$AV$540=P$231,'11.销售及回款表'!$E164:$AV164,0)),'11.销售及回款表'!P164)</f>
        <v>0</v>
      </c>
      <c r="Q141" s="275">
        <f t="array" ref="Q141">IF(SUM($E232:P232)&lt;1,SUM(IF('11.销售及回款表'!$E$497:$AV$540=Q$231,'11.销售及回款表'!$E164:$AV164,0)),'11.销售及回款表'!Q164)</f>
        <v>0</v>
      </c>
      <c r="R141" s="276">
        <f t="array" ref="R141">IF(SUM($E232:Q232)&lt;1,SUM(IF('11.销售及回款表'!$E$497:$AV$540=R$231,'11.销售及回款表'!$E164:$AV164,0)),'11.销售及回款表'!R164)</f>
        <v>0</v>
      </c>
      <c r="S141" s="276">
        <f t="array" ref="S141">IF(SUM($E232:R232)&lt;1,SUM(IF('11.销售及回款表'!$E$497:$AV$540=S$231,'11.销售及回款表'!$E164:$AV164,0)),'11.销售及回款表'!S164)</f>
        <v>0</v>
      </c>
      <c r="T141" s="277">
        <f t="array" ref="T141">IF(SUM($E232:S232)&lt;1,SUM(IF('11.销售及回款表'!$E$497:$AV$540=T$231,'11.销售及回款表'!$E164:$AV164,0)),'11.销售及回款表'!T164)</f>
        <v>0</v>
      </c>
      <c r="U141" s="275">
        <f t="array" ref="U141">IF(SUM($E232:T232)&lt;1,SUM(IF('11.销售及回款表'!$E$497:$AV$540=U$231,'11.销售及回款表'!$E164:$AV164,0)),'11.销售及回款表'!U164)</f>
        <v>0</v>
      </c>
      <c r="V141" s="276">
        <f t="array" ref="V141">IF(SUM($E232:U232)&lt;1,SUM(IF('11.销售及回款表'!$E$497:$AV$540=V$231,'11.销售及回款表'!$E164:$AV164,0)),'11.销售及回款表'!V164)</f>
        <v>0</v>
      </c>
      <c r="W141" s="276">
        <f t="array" ref="W141">IF(SUM($E232:V232)&lt;1,SUM(IF('11.销售及回款表'!$E$497:$AV$540=W$231,'11.销售及回款表'!$E164:$AV164,0)),'11.销售及回款表'!W164)</f>
        <v>0</v>
      </c>
      <c r="X141" s="277">
        <f t="array" ref="X141">IF(SUM($E232:W232)&lt;1,SUM(IF('11.销售及回款表'!$E$497:$AV$540=X$231,'11.销售及回款表'!$E164:$AV164,0)),'11.销售及回款表'!X164)</f>
        <v>0</v>
      </c>
      <c r="Y141" s="275">
        <f t="array" ref="Y141">IF(SUM($E232:X232)&lt;1,SUM(IF('11.销售及回款表'!$E$497:$AV$540=Y$231,'11.销售及回款表'!$E164:$AV164,0)),'11.销售及回款表'!Y164)</f>
        <v>0</v>
      </c>
      <c r="Z141" s="276">
        <f t="array" ref="Z141">IF(SUM($E232:Y232)&lt;1,SUM(IF('11.销售及回款表'!$E$497:$AV$540=Z$231,'11.销售及回款表'!$E164:$AV164,0)),'11.销售及回款表'!Z164)</f>
        <v>0</v>
      </c>
      <c r="AA141" s="276">
        <f t="array" ref="AA141">IF(SUM($E232:Z232)&lt;1,SUM(IF('11.销售及回款表'!$E$497:$AV$540=AA$231,'11.销售及回款表'!$E164:$AV164,0)),'11.销售及回款表'!AA164)</f>
        <v>0</v>
      </c>
      <c r="AB141" s="277">
        <f t="array" ref="AB141">IF(SUM($E232:AA232)&lt;1,SUM(IF('11.销售及回款表'!$E$497:$AV$540=AB$231,'11.销售及回款表'!$E164:$AV164,0)),'11.销售及回款表'!AB164)</f>
        <v>0</v>
      </c>
      <c r="AC141" s="275">
        <f t="array" ref="AC141">IF(SUM($E232:AB232)&lt;1,SUM(IF('11.销售及回款表'!$E$497:$AV$540=AC$231,'11.销售及回款表'!$E164:$AV164,0)),'11.销售及回款表'!AC164)</f>
        <v>0</v>
      </c>
      <c r="AD141" s="276">
        <f t="array" ref="AD141">IF(SUM($E232:AC232)&lt;1,SUM(IF('11.销售及回款表'!$E$497:$AV$540=AD$231,'11.销售及回款表'!$E164:$AV164,0)),'11.销售及回款表'!AD164)</f>
        <v>0</v>
      </c>
      <c r="AE141" s="276">
        <f t="array" ref="AE141">IF(SUM($E232:AD232)&lt;1,SUM(IF('11.销售及回款表'!$E$497:$AV$540=AE$231,'11.销售及回款表'!$E164:$AV164,0)),'11.销售及回款表'!AE164)</f>
        <v>0</v>
      </c>
      <c r="AF141" s="277">
        <f t="array" ref="AF141">IF(SUM($E232:AE232)&lt;1,SUM(IF('11.销售及回款表'!$E$497:$AV$540=AF$231,'11.销售及回款表'!$E164:$AV164,0)),'11.销售及回款表'!AF164)</f>
        <v>0</v>
      </c>
      <c r="AG141" s="275">
        <f t="array" ref="AG141">IF(SUM($E232:AF232)&lt;1,SUM(IF('11.销售及回款表'!$E$497:$AV$540=AG$231,'11.销售及回款表'!$E164:$AV164,0)),'11.销售及回款表'!AG164)</f>
        <v>0</v>
      </c>
      <c r="AH141" s="276">
        <f t="array" ref="AH141">IF(SUM($E232:AG232)&lt;1,SUM(IF('11.销售及回款表'!$E$497:$AV$540=AH$231,'11.销售及回款表'!$E164:$AV164,0)),'11.销售及回款表'!AH164)</f>
        <v>0</v>
      </c>
      <c r="AI141" s="276">
        <f t="array" ref="AI141">IF(SUM($E232:AH232)&lt;1,SUM(IF('11.销售及回款表'!$E$497:$AV$540=AI$231,'11.销售及回款表'!$E164:$AV164,0)),'11.销售及回款表'!AI164)</f>
        <v>0</v>
      </c>
      <c r="AJ141" s="277">
        <f t="array" ref="AJ141">IF(SUM($E232:AI232)&lt;1,SUM(IF('11.销售及回款表'!$E$497:$AV$540=AJ$231,'11.销售及回款表'!$E164:$AV164,0)),'11.销售及回款表'!AJ164)</f>
        <v>0</v>
      </c>
      <c r="AK141" s="275">
        <f t="array" ref="AK141">IF(SUM($E232:AJ232)&lt;1,SUM(IF('11.销售及回款表'!$E$497:$AV$540=AK$231,'11.销售及回款表'!$E164:$AV164,0)),'11.销售及回款表'!AK164)</f>
        <v>0</v>
      </c>
      <c r="AL141" s="276">
        <f t="array" ref="AL141">IF(SUM($E232:AK232)&lt;1,SUM(IF('11.销售及回款表'!$E$497:$AV$540=AL$231,'11.销售及回款表'!$E164:$AV164,0)),'11.销售及回款表'!AL164)</f>
        <v>0</v>
      </c>
      <c r="AM141" s="276">
        <f t="array" ref="AM141">IF(SUM($E232:AL232)&lt;1,SUM(IF('11.销售及回款表'!$E$497:$AV$540=AM$231,'11.销售及回款表'!$E164:$AV164,0)),'11.销售及回款表'!AM164)</f>
        <v>0</v>
      </c>
      <c r="AN141" s="277">
        <f t="array" ref="AN141">IF(SUM($E232:AM232)&lt;1,SUM(IF('11.销售及回款表'!$E$497:$AV$540=AN$231,'11.销售及回款表'!$E164:$AV164,0)),'11.销售及回款表'!AN164)</f>
        <v>0</v>
      </c>
      <c r="AO141" s="275">
        <f t="array" ref="AO141">IF(SUM($E232:AN232)&lt;1,SUM(IF('11.销售及回款表'!$E$497:$AV$540=AO$231,'11.销售及回款表'!$E164:$AV164,0)),'11.销售及回款表'!AO164)</f>
        <v>0</v>
      </c>
      <c r="AP141" s="276">
        <f t="array" ref="AP141">IF(SUM($E232:AO232)&lt;1,SUM(IF('11.销售及回款表'!$E$497:$AV$540=AP$231,'11.销售及回款表'!$E164:$AV164,0)),'11.销售及回款表'!AP164)</f>
        <v>0</v>
      </c>
      <c r="AQ141" s="276">
        <f t="array" ref="AQ141">IF(SUM($E232:AP232)&lt;1,SUM(IF('11.销售及回款表'!$E$497:$AV$540=AQ$231,'11.销售及回款表'!$E164:$AV164,0)),'11.销售及回款表'!AQ164)</f>
        <v>0</v>
      </c>
      <c r="AR141" s="277">
        <f t="array" ref="AR141">IF(SUM($E232:AQ232)&lt;1,SUM(IF('11.销售及回款表'!$E$497:$AV$540=AR$231,'11.销售及回款表'!$E164:$AV164,0)),'11.销售及回款表'!AR164)</f>
        <v>0</v>
      </c>
      <c r="AS141" s="275">
        <f t="array" ref="AS141">IF(SUM($E232:AR232)&lt;1,SUM(IF('11.销售及回款表'!$E$497:$AV$540=AS$231,'11.销售及回款表'!$E164:$AV164,0)),'11.销售及回款表'!AS164)</f>
        <v>0</v>
      </c>
      <c r="AT141" s="276">
        <f t="array" ref="AT141">IF(SUM($E232:AS232)&lt;1,SUM(IF('11.销售及回款表'!$E$497:$AV$540=AT$231,'11.销售及回款表'!$E164:$AV164,0)),'11.销售及回款表'!AT164)</f>
        <v>0</v>
      </c>
      <c r="AU141" s="276">
        <f t="array" ref="AU141">IF(SUM($E232:AT232)&lt;1,SUM(IF('11.销售及回款表'!$E$497:$AV$540=AU$231,'11.销售及回款表'!$E164:$AV164,0)),'11.销售及回款表'!AU164)</f>
        <v>0</v>
      </c>
      <c r="AV141" s="277">
        <f t="array" ref="AV141">IF(SUM($E232:AU232)&lt;1,SUM(IF('11.销售及回款表'!$E$497:$AV$540=AV$231,'11.销售及回款表'!$E164:$AV164,0)),'11.销售及回款表'!AV164)</f>
        <v>0</v>
      </c>
    </row>
    <row r="142" spans="2:48" s="257" customFormat="1" ht="15.75" customHeight="1" outlineLevel="1">
      <c r="B142" s="1980"/>
      <c r="C142" s="303" t="str">
        <f>'8.项目规划指标表'!$B$7</f>
        <v>回迁商业</v>
      </c>
      <c r="D142" s="274">
        <f t="shared" si="30"/>
        <v>0</v>
      </c>
      <c r="E142" s="275">
        <f t="array" ref="E142">IF(SUM(D234:$E234)&lt;1,SUM(IF('11.销售及回款表'!$E$497:$AV$540=E$233,'11.销售及回款表'!$E169:$AV169,0)),'11.销售及回款表'!E169)</f>
        <v>0</v>
      </c>
      <c r="F142" s="276">
        <f t="array" ref="F142">IF(SUM(E234:$E234)&lt;1,SUM(IF('11.销售及回款表'!$E$497:$AV$540=F$233,'11.销售及回款表'!$E169:$AV169,0)),'11.销售及回款表'!F169)</f>
        <v>0</v>
      </c>
      <c r="G142" s="276">
        <f t="array" ref="G142">IF(SUM($E234:F234)&lt;1,SUM(IF('11.销售及回款表'!$E$497:$AV$540=G$233,'11.销售及回款表'!$E169:$AV169,0)),'11.销售及回款表'!G169)</f>
        <v>0</v>
      </c>
      <c r="H142" s="277">
        <f t="array" ref="H142">IF(SUM($E234:G234)&lt;1,SUM(IF('11.销售及回款表'!$E$497:$AV$540=H$233,'11.销售及回款表'!$E169:$AV169,0)),'11.销售及回款表'!H169)</f>
        <v>0</v>
      </c>
      <c r="I142" s="275">
        <f t="array" ref="I142">IF(SUM($E234:H234)&lt;1,SUM(IF('11.销售及回款表'!$E$497:$AV$540=I$233,'11.销售及回款表'!$E169:$AV169,0)),'11.销售及回款表'!I169)</f>
        <v>0</v>
      </c>
      <c r="J142" s="276">
        <f t="array" ref="J142">IF(SUM($E234:I234)&lt;1,SUM(IF('11.销售及回款表'!$E$497:$AV$540=J$233,'11.销售及回款表'!$E169:$AV169,0)),'11.销售及回款表'!J169)</f>
        <v>0</v>
      </c>
      <c r="K142" s="276">
        <f t="array" ref="K142">IF(SUM($E234:J234)&lt;1,SUM(IF('11.销售及回款表'!$E$497:$AV$540=K$233,'11.销售及回款表'!$E169:$AV169,0)),'11.销售及回款表'!K169)</f>
        <v>0</v>
      </c>
      <c r="L142" s="277">
        <f t="array" ref="L142">IF(SUM($E234:K234)&lt;1,SUM(IF('11.销售及回款表'!$E$497:$AV$540=L$233,'11.销售及回款表'!$E169:$AV169,0)),'11.销售及回款表'!L169)</f>
        <v>0</v>
      </c>
      <c r="M142" s="275">
        <f t="array" ref="M142">IF(SUM($E234:L234)&lt;1,SUM(IF('11.销售及回款表'!$E$497:$AV$540=M$233,'11.销售及回款表'!$E169:$AV169,0)),'11.销售及回款表'!M169)</f>
        <v>0</v>
      </c>
      <c r="N142" s="276">
        <f t="array" ref="N142">IF(SUM($E234:M234)&lt;1,SUM(IF('11.销售及回款表'!$E$497:$AV$540=N$233,'11.销售及回款表'!$E169:$AV169,0)),'11.销售及回款表'!N169)</f>
        <v>0</v>
      </c>
      <c r="O142" s="276">
        <f t="array" ref="O142">IF(SUM($E234:N234)&lt;1,SUM(IF('11.销售及回款表'!$E$497:$AV$540=O$233,'11.销售及回款表'!$E169:$AV169,0)),'11.销售及回款表'!O169)</f>
        <v>0</v>
      </c>
      <c r="P142" s="277">
        <f t="array" ref="P142">IF(SUM($E234:O234)&lt;1,SUM(IF('11.销售及回款表'!$E$497:$AV$540=P$233,'11.销售及回款表'!$E169:$AV169,0)),'11.销售及回款表'!P169)</f>
        <v>0</v>
      </c>
      <c r="Q142" s="275">
        <f t="array" ref="Q142">IF(SUM($E234:P234)&lt;1,SUM(IF('11.销售及回款表'!$E$497:$AV$540=Q$233,'11.销售及回款表'!$E169:$AV169,0)),'11.销售及回款表'!Q169)</f>
        <v>0</v>
      </c>
      <c r="R142" s="276">
        <f t="array" ref="R142">IF(SUM($E234:Q234)&lt;1,SUM(IF('11.销售及回款表'!$E$497:$AV$540=R$233,'11.销售及回款表'!$E169:$AV169,0)),'11.销售及回款表'!R169)</f>
        <v>0</v>
      </c>
      <c r="S142" s="276">
        <f t="array" ref="S142">IF(SUM($E234:R234)&lt;1,SUM(IF('11.销售及回款表'!$E$497:$AV$540=S$233,'11.销售及回款表'!$E169:$AV169,0)),'11.销售及回款表'!S169)</f>
        <v>0</v>
      </c>
      <c r="T142" s="277">
        <f t="array" ref="T142">IF(SUM($E234:S234)&lt;1,SUM(IF('11.销售及回款表'!$E$497:$AV$540=T$233,'11.销售及回款表'!$E169:$AV169,0)),'11.销售及回款表'!T169)</f>
        <v>0</v>
      </c>
      <c r="U142" s="275">
        <f t="array" ref="U142">IF(SUM($E234:T234)&lt;1,SUM(IF('11.销售及回款表'!$E$497:$AV$540=U$233,'11.销售及回款表'!$E169:$AV169,0)),'11.销售及回款表'!U169)</f>
        <v>0</v>
      </c>
      <c r="V142" s="276">
        <f t="array" ref="V142">IF(SUM($E234:U234)&lt;1,SUM(IF('11.销售及回款表'!$E$497:$AV$540=V$233,'11.销售及回款表'!$E169:$AV169,0)),'11.销售及回款表'!V169)</f>
        <v>0</v>
      </c>
      <c r="W142" s="276">
        <f t="array" ref="W142">IF(SUM($E234:V234)&lt;1,SUM(IF('11.销售及回款表'!$E$497:$AV$540=W$233,'11.销售及回款表'!$E169:$AV169,0)),'11.销售及回款表'!W169)</f>
        <v>0</v>
      </c>
      <c r="X142" s="277">
        <f t="array" ref="X142">IF(SUM($E234:W234)&lt;1,SUM(IF('11.销售及回款表'!$E$497:$AV$540=X$233,'11.销售及回款表'!$E169:$AV169,0)),'11.销售及回款表'!X169)</f>
        <v>0</v>
      </c>
      <c r="Y142" s="275">
        <f t="array" ref="Y142">IF(SUM($E234:X234)&lt;1,SUM(IF('11.销售及回款表'!$E$497:$AV$540=Y$233,'11.销售及回款表'!$E169:$AV169,0)),'11.销售及回款表'!Y169)</f>
        <v>0</v>
      </c>
      <c r="Z142" s="276">
        <f t="array" ref="Z142">IF(SUM($E234:Y234)&lt;1,SUM(IF('11.销售及回款表'!$E$497:$AV$540=Z$233,'11.销售及回款表'!$E169:$AV169,0)),'11.销售及回款表'!Z169)</f>
        <v>0</v>
      </c>
      <c r="AA142" s="276">
        <f t="array" ref="AA142">IF(SUM($E234:Z234)&lt;1,SUM(IF('11.销售及回款表'!$E$497:$AV$540=AA$233,'11.销售及回款表'!$E169:$AV169,0)),'11.销售及回款表'!AA169)</f>
        <v>0</v>
      </c>
      <c r="AB142" s="277">
        <f t="array" ref="AB142">IF(SUM($E234:AA234)&lt;1,SUM(IF('11.销售及回款表'!$E$497:$AV$540=AB$233,'11.销售及回款表'!$E169:$AV169,0)),'11.销售及回款表'!AB169)</f>
        <v>0</v>
      </c>
      <c r="AC142" s="275">
        <f t="array" ref="AC142">IF(SUM($E234:AB234)&lt;1,SUM(IF('11.销售及回款表'!$E$497:$AV$540=AC$233,'11.销售及回款表'!$E169:$AV169,0)),'11.销售及回款表'!AC169)</f>
        <v>0</v>
      </c>
      <c r="AD142" s="276">
        <f t="array" ref="AD142">IF(SUM($E234:AC234)&lt;1,SUM(IF('11.销售及回款表'!$E$497:$AV$540=AD$233,'11.销售及回款表'!$E169:$AV169,0)),'11.销售及回款表'!AD169)</f>
        <v>0</v>
      </c>
      <c r="AE142" s="276">
        <f t="array" ref="AE142">IF(SUM($E234:AD234)&lt;1,SUM(IF('11.销售及回款表'!$E$497:$AV$540=AE$233,'11.销售及回款表'!$E169:$AV169,0)),'11.销售及回款表'!AE169)</f>
        <v>0</v>
      </c>
      <c r="AF142" s="277">
        <f t="array" ref="AF142">IF(SUM($E234:AE234)&lt;1,SUM(IF('11.销售及回款表'!$E$497:$AV$540=AF$233,'11.销售及回款表'!$E169:$AV169,0)),'11.销售及回款表'!AF169)</f>
        <v>0</v>
      </c>
      <c r="AG142" s="275">
        <f t="array" ref="AG142">IF(SUM($E234:AF234)&lt;1,SUM(IF('11.销售及回款表'!$E$497:$AV$540=AG$233,'11.销售及回款表'!$E169:$AV169,0)),'11.销售及回款表'!AG169)</f>
        <v>0</v>
      </c>
      <c r="AH142" s="276">
        <f t="array" ref="AH142">IF(SUM($E234:AG234)&lt;1,SUM(IF('11.销售及回款表'!$E$497:$AV$540=AH$233,'11.销售及回款表'!$E169:$AV169,0)),'11.销售及回款表'!AH169)</f>
        <v>0</v>
      </c>
      <c r="AI142" s="276">
        <f t="array" ref="AI142">IF(SUM($E234:AH234)&lt;1,SUM(IF('11.销售及回款表'!$E$497:$AV$540=AI$233,'11.销售及回款表'!$E169:$AV169,0)),'11.销售及回款表'!AI169)</f>
        <v>0</v>
      </c>
      <c r="AJ142" s="277">
        <f t="array" ref="AJ142">IF(SUM($E234:AI234)&lt;1,SUM(IF('11.销售及回款表'!$E$497:$AV$540=AJ$233,'11.销售及回款表'!$E169:$AV169,0)),'11.销售及回款表'!AJ169)</f>
        <v>0</v>
      </c>
      <c r="AK142" s="275">
        <f t="array" ref="AK142">IF(SUM($E234:AJ234)&lt;1,SUM(IF('11.销售及回款表'!$E$497:$AV$540=AK$233,'11.销售及回款表'!$E169:$AV169,0)),'11.销售及回款表'!AK169)</f>
        <v>0</v>
      </c>
      <c r="AL142" s="276">
        <f t="array" ref="AL142">IF(SUM($E234:AK234)&lt;1,SUM(IF('11.销售及回款表'!$E$497:$AV$540=AL$233,'11.销售及回款表'!$E169:$AV169,0)),'11.销售及回款表'!AL169)</f>
        <v>0</v>
      </c>
      <c r="AM142" s="276">
        <f t="array" ref="AM142">IF(SUM($E234:AL234)&lt;1,SUM(IF('11.销售及回款表'!$E$497:$AV$540=AM$233,'11.销售及回款表'!$E169:$AV169,0)),'11.销售及回款表'!AM169)</f>
        <v>0</v>
      </c>
      <c r="AN142" s="277">
        <f t="array" ref="AN142">IF(SUM($E234:AM234)&lt;1,SUM(IF('11.销售及回款表'!$E$497:$AV$540=AN$233,'11.销售及回款表'!$E169:$AV169,0)),'11.销售及回款表'!AN169)</f>
        <v>0</v>
      </c>
      <c r="AO142" s="275">
        <f t="array" ref="AO142">IF(SUM($E234:AN234)&lt;1,SUM(IF('11.销售及回款表'!$E$497:$AV$540=AO$233,'11.销售及回款表'!$E169:$AV169,0)),'11.销售及回款表'!AO169)</f>
        <v>0</v>
      </c>
      <c r="AP142" s="276">
        <f t="array" ref="AP142">IF(SUM($E234:AO234)&lt;1,SUM(IF('11.销售及回款表'!$E$497:$AV$540=AP$233,'11.销售及回款表'!$E169:$AV169,0)),'11.销售及回款表'!AP169)</f>
        <v>0</v>
      </c>
      <c r="AQ142" s="276">
        <f t="array" ref="AQ142">IF(SUM($E234:AP234)&lt;1,SUM(IF('11.销售及回款表'!$E$497:$AV$540=AQ$233,'11.销售及回款表'!$E169:$AV169,0)),'11.销售及回款表'!AQ169)</f>
        <v>0</v>
      </c>
      <c r="AR142" s="277">
        <f t="array" ref="AR142">IF(SUM($E234:AQ234)&lt;1,SUM(IF('11.销售及回款表'!$E$497:$AV$540=AR$233,'11.销售及回款表'!$E169:$AV169,0)),'11.销售及回款表'!AR169)</f>
        <v>0</v>
      </c>
      <c r="AS142" s="275">
        <f t="array" ref="AS142">IF(SUM($E234:AR234)&lt;1,SUM(IF('11.销售及回款表'!$E$497:$AV$540=AS$233,'11.销售及回款表'!$E169:$AV169,0)),'11.销售及回款表'!AS169)</f>
        <v>0</v>
      </c>
      <c r="AT142" s="276">
        <f t="array" ref="AT142">IF(SUM($E234:AS234)&lt;1,SUM(IF('11.销售及回款表'!$E$497:$AV$540=AT$233,'11.销售及回款表'!$E169:$AV169,0)),'11.销售及回款表'!AT169)</f>
        <v>0</v>
      </c>
      <c r="AU142" s="276">
        <f t="array" ref="AU142">IF(SUM($E234:AT234)&lt;1,SUM(IF('11.销售及回款表'!$E$497:$AV$540=AU$233,'11.销售及回款表'!$E169:$AV169,0)),'11.销售及回款表'!AU169)</f>
        <v>0</v>
      </c>
      <c r="AV142" s="277">
        <f t="array" ref="AV142">IF(SUM($E234:AU234)&lt;1,SUM(IF('11.销售及回款表'!$E$497:$AV$540=AV$233,'11.销售及回款表'!$E169:$AV169,0)),'11.销售及回款表'!AV169)</f>
        <v>0</v>
      </c>
    </row>
    <row r="143" spans="2:48" s="257" customFormat="1" ht="15.75" customHeight="1" outlineLevel="1">
      <c r="B143" s="1980"/>
      <c r="C143" s="303">
        <f>'8.项目规划指标表'!$B$8</f>
        <v>0</v>
      </c>
      <c r="D143" s="274">
        <f t="shared" si="30"/>
        <v>0</v>
      </c>
      <c r="E143" s="275">
        <f t="array" ref="E143">IF(SUM(D236:$E236)&lt;1,SUM(IF('11.销售及回款表'!$E$497:$AV$540=E$235,'11.销售及回款表'!$E174:$AV174,0)),'11.销售及回款表'!E174)</f>
        <v>0</v>
      </c>
      <c r="F143" s="276">
        <f t="array" ref="F143">IF(SUM(E236:$E236)&lt;1,SUM(IF('11.销售及回款表'!$E$497:$AV$540=F$235,'11.销售及回款表'!$E174:$AV174,0)),'11.销售及回款表'!F174)</f>
        <v>0</v>
      </c>
      <c r="G143" s="276">
        <f t="array" ref="G143">IF(SUM($E236:F236)&lt;1,SUM(IF('11.销售及回款表'!$E$497:$AV$540=G$235,'11.销售及回款表'!$E174:$AV174,0)),'11.销售及回款表'!G174)</f>
        <v>0</v>
      </c>
      <c r="H143" s="277">
        <f t="array" ref="H143">IF(SUM($E236:G236)&lt;1,SUM(IF('11.销售及回款表'!$E$497:$AV$540=H$235,'11.销售及回款表'!$E174:$AV174,0)),'11.销售及回款表'!H174)</f>
        <v>0</v>
      </c>
      <c r="I143" s="275">
        <f t="array" ref="I143">IF(SUM($E236:H236)&lt;1,SUM(IF('11.销售及回款表'!$E$497:$AV$540=I$235,'11.销售及回款表'!$E174:$AV174,0)),'11.销售及回款表'!I174)</f>
        <v>0</v>
      </c>
      <c r="J143" s="276">
        <f t="array" ref="J143">IF(SUM($E236:I236)&lt;1,SUM(IF('11.销售及回款表'!$E$497:$AV$540=J$235,'11.销售及回款表'!$E174:$AV174,0)),'11.销售及回款表'!J174)</f>
        <v>0</v>
      </c>
      <c r="K143" s="276">
        <f t="array" ref="K143">IF(SUM($E236:J236)&lt;1,SUM(IF('11.销售及回款表'!$E$497:$AV$540=K$235,'11.销售及回款表'!$E174:$AV174,0)),'11.销售及回款表'!K174)</f>
        <v>0</v>
      </c>
      <c r="L143" s="277">
        <f t="array" ref="L143">IF(SUM($E236:K236)&lt;1,SUM(IF('11.销售及回款表'!$E$497:$AV$540=L$235,'11.销售及回款表'!$E174:$AV174,0)),'11.销售及回款表'!L174)</f>
        <v>0</v>
      </c>
      <c r="M143" s="275">
        <f t="array" ref="M143">IF(SUM($E236:L236)&lt;1,SUM(IF('11.销售及回款表'!$E$497:$AV$540=M$235,'11.销售及回款表'!$E174:$AV174,0)),'11.销售及回款表'!M174)</f>
        <v>0</v>
      </c>
      <c r="N143" s="276">
        <f t="array" ref="N143">IF(SUM($E236:M236)&lt;1,SUM(IF('11.销售及回款表'!$E$497:$AV$540=N$235,'11.销售及回款表'!$E174:$AV174,0)),'11.销售及回款表'!N174)</f>
        <v>0</v>
      </c>
      <c r="O143" s="276">
        <f t="array" ref="O143">IF(SUM($E236:N236)&lt;1,SUM(IF('11.销售及回款表'!$E$497:$AV$540=O$235,'11.销售及回款表'!$E174:$AV174,0)),'11.销售及回款表'!O174)</f>
        <v>0</v>
      </c>
      <c r="P143" s="277">
        <f t="array" ref="P143">IF(SUM($E236:O236)&lt;1,SUM(IF('11.销售及回款表'!$E$497:$AV$540=P$235,'11.销售及回款表'!$E174:$AV174,0)),'11.销售及回款表'!P174)</f>
        <v>0</v>
      </c>
      <c r="Q143" s="275">
        <f t="array" ref="Q143">IF(SUM($E236:P236)&lt;1,SUM(IF('11.销售及回款表'!$E$497:$AV$540=Q$235,'11.销售及回款表'!$E174:$AV174,0)),'11.销售及回款表'!Q174)</f>
        <v>0</v>
      </c>
      <c r="R143" s="276">
        <f t="array" ref="R143">IF(SUM($E236:Q236)&lt;1,SUM(IF('11.销售及回款表'!$E$497:$AV$540=R$235,'11.销售及回款表'!$E174:$AV174,0)),'11.销售及回款表'!R174)</f>
        <v>0</v>
      </c>
      <c r="S143" s="276">
        <f t="array" ref="S143">IF(SUM($E236:R236)&lt;1,SUM(IF('11.销售及回款表'!$E$497:$AV$540=S$235,'11.销售及回款表'!$E174:$AV174,0)),'11.销售及回款表'!S174)</f>
        <v>0</v>
      </c>
      <c r="T143" s="277">
        <f t="array" ref="T143">IF(SUM($E236:S236)&lt;1,SUM(IF('11.销售及回款表'!$E$497:$AV$540=T$235,'11.销售及回款表'!$E174:$AV174,0)),'11.销售及回款表'!T174)</f>
        <v>0</v>
      </c>
      <c r="U143" s="275">
        <f t="array" ref="U143">IF(SUM($E236:T236)&lt;1,SUM(IF('11.销售及回款表'!$E$497:$AV$540=U$235,'11.销售及回款表'!$E174:$AV174,0)),'11.销售及回款表'!U174)</f>
        <v>0</v>
      </c>
      <c r="V143" s="276">
        <f t="array" ref="V143">IF(SUM($E236:U236)&lt;1,SUM(IF('11.销售及回款表'!$E$497:$AV$540=V$235,'11.销售及回款表'!$E174:$AV174,0)),'11.销售及回款表'!V174)</f>
        <v>0</v>
      </c>
      <c r="W143" s="276">
        <f t="array" ref="W143">IF(SUM($E236:V236)&lt;1,SUM(IF('11.销售及回款表'!$E$497:$AV$540=W$235,'11.销售及回款表'!$E174:$AV174,0)),'11.销售及回款表'!W174)</f>
        <v>0</v>
      </c>
      <c r="X143" s="277">
        <f t="array" ref="X143">IF(SUM($E236:W236)&lt;1,SUM(IF('11.销售及回款表'!$E$497:$AV$540=X$235,'11.销售及回款表'!$E174:$AV174,0)),'11.销售及回款表'!X174)</f>
        <v>0</v>
      </c>
      <c r="Y143" s="275">
        <f t="array" ref="Y143">IF(SUM($E236:X236)&lt;1,SUM(IF('11.销售及回款表'!$E$497:$AV$540=Y$235,'11.销售及回款表'!$E174:$AV174,0)),'11.销售及回款表'!Y174)</f>
        <v>0</v>
      </c>
      <c r="Z143" s="276">
        <f t="array" ref="Z143">IF(SUM($E236:Y236)&lt;1,SUM(IF('11.销售及回款表'!$E$497:$AV$540=Z$235,'11.销售及回款表'!$E174:$AV174,0)),'11.销售及回款表'!Z174)</f>
        <v>0</v>
      </c>
      <c r="AA143" s="276">
        <f t="array" ref="AA143">IF(SUM($E236:Z236)&lt;1,SUM(IF('11.销售及回款表'!$E$497:$AV$540=AA$235,'11.销售及回款表'!$E174:$AV174,0)),'11.销售及回款表'!AA174)</f>
        <v>0</v>
      </c>
      <c r="AB143" s="277">
        <f t="array" ref="AB143">IF(SUM($E236:AA236)&lt;1,SUM(IF('11.销售及回款表'!$E$497:$AV$540=AB$235,'11.销售及回款表'!$E174:$AV174,0)),'11.销售及回款表'!AB174)</f>
        <v>0</v>
      </c>
      <c r="AC143" s="275">
        <f t="array" ref="AC143">IF(SUM($E236:AB236)&lt;1,SUM(IF('11.销售及回款表'!$E$497:$AV$540=AC$235,'11.销售及回款表'!$E174:$AV174,0)),'11.销售及回款表'!AC174)</f>
        <v>0</v>
      </c>
      <c r="AD143" s="276">
        <f t="array" ref="AD143">IF(SUM($E236:AC236)&lt;1,SUM(IF('11.销售及回款表'!$E$497:$AV$540=AD$235,'11.销售及回款表'!$E174:$AV174,0)),'11.销售及回款表'!AD174)</f>
        <v>0</v>
      </c>
      <c r="AE143" s="276">
        <f t="array" ref="AE143">IF(SUM($E236:AD236)&lt;1,SUM(IF('11.销售及回款表'!$E$497:$AV$540=AE$235,'11.销售及回款表'!$E174:$AV174,0)),'11.销售及回款表'!AE174)</f>
        <v>0</v>
      </c>
      <c r="AF143" s="277">
        <f t="array" ref="AF143">IF(SUM($E236:AE236)&lt;1,SUM(IF('11.销售及回款表'!$E$497:$AV$540=AF$235,'11.销售及回款表'!$E174:$AV174,0)),'11.销售及回款表'!AF174)</f>
        <v>0</v>
      </c>
      <c r="AG143" s="275">
        <f t="array" ref="AG143">IF(SUM($E236:AF236)&lt;1,SUM(IF('11.销售及回款表'!$E$497:$AV$540=AG$235,'11.销售及回款表'!$E174:$AV174,0)),'11.销售及回款表'!AG174)</f>
        <v>0</v>
      </c>
      <c r="AH143" s="276">
        <f t="array" ref="AH143">IF(SUM($E236:AG236)&lt;1,SUM(IF('11.销售及回款表'!$E$497:$AV$540=AH$235,'11.销售及回款表'!$E174:$AV174,0)),'11.销售及回款表'!AH174)</f>
        <v>0</v>
      </c>
      <c r="AI143" s="276">
        <f t="array" ref="AI143">IF(SUM($E236:AH236)&lt;1,SUM(IF('11.销售及回款表'!$E$497:$AV$540=AI$235,'11.销售及回款表'!$E174:$AV174,0)),'11.销售及回款表'!AI174)</f>
        <v>0</v>
      </c>
      <c r="AJ143" s="277">
        <f t="array" ref="AJ143">IF(SUM($E236:AI236)&lt;1,SUM(IF('11.销售及回款表'!$E$497:$AV$540=AJ$235,'11.销售及回款表'!$E174:$AV174,0)),'11.销售及回款表'!AJ174)</f>
        <v>0</v>
      </c>
      <c r="AK143" s="275">
        <f t="array" ref="AK143">IF(SUM($E236:AJ236)&lt;1,SUM(IF('11.销售及回款表'!$E$497:$AV$540=AK$235,'11.销售及回款表'!$E174:$AV174,0)),'11.销售及回款表'!AK174)</f>
        <v>0</v>
      </c>
      <c r="AL143" s="276">
        <f t="array" ref="AL143">IF(SUM($E236:AK236)&lt;1,SUM(IF('11.销售及回款表'!$E$497:$AV$540=AL$235,'11.销售及回款表'!$E174:$AV174,0)),'11.销售及回款表'!AL174)</f>
        <v>0</v>
      </c>
      <c r="AM143" s="276">
        <f t="array" ref="AM143">IF(SUM($E236:AL236)&lt;1,SUM(IF('11.销售及回款表'!$E$497:$AV$540=AM$235,'11.销售及回款表'!$E174:$AV174,0)),'11.销售及回款表'!AM174)</f>
        <v>0</v>
      </c>
      <c r="AN143" s="277">
        <f t="array" ref="AN143">IF(SUM($E236:AM236)&lt;1,SUM(IF('11.销售及回款表'!$E$497:$AV$540=AN$235,'11.销售及回款表'!$E174:$AV174,0)),'11.销售及回款表'!AN174)</f>
        <v>0</v>
      </c>
      <c r="AO143" s="275">
        <f t="array" ref="AO143">IF(SUM($E236:AN236)&lt;1,SUM(IF('11.销售及回款表'!$E$497:$AV$540=AO$235,'11.销售及回款表'!$E174:$AV174,0)),'11.销售及回款表'!AO174)</f>
        <v>0</v>
      </c>
      <c r="AP143" s="276">
        <f t="array" ref="AP143">IF(SUM($E236:AO236)&lt;1,SUM(IF('11.销售及回款表'!$E$497:$AV$540=AP$235,'11.销售及回款表'!$E174:$AV174,0)),'11.销售及回款表'!AP174)</f>
        <v>0</v>
      </c>
      <c r="AQ143" s="276">
        <f t="array" ref="AQ143">IF(SUM($E236:AP236)&lt;1,SUM(IF('11.销售及回款表'!$E$497:$AV$540=AQ$235,'11.销售及回款表'!$E174:$AV174,0)),'11.销售及回款表'!AQ174)</f>
        <v>0</v>
      </c>
      <c r="AR143" s="277">
        <f t="array" ref="AR143">IF(SUM($E236:AQ236)&lt;1,SUM(IF('11.销售及回款表'!$E$497:$AV$540=AR$235,'11.销售及回款表'!$E174:$AV174,0)),'11.销售及回款表'!AR174)</f>
        <v>0</v>
      </c>
      <c r="AS143" s="275">
        <f t="array" ref="AS143">IF(SUM($E236:AR236)&lt;1,SUM(IF('11.销售及回款表'!$E$497:$AV$540=AS$235,'11.销售及回款表'!$E174:$AV174,0)),'11.销售及回款表'!AS174)</f>
        <v>0</v>
      </c>
      <c r="AT143" s="276">
        <f t="array" ref="AT143">IF(SUM($E236:AS236)&lt;1,SUM(IF('11.销售及回款表'!$E$497:$AV$540=AT$235,'11.销售及回款表'!$E174:$AV174,0)),'11.销售及回款表'!AT174)</f>
        <v>0</v>
      </c>
      <c r="AU143" s="276">
        <f t="array" ref="AU143">IF(SUM($E236:AT236)&lt;1,SUM(IF('11.销售及回款表'!$E$497:$AV$540=AU$235,'11.销售及回款表'!$E174:$AV174,0)),'11.销售及回款表'!AU174)</f>
        <v>0</v>
      </c>
      <c r="AV143" s="277">
        <f t="array" ref="AV143">IF(SUM($E236:AU236)&lt;1,SUM(IF('11.销售及回款表'!$E$497:$AV$540=AV$235,'11.销售及回款表'!$E174:$AV174,0)),'11.销售及回款表'!AV174)</f>
        <v>0</v>
      </c>
    </row>
    <row r="144" spans="2:48" s="257" customFormat="1" ht="15.75" customHeight="1" outlineLevel="1">
      <c r="B144" s="1980"/>
      <c r="C144" s="303">
        <f>'8.项目规划指标表'!$B$9</f>
        <v>0</v>
      </c>
      <c r="D144" s="274">
        <f t="shared" si="30"/>
        <v>0</v>
      </c>
      <c r="E144" s="275">
        <f t="array" ref="E144">IF(SUM(D238:$E238)&lt;1,SUM(IF('11.销售及回款表'!$E$497:$AV$540=E$237,'11.销售及回款表'!$E179:$AV179,0)),'11.销售及回款表'!E179)</f>
        <v>0</v>
      </c>
      <c r="F144" s="276">
        <f t="array" ref="F144">IF(SUM(E238:$E238)&lt;1,SUM(IF('11.销售及回款表'!$E$497:$AV$540=F$237,'11.销售及回款表'!$E179:$AV179,0)),'11.销售及回款表'!F179)</f>
        <v>0</v>
      </c>
      <c r="G144" s="276">
        <f t="array" ref="G144">IF(SUM($E238:F238)&lt;1,SUM(IF('11.销售及回款表'!$E$497:$AV$540=G$237,'11.销售及回款表'!$E179:$AV179,0)),'11.销售及回款表'!G179)</f>
        <v>0</v>
      </c>
      <c r="H144" s="277">
        <f t="array" ref="H144">IF(SUM($E238:G238)&lt;1,SUM(IF('11.销售及回款表'!$E$497:$AV$540=H$237,'11.销售及回款表'!$E179:$AV179,0)),'11.销售及回款表'!H179)</f>
        <v>0</v>
      </c>
      <c r="I144" s="275">
        <f t="array" ref="I144">IF(SUM($E238:H238)&lt;1,SUM(IF('11.销售及回款表'!$E$497:$AV$540=I$237,'11.销售及回款表'!$E179:$AV179,0)),'11.销售及回款表'!I179)</f>
        <v>0</v>
      </c>
      <c r="J144" s="276">
        <f t="array" ref="J144">IF(SUM($E238:I238)&lt;1,SUM(IF('11.销售及回款表'!$E$497:$AV$540=J$237,'11.销售及回款表'!$E179:$AV179,0)),'11.销售及回款表'!J179)</f>
        <v>0</v>
      </c>
      <c r="K144" s="276">
        <f t="array" ref="K144">IF(SUM($E238:J238)&lt;1,SUM(IF('11.销售及回款表'!$E$497:$AV$540=K$237,'11.销售及回款表'!$E179:$AV179,0)),'11.销售及回款表'!K179)</f>
        <v>0</v>
      </c>
      <c r="L144" s="277">
        <f t="array" ref="L144">IF(SUM($E238:K238)&lt;1,SUM(IF('11.销售及回款表'!$E$497:$AV$540=L$237,'11.销售及回款表'!$E179:$AV179,0)),'11.销售及回款表'!L179)</f>
        <v>0</v>
      </c>
      <c r="M144" s="275">
        <f t="array" ref="M144">IF(SUM($E238:L238)&lt;1,SUM(IF('11.销售及回款表'!$E$497:$AV$540=M$237,'11.销售及回款表'!$E179:$AV179,0)),'11.销售及回款表'!M179)</f>
        <v>0</v>
      </c>
      <c r="N144" s="276">
        <f t="array" ref="N144">IF(SUM($E238:M238)&lt;1,SUM(IF('11.销售及回款表'!$E$497:$AV$540=N$237,'11.销售及回款表'!$E179:$AV179,0)),'11.销售及回款表'!N179)</f>
        <v>0</v>
      </c>
      <c r="O144" s="276">
        <f t="array" ref="O144">IF(SUM($E238:N238)&lt;1,SUM(IF('11.销售及回款表'!$E$497:$AV$540=O$237,'11.销售及回款表'!$E179:$AV179,0)),'11.销售及回款表'!O179)</f>
        <v>0</v>
      </c>
      <c r="P144" s="277">
        <f t="array" ref="P144">IF(SUM($E238:O238)&lt;1,SUM(IF('11.销售及回款表'!$E$497:$AV$540=P$237,'11.销售及回款表'!$E179:$AV179,0)),'11.销售及回款表'!P179)</f>
        <v>0</v>
      </c>
      <c r="Q144" s="275">
        <f t="array" ref="Q144">IF(SUM($E238:P238)&lt;1,SUM(IF('11.销售及回款表'!$E$497:$AV$540=Q$237,'11.销售及回款表'!$E179:$AV179,0)),'11.销售及回款表'!Q179)</f>
        <v>0</v>
      </c>
      <c r="R144" s="276">
        <f t="array" ref="R144">IF(SUM($E238:Q238)&lt;1,SUM(IF('11.销售及回款表'!$E$497:$AV$540=R$237,'11.销售及回款表'!$E179:$AV179,0)),'11.销售及回款表'!R179)</f>
        <v>0</v>
      </c>
      <c r="S144" s="276">
        <f t="array" ref="S144">IF(SUM($E238:R238)&lt;1,SUM(IF('11.销售及回款表'!$E$497:$AV$540=S$237,'11.销售及回款表'!$E179:$AV179,0)),'11.销售及回款表'!S179)</f>
        <v>0</v>
      </c>
      <c r="T144" s="277">
        <f t="array" ref="T144">IF(SUM($E238:S238)&lt;1,SUM(IF('11.销售及回款表'!$E$497:$AV$540=T$237,'11.销售及回款表'!$E179:$AV179,0)),'11.销售及回款表'!T179)</f>
        <v>0</v>
      </c>
      <c r="U144" s="275">
        <f t="array" ref="U144">IF(SUM($E238:T238)&lt;1,SUM(IF('11.销售及回款表'!$E$497:$AV$540=U$237,'11.销售及回款表'!$E179:$AV179,0)),'11.销售及回款表'!U179)</f>
        <v>0</v>
      </c>
      <c r="V144" s="276">
        <f t="array" ref="V144">IF(SUM($E238:U238)&lt;1,SUM(IF('11.销售及回款表'!$E$497:$AV$540=V$237,'11.销售及回款表'!$E179:$AV179,0)),'11.销售及回款表'!V179)</f>
        <v>0</v>
      </c>
      <c r="W144" s="276">
        <f t="array" ref="W144">IF(SUM($E238:V238)&lt;1,SUM(IF('11.销售及回款表'!$E$497:$AV$540=W$237,'11.销售及回款表'!$E179:$AV179,0)),'11.销售及回款表'!W179)</f>
        <v>0</v>
      </c>
      <c r="X144" s="277">
        <f t="array" ref="X144">IF(SUM($E238:W238)&lt;1,SUM(IF('11.销售及回款表'!$E$497:$AV$540=X$237,'11.销售及回款表'!$E179:$AV179,0)),'11.销售及回款表'!X179)</f>
        <v>0</v>
      </c>
      <c r="Y144" s="275">
        <f t="array" ref="Y144">IF(SUM($E238:X238)&lt;1,SUM(IF('11.销售及回款表'!$E$497:$AV$540=Y$237,'11.销售及回款表'!$E179:$AV179,0)),'11.销售及回款表'!Y179)</f>
        <v>0</v>
      </c>
      <c r="Z144" s="276">
        <f t="array" ref="Z144">IF(SUM($E238:Y238)&lt;1,SUM(IF('11.销售及回款表'!$E$497:$AV$540=Z$237,'11.销售及回款表'!$E179:$AV179,0)),'11.销售及回款表'!Z179)</f>
        <v>0</v>
      </c>
      <c r="AA144" s="276">
        <f t="array" ref="AA144">IF(SUM($E238:Z238)&lt;1,SUM(IF('11.销售及回款表'!$E$497:$AV$540=AA$237,'11.销售及回款表'!$E179:$AV179,0)),'11.销售及回款表'!AA179)</f>
        <v>0</v>
      </c>
      <c r="AB144" s="277">
        <f t="array" ref="AB144">IF(SUM($E238:AA238)&lt;1,SUM(IF('11.销售及回款表'!$E$497:$AV$540=AB$237,'11.销售及回款表'!$E179:$AV179,0)),'11.销售及回款表'!AB179)</f>
        <v>0</v>
      </c>
      <c r="AC144" s="275">
        <f t="array" ref="AC144">IF(SUM($E238:AB238)&lt;1,SUM(IF('11.销售及回款表'!$E$497:$AV$540=AC$237,'11.销售及回款表'!$E179:$AV179,0)),'11.销售及回款表'!AC179)</f>
        <v>0</v>
      </c>
      <c r="AD144" s="276">
        <f t="array" ref="AD144">IF(SUM($E238:AC238)&lt;1,SUM(IF('11.销售及回款表'!$E$497:$AV$540=AD$237,'11.销售及回款表'!$E179:$AV179,0)),'11.销售及回款表'!AD179)</f>
        <v>0</v>
      </c>
      <c r="AE144" s="276">
        <f t="array" ref="AE144">IF(SUM($E238:AD238)&lt;1,SUM(IF('11.销售及回款表'!$E$497:$AV$540=AE$237,'11.销售及回款表'!$E179:$AV179,0)),'11.销售及回款表'!AE179)</f>
        <v>0</v>
      </c>
      <c r="AF144" s="277">
        <f t="array" ref="AF144">IF(SUM($E238:AE238)&lt;1,SUM(IF('11.销售及回款表'!$E$497:$AV$540=AF$237,'11.销售及回款表'!$E179:$AV179,0)),'11.销售及回款表'!AF179)</f>
        <v>0</v>
      </c>
      <c r="AG144" s="275">
        <f t="array" ref="AG144">IF(SUM($E238:AF238)&lt;1,SUM(IF('11.销售及回款表'!$E$497:$AV$540=AG$237,'11.销售及回款表'!$E179:$AV179,0)),'11.销售及回款表'!AG179)</f>
        <v>0</v>
      </c>
      <c r="AH144" s="276">
        <f t="array" ref="AH144">IF(SUM($E238:AG238)&lt;1,SUM(IF('11.销售及回款表'!$E$497:$AV$540=AH$237,'11.销售及回款表'!$E179:$AV179,0)),'11.销售及回款表'!AH179)</f>
        <v>0</v>
      </c>
      <c r="AI144" s="276">
        <f t="array" ref="AI144">IF(SUM($E238:AH238)&lt;1,SUM(IF('11.销售及回款表'!$E$497:$AV$540=AI$237,'11.销售及回款表'!$E179:$AV179,0)),'11.销售及回款表'!AI179)</f>
        <v>0</v>
      </c>
      <c r="AJ144" s="277">
        <f t="array" ref="AJ144">IF(SUM($E238:AI238)&lt;1,SUM(IF('11.销售及回款表'!$E$497:$AV$540=AJ$237,'11.销售及回款表'!$E179:$AV179,0)),'11.销售及回款表'!AJ179)</f>
        <v>0</v>
      </c>
      <c r="AK144" s="275">
        <f t="array" ref="AK144">IF(SUM($E238:AJ238)&lt;1,SUM(IF('11.销售及回款表'!$E$497:$AV$540=AK$237,'11.销售及回款表'!$E179:$AV179,0)),'11.销售及回款表'!AK179)</f>
        <v>0</v>
      </c>
      <c r="AL144" s="276">
        <f t="array" ref="AL144">IF(SUM($E238:AK238)&lt;1,SUM(IF('11.销售及回款表'!$E$497:$AV$540=AL$237,'11.销售及回款表'!$E179:$AV179,0)),'11.销售及回款表'!AL179)</f>
        <v>0</v>
      </c>
      <c r="AM144" s="276">
        <f t="array" ref="AM144">IF(SUM($E238:AL238)&lt;1,SUM(IF('11.销售及回款表'!$E$497:$AV$540=AM$237,'11.销售及回款表'!$E179:$AV179,0)),'11.销售及回款表'!AM179)</f>
        <v>0</v>
      </c>
      <c r="AN144" s="277">
        <f t="array" ref="AN144">IF(SUM($E238:AM238)&lt;1,SUM(IF('11.销售及回款表'!$E$497:$AV$540=AN$237,'11.销售及回款表'!$E179:$AV179,0)),'11.销售及回款表'!AN179)</f>
        <v>0</v>
      </c>
      <c r="AO144" s="275">
        <f t="array" ref="AO144">IF(SUM($E238:AN238)&lt;1,SUM(IF('11.销售及回款表'!$E$497:$AV$540=AO$237,'11.销售及回款表'!$E179:$AV179,0)),'11.销售及回款表'!AO179)</f>
        <v>0</v>
      </c>
      <c r="AP144" s="276">
        <f t="array" ref="AP144">IF(SUM($E238:AO238)&lt;1,SUM(IF('11.销售及回款表'!$E$497:$AV$540=AP$237,'11.销售及回款表'!$E179:$AV179,0)),'11.销售及回款表'!AP179)</f>
        <v>0</v>
      </c>
      <c r="AQ144" s="276">
        <f t="array" ref="AQ144">IF(SUM($E238:AP238)&lt;1,SUM(IF('11.销售及回款表'!$E$497:$AV$540=AQ$237,'11.销售及回款表'!$E179:$AV179,0)),'11.销售及回款表'!AQ179)</f>
        <v>0</v>
      </c>
      <c r="AR144" s="277">
        <f t="array" ref="AR144">IF(SUM($E238:AQ238)&lt;1,SUM(IF('11.销售及回款表'!$E$497:$AV$540=AR$237,'11.销售及回款表'!$E179:$AV179,0)),'11.销售及回款表'!AR179)</f>
        <v>0</v>
      </c>
      <c r="AS144" s="275">
        <f t="array" ref="AS144">IF(SUM($E238:AR238)&lt;1,SUM(IF('11.销售及回款表'!$E$497:$AV$540=AS$237,'11.销售及回款表'!$E179:$AV179,0)),'11.销售及回款表'!AS179)</f>
        <v>0</v>
      </c>
      <c r="AT144" s="276">
        <f t="array" ref="AT144">IF(SUM($E238:AS238)&lt;1,SUM(IF('11.销售及回款表'!$E$497:$AV$540=AT$237,'11.销售及回款表'!$E179:$AV179,0)),'11.销售及回款表'!AT179)</f>
        <v>0</v>
      </c>
      <c r="AU144" s="276">
        <f t="array" ref="AU144">IF(SUM($E238:AT238)&lt;1,SUM(IF('11.销售及回款表'!$E$497:$AV$540=AU$237,'11.销售及回款表'!$E179:$AV179,0)),'11.销售及回款表'!AU179)</f>
        <v>0</v>
      </c>
      <c r="AV144" s="277">
        <f t="array" ref="AV144">IF(SUM($E238:AU238)&lt;1,SUM(IF('11.销售及回款表'!$E$497:$AV$540=AV$237,'11.销售及回款表'!$E179:$AV179,0)),'11.销售及回款表'!AV179)</f>
        <v>0</v>
      </c>
    </row>
    <row r="145" spans="2:48" s="257" customFormat="1" ht="15.75" customHeight="1" outlineLevel="1">
      <c r="B145" s="1980"/>
      <c r="C145" s="303">
        <f>'8.项目规划指标表'!$B$10</f>
        <v>0</v>
      </c>
      <c r="D145" s="274">
        <f t="shared" si="30"/>
        <v>0</v>
      </c>
      <c r="E145" s="275">
        <f t="array" ref="E145">IF(SUM(D240:$E240)&lt;1,SUM(IF('11.销售及回款表'!$E$497:$AV$540=E$239,'11.销售及回款表'!$E184:$AV184,0)),'11.销售及回款表'!E184)</f>
        <v>0</v>
      </c>
      <c r="F145" s="276">
        <f t="array" ref="F145">IF(SUM(E240:$E240)&lt;1,SUM(IF('11.销售及回款表'!$E$497:$AV$540=F$239,'11.销售及回款表'!$E184:$AV184,0)),'11.销售及回款表'!F184)</f>
        <v>0</v>
      </c>
      <c r="G145" s="276">
        <f t="array" ref="G145">IF(SUM($E240:F240)&lt;1,SUM(IF('11.销售及回款表'!$E$497:$AV$540=G$239,'11.销售及回款表'!$E184:$AV184,0)),'11.销售及回款表'!G184)</f>
        <v>0</v>
      </c>
      <c r="H145" s="277">
        <f t="array" ref="H145">IF(SUM($E240:G240)&lt;1,SUM(IF('11.销售及回款表'!$E$497:$AV$540=H$239,'11.销售及回款表'!$E184:$AV184,0)),'11.销售及回款表'!H184)</f>
        <v>0</v>
      </c>
      <c r="I145" s="275">
        <f t="array" ref="I145">IF(SUM($E240:H240)&lt;1,SUM(IF('11.销售及回款表'!$E$497:$AV$540=I$239,'11.销售及回款表'!$E184:$AV184,0)),'11.销售及回款表'!I184)</f>
        <v>0</v>
      </c>
      <c r="J145" s="276">
        <f t="array" ref="J145">IF(SUM($E240:I240)&lt;1,SUM(IF('11.销售及回款表'!$E$497:$AV$540=J$239,'11.销售及回款表'!$E184:$AV184,0)),'11.销售及回款表'!J184)</f>
        <v>0</v>
      </c>
      <c r="K145" s="276">
        <f t="array" ref="K145">IF(SUM($E240:J240)&lt;1,SUM(IF('11.销售及回款表'!$E$497:$AV$540=K$239,'11.销售及回款表'!$E184:$AV184,0)),'11.销售及回款表'!K184)</f>
        <v>0</v>
      </c>
      <c r="L145" s="277">
        <f t="array" ref="L145">IF(SUM($E240:K240)&lt;1,SUM(IF('11.销售及回款表'!$E$497:$AV$540=L$239,'11.销售及回款表'!$E184:$AV184,0)),'11.销售及回款表'!L184)</f>
        <v>0</v>
      </c>
      <c r="M145" s="275">
        <f t="array" ref="M145">IF(SUM($E240:L240)&lt;1,SUM(IF('11.销售及回款表'!$E$497:$AV$540=M$239,'11.销售及回款表'!$E184:$AV184,0)),'11.销售及回款表'!M184)</f>
        <v>0</v>
      </c>
      <c r="N145" s="276">
        <f t="array" ref="N145">IF(SUM($E240:M240)&lt;1,SUM(IF('11.销售及回款表'!$E$497:$AV$540=N$239,'11.销售及回款表'!$E184:$AV184,0)),'11.销售及回款表'!N184)</f>
        <v>0</v>
      </c>
      <c r="O145" s="276">
        <f t="array" ref="O145">IF(SUM($E240:N240)&lt;1,SUM(IF('11.销售及回款表'!$E$497:$AV$540=O$239,'11.销售及回款表'!$E184:$AV184,0)),'11.销售及回款表'!O184)</f>
        <v>0</v>
      </c>
      <c r="P145" s="277">
        <f t="array" ref="P145">IF(SUM($E240:O240)&lt;1,SUM(IF('11.销售及回款表'!$E$497:$AV$540=P$239,'11.销售及回款表'!$E184:$AV184,0)),'11.销售及回款表'!P184)</f>
        <v>0</v>
      </c>
      <c r="Q145" s="275">
        <f t="array" ref="Q145">IF(SUM($E240:P240)&lt;1,SUM(IF('11.销售及回款表'!$E$497:$AV$540=Q$239,'11.销售及回款表'!$E184:$AV184,0)),'11.销售及回款表'!Q184)</f>
        <v>0</v>
      </c>
      <c r="R145" s="276">
        <f t="array" ref="R145">IF(SUM($E240:Q240)&lt;1,SUM(IF('11.销售及回款表'!$E$497:$AV$540=R$239,'11.销售及回款表'!$E184:$AV184,0)),'11.销售及回款表'!R184)</f>
        <v>0</v>
      </c>
      <c r="S145" s="276">
        <f t="array" ref="S145">IF(SUM($E240:R240)&lt;1,SUM(IF('11.销售及回款表'!$E$497:$AV$540=S$239,'11.销售及回款表'!$E184:$AV184,0)),'11.销售及回款表'!S184)</f>
        <v>0</v>
      </c>
      <c r="T145" s="277">
        <f t="array" ref="T145">IF(SUM($E240:S240)&lt;1,SUM(IF('11.销售及回款表'!$E$497:$AV$540=T$239,'11.销售及回款表'!$E184:$AV184,0)),'11.销售及回款表'!T184)</f>
        <v>0</v>
      </c>
      <c r="U145" s="275">
        <f t="array" ref="U145">IF(SUM($E240:T240)&lt;1,SUM(IF('11.销售及回款表'!$E$497:$AV$540=U$239,'11.销售及回款表'!$E184:$AV184,0)),'11.销售及回款表'!U184)</f>
        <v>0</v>
      </c>
      <c r="V145" s="276">
        <f t="array" ref="V145">IF(SUM($E240:U240)&lt;1,SUM(IF('11.销售及回款表'!$E$497:$AV$540=V$239,'11.销售及回款表'!$E184:$AV184,0)),'11.销售及回款表'!V184)</f>
        <v>0</v>
      </c>
      <c r="W145" s="276">
        <f t="array" ref="W145">IF(SUM($E240:V240)&lt;1,SUM(IF('11.销售及回款表'!$E$497:$AV$540=W$239,'11.销售及回款表'!$E184:$AV184,0)),'11.销售及回款表'!W184)</f>
        <v>0</v>
      </c>
      <c r="X145" s="277">
        <f t="array" ref="X145">IF(SUM($E240:W240)&lt;1,SUM(IF('11.销售及回款表'!$E$497:$AV$540=X$239,'11.销售及回款表'!$E184:$AV184,0)),'11.销售及回款表'!X184)</f>
        <v>0</v>
      </c>
      <c r="Y145" s="275">
        <f t="array" ref="Y145">IF(SUM($E240:X240)&lt;1,SUM(IF('11.销售及回款表'!$E$497:$AV$540=Y$239,'11.销售及回款表'!$E184:$AV184,0)),'11.销售及回款表'!Y184)</f>
        <v>0</v>
      </c>
      <c r="Z145" s="276">
        <f t="array" ref="Z145">IF(SUM($E240:Y240)&lt;1,SUM(IF('11.销售及回款表'!$E$497:$AV$540=Z$239,'11.销售及回款表'!$E184:$AV184,0)),'11.销售及回款表'!Z184)</f>
        <v>0</v>
      </c>
      <c r="AA145" s="276">
        <f t="array" ref="AA145">IF(SUM($E240:Z240)&lt;1,SUM(IF('11.销售及回款表'!$E$497:$AV$540=AA$239,'11.销售及回款表'!$E184:$AV184,0)),'11.销售及回款表'!AA184)</f>
        <v>0</v>
      </c>
      <c r="AB145" s="277">
        <f t="array" ref="AB145">IF(SUM($E240:AA240)&lt;1,SUM(IF('11.销售及回款表'!$E$497:$AV$540=AB$239,'11.销售及回款表'!$E184:$AV184,0)),'11.销售及回款表'!AB184)</f>
        <v>0</v>
      </c>
      <c r="AC145" s="275">
        <f t="array" ref="AC145">IF(SUM($E240:AB240)&lt;1,SUM(IF('11.销售及回款表'!$E$497:$AV$540=AC$239,'11.销售及回款表'!$E184:$AV184,0)),'11.销售及回款表'!AC184)</f>
        <v>0</v>
      </c>
      <c r="AD145" s="276">
        <f t="array" ref="AD145">IF(SUM($E240:AC240)&lt;1,SUM(IF('11.销售及回款表'!$E$497:$AV$540=AD$239,'11.销售及回款表'!$E184:$AV184,0)),'11.销售及回款表'!AD184)</f>
        <v>0</v>
      </c>
      <c r="AE145" s="276">
        <f t="array" ref="AE145">IF(SUM($E240:AD240)&lt;1,SUM(IF('11.销售及回款表'!$E$497:$AV$540=AE$239,'11.销售及回款表'!$E184:$AV184,0)),'11.销售及回款表'!AE184)</f>
        <v>0</v>
      </c>
      <c r="AF145" s="277">
        <f t="array" ref="AF145">IF(SUM($E240:AE240)&lt;1,SUM(IF('11.销售及回款表'!$E$497:$AV$540=AF$239,'11.销售及回款表'!$E184:$AV184,0)),'11.销售及回款表'!AF184)</f>
        <v>0</v>
      </c>
      <c r="AG145" s="275">
        <f t="array" ref="AG145">IF(SUM($E240:AF240)&lt;1,SUM(IF('11.销售及回款表'!$E$497:$AV$540=AG$239,'11.销售及回款表'!$E184:$AV184,0)),'11.销售及回款表'!AG184)</f>
        <v>0</v>
      </c>
      <c r="AH145" s="276">
        <f t="array" ref="AH145">IF(SUM($E240:AG240)&lt;1,SUM(IF('11.销售及回款表'!$E$497:$AV$540=AH$239,'11.销售及回款表'!$E184:$AV184,0)),'11.销售及回款表'!AH184)</f>
        <v>0</v>
      </c>
      <c r="AI145" s="276">
        <f t="array" ref="AI145">IF(SUM($E240:AH240)&lt;1,SUM(IF('11.销售及回款表'!$E$497:$AV$540=AI$239,'11.销售及回款表'!$E184:$AV184,0)),'11.销售及回款表'!AI184)</f>
        <v>0</v>
      </c>
      <c r="AJ145" s="277">
        <f t="array" ref="AJ145">IF(SUM($E240:AI240)&lt;1,SUM(IF('11.销售及回款表'!$E$497:$AV$540=AJ$239,'11.销售及回款表'!$E184:$AV184,0)),'11.销售及回款表'!AJ184)</f>
        <v>0</v>
      </c>
      <c r="AK145" s="275">
        <f t="array" ref="AK145">IF(SUM($E240:AJ240)&lt;1,SUM(IF('11.销售及回款表'!$E$497:$AV$540=AK$239,'11.销售及回款表'!$E184:$AV184,0)),'11.销售及回款表'!AK184)</f>
        <v>0</v>
      </c>
      <c r="AL145" s="276">
        <f t="array" ref="AL145">IF(SUM($E240:AK240)&lt;1,SUM(IF('11.销售及回款表'!$E$497:$AV$540=AL$239,'11.销售及回款表'!$E184:$AV184,0)),'11.销售及回款表'!AL184)</f>
        <v>0</v>
      </c>
      <c r="AM145" s="276">
        <f t="array" ref="AM145">IF(SUM($E240:AL240)&lt;1,SUM(IF('11.销售及回款表'!$E$497:$AV$540=AM$239,'11.销售及回款表'!$E184:$AV184,0)),'11.销售及回款表'!AM184)</f>
        <v>0</v>
      </c>
      <c r="AN145" s="277">
        <f t="array" ref="AN145">IF(SUM($E240:AM240)&lt;1,SUM(IF('11.销售及回款表'!$E$497:$AV$540=AN$239,'11.销售及回款表'!$E184:$AV184,0)),'11.销售及回款表'!AN184)</f>
        <v>0</v>
      </c>
      <c r="AO145" s="275">
        <f t="array" ref="AO145">IF(SUM($E240:AN240)&lt;1,SUM(IF('11.销售及回款表'!$E$497:$AV$540=AO$239,'11.销售及回款表'!$E184:$AV184,0)),'11.销售及回款表'!AO184)</f>
        <v>0</v>
      </c>
      <c r="AP145" s="276">
        <f t="array" ref="AP145">IF(SUM($E240:AO240)&lt;1,SUM(IF('11.销售及回款表'!$E$497:$AV$540=AP$239,'11.销售及回款表'!$E184:$AV184,0)),'11.销售及回款表'!AP184)</f>
        <v>0</v>
      </c>
      <c r="AQ145" s="276">
        <f t="array" ref="AQ145">IF(SUM($E240:AP240)&lt;1,SUM(IF('11.销售及回款表'!$E$497:$AV$540=AQ$239,'11.销售及回款表'!$E184:$AV184,0)),'11.销售及回款表'!AQ184)</f>
        <v>0</v>
      </c>
      <c r="AR145" s="277">
        <f t="array" ref="AR145">IF(SUM($E240:AQ240)&lt;1,SUM(IF('11.销售及回款表'!$E$497:$AV$540=AR$239,'11.销售及回款表'!$E184:$AV184,0)),'11.销售及回款表'!AR184)</f>
        <v>0</v>
      </c>
      <c r="AS145" s="275">
        <f t="array" ref="AS145">IF(SUM($E240:AR240)&lt;1,SUM(IF('11.销售及回款表'!$E$497:$AV$540=AS$239,'11.销售及回款表'!$E184:$AV184,0)),'11.销售及回款表'!AS184)</f>
        <v>0</v>
      </c>
      <c r="AT145" s="276">
        <f t="array" ref="AT145">IF(SUM($E240:AS240)&lt;1,SUM(IF('11.销售及回款表'!$E$497:$AV$540=AT$239,'11.销售及回款表'!$E184:$AV184,0)),'11.销售及回款表'!AT184)</f>
        <v>0</v>
      </c>
      <c r="AU145" s="276">
        <f t="array" ref="AU145">IF(SUM($E240:AT240)&lt;1,SUM(IF('11.销售及回款表'!$E$497:$AV$540=AU$239,'11.销售及回款表'!$E184:$AV184,0)),'11.销售及回款表'!AU184)</f>
        <v>0</v>
      </c>
      <c r="AV145" s="277">
        <f t="array" ref="AV145">IF(SUM($E240:AU240)&lt;1,SUM(IF('11.销售及回款表'!$E$497:$AV$540=AV$239,'11.销售及回款表'!$E184:$AV184,0)),'11.销售及回款表'!AV184)</f>
        <v>0</v>
      </c>
    </row>
    <row r="146" spans="2:48" s="257" customFormat="1" ht="15.75" customHeight="1" outlineLevel="1">
      <c r="B146" s="1980"/>
      <c r="C146" s="303">
        <f>'8.项目规划指标表'!$B$11</f>
        <v>0</v>
      </c>
      <c r="D146" s="274">
        <f t="shared" si="30"/>
        <v>0</v>
      </c>
      <c r="E146" s="275">
        <f t="array" ref="E146">IF(SUM(D242:$E242)&lt;1,SUM(IF('11.销售及回款表'!$E$497:$AV$540=E$241,'11.销售及回款表'!$E189:$AV189,0)),'11.销售及回款表'!E189)</f>
        <v>0</v>
      </c>
      <c r="F146" s="276">
        <f t="array" ref="F146">IF(SUM(E242:$E242)&lt;1,SUM(IF('11.销售及回款表'!$E$497:$AV$540=F$241,'11.销售及回款表'!$E189:$AV189,0)),'11.销售及回款表'!F189)</f>
        <v>0</v>
      </c>
      <c r="G146" s="276">
        <f t="array" ref="G146">IF(SUM($E242:F242)&lt;1,SUM(IF('11.销售及回款表'!$E$497:$AV$540=G$241,'11.销售及回款表'!$E189:$AV189,0)),'11.销售及回款表'!G189)</f>
        <v>0</v>
      </c>
      <c r="H146" s="277">
        <f t="array" ref="H146">IF(SUM($E242:G242)&lt;1,SUM(IF('11.销售及回款表'!$E$497:$AV$540=H$241,'11.销售及回款表'!$E189:$AV189,0)),'11.销售及回款表'!H189)</f>
        <v>0</v>
      </c>
      <c r="I146" s="275">
        <f t="array" ref="I146">IF(SUM($E242:H242)&lt;1,SUM(IF('11.销售及回款表'!$E$497:$AV$540=I$241,'11.销售及回款表'!$E189:$AV189,0)),'11.销售及回款表'!I189)</f>
        <v>0</v>
      </c>
      <c r="J146" s="276">
        <f t="array" ref="J146">IF(SUM($E242:I242)&lt;1,SUM(IF('11.销售及回款表'!$E$497:$AV$540=J$241,'11.销售及回款表'!$E189:$AV189,0)),'11.销售及回款表'!J189)</f>
        <v>0</v>
      </c>
      <c r="K146" s="276">
        <f t="array" ref="K146">IF(SUM($E242:J242)&lt;1,SUM(IF('11.销售及回款表'!$E$497:$AV$540=K$241,'11.销售及回款表'!$E189:$AV189,0)),'11.销售及回款表'!K189)</f>
        <v>0</v>
      </c>
      <c r="L146" s="277">
        <f t="array" ref="L146">IF(SUM($E242:K242)&lt;1,SUM(IF('11.销售及回款表'!$E$497:$AV$540=L$241,'11.销售及回款表'!$E189:$AV189,0)),'11.销售及回款表'!L189)</f>
        <v>0</v>
      </c>
      <c r="M146" s="275">
        <f t="array" ref="M146">IF(SUM($E242:L242)&lt;1,SUM(IF('11.销售及回款表'!$E$497:$AV$540=M$241,'11.销售及回款表'!$E189:$AV189,0)),'11.销售及回款表'!M189)</f>
        <v>0</v>
      </c>
      <c r="N146" s="276">
        <f t="array" ref="N146">IF(SUM($E242:M242)&lt;1,SUM(IF('11.销售及回款表'!$E$497:$AV$540=N$241,'11.销售及回款表'!$E189:$AV189,0)),'11.销售及回款表'!N189)</f>
        <v>0</v>
      </c>
      <c r="O146" s="276">
        <f t="array" ref="O146">IF(SUM($E242:N242)&lt;1,SUM(IF('11.销售及回款表'!$E$497:$AV$540=O$241,'11.销售及回款表'!$E189:$AV189,0)),'11.销售及回款表'!O189)</f>
        <v>0</v>
      </c>
      <c r="P146" s="277">
        <f t="array" ref="P146">IF(SUM($E242:O242)&lt;1,SUM(IF('11.销售及回款表'!$E$497:$AV$540=P$241,'11.销售及回款表'!$E189:$AV189,0)),'11.销售及回款表'!P189)</f>
        <v>0</v>
      </c>
      <c r="Q146" s="275">
        <f t="array" ref="Q146">IF(SUM($E242:P242)&lt;1,SUM(IF('11.销售及回款表'!$E$497:$AV$540=Q$241,'11.销售及回款表'!$E189:$AV189,0)),'11.销售及回款表'!Q189)</f>
        <v>0</v>
      </c>
      <c r="R146" s="276">
        <f t="array" ref="R146">IF(SUM($E242:Q242)&lt;1,SUM(IF('11.销售及回款表'!$E$497:$AV$540=R$241,'11.销售及回款表'!$E189:$AV189,0)),'11.销售及回款表'!R189)</f>
        <v>0</v>
      </c>
      <c r="S146" s="276">
        <f t="array" ref="S146">IF(SUM($E242:R242)&lt;1,SUM(IF('11.销售及回款表'!$E$497:$AV$540=S$241,'11.销售及回款表'!$E189:$AV189,0)),'11.销售及回款表'!S189)</f>
        <v>0</v>
      </c>
      <c r="T146" s="277">
        <f t="array" ref="T146">IF(SUM($E242:S242)&lt;1,SUM(IF('11.销售及回款表'!$E$497:$AV$540=T$241,'11.销售及回款表'!$E189:$AV189,0)),'11.销售及回款表'!T189)</f>
        <v>0</v>
      </c>
      <c r="U146" s="275">
        <f t="array" ref="U146">IF(SUM($E242:T242)&lt;1,SUM(IF('11.销售及回款表'!$E$497:$AV$540=U$241,'11.销售及回款表'!$E189:$AV189,0)),'11.销售及回款表'!U189)</f>
        <v>0</v>
      </c>
      <c r="V146" s="276">
        <f t="array" ref="V146">IF(SUM($E242:U242)&lt;1,SUM(IF('11.销售及回款表'!$E$497:$AV$540=V$241,'11.销售及回款表'!$E189:$AV189,0)),'11.销售及回款表'!V189)</f>
        <v>0</v>
      </c>
      <c r="W146" s="276">
        <f t="array" ref="W146">IF(SUM($E242:V242)&lt;1,SUM(IF('11.销售及回款表'!$E$497:$AV$540=W$241,'11.销售及回款表'!$E189:$AV189,0)),'11.销售及回款表'!W189)</f>
        <v>0</v>
      </c>
      <c r="X146" s="277">
        <f t="array" ref="X146">IF(SUM($E242:W242)&lt;1,SUM(IF('11.销售及回款表'!$E$497:$AV$540=X$241,'11.销售及回款表'!$E189:$AV189,0)),'11.销售及回款表'!X189)</f>
        <v>0</v>
      </c>
      <c r="Y146" s="275">
        <f t="array" ref="Y146">IF(SUM($E242:X242)&lt;1,SUM(IF('11.销售及回款表'!$E$497:$AV$540=Y$241,'11.销售及回款表'!$E189:$AV189,0)),'11.销售及回款表'!Y189)</f>
        <v>0</v>
      </c>
      <c r="Z146" s="276">
        <f t="array" ref="Z146">IF(SUM($E242:Y242)&lt;1,SUM(IF('11.销售及回款表'!$E$497:$AV$540=Z$241,'11.销售及回款表'!$E189:$AV189,0)),'11.销售及回款表'!Z189)</f>
        <v>0</v>
      </c>
      <c r="AA146" s="276">
        <f t="array" ref="AA146">IF(SUM($E242:Z242)&lt;1,SUM(IF('11.销售及回款表'!$E$497:$AV$540=AA$241,'11.销售及回款表'!$E189:$AV189,0)),'11.销售及回款表'!AA189)</f>
        <v>0</v>
      </c>
      <c r="AB146" s="277">
        <f t="array" ref="AB146">IF(SUM($E242:AA242)&lt;1,SUM(IF('11.销售及回款表'!$E$497:$AV$540=AB$241,'11.销售及回款表'!$E189:$AV189,0)),'11.销售及回款表'!AB189)</f>
        <v>0</v>
      </c>
      <c r="AC146" s="275">
        <f t="array" ref="AC146">IF(SUM($E242:AB242)&lt;1,SUM(IF('11.销售及回款表'!$E$497:$AV$540=AC$241,'11.销售及回款表'!$E189:$AV189,0)),'11.销售及回款表'!AC189)</f>
        <v>0</v>
      </c>
      <c r="AD146" s="276">
        <f t="array" ref="AD146">IF(SUM($E242:AC242)&lt;1,SUM(IF('11.销售及回款表'!$E$497:$AV$540=AD$241,'11.销售及回款表'!$E189:$AV189,0)),'11.销售及回款表'!AD189)</f>
        <v>0</v>
      </c>
      <c r="AE146" s="276">
        <f t="array" ref="AE146">IF(SUM($E242:AD242)&lt;1,SUM(IF('11.销售及回款表'!$E$497:$AV$540=AE$241,'11.销售及回款表'!$E189:$AV189,0)),'11.销售及回款表'!AE189)</f>
        <v>0</v>
      </c>
      <c r="AF146" s="277">
        <f t="array" ref="AF146">IF(SUM($E242:AE242)&lt;1,SUM(IF('11.销售及回款表'!$E$497:$AV$540=AF$241,'11.销售及回款表'!$E189:$AV189,0)),'11.销售及回款表'!AF189)</f>
        <v>0</v>
      </c>
      <c r="AG146" s="275">
        <f t="array" ref="AG146">IF(SUM($E242:AF242)&lt;1,SUM(IF('11.销售及回款表'!$E$497:$AV$540=AG$241,'11.销售及回款表'!$E189:$AV189,0)),'11.销售及回款表'!AG189)</f>
        <v>0</v>
      </c>
      <c r="AH146" s="276">
        <f t="array" ref="AH146">IF(SUM($E242:AG242)&lt;1,SUM(IF('11.销售及回款表'!$E$497:$AV$540=AH$241,'11.销售及回款表'!$E189:$AV189,0)),'11.销售及回款表'!AH189)</f>
        <v>0</v>
      </c>
      <c r="AI146" s="276">
        <f t="array" ref="AI146">IF(SUM($E242:AH242)&lt;1,SUM(IF('11.销售及回款表'!$E$497:$AV$540=AI$241,'11.销售及回款表'!$E189:$AV189,0)),'11.销售及回款表'!AI189)</f>
        <v>0</v>
      </c>
      <c r="AJ146" s="277">
        <f t="array" ref="AJ146">IF(SUM($E242:AI242)&lt;1,SUM(IF('11.销售及回款表'!$E$497:$AV$540=AJ$241,'11.销售及回款表'!$E189:$AV189,0)),'11.销售及回款表'!AJ189)</f>
        <v>0</v>
      </c>
      <c r="AK146" s="275">
        <f t="array" ref="AK146">IF(SUM($E242:AJ242)&lt;1,SUM(IF('11.销售及回款表'!$E$497:$AV$540=AK$241,'11.销售及回款表'!$E189:$AV189,0)),'11.销售及回款表'!AK189)</f>
        <v>0</v>
      </c>
      <c r="AL146" s="276">
        <f t="array" ref="AL146">IF(SUM($E242:AK242)&lt;1,SUM(IF('11.销售及回款表'!$E$497:$AV$540=AL$241,'11.销售及回款表'!$E189:$AV189,0)),'11.销售及回款表'!AL189)</f>
        <v>0</v>
      </c>
      <c r="AM146" s="276">
        <f t="array" ref="AM146">IF(SUM($E242:AL242)&lt;1,SUM(IF('11.销售及回款表'!$E$497:$AV$540=AM$241,'11.销售及回款表'!$E189:$AV189,0)),'11.销售及回款表'!AM189)</f>
        <v>0</v>
      </c>
      <c r="AN146" s="277">
        <f t="array" ref="AN146">IF(SUM($E242:AM242)&lt;1,SUM(IF('11.销售及回款表'!$E$497:$AV$540=AN$241,'11.销售及回款表'!$E189:$AV189,0)),'11.销售及回款表'!AN189)</f>
        <v>0</v>
      </c>
      <c r="AO146" s="275">
        <f t="array" ref="AO146">IF(SUM($E242:AN242)&lt;1,SUM(IF('11.销售及回款表'!$E$497:$AV$540=AO$241,'11.销售及回款表'!$E189:$AV189,0)),'11.销售及回款表'!AO189)</f>
        <v>0</v>
      </c>
      <c r="AP146" s="276">
        <f t="array" ref="AP146">IF(SUM($E242:AO242)&lt;1,SUM(IF('11.销售及回款表'!$E$497:$AV$540=AP$241,'11.销售及回款表'!$E189:$AV189,0)),'11.销售及回款表'!AP189)</f>
        <v>0</v>
      </c>
      <c r="AQ146" s="276">
        <f t="array" ref="AQ146">IF(SUM($E242:AP242)&lt;1,SUM(IF('11.销售及回款表'!$E$497:$AV$540=AQ$241,'11.销售及回款表'!$E189:$AV189,0)),'11.销售及回款表'!AQ189)</f>
        <v>0</v>
      </c>
      <c r="AR146" s="277">
        <f t="array" ref="AR146">IF(SUM($E242:AQ242)&lt;1,SUM(IF('11.销售及回款表'!$E$497:$AV$540=AR$241,'11.销售及回款表'!$E189:$AV189,0)),'11.销售及回款表'!AR189)</f>
        <v>0</v>
      </c>
      <c r="AS146" s="275">
        <f t="array" ref="AS146">IF(SUM($E242:AR242)&lt;1,SUM(IF('11.销售及回款表'!$E$497:$AV$540=AS$241,'11.销售及回款表'!$E189:$AV189,0)),'11.销售及回款表'!AS189)</f>
        <v>0</v>
      </c>
      <c r="AT146" s="276">
        <f t="array" ref="AT146">IF(SUM($E242:AS242)&lt;1,SUM(IF('11.销售及回款表'!$E$497:$AV$540=AT$241,'11.销售及回款表'!$E189:$AV189,0)),'11.销售及回款表'!AT189)</f>
        <v>0</v>
      </c>
      <c r="AU146" s="276">
        <f t="array" ref="AU146">IF(SUM($E242:AT242)&lt;1,SUM(IF('11.销售及回款表'!$E$497:$AV$540=AU$241,'11.销售及回款表'!$E189:$AV189,0)),'11.销售及回款表'!AU189)</f>
        <v>0</v>
      </c>
      <c r="AV146" s="277">
        <f t="array" ref="AV146">IF(SUM($E242:AU242)&lt;1,SUM(IF('11.销售及回款表'!$E$497:$AV$540=AV$241,'11.销售及回款表'!$E189:$AV189,0)),'11.销售及回款表'!AV189)</f>
        <v>0</v>
      </c>
    </row>
    <row r="147" spans="2:48" s="257" customFormat="1" ht="15.75" customHeight="1" outlineLevel="1">
      <c r="B147" s="1980"/>
      <c r="C147" s="303">
        <f>'8.项目规划指标表'!$B$12</f>
        <v>0</v>
      </c>
      <c r="D147" s="274">
        <f t="shared" si="30"/>
        <v>0</v>
      </c>
      <c r="E147" s="275">
        <f t="array" ref="E147">IF(SUM(D244:$E244)&lt;1,SUM(IF('11.销售及回款表'!$E$497:$AV$540=E$243,'11.销售及回款表'!$E194:$AV194,0)),'11.销售及回款表'!E194)</f>
        <v>0</v>
      </c>
      <c r="F147" s="276">
        <f t="array" ref="F147">IF(SUM(E244:$E244)&lt;1,SUM(IF('11.销售及回款表'!$E$497:$AV$540=F$243,'11.销售及回款表'!$E194:$AV194,0)),'11.销售及回款表'!F194)</f>
        <v>0</v>
      </c>
      <c r="G147" s="276">
        <f t="array" ref="G147">IF(SUM($E244:F244)&lt;1,SUM(IF('11.销售及回款表'!$E$497:$AV$540=G$243,'11.销售及回款表'!$E194:$AV194,0)),'11.销售及回款表'!G194)</f>
        <v>0</v>
      </c>
      <c r="H147" s="277">
        <f t="array" ref="H147">IF(SUM($E244:G244)&lt;1,SUM(IF('11.销售及回款表'!$E$497:$AV$540=H$243,'11.销售及回款表'!$E194:$AV194,0)),'11.销售及回款表'!H194)</f>
        <v>0</v>
      </c>
      <c r="I147" s="275">
        <f t="array" ref="I147">IF(SUM($E244:H244)&lt;1,SUM(IF('11.销售及回款表'!$E$497:$AV$540=I$243,'11.销售及回款表'!$E194:$AV194,0)),'11.销售及回款表'!I194)</f>
        <v>0</v>
      </c>
      <c r="J147" s="276">
        <f t="array" ref="J147">IF(SUM($E244:I244)&lt;1,SUM(IF('11.销售及回款表'!$E$497:$AV$540=J$243,'11.销售及回款表'!$E194:$AV194,0)),'11.销售及回款表'!J194)</f>
        <v>0</v>
      </c>
      <c r="K147" s="276">
        <f t="array" ref="K147">IF(SUM($E244:J244)&lt;1,SUM(IF('11.销售及回款表'!$E$497:$AV$540=K$243,'11.销售及回款表'!$E194:$AV194,0)),'11.销售及回款表'!K194)</f>
        <v>0</v>
      </c>
      <c r="L147" s="277">
        <f t="array" ref="L147">IF(SUM($E244:K244)&lt;1,SUM(IF('11.销售及回款表'!$E$497:$AV$540=L$243,'11.销售及回款表'!$E194:$AV194,0)),'11.销售及回款表'!L194)</f>
        <v>0</v>
      </c>
      <c r="M147" s="275">
        <f t="array" ref="M147">IF(SUM($E244:L244)&lt;1,SUM(IF('11.销售及回款表'!$E$497:$AV$540=M$243,'11.销售及回款表'!$E194:$AV194,0)),'11.销售及回款表'!M194)</f>
        <v>0</v>
      </c>
      <c r="N147" s="276">
        <f t="array" ref="N147">IF(SUM($E244:M244)&lt;1,SUM(IF('11.销售及回款表'!$E$497:$AV$540=N$243,'11.销售及回款表'!$E194:$AV194,0)),'11.销售及回款表'!N194)</f>
        <v>0</v>
      </c>
      <c r="O147" s="276">
        <f t="array" ref="O147">IF(SUM($E244:N244)&lt;1,SUM(IF('11.销售及回款表'!$E$497:$AV$540=O$243,'11.销售及回款表'!$E194:$AV194,0)),'11.销售及回款表'!O194)</f>
        <v>0</v>
      </c>
      <c r="P147" s="277">
        <f t="array" ref="P147">IF(SUM($E244:O244)&lt;1,SUM(IF('11.销售及回款表'!$E$497:$AV$540=P$243,'11.销售及回款表'!$E194:$AV194,0)),'11.销售及回款表'!P194)</f>
        <v>0</v>
      </c>
      <c r="Q147" s="275">
        <f t="array" ref="Q147">IF(SUM($E244:P244)&lt;1,SUM(IF('11.销售及回款表'!$E$497:$AV$540=Q$243,'11.销售及回款表'!$E194:$AV194,0)),'11.销售及回款表'!Q194)</f>
        <v>0</v>
      </c>
      <c r="R147" s="276">
        <f t="array" ref="R147">IF(SUM($E244:Q244)&lt;1,SUM(IF('11.销售及回款表'!$E$497:$AV$540=R$243,'11.销售及回款表'!$E194:$AV194,0)),'11.销售及回款表'!R194)</f>
        <v>0</v>
      </c>
      <c r="S147" s="276">
        <f t="array" ref="S147">IF(SUM($E244:R244)&lt;1,SUM(IF('11.销售及回款表'!$E$497:$AV$540=S$243,'11.销售及回款表'!$E194:$AV194,0)),'11.销售及回款表'!S194)</f>
        <v>0</v>
      </c>
      <c r="T147" s="277">
        <f t="array" ref="T147">IF(SUM($E244:S244)&lt;1,SUM(IF('11.销售及回款表'!$E$497:$AV$540=T$243,'11.销售及回款表'!$E194:$AV194,0)),'11.销售及回款表'!T194)</f>
        <v>0</v>
      </c>
      <c r="U147" s="275">
        <f t="array" ref="U147">IF(SUM($E244:T244)&lt;1,SUM(IF('11.销售及回款表'!$E$497:$AV$540=U$243,'11.销售及回款表'!$E194:$AV194,0)),'11.销售及回款表'!U194)</f>
        <v>0</v>
      </c>
      <c r="V147" s="276">
        <f t="array" ref="V147">IF(SUM($E244:U244)&lt;1,SUM(IF('11.销售及回款表'!$E$497:$AV$540=V$243,'11.销售及回款表'!$E194:$AV194,0)),'11.销售及回款表'!V194)</f>
        <v>0</v>
      </c>
      <c r="W147" s="276">
        <f t="array" ref="W147">IF(SUM($E244:V244)&lt;1,SUM(IF('11.销售及回款表'!$E$497:$AV$540=W$243,'11.销售及回款表'!$E194:$AV194,0)),'11.销售及回款表'!W194)</f>
        <v>0</v>
      </c>
      <c r="X147" s="277">
        <f t="array" ref="X147">IF(SUM($E244:W244)&lt;1,SUM(IF('11.销售及回款表'!$E$497:$AV$540=X$243,'11.销售及回款表'!$E194:$AV194,0)),'11.销售及回款表'!X194)</f>
        <v>0</v>
      </c>
      <c r="Y147" s="275">
        <f t="array" ref="Y147">IF(SUM($E244:X244)&lt;1,SUM(IF('11.销售及回款表'!$E$497:$AV$540=Y$243,'11.销售及回款表'!$E194:$AV194,0)),'11.销售及回款表'!Y194)</f>
        <v>0</v>
      </c>
      <c r="Z147" s="276">
        <f t="array" ref="Z147">IF(SUM($E244:Y244)&lt;1,SUM(IF('11.销售及回款表'!$E$497:$AV$540=Z$243,'11.销售及回款表'!$E194:$AV194,0)),'11.销售及回款表'!Z194)</f>
        <v>0</v>
      </c>
      <c r="AA147" s="276">
        <f t="array" ref="AA147">IF(SUM($E244:Z244)&lt;1,SUM(IF('11.销售及回款表'!$E$497:$AV$540=AA$243,'11.销售及回款表'!$E194:$AV194,0)),'11.销售及回款表'!AA194)</f>
        <v>0</v>
      </c>
      <c r="AB147" s="277">
        <f t="array" ref="AB147">IF(SUM($E244:AA244)&lt;1,SUM(IF('11.销售及回款表'!$E$497:$AV$540=AB$243,'11.销售及回款表'!$E194:$AV194,0)),'11.销售及回款表'!AB194)</f>
        <v>0</v>
      </c>
      <c r="AC147" s="275">
        <f t="array" ref="AC147">IF(SUM($E244:AB244)&lt;1,SUM(IF('11.销售及回款表'!$E$497:$AV$540=AC$243,'11.销售及回款表'!$E194:$AV194,0)),'11.销售及回款表'!AC194)</f>
        <v>0</v>
      </c>
      <c r="AD147" s="276">
        <f t="array" ref="AD147">IF(SUM($E244:AC244)&lt;1,SUM(IF('11.销售及回款表'!$E$497:$AV$540=AD$243,'11.销售及回款表'!$E194:$AV194,0)),'11.销售及回款表'!AD194)</f>
        <v>0</v>
      </c>
      <c r="AE147" s="276">
        <f t="array" ref="AE147">IF(SUM($E244:AD244)&lt;1,SUM(IF('11.销售及回款表'!$E$497:$AV$540=AE$243,'11.销售及回款表'!$E194:$AV194,0)),'11.销售及回款表'!AE194)</f>
        <v>0</v>
      </c>
      <c r="AF147" s="277">
        <f t="array" ref="AF147">IF(SUM($E244:AE244)&lt;1,SUM(IF('11.销售及回款表'!$E$497:$AV$540=AF$243,'11.销售及回款表'!$E194:$AV194,0)),'11.销售及回款表'!AF194)</f>
        <v>0</v>
      </c>
      <c r="AG147" s="275">
        <f t="array" ref="AG147">IF(SUM($E244:AF244)&lt;1,SUM(IF('11.销售及回款表'!$E$497:$AV$540=AG$243,'11.销售及回款表'!$E194:$AV194,0)),'11.销售及回款表'!AG194)</f>
        <v>0</v>
      </c>
      <c r="AH147" s="276">
        <f t="array" ref="AH147">IF(SUM($E244:AG244)&lt;1,SUM(IF('11.销售及回款表'!$E$497:$AV$540=AH$243,'11.销售及回款表'!$E194:$AV194,0)),'11.销售及回款表'!AH194)</f>
        <v>0</v>
      </c>
      <c r="AI147" s="276">
        <f t="array" ref="AI147">IF(SUM($E244:AH244)&lt;1,SUM(IF('11.销售及回款表'!$E$497:$AV$540=AI$243,'11.销售及回款表'!$E194:$AV194,0)),'11.销售及回款表'!AI194)</f>
        <v>0</v>
      </c>
      <c r="AJ147" s="277">
        <f t="array" ref="AJ147">IF(SUM($E244:AI244)&lt;1,SUM(IF('11.销售及回款表'!$E$497:$AV$540=AJ$243,'11.销售及回款表'!$E194:$AV194,0)),'11.销售及回款表'!AJ194)</f>
        <v>0</v>
      </c>
      <c r="AK147" s="275">
        <f t="array" ref="AK147">IF(SUM($E244:AJ244)&lt;1,SUM(IF('11.销售及回款表'!$E$497:$AV$540=AK$243,'11.销售及回款表'!$E194:$AV194,0)),'11.销售及回款表'!AK194)</f>
        <v>0</v>
      </c>
      <c r="AL147" s="276">
        <f t="array" ref="AL147">IF(SUM($E244:AK244)&lt;1,SUM(IF('11.销售及回款表'!$E$497:$AV$540=AL$243,'11.销售及回款表'!$E194:$AV194,0)),'11.销售及回款表'!AL194)</f>
        <v>0</v>
      </c>
      <c r="AM147" s="276">
        <f t="array" ref="AM147">IF(SUM($E244:AL244)&lt;1,SUM(IF('11.销售及回款表'!$E$497:$AV$540=AM$243,'11.销售及回款表'!$E194:$AV194,0)),'11.销售及回款表'!AM194)</f>
        <v>0</v>
      </c>
      <c r="AN147" s="277">
        <f t="array" ref="AN147">IF(SUM($E244:AM244)&lt;1,SUM(IF('11.销售及回款表'!$E$497:$AV$540=AN$243,'11.销售及回款表'!$E194:$AV194,0)),'11.销售及回款表'!AN194)</f>
        <v>0</v>
      </c>
      <c r="AO147" s="275">
        <f t="array" ref="AO147">IF(SUM($E244:AN244)&lt;1,SUM(IF('11.销售及回款表'!$E$497:$AV$540=AO$243,'11.销售及回款表'!$E194:$AV194,0)),'11.销售及回款表'!AO194)</f>
        <v>0</v>
      </c>
      <c r="AP147" s="276">
        <f t="array" ref="AP147">IF(SUM($E244:AO244)&lt;1,SUM(IF('11.销售及回款表'!$E$497:$AV$540=AP$243,'11.销售及回款表'!$E194:$AV194,0)),'11.销售及回款表'!AP194)</f>
        <v>0</v>
      </c>
      <c r="AQ147" s="276">
        <f t="array" ref="AQ147">IF(SUM($E244:AP244)&lt;1,SUM(IF('11.销售及回款表'!$E$497:$AV$540=AQ$243,'11.销售及回款表'!$E194:$AV194,0)),'11.销售及回款表'!AQ194)</f>
        <v>0</v>
      </c>
      <c r="AR147" s="277">
        <f t="array" ref="AR147">IF(SUM($E244:AQ244)&lt;1,SUM(IF('11.销售及回款表'!$E$497:$AV$540=AR$243,'11.销售及回款表'!$E194:$AV194,0)),'11.销售及回款表'!AR194)</f>
        <v>0</v>
      </c>
      <c r="AS147" s="275">
        <f t="array" ref="AS147">IF(SUM($E244:AR244)&lt;1,SUM(IF('11.销售及回款表'!$E$497:$AV$540=AS$243,'11.销售及回款表'!$E194:$AV194,0)),'11.销售及回款表'!AS194)</f>
        <v>0</v>
      </c>
      <c r="AT147" s="276">
        <f t="array" ref="AT147">IF(SUM($E244:AS244)&lt;1,SUM(IF('11.销售及回款表'!$E$497:$AV$540=AT$243,'11.销售及回款表'!$E194:$AV194,0)),'11.销售及回款表'!AT194)</f>
        <v>0</v>
      </c>
      <c r="AU147" s="276">
        <f t="array" ref="AU147">IF(SUM($E244:AT244)&lt;1,SUM(IF('11.销售及回款表'!$E$497:$AV$540=AU$243,'11.销售及回款表'!$E194:$AV194,0)),'11.销售及回款表'!AU194)</f>
        <v>0</v>
      </c>
      <c r="AV147" s="277">
        <f t="array" ref="AV147">IF(SUM($E244:AU244)&lt;1,SUM(IF('11.销售及回款表'!$E$497:$AV$540=AV$243,'11.销售及回款表'!$E194:$AV194,0)),'11.销售及回款表'!AV194)</f>
        <v>0</v>
      </c>
    </row>
    <row r="148" spans="2:48" s="257" customFormat="1" ht="15.75" customHeight="1" outlineLevel="1">
      <c r="B148" s="1980"/>
      <c r="C148" s="303">
        <f>'8.项目规划指标表'!$B$13</f>
        <v>0</v>
      </c>
      <c r="D148" s="274">
        <f t="shared" si="30"/>
        <v>0</v>
      </c>
      <c r="E148" s="275">
        <f t="array" ref="E148">IF(SUM(D246:$E246)&lt;1,SUM(IF('11.销售及回款表'!$E$497:$AV$540=E$245,'11.销售及回款表'!$E199:$AV199,0)),'11.销售及回款表'!E199)</f>
        <v>0</v>
      </c>
      <c r="F148" s="276">
        <f t="array" ref="F148">IF(SUM(E246:$E246)&lt;1,SUM(IF('11.销售及回款表'!$E$497:$AV$540=F$245,'11.销售及回款表'!$E199:$AV199,0)),'11.销售及回款表'!F199)</f>
        <v>0</v>
      </c>
      <c r="G148" s="276">
        <f t="array" ref="G148">IF(SUM($E246:F246)&lt;1,SUM(IF('11.销售及回款表'!$E$497:$AV$540=G$245,'11.销售及回款表'!$E199:$AV199,0)),'11.销售及回款表'!G199)</f>
        <v>0</v>
      </c>
      <c r="H148" s="277">
        <f t="array" ref="H148">IF(SUM($E246:G246)&lt;1,SUM(IF('11.销售及回款表'!$E$497:$AV$540=H$245,'11.销售及回款表'!$E199:$AV199,0)),'11.销售及回款表'!H199)</f>
        <v>0</v>
      </c>
      <c r="I148" s="275">
        <f t="array" ref="I148">IF(SUM($E246:H246)&lt;1,SUM(IF('11.销售及回款表'!$E$497:$AV$540=I$245,'11.销售及回款表'!$E199:$AV199,0)),'11.销售及回款表'!I199)</f>
        <v>0</v>
      </c>
      <c r="J148" s="276">
        <f t="array" ref="J148">IF(SUM($E246:I246)&lt;1,SUM(IF('11.销售及回款表'!$E$497:$AV$540=J$245,'11.销售及回款表'!$E199:$AV199,0)),'11.销售及回款表'!J199)</f>
        <v>0</v>
      </c>
      <c r="K148" s="276">
        <f t="array" ref="K148">IF(SUM($E246:J246)&lt;1,SUM(IF('11.销售及回款表'!$E$497:$AV$540=K$245,'11.销售及回款表'!$E199:$AV199,0)),'11.销售及回款表'!K199)</f>
        <v>0</v>
      </c>
      <c r="L148" s="277">
        <f t="array" ref="L148">IF(SUM($E246:K246)&lt;1,SUM(IF('11.销售及回款表'!$E$497:$AV$540=L$245,'11.销售及回款表'!$E199:$AV199,0)),'11.销售及回款表'!L199)</f>
        <v>0</v>
      </c>
      <c r="M148" s="275">
        <f t="array" ref="M148">IF(SUM($E246:L246)&lt;1,SUM(IF('11.销售及回款表'!$E$497:$AV$540=M$245,'11.销售及回款表'!$E199:$AV199,0)),'11.销售及回款表'!M199)</f>
        <v>0</v>
      </c>
      <c r="N148" s="276">
        <f t="array" ref="N148">IF(SUM($E246:M246)&lt;1,SUM(IF('11.销售及回款表'!$E$497:$AV$540=N$245,'11.销售及回款表'!$E199:$AV199,0)),'11.销售及回款表'!N199)</f>
        <v>0</v>
      </c>
      <c r="O148" s="276">
        <f t="array" ref="O148">IF(SUM($E246:N246)&lt;1,SUM(IF('11.销售及回款表'!$E$497:$AV$540=O$245,'11.销售及回款表'!$E199:$AV199,0)),'11.销售及回款表'!O199)</f>
        <v>0</v>
      </c>
      <c r="P148" s="277">
        <f t="array" ref="P148">IF(SUM($E246:O246)&lt;1,SUM(IF('11.销售及回款表'!$E$497:$AV$540=P$245,'11.销售及回款表'!$E199:$AV199,0)),'11.销售及回款表'!P199)</f>
        <v>0</v>
      </c>
      <c r="Q148" s="275">
        <f t="array" ref="Q148">IF(SUM($E246:P246)&lt;1,SUM(IF('11.销售及回款表'!$E$497:$AV$540=Q$245,'11.销售及回款表'!$E199:$AV199,0)),'11.销售及回款表'!Q199)</f>
        <v>0</v>
      </c>
      <c r="R148" s="276">
        <f t="array" ref="R148">IF(SUM($E246:Q246)&lt;1,SUM(IF('11.销售及回款表'!$E$497:$AV$540=R$245,'11.销售及回款表'!$E199:$AV199,0)),'11.销售及回款表'!R199)</f>
        <v>0</v>
      </c>
      <c r="S148" s="276">
        <f t="array" ref="S148">IF(SUM($E246:R246)&lt;1,SUM(IF('11.销售及回款表'!$E$497:$AV$540=S$245,'11.销售及回款表'!$E199:$AV199,0)),'11.销售及回款表'!S199)</f>
        <v>0</v>
      </c>
      <c r="T148" s="277">
        <f t="array" ref="T148">IF(SUM($E246:S246)&lt;1,SUM(IF('11.销售及回款表'!$E$497:$AV$540=T$245,'11.销售及回款表'!$E199:$AV199,0)),'11.销售及回款表'!T199)</f>
        <v>0</v>
      </c>
      <c r="U148" s="275">
        <f t="array" ref="U148">IF(SUM($E246:T246)&lt;1,SUM(IF('11.销售及回款表'!$E$497:$AV$540=U$245,'11.销售及回款表'!$E199:$AV199,0)),'11.销售及回款表'!U199)</f>
        <v>0</v>
      </c>
      <c r="V148" s="276">
        <f t="array" ref="V148">IF(SUM($E246:U246)&lt;1,SUM(IF('11.销售及回款表'!$E$497:$AV$540=V$245,'11.销售及回款表'!$E199:$AV199,0)),'11.销售及回款表'!V199)</f>
        <v>0</v>
      </c>
      <c r="W148" s="276">
        <f t="array" ref="W148">IF(SUM($E246:V246)&lt;1,SUM(IF('11.销售及回款表'!$E$497:$AV$540=W$245,'11.销售及回款表'!$E199:$AV199,0)),'11.销售及回款表'!W199)</f>
        <v>0</v>
      </c>
      <c r="X148" s="277">
        <f t="array" ref="X148">IF(SUM($E246:W246)&lt;1,SUM(IF('11.销售及回款表'!$E$497:$AV$540=X$245,'11.销售及回款表'!$E199:$AV199,0)),'11.销售及回款表'!X199)</f>
        <v>0</v>
      </c>
      <c r="Y148" s="275">
        <f t="array" ref="Y148">IF(SUM($E246:X246)&lt;1,SUM(IF('11.销售及回款表'!$E$497:$AV$540=Y$245,'11.销售及回款表'!$E199:$AV199,0)),'11.销售及回款表'!Y199)</f>
        <v>0</v>
      </c>
      <c r="Z148" s="276">
        <f t="array" ref="Z148">IF(SUM($E246:Y246)&lt;1,SUM(IF('11.销售及回款表'!$E$497:$AV$540=Z$245,'11.销售及回款表'!$E199:$AV199,0)),'11.销售及回款表'!Z199)</f>
        <v>0</v>
      </c>
      <c r="AA148" s="276">
        <f t="array" ref="AA148">IF(SUM($E246:Z246)&lt;1,SUM(IF('11.销售及回款表'!$E$497:$AV$540=AA$245,'11.销售及回款表'!$E199:$AV199,0)),'11.销售及回款表'!AA199)</f>
        <v>0</v>
      </c>
      <c r="AB148" s="277">
        <f t="array" ref="AB148">IF(SUM($E246:AA246)&lt;1,SUM(IF('11.销售及回款表'!$E$497:$AV$540=AB$245,'11.销售及回款表'!$E199:$AV199,0)),'11.销售及回款表'!AB199)</f>
        <v>0</v>
      </c>
      <c r="AC148" s="275">
        <f t="array" ref="AC148">IF(SUM($E246:AB246)&lt;1,SUM(IF('11.销售及回款表'!$E$497:$AV$540=AC$245,'11.销售及回款表'!$E199:$AV199,0)),'11.销售及回款表'!AC199)</f>
        <v>0</v>
      </c>
      <c r="AD148" s="276">
        <f t="array" ref="AD148">IF(SUM($E246:AC246)&lt;1,SUM(IF('11.销售及回款表'!$E$497:$AV$540=AD$245,'11.销售及回款表'!$E199:$AV199,0)),'11.销售及回款表'!AD199)</f>
        <v>0</v>
      </c>
      <c r="AE148" s="276">
        <f t="array" ref="AE148">IF(SUM($E246:AD246)&lt;1,SUM(IF('11.销售及回款表'!$E$497:$AV$540=AE$245,'11.销售及回款表'!$E199:$AV199,0)),'11.销售及回款表'!AE199)</f>
        <v>0</v>
      </c>
      <c r="AF148" s="277">
        <f t="array" ref="AF148">IF(SUM($E246:AE246)&lt;1,SUM(IF('11.销售及回款表'!$E$497:$AV$540=AF$245,'11.销售及回款表'!$E199:$AV199,0)),'11.销售及回款表'!AF199)</f>
        <v>0</v>
      </c>
      <c r="AG148" s="275">
        <f t="array" ref="AG148">IF(SUM($E246:AF246)&lt;1,SUM(IF('11.销售及回款表'!$E$497:$AV$540=AG$245,'11.销售及回款表'!$E199:$AV199,0)),'11.销售及回款表'!AG199)</f>
        <v>0</v>
      </c>
      <c r="AH148" s="276">
        <f t="array" ref="AH148">IF(SUM($E246:AG246)&lt;1,SUM(IF('11.销售及回款表'!$E$497:$AV$540=AH$245,'11.销售及回款表'!$E199:$AV199,0)),'11.销售及回款表'!AH199)</f>
        <v>0</v>
      </c>
      <c r="AI148" s="276">
        <f t="array" ref="AI148">IF(SUM($E246:AH246)&lt;1,SUM(IF('11.销售及回款表'!$E$497:$AV$540=AI$245,'11.销售及回款表'!$E199:$AV199,0)),'11.销售及回款表'!AI199)</f>
        <v>0</v>
      </c>
      <c r="AJ148" s="277">
        <f t="array" ref="AJ148">IF(SUM($E246:AI246)&lt;1,SUM(IF('11.销售及回款表'!$E$497:$AV$540=AJ$245,'11.销售及回款表'!$E199:$AV199,0)),'11.销售及回款表'!AJ199)</f>
        <v>0</v>
      </c>
      <c r="AK148" s="275">
        <f t="array" ref="AK148">IF(SUM($E246:AJ246)&lt;1,SUM(IF('11.销售及回款表'!$E$497:$AV$540=AK$245,'11.销售及回款表'!$E199:$AV199,0)),'11.销售及回款表'!AK199)</f>
        <v>0</v>
      </c>
      <c r="AL148" s="276">
        <f t="array" ref="AL148">IF(SUM($E246:AK246)&lt;1,SUM(IF('11.销售及回款表'!$E$497:$AV$540=AL$245,'11.销售及回款表'!$E199:$AV199,0)),'11.销售及回款表'!AL199)</f>
        <v>0</v>
      </c>
      <c r="AM148" s="276">
        <f t="array" ref="AM148">IF(SUM($E246:AL246)&lt;1,SUM(IF('11.销售及回款表'!$E$497:$AV$540=AM$245,'11.销售及回款表'!$E199:$AV199,0)),'11.销售及回款表'!AM199)</f>
        <v>0</v>
      </c>
      <c r="AN148" s="277">
        <f t="array" ref="AN148">IF(SUM($E246:AM246)&lt;1,SUM(IF('11.销售及回款表'!$E$497:$AV$540=AN$245,'11.销售及回款表'!$E199:$AV199,0)),'11.销售及回款表'!AN199)</f>
        <v>0</v>
      </c>
      <c r="AO148" s="275">
        <f t="array" ref="AO148">IF(SUM($E246:AN246)&lt;1,SUM(IF('11.销售及回款表'!$E$497:$AV$540=AO$245,'11.销售及回款表'!$E199:$AV199,0)),'11.销售及回款表'!AO199)</f>
        <v>0</v>
      </c>
      <c r="AP148" s="276">
        <f t="array" ref="AP148">IF(SUM($E246:AO246)&lt;1,SUM(IF('11.销售及回款表'!$E$497:$AV$540=AP$245,'11.销售及回款表'!$E199:$AV199,0)),'11.销售及回款表'!AP199)</f>
        <v>0</v>
      </c>
      <c r="AQ148" s="276">
        <f t="array" ref="AQ148">IF(SUM($E246:AP246)&lt;1,SUM(IF('11.销售及回款表'!$E$497:$AV$540=AQ$245,'11.销售及回款表'!$E199:$AV199,0)),'11.销售及回款表'!AQ199)</f>
        <v>0</v>
      </c>
      <c r="AR148" s="277">
        <f t="array" ref="AR148">IF(SUM($E246:AQ246)&lt;1,SUM(IF('11.销售及回款表'!$E$497:$AV$540=AR$245,'11.销售及回款表'!$E199:$AV199,0)),'11.销售及回款表'!AR199)</f>
        <v>0</v>
      </c>
      <c r="AS148" s="275">
        <f t="array" ref="AS148">IF(SUM($E246:AR246)&lt;1,SUM(IF('11.销售及回款表'!$E$497:$AV$540=AS$245,'11.销售及回款表'!$E199:$AV199,0)),'11.销售及回款表'!AS199)</f>
        <v>0</v>
      </c>
      <c r="AT148" s="276">
        <f t="array" ref="AT148">IF(SUM($E246:AS246)&lt;1,SUM(IF('11.销售及回款表'!$E$497:$AV$540=AT$245,'11.销售及回款表'!$E199:$AV199,0)),'11.销售及回款表'!AT199)</f>
        <v>0</v>
      </c>
      <c r="AU148" s="276">
        <f t="array" ref="AU148">IF(SUM($E246:AT246)&lt;1,SUM(IF('11.销售及回款表'!$E$497:$AV$540=AU$245,'11.销售及回款表'!$E199:$AV199,0)),'11.销售及回款表'!AU199)</f>
        <v>0</v>
      </c>
      <c r="AV148" s="277">
        <f t="array" ref="AV148">IF(SUM($E246:AU246)&lt;1,SUM(IF('11.销售及回款表'!$E$497:$AV$540=AV$245,'11.销售及回款表'!$E199:$AV199,0)),'11.销售及回款表'!AV199)</f>
        <v>0</v>
      </c>
    </row>
    <row r="149" spans="2:48" s="257" customFormat="1" ht="15.75" customHeight="1" outlineLevel="1">
      <c r="B149" s="1980"/>
      <c r="C149" s="303" t="str">
        <f>'8.项目规划指标表'!$B$14</f>
        <v>自持物业</v>
      </c>
      <c r="D149" s="274">
        <f t="shared" si="30"/>
        <v>0</v>
      </c>
      <c r="E149" s="275">
        <f t="array" ref="E149">IF(SUM(D248:$E248)&lt;1,SUM(IF('11.销售及回款表'!$E$497:$AV$540=E$247,'11.销售及回款表'!$E204:$AV204,0)),'11.销售及回款表'!E204)</f>
        <v>0</v>
      </c>
      <c r="F149" s="276">
        <f t="array" ref="F149">IF(SUM(E248:$E248)&lt;1,SUM(IF('11.销售及回款表'!$E$497:$AV$540=F$247,'11.销售及回款表'!$E204:$AV204,0)),'11.销售及回款表'!F204)</f>
        <v>0</v>
      </c>
      <c r="G149" s="276">
        <f t="array" ref="G149">IF(SUM($E248:F248)&lt;1,SUM(IF('11.销售及回款表'!$E$497:$AV$540=G$247,'11.销售及回款表'!$E204:$AV204,0)),'11.销售及回款表'!G204)</f>
        <v>0</v>
      </c>
      <c r="H149" s="277">
        <f t="array" ref="H149">IF(SUM($E248:G248)&lt;1,SUM(IF('11.销售及回款表'!$E$497:$AV$540=H$247,'11.销售及回款表'!$E204:$AV204,0)),'11.销售及回款表'!H204)</f>
        <v>0</v>
      </c>
      <c r="I149" s="275">
        <f t="array" ref="I149">IF(SUM($E248:H248)&lt;1,SUM(IF('11.销售及回款表'!$E$497:$AV$540=I$247,'11.销售及回款表'!$E204:$AV204,0)),'11.销售及回款表'!I204)</f>
        <v>0</v>
      </c>
      <c r="J149" s="276">
        <f t="array" ref="J149">IF(SUM($E248:I248)&lt;1,SUM(IF('11.销售及回款表'!$E$497:$AV$540=J$247,'11.销售及回款表'!$E204:$AV204,0)),'11.销售及回款表'!J204)</f>
        <v>0</v>
      </c>
      <c r="K149" s="276">
        <f t="array" ref="K149">IF(SUM($E248:J248)&lt;1,SUM(IF('11.销售及回款表'!$E$497:$AV$540=K$247,'11.销售及回款表'!$E204:$AV204,0)),'11.销售及回款表'!K204)</f>
        <v>0</v>
      </c>
      <c r="L149" s="277">
        <f t="array" ref="L149">IF(SUM($E248:K248)&lt;1,SUM(IF('11.销售及回款表'!$E$497:$AV$540=L$247,'11.销售及回款表'!$E204:$AV204,0)),'11.销售及回款表'!L204)</f>
        <v>0</v>
      </c>
      <c r="M149" s="275">
        <f t="array" ref="M149">IF(SUM($E248:L248)&lt;1,SUM(IF('11.销售及回款表'!$E$497:$AV$540=M$247,'11.销售及回款表'!$E204:$AV204,0)),'11.销售及回款表'!M204)</f>
        <v>0</v>
      </c>
      <c r="N149" s="276">
        <f t="array" ref="N149">IF(SUM($E248:M248)&lt;1,SUM(IF('11.销售及回款表'!$E$497:$AV$540=N$247,'11.销售及回款表'!$E204:$AV204,0)),'11.销售及回款表'!N204)</f>
        <v>0</v>
      </c>
      <c r="O149" s="276">
        <f t="array" ref="O149">IF(SUM($E248:N248)&lt;1,SUM(IF('11.销售及回款表'!$E$497:$AV$540=O$247,'11.销售及回款表'!$E204:$AV204,0)),'11.销售及回款表'!O204)</f>
        <v>0</v>
      </c>
      <c r="P149" s="277">
        <f t="array" ref="P149">IF(SUM($E248:O248)&lt;1,SUM(IF('11.销售及回款表'!$E$497:$AV$540=P$247,'11.销售及回款表'!$E204:$AV204,0)),'11.销售及回款表'!P204)</f>
        <v>0</v>
      </c>
      <c r="Q149" s="275">
        <f t="array" ref="Q149">IF(SUM($E248:P248)&lt;1,SUM(IF('11.销售及回款表'!$E$497:$AV$540=Q$247,'11.销售及回款表'!$E204:$AV204,0)),'11.销售及回款表'!Q204)</f>
        <v>0</v>
      </c>
      <c r="R149" s="276">
        <f t="array" ref="R149">IF(SUM($E248:Q248)&lt;1,SUM(IF('11.销售及回款表'!$E$497:$AV$540=R$247,'11.销售及回款表'!$E204:$AV204,0)),'11.销售及回款表'!R204)</f>
        <v>0</v>
      </c>
      <c r="S149" s="276">
        <f t="array" ref="S149">IF(SUM($E248:R248)&lt;1,SUM(IF('11.销售及回款表'!$E$497:$AV$540=S$247,'11.销售及回款表'!$E204:$AV204,0)),'11.销售及回款表'!S204)</f>
        <v>0</v>
      </c>
      <c r="T149" s="277">
        <f t="array" ref="T149">IF(SUM($E248:S248)&lt;1,SUM(IF('11.销售及回款表'!$E$497:$AV$540=T$247,'11.销售及回款表'!$E204:$AV204,0)),'11.销售及回款表'!T204)</f>
        <v>0</v>
      </c>
      <c r="U149" s="275">
        <f t="array" ref="U149">IF(SUM($E248:T248)&lt;1,SUM(IF('11.销售及回款表'!$E$497:$AV$540=U$247,'11.销售及回款表'!$E204:$AV204,0)),'11.销售及回款表'!U204)</f>
        <v>0</v>
      </c>
      <c r="V149" s="276">
        <f t="array" ref="V149">IF(SUM($E248:U248)&lt;1,SUM(IF('11.销售及回款表'!$E$497:$AV$540=V$247,'11.销售及回款表'!$E204:$AV204,0)),'11.销售及回款表'!V204)</f>
        <v>0</v>
      </c>
      <c r="W149" s="276">
        <f t="array" ref="W149">IF(SUM($E248:V248)&lt;1,SUM(IF('11.销售及回款表'!$E$497:$AV$540=W$247,'11.销售及回款表'!$E204:$AV204,0)),'11.销售及回款表'!W204)</f>
        <v>0</v>
      </c>
      <c r="X149" s="277">
        <f t="array" ref="X149">IF(SUM($E248:W248)&lt;1,SUM(IF('11.销售及回款表'!$E$497:$AV$540=X$247,'11.销售及回款表'!$E204:$AV204,0)),'11.销售及回款表'!X204)</f>
        <v>0</v>
      </c>
      <c r="Y149" s="275">
        <f t="array" ref="Y149">IF(SUM($E248:X248)&lt;1,SUM(IF('11.销售及回款表'!$E$497:$AV$540=Y$247,'11.销售及回款表'!$E204:$AV204,0)),'11.销售及回款表'!Y204)</f>
        <v>0</v>
      </c>
      <c r="Z149" s="276">
        <f t="array" ref="Z149">IF(SUM($E248:Y248)&lt;1,SUM(IF('11.销售及回款表'!$E$497:$AV$540=Z$247,'11.销售及回款表'!$E204:$AV204,0)),'11.销售及回款表'!Z204)</f>
        <v>0</v>
      </c>
      <c r="AA149" s="276">
        <f t="array" ref="AA149">IF(SUM($E248:Z248)&lt;1,SUM(IF('11.销售及回款表'!$E$497:$AV$540=AA$247,'11.销售及回款表'!$E204:$AV204,0)),'11.销售及回款表'!AA204)</f>
        <v>0</v>
      </c>
      <c r="AB149" s="277">
        <f t="array" ref="AB149">IF(SUM($E248:AA248)&lt;1,SUM(IF('11.销售及回款表'!$E$497:$AV$540=AB$247,'11.销售及回款表'!$E204:$AV204,0)),'11.销售及回款表'!AB204)</f>
        <v>0</v>
      </c>
      <c r="AC149" s="275">
        <f t="array" ref="AC149">IF(SUM($E248:AB248)&lt;1,SUM(IF('11.销售及回款表'!$E$497:$AV$540=AC$247,'11.销售及回款表'!$E204:$AV204,0)),'11.销售及回款表'!AC204)</f>
        <v>0</v>
      </c>
      <c r="AD149" s="276">
        <f t="array" ref="AD149">IF(SUM($E248:AC248)&lt;1,SUM(IF('11.销售及回款表'!$E$497:$AV$540=AD$247,'11.销售及回款表'!$E204:$AV204,0)),'11.销售及回款表'!AD204)</f>
        <v>0</v>
      </c>
      <c r="AE149" s="276">
        <f t="array" ref="AE149">IF(SUM($E248:AD248)&lt;1,SUM(IF('11.销售及回款表'!$E$497:$AV$540=AE$247,'11.销售及回款表'!$E204:$AV204,0)),'11.销售及回款表'!AE204)</f>
        <v>0</v>
      </c>
      <c r="AF149" s="277">
        <f t="array" ref="AF149">IF(SUM($E248:AE248)&lt;1,SUM(IF('11.销售及回款表'!$E$497:$AV$540=AF$247,'11.销售及回款表'!$E204:$AV204,0)),'11.销售及回款表'!AF204)</f>
        <v>0</v>
      </c>
      <c r="AG149" s="275">
        <f t="array" ref="AG149">IF(SUM($E248:AF248)&lt;1,SUM(IF('11.销售及回款表'!$E$497:$AV$540=AG$247,'11.销售及回款表'!$E204:$AV204,0)),'11.销售及回款表'!AG204)</f>
        <v>0</v>
      </c>
      <c r="AH149" s="276">
        <f t="array" ref="AH149">IF(SUM($E248:AG248)&lt;1,SUM(IF('11.销售及回款表'!$E$497:$AV$540=AH$247,'11.销售及回款表'!$E204:$AV204,0)),'11.销售及回款表'!AH204)</f>
        <v>0</v>
      </c>
      <c r="AI149" s="276">
        <f t="array" ref="AI149">IF(SUM($E248:AH248)&lt;1,SUM(IF('11.销售及回款表'!$E$497:$AV$540=AI$247,'11.销售及回款表'!$E204:$AV204,0)),'11.销售及回款表'!AI204)</f>
        <v>0</v>
      </c>
      <c r="AJ149" s="277">
        <f t="array" ref="AJ149">IF(SUM($E248:AI248)&lt;1,SUM(IF('11.销售及回款表'!$E$497:$AV$540=AJ$247,'11.销售及回款表'!$E204:$AV204,0)),'11.销售及回款表'!AJ204)</f>
        <v>0</v>
      </c>
      <c r="AK149" s="275">
        <f t="array" ref="AK149">IF(SUM($E248:AJ248)&lt;1,SUM(IF('11.销售及回款表'!$E$497:$AV$540=AK$247,'11.销售及回款表'!$E204:$AV204,0)),'11.销售及回款表'!AK204)</f>
        <v>0</v>
      </c>
      <c r="AL149" s="276">
        <f t="array" ref="AL149">IF(SUM($E248:AK248)&lt;1,SUM(IF('11.销售及回款表'!$E$497:$AV$540=AL$247,'11.销售及回款表'!$E204:$AV204,0)),'11.销售及回款表'!AL204)</f>
        <v>0</v>
      </c>
      <c r="AM149" s="276">
        <f t="array" ref="AM149">IF(SUM($E248:AL248)&lt;1,SUM(IF('11.销售及回款表'!$E$497:$AV$540=AM$247,'11.销售及回款表'!$E204:$AV204,0)),'11.销售及回款表'!AM204)</f>
        <v>0</v>
      </c>
      <c r="AN149" s="277">
        <f t="array" ref="AN149">IF(SUM($E248:AM248)&lt;1,SUM(IF('11.销售及回款表'!$E$497:$AV$540=AN$247,'11.销售及回款表'!$E204:$AV204,0)),'11.销售及回款表'!AN204)</f>
        <v>0</v>
      </c>
      <c r="AO149" s="275">
        <f t="array" ref="AO149">IF(SUM($E248:AN248)&lt;1,SUM(IF('11.销售及回款表'!$E$497:$AV$540=AO$247,'11.销售及回款表'!$E204:$AV204,0)),'11.销售及回款表'!AO204)</f>
        <v>0</v>
      </c>
      <c r="AP149" s="276">
        <f t="array" ref="AP149">IF(SUM($E248:AO248)&lt;1,SUM(IF('11.销售及回款表'!$E$497:$AV$540=AP$247,'11.销售及回款表'!$E204:$AV204,0)),'11.销售及回款表'!AP204)</f>
        <v>0</v>
      </c>
      <c r="AQ149" s="276">
        <f t="array" ref="AQ149">IF(SUM($E248:AP248)&lt;1,SUM(IF('11.销售及回款表'!$E$497:$AV$540=AQ$247,'11.销售及回款表'!$E204:$AV204,0)),'11.销售及回款表'!AQ204)</f>
        <v>0</v>
      </c>
      <c r="AR149" s="277">
        <f t="array" ref="AR149">IF(SUM($E248:AQ248)&lt;1,SUM(IF('11.销售及回款表'!$E$497:$AV$540=AR$247,'11.销售及回款表'!$E204:$AV204,0)),'11.销售及回款表'!AR204)</f>
        <v>0</v>
      </c>
      <c r="AS149" s="275">
        <f t="array" ref="AS149">IF(SUM($E248:AR248)&lt;1,SUM(IF('11.销售及回款表'!$E$497:$AV$540=AS$247,'11.销售及回款表'!$E204:$AV204,0)),'11.销售及回款表'!AS204)</f>
        <v>0</v>
      </c>
      <c r="AT149" s="276">
        <f t="array" ref="AT149">IF(SUM($E248:AS248)&lt;1,SUM(IF('11.销售及回款表'!$E$497:$AV$540=AT$247,'11.销售及回款表'!$E204:$AV204,0)),'11.销售及回款表'!AT204)</f>
        <v>0</v>
      </c>
      <c r="AU149" s="276">
        <f t="array" ref="AU149">IF(SUM($E248:AT248)&lt;1,SUM(IF('11.销售及回款表'!$E$497:$AV$540=AU$247,'11.销售及回款表'!$E204:$AV204,0)),'11.销售及回款表'!AU204)</f>
        <v>0</v>
      </c>
      <c r="AV149" s="277">
        <f t="array" ref="AV149">IF(SUM($E248:AU248)&lt;1,SUM(IF('11.销售及回款表'!$E$497:$AV$540=AV$247,'11.销售及回款表'!$E204:$AV204,0)),'11.销售及回款表'!AV204)</f>
        <v>0</v>
      </c>
    </row>
    <row r="150" spans="2:48" s="257" customFormat="1" ht="15.75" customHeight="1" outlineLevel="1">
      <c r="B150" s="1980"/>
      <c r="C150" s="303" t="str">
        <f>'8.项目规划指标表'!$B$18</f>
        <v>有产权车库(个)</v>
      </c>
      <c r="D150" s="274">
        <f t="shared" si="30"/>
        <v>0</v>
      </c>
      <c r="E150" s="275">
        <f t="array" ref="E150">IF(SUM(D250:$E250)&lt;1,SUM(IF('11.销售及回款表'!$E$497:$AV$540=E$249,'11.销售及回款表'!$E209:$AV209,0)),'11.销售及回款表'!E209)</f>
        <v>0</v>
      </c>
      <c r="F150" s="276">
        <f t="array" ref="F150">IF(SUM(E250:$E250)&lt;1,SUM(IF('11.销售及回款表'!$E$497:$AV$540=F$249,'11.销售及回款表'!$E209:$AV209,0)),'11.销售及回款表'!F209)</f>
        <v>0</v>
      </c>
      <c r="G150" s="276">
        <f t="array" ref="G150">IF(SUM($E250:F250)&lt;1,SUM(IF('11.销售及回款表'!$E$497:$AV$540=G$249,'11.销售及回款表'!$E209:$AV209,0)),'11.销售及回款表'!G209)</f>
        <v>0</v>
      </c>
      <c r="H150" s="277">
        <f t="array" ref="H150">IF(SUM($E250:G250)&lt;1,SUM(IF('11.销售及回款表'!$E$497:$AV$540=H$249,'11.销售及回款表'!$E209:$AV209,0)),'11.销售及回款表'!H209)</f>
        <v>0</v>
      </c>
      <c r="I150" s="275">
        <f t="array" ref="I150">IF(SUM($E250:H250)&lt;1,SUM(IF('11.销售及回款表'!$E$497:$AV$540=I$249,'11.销售及回款表'!$E209:$AV209,0)),'11.销售及回款表'!I209)</f>
        <v>0</v>
      </c>
      <c r="J150" s="276">
        <f t="array" ref="J150">IF(SUM($E250:I250)&lt;1,SUM(IF('11.销售及回款表'!$E$497:$AV$540=J$249,'11.销售及回款表'!$E209:$AV209,0)),'11.销售及回款表'!J209)</f>
        <v>0</v>
      </c>
      <c r="K150" s="276">
        <f t="array" ref="K150">IF(SUM($E250:J250)&lt;1,SUM(IF('11.销售及回款表'!$E$497:$AV$540=K$249,'11.销售及回款表'!$E209:$AV209,0)),'11.销售及回款表'!K209)</f>
        <v>0</v>
      </c>
      <c r="L150" s="277">
        <f t="array" ref="L150">IF(SUM($E250:K250)&lt;1,SUM(IF('11.销售及回款表'!$E$497:$AV$540=L$249,'11.销售及回款表'!$E209:$AV209,0)),'11.销售及回款表'!L209)</f>
        <v>0</v>
      </c>
      <c r="M150" s="275">
        <f t="array" ref="M150">IF(SUM($E250:L250)&lt;1,SUM(IF('11.销售及回款表'!$E$497:$AV$540=M$249,'11.销售及回款表'!$E209:$AV209,0)),'11.销售及回款表'!M209)</f>
        <v>0</v>
      </c>
      <c r="N150" s="276">
        <f t="array" ref="N150">IF(SUM($E250:M250)&lt;1,SUM(IF('11.销售及回款表'!$E$497:$AV$540=N$249,'11.销售及回款表'!$E209:$AV209,0)),'11.销售及回款表'!N209)</f>
        <v>0</v>
      </c>
      <c r="O150" s="276">
        <f t="array" ref="O150">IF(SUM($E250:N250)&lt;1,SUM(IF('11.销售及回款表'!$E$497:$AV$540=O$249,'11.销售及回款表'!$E209:$AV209,0)),'11.销售及回款表'!O209)</f>
        <v>0</v>
      </c>
      <c r="P150" s="277">
        <f t="array" ref="P150">IF(SUM($E250:O250)&lt;1,SUM(IF('11.销售及回款表'!$E$497:$AV$540=P$249,'11.销售及回款表'!$E209:$AV209,0)),'11.销售及回款表'!P209)</f>
        <v>0</v>
      </c>
      <c r="Q150" s="275">
        <f t="array" ref="Q150">IF(SUM($E250:P250)&lt;1,SUM(IF('11.销售及回款表'!$E$497:$AV$540=Q$249,'11.销售及回款表'!$E209:$AV209,0)),'11.销售及回款表'!Q209)</f>
        <v>0</v>
      </c>
      <c r="R150" s="276">
        <f t="array" ref="R150">IF(SUM($E250:Q250)&lt;1,SUM(IF('11.销售及回款表'!$E$497:$AV$540=R$249,'11.销售及回款表'!$E209:$AV209,0)),'11.销售及回款表'!R209)</f>
        <v>0</v>
      </c>
      <c r="S150" s="276">
        <f t="array" ref="S150">IF(SUM($E250:R250)&lt;1,SUM(IF('11.销售及回款表'!$E$497:$AV$540=S$249,'11.销售及回款表'!$E209:$AV209,0)),'11.销售及回款表'!S209)</f>
        <v>0</v>
      </c>
      <c r="T150" s="277">
        <f t="array" ref="T150">IF(SUM($E250:S250)&lt;1,SUM(IF('11.销售及回款表'!$E$497:$AV$540=T$249,'11.销售及回款表'!$E209:$AV209,0)),'11.销售及回款表'!T209)</f>
        <v>0</v>
      </c>
      <c r="U150" s="275">
        <f t="array" ref="U150">IF(SUM($E250:T250)&lt;1,SUM(IF('11.销售及回款表'!$E$497:$AV$540=U$249,'11.销售及回款表'!$E209:$AV209,0)),'11.销售及回款表'!U209)</f>
        <v>0</v>
      </c>
      <c r="V150" s="276">
        <f t="array" ref="V150">IF(SUM($E250:U250)&lt;1,SUM(IF('11.销售及回款表'!$E$497:$AV$540=V$249,'11.销售及回款表'!$E209:$AV209,0)),'11.销售及回款表'!V209)</f>
        <v>0</v>
      </c>
      <c r="W150" s="276">
        <f t="array" ref="W150">IF(SUM($E250:V250)&lt;1,SUM(IF('11.销售及回款表'!$E$497:$AV$540=W$249,'11.销售及回款表'!$E209:$AV209,0)),'11.销售及回款表'!W209)</f>
        <v>0</v>
      </c>
      <c r="X150" s="277">
        <f t="array" ref="X150">IF(SUM($E250:W250)&lt;1,SUM(IF('11.销售及回款表'!$E$497:$AV$540=X$249,'11.销售及回款表'!$E209:$AV209,0)),'11.销售及回款表'!X209)</f>
        <v>0</v>
      </c>
      <c r="Y150" s="275">
        <f t="array" ref="Y150">IF(SUM($E250:X250)&lt;1,SUM(IF('11.销售及回款表'!$E$497:$AV$540=Y$249,'11.销售及回款表'!$E209:$AV209,0)),'11.销售及回款表'!Y209)</f>
        <v>0</v>
      </c>
      <c r="Z150" s="276">
        <f t="array" ref="Z150">IF(SUM($E250:Y250)&lt;1,SUM(IF('11.销售及回款表'!$E$497:$AV$540=Z$249,'11.销售及回款表'!$E209:$AV209,0)),'11.销售及回款表'!Z209)</f>
        <v>0</v>
      </c>
      <c r="AA150" s="276">
        <f t="array" ref="AA150">IF(SUM($E250:Z250)&lt;1,SUM(IF('11.销售及回款表'!$E$497:$AV$540=AA$249,'11.销售及回款表'!$E209:$AV209,0)),'11.销售及回款表'!AA209)</f>
        <v>0</v>
      </c>
      <c r="AB150" s="277">
        <f t="array" ref="AB150">IF(SUM($E250:AA250)&lt;1,SUM(IF('11.销售及回款表'!$E$497:$AV$540=AB$249,'11.销售及回款表'!$E209:$AV209,0)),'11.销售及回款表'!AB209)</f>
        <v>0</v>
      </c>
      <c r="AC150" s="275">
        <f t="array" ref="AC150">IF(SUM($E250:AB250)&lt;1,SUM(IF('11.销售及回款表'!$E$497:$AV$540=AC$249,'11.销售及回款表'!$E209:$AV209,0)),'11.销售及回款表'!AC209)</f>
        <v>0</v>
      </c>
      <c r="AD150" s="276">
        <f t="array" ref="AD150">IF(SUM($E250:AC250)&lt;1,SUM(IF('11.销售及回款表'!$E$497:$AV$540=AD$249,'11.销售及回款表'!$E209:$AV209,0)),'11.销售及回款表'!AD209)</f>
        <v>0</v>
      </c>
      <c r="AE150" s="276">
        <f t="array" ref="AE150">IF(SUM($E250:AD250)&lt;1,SUM(IF('11.销售及回款表'!$E$497:$AV$540=AE$249,'11.销售及回款表'!$E209:$AV209,0)),'11.销售及回款表'!AE209)</f>
        <v>0</v>
      </c>
      <c r="AF150" s="277">
        <f t="array" ref="AF150">IF(SUM($E250:AE250)&lt;1,SUM(IF('11.销售及回款表'!$E$497:$AV$540=AF$249,'11.销售及回款表'!$E209:$AV209,0)),'11.销售及回款表'!AF209)</f>
        <v>0</v>
      </c>
      <c r="AG150" s="275">
        <f t="array" ref="AG150">IF(SUM($E250:AF250)&lt;1,SUM(IF('11.销售及回款表'!$E$497:$AV$540=AG$249,'11.销售及回款表'!$E209:$AV209,0)),'11.销售及回款表'!AG209)</f>
        <v>0</v>
      </c>
      <c r="AH150" s="276">
        <f t="array" ref="AH150">IF(SUM($E250:AG250)&lt;1,SUM(IF('11.销售及回款表'!$E$497:$AV$540=AH$249,'11.销售及回款表'!$E209:$AV209,0)),'11.销售及回款表'!AH209)</f>
        <v>0</v>
      </c>
      <c r="AI150" s="276">
        <f t="array" ref="AI150">IF(SUM($E250:AH250)&lt;1,SUM(IF('11.销售及回款表'!$E$497:$AV$540=AI$249,'11.销售及回款表'!$E209:$AV209,0)),'11.销售及回款表'!AI209)</f>
        <v>0</v>
      </c>
      <c r="AJ150" s="277">
        <f t="array" ref="AJ150">IF(SUM($E250:AI250)&lt;1,SUM(IF('11.销售及回款表'!$E$497:$AV$540=AJ$249,'11.销售及回款表'!$E209:$AV209,0)),'11.销售及回款表'!AJ209)</f>
        <v>0</v>
      </c>
      <c r="AK150" s="275">
        <f t="array" ref="AK150">IF(SUM($E250:AJ250)&lt;1,SUM(IF('11.销售及回款表'!$E$497:$AV$540=AK$249,'11.销售及回款表'!$E209:$AV209,0)),'11.销售及回款表'!AK209)</f>
        <v>0</v>
      </c>
      <c r="AL150" s="276">
        <f t="array" ref="AL150">IF(SUM($E250:AK250)&lt;1,SUM(IF('11.销售及回款表'!$E$497:$AV$540=AL$249,'11.销售及回款表'!$E209:$AV209,0)),'11.销售及回款表'!AL209)</f>
        <v>0</v>
      </c>
      <c r="AM150" s="276">
        <f t="array" ref="AM150">IF(SUM($E250:AL250)&lt;1,SUM(IF('11.销售及回款表'!$E$497:$AV$540=AM$249,'11.销售及回款表'!$E209:$AV209,0)),'11.销售及回款表'!AM209)</f>
        <v>0</v>
      </c>
      <c r="AN150" s="277">
        <f t="array" ref="AN150">IF(SUM($E250:AM250)&lt;1,SUM(IF('11.销售及回款表'!$E$497:$AV$540=AN$249,'11.销售及回款表'!$E209:$AV209,0)),'11.销售及回款表'!AN209)</f>
        <v>0</v>
      </c>
      <c r="AO150" s="275">
        <f t="array" ref="AO150">IF(SUM($E250:AN250)&lt;1,SUM(IF('11.销售及回款表'!$E$497:$AV$540=AO$249,'11.销售及回款表'!$E209:$AV209,0)),'11.销售及回款表'!AO209)</f>
        <v>0</v>
      </c>
      <c r="AP150" s="276">
        <f t="array" ref="AP150">IF(SUM($E250:AO250)&lt;1,SUM(IF('11.销售及回款表'!$E$497:$AV$540=AP$249,'11.销售及回款表'!$E209:$AV209,0)),'11.销售及回款表'!AP209)</f>
        <v>0</v>
      </c>
      <c r="AQ150" s="276">
        <f t="array" ref="AQ150">IF(SUM($E250:AP250)&lt;1,SUM(IF('11.销售及回款表'!$E$497:$AV$540=AQ$249,'11.销售及回款表'!$E209:$AV209,0)),'11.销售及回款表'!AQ209)</f>
        <v>0</v>
      </c>
      <c r="AR150" s="277">
        <f t="array" ref="AR150">IF(SUM($E250:AQ250)&lt;1,SUM(IF('11.销售及回款表'!$E$497:$AV$540=AR$249,'11.销售及回款表'!$E209:$AV209,0)),'11.销售及回款表'!AR209)</f>
        <v>0</v>
      </c>
      <c r="AS150" s="275">
        <f t="array" ref="AS150">IF(SUM($E250:AR250)&lt;1,SUM(IF('11.销售及回款表'!$E$497:$AV$540=AS$249,'11.销售及回款表'!$E209:$AV209,0)),'11.销售及回款表'!AS209)</f>
        <v>0</v>
      </c>
      <c r="AT150" s="276">
        <f t="array" ref="AT150">IF(SUM($E250:AS250)&lt;1,SUM(IF('11.销售及回款表'!$E$497:$AV$540=AT$249,'11.销售及回款表'!$E209:$AV209,0)),'11.销售及回款表'!AT209)</f>
        <v>0</v>
      </c>
      <c r="AU150" s="276">
        <f t="array" ref="AU150">IF(SUM($E250:AT250)&lt;1,SUM(IF('11.销售及回款表'!$E$497:$AV$540=AU$249,'11.销售及回款表'!$E209:$AV209,0)),'11.销售及回款表'!AU209)</f>
        <v>0</v>
      </c>
      <c r="AV150" s="277">
        <f t="array" ref="AV150">IF(SUM($E250:AU250)&lt;1,SUM(IF('11.销售及回款表'!$E$497:$AV$540=AV$249,'11.销售及回款表'!$E209:$AV209,0)),'11.销售及回款表'!AV209)</f>
        <v>0</v>
      </c>
    </row>
    <row r="151" spans="2:48" s="257" customFormat="1" ht="15.75" customHeight="1" outlineLevel="1">
      <c r="B151" s="1980"/>
      <c r="C151" s="303" t="str">
        <f>'8.项目规划指标表'!$B$19</f>
        <v>无产权车库(个)</v>
      </c>
      <c r="D151" s="274">
        <f t="shared" si="30"/>
        <v>0</v>
      </c>
      <c r="E151" s="275">
        <f t="array" ref="E151">IF(SUM(D252:$E252)&lt;1,SUM(IF('11.销售及回款表'!$E$497:$AV$540=E$251,'11.销售及回款表'!$E214:$AV214,0)),'11.销售及回款表'!E214)</f>
        <v>0</v>
      </c>
      <c r="F151" s="276">
        <f t="array" ref="F151">IF(SUM(E252:$E252)&lt;1,SUM(IF('11.销售及回款表'!$E$497:$AV$540=F$251,'11.销售及回款表'!$E214:$AV214,0)),'11.销售及回款表'!F214)</f>
        <v>0</v>
      </c>
      <c r="G151" s="276">
        <f t="array" ref="G151">IF(SUM($E252:F252)&lt;1,SUM(IF('11.销售及回款表'!$E$497:$AV$540=G$251,'11.销售及回款表'!$E214:$AV214,0)),'11.销售及回款表'!G214)</f>
        <v>0</v>
      </c>
      <c r="H151" s="277">
        <f t="array" ref="H151">IF(SUM($E252:G252)&lt;1,SUM(IF('11.销售及回款表'!$E$497:$AV$540=H$251,'11.销售及回款表'!$E214:$AV214,0)),'11.销售及回款表'!H214)</f>
        <v>0</v>
      </c>
      <c r="I151" s="275">
        <f t="array" ref="I151">IF(SUM($E252:H252)&lt;1,SUM(IF('11.销售及回款表'!$E$497:$AV$540=I$251,'11.销售及回款表'!$E214:$AV214,0)),'11.销售及回款表'!I214)</f>
        <v>0</v>
      </c>
      <c r="J151" s="276">
        <f t="array" ref="J151">IF(SUM($E252:I252)&lt;1,SUM(IF('11.销售及回款表'!$E$497:$AV$540=J$251,'11.销售及回款表'!$E214:$AV214,0)),'11.销售及回款表'!J214)</f>
        <v>0</v>
      </c>
      <c r="K151" s="276">
        <f t="array" ref="K151">IF(SUM($E252:J252)&lt;1,SUM(IF('11.销售及回款表'!$E$497:$AV$540=K$251,'11.销售及回款表'!$E214:$AV214,0)),'11.销售及回款表'!K214)</f>
        <v>0</v>
      </c>
      <c r="L151" s="277">
        <f t="array" ref="L151">IF(SUM($E252:K252)&lt;1,SUM(IF('11.销售及回款表'!$E$497:$AV$540=L$251,'11.销售及回款表'!$E214:$AV214,0)),'11.销售及回款表'!L214)</f>
        <v>0</v>
      </c>
      <c r="M151" s="275">
        <f t="array" ref="M151">IF(SUM($E252:L252)&lt;1,SUM(IF('11.销售及回款表'!$E$497:$AV$540=M$251,'11.销售及回款表'!$E214:$AV214,0)),'11.销售及回款表'!M214)</f>
        <v>0</v>
      </c>
      <c r="N151" s="276">
        <f t="array" ref="N151">IF(SUM($E252:M252)&lt;1,SUM(IF('11.销售及回款表'!$E$497:$AV$540=N$251,'11.销售及回款表'!$E214:$AV214,0)),'11.销售及回款表'!N214)</f>
        <v>0</v>
      </c>
      <c r="O151" s="276">
        <f t="array" ref="O151">IF(SUM($E252:N252)&lt;1,SUM(IF('11.销售及回款表'!$E$497:$AV$540=O$251,'11.销售及回款表'!$E214:$AV214,0)),'11.销售及回款表'!O214)</f>
        <v>0</v>
      </c>
      <c r="P151" s="277">
        <f t="array" ref="P151">IF(SUM($E252:O252)&lt;1,SUM(IF('11.销售及回款表'!$E$497:$AV$540=P$251,'11.销售及回款表'!$E214:$AV214,0)),'11.销售及回款表'!P214)</f>
        <v>0</v>
      </c>
      <c r="Q151" s="275">
        <f t="array" ref="Q151">IF(SUM($E252:P252)&lt;1,SUM(IF('11.销售及回款表'!$E$497:$AV$540=Q$251,'11.销售及回款表'!$E214:$AV214,0)),'11.销售及回款表'!Q214)</f>
        <v>0</v>
      </c>
      <c r="R151" s="276">
        <f t="array" ref="R151">IF(SUM($E252:Q252)&lt;1,SUM(IF('11.销售及回款表'!$E$497:$AV$540=R$251,'11.销售及回款表'!$E214:$AV214,0)),'11.销售及回款表'!R214)</f>
        <v>0</v>
      </c>
      <c r="S151" s="276">
        <f t="array" ref="S151">IF(SUM($E252:R252)&lt;1,SUM(IF('11.销售及回款表'!$E$497:$AV$540=S$251,'11.销售及回款表'!$E214:$AV214,0)),'11.销售及回款表'!S214)</f>
        <v>0</v>
      </c>
      <c r="T151" s="277">
        <f t="array" ref="T151">IF(SUM($E252:S252)&lt;1,SUM(IF('11.销售及回款表'!$E$497:$AV$540=T$251,'11.销售及回款表'!$E214:$AV214,0)),'11.销售及回款表'!T214)</f>
        <v>0</v>
      </c>
      <c r="U151" s="275">
        <f t="array" ref="U151">IF(SUM($E252:T252)&lt;1,SUM(IF('11.销售及回款表'!$E$497:$AV$540=U$251,'11.销售及回款表'!$E214:$AV214,0)),'11.销售及回款表'!U214)</f>
        <v>0</v>
      </c>
      <c r="V151" s="276">
        <f t="array" ref="V151">IF(SUM($E252:U252)&lt;1,SUM(IF('11.销售及回款表'!$E$497:$AV$540=V$251,'11.销售及回款表'!$E214:$AV214,0)),'11.销售及回款表'!V214)</f>
        <v>0</v>
      </c>
      <c r="W151" s="276">
        <f t="array" ref="W151">IF(SUM($E252:V252)&lt;1,SUM(IF('11.销售及回款表'!$E$497:$AV$540=W$251,'11.销售及回款表'!$E214:$AV214,0)),'11.销售及回款表'!W214)</f>
        <v>0</v>
      </c>
      <c r="X151" s="277">
        <f t="array" ref="X151">IF(SUM($E252:W252)&lt;1,SUM(IF('11.销售及回款表'!$E$497:$AV$540=X$251,'11.销售及回款表'!$E214:$AV214,0)),'11.销售及回款表'!X214)</f>
        <v>0</v>
      </c>
      <c r="Y151" s="275">
        <f t="array" ref="Y151">IF(SUM($E252:X252)&lt;1,SUM(IF('11.销售及回款表'!$E$497:$AV$540=Y$251,'11.销售及回款表'!$E214:$AV214,0)),'11.销售及回款表'!Y214)</f>
        <v>0</v>
      </c>
      <c r="Z151" s="276">
        <f t="array" ref="Z151">IF(SUM($E252:Y252)&lt;1,SUM(IF('11.销售及回款表'!$E$497:$AV$540=Z$251,'11.销售及回款表'!$E214:$AV214,0)),'11.销售及回款表'!Z214)</f>
        <v>0</v>
      </c>
      <c r="AA151" s="276">
        <f t="array" ref="AA151">IF(SUM($E252:Z252)&lt;1,SUM(IF('11.销售及回款表'!$E$497:$AV$540=AA$251,'11.销售及回款表'!$E214:$AV214,0)),'11.销售及回款表'!AA214)</f>
        <v>0</v>
      </c>
      <c r="AB151" s="277">
        <f t="array" ref="AB151">IF(SUM($E252:AA252)&lt;1,SUM(IF('11.销售及回款表'!$E$497:$AV$540=AB$251,'11.销售及回款表'!$E214:$AV214,0)),'11.销售及回款表'!AB214)</f>
        <v>0</v>
      </c>
      <c r="AC151" s="275">
        <f t="array" ref="AC151">IF(SUM($E252:AB252)&lt;1,SUM(IF('11.销售及回款表'!$E$497:$AV$540=AC$251,'11.销售及回款表'!$E214:$AV214,0)),'11.销售及回款表'!AC214)</f>
        <v>0</v>
      </c>
      <c r="AD151" s="276">
        <f t="array" ref="AD151">IF(SUM($E252:AC252)&lt;1,SUM(IF('11.销售及回款表'!$E$497:$AV$540=AD$251,'11.销售及回款表'!$E214:$AV214,0)),'11.销售及回款表'!AD214)</f>
        <v>0</v>
      </c>
      <c r="AE151" s="276">
        <f t="array" ref="AE151">IF(SUM($E252:AD252)&lt;1,SUM(IF('11.销售及回款表'!$E$497:$AV$540=AE$251,'11.销售及回款表'!$E214:$AV214,0)),'11.销售及回款表'!AE214)</f>
        <v>0</v>
      </c>
      <c r="AF151" s="277">
        <f t="array" ref="AF151">IF(SUM($E252:AE252)&lt;1,SUM(IF('11.销售及回款表'!$E$497:$AV$540=AF$251,'11.销售及回款表'!$E214:$AV214,0)),'11.销售及回款表'!AF214)</f>
        <v>0</v>
      </c>
      <c r="AG151" s="275">
        <f t="array" ref="AG151">IF(SUM($E252:AF252)&lt;1,SUM(IF('11.销售及回款表'!$E$497:$AV$540=AG$251,'11.销售及回款表'!$E214:$AV214,0)),'11.销售及回款表'!AG214)</f>
        <v>0</v>
      </c>
      <c r="AH151" s="276">
        <f t="array" ref="AH151">IF(SUM($E252:AG252)&lt;1,SUM(IF('11.销售及回款表'!$E$497:$AV$540=AH$251,'11.销售及回款表'!$E214:$AV214,0)),'11.销售及回款表'!AH214)</f>
        <v>0</v>
      </c>
      <c r="AI151" s="276">
        <f t="array" ref="AI151">IF(SUM($E252:AH252)&lt;1,SUM(IF('11.销售及回款表'!$E$497:$AV$540=AI$251,'11.销售及回款表'!$E214:$AV214,0)),'11.销售及回款表'!AI214)</f>
        <v>0</v>
      </c>
      <c r="AJ151" s="277">
        <f t="array" ref="AJ151">IF(SUM($E252:AI252)&lt;1,SUM(IF('11.销售及回款表'!$E$497:$AV$540=AJ$251,'11.销售及回款表'!$E214:$AV214,0)),'11.销售及回款表'!AJ214)</f>
        <v>0</v>
      </c>
      <c r="AK151" s="275">
        <f t="array" ref="AK151">IF(SUM($E252:AJ252)&lt;1,SUM(IF('11.销售及回款表'!$E$497:$AV$540=AK$251,'11.销售及回款表'!$E214:$AV214,0)),'11.销售及回款表'!AK214)</f>
        <v>0</v>
      </c>
      <c r="AL151" s="276">
        <f t="array" ref="AL151">IF(SUM($E252:AK252)&lt;1,SUM(IF('11.销售及回款表'!$E$497:$AV$540=AL$251,'11.销售及回款表'!$E214:$AV214,0)),'11.销售及回款表'!AL214)</f>
        <v>0</v>
      </c>
      <c r="AM151" s="276">
        <f t="array" ref="AM151">IF(SUM($E252:AL252)&lt;1,SUM(IF('11.销售及回款表'!$E$497:$AV$540=AM$251,'11.销售及回款表'!$E214:$AV214,0)),'11.销售及回款表'!AM214)</f>
        <v>0</v>
      </c>
      <c r="AN151" s="277">
        <f t="array" ref="AN151">IF(SUM($E252:AM252)&lt;1,SUM(IF('11.销售及回款表'!$E$497:$AV$540=AN$251,'11.销售及回款表'!$E214:$AV214,0)),'11.销售及回款表'!AN214)</f>
        <v>0</v>
      </c>
      <c r="AO151" s="275">
        <f t="array" ref="AO151">IF(SUM($E252:AN252)&lt;1,SUM(IF('11.销售及回款表'!$E$497:$AV$540=AO$251,'11.销售及回款表'!$E214:$AV214,0)),'11.销售及回款表'!AO214)</f>
        <v>0</v>
      </c>
      <c r="AP151" s="276">
        <f t="array" ref="AP151">IF(SUM($E252:AO252)&lt;1,SUM(IF('11.销售及回款表'!$E$497:$AV$540=AP$251,'11.销售及回款表'!$E214:$AV214,0)),'11.销售及回款表'!AP214)</f>
        <v>0</v>
      </c>
      <c r="AQ151" s="276">
        <f t="array" ref="AQ151">IF(SUM($E252:AP252)&lt;1,SUM(IF('11.销售及回款表'!$E$497:$AV$540=AQ$251,'11.销售及回款表'!$E214:$AV214,0)),'11.销售及回款表'!AQ214)</f>
        <v>0</v>
      </c>
      <c r="AR151" s="277">
        <f t="array" ref="AR151">IF(SUM($E252:AQ252)&lt;1,SUM(IF('11.销售及回款表'!$E$497:$AV$540=AR$251,'11.销售及回款表'!$E214:$AV214,0)),'11.销售及回款表'!AR214)</f>
        <v>0</v>
      </c>
      <c r="AS151" s="275">
        <f t="array" ref="AS151">IF(SUM($E252:AR252)&lt;1,SUM(IF('11.销售及回款表'!$E$497:$AV$540=AS$251,'11.销售及回款表'!$E214:$AV214,0)),'11.销售及回款表'!AS214)</f>
        <v>0</v>
      </c>
      <c r="AT151" s="276">
        <f t="array" ref="AT151">IF(SUM($E252:AS252)&lt;1,SUM(IF('11.销售及回款表'!$E$497:$AV$540=AT$251,'11.销售及回款表'!$E214:$AV214,0)),'11.销售及回款表'!AT214)</f>
        <v>0</v>
      </c>
      <c r="AU151" s="276">
        <f t="array" ref="AU151">IF(SUM($E252:AT252)&lt;1,SUM(IF('11.销售及回款表'!$E$497:$AV$540=AU$251,'11.销售及回款表'!$E214:$AV214,0)),'11.销售及回款表'!AU214)</f>
        <v>0</v>
      </c>
      <c r="AV151" s="277">
        <f t="array" ref="AV151">IF(SUM($E252:AU252)&lt;1,SUM(IF('11.销售及回款表'!$E$497:$AV$540=AV$251,'11.销售及回款表'!$E214:$AV214,0)),'11.销售及回款表'!AV214)</f>
        <v>0</v>
      </c>
    </row>
    <row r="152" spans="2:48" s="256" customFormat="1" ht="15.75" customHeight="1">
      <c r="B152" s="1980"/>
      <c r="C152" s="299" t="s">
        <v>21</v>
      </c>
      <c r="D152" s="300">
        <f t="shared" ref="D152:AV152" si="31">SUM(D153:D164)</f>
        <v>0</v>
      </c>
      <c r="E152" s="301">
        <f t="shared" si="31"/>
        <v>0</v>
      </c>
      <c r="F152" s="300">
        <f t="shared" si="31"/>
        <v>0</v>
      </c>
      <c r="G152" s="300">
        <f t="shared" si="31"/>
        <v>0</v>
      </c>
      <c r="H152" s="302">
        <f t="shared" si="31"/>
        <v>0</v>
      </c>
      <c r="I152" s="301">
        <f t="shared" si="31"/>
        <v>0</v>
      </c>
      <c r="J152" s="300">
        <f t="shared" si="31"/>
        <v>0</v>
      </c>
      <c r="K152" s="300">
        <f t="shared" si="31"/>
        <v>0</v>
      </c>
      <c r="L152" s="302">
        <f t="shared" si="31"/>
        <v>0</v>
      </c>
      <c r="M152" s="301">
        <f t="shared" si="31"/>
        <v>0</v>
      </c>
      <c r="N152" s="300">
        <f t="shared" si="31"/>
        <v>0</v>
      </c>
      <c r="O152" s="300">
        <f t="shared" si="31"/>
        <v>0</v>
      </c>
      <c r="P152" s="302">
        <f t="shared" si="31"/>
        <v>0</v>
      </c>
      <c r="Q152" s="301">
        <f t="shared" si="31"/>
        <v>0</v>
      </c>
      <c r="R152" s="300">
        <f t="shared" si="31"/>
        <v>0</v>
      </c>
      <c r="S152" s="300">
        <f t="shared" si="31"/>
        <v>0</v>
      </c>
      <c r="T152" s="302">
        <f t="shared" si="31"/>
        <v>0</v>
      </c>
      <c r="U152" s="301">
        <f t="shared" si="31"/>
        <v>0</v>
      </c>
      <c r="V152" s="300">
        <f t="shared" si="31"/>
        <v>0</v>
      </c>
      <c r="W152" s="300">
        <f t="shared" si="31"/>
        <v>0</v>
      </c>
      <c r="X152" s="302">
        <f t="shared" si="31"/>
        <v>0</v>
      </c>
      <c r="Y152" s="301">
        <f t="shared" si="31"/>
        <v>0</v>
      </c>
      <c r="Z152" s="300">
        <f t="shared" si="31"/>
        <v>0</v>
      </c>
      <c r="AA152" s="300">
        <f t="shared" si="31"/>
        <v>0</v>
      </c>
      <c r="AB152" s="302">
        <f t="shared" si="31"/>
        <v>0</v>
      </c>
      <c r="AC152" s="301">
        <f t="shared" si="31"/>
        <v>0</v>
      </c>
      <c r="AD152" s="300">
        <f t="shared" si="31"/>
        <v>0</v>
      </c>
      <c r="AE152" s="300">
        <f t="shared" si="31"/>
        <v>0</v>
      </c>
      <c r="AF152" s="302">
        <f t="shared" si="31"/>
        <v>0</v>
      </c>
      <c r="AG152" s="301">
        <f t="shared" si="31"/>
        <v>0</v>
      </c>
      <c r="AH152" s="300">
        <f t="shared" si="31"/>
        <v>0</v>
      </c>
      <c r="AI152" s="300">
        <f t="shared" si="31"/>
        <v>0</v>
      </c>
      <c r="AJ152" s="302">
        <f t="shared" si="31"/>
        <v>0</v>
      </c>
      <c r="AK152" s="301">
        <f t="shared" si="31"/>
        <v>0</v>
      </c>
      <c r="AL152" s="300">
        <f t="shared" si="31"/>
        <v>0</v>
      </c>
      <c r="AM152" s="300">
        <f t="shared" si="31"/>
        <v>0</v>
      </c>
      <c r="AN152" s="302">
        <f t="shared" si="31"/>
        <v>0</v>
      </c>
      <c r="AO152" s="301">
        <f t="shared" si="31"/>
        <v>0</v>
      </c>
      <c r="AP152" s="300">
        <f t="shared" si="31"/>
        <v>0</v>
      </c>
      <c r="AQ152" s="300">
        <f t="shared" si="31"/>
        <v>0</v>
      </c>
      <c r="AR152" s="302">
        <f t="shared" si="31"/>
        <v>0</v>
      </c>
      <c r="AS152" s="301">
        <f t="shared" si="31"/>
        <v>0</v>
      </c>
      <c r="AT152" s="300">
        <f t="shared" si="31"/>
        <v>0</v>
      </c>
      <c r="AU152" s="300">
        <f t="shared" si="31"/>
        <v>0</v>
      </c>
      <c r="AV152" s="302">
        <f t="shared" si="31"/>
        <v>0</v>
      </c>
    </row>
    <row r="153" spans="2:48" s="257" customFormat="1" ht="15.75" customHeight="1" outlineLevel="1">
      <c r="B153" s="1980"/>
      <c r="C153" s="303" t="str">
        <f>'8.项目规划指标表'!$B$5</f>
        <v>高层</v>
      </c>
      <c r="D153" s="274">
        <f>SUM(E153:AV153)</f>
        <v>0</v>
      </c>
      <c r="E153" s="275">
        <f t="array" ref="E153">IF(SUM(D254:$E254)&lt;1,SUM(IF('11.销售及回款表'!$E$497:$AV$540=E253,'11.销售及回款表'!$E229:$AV229,0)),'11.销售及回款表'!E229)</f>
        <v>0</v>
      </c>
      <c r="F153" s="276">
        <f t="array" ref="F153">IF(SUM(E254:$E254)&lt;1,SUM(IF('11.销售及回款表'!$E$497:$AV$540=F253,'11.销售及回款表'!$E229:$AV229,0)),'11.销售及回款表'!F229)</f>
        <v>0</v>
      </c>
      <c r="G153" s="276">
        <f t="array" ref="G153">IF(SUM($E254:F254)&lt;1,SUM(IF('11.销售及回款表'!$E$497:$AV$540=G253,'11.销售及回款表'!$E229:$AV229,0)),'11.销售及回款表'!G229)</f>
        <v>0</v>
      </c>
      <c r="H153" s="277">
        <f t="array" ref="H153">IF(SUM($E254:G254)&lt;1,SUM(IF('11.销售及回款表'!$E$497:$AV$540=H253,'11.销售及回款表'!$E229:$AV229,0)),'11.销售及回款表'!H229)</f>
        <v>0</v>
      </c>
      <c r="I153" s="275">
        <f t="array" ref="I153">IF(SUM($E254:H254)&lt;1,SUM(IF('11.销售及回款表'!$E$497:$AV$540=I253,'11.销售及回款表'!$E229:$AV229,0)),'11.销售及回款表'!I229)</f>
        <v>0</v>
      </c>
      <c r="J153" s="276">
        <f t="array" ref="J153">IF(SUM($E254:I254)&lt;1,SUM(IF('11.销售及回款表'!$E$497:$AV$540=J253,'11.销售及回款表'!$E229:$AV229,0)),'11.销售及回款表'!J229)</f>
        <v>0</v>
      </c>
      <c r="K153" s="276">
        <f t="array" ref="K153">IF(SUM($E254:J254)&lt;1,SUM(IF('11.销售及回款表'!$E$497:$AV$540=K253,'11.销售及回款表'!$E229:$AV229,0)),'11.销售及回款表'!K229)</f>
        <v>0</v>
      </c>
      <c r="L153" s="277">
        <f t="array" ref="L153">IF(SUM($E254:K254)&lt;1,SUM(IF('11.销售及回款表'!$E$497:$AV$540=L253,'11.销售及回款表'!$E229:$AV229,0)),'11.销售及回款表'!L229)</f>
        <v>0</v>
      </c>
      <c r="M153" s="275">
        <f t="array" ref="M153">IF(SUM($E254:L254)&lt;1,SUM(IF('11.销售及回款表'!$E$497:$AV$540=M253,'11.销售及回款表'!$E229:$AV229,0)),'11.销售及回款表'!M229)</f>
        <v>0</v>
      </c>
      <c r="N153" s="276">
        <f t="array" ref="N153">IF(SUM($E254:M254)&lt;1,SUM(IF('11.销售及回款表'!$E$497:$AV$540=N253,'11.销售及回款表'!$E229:$AV229,0)),'11.销售及回款表'!N229)</f>
        <v>0</v>
      </c>
      <c r="O153" s="276">
        <f t="array" ref="O153">IF(SUM($E254:N254)&lt;1,SUM(IF('11.销售及回款表'!$E$497:$AV$540=O253,'11.销售及回款表'!$E229:$AV229,0)),'11.销售及回款表'!O229)</f>
        <v>0</v>
      </c>
      <c r="P153" s="277">
        <f t="array" ref="P153">IF(SUM($E254:O254)&lt;1,SUM(IF('11.销售及回款表'!$E$497:$AV$540=P253,'11.销售及回款表'!$E229:$AV229,0)),'11.销售及回款表'!P229)</f>
        <v>0</v>
      </c>
      <c r="Q153" s="275">
        <f t="array" ref="Q153">IF(SUM($E254:P254)&lt;1,SUM(IF('11.销售及回款表'!$E$497:$AV$540=Q253,'11.销售及回款表'!$E229:$AV229,0)),'11.销售及回款表'!Q229)</f>
        <v>0</v>
      </c>
      <c r="R153" s="276">
        <f t="array" ref="R153">IF(SUM($E254:Q254)&lt;1,SUM(IF('11.销售及回款表'!$E$497:$AV$540=R253,'11.销售及回款表'!$E229:$AV229,0)),'11.销售及回款表'!R229)</f>
        <v>0</v>
      </c>
      <c r="S153" s="276">
        <f t="array" ref="S153">IF(SUM($E254:R254)&lt;1,SUM(IF('11.销售及回款表'!$E$497:$AV$540=S253,'11.销售及回款表'!$E229:$AV229,0)),'11.销售及回款表'!S229)</f>
        <v>0</v>
      </c>
      <c r="T153" s="277">
        <f t="array" ref="T153">IF(SUM($E254:S254)&lt;1,SUM(IF('11.销售及回款表'!$E$497:$AV$540=T253,'11.销售及回款表'!$E229:$AV229,0)),'11.销售及回款表'!T229)</f>
        <v>0</v>
      </c>
      <c r="U153" s="275">
        <f t="array" ref="U153">IF(SUM($E254:T254)&lt;1,SUM(IF('11.销售及回款表'!$E$497:$AV$540=U253,'11.销售及回款表'!$E229:$AV229,0)),'11.销售及回款表'!U229)</f>
        <v>0</v>
      </c>
      <c r="V153" s="276">
        <f t="array" ref="V153">IF(SUM($E254:U254)&lt;1,SUM(IF('11.销售及回款表'!$E$497:$AV$540=V253,'11.销售及回款表'!$E229:$AV229,0)),'11.销售及回款表'!V229)</f>
        <v>0</v>
      </c>
      <c r="W153" s="276">
        <f t="array" ref="W153">IF(SUM($E254:V254)&lt;1,SUM(IF('11.销售及回款表'!$E$497:$AV$540=W253,'11.销售及回款表'!$E229:$AV229,0)),'11.销售及回款表'!W229)</f>
        <v>0</v>
      </c>
      <c r="X153" s="277">
        <f t="array" ref="X153">IF(SUM($E254:W254)&lt;1,SUM(IF('11.销售及回款表'!$E$497:$AV$540=X253,'11.销售及回款表'!$E229:$AV229,0)),'11.销售及回款表'!X229)</f>
        <v>0</v>
      </c>
      <c r="Y153" s="275">
        <f t="array" ref="Y153">IF(SUM($E254:X254)&lt;1,SUM(IF('11.销售及回款表'!$E$497:$AV$540=Y253,'11.销售及回款表'!$E229:$AV229,0)),'11.销售及回款表'!Y229)</f>
        <v>0</v>
      </c>
      <c r="Z153" s="276">
        <f t="array" ref="Z153">IF(SUM($E254:Y254)&lt;1,SUM(IF('11.销售及回款表'!$E$497:$AV$540=Z253,'11.销售及回款表'!$E229:$AV229,0)),'11.销售及回款表'!Z229)</f>
        <v>0</v>
      </c>
      <c r="AA153" s="276">
        <f t="array" ref="AA153">IF(SUM($E254:Z254)&lt;1,SUM(IF('11.销售及回款表'!$E$497:$AV$540=AA253,'11.销售及回款表'!$E229:$AV229,0)),'11.销售及回款表'!AA229)</f>
        <v>0</v>
      </c>
      <c r="AB153" s="277">
        <f t="array" ref="AB153">IF(SUM($E254:AA254)&lt;1,SUM(IF('11.销售及回款表'!$E$497:$AV$540=AB253,'11.销售及回款表'!$E229:$AV229,0)),'11.销售及回款表'!AB229)</f>
        <v>0</v>
      </c>
      <c r="AC153" s="275">
        <f t="array" ref="AC153">IF(SUM($E254:AB254)&lt;1,SUM(IF('11.销售及回款表'!$E$497:$AV$540=AC253,'11.销售及回款表'!$E229:$AV229,0)),'11.销售及回款表'!AC229)</f>
        <v>0</v>
      </c>
      <c r="AD153" s="276">
        <f t="array" ref="AD153">IF(SUM($E254:AC254)&lt;1,SUM(IF('11.销售及回款表'!$E$497:$AV$540=AD253,'11.销售及回款表'!$E229:$AV229,0)),'11.销售及回款表'!AD229)</f>
        <v>0</v>
      </c>
      <c r="AE153" s="276">
        <f t="array" ref="AE153">IF(SUM($E254:AD254)&lt;1,SUM(IF('11.销售及回款表'!$E$497:$AV$540=AE253,'11.销售及回款表'!$E229:$AV229,0)),'11.销售及回款表'!AE229)</f>
        <v>0</v>
      </c>
      <c r="AF153" s="277">
        <f t="array" ref="AF153">IF(SUM($E254:AE254)&lt;1,SUM(IF('11.销售及回款表'!$E$497:$AV$540=AF253,'11.销售及回款表'!$E229:$AV229,0)),'11.销售及回款表'!AF229)</f>
        <v>0</v>
      </c>
      <c r="AG153" s="275">
        <f t="array" ref="AG153">IF(SUM($E254:AF254)&lt;1,SUM(IF('11.销售及回款表'!$E$497:$AV$540=AG253,'11.销售及回款表'!$E229:$AV229,0)),'11.销售及回款表'!AG229)</f>
        <v>0</v>
      </c>
      <c r="AH153" s="276">
        <f t="array" ref="AH153">IF(SUM($E254:AG254)&lt;1,SUM(IF('11.销售及回款表'!$E$497:$AV$540=AH253,'11.销售及回款表'!$E229:$AV229,0)),'11.销售及回款表'!AH229)</f>
        <v>0</v>
      </c>
      <c r="AI153" s="276">
        <f t="array" ref="AI153">IF(SUM($E254:AH254)&lt;1,SUM(IF('11.销售及回款表'!$E$497:$AV$540=AI253,'11.销售及回款表'!$E229:$AV229,0)),'11.销售及回款表'!AI229)</f>
        <v>0</v>
      </c>
      <c r="AJ153" s="277">
        <f t="array" ref="AJ153">IF(SUM($E254:AI254)&lt;1,SUM(IF('11.销售及回款表'!$E$497:$AV$540=AJ253,'11.销售及回款表'!$E229:$AV229,0)),'11.销售及回款表'!AJ229)</f>
        <v>0</v>
      </c>
      <c r="AK153" s="275">
        <f t="array" ref="AK153">IF(SUM($E254:AJ254)&lt;1,SUM(IF('11.销售及回款表'!$E$497:$AV$540=AK253,'11.销售及回款表'!$E229:$AV229,0)),'11.销售及回款表'!AK229)</f>
        <v>0</v>
      </c>
      <c r="AL153" s="276">
        <f t="array" ref="AL153">IF(SUM($E254:AK254)&lt;1,SUM(IF('11.销售及回款表'!$E$497:$AV$540=AL253,'11.销售及回款表'!$E229:$AV229,0)),'11.销售及回款表'!AL229)</f>
        <v>0</v>
      </c>
      <c r="AM153" s="276">
        <f t="array" ref="AM153">IF(SUM($E254:AL254)&lt;1,SUM(IF('11.销售及回款表'!$E$497:$AV$540=AM253,'11.销售及回款表'!$E229:$AV229,0)),'11.销售及回款表'!AM229)</f>
        <v>0</v>
      </c>
      <c r="AN153" s="277">
        <f t="array" ref="AN153">IF(SUM($E254:AM254)&lt;1,SUM(IF('11.销售及回款表'!$E$497:$AV$540=AN253,'11.销售及回款表'!$E229:$AV229,0)),'11.销售及回款表'!AN229)</f>
        <v>0</v>
      </c>
      <c r="AO153" s="275">
        <f t="array" ref="AO153">IF(SUM($E254:AN254)&lt;1,SUM(IF('11.销售及回款表'!$E$497:$AV$540=AO253,'11.销售及回款表'!$E229:$AV229,0)),'11.销售及回款表'!AO229)</f>
        <v>0</v>
      </c>
      <c r="AP153" s="276">
        <f t="array" ref="AP153">IF(SUM($E254:AO254)&lt;1,SUM(IF('11.销售及回款表'!$E$497:$AV$540=AP253,'11.销售及回款表'!$E229:$AV229,0)),'11.销售及回款表'!AP229)</f>
        <v>0</v>
      </c>
      <c r="AQ153" s="276">
        <f t="array" ref="AQ153">IF(SUM($E254:AP254)&lt;1,SUM(IF('11.销售及回款表'!$E$497:$AV$540=AQ253,'11.销售及回款表'!$E229:$AV229,0)),'11.销售及回款表'!AQ229)</f>
        <v>0</v>
      </c>
      <c r="AR153" s="277">
        <f t="array" ref="AR153">IF(SUM($E254:AQ254)&lt;1,SUM(IF('11.销售及回款表'!$E$497:$AV$540=AR253,'11.销售及回款表'!$E229:$AV229,0)),'11.销售及回款表'!AR229)</f>
        <v>0</v>
      </c>
      <c r="AS153" s="275">
        <f t="array" ref="AS153">IF(SUM($E254:AR254)&lt;1,SUM(IF('11.销售及回款表'!$E$497:$AV$540=AS253,'11.销售及回款表'!$E229:$AV229,0)),'11.销售及回款表'!AS229)</f>
        <v>0</v>
      </c>
      <c r="AT153" s="276">
        <f t="array" ref="AT153">IF(SUM($E254:AS254)&lt;1,SUM(IF('11.销售及回款表'!$E$497:$AV$540=AT253,'11.销售及回款表'!$E229:$AV229,0)),'11.销售及回款表'!AT229)</f>
        <v>0</v>
      </c>
      <c r="AU153" s="276">
        <f t="array" ref="AU153">IF(SUM($E254:AT254)&lt;1,SUM(IF('11.销售及回款表'!$E$497:$AV$540=AU253,'11.销售及回款表'!$E229:$AV229,0)),'11.销售及回款表'!AU229)</f>
        <v>0</v>
      </c>
      <c r="AV153" s="277">
        <f t="array" ref="AV153">IF(SUM($E254:AU254)&lt;1,SUM(IF('11.销售及回款表'!$E$497:$AV$540=AV253,'11.销售及回款表'!$E229:$AV229,0)),'11.销售及回款表'!AV229)</f>
        <v>0</v>
      </c>
    </row>
    <row r="154" spans="2:48" s="257" customFormat="1" ht="15.75" customHeight="1" outlineLevel="1">
      <c r="B154" s="1980"/>
      <c r="C154" s="303" t="str">
        <f>'8.项目规划指标表'!$B$6</f>
        <v>商铺</v>
      </c>
      <c r="D154" s="274">
        <f t="shared" ref="D154:D164" si="32">SUM(E154:AV154)</f>
        <v>0</v>
      </c>
      <c r="E154" s="275">
        <f t="array" ref="E154">IF(SUM(D256:$E256)&lt;1,SUM(IF('11.销售及回款表'!$E$497:$AV$540=E255,'11.销售及回款表'!$E234:$AV234,0)),'11.销售及回款表'!E234)</f>
        <v>0</v>
      </c>
      <c r="F154" s="276">
        <f t="array" ref="F154">IF(SUM(E256:$E256)&lt;1,SUM(IF('11.销售及回款表'!$E$497:$AV$540=F255,'11.销售及回款表'!$E234:$AV234,0)),'11.销售及回款表'!F234)</f>
        <v>0</v>
      </c>
      <c r="G154" s="276">
        <f t="array" ref="G154">IF(SUM($E256:F256)&lt;1,SUM(IF('11.销售及回款表'!$E$497:$AV$540=G255,'11.销售及回款表'!$E234:$AV234,0)),'11.销售及回款表'!G234)</f>
        <v>0</v>
      </c>
      <c r="H154" s="277">
        <f t="array" ref="H154">IF(SUM($E256:G256)&lt;1,SUM(IF('11.销售及回款表'!$E$497:$AV$540=H255,'11.销售及回款表'!$E234:$AV234,0)),'11.销售及回款表'!H234)</f>
        <v>0</v>
      </c>
      <c r="I154" s="275">
        <f t="array" ref="I154">IF(SUM($E256:H256)&lt;1,SUM(IF('11.销售及回款表'!$E$497:$AV$540=I255,'11.销售及回款表'!$E234:$AV234,0)),'11.销售及回款表'!I234)</f>
        <v>0</v>
      </c>
      <c r="J154" s="276">
        <f t="array" ref="J154">IF(SUM($E256:I256)&lt;1,SUM(IF('11.销售及回款表'!$E$497:$AV$540=J255,'11.销售及回款表'!$E234:$AV234,0)),'11.销售及回款表'!J234)</f>
        <v>0</v>
      </c>
      <c r="K154" s="276">
        <f t="array" ref="K154">IF(SUM($E256:J256)&lt;1,SUM(IF('11.销售及回款表'!$E$497:$AV$540=K255,'11.销售及回款表'!$E234:$AV234,0)),'11.销售及回款表'!K234)</f>
        <v>0</v>
      </c>
      <c r="L154" s="277">
        <f t="array" ref="L154">IF(SUM($E256:K256)&lt;1,SUM(IF('11.销售及回款表'!$E$497:$AV$540=L255,'11.销售及回款表'!$E234:$AV234,0)),'11.销售及回款表'!L234)</f>
        <v>0</v>
      </c>
      <c r="M154" s="275">
        <f t="array" ref="M154">IF(SUM($E256:L256)&lt;1,SUM(IF('11.销售及回款表'!$E$497:$AV$540=M255,'11.销售及回款表'!$E234:$AV234,0)),'11.销售及回款表'!M234)</f>
        <v>0</v>
      </c>
      <c r="N154" s="276">
        <f t="array" ref="N154">IF(SUM($E256:M256)&lt;1,SUM(IF('11.销售及回款表'!$E$497:$AV$540=N255,'11.销售及回款表'!$E234:$AV234,0)),'11.销售及回款表'!N234)</f>
        <v>0</v>
      </c>
      <c r="O154" s="276">
        <f t="array" ref="O154">IF(SUM($E256:N256)&lt;1,SUM(IF('11.销售及回款表'!$E$497:$AV$540=O255,'11.销售及回款表'!$E234:$AV234,0)),'11.销售及回款表'!O234)</f>
        <v>0</v>
      </c>
      <c r="P154" s="277">
        <f t="array" ref="P154">IF(SUM($E256:O256)&lt;1,SUM(IF('11.销售及回款表'!$E$497:$AV$540=P255,'11.销售及回款表'!$E234:$AV234,0)),'11.销售及回款表'!P234)</f>
        <v>0</v>
      </c>
      <c r="Q154" s="275">
        <f t="array" ref="Q154">IF(SUM($E256:P256)&lt;1,SUM(IF('11.销售及回款表'!$E$497:$AV$540=Q255,'11.销售及回款表'!$E234:$AV234,0)),'11.销售及回款表'!Q234)</f>
        <v>0</v>
      </c>
      <c r="R154" s="276">
        <f t="array" ref="R154">IF(SUM($E256:Q256)&lt;1,SUM(IF('11.销售及回款表'!$E$497:$AV$540=R255,'11.销售及回款表'!$E234:$AV234,0)),'11.销售及回款表'!R234)</f>
        <v>0</v>
      </c>
      <c r="S154" s="276">
        <f t="array" ref="S154">IF(SUM($E256:R256)&lt;1,SUM(IF('11.销售及回款表'!$E$497:$AV$540=S255,'11.销售及回款表'!$E234:$AV234,0)),'11.销售及回款表'!S234)</f>
        <v>0</v>
      </c>
      <c r="T154" s="277">
        <f t="array" ref="T154">IF(SUM($E256:S256)&lt;1,SUM(IF('11.销售及回款表'!$E$497:$AV$540=T255,'11.销售及回款表'!$E234:$AV234,0)),'11.销售及回款表'!T234)</f>
        <v>0</v>
      </c>
      <c r="U154" s="275">
        <f t="array" ref="U154">IF(SUM($E256:T256)&lt;1,SUM(IF('11.销售及回款表'!$E$497:$AV$540=U255,'11.销售及回款表'!$E234:$AV234,0)),'11.销售及回款表'!U234)</f>
        <v>0</v>
      </c>
      <c r="V154" s="276">
        <f t="array" ref="V154">IF(SUM($E256:U256)&lt;1,SUM(IF('11.销售及回款表'!$E$497:$AV$540=V255,'11.销售及回款表'!$E234:$AV234,0)),'11.销售及回款表'!V234)</f>
        <v>0</v>
      </c>
      <c r="W154" s="276">
        <f t="array" ref="W154">IF(SUM($E256:V256)&lt;1,SUM(IF('11.销售及回款表'!$E$497:$AV$540=W255,'11.销售及回款表'!$E234:$AV234,0)),'11.销售及回款表'!W234)</f>
        <v>0</v>
      </c>
      <c r="X154" s="277">
        <f t="array" ref="X154">IF(SUM($E256:W256)&lt;1,SUM(IF('11.销售及回款表'!$E$497:$AV$540=X255,'11.销售及回款表'!$E234:$AV234,0)),'11.销售及回款表'!X234)</f>
        <v>0</v>
      </c>
      <c r="Y154" s="275">
        <f t="array" ref="Y154">IF(SUM($E256:X256)&lt;1,SUM(IF('11.销售及回款表'!$E$497:$AV$540=Y255,'11.销售及回款表'!$E234:$AV234,0)),'11.销售及回款表'!Y234)</f>
        <v>0</v>
      </c>
      <c r="Z154" s="276">
        <f t="array" ref="Z154">IF(SUM($E256:Y256)&lt;1,SUM(IF('11.销售及回款表'!$E$497:$AV$540=Z255,'11.销售及回款表'!$E234:$AV234,0)),'11.销售及回款表'!Z234)</f>
        <v>0</v>
      </c>
      <c r="AA154" s="276">
        <f t="array" ref="AA154">IF(SUM($E256:Z256)&lt;1,SUM(IF('11.销售及回款表'!$E$497:$AV$540=AA255,'11.销售及回款表'!$E234:$AV234,0)),'11.销售及回款表'!AA234)</f>
        <v>0</v>
      </c>
      <c r="AB154" s="277">
        <f t="array" ref="AB154">IF(SUM($E256:AA256)&lt;1,SUM(IF('11.销售及回款表'!$E$497:$AV$540=AB255,'11.销售及回款表'!$E234:$AV234,0)),'11.销售及回款表'!AB234)</f>
        <v>0</v>
      </c>
      <c r="AC154" s="275">
        <f t="array" ref="AC154">IF(SUM($E256:AB256)&lt;1,SUM(IF('11.销售及回款表'!$E$497:$AV$540=AC255,'11.销售及回款表'!$E234:$AV234,0)),'11.销售及回款表'!AC234)</f>
        <v>0</v>
      </c>
      <c r="AD154" s="276">
        <f t="array" ref="AD154">IF(SUM($E256:AC256)&lt;1,SUM(IF('11.销售及回款表'!$E$497:$AV$540=AD255,'11.销售及回款表'!$E234:$AV234,0)),'11.销售及回款表'!AD234)</f>
        <v>0</v>
      </c>
      <c r="AE154" s="276">
        <f t="array" ref="AE154">IF(SUM($E256:AD256)&lt;1,SUM(IF('11.销售及回款表'!$E$497:$AV$540=AE255,'11.销售及回款表'!$E234:$AV234,0)),'11.销售及回款表'!AE234)</f>
        <v>0</v>
      </c>
      <c r="AF154" s="277">
        <f t="array" ref="AF154">IF(SUM($E256:AE256)&lt;1,SUM(IF('11.销售及回款表'!$E$497:$AV$540=AF255,'11.销售及回款表'!$E234:$AV234,0)),'11.销售及回款表'!AF234)</f>
        <v>0</v>
      </c>
      <c r="AG154" s="275">
        <f t="array" ref="AG154">IF(SUM($E256:AF256)&lt;1,SUM(IF('11.销售及回款表'!$E$497:$AV$540=AG255,'11.销售及回款表'!$E234:$AV234,0)),'11.销售及回款表'!AG234)</f>
        <v>0</v>
      </c>
      <c r="AH154" s="276">
        <f t="array" ref="AH154">IF(SUM($E256:AG256)&lt;1,SUM(IF('11.销售及回款表'!$E$497:$AV$540=AH255,'11.销售及回款表'!$E234:$AV234,0)),'11.销售及回款表'!AH234)</f>
        <v>0</v>
      </c>
      <c r="AI154" s="276">
        <f t="array" ref="AI154">IF(SUM($E256:AH256)&lt;1,SUM(IF('11.销售及回款表'!$E$497:$AV$540=AI255,'11.销售及回款表'!$E234:$AV234,0)),'11.销售及回款表'!AI234)</f>
        <v>0</v>
      </c>
      <c r="AJ154" s="277">
        <f t="array" ref="AJ154">IF(SUM($E256:AI256)&lt;1,SUM(IF('11.销售及回款表'!$E$497:$AV$540=AJ255,'11.销售及回款表'!$E234:$AV234,0)),'11.销售及回款表'!AJ234)</f>
        <v>0</v>
      </c>
      <c r="AK154" s="275">
        <f t="array" ref="AK154">IF(SUM($E256:AJ256)&lt;1,SUM(IF('11.销售及回款表'!$E$497:$AV$540=AK255,'11.销售及回款表'!$E234:$AV234,0)),'11.销售及回款表'!AK234)</f>
        <v>0</v>
      </c>
      <c r="AL154" s="276">
        <f t="array" ref="AL154">IF(SUM($E256:AK256)&lt;1,SUM(IF('11.销售及回款表'!$E$497:$AV$540=AL255,'11.销售及回款表'!$E234:$AV234,0)),'11.销售及回款表'!AL234)</f>
        <v>0</v>
      </c>
      <c r="AM154" s="276">
        <f t="array" ref="AM154">IF(SUM($E256:AL256)&lt;1,SUM(IF('11.销售及回款表'!$E$497:$AV$540=AM255,'11.销售及回款表'!$E234:$AV234,0)),'11.销售及回款表'!AM234)</f>
        <v>0</v>
      </c>
      <c r="AN154" s="277">
        <f t="array" ref="AN154">IF(SUM($E256:AM256)&lt;1,SUM(IF('11.销售及回款表'!$E$497:$AV$540=AN255,'11.销售及回款表'!$E234:$AV234,0)),'11.销售及回款表'!AN234)</f>
        <v>0</v>
      </c>
      <c r="AO154" s="275">
        <f t="array" ref="AO154">IF(SUM($E256:AN256)&lt;1,SUM(IF('11.销售及回款表'!$E$497:$AV$540=AO255,'11.销售及回款表'!$E234:$AV234,0)),'11.销售及回款表'!AO234)</f>
        <v>0</v>
      </c>
      <c r="AP154" s="276">
        <f t="array" ref="AP154">IF(SUM($E256:AO256)&lt;1,SUM(IF('11.销售及回款表'!$E$497:$AV$540=AP255,'11.销售及回款表'!$E234:$AV234,0)),'11.销售及回款表'!AP234)</f>
        <v>0</v>
      </c>
      <c r="AQ154" s="276">
        <f t="array" ref="AQ154">IF(SUM($E256:AP256)&lt;1,SUM(IF('11.销售及回款表'!$E$497:$AV$540=AQ255,'11.销售及回款表'!$E234:$AV234,0)),'11.销售及回款表'!AQ234)</f>
        <v>0</v>
      </c>
      <c r="AR154" s="277">
        <f t="array" ref="AR154">IF(SUM($E256:AQ256)&lt;1,SUM(IF('11.销售及回款表'!$E$497:$AV$540=AR255,'11.销售及回款表'!$E234:$AV234,0)),'11.销售及回款表'!AR234)</f>
        <v>0</v>
      </c>
      <c r="AS154" s="275">
        <f t="array" ref="AS154">IF(SUM($E256:AR256)&lt;1,SUM(IF('11.销售及回款表'!$E$497:$AV$540=AS255,'11.销售及回款表'!$E234:$AV234,0)),'11.销售及回款表'!AS234)</f>
        <v>0</v>
      </c>
      <c r="AT154" s="276">
        <f t="array" ref="AT154">IF(SUM($E256:AS256)&lt;1,SUM(IF('11.销售及回款表'!$E$497:$AV$540=AT255,'11.销售及回款表'!$E234:$AV234,0)),'11.销售及回款表'!AT234)</f>
        <v>0</v>
      </c>
      <c r="AU154" s="276">
        <f t="array" ref="AU154">IF(SUM($E256:AT256)&lt;1,SUM(IF('11.销售及回款表'!$E$497:$AV$540=AU255,'11.销售及回款表'!$E234:$AV234,0)),'11.销售及回款表'!AU234)</f>
        <v>0</v>
      </c>
      <c r="AV154" s="277">
        <f t="array" ref="AV154">IF(SUM($E256:AU256)&lt;1,SUM(IF('11.销售及回款表'!$E$497:$AV$540=AV255,'11.销售及回款表'!$E234:$AV234,0)),'11.销售及回款表'!AV234)</f>
        <v>0</v>
      </c>
    </row>
    <row r="155" spans="2:48" s="257" customFormat="1" ht="15.75" customHeight="1" outlineLevel="1">
      <c r="B155" s="1980"/>
      <c r="C155" s="303" t="str">
        <f>'8.项目规划指标表'!$B$7</f>
        <v>回迁商业</v>
      </c>
      <c r="D155" s="274">
        <f t="shared" si="32"/>
        <v>0</v>
      </c>
      <c r="E155" s="275">
        <f t="array" ref="E155">IF(SUM(D258:$E258)&lt;1,SUM(IF('11.销售及回款表'!$E$497:$AV$540=E257,'11.销售及回款表'!$E239:$AV239,0)),'11.销售及回款表'!E239)</f>
        <v>0</v>
      </c>
      <c r="F155" s="276">
        <f t="array" ref="F155">IF(SUM(E258:$E258)&lt;1,SUM(IF('11.销售及回款表'!$E$497:$AV$540=F257,'11.销售及回款表'!$E239:$AV239,0)),'11.销售及回款表'!F239)</f>
        <v>0</v>
      </c>
      <c r="G155" s="276">
        <f t="array" ref="G155">IF(SUM($E258:F258)&lt;1,SUM(IF('11.销售及回款表'!$E$497:$AV$540=G257,'11.销售及回款表'!$E239:$AV239,0)),'11.销售及回款表'!G239)</f>
        <v>0</v>
      </c>
      <c r="H155" s="277">
        <f t="array" ref="H155">IF(SUM($E258:G258)&lt;1,SUM(IF('11.销售及回款表'!$E$497:$AV$540=H257,'11.销售及回款表'!$E239:$AV239,0)),'11.销售及回款表'!H239)</f>
        <v>0</v>
      </c>
      <c r="I155" s="275">
        <f t="array" ref="I155">IF(SUM($E258:H258)&lt;1,SUM(IF('11.销售及回款表'!$E$497:$AV$540=I257,'11.销售及回款表'!$E239:$AV239,0)),'11.销售及回款表'!I239)</f>
        <v>0</v>
      </c>
      <c r="J155" s="276">
        <f t="array" ref="J155">IF(SUM($E258:I258)&lt;1,SUM(IF('11.销售及回款表'!$E$497:$AV$540=J257,'11.销售及回款表'!$E239:$AV239,0)),'11.销售及回款表'!J239)</f>
        <v>0</v>
      </c>
      <c r="K155" s="276">
        <f t="array" ref="K155">IF(SUM($E258:J258)&lt;1,SUM(IF('11.销售及回款表'!$E$497:$AV$540=K257,'11.销售及回款表'!$E239:$AV239,0)),'11.销售及回款表'!K239)</f>
        <v>0</v>
      </c>
      <c r="L155" s="277">
        <f t="array" ref="L155">IF(SUM($E258:K258)&lt;1,SUM(IF('11.销售及回款表'!$E$497:$AV$540=L257,'11.销售及回款表'!$E239:$AV239,0)),'11.销售及回款表'!L239)</f>
        <v>0</v>
      </c>
      <c r="M155" s="275">
        <f t="array" ref="M155">IF(SUM($E258:L258)&lt;1,SUM(IF('11.销售及回款表'!$E$497:$AV$540=M257,'11.销售及回款表'!$E239:$AV239,0)),'11.销售及回款表'!M239)</f>
        <v>0</v>
      </c>
      <c r="N155" s="276">
        <f t="array" ref="N155">IF(SUM($E258:M258)&lt;1,SUM(IF('11.销售及回款表'!$E$497:$AV$540=N257,'11.销售及回款表'!$E239:$AV239,0)),'11.销售及回款表'!N239)</f>
        <v>0</v>
      </c>
      <c r="O155" s="276">
        <f t="array" ref="O155">IF(SUM($E258:N258)&lt;1,SUM(IF('11.销售及回款表'!$E$497:$AV$540=O257,'11.销售及回款表'!$E239:$AV239,0)),'11.销售及回款表'!O239)</f>
        <v>0</v>
      </c>
      <c r="P155" s="277">
        <f t="array" ref="P155">IF(SUM($E258:O258)&lt;1,SUM(IF('11.销售及回款表'!$E$497:$AV$540=P257,'11.销售及回款表'!$E239:$AV239,0)),'11.销售及回款表'!P239)</f>
        <v>0</v>
      </c>
      <c r="Q155" s="275">
        <f t="array" ref="Q155">IF(SUM($E258:P258)&lt;1,SUM(IF('11.销售及回款表'!$E$497:$AV$540=Q257,'11.销售及回款表'!$E239:$AV239,0)),'11.销售及回款表'!Q239)</f>
        <v>0</v>
      </c>
      <c r="R155" s="276">
        <f t="array" ref="R155">IF(SUM($E258:Q258)&lt;1,SUM(IF('11.销售及回款表'!$E$497:$AV$540=R257,'11.销售及回款表'!$E239:$AV239,0)),'11.销售及回款表'!R239)</f>
        <v>0</v>
      </c>
      <c r="S155" s="276">
        <f t="array" ref="S155">IF(SUM($E258:R258)&lt;1,SUM(IF('11.销售及回款表'!$E$497:$AV$540=S257,'11.销售及回款表'!$E239:$AV239,0)),'11.销售及回款表'!S239)</f>
        <v>0</v>
      </c>
      <c r="T155" s="277">
        <f t="array" ref="T155">IF(SUM($E258:S258)&lt;1,SUM(IF('11.销售及回款表'!$E$497:$AV$540=T257,'11.销售及回款表'!$E239:$AV239,0)),'11.销售及回款表'!T239)</f>
        <v>0</v>
      </c>
      <c r="U155" s="275">
        <f t="array" ref="U155">IF(SUM($E258:T258)&lt;1,SUM(IF('11.销售及回款表'!$E$497:$AV$540=U257,'11.销售及回款表'!$E239:$AV239,0)),'11.销售及回款表'!U239)</f>
        <v>0</v>
      </c>
      <c r="V155" s="276">
        <f t="array" ref="V155">IF(SUM($E258:U258)&lt;1,SUM(IF('11.销售及回款表'!$E$497:$AV$540=V257,'11.销售及回款表'!$E239:$AV239,0)),'11.销售及回款表'!V239)</f>
        <v>0</v>
      </c>
      <c r="W155" s="276">
        <f t="array" ref="W155">IF(SUM($E258:V258)&lt;1,SUM(IF('11.销售及回款表'!$E$497:$AV$540=W257,'11.销售及回款表'!$E239:$AV239,0)),'11.销售及回款表'!W239)</f>
        <v>0</v>
      </c>
      <c r="X155" s="277">
        <f t="array" ref="X155">IF(SUM($E258:W258)&lt;1,SUM(IF('11.销售及回款表'!$E$497:$AV$540=X257,'11.销售及回款表'!$E239:$AV239,0)),'11.销售及回款表'!X239)</f>
        <v>0</v>
      </c>
      <c r="Y155" s="275">
        <f t="array" ref="Y155">IF(SUM($E258:X258)&lt;1,SUM(IF('11.销售及回款表'!$E$497:$AV$540=Y257,'11.销售及回款表'!$E239:$AV239,0)),'11.销售及回款表'!Y239)</f>
        <v>0</v>
      </c>
      <c r="Z155" s="276">
        <f t="array" ref="Z155">IF(SUM($E258:Y258)&lt;1,SUM(IF('11.销售及回款表'!$E$497:$AV$540=Z257,'11.销售及回款表'!$E239:$AV239,0)),'11.销售及回款表'!Z239)</f>
        <v>0</v>
      </c>
      <c r="AA155" s="276">
        <f t="array" ref="AA155">IF(SUM($E258:Z258)&lt;1,SUM(IF('11.销售及回款表'!$E$497:$AV$540=AA257,'11.销售及回款表'!$E239:$AV239,0)),'11.销售及回款表'!AA239)</f>
        <v>0</v>
      </c>
      <c r="AB155" s="277">
        <f t="array" ref="AB155">IF(SUM($E258:AA258)&lt;1,SUM(IF('11.销售及回款表'!$E$497:$AV$540=AB257,'11.销售及回款表'!$E239:$AV239,0)),'11.销售及回款表'!AB239)</f>
        <v>0</v>
      </c>
      <c r="AC155" s="275">
        <f t="array" ref="AC155">IF(SUM($E258:AB258)&lt;1,SUM(IF('11.销售及回款表'!$E$497:$AV$540=AC257,'11.销售及回款表'!$E239:$AV239,0)),'11.销售及回款表'!AC239)</f>
        <v>0</v>
      </c>
      <c r="AD155" s="276">
        <f t="array" ref="AD155">IF(SUM($E258:AC258)&lt;1,SUM(IF('11.销售及回款表'!$E$497:$AV$540=AD257,'11.销售及回款表'!$E239:$AV239,0)),'11.销售及回款表'!AD239)</f>
        <v>0</v>
      </c>
      <c r="AE155" s="276">
        <f t="array" ref="AE155">IF(SUM($E258:AD258)&lt;1,SUM(IF('11.销售及回款表'!$E$497:$AV$540=AE257,'11.销售及回款表'!$E239:$AV239,0)),'11.销售及回款表'!AE239)</f>
        <v>0</v>
      </c>
      <c r="AF155" s="277">
        <f t="array" ref="AF155">IF(SUM($E258:AE258)&lt;1,SUM(IF('11.销售及回款表'!$E$497:$AV$540=AF257,'11.销售及回款表'!$E239:$AV239,0)),'11.销售及回款表'!AF239)</f>
        <v>0</v>
      </c>
      <c r="AG155" s="275">
        <f t="array" ref="AG155">IF(SUM($E258:AF258)&lt;1,SUM(IF('11.销售及回款表'!$E$497:$AV$540=AG257,'11.销售及回款表'!$E239:$AV239,0)),'11.销售及回款表'!AG239)</f>
        <v>0</v>
      </c>
      <c r="AH155" s="276">
        <f t="array" ref="AH155">IF(SUM($E258:AG258)&lt;1,SUM(IF('11.销售及回款表'!$E$497:$AV$540=AH257,'11.销售及回款表'!$E239:$AV239,0)),'11.销售及回款表'!AH239)</f>
        <v>0</v>
      </c>
      <c r="AI155" s="276">
        <f t="array" ref="AI155">IF(SUM($E258:AH258)&lt;1,SUM(IF('11.销售及回款表'!$E$497:$AV$540=AI257,'11.销售及回款表'!$E239:$AV239,0)),'11.销售及回款表'!AI239)</f>
        <v>0</v>
      </c>
      <c r="AJ155" s="277">
        <f t="array" ref="AJ155">IF(SUM($E258:AI258)&lt;1,SUM(IF('11.销售及回款表'!$E$497:$AV$540=AJ257,'11.销售及回款表'!$E239:$AV239,0)),'11.销售及回款表'!AJ239)</f>
        <v>0</v>
      </c>
      <c r="AK155" s="275">
        <f t="array" ref="AK155">IF(SUM($E258:AJ258)&lt;1,SUM(IF('11.销售及回款表'!$E$497:$AV$540=AK257,'11.销售及回款表'!$E239:$AV239,0)),'11.销售及回款表'!AK239)</f>
        <v>0</v>
      </c>
      <c r="AL155" s="276">
        <f t="array" ref="AL155">IF(SUM($E258:AK258)&lt;1,SUM(IF('11.销售及回款表'!$E$497:$AV$540=AL257,'11.销售及回款表'!$E239:$AV239,0)),'11.销售及回款表'!AL239)</f>
        <v>0</v>
      </c>
      <c r="AM155" s="276">
        <f t="array" ref="AM155">IF(SUM($E258:AL258)&lt;1,SUM(IF('11.销售及回款表'!$E$497:$AV$540=AM257,'11.销售及回款表'!$E239:$AV239,0)),'11.销售及回款表'!AM239)</f>
        <v>0</v>
      </c>
      <c r="AN155" s="277">
        <f t="array" ref="AN155">IF(SUM($E258:AM258)&lt;1,SUM(IF('11.销售及回款表'!$E$497:$AV$540=AN257,'11.销售及回款表'!$E239:$AV239,0)),'11.销售及回款表'!AN239)</f>
        <v>0</v>
      </c>
      <c r="AO155" s="275">
        <f t="array" ref="AO155">IF(SUM($E258:AN258)&lt;1,SUM(IF('11.销售及回款表'!$E$497:$AV$540=AO257,'11.销售及回款表'!$E239:$AV239,0)),'11.销售及回款表'!AO239)</f>
        <v>0</v>
      </c>
      <c r="AP155" s="276">
        <f t="array" ref="AP155">IF(SUM($E258:AO258)&lt;1,SUM(IF('11.销售及回款表'!$E$497:$AV$540=AP257,'11.销售及回款表'!$E239:$AV239,0)),'11.销售及回款表'!AP239)</f>
        <v>0</v>
      </c>
      <c r="AQ155" s="276">
        <f t="array" ref="AQ155">IF(SUM($E258:AP258)&lt;1,SUM(IF('11.销售及回款表'!$E$497:$AV$540=AQ257,'11.销售及回款表'!$E239:$AV239,0)),'11.销售及回款表'!AQ239)</f>
        <v>0</v>
      </c>
      <c r="AR155" s="277">
        <f t="array" ref="AR155">IF(SUM($E258:AQ258)&lt;1,SUM(IF('11.销售及回款表'!$E$497:$AV$540=AR257,'11.销售及回款表'!$E239:$AV239,0)),'11.销售及回款表'!AR239)</f>
        <v>0</v>
      </c>
      <c r="AS155" s="275">
        <f t="array" ref="AS155">IF(SUM($E258:AR258)&lt;1,SUM(IF('11.销售及回款表'!$E$497:$AV$540=AS257,'11.销售及回款表'!$E239:$AV239,0)),'11.销售及回款表'!AS239)</f>
        <v>0</v>
      </c>
      <c r="AT155" s="276">
        <f t="array" ref="AT155">IF(SUM($E258:AS258)&lt;1,SUM(IF('11.销售及回款表'!$E$497:$AV$540=AT257,'11.销售及回款表'!$E239:$AV239,0)),'11.销售及回款表'!AT239)</f>
        <v>0</v>
      </c>
      <c r="AU155" s="276">
        <f t="array" ref="AU155">IF(SUM($E258:AT258)&lt;1,SUM(IF('11.销售及回款表'!$E$497:$AV$540=AU257,'11.销售及回款表'!$E239:$AV239,0)),'11.销售及回款表'!AU239)</f>
        <v>0</v>
      </c>
      <c r="AV155" s="277">
        <f t="array" ref="AV155">IF(SUM($E258:AU258)&lt;1,SUM(IF('11.销售及回款表'!$E$497:$AV$540=AV257,'11.销售及回款表'!$E239:$AV239,0)),'11.销售及回款表'!AV239)</f>
        <v>0</v>
      </c>
    </row>
    <row r="156" spans="2:48" s="257" customFormat="1" ht="15.75" customHeight="1" outlineLevel="1">
      <c r="B156" s="1980"/>
      <c r="C156" s="303">
        <f>'8.项目规划指标表'!$B$8</f>
        <v>0</v>
      </c>
      <c r="D156" s="274">
        <f t="shared" si="32"/>
        <v>0</v>
      </c>
      <c r="E156" s="275">
        <f t="array" ref="E156">IF(SUM(D260:$E260)&lt;1,SUM(IF('11.销售及回款表'!$E$497:$AV$540=E259,'11.销售及回款表'!$E244:$AV244,0)),'11.销售及回款表'!E244)</f>
        <v>0</v>
      </c>
      <c r="F156" s="276">
        <f t="array" ref="F156">IF(SUM(E260:$E260)&lt;1,SUM(IF('11.销售及回款表'!$E$497:$AV$540=F259,'11.销售及回款表'!$E244:$AV244,0)),'11.销售及回款表'!F244)</f>
        <v>0</v>
      </c>
      <c r="G156" s="276">
        <f t="array" ref="G156">IF(SUM($E260:F260)&lt;1,SUM(IF('11.销售及回款表'!$E$497:$AV$540=G259,'11.销售及回款表'!$E244:$AV244,0)),'11.销售及回款表'!G244)</f>
        <v>0</v>
      </c>
      <c r="H156" s="277">
        <f t="array" ref="H156">IF(SUM($E260:G260)&lt;1,SUM(IF('11.销售及回款表'!$E$497:$AV$540=H259,'11.销售及回款表'!$E244:$AV244,0)),'11.销售及回款表'!H244)</f>
        <v>0</v>
      </c>
      <c r="I156" s="275">
        <f t="array" ref="I156">IF(SUM($E260:H260)&lt;1,SUM(IF('11.销售及回款表'!$E$497:$AV$540=I259,'11.销售及回款表'!$E244:$AV244,0)),'11.销售及回款表'!I244)</f>
        <v>0</v>
      </c>
      <c r="J156" s="276">
        <f t="array" ref="J156">IF(SUM($E260:I260)&lt;1,SUM(IF('11.销售及回款表'!$E$497:$AV$540=J259,'11.销售及回款表'!$E244:$AV244,0)),'11.销售及回款表'!J244)</f>
        <v>0</v>
      </c>
      <c r="K156" s="276">
        <f t="array" ref="K156">IF(SUM($E260:J260)&lt;1,SUM(IF('11.销售及回款表'!$E$497:$AV$540=K259,'11.销售及回款表'!$E244:$AV244,0)),'11.销售及回款表'!K244)</f>
        <v>0</v>
      </c>
      <c r="L156" s="277">
        <f t="array" ref="L156">IF(SUM($E260:K260)&lt;1,SUM(IF('11.销售及回款表'!$E$497:$AV$540=L259,'11.销售及回款表'!$E244:$AV244,0)),'11.销售及回款表'!L244)</f>
        <v>0</v>
      </c>
      <c r="M156" s="275">
        <f t="array" ref="M156">IF(SUM($E260:L260)&lt;1,SUM(IF('11.销售及回款表'!$E$497:$AV$540=M259,'11.销售及回款表'!$E244:$AV244,0)),'11.销售及回款表'!M244)</f>
        <v>0</v>
      </c>
      <c r="N156" s="276">
        <f t="array" ref="N156">IF(SUM($E260:M260)&lt;1,SUM(IF('11.销售及回款表'!$E$497:$AV$540=N259,'11.销售及回款表'!$E244:$AV244,0)),'11.销售及回款表'!N244)</f>
        <v>0</v>
      </c>
      <c r="O156" s="276">
        <f t="array" ref="O156">IF(SUM($E260:N260)&lt;1,SUM(IF('11.销售及回款表'!$E$497:$AV$540=O259,'11.销售及回款表'!$E244:$AV244,0)),'11.销售及回款表'!O244)</f>
        <v>0</v>
      </c>
      <c r="P156" s="277">
        <f t="array" ref="P156">IF(SUM($E260:O260)&lt;1,SUM(IF('11.销售及回款表'!$E$497:$AV$540=P259,'11.销售及回款表'!$E244:$AV244,0)),'11.销售及回款表'!P244)</f>
        <v>0</v>
      </c>
      <c r="Q156" s="275">
        <f t="array" ref="Q156">IF(SUM($E260:P260)&lt;1,SUM(IF('11.销售及回款表'!$E$497:$AV$540=Q259,'11.销售及回款表'!$E244:$AV244,0)),'11.销售及回款表'!Q244)</f>
        <v>0</v>
      </c>
      <c r="R156" s="276">
        <f t="array" ref="R156">IF(SUM($E260:Q260)&lt;1,SUM(IF('11.销售及回款表'!$E$497:$AV$540=R259,'11.销售及回款表'!$E244:$AV244,0)),'11.销售及回款表'!R244)</f>
        <v>0</v>
      </c>
      <c r="S156" s="276">
        <f t="array" ref="S156">IF(SUM($E260:R260)&lt;1,SUM(IF('11.销售及回款表'!$E$497:$AV$540=S259,'11.销售及回款表'!$E244:$AV244,0)),'11.销售及回款表'!S244)</f>
        <v>0</v>
      </c>
      <c r="T156" s="277">
        <f t="array" ref="T156">IF(SUM($E260:S260)&lt;1,SUM(IF('11.销售及回款表'!$E$497:$AV$540=T259,'11.销售及回款表'!$E244:$AV244,0)),'11.销售及回款表'!T244)</f>
        <v>0</v>
      </c>
      <c r="U156" s="275">
        <f t="array" ref="U156">IF(SUM($E260:T260)&lt;1,SUM(IF('11.销售及回款表'!$E$497:$AV$540=U259,'11.销售及回款表'!$E244:$AV244,0)),'11.销售及回款表'!U244)</f>
        <v>0</v>
      </c>
      <c r="V156" s="276">
        <f t="array" ref="V156">IF(SUM($E260:U260)&lt;1,SUM(IF('11.销售及回款表'!$E$497:$AV$540=V259,'11.销售及回款表'!$E244:$AV244,0)),'11.销售及回款表'!V244)</f>
        <v>0</v>
      </c>
      <c r="W156" s="276">
        <f t="array" ref="W156">IF(SUM($E260:V260)&lt;1,SUM(IF('11.销售及回款表'!$E$497:$AV$540=W259,'11.销售及回款表'!$E244:$AV244,0)),'11.销售及回款表'!W244)</f>
        <v>0</v>
      </c>
      <c r="X156" s="277">
        <f t="array" ref="X156">IF(SUM($E260:W260)&lt;1,SUM(IF('11.销售及回款表'!$E$497:$AV$540=X259,'11.销售及回款表'!$E244:$AV244,0)),'11.销售及回款表'!X244)</f>
        <v>0</v>
      </c>
      <c r="Y156" s="275">
        <f t="array" ref="Y156">IF(SUM($E260:X260)&lt;1,SUM(IF('11.销售及回款表'!$E$497:$AV$540=Y259,'11.销售及回款表'!$E244:$AV244,0)),'11.销售及回款表'!Y244)</f>
        <v>0</v>
      </c>
      <c r="Z156" s="276">
        <f t="array" ref="Z156">IF(SUM($E260:Y260)&lt;1,SUM(IF('11.销售及回款表'!$E$497:$AV$540=Z259,'11.销售及回款表'!$E244:$AV244,0)),'11.销售及回款表'!Z244)</f>
        <v>0</v>
      </c>
      <c r="AA156" s="276">
        <f t="array" ref="AA156">IF(SUM($E260:Z260)&lt;1,SUM(IF('11.销售及回款表'!$E$497:$AV$540=AA259,'11.销售及回款表'!$E244:$AV244,0)),'11.销售及回款表'!AA244)</f>
        <v>0</v>
      </c>
      <c r="AB156" s="277">
        <f t="array" ref="AB156">IF(SUM($E260:AA260)&lt;1,SUM(IF('11.销售及回款表'!$E$497:$AV$540=AB259,'11.销售及回款表'!$E244:$AV244,0)),'11.销售及回款表'!AB244)</f>
        <v>0</v>
      </c>
      <c r="AC156" s="275">
        <f t="array" ref="AC156">IF(SUM($E260:AB260)&lt;1,SUM(IF('11.销售及回款表'!$E$497:$AV$540=AC259,'11.销售及回款表'!$E244:$AV244,0)),'11.销售及回款表'!AC244)</f>
        <v>0</v>
      </c>
      <c r="AD156" s="276">
        <f t="array" ref="AD156">IF(SUM($E260:AC260)&lt;1,SUM(IF('11.销售及回款表'!$E$497:$AV$540=AD259,'11.销售及回款表'!$E244:$AV244,0)),'11.销售及回款表'!AD244)</f>
        <v>0</v>
      </c>
      <c r="AE156" s="276">
        <f t="array" ref="AE156">IF(SUM($E260:AD260)&lt;1,SUM(IF('11.销售及回款表'!$E$497:$AV$540=AE259,'11.销售及回款表'!$E244:$AV244,0)),'11.销售及回款表'!AE244)</f>
        <v>0</v>
      </c>
      <c r="AF156" s="277">
        <f t="array" ref="AF156">IF(SUM($E260:AE260)&lt;1,SUM(IF('11.销售及回款表'!$E$497:$AV$540=AF259,'11.销售及回款表'!$E244:$AV244,0)),'11.销售及回款表'!AF244)</f>
        <v>0</v>
      </c>
      <c r="AG156" s="275">
        <f t="array" ref="AG156">IF(SUM($E260:AF260)&lt;1,SUM(IF('11.销售及回款表'!$E$497:$AV$540=AG259,'11.销售及回款表'!$E244:$AV244,0)),'11.销售及回款表'!AG244)</f>
        <v>0</v>
      </c>
      <c r="AH156" s="276">
        <f t="array" ref="AH156">IF(SUM($E260:AG260)&lt;1,SUM(IF('11.销售及回款表'!$E$497:$AV$540=AH259,'11.销售及回款表'!$E244:$AV244,0)),'11.销售及回款表'!AH244)</f>
        <v>0</v>
      </c>
      <c r="AI156" s="276">
        <f t="array" ref="AI156">IF(SUM($E260:AH260)&lt;1,SUM(IF('11.销售及回款表'!$E$497:$AV$540=AI259,'11.销售及回款表'!$E244:$AV244,0)),'11.销售及回款表'!AI244)</f>
        <v>0</v>
      </c>
      <c r="AJ156" s="277">
        <f t="array" ref="AJ156">IF(SUM($E260:AI260)&lt;1,SUM(IF('11.销售及回款表'!$E$497:$AV$540=AJ259,'11.销售及回款表'!$E244:$AV244,0)),'11.销售及回款表'!AJ244)</f>
        <v>0</v>
      </c>
      <c r="AK156" s="275">
        <f t="array" ref="AK156">IF(SUM($E260:AJ260)&lt;1,SUM(IF('11.销售及回款表'!$E$497:$AV$540=AK259,'11.销售及回款表'!$E244:$AV244,0)),'11.销售及回款表'!AK244)</f>
        <v>0</v>
      </c>
      <c r="AL156" s="276">
        <f t="array" ref="AL156">IF(SUM($E260:AK260)&lt;1,SUM(IF('11.销售及回款表'!$E$497:$AV$540=AL259,'11.销售及回款表'!$E244:$AV244,0)),'11.销售及回款表'!AL244)</f>
        <v>0</v>
      </c>
      <c r="AM156" s="276">
        <f t="array" ref="AM156">IF(SUM($E260:AL260)&lt;1,SUM(IF('11.销售及回款表'!$E$497:$AV$540=AM259,'11.销售及回款表'!$E244:$AV244,0)),'11.销售及回款表'!AM244)</f>
        <v>0</v>
      </c>
      <c r="AN156" s="277">
        <f t="array" ref="AN156">IF(SUM($E260:AM260)&lt;1,SUM(IF('11.销售及回款表'!$E$497:$AV$540=AN259,'11.销售及回款表'!$E244:$AV244,0)),'11.销售及回款表'!AN244)</f>
        <v>0</v>
      </c>
      <c r="AO156" s="275">
        <f t="array" ref="AO156">IF(SUM($E260:AN260)&lt;1,SUM(IF('11.销售及回款表'!$E$497:$AV$540=AO259,'11.销售及回款表'!$E244:$AV244,0)),'11.销售及回款表'!AO244)</f>
        <v>0</v>
      </c>
      <c r="AP156" s="276">
        <f t="array" ref="AP156">IF(SUM($E260:AO260)&lt;1,SUM(IF('11.销售及回款表'!$E$497:$AV$540=AP259,'11.销售及回款表'!$E244:$AV244,0)),'11.销售及回款表'!AP244)</f>
        <v>0</v>
      </c>
      <c r="AQ156" s="276">
        <f t="array" ref="AQ156">IF(SUM($E260:AP260)&lt;1,SUM(IF('11.销售及回款表'!$E$497:$AV$540=AQ259,'11.销售及回款表'!$E244:$AV244,0)),'11.销售及回款表'!AQ244)</f>
        <v>0</v>
      </c>
      <c r="AR156" s="277">
        <f t="array" ref="AR156">IF(SUM($E260:AQ260)&lt;1,SUM(IF('11.销售及回款表'!$E$497:$AV$540=AR259,'11.销售及回款表'!$E244:$AV244,0)),'11.销售及回款表'!AR244)</f>
        <v>0</v>
      </c>
      <c r="AS156" s="275">
        <f t="array" ref="AS156">IF(SUM($E260:AR260)&lt;1,SUM(IF('11.销售及回款表'!$E$497:$AV$540=AS259,'11.销售及回款表'!$E244:$AV244,0)),'11.销售及回款表'!AS244)</f>
        <v>0</v>
      </c>
      <c r="AT156" s="276">
        <f t="array" ref="AT156">IF(SUM($E260:AS260)&lt;1,SUM(IF('11.销售及回款表'!$E$497:$AV$540=AT259,'11.销售及回款表'!$E244:$AV244,0)),'11.销售及回款表'!AT244)</f>
        <v>0</v>
      </c>
      <c r="AU156" s="276">
        <f t="array" ref="AU156">IF(SUM($E260:AT260)&lt;1,SUM(IF('11.销售及回款表'!$E$497:$AV$540=AU259,'11.销售及回款表'!$E244:$AV244,0)),'11.销售及回款表'!AU244)</f>
        <v>0</v>
      </c>
      <c r="AV156" s="277">
        <f t="array" ref="AV156">IF(SUM($E260:AU260)&lt;1,SUM(IF('11.销售及回款表'!$E$497:$AV$540=AV259,'11.销售及回款表'!$E244:$AV244,0)),'11.销售及回款表'!AV244)</f>
        <v>0</v>
      </c>
    </row>
    <row r="157" spans="2:48" s="257" customFormat="1" ht="15.75" customHeight="1" outlineLevel="1">
      <c r="B157" s="1980"/>
      <c r="C157" s="303">
        <f>'8.项目规划指标表'!$B$9</f>
        <v>0</v>
      </c>
      <c r="D157" s="274">
        <f t="shared" si="32"/>
        <v>0</v>
      </c>
      <c r="E157" s="275">
        <f t="array" ref="E157">IF(SUM(D262:$E262)&lt;1,SUM(IF('11.销售及回款表'!$E$497:$AV$540=E261,'11.销售及回款表'!$E249:$AV249,0)),'11.销售及回款表'!E249)</f>
        <v>0</v>
      </c>
      <c r="F157" s="276">
        <f t="array" ref="F157">IF(SUM(E262:$E262)&lt;1,SUM(IF('11.销售及回款表'!$E$497:$AV$540=F261,'11.销售及回款表'!$E249:$AV249,0)),'11.销售及回款表'!F249)</f>
        <v>0</v>
      </c>
      <c r="G157" s="276">
        <f t="array" ref="G157">IF(SUM($E262:F262)&lt;1,SUM(IF('11.销售及回款表'!$E$497:$AV$540=G261,'11.销售及回款表'!$E249:$AV249,0)),'11.销售及回款表'!G249)</f>
        <v>0</v>
      </c>
      <c r="H157" s="277">
        <f t="array" ref="H157">IF(SUM($E262:G262)&lt;1,SUM(IF('11.销售及回款表'!$E$497:$AV$540=H261,'11.销售及回款表'!$E249:$AV249,0)),'11.销售及回款表'!H249)</f>
        <v>0</v>
      </c>
      <c r="I157" s="275">
        <f t="array" ref="I157">IF(SUM($E262:H262)&lt;1,SUM(IF('11.销售及回款表'!$E$497:$AV$540=I261,'11.销售及回款表'!$E249:$AV249,0)),'11.销售及回款表'!I249)</f>
        <v>0</v>
      </c>
      <c r="J157" s="276">
        <f t="array" ref="J157">IF(SUM($E262:I262)&lt;1,SUM(IF('11.销售及回款表'!$E$497:$AV$540=J261,'11.销售及回款表'!$E249:$AV249,0)),'11.销售及回款表'!J249)</f>
        <v>0</v>
      </c>
      <c r="K157" s="276">
        <f t="array" ref="K157">IF(SUM($E262:J262)&lt;1,SUM(IF('11.销售及回款表'!$E$497:$AV$540=K261,'11.销售及回款表'!$E249:$AV249,0)),'11.销售及回款表'!K249)</f>
        <v>0</v>
      </c>
      <c r="L157" s="277">
        <f t="array" ref="L157">IF(SUM($E262:K262)&lt;1,SUM(IF('11.销售及回款表'!$E$497:$AV$540=L261,'11.销售及回款表'!$E249:$AV249,0)),'11.销售及回款表'!L249)</f>
        <v>0</v>
      </c>
      <c r="M157" s="275">
        <f t="array" ref="M157">IF(SUM($E262:L262)&lt;1,SUM(IF('11.销售及回款表'!$E$497:$AV$540=M261,'11.销售及回款表'!$E249:$AV249,0)),'11.销售及回款表'!M249)</f>
        <v>0</v>
      </c>
      <c r="N157" s="276">
        <f t="array" ref="N157">IF(SUM($E262:M262)&lt;1,SUM(IF('11.销售及回款表'!$E$497:$AV$540=N261,'11.销售及回款表'!$E249:$AV249,0)),'11.销售及回款表'!N249)</f>
        <v>0</v>
      </c>
      <c r="O157" s="276">
        <f t="array" ref="O157">IF(SUM($E262:N262)&lt;1,SUM(IF('11.销售及回款表'!$E$497:$AV$540=O261,'11.销售及回款表'!$E249:$AV249,0)),'11.销售及回款表'!O249)</f>
        <v>0</v>
      </c>
      <c r="P157" s="277">
        <f t="array" ref="P157">IF(SUM($E262:O262)&lt;1,SUM(IF('11.销售及回款表'!$E$497:$AV$540=P261,'11.销售及回款表'!$E249:$AV249,0)),'11.销售及回款表'!P249)</f>
        <v>0</v>
      </c>
      <c r="Q157" s="275">
        <f t="array" ref="Q157">IF(SUM($E262:P262)&lt;1,SUM(IF('11.销售及回款表'!$E$497:$AV$540=Q261,'11.销售及回款表'!$E249:$AV249,0)),'11.销售及回款表'!Q249)</f>
        <v>0</v>
      </c>
      <c r="R157" s="276">
        <f t="array" ref="R157">IF(SUM($E262:Q262)&lt;1,SUM(IF('11.销售及回款表'!$E$497:$AV$540=R261,'11.销售及回款表'!$E249:$AV249,0)),'11.销售及回款表'!R249)</f>
        <v>0</v>
      </c>
      <c r="S157" s="276">
        <f t="array" ref="S157">IF(SUM($E262:R262)&lt;1,SUM(IF('11.销售及回款表'!$E$497:$AV$540=S261,'11.销售及回款表'!$E249:$AV249,0)),'11.销售及回款表'!S249)</f>
        <v>0</v>
      </c>
      <c r="T157" s="277">
        <f t="array" ref="T157">IF(SUM($E262:S262)&lt;1,SUM(IF('11.销售及回款表'!$E$497:$AV$540=T261,'11.销售及回款表'!$E249:$AV249,0)),'11.销售及回款表'!T249)</f>
        <v>0</v>
      </c>
      <c r="U157" s="275">
        <f t="array" ref="U157">IF(SUM($E262:T262)&lt;1,SUM(IF('11.销售及回款表'!$E$497:$AV$540=U261,'11.销售及回款表'!$E249:$AV249,0)),'11.销售及回款表'!U249)</f>
        <v>0</v>
      </c>
      <c r="V157" s="276">
        <f t="array" ref="V157">IF(SUM($E262:U262)&lt;1,SUM(IF('11.销售及回款表'!$E$497:$AV$540=V261,'11.销售及回款表'!$E249:$AV249,0)),'11.销售及回款表'!V249)</f>
        <v>0</v>
      </c>
      <c r="W157" s="276">
        <f t="array" ref="W157">IF(SUM($E262:V262)&lt;1,SUM(IF('11.销售及回款表'!$E$497:$AV$540=W261,'11.销售及回款表'!$E249:$AV249,0)),'11.销售及回款表'!W249)</f>
        <v>0</v>
      </c>
      <c r="X157" s="277">
        <f t="array" ref="X157">IF(SUM($E262:W262)&lt;1,SUM(IF('11.销售及回款表'!$E$497:$AV$540=X261,'11.销售及回款表'!$E249:$AV249,0)),'11.销售及回款表'!X249)</f>
        <v>0</v>
      </c>
      <c r="Y157" s="275">
        <f t="array" ref="Y157">IF(SUM($E262:X262)&lt;1,SUM(IF('11.销售及回款表'!$E$497:$AV$540=Y261,'11.销售及回款表'!$E249:$AV249,0)),'11.销售及回款表'!Y249)</f>
        <v>0</v>
      </c>
      <c r="Z157" s="276">
        <f t="array" ref="Z157">IF(SUM($E262:Y262)&lt;1,SUM(IF('11.销售及回款表'!$E$497:$AV$540=Z261,'11.销售及回款表'!$E249:$AV249,0)),'11.销售及回款表'!Z249)</f>
        <v>0</v>
      </c>
      <c r="AA157" s="276">
        <f t="array" ref="AA157">IF(SUM($E262:Z262)&lt;1,SUM(IF('11.销售及回款表'!$E$497:$AV$540=AA261,'11.销售及回款表'!$E249:$AV249,0)),'11.销售及回款表'!AA249)</f>
        <v>0</v>
      </c>
      <c r="AB157" s="277">
        <f t="array" ref="AB157">IF(SUM($E262:AA262)&lt;1,SUM(IF('11.销售及回款表'!$E$497:$AV$540=AB261,'11.销售及回款表'!$E249:$AV249,0)),'11.销售及回款表'!AB249)</f>
        <v>0</v>
      </c>
      <c r="AC157" s="275">
        <f t="array" ref="AC157">IF(SUM($E262:AB262)&lt;1,SUM(IF('11.销售及回款表'!$E$497:$AV$540=AC261,'11.销售及回款表'!$E249:$AV249,0)),'11.销售及回款表'!AC249)</f>
        <v>0</v>
      </c>
      <c r="AD157" s="276">
        <f t="array" ref="AD157">IF(SUM($E262:AC262)&lt;1,SUM(IF('11.销售及回款表'!$E$497:$AV$540=AD261,'11.销售及回款表'!$E249:$AV249,0)),'11.销售及回款表'!AD249)</f>
        <v>0</v>
      </c>
      <c r="AE157" s="276">
        <f t="array" ref="AE157">IF(SUM($E262:AD262)&lt;1,SUM(IF('11.销售及回款表'!$E$497:$AV$540=AE261,'11.销售及回款表'!$E249:$AV249,0)),'11.销售及回款表'!AE249)</f>
        <v>0</v>
      </c>
      <c r="AF157" s="277">
        <f t="array" ref="AF157">IF(SUM($E262:AE262)&lt;1,SUM(IF('11.销售及回款表'!$E$497:$AV$540=AF261,'11.销售及回款表'!$E249:$AV249,0)),'11.销售及回款表'!AF249)</f>
        <v>0</v>
      </c>
      <c r="AG157" s="275">
        <f t="array" ref="AG157">IF(SUM($E262:AF262)&lt;1,SUM(IF('11.销售及回款表'!$E$497:$AV$540=AG261,'11.销售及回款表'!$E249:$AV249,0)),'11.销售及回款表'!AG249)</f>
        <v>0</v>
      </c>
      <c r="AH157" s="276">
        <f t="array" ref="AH157">IF(SUM($E262:AG262)&lt;1,SUM(IF('11.销售及回款表'!$E$497:$AV$540=AH261,'11.销售及回款表'!$E249:$AV249,0)),'11.销售及回款表'!AH249)</f>
        <v>0</v>
      </c>
      <c r="AI157" s="276">
        <f t="array" ref="AI157">IF(SUM($E262:AH262)&lt;1,SUM(IF('11.销售及回款表'!$E$497:$AV$540=AI261,'11.销售及回款表'!$E249:$AV249,0)),'11.销售及回款表'!AI249)</f>
        <v>0</v>
      </c>
      <c r="AJ157" s="277">
        <f t="array" ref="AJ157">IF(SUM($E262:AI262)&lt;1,SUM(IF('11.销售及回款表'!$E$497:$AV$540=AJ261,'11.销售及回款表'!$E249:$AV249,0)),'11.销售及回款表'!AJ249)</f>
        <v>0</v>
      </c>
      <c r="AK157" s="275">
        <f t="array" ref="AK157">IF(SUM($E262:AJ262)&lt;1,SUM(IF('11.销售及回款表'!$E$497:$AV$540=AK261,'11.销售及回款表'!$E249:$AV249,0)),'11.销售及回款表'!AK249)</f>
        <v>0</v>
      </c>
      <c r="AL157" s="276">
        <f t="array" ref="AL157">IF(SUM($E262:AK262)&lt;1,SUM(IF('11.销售及回款表'!$E$497:$AV$540=AL261,'11.销售及回款表'!$E249:$AV249,0)),'11.销售及回款表'!AL249)</f>
        <v>0</v>
      </c>
      <c r="AM157" s="276">
        <f t="array" ref="AM157">IF(SUM($E262:AL262)&lt;1,SUM(IF('11.销售及回款表'!$E$497:$AV$540=AM261,'11.销售及回款表'!$E249:$AV249,0)),'11.销售及回款表'!AM249)</f>
        <v>0</v>
      </c>
      <c r="AN157" s="277">
        <f t="array" ref="AN157">IF(SUM($E262:AM262)&lt;1,SUM(IF('11.销售及回款表'!$E$497:$AV$540=AN261,'11.销售及回款表'!$E249:$AV249,0)),'11.销售及回款表'!AN249)</f>
        <v>0</v>
      </c>
      <c r="AO157" s="275">
        <f t="array" ref="AO157">IF(SUM($E262:AN262)&lt;1,SUM(IF('11.销售及回款表'!$E$497:$AV$540=AO261,'11.销售及回款表'!$E249:$AV249,0)),'11.销售及回款表'!AO249)</f>
        <v>0</v>
      </c>
      <c r="AP157" s="276">
        <f t="array" ref="AP157">IF(SUM($E262:AO262)&lt;1,SUM(IF('11.销售及回款表'!$E$497:$AV$540=AP261,'11.销售及回款表'!$E249:$AV249,0)),'11.销售及回款表'!AP249)</f>
        <v>0</v>
      </c>
      <c r="AQ157" s="276">
        <f t="array" ref="AQ157">IF(SUM($E262:AP262)&lt;1,SUM(IF('11.销售及回款表'!$E$497:$AV$540=AQ261,'11.销售及回款表'!$E249:$AV249,0)),'11.销售及回款表'!AQ249)</f>
        <v>0</v>
      </c>
      <c r="AR157" s="277">
        <f t="array" ref="AR157">IF(SUM($E262:AQ262)&lt;1,SUM(IF('11.销售及回款表'!$E$497:$AV$540=AR261,'11.销售及回款表'!$E249:$AV249,0)),'11.销售及回款表'!AR249)</f>
        <v>0</v>
      </c>
      <c r="AS157" s="275">
        <f t="array" ref="AS157">IF(SUM($E262:AR262)&lt;1,SUM(IF('11.销售及回款表'!$E$497:$AV$540=AS261,'11.销售及回款表'!$E249:$AV249,0)),'11.销售及回款表'!AS249)</f>
        <v>0</v>
      </c>
      <c r="AT157" s="276">
        <f t="array" ref="AT157">IF(SUM($E262:AS262)&lt;1,SUM(IF('11.销售及回款表'!$E$497:$AV$540=AT261,'11.销售及回款表'!$E249:$AV249,0)),'11.销售及回款表'!AT249)</f>
        <v>0</v>
      </c>
      <c r="AU157" s="276">
        <f t="array" ref="AU157">IF(SUM($E262:AT262)&lt;1,SUM(IF('11.销售及回款表'!$E$497:$AV$540=AU261,'11.销售及回款表'!$E249:$AV249,0)),'11.销售及回款表'!AU249)</f>
        <v>0</v>
      </c>
      <c r="AV157" s="277">
        <f t="array" ref="AV157">IF(SUM($E262:AU262)&lt;1,SUM(IF('11.销售及回款表'!$E$497:$AV$540=AV261,'11.销售及回款表'!$E249:$AV249,0)),'11.销售及回款表'!AV249)</f>
        <v>0</v>
      </c>
    </row>
    <row r="158" spans="2:48" s="257" customFormat="1" ht="15.75" customHeight="1" outlineLevel="1">
      <c r="B158" s="1980"/>
      <c r="C158" s="303">
        <f>'8.项目规划指标表'!$B$10</f>
        <v>0</v>
      </c>
      <c r="D158" s="274">
        <f t="shared" si="32"/>
        <v>0</v>
      </c>
      <c r="E158" s="275">
        <f t="array" ref="E158">IF(SUM(D264:$E264)&lt;1,SUM(IF('11.销售及回款表'!$E$497:$AV$540=E263,'11.销售及回款表'!$E254:$AV254,0)),'11.销售及回款表'!E254)</f>
        <v>0</v>
      </c>
      <c r="F158" s="276">
        <f t="array" ref="F158">IF(SUM(E264:$E264)&lt;1,SUM(IF('11.销售及回款表'!$E$497:$AV$540=F263,'11.销售及回款表'!$E254:$AV254,0)),'11.销售及回款表'!F254)</f>
        <v>0</v>
      </c>
      <c r="G158" s="276">
        <f t="array" ref="G158">IF(SUM($E264:F264)&lt;1,SUM(IF('11.销售及回款表'!$E$497:$AV$540=G263,'11.销售及回款表'!$E254:$AV254,0)),'11.销售及回款表'!G254)</f>
        <v>0</v>
      </c>
      <c r="H158" s="277">
        <f t="array" ref="H158">IF(SUM($E264:G264)&lt;1,SUM(IF('11.销售及回款表'!$E$497:$AV$540=H263,'11.销售及回款表'!$E254:$AV254,0)),'11.销售及回款表'!H254)</f>
        <v>0</v>
      </c>
      <c r="I158" s="275">
        <f t="array" ref="I158">IF(SUM($E264:H264)&lt;1,SUM(IF('11.销售及回款表'!$E$497:$AV$540=I263,'11.销售及回款表'!$E254:$AV254,0)),'11.销售及回款表'!I254)</f>
        <v>0</v>
      </c>
      <c r="J158" s="276">
        <f t="array" ref="J158">IF(SUM($E264:I264)&lt;1,SUM(IF('11.销售及回款表'!$E$497:$AV$540=J263,'11.销售及回款表'!$E254:$AV254,0)),'11.销售及回款表'!J254)</f>
        <v>0</v>
      </c>
      <c r="K158" s="276">
        <f t="array" ref="K158">IF(SUM($E264:J264)&lt;1,SUM(IF('11.销售及回款表'!$E$497:$AV$540=K263,'11.销售及回款表'!$E254:$AV254,0)),'11.销售及回款表'!K254)</f>
        <v>0</v>
      </c>
      <c r="L158" s="277">
        <f t="array" ref="L158">IF(SUM($E264:K264)&lt;1,SUM(IF('11.销售及回款表'!$E$497:$AV$540=L263,'11.销售及回款表'!$E254:$AV254,0)),'11.销售及回款表'!L254)</f>
        <v>0</v>
      </c>
      <c r="M158" s="275">
        <f t="array" ref="M158">IF(SUM($E264:L264)&lt;1,SUM(IF('11.销售及回款表'!$E$497:$AV$540=M263,'11.销售及回款表'!$E254:$AV254,0)),'11.销售及回款表'!M254)</f>
        <v>0</v>
      </c>
      <c r="N158" s="276">
        <f t="array" ref="N158">IF(SUM($E264:M264)&lt;1,SUM(IF('11.销售及回款表'!$E$497:$AV$540=N263,'11.销售及回款表'!$E254:$AV254,0)),'11.销售及回款表'!N254)</f>
        <v>0</v>
      </c>
      <c r="O158" s="276">
        <f t="array" ref="O158">IF(SUM($E264:N264)&lt;1,SUM(IF('11.销售及回款表'!$E$497:$AV$540=O263,'11.销售及回款表'!$E254:$AV254,0)),'11.销售及回款表'!O254)</f>
        <v>0</v>
      </c>
      <c r="P158" s="277">
        <f t="array" ref="P158">IF(SUM($E264:O264)&lt;1,SUM(IF('11.销售及回款表'!$E$497:$AV$540=P263,'11.销售及回款表'!$E254:$AV254,0)),'11.销售及回款表'!P254)</f>
        <v>0</v>
      </c>
      <c r="Q158" s="275">
        <f t="array" ref="Q158">IF(SUM($E264:P264)&lt;1,SUM(IF('11.销售及回款表'!$E$497:$AV$540=Q263,'11.销售及回款表'!$E254:$AV254,0)),'11.销售及回款表'!Q254)</f>
        <v>0</v>
      </c>
      <c r="R158" s="276">
        <f t="array" ref="R158">IF(SUM($E264:Q264)&lt;1,SUM(IF('11.销售及回款表'!$E$497:$AV$540=R263,'11.销售及回款表'!$E254:$AV254,0)),'11.销售及回款表'!R254)</f>
        <v>0</v>
      </c>
      <c r="S158" s="276">
        <f t="array" ref="S158">IF(SUM($E264:R264)&lt;1,SUM(IF('11.销售及回款表'!$E$497:$AV$540=S263,'11.销售及回款表'!$E254:$AV254,0)),'11.销售及回款表'!S254)</f>
        <v>0</v>
      </c>
      <c r="T158" s="277">
        <f t="array" ref="T158">IF(SUM($E264:S264)&lt;1,SUM(IF('11.销售及回款表'!$E$497:$AV$540=T263,'11.销售及回款表'!$E254:$AV254,0)),'11.销售及回款表'!T254)</f>
        <v>0</v>
      </c>
      <c r="U158" s="275">
        <f t="array" ref="U158">IF(SUM($E264:T264)&lt;1,SUM(IF('11.销售及回款表'!$E$497:$AV$540=U263,'11.销售及回款表'!$E254:$AV254,0)),'11.销售及回款表'!U254)</f>
        <v>0</v>
      </c>
      <c r="V158" s="276">
        <f t="array" ref="V158">IF(SUM($E264:U264)&lt;1,SUM(IF('11.销售及回款表'!$E$497:$AV$540=V263,'11.销售及回款表'!$E254:$AV254,0)),'11.销售及回款表'!V254)</f>
        <v>0</v>
      </c>
      <c r="W158" s="276">
        <f t="array" ref="W158">IF(SUM($E264:V264)&lt;1,SUM(IF('11.销售及回款表'!$E$497:$AV$540=W263,'11.销售及回款表'!$E254:$AV254,0)),'11.销售及回款表'!W254)</f>
        <v>0</v>
      </c>
      <c r="X158" s="277">
        <f t="array" ref="X158">IF(SUM($E264:W264)&lt;1,SUM(IF('11.销售及回款表'!$E$497:$AV$540=X263,'11.销售及回款表'!$E254:$AV254,0)),'11.销售及回款表'!X254)</f>
        <v>0</v>
      </c>
      <c r="Y158" s="275">
        <f t="array" ref="Y158">IF(SUM($E264:X264)&lt;1,SUM(IF('11.销售及回款表'!$E$497:$AV$540=Y263,'11.销售及回款表'!$E254:$AV254,0)),'11.销售及回款表'!Y254)</f>
        <v>0</v>
      </c>
      <c r="Z158" s="276">
        <f t="array" ref="Z158">IF(SUM($E264:Y264)&lt;1,SUM(IF('11.销售及回款表'!$E$497:$AV$540=Z263,'11.销售及回款表'!$E254:$AV254,0)),'11.销售及回款表'!Z254)</f>
        <v>0</v>
      </c>
      <c r="AA158" s="276">
        <f t="array" ref="AA158">IF(SUM($E264:Z264)&lt;1,SUM(IF('11.销售及回款表'!$E$497:$AV$540=AA263,'11.销售及回款表'!$E254:$AV254,0)),'11.销售及回款表'!AA254)</f>
        <v>0</v>
      </c>
      <c r="AB158" s="277">
        <f t="array" ref="AB158">IF(SUM($E264:AA264)&lt;1,SUM(IF('11.销售及回款表'!$E$497:$AV$540=AB263,'11.销售及回款表'!$E254:$AV254,0)),'11.销售及回款表'!AB254)</f>
        <v>0</v>
      </c>
      <c r="AC158" s="275">
        <f t="array" ref="AC158">IF(SUM($E264:AB264)&lt;1,SUM(IF('11.销售及回款表'!$E$497:$AV$540=AC263,'11.销售及回款表'!$E254:$AV254,0)),'11.销售及回款表'!AC254)</f>
        <v>0</v>
      </c>
      <c r="AD158" s="276">
        <f t="array" ref="AD158">IF(SUM($E264:AC264)&lt;1,SUM(IF('11.销售及回款表'!$E$497:$AV$540=AD263,'11.销售及回款表'!$E254:$AV254,0)),'11.销售及回款表'!AD254)</f>
        <v>0</v>
      </c>
      <c r="AE158" s="276">
        <f t="array" ref="AE158">IF(SUM($E264:AD264)&lt;1,SUM(IF('11.销售及回款表'!$E$497:$AV$540=AE263,'11.销售及回款表'!$E254:$AV254,0)),'11.销售及回款表'!AE254)</f>
        <v>0</v>
      </c>
      <c r="AF158" s="277">
        <f t="array" ref="AF158">IF(SUM($E264:AE264)&lt;1,SUM(IF('11.销售及回款表'!$E$497:$AV$540=AF263,'11.销售及回款表'!$E254:$AV254,0)),'11.销售及回款表'!AF254)</f>
        <v>0</v>
      </c>
      <c r="AG158" s="275">
        <f t="array" ref="AG158">IF(SUM($E264:AF264)&lt;1,SUM(IF('11.销售及回款表'!$E$497:$AV$540=AG263,'11.销售及回款表'!$E254:$AV254,0)),'11.销售及回款表'!AG254)</f>
        <v>0</v>
      </c>
      <c r="AH158" s="276">
        <f t="array" ref="AH158">IF(SUM($E264:AG264)&lt;1,SUM(IF('11.销售及回款表'!$E$497:$AV$540=AH263,'11.销售及回款表'!$E254:$AV254,0)),'11.销售及回款表'!AH254)</f>
        <v>0</v>
      </c>
      <c r="AI158" s="276">
        <f t="array" ref="AI158">IF(SUM($E264:AH264)&lt;1,SUM(IF('11.销售及回款表'!$E$497:$AV$540=AI263,'11.销售及回款表'!$E254:$AV254,0)),'11.销售及回款表'!AI254)</f>
        <v>0</v>
      </c>
      <c r="AJ158" s="277">
        <f t="array" ref="AJ158">IF(SUM($E264:AI264)&lt;1,SUM(IF('11.销售及回款表'!$E$497:$AV$540=AJ263,'11.销售及回款表'!$E254:$AV254,0)),'11.销售及回款表'!AJ254)</f>
        <v>0</v>
      </c>
      <c r="AK158" s="275">
        <f t="array" ref="AK158">IF(SUM($E264:AJ264)&lt;1,SUM(IF('11.销售及回款表'!$E$497:$AV$540=AK263,'11.销售及回款表'!$E254:$AV254,0)),'11.销售及回款表'!AK254)</f>
        <v>0</v>
      </c>
      <c r="AL158" s="276">
        <f t="array" ref="AL158">IF(SUM($E264:AK264)&lt;1,SUM(IF('11.销售及回款表'!$E$497:$AV$540=AL263,'11.销售及回款表'!$E254:$AV254,0)),'11.销售及回款表'!AL254)</f>
        <v>0</v>
      </c>
      <c r="AM158" s="276">
        <f t="array" ref="AM158">IF(SUM($E264:AL264)&lt;1,SUM(IF('11.销售及回款表'!$E$497:$AV$540=AM263,'11.销售及回款表'!$E254:$AV254,0)),'11.销售及回款表'!AM254)</f>
        <v>0</v>
      </c>
      <c r="AN158" s="277">
        <f t="array" ref="AN158">IF(SUM($E264:AM264)&lt;1,SUM(IF('11.销售及回款表'!$E$497:$AV$540=AN263,'11.销售及回款表'!$E254:$AV254,0)),'11.销售及回款表'!AN254)</f>
        <v>0</v>
      </c>
      <c r="AO158" s="275">
        <f t="array" ref="AO158">IF(SUM($E264:AN264)&lt;1,SUM(IF('11.销售及回款表'!$E$497:$AV$540=AO263,'11.销售及回款表'!$E254:$AV254,0)),'11.销售及回款表'!AO254)</f>
        <v>0</v>
      </c>
      <c r="AP158" s="276">
        <f t="array" ref="AP158">IF(SUM($E264:AO264)&lt;1,SUM(IF('11.销售及回款表'!$E$497:$AV$540=AP263,'11.销售及回款表'!$E254:$AV254,0)),'11.销售及回款表'!AP254)</f>
        <v>0</v>
      </c>
      <c r="AQ158" s="276">
        <f t="array" ref="AQ158">IF(SUM($E264:AP264)&lt;1,SUM(IF('11.销售及回款表'!$E$497:$AV$540=AQ263,'11.销售及回款表'!$E254:$AV254,0)),'11.销售及回款表'!AQ254)</f>
        <v>0</v>
      </c>
      <c r="AR158" s="277">
        <f t="array" ref="AR158">IF(SUM($E264:AQ264)&lt;1,SUM(IF('11.销售及回款表'!$E$497:$AV$540=AR263,'11.销售及回款表'!$E254:$AV254,0)),'11.销售及回款表'!AR254)</f>
        <v>0</v>
      </c>
      <c r="AS158" s="275">
        <f t="array" ref="AS158">IF(SUM($E264:AR264)&lt;1,SUM(IF('11.销售及回款表'!$E$497:$AV$540=AS263,'11.销售及回款表'!$E254:$AV254,0)),'11.销售及回款表'!AS254)</f>
        <v>0</v>
      </c>
      <c r="AT158" s="276">
        <f t="array" ref="AT158">IF(SUM($E264:AS264)&lt;1,SUM(IF('11.销售及回款表'!$E$497:$AV$540=AT263,'11.销售及回款表'!$E254:$AV254,0)),'11.销售及回款表'!AT254)</f>
        <v>0</v>
      </c>
      <c r="AU158" s="276">
        <f t="array" ref="AU158">IF(SUM($E264:AT264)&lt;1,SUM(IF('11.销售及回款表'!$E$497:$AV$540=AU263,'11.销售及回款表'!$E254:$AV254,0)),'11.销售及回款表'!AU254)</f>
        <v>0</v>
      </c>
      <c r="AV158" s="277">
        <f t="array" ref="AV158">IF(SUM($E264:AU264)&lt;1,SUM(IF('11.销售及回款表'!$E$497:$AV$540=AV263,'11.销售及回款表'!$E254:$AV254,0)),'11.销售及回款表'!AV254)</f>
        <v>0</v>
      </c>
    </row>
    <row r="159" spans="2:48" s="257" customFormat="1" ht="15.75" customHeight="1" outlineLevel="1">
      <c r="B159" s="1980"/>
      <c r="C159" s="303">
        <f>'8.项目规划指标表'!$B$11</f>
        <v>0</v>
      </c>
      <c r="D159" s="274">
        <f t="shared" si="32"/>
        <v>0</v>
      </c>
      <c r="E159" s="275">
        <f t="array" ref="E159">IF(SUM(D266:$E266)&lt;1,SUM(IF('11.销售及回款表'!$E$497:$AV$540=E265,'11.销售及回款表'!$E259:$AV259,0)),'11.销售及回款表'!E259)</f>
        <v>0</v>
      </c>
      <c r="F159" s="276">
        <f t="array" ref="F159">IF(SUM(E266:$E266)&lt;1,SUM(IF('11.销售及回款表'!$E$497:$AV$540=F265,'11.销售及回款表'!$E259:$AV259,0)),'11.销售及回款表'!F259)</f>
        <v>0</v>
      </c>
      <c r="G159" s="276">
        <f t="array" ref="G159">IF(SUM($E266:F266)&lt;1,SUM(IF('11.销售及回款表'!$E$497:$AV$540=G265,'11.销售及回款表'!$E259:$AV259,0)),'11.销售及回款表'!G259)</f>
        <v>0</v>
      </c>
      <c r="H159" s="277">
        <f t="array" ref="H159">IF(SUM($E266:G266)&lt;1,SUM(IF('11.销售及回款表'!$E$497:$AV$540=H265,'11.销售及回款表'!$E259:$AV259,0)),'11.销售及回款表'!H259)</f>
        <v>0</v>
      </c>
      <c r="I159" s="275">
        <f t="array" ref="I159">IF(SUM($E266:H266)&lt;1,SUM(IF('11.销售及回款表'!$E$497:$AV$540=I265,'11.销售及回款表'!$E259:$AV259,0)),'11.销售及回款表'!I259)</f>
        <v>0</v>
      </c>
      <c r="J159" s="276">
        <f t="array" ref="J159">IF(SUM($E266:I266)&lt;1,SUM(IF('11.销售及回款表'!$E$497:$AV$540=J265,'11.销售及回款表'!$E259:$AV259,0)),'11.销售及回款表'!J259)</f>
        <v>0</v>
      </c>
      <c r="K159" s="276">
        <f t="array" ref="K159">IF(SUM($E266:J266)&lt;1,SUM(IF('11.销售及回款表'!$E$497:$AV$540=K265,'11.销售及回款表'!$E259:$AV259,0)),'11.销售及回款表'!K259)</f>
        <v>0</v>
      </c>
      <c r="L159" s="277">
        <f t="array" ref="L159">IF(SUM($E266:K266)&lt;1,SUM(IF('11.销售及回款表'!$E$497:$AV$540=L265,'11.销售及回款表'!$E259:$AV259,0)),'11.销售及回款表'!L259)</f>
        <v>0</v>
      </c>
      <c r="M159" s="275">
        <f t="array" ref="M159">IF(SUM($E266:L266)&lt;1,SUM(IF('11.销售及回款表'!$E$497:$AV$540=M265,'11.销售及回款表'!$E259:$AV259,0)),'11.销售及回款表'!M259)</f>
        <v>0</v>
      </c>
      <c r="N159" s="276">
        <f t="array" ref="N159">IF(SUM($E266:M266)&lt;1,SUM(IF('11.销售及回款表'!$E$497:$AV$540=N265,'11.销售及回款表'!$E259:$AV259,0)),'11.销售及回款表'!N259)</f>
        <v>0</v>
      </c>
      <c r="O159" s="276">
        <f t="array" ref="O159">IF(SUM($E266:N266)&lt;1,SUM(IF('11.销售及回款表'!$E$497:$AV$540=O265,'11.销售及回款表'!$E259:$AV259,0)),'11.销售及回款表'!O259)</f>
        <v>0</v>
      </c>
      <c r="P159" s="277">
        <f t="array" ref="P159">IF(SUM($E266:O266)&lt;1,SUM(IF('11.销售及回款表'!$E$497:$AV$540=P265,'11.销售及回款表'!$E259:$AV259,0)),'11.销售及回款表'!P259)</f>
        <v>0</v>
      </c>
      <c r="Q159" s="275">
        <f t="array" ref="Q159">IF(SUM($E266:P266)&lt;1,SUM(IF('11.销售及回款表'!$E$497:$AV$540=Q265,'11.销售及回款表'!$E259:$AV259,0)),'11.销售及回款表'!Q259)</f>
        <v>0</v>
      </c>
      <c r="R159" s="276">
        <f t="array" ref="R159">IF(SUM($E266:Q266)&lt;1,SUM(IF('11.销售及回款表'!$E$497:$AV$540=R265,'11.销售及回款表'!$E259:$AV259,0)),'11.销售及回款表'!R259)</f>
        <v>0</v>
      </c>
      <c r="S159" s="276">
        <f t="array" ref="S159">IF(SUM($E266:R266)&lt;1,SUM(IF('11.销售及回款表'!$E$497:$AV$540=S265,'11.销售及回款表'!$E259:$AV259,0)),'11.销售及回款表'!S259)</f>
        <v>0</v>
      </c>
      <c r="T159" s="277">
        <f t="array" ref="T159">IF(SUM($E266:S266)&lt;1,SUM(IF('11.销售及回款表'!$E$497:$AV$540=T265,'11.销售及回款表'!$E259:$AV259,0)),'11.销售及回款表'!T259)</f>
        <v>0</v>
      </c>
      <c r="U159" s="275">
        <f t="array" ref="U159">IF(SUM($E266:T266)&lt;1,SUM(IF('11.销售及回款表'!$E$497:$AV$540=U265,'11.销售及回款表'!$E259:$AV259,0)),'11.销售及回款表'!U259)</f>
        <v>0</v>
      </c>
      <c r="V159" s="276">
        <f t="array" ref="V159">IF(SUM($E266:U266)&lt;1,SUM(IF('11.销售及回款表'!$E$497:$AV$540=V265,'11.销售及回款表'!$E259:$AV259,0)),'11.销售及回款表'!V259)</f>
        <v>0</v>
      </c>
      <c r="W159" s="276">
        <f t="array" ref="W159">IF(SUM($E266:V266)&lt;1,SUM(IF('11.销售及回款表'!$E$497:$AV$540=W265,'11.销售及回款表'!$E259:$AV259,0)),'11.销售及回款表'!W259)</f>
        <v>0</v>
      </c>
      <c r="X159" s="277">
        <f t="array" ref="X159">IF(SUM($E266:W266)&lt;1,SUM(IF('11.销售及回款表'!$E$497:$AV$540=X265,'11.销售及回款表'!$E259:$AV259,0)),'11.销售及回款表'!X259)</f>
        <v>0</v>
      </c>
      <c r="Y159" s="275">
        <f t="array" ref="Y159">IF(SUM($E266:X266)&lt;1,SUM(IF('11.销售及回款表'!$E$497:$AV$540=Y265,'11.销售及回款表'!$E259:$AV259,0)),'11.销售及回款表'!Y259)</f>
        <v>0</v>
      </c>
      <c r="Z159" s="276">
        <f t="array" ref="Z159">IF(SUM($E266:Y266)&lt;1,SUM(IF('11.销售及回款表'!$E$497:$AV$540=Z265,'11.销售及回款表'!$E259:$AV259,0)),'11.销售及回款表'!Z259)</f>
        <v>0</v>
      </c>
      <c r="AA159" s="276">
        <f t="array" ref="AA159">IF(SUM($E266:Z266)&lt;1,SUM(IF('11.销售及回款表'!$E$497:$AV$540=AA265,'11.销售及回款表'!$E259:$AV259,0)),'11.销售及回款表'!AA259)</f>
        <v>0</v>
      </c>
      <c r="AB159" s="277">
        <f t="array" ref="AB159">IF(SUM($E266:AA266)&lt;1,SUM(IF('11.销售及回款表'!$E$497:$AV$540=AB265,'11.销售及回款表'!$E259:$AV259,0)),'11.销售及回款表'!AB259)</f>
        <v>0</v>
      </c>
      <c r="AC159" s="275">
        <f t="array" ref="AC159">IF(SUM($E266:AB266)&lt;1,SUM(IF('11.销售及回款表'!$E$497:$AV$540=AC265,'11.销售及回款表'!$E259:$AV259,0)),'11.销售及回款表'!AC259)</f>
        <v>0</v>
      </c>
      <c r="AD159" s="276">
        <f t="array" ref="AD159">IF(SUM($E266:AC266)&lt;1,SUM(IF('11.销售及回款表'!$E$497:$AV$540=AD265,'11.销售及回款表'!$E259:$AV259,0)),'11.销售及回款表'!AD259)</f>
        <v>0</v>
      </c>
      <c r="AE159" s="276">
        <f t="array" ref="AE159">IF(SUM($E266:AD266)&lt;1,SUM(IF('11.销售及回款表'!$E$497:$AV$540=AE265,'11.销售及回款表'!$E259:$AV259,0)),'11.销售及回款表'!AE259)</f>
        <v>0</v>
      </c>
      <c r="AF159" s="277">
        <f t="array" ref="AF159">IF(SUM($E266:AE266)&lt;1,SUM(IF('11.销售及回款表'!$E$497:$AV$540=AF265,'11.销售及回款表'!$E259:$AV259,0)),'11.销售及回款表'!AF259)</f>
        <v>0</v>
      </c>
      <c r="AG159" s="275">
        <f t="array" ref="AG159">IF(SUM($E266:AF266)&lt;1,SUM(IF('11.销售及回款表'!$E$497:$AV$540=AG265,'11.销售及回款表'!$E259:$AV259,0)),'11.销售及回款表'!AG259)</f>
        <v>0</v>
      </c>
      <c r="AH159" s="276">
        <f t="array" ref="AH159">IF(SUM($E266:AG266)&lt;1,SUM(IF('11.销售及回款表'!$E$497:$AV$540=AH265,'11.销售及回款表'!$E259:$AV259,0)),'11.销售及回款表'!AH259)</f>
        <v>0</v>
      </c>
      <c r="AI159" s="276">
        <f t="array" ref="AI159">IF(SUM($E266:AH266)&lt;1,SUM(IF('11.销售及回款表'!$E$497:$AV$540=AI265,'11.销售及回款表'!$E259:$AV259,0)),'11.销售及回款表'!AI259)</f>
        <v>0</v>
      </c>
      <c r="AJ159" s="277">
        <f t="array" ref="AJ159">IF(SUM($E266:AI266)&lt;1,SUM(IF('11.销售及回款表'!$E$497:$AV$540=AJ265,'11.销售及回款表'!$E259:$AV259,0)),'11.销售及回款表'!AJ259)</f>
        <v>0</v>
      </c>
      <c r="AK159" s="275">
        <f t="array" ref="AK159">IF(SUM($E266:AJ266)&lt;1,SUM(IF('11.销售及回款表'!$E$497:$AV$540=AK265,'11.销售及回款表'!$E259:$AV259,0)),'11.销售及回款表'!AK259)</f>
        <v>0</v>
      </c>
      <c r="AL159" s="276">
        <f t="array" ref="AL159">IF(SUM($E266:AK266)&lt;1,SUM(IF('11.销售及回款表'!$E$497:$AV$540=AL265,'11.销售及回款表'!$E259:$AV259,0)),'11.销售及回款表'!AL259)</f>
        <v>0</v>
      </c>
      <c r="AM159" s="276">
        <f t="array" ref="AM159">IF(SUM($E266:AL266)&lt;1,SUM(IF('11.销售及回款表'!$E$497:$AV$540=AM265,'11.销售及回款表'!$E259:$AV259,0)),'11.销售及回款表'!AM259)</f>
        <v>0</v>
      </c>
      <c r="AN159" s="277">
        <f t="array" ref="AN159">IF(SUM($E266:AM266)&lt;1,SUM(IF('11.销售及回款表'!$E$497:$AV$540=AN265,'11.销售及回款表'!$E259:$AV259,0)),'11.销售及回款表'!AN259)</f>
        <v>0</v>
      </c>
      <c r="AO159" s="275">
        <f t="array" ref="AO159">IF(SUM($E266:AN266)&lt;1,SUM(IF('11.销售及回款表'!$E$497:$AV$540=AO265,'11.销售及回款表'!$E259:$AV259,0)),'11.销售及回款表'!AO259)</f>
        <v>0</v>
      </c>
      <c r="AP159" s="276">
        <f t="array" ref="AP159">IF(SUM($E266:AO266)&lt;1,SUM(IF('11.销售及回款表'!$E$497:$AV$540=AP265,'11.销售及回款表'!$E259:$AV259,0)),'11.销售及回款表'!AP259)</f>
        <v>0</v>
      </c>
      <c r="AQ159" s="276">
        <f t="array" ref="AQ159">IF(SUM($E266:AP266)&lt;1,SUM(IF('11.销售及回款表'!$E$497:$AV$540=AQ265,'11.销售及回款表'!$E259:$AV259,0)),'11.销售及回款表'!AQ259)</f>
        <v>0</v>
      </c>
      <c r="AR159" s="277">
        <f t="array" ref="AR159">IF(SUM($E266:AQ266)&lt;1,SUM(IF('11.销售及回款表'!$E$497:$AV$540=AR265,'11.销售及回款表'!$E259:$AV259,0)),'11.销售及回款表'!AR259)</f>
        <v>0</v>
      </c>
      <c r="AS159" s="275">
        <f t="array" ref="AS159">IF(SUM($E266:AR266)&lt;1,SUM(IF('11.销售及回款表'!$E$497:$AV$540=AS265,'11.销售及回款表'!$E259:$AV259,0)),'11.销售及回款表'!AS259)</f>
        <v>0</v>
      </c>
      <c r="AT159" s="276">
        <f t="array" ref="AT159">IF(SUM($E266:AS266)&lt;1,SUM(IF('11.销售及回款表'!$E$497:$AV$540=AT265,'11.销售及回款表'!$E259:$AV259,0)),'11.销售及回款表'!AT259)</f>
        <v>0</v>
      </c>
      <c r="AU159" s="276">
        <f t="array" ref="AU159">IF(SUM($E266:AT266)&lt;1,SUM(IF('11.销售及回款表'!$E$497:$AV$540=AU265,'11.销售及回款表'!$E259:$AV259,0)),'11.销售及回款表'!AU259)</f>
        <v>0</v>
      </c>
      <c r="AV159" s="277">
        <f t="array" ref="AV159">IF(SUM($E266:AU266)&lt;1,SUM(IF('11.销售及回款表'!$E$497:$AV$540=AV265,'11.销售及回款表'!$E259:$AV259,0)),'11.销售及回款表'!AV259)</f>
        <v>0</v>
      </c>
    </row>
    <row r="160" spans="2:48" s="257" customFormat="1" ht="15.75" customHeight="1" outlineLevel="1">
      <c r="B160" s="1980"/>
      <c r="C160" s="303">
        <f>'8.项目规划指标表'!$B$12</f>
        <v>0</v>
      </c>
      <c r="D160" s="274">
        <f t="shared" si="32"/>
        <v>0</v>
      </c>
      <c r="E160" s="275">
        <f t="array" ref="E160">IF(SUM(D268:$E268)&lt;1,SUM(IF('11.销售及回款表'!$E$497:$AV$540=E267,'11.销售及回款表'!$E264:$AV264,0)),'11.销售及回款表'!E264)</f>
        <v>0</v>
      </c>
      <c r="F160" s="276">
        <f t="array" ref="F160">IF(SUM(E268:$E268)&lt;1,SUM(IF('11.销售及回款表'!$E$497:$AV$540=F267,'11.销售及回款表'!$E264:$AV264,0)),'11.销售及回款表'!F264)</f>
        <v>0</v>
      </c>
      <c r="G160" s="276">
        <f t="array" ref="G160">IF(SUM($E268:F268)&lt;1,SUM(IF('11.销售及回款表'!$E$497:$AV$540=G267,'11.销售及回款表'!$E264:$AV264,0)),'11.销售及回款表'!G264)</f>
        <v>0</v>
      </c>
      <c r="H160" s="277">
        <f t="array" ref="H160">IF(SUM($E268:G268)&lt;1,SUM(IF('11.销售及回款表'!$E$497:$AV$540=H267,'11.销售及回款表'!$E264:$AV264,0)),'11.销售及回款表'!H264)</f>
        <v>0</v>
      </c>
      <c r="I160" s="275">
        <f t="array" ref="I160">IF(SUM($E268:H268)&lt;1,SUM(IF('11.销售及回款表'!$E$497:$AV$540=I267,'11.销售及回款表'!$E264:$AV264,0)),'11.销售及回款表'!I264)</f>
        <v>0</v>
      </c>
      <c r="J160" s="276">
        <f t="array" ref="J160">IF(SUM($E268:I268)&lt;1,SUM(IF('11.销售及回款表'!$E$497:$AV$540=J267,'11.销售及回款表'!$E264:$AV264,0)),'11.销售及回款表'!J264)</f>
        <v>0</v>
      </c>
      <c r="K160" s="276">
        <f t="array" ref="K160">IF(SUM($E268:J268)&lt;1,SUM(IF('11.销售及回款表'!$E$497:$AV$540=K267,'11.销售及回款表'!$E264:$AV264,0)),'11.销售及回款表'!K264)</f>
        <v>0</v>
      </c>
      <c r="L160" s="277">
        <f t="array" ref="L160">IF(SUM($E268:K268)&lt;1,SUM(IF('11.销售及回款表'!$E$497:$AV$540=L267,'11.销售及回款表'!$E264:$AV264,0)),'11.销售及回款表'!L264)</f>
        <v>0</v>
      </c>
      <c r="M160" s="275">
        <f t="array" ref="M160">IF(SUM($E268:L268)&lt;1,SUM(IF('11.销售及回款表'!$E$497:$AV$540=M267,'11.销售及回款表'!$E264:$AV264,0)),'11.销售及回款表'!M264)</f>
        <v>0</v>
      </c>
      <c r="N160" s="276">
        <f t="array" ref="N160">IF(SUM($E268:M268)&lt;1,SUM(IF('11.销售及回款表'!$E$497:$AV$540=N267,'11.销售及回款表'!$E264:$AV264,0)),'11.销售及回款表'!N264)</f>
        <v>0</v>
      </c>
      <c r="O160" s="276">
        <f t="array" ref="O160">IF(SUM($E268:N268)&lt;1,SUM(IF('11.销售及回款表'!$E$497:$AV$540=O267,'11.销售及回款表'!$E264:$AV264,0)),'11.销售及回款表'!O264)</f>
        <v>0</v>
      </c>
      <c r="P160" s="277">
        <f t="array" ref="P160">IF(SUM($E268:O268)&lt;1,SUM(IF('11.销售及回款表'!$E$497:$AV$540=P267,'11.销售及回款表'!$E264:$AV264,0)),'11.销售及回款表'!P264)</f>
        <v>0</v>
      </c>
      <c r="Q160" s="275">
        <f t="array" ref="Q160">IF(SUM($E268:P268)&lt;1,SUM(IF('11.销售及回款表'!$E$497:$AV$540=Q267,'11.销售及回款表'!$E264:$AV264,0)),'11.销售及回款表'!Q264)</f>
        <v>0</v>
      </c>
      <c r="R160" s="276">
        <f t="array" ref="R160">IF(SUM($E268:Q268)&lt;1,SUM(IF('11.销售及回款表'!$E$497:$AV$540=R267,'11.销售及回款表'!$E264:$AV264,0)),'11.销售及回款表'!R264)</f>
        <v>0</v>
      </c>
      <c r="S160" s="276">
        <f t="array" ref="S160">IF(SUM($E268:R268)&lt;1,SUM(IF('11.销售及回款表'!$E$497:$AV$540=S267,'11.销售及回款表'!$E264:$AV264,0)),'11.销售及回款表'!S264)</f>
        <v>0</v>
      </c>
      <c r="T160" s="277">
        <f t="array" ref="T160">IF(SUM($E268:S268)&lt;1,SUM(IF('11.销售及回款表'!$E$497:$AV$540=T267,'11.销售及回款表'!$E264:$AV264,0)),'11.销售及回款表'!T264)</f>
        <v>0</v>
      </c>
      <c r="U160" s="275">
        <f t="array" ref="U160">IF(SUM($E268:T268)&lt;1,SUM(IF('11.销售及回款表'!$E$497:$AV$540=U267,'11.销售及回款表'!$E264:$AV264,0)),'11.销售及回款表'!U264)</f>
        <v>0</v>
      </c>
      <c r="V160" s="276">
        <f t="array" ref="V160">IF(SUM($E268:U268)&lt;1,SUM(IF('11.销售及回款表'!$E$497:$AV$540=V267,'11.销售及回款表'!$E264:$AV264,0)),'11.销售及回款表'!V264)</f>
        <v>0</v>
      </c>
      <c r="W160" s="276">
        <f t="array" ref="W160">IF(SUM($E268:V268)&lt;1,SUM(IF('11.销售及回款表'!$E$497:$AV$540=W267,'11.销售及回款表'!$E264:$AV264,0)),'11.销售及回款表'!W264)</f>
        <v>0</v>
      </c>
      <c r="X160" s="277">
        <f t="array" ref="X160">IF(SUM($E268:W268)&lt;1,SUM(IF('11.销售及回款表'!$E$497:$AV$540=X267,'11.销售及回款表'!$E264:$AV264,0)),'11.销售及回款表'!X264)</f>
        <v>0</v>
      </c>
      <c r="Y160" s="275">
        <f t="array" ref="Y160">IF(SUM($E268:X268)&lt;1,SUM(IF('11.销售及回款表'!$E$497:$AV$540=Y267,'11.销售及回款表'!$E264:$AV264,0)),'11.销售及回款表'!Y264)</f>
        <v>0</v>
      </c>
      <c r="Z160" s="276">
        <f t="array" ref="Z160">IF(SUM($E268:Y268)&lt;1,SUM(IF('11.销售及回款表'!$E$497:$AV$540=Z267,'11.销售及回款表'!$E264:$AV264,0)),'11.销售及回款表'!Z264)</f>
        <v>0</v>
      </c>
      <c r="AA160" s="276">
        <f t="array" ref="AA160">IF(SUM($E268:Z268)&lt;1,SUM(IF('11.销售及回款表'!$E$497:$AV$540=AA267,'11.销售及回款表'!$E264:$AV264,0)),'11.销售及回款表'!AA264)</f>
        <v>0</v>
      </c>
      <c r="AB160" s="277">
        <f t="array" ref="AB160">IF(SUM($E268:AA268)&lt;1,SUM(IF('11.销售及回款表'!$E$497:$AV$540=AB267,'11.销售及回款表'!$E264:$AV264,0)),'11.销售及回款表'!AB264)</f>
        <v>0</v>
      </c>
      <c r="AC160" s="275">
        <f t="array" ref="AC160">IF(SUM($E268:AB268)&lt;1,SUM(IF('11.销售及回款表'!$E$497:$AV$540=AC267,'11.销售及回款表'!$E264:$AV264,0)),'11.销售及回款表'!AC264)</f>
        <v>0</v>
      </c>
      <c r="AD160" s="276">
        <f t="array" ref="AD160">IF(SUM($E268:AC268)&lt;1,SUM(IF('11.销售及回款表'!$E$497:$AV$540=AD267,'11.销售及回款表'!$E264:$AV264,0)),'11.销售及回款表'!AD264)</f>
        <v>0</v>
      </c>
      <c r="AE160" s="276">
        <f t="array" ref="AE160">IF(SUM($E268:AD268)&lt;1,SUM(IF('11.销售及回款表'!$E$497:$AV$540=AE267,'11.销售及回款表'!$E264:$AV264,0)),'11.销售及回款表'!AE264)</f>
        <v>0</v>
      </c>
      <c r="AF160" s="277">
        <f t="array" ref="AF160">IF(SUM($E268:AE268)&lt;1,SUM(IF('11.销售及回款表'!$E$497:$AV$540=AF267,'11.销售及回款表'!$E264:$AV264,0)),'11.销售及回款表'!AF264)</f>
        <v>0</v>
      </c>
      <c r="AG160" s="275">
        <f t="array" ref="AG160">IF(SUM($E268:AF268)&lt;1,SUM(IF('11.销售及回款表'!$E$497:$AV$540=AG267,'11.销售及回款表'!$E264:$AV264,0)),'11.销售及回款表'!AG264)</f>
        <v>0</v>
      </c>
      <c r="AH160" s="276">
        <f t="array" ref="AH160">IF(SUM($E268:AG268)&lt;1,SUM(IF('11.销售及回款表'!$E$497:$AV$540=AH267,'11.销售及回款表'!$E264:$AV264,0)),'11.销售及回款表'!AH264)</f>
        <v>0</v>
      </c>
      <c r="AI160" s="276">
        <f t="array" ref="AI160">IF(SUM($E268:AH268)&lt;1,SUM(IF('11.销售及回款表'!$E$497:$AV$540=AI267,'11.销售及回款表'!$E264:$AV264,0)),'11.销售及回款表'!AI264)</f>
        <v>0</v>
      </c>
      <c r="AJ160" s="277">
        <f t="array" ref="AJ160">IF(SUM($E268:AI268)&lt;1,SUM(IF('11.销售及回款表'!$E$497:$AV$540=AJ267,'11.销售及回款表'!$E264:$AV264,0)),'11.销售及回款表'!AJ264)</f>
        <v>0</v>
      </c>
      <c r="AK160" s="275">
        <f t="array" ref="AK160">IF(SUM($E268:AJ268)&lt;1,SUM(IF('11.销售及回款表'!$E$497:$AV$540=AK267,'11.销售及回款表'!$E264:$AV264,0)),'11.销售及回款表'!AK264)</f>
        <v>0</v>
      </c>
      <c r="AL160" s="276">
        <f t="array" ref="AL160">IF(SUM($E268:AK268)&lt;1,SUM(IF('11.销售及回款表'!$E$497:$AV$540=AL267,'11.销售及回款表'!$E264:$AV264,0)),'11.销售及回款表'!AL264)</f>
        <v>0</v>
      </c>
      <c r="AM160" s="276">
        <f t="array" ref="AM160">IF(SUM($E268:AL268)&lt;1,SUM(IF('11.销售及回款表'!$E$497:$AV$540=AM267,'11.销售及回款表'!$E264:$AV264,0)),'11.销售及回款表'!AM264)</f>
        <v>0</v>
      </c>
      <c r="AN160" s="277">
        <f t="array" ref="AN160">IF(SUM($E268:AM268)&lt;1,SUM(IF('11.销售及回款表'!$E$497:$AV$540=AN267,'11.销售及回款表'!$E264:$AV264,0)),'11.销售及回款表'!AN264)</f>
        <v>0</v>
      </c>
      <c r="AO160" s="275">
        <f t="array" ref="AO160">IF(SUM($E268:AN268)&lt;1,SUM(IF('11.销售及回款表'!$E$497:$AV$540=AO267,'11.销售及回款表'!$E264:$AV264,0)),'11.销售及回款表'!AO264)</f>
        <v>0</v>
      </c>
      <c r="AP160" s="276">
        <f t="array" ref="AP160">IF(SUM($E268:AO268)&lt;1,SUM(IF('11.销售及回款表'!$E$497:$AV$540=AP267,'11.销售及回款表'!$E264:$AV264,0)),'11.销售及回款表'!AP264)</f>
        <v>0</v>
      </c>
      <c r="AQ160" s="276">
        <f t="array" ref="AQ160">IF(SUM($E268:AP268)&lt;1,SUM(IF('11.销售及回款表'!$E$497:$AV$540=AQ267,'11.销售及回款表'!$E264:$AV264,0)),'11.销售及回款表'!AQ264)</f>
        <v>0</v>
      </c>
      <c r="AR160" s="277">
        <f t="array" ref="AR160">IF(SUM($E268:AQ268)&lt;1,SUM(IF('11.销售及回款表'!$E$497:$AV$540=AR267,'11.销售及回款表'!$E264:$AV264,0)),'11.销售及回款表'!AR264)</f>
        <v>0</v>
      </c>
      <c r="AS160" s="275">
        <f t="array" ref="AS160">IF(SUM($E268:AR268)&lt;1,SUM(IF('11.销售及回款表'!$E$497:$AV$540=AS267,'11.销售及回款表'!$E264:$AV264,0)),'11.销售及回款表'!AS264)</f>
        <v>0</v>
      </c>
      <c r="AT160" s="276">
        <f t="array" ref="AT160">IF(SUM($E268:AS268)&lt;1,SUM(IF('11.销售及回款表'!$E$497:$AV$540=AT267,'11.销售及回款表'!$E264:$AV264,0)),'11.销售及回款表'!AT264)</f>
        <v>0</v>
      </c>
      <c r="AU160" s="276">
        <f t="array" ref="AU160">IF(SUM($E268:AT268)&lt;1,SUM(IF('11.销售及回款表'!$E$497:$AV$540=AU267,'11.销售及回款表'!$E264:$AV264,0)),'11.销售及回款表'!AU264)</f>
        <v>0</v>
      </c>
      <c r="AV160" s="277">
        <f t="array" ref="AV160">IF(SUM($E268:AU268)&lt;1,SUM(IF('11.销售及回款表'!$E$497:$AV$540=AV267,'11.销售及回款表'!$E264:$AV264,0)),'11.销售及回款表'!AV264)</f>
        <v>0</v>
      </c>
    </row>
    <row r="161" spans="2:48" s="257" customFormat="1" ht="15.75" customHeight="1" outlineLevel="1">
      <c r="B161" s="1980"/>
      <c r="C161" s="303">
        <f>'8.项目规划指标表'!$B$13</f>
        <v>0</v>
      </c>
      <c r="D161" s="274">
        <f t="shared" si="32"/>
        <v>0</v>
      </c>
      <c r="E161" s="275">
        <f t="array" ref="E161">IF(SUM(D270:$E270)&lt;1,SUM(IF('11.销售及回款表'!$E$497:$AV$540=E269,'11.销售及回款表'!$E269:$AV269,0)),'11.销售及回款表'!E269)</f>
        <v>0</v>
      </c>
      <c r="F161" s="276">
        <f t="array" ref="F161">IF(SUM(E270:$E270)&lt;1,SUM(IF('11.销售及回款表'!$E$497:$AV$540=F269,'11.销售及回款表'!$E269:$AV269,0)),'11.销售及回款表'!F269)</f>
        <v>0</v>
      </c>
      <c r="G161" s="276">
        <f t="array" ref="G161">IF(SUM($E270:F270)&lt;1,SUM(IF('11.销售及回款表'!$E$497:$AV$540=G269,'11.销售及回款表'!$E269:$AV269,0)),'11.销售及回款表'!G269)</f>
        <v>0</v>
      </c>
      <c r="H161" s="277">
        <f t="array" ref="H161">IF(SUM($E270:G270)&lt;1,SUM(IF('11.销售及回款表'!$E$497:$AV$540=H269,'11.销售及回款表'!$E269:$AV269,0)),'11.销售及回款表'!H269)</f>
        <v>0</v>
      </c>
      <c r="I161" s="275">
        <f t="array" ref="I161">IF(SUM($E270:H270)&lt;1,SUM(IF('11.销售及回款表'!$E$497:$AV$540=I269,'11.销售及回款表'!$E269:$AV269,0)),'11.销售及回款表'!I269)</f>
        <v>0</v>
      </c>
      <c r="J161" s="276">
        <f t="array" ref="J161">IF(SUM($E270:I270)&lt;1,SUM(IF('11.销售及回款表'!$E$497:$AV$540=J269,'11.销售及回款表'!$E269:$AV269,0)),'11.销售及回款表'!J269)</f>
        <v>0</v>
      </c>
      <c r="K161" s="276">
        <f t="array" ref="K161">IF(SUM($E270:J270)&lt;1,SUM(IF('11.销售及回款表'!$E$497:$AV$540=K269,'11.销售及回款表'!$E269:$AV269,0)),'11.销售及回款表'!K269)</f>
        <v>0</v>
      </c>
      <c r="L161" s="277">
        <f t="array" ref="L161">IF(SUM($E270:K270)&lt;1,SUM(IF('11.销售及回款表'!$E$497:$AV$540=L269,'11.销售及回款表'!$E269:$AV269,0)),'11.销售及回款表'!L269)</f>
        <v>0</v>
      </c>
      <c r="M161" s="275">
        <f t="array" ref="M161">IF(SUM($E270:L270)&lt;1,SUM(IF('11.销售及回款表'!$E$497:$AV$540=M269,'11.销售及回款表'!$E269:$AV269,0)),'11.销售及回款表'!M269)</f>
        <v>0</v>
      </c>
      <c r="N161" s="276">
        <f t="array" ref="N161">IF(SUM($E270:M270)&lt;1,SUM(IF('11.销售及回款表'!$E$497:$AV$540=N269,'11.销售及回款表'!$E269:$AV269,0)),'11.销售及回款表'!N269)</f>
        <v>0</v>
      </c>
      <c r="O161" s="276">
        <f t="array" ref="O161">IF(SUM($E270:N270)&lt;1,SUM(IF('11.销售及回款表'!$E$497:$AV$540=O269,'11.销售及回款表'!$E269:$AV269,0)),'11.销售及回款表'!O269)</f>
        <v>0</v>
      </c>
      <c r="P161" s="277">
        <f t="array" ref="P161">IF(SUM($E270:O270)&lt;1,SUM(IF('11.销售及回款表'!$E$497:$AV$540=P269,'11.销售及回款表'!$E269:$AV269,0)),'11.销售及回款表'!P269)</f>
        <v>0</v>
      </c>
      <c r="Q161" s="275">
        <f t="array" ref="Q161">IF(SUM($E270:P270)&lt;1,SUM(IF('11.销售及回款表'!$E$497:$AV$540=Q269,'11.销售及回款表'!$E269:$AV269,0)),'11.销售及回款表'!Q269)</f>
        <v>0</v>
      </c>
      <c r="R161" s="276">
        <f t="array" ref="R161">IF(SUM($E270:Q270)&lt;1,SUM(IF('11.销售及回款表'!$E$497:$AV$540=R269,'11.销售及回款表'!$E269:$AV269,0)),'11.销售及回款表'!R269)</f>
        <v>0</v>
      </c>
      <c r="S161" s="276">
        <f t="array" ref="S161">IF(SUM($E270:R270)&lt;1,SUM(IF('11.销售及回款表'!$E$497:$AV$540=S269,'11.销售及回款表'!$E269:$AV269,0)),'11.销售及回款表'!S269)</f>
        <v>0</v>
      </c>
      <c r="T161" s="277">
        <f t="array" ref="T161">IF(SUM($E270:S270)&lt;1,SUM(IF('11.销售及回款表'!$E$497:$AV$540=T269,'11.销售及回款表'!$E269:$AV269,0)),'11.销售及回款表'!T269)</f>
        <v>0</v>
      </c>
      <c r="U161" s="275">
        <f t="array" ref="U161">IF(SUM($E270:T270)&lt;1,SUM(IF('11.销售及回款表'!$E$497:$AV$540=U269,'11.销售及回款表'!$E269:$AV269,0)),'11.销售及回款表'!U269)</f>
        <v>0</v>
      </c>
      <c r="V161" s="276">
        <f t="array" ref="V161">IF(SUM($E270:U270)&lt;1,SUM(IF('11.销售及回款表'!$E$497:$AV$540=V269,'11.销售及回款表'!$E269:$AV269,0)),'11.销售及回款表'!V269)</f>
        <v>0</v>
      </c>
      <c r="W161" s="276">
        <f t="array" ref="W161">IF(SUM($E270:V270)&lt;1,SUM(IF('11.销售及回款表'!$E$497:$AV$540=W269,'11.销售及回款表'!$E269:$AV269,0)),'11.销售及回款表'!W269)</f>
        <v>0</v>
      </c>
      <c r="X161" s="277">
        <f t="array" ref="X161">IF(SUM($E270:W270)&lt;1,SUM(IF('11.销售及回款表'!$E$497:$AV$540=X269,'11.销售及回款表'!$E269:$AV269,0)),'11.销售及回款表'!X269)</f>
        <v>0</v>
      </c>
      <c r="Y161" s="275">
        <f t="array" ref="Y161">IF(SUM($E270:X270)&lt;1,SUM(IF('11.销售及回款表'!$E$497:$AV$540=Y269,'11.销售及回款表'!$E269:$AV269,0)),'11.销售及回款表'!Y269)</f>
        <v>0</v>
      </c>
      <c r="Z161" s="276">
        <f t="array" ref="Z161">IF(SUM($E270:Y270)&lt;1,SUM(IF('11.销售及回款表'!$E$497:$AV$540=Z269,'11.销售及回款表'!$E269:$AV269,0)),'11.销售及回款表'!Z269)</f>
        <v>0</v>
      </c>
      <c r="AA161" s="276">
        <f t="array" ref="AA161">IF(SUM($E270:Z270)&lt;1,SUM(IF('11.销售及回款表'!$E$497:$AV$540=AA269,'11.销售及回款表'!$E269:$AV269,0)),'11.销售及回款表'!AA269)</f>
        <v>0</v>
      </c>
      <c r="AB161" s="277">
        <f t="array" ref="AB161">IF(SUM($E270:AA270)&lt;1,SUM(IF('11.销售及回款表'!$E$497:$AV$540=AB269,'11.销售及回款表'!$E269:$AV269,0)),'11.销售及回款表'!AB269)</f>
        <v>0</v>
      </c>
      <c r="AC161" s="275">
        <f t="array" ref="AC161">IF(SUM($E270:AB270)&lt;1,SUM(IF('11.销售及回款表'!$E$497:$AV$540=AC269,'11.销售及回款表'!$E269:$AV269,0)),'11.销售及回款表'!AC269)</f>
        <v>0</v>
      </c>
      <c r="AD161" s="276">
        <f t="array" ref="AD161">IF(SUM($E270:AC270)&lt;1,SUM(IF('11.销售及回款表'!$E$497:$AV$540=AD269,'11.销售及回款表'!$E269:$AV269,0)),'11.销售及回款表'!AD269)</f>
        <v>0</v>
      </c>
      <c r="AE161" s="276">
        <f t="array" ref="AE161">IF(SUM($E270:AD270)&lt;1,SUM(IF('11.销售及回款表'!$E$497:$AV$540=AE269,'11.销售及回款表'!$E269:$AV269,0)),'11.销售及回款表'!AE269)</f>
        <v>0</v>
      </c>
      <c r="AF161" s="277">
        <f t="array" ref="AF161">IF(SUM($E270:AE270)&lt;1,SUM(IF('11.销售及回款表'!$E$497:$AV$540=AF269,'11.销售及回款表'!$E269:$AV269,0)),'11.销售及回款表'!AF269)</f>
        <v>0</v>
      </c>
      <c r="AG161" s="275">
        <f t="array" ref="AG161">IF(SUM($E270:AF270)&lt;1,SUM(IF('11.销售及回款表'!$E$497:$AV$540=AG269,'11.销售及回款表'!$E269:$AV269,0)),'11.销售及回款表'!AG269)</f>
        <v>0</v>
      </c>
      <c r="AH161" s="276">
        <f t="array" ref="AH161">IF(SUM($E270:AG270)&lt;1,SUM(IF('11.销售及回款表'!$E$497:$AV$540=AH269,'11.销售及回款表'!$E269:$AV269,0)),'11.销售及回款表'!AH269)</f>
        <v>0</v>
      </c>
      <c r="AI161" s="276">
        <f t="array" ref="AI161">IF(SUM($E270:AH270)&lt;1,SUM(IF('11.销售及回款表'!$E$497:$AV$540=AI269,'11.销售及回款表'!$E269:$AV269,0)),'11.销售及回款表'!AI269)</f>
        <v>0</v>
      </c>
      <c r="AJ161" s="277">
        <f t="array" ref="AJ161">IF(SUM($E270:AI270)&lt;1,SUM(IF('11.销售及回款表'!$E$497:$AV$540=AJ269,'11.销售及回款表'!$E269:$AV269,0)),'11.销售及回款表'!AJ269)</f>
        <v>0</v>
      </c>
      <c r="AK161" s="275">
        <f t="array" ref="AK161">IF(SUM($E270:AJ270)&lt;1,SUM(IF('11.销售及回款表'!$E$497:$AV$540=AK269,'11.销售及回款表'!$E269:$AV269,0)),'11.销售及回款表'!AK269)</f>
        <v>0</v>
      </c>
      <c r="AL161" s="276">
        <f t="array" ref="AL161">IF(SUM($E270:AK270)&lt;1,SUM(IF('11.销售及回款表'!$E$497:$AV$540=AL269,'11.销售及回款表'!$E269:$AV269,0)),'11.销售及回款表'!AL269)</f>
        <v>0</v>
      </c>
      <c r="AM161" s="276">
        <f t="array" ref="AM161">IF(SUM($E270:AL270)&lt;1,SUM(IF('11.销售及回款表'!$E$497:$AV$540=AM269,'11.销售及回款表'!$E269:$AV269,0)),'11.销售及回款表'!AM269)</f>
        <v>0</v>
      </c>
      <c r="AN161" s="277">
        <f t="array" ref="AN161">IF(SUM($E270:AM270)&lt;1,SUM(IF('11.销售及回款表'!$E$497:$AV$540=AN269,'11.销售及回款表'!$E269:$AV269,0)),'11.销售及回款表'!AN269)</f>
        <v>0</v>
      </c>
      <c r="AO161" s="275">
        <f t="array" ref="AO161">IF(SUM($E270:AN270)&lt;1,SUM(IF('11.销售及回款表'!$E$497:$AV$540=AO269,'11.销售及回款表'!$E269:$AV269,0)),'11.销售及回款表'!AO269)</f>
        <v>0</v>
      </c>
      <c r="AP161" s="276">
        <f t="array" ref="AP161">IF(SUM($E270:AO270)&lt;1,SUM(IF('11.销售及回款表'!$E$497:$AV$540=AP269,'11.销售及回款表'!$E269:$AV269,0)),'11.销售及回款表'!AP269)</f>
        <v>0</v>
      </c>
      <c r="AQ161" s="276">
        <f t="array" ref="AQ161">IF(SUM($E270:AP270)&lt;1,SUM(IF('11.销售及回款表'!$E$497:$AV$540=AQ269,'11.销售及回款表'!$E269:$AV269,0)),'11.销售及回款表'!AQ269)</f>
        <v>0</v>
      </c>
      <c r="AR161" s="277">
        <f t="array" ref="AR161">IF(SUM($E270:AQ270)&lt;1,SUM(IF('11.销售及回款表'!$E$497:$AV$540=AR269,'11.销售及回款表'!$E269:$AV269,0)),'11.销售及回款表'!AR269)</f>
        <v>0</v>
      </c>
      <c r="AS161" s="275">
        <f t="array" ref="AS161">IF(SUM($E270:AR270)&lt;1,SUM(IF('11.销售及回款表'!$E$497:$AV$540=AS269,'11.销售及回款表'!$E269:$AV269,0)),'11.销售及回款表'!AS269)</f>
        <v>0</v>
      </c>
      <c r="AT161" s="276">
        <f t="array" ref="AT161">IF(SUM($E270:AS270)&lt;1,SUM(IF('11.销售及回款表'!$E$497:$AV$540=AT269,'11.销售及回款表'!$E269:$AV269,0)),'11.销售及回款表'!AT269)</f>
        <v>0</v>
      </c>
      <c r="AU161" s="276">
        <f t="array" ref="AU161">IF(SUM($E270:AT270)&lt;1,SUM(IF('11.销售及回款表'!$E$497:$AV$540=AU269,'11.销售及回款表'!$E269:$AV269,0)),'11.销售及回款表'!AU269)</f>
        <v>0</v>
      </c>
      <c r="AV161" s="277">
        <f t="array" ref="AV161">IF(SUM($E270:AU270)&lt;1,SUM(IF('11.销售及回款表'!$E$497:$AV$540=AV269,'11.销售及回款表'!$E269:$AV269,0)),'11.销售及回款表'!AV269)</f>
        <v>0</v>
      </c>
    </row>
    <row r="162" spans="2:48" s="257" customFormat="1" ht="15.75" customHeight="1" outlineLevel="1">
      <c r="B162" s="1980"/>
      <c r="C162" s="303" t="str">
        <f>'8.项目规划指标表'!$B$14</f>
        <v>自持物业</v>
      </c>
      <c r="D162" s="274">
        <f t="shared" si="32"/>
        <v>0</v>
      </c>
      <c r="E162" s="275">
        <f t="array" ref="E162">IF(SUM(D272:$E272)&lt;1,SUM(IF('11.销售及回款表'!$E$497:$AV$540=E271,'11.销售及回款表'!$E274:$AV274,0)),'11.销售及回款表'!E274)</f>
        <v>0</v>
      </c>
      <c r="F162" s="276">
        <f t="array" ref="F162">IF(SUM(E272:$E272)&lt;1,SUM(IF('11.销售及回款表'!$E$497:$AV$540=F271,'11.销售及回款表'!$E274:$AV274,0)),'11.销售及回款表'!F274)</f>
        <v>0</v>
      </c>
      <c r="G162" s="276">
        <f t="array" ref="G162">IF(SUM($E272:F272)&lt;1,SUM(IF('11.销售及回款表'!$E$497:$AV$540=G271,'11.销售及回款表'!$E274:$AV274,0)),'11.销售及回款表'!G274)</f>
        <v>0</v>
      </c>
      <c r="H162" s="277">
        <f t="array" ref="H162">IF(SUM($E272:G272)&lt;1,SUM(IF('11.销售及回款表'!$E$497:$AV$540=H271,'11.销售及回款表'!$E274:$AV274,0)),'11.销售及回款表'!H274)</f>
        <v>0</v>
      </c>
      <c r="I162" s="275">
        <f t="array" ref="I162">IF(SUM($E272:H272)&lt;1,SUM(IF('11.销售及回款表'!$E$497:$AV$540=I271,'11.销售及回款表'!$E274:$AV274,0)),'11.销售及回款表'!I274)</f>
        <v>0</v>
      </c>
      <c r="J162" s="276">
        <f t="array" ref="J162">IF(SUM($E272:I272)&lt;1,SUM(IF('11.销售及回款表'!$E$497:$AV$540=J271,'11.销售及回款表'!$E274:$AV274,0)),'11.销售及回款表'!J274)</f>
        <v>0</v>
      </c>
      <c r="K162" s="276">
        <f t="array" ref="K162">IF(SUM($E272:J272)&lt;1,SUM(IF('11.销售及回款表'!$E$497:$AV$540=K271,'11.销售及回款表'!$E274:$AV274,0)),'11.销售及回款表'!K274)</f>
        <v>0</v>
      </c>
      <c r="L162" s="277">
        <f t="array" ref="L162">IF(SUM($E272:K272)&lt;1,SUM(IF('11.销售及回款表'!$E$497:$AV$540=L271,'11.销售及回款表'!$E274:$AV274,0)),'11.销售及回款表'!L274)</f>
        <v>0</v>
      </c>
      <c r="M162" s="275">
        <f t="array" ref="M162">IF(SUM($E272:L272)&lt;1,SUM(IF('11.销售及回款表'!$E$497:$AV$540=M271,'11.销售及回款表'!$E274:$AV274,0)),'11.销售及回款表'!M274)</f>
        <v>0</v>
      </c>
      <c r="N162" s="276">
        <f t="array" ref="N162">IF(SUM($E272:M272)&lt;1,SUM(IF('11.销售及回款表'!$E$497:$AV$540=N271,'11.销售及回款表'!$E274:$AV274,0)),'11.销售及回款表'!N274)</f>
        <v>0</v>
      </c>
      <c r="O162" s="276">
        <f t="array" ref="O162">IF(SUM($E272:N272)&lt;1,SUM(IF('11.销售及回款表'!$E$497:$AV$540=O271,'11.销售及回款表'!$E274:$AV274,0)),'11.销售及回款表'!O274)</f>
        <v>0</v>
      </c>
      <c r="P162" s="277">
        <f t="array" ref="P162">IF(SUM($E272:O272)&lt;1,SUM(IF('11.销售及回款表'!$E$497:$AV$540=P271,'11.销售及回款表'!$E274:$AV274,0)),'11.销售及回款表'!P274)</f>
        <v>0</v>
      </c>
      <c r="Q162" s="275">
        <f t="array" ref="Q162">IF(SUM($E272:P272)&lt;1,SUM(IF('11.销售及回款表'!$E$497:$AV$540=Q271,'11.销售及回款表'!$E274:$AV274,0)),'11.销售及回款表'!Q274)</f>
        <v>0</v>
      </c>
      <c r="R162" s="276">
        <f t="array" ref="R162">IF(SUM($E272:Q272)&lt;1,SUM(IF('11.销售及回款表'!$E$497:$AV$540=R271,'11.销售及回款表'!$E274:$AV274,0)),'11.销售及回款表'!R274)</f>
        <v>0</v>
      </c>
      <c r="S162" s="276">
        <f t="array" ref="S162">IF(SUM($E272:R272)&lt;1,SUM(IF('11.销售及回款表'!$E$497:$AV$540=S271,'11.销售及回款表'!$E274:$AV274,0)),'11.销售及回款表'!S274)</f>
        <v>0</v>
      </c>
      <c r="T162" s="277">
        <f t="array" ref="T162">IF(SUM($E272:S272)&lt;1,SUM(IF('11.销售及回款表'!$E$497:$AV$540=T271,'11.销售及回款表'!$E274:$AV274,0)),'11.销售及回款表'!T274)</f>
        <v>0</v>
      </c>
      <c r="U162" s="275">
        <f t="array" ref="U162">IF(SUM($E272:T272)&lt;1,SUM(IF('11.销售及回款表'!$E$497:$AV$540=U271,'11.销售及回款表'!$E274:$AV274,0)),'11.销售及回款表'!U274)</f>
        <v>0</v>
      </c>
      <c r="V162" s="276">
        <f t="array" ref="V162">IF(SUM($E272:U272)&lt;1,SUM(IF('11.销售及回款表'!$E$497:$AV$540=V271,'11.销售及回款表'!$E274:$AV274,0)),'11.销售及回款表'!V274)</f>
        <v>0</v>
      </c>
      <c r="W162" s="276">
        <f t="array" ref="W162">IF(SUM($E272:V272)&lt;1,SUM(IF('11.销售及回款表'!$E$497:$AV$540=W271,'11.销售及回款表'!$E274:$AV274,0)),'11.销售及回款表'!W274)</f>
        <v>0</v>
      </c>
      <c r="X162" s="277">
        <f t="array" ref="X162">IF(SUM($E272:W272)&lt;1,SUM(IF('11.销售及回款表'!$E$497:$AV$540=X271,'11.销售及回款表'!$E274:$AV274,0)),'11.销售及回款表'!X274)</f>
        <v>0</v>
      </c>
      <c r="Y162" s="275">
        <f t="array" ref="Y162">IF(SUM($E272:X272)&lt;1,SUM(IF('11.销售及回款表'!$E$497:$AV$540=Y271,'11.销售及回款表'!$E274:$AV274,0)),'11.销售及回款表'!Y274)</f>
        <v>0</v>
      </c>
      <c r="Z162" s="276">
        <f t="array" ref="Z162">IF(SUM($E272:Y272)&lt;1,SUM(IF('11.销售及回款表'!$E$497:$AV$540=Z271,'11.销售及回款表'!$E274:$AV274,0)),'11.销售及回款表'!Z274)</f>
        <v>0</v>
      </c>
      <c r="AA162" s="276">
        <f t="array" ref="AA162">IF(SUM($E272:Z272)&lt;1,SUM(IF('11.销售及回款表'!$E$497:$AV$540=AA271,'11.销售及回款表'!$E274:$AV274,0)),'11.销售及回款表'!AA274)</f>
        <v>0</v>
      </c>
      <c r="AB162" s="277">
        <f t="array" ref="AB162">IF(SUM($E272:AA272)&lt;1,SUM(IF('11.销售及回款表'!$E$497:$AV$540=AB271,'11.销售及回款表'!$E274:$AV274,0)),'11.销售及回款表'!AB274)</f>
        <v>0</v>
      </c>
      <c r="AC162" s="275">
        <f t="array" ref="AC162">IF(SUM($E272:AB272)&lt;1,SUM(IF('11.销售及回款表'!$E$497:$AV$540=AC271,'11.销售及回款表'!$E274:$AV274,0)),'11.销售及回款表'!AC274)</f>
        <v>0</v>
      </c>
      <c r="AD162" s="276">
        <f t="array" ref="AD162">IF(SUM($E272:AC272)&lt;1,SUM(IF('11.销售及回款表'!$E$497:$AV$540=AD271,'11.销售及回款表'!$E274:$AV274,0)),'11.销售及回款表'!AD274)</f>
        <v>0</v>
      </c>
      <c r="AE162" s="276">
        <f t="array" ref="AE162">IF(SUM($E272:AD272)&lt;1,SUM(IF('11.销售及回款表'!$E$497:$AV$540=AE271,'11.销售及回款表'!$E274:$AV274,0)),'11.销售及回款表'!AE274)</f>
        <v>0</v>
      </c>
      <c r="AF162" s="277">
        <f t="array" ref="AF162">IF(SUM($E272:AE272)&lt;1,SUM(IF('11.销售及回款表'!$E$497:$AV$540=AF271,'11.销售及回款表'!$E274:$AV274,0)),'11.销售及回款表'!AF274)</f>
        <v>0</v>
      </c>
      <c r="AG162" s="275">
        <f t="array" ref="AG162">IF(SUM($E272:AF272)&lt;1,SUM(IF('11.销售及回款表'!$E$497:$AV$540=AG271,'11.销售及回款表'!$E274:$AV274,0)),'11.销售及回款表'!AG274)</f>
        <v>0</v>
      </c>
      <c r="AH162" s="276">
        <f t="array" ref="AH162">IF(SUM($E272:AG272)&lt;1,SUM(IF('11.销售及回款表'!$E$497:$AV$540=AH271,'11.销售及回款表'!$E274:$AV274,0)),'11.销售及回款表'!AH274)</f>
        <v>0</v>
      </c>
      <c r="AI162" s="276">
        <f t="array" ref="AI162">IF(SUM($E272:AH272)&lt;1,SUM(IF('11.销售及回款表'!$E$497:$AV$540=AI271,'11.销售及回款表'!$E274:$AV274,0)),'11.销售及回款表'!AI274)</f>
        <v>0</v>
      </c>
      <c r="AJ162" s="277">
        <f t="array" ref="AJ162">IF(SUM($E272:AI272)&lt;1,SUM(IF('11.销售及回款表'!$E$497:$AV$540=AJ271,'11.销售及回款表'!$E274:$AV274,0)),'11.销售及回款表'!AJ274)</f>
        <v>0</v>
      </c>
      <c r="AK162" s="275">
        <f t="array" ref="AK162">IF(SUM($E272:AJ272)&lt;1,SUM(IF('11.销售及回款表'!$E$497:$AV$540=AK271,'11.销售及回款表'!$E274:$AV274,0)),'11.销售及回款表'!AK274)</f>
        <v>0</v>
      </c>
      <c r="AL162" s="276">
        <f t="array" ref="AL162">IF(SUM($E272:AK272)&lt;1,SUM(IF('11.销售及回款表'!$E$497:$AV$540=AL271,'11.销售及回款表'!$E274:$AV274,0)),'11.销售及回款表'!AL274)</f>
        <v>0</v>
      </c>
      <c r="AM162" s="276">
        <f t="array" ref="AM162">IF(SUM($E272:AL272)&lt;1,SUM(IF('11.销售及回款表'!$E$497:$AV$540=AM271,'11.销售及回款表'!$E274:$AV274,0)),'11.销售及回款表'!AM274)</f>
        <v>0</v>
      </c>
      <c r="AN162" s="277">
        <f t="array" ref="AN162">IF(SUM($E272:AM272)&lt;1,SUM(IF('11.销售及回款表'!$E$497:$AV$540=AN271,'11.销售及回款表'!$E274:$AV274,0)),'11.销售及回款表'!AN274)</f>
        <v>0</v>
      </c>
      <c r="AO162" s="275">
        <f t="array" ref="AO162">IF(SUM($E272:AN272)&lt;1,SUM(IF('11.销售及回款表'!$E$497:$AV$540=AO271,'11.销售及回款表'!$E274:$AV274,0)),'11.销售及回款表'!AO274)</f>
        <v>0</v>
      </c>
      <c r="AP162" s="276">
        <f t="array" ref="AP162">IF(SUM($E272:AO272)&lt;1,SUM(IF('11.销售及回款表'!$E$497:$AV$540=AP271,'11.销售及回款表'!$E274:$AV274,0)),'11.销售及回款表'!AP274)</f>
        <v>0</v>
      </c>
      <c r="AQ162" s="276">
        <f t="array" ref="AQ162">IF(SUM($E272:AP272)&lt;1,SUM(IF('11.销售及回款表'!$E$497:$AV$540=AQ271,'11.销售及回款表'!$E274:$AV274,0)),'11.销售及回款表'!AQ274)</f>
        <v>0</v>
      </c>
      <c r="AR162" s="277">
        <f t="array" ref="AR162">IF(SUM($E272:AQ272)&lt;1,SUM(IF('11.销售及回款表'!$E$497:$AV$540=AR271,'11.销售及回款表'!$E274:$AV274,0)),'11.销售及回款表'!AR274)</f>
        <v>0</v>
      </c>
      <c r="AS162" s="275">
        <f t="array" ref="AS162">IF(SUM($E272:AR272)&lt;1,SUM(IF('11.销售及回款表'!$E$497:$AV$540=AS271,'11.销售及回款表'!$E274:$AV274,0)),'11.销售及回款表'!AS274)</f>
        <v>0</v>
      </c>
      <c r="AT162" s="276">
        <f t="array" ref="AT162">IF(SUM($E272:AS272)&lt;1,SUM(IF('11.销售及回款表'!$E$497:$AV$540=AT271,'11.销售及回款表'!$E274:$AV274,0)),'11.销售及回款表'!AT274)</f>
        <v>0</v>
      </c>
      <c r="AU162" s="276">
        <f t="array" ref="AU162">IF(SUM($E272:AT272)&lt;1,SUM(IF('11.销售及回款表'!$E$497:$AV$540=AU271,'11.销售及回款表'!$E274:$AV274,0)),'11.销售及回款表'!AU274)</f>
        <v>0</v>
      </c>
      <c r="AV162" s="277">
        <f t="array" ref="AV162">IF(SUM($E272:AU272)&lt;1,SUM(IF('11.销售及回款表'!$E$497:$AV$540=AV271,'11.销售及回款表'!$E274:$AV274,0)),'11.销售及回款表'!AV274)</f>
        <v>0</v>
      </c>
    </row>
    <row r="163" spans="2:48" s="257" customFormat="1" ht="15.75" customHeight="1" outlineLevel="1">
      <c r="B163" s="1980"/>
      <c r="C163" s="303" t="str">
        <f>'8.项目规划指标表'!$B$18</f>
        <v>有产权车库(个)</v>
      </c>
      <c r="D163" s="274">
        <f t="shared" si="32"/>
        <v>0</v>
      </c>
      <c r="E163" s="275">
        <f t="array" ref="E163">IF(SUM(D274:$E274)&lt;1,SUM(IF('11.销售及回款表'!$E$497:$AV$540=E273,'11.销售及回款表'!$E279:$AV279,0)),'11.销售及回款表'!E279)</f>
        <v>0</v>
      </c>
      <c r="F163" s="276">
        <f t="array" ref="F163">IF(SUM(E274:$E274)&lt;1,SUM(IF('11.销售及回款表'!$E$497:$AV$540=F273,'11.销售及回款表'!$E279:$AV279,0)),'11.销售及回款表'!F279)</f>
        <v>0</v>
      </c>
      <c r="G163" s="276">
        <f t="array" ref="G163">IF(SUM($E274:F274)&lt;1,SUM(IF('11.销售及回款表'!$E$497:$AV$540=G273,'11.销售及回款表'!$E279:$AV279,0)),'11.销售及回款表'!G279)</f>
        <v>0</v>
      </c>
      <c r="H163" s="277">
        <f t="array" ref="H163">IF(SUM($E274:G274)&lt;1,SUM(IF('11.销售及回款表'!$E$497:$AV$540=H273,'11.销售及回款表'!$E279:$AV279,0)),'11.销售及回款表'!H279)</f>
        <v>0</v>
      </c>
      <c r="I163" s="275">
        <f t="array" ref="I163">IF(SUM($E274:H274)&lt;1,SUM(IF('11.销售及回款表'!$E$497:$AV$540=I273,'11.销售及回款表'!$E279:$AV279,0)),'11.销售及回款表'!I279)</f>
        <v>0</v>
      </c>
      <c r="J163" s="276">
        <f t="array" ref="J163">IF(SUM($E274:I274)&lt;1,SUM(IF('11.销售及回款表'!$E$497:$AV$540=J273,'11.销售及回款表'!$E279:$AV279,0)),'11.销售及回款表'!J279)</f>
        <v>0</v>
      </c>
      <c r="K163" s="276">
        <f t="array" ref="K163">IF(SUM($E274:J274)&lt;1,SUM(IF('11.销售及回款表'!$E$497:$AV$540=K273,'11.销售及回款表'!$E279:$AV279,0)),'11.销售及回款表'!K279)</f>
        <v>0</v>
      </c>
      <c r="L163" s="277">
        <f t="array" ref="L163">IF(SUM($E274:K274)&lt;1,SUM(IF('11.销售及回款表'!$E$497:$AV$540=L273,'11.销售及回款表'!$E279:$AV279,0)),'11.销售及回款表'!L279)</f>
        <v>0</v>
      </c>
      <c r="M163" s="275">
        <f t="array" ref="M163">IF(SUM($E274:L274)&lt;1,SUM(IF('11.销售及回款表'!$E$497:$AV$540=M273,'11.销售及回款表'!$E279:$AV279,0)),'11.销售及回款表'!M279)</f>
        <v>0</v>
      </c>
      <c r="N163" s="276">
        <f t="array" ref="N163">IF(SUM($E274:M274)&lt;1,SUM(IF('11.销售及回款表'!$E$497:$AV$540=N273,'11.销售及回款表'!$E279:$AV279,0)),'11.销售及回款表'!N279)</f>
        <v>0</v>
      </c>
      <c r="O163" s="276">
        <f t="array" ref="O163">IF(SUM($E274:N274)&lt;1,SUM(IF('11.销售及回款表'!$E$497:$AV$540=O273,'11.销售及回款表'!$E279:$AV279,0)),'11.销售及回款表'!O279)</f>
        <v>0</v>
      </c>
      <c r="P163" s="277">
        <f t="array" ref="P163">IF(SUM($E274:O274)&lt;1,SUM(IF('11.销售及回款表'!$E$497:$AV$540=P273,'11.销售及回款表'!$E279:$AV279,0)),'11.销售及回款表'!P279)</f>
        <v>0</v>
      </c>
      <c r="Q163" s="275">
        <f t="array" ref="Q163">IF(SUM($E274:P274)&lt;1,SUM(IF('11.销售及回款表'!$E$497:$AV$540=Q273,'11.销售及回款表'!$E279:$AV279,0)),'11.销售及回款表'!Q279)</f>
        <v>0</v>
      </c>
      <c r="R163" s="276">
        <f t="array" ref="R163">IF(SUM($E274:Q274)&lt;1,SUM(IF('11.销售及回款表'!$E$497:$AV$540=R273,'11.销售及回款表'!$E279:$AV279,0)),'11.销售及回款表'!R279)</f>
        <v>0</v>
      </c>
      <c r="S163" s="276">
        <f t="array" ref="S163">IF(SUM($E274:R274)&lt;1,SUM(IF('11.销售及回款表'!$E$497:$AV$540=S273,'11.销售及回款表'!$E279:$AV279,0)),'11.销售及回款表'!S279)</f>
        <v>0</v>
      </c>
      <c r="T163" s="277">
        <f t="array" ref="T163">IF(SUM($E274:S274)&lt;1,SUM(IF('11.销售及回款表'!$E$497:$AV$540=T273,'11.销售及回款表'!$E279:$AV279,0)),'11.销售及回款表'!T279)</f>
        <v>0</v>
      </c>
      <c r="U163" s="275">
        <f t="array" ref="U163">IF(SUM($E274:T274)&lt;1,SUM(IF('11.销售及回款表'!$E$497:$AV$540=U273,'11.销售及回款表'!$E279:$AV279,0)),'11.销售及回款表'!U279)</f>
        <v>0</v>
      </c>
      <c r="V163" s="276">
        <f t="array" ref="V163">IF(SUM($E274:U274)&lt;1,SUM(IF('11.销售及回款表'!$E$497:$AV$540=V273,'11.销售及回款表'!$E279:$AV279,0)),'11.销售及回款表'!V279)</f>
        <v>0</v>
      </c>
      <c r="W163" s="276">
        <f t="array" ref="W163">IF(SUM($E274:V274)&lt;1,SUM(IF('11.销售及回款表'!$E$497:$AV$540=W273,'11.销售及回款表'!$E279:$AV279,0)),'11.销售及回款表'!W279)</f>
        <v>0</v>
      </c>
      <c r="X163" s="277">
        <f t="array" ref="X163">IF(SUM($E274:W274)&lt;1,SUM(IF('11.销售及回款表'!$E$497:$AV$540=X273,'11.销售及回款表'!$E279:$AV279,0)),'11.销售及回款表'!X279)</f>
        <v>0</v>
      </c>
      <c r="Y163" s="275">
        <f t="array" ref="Y163">IF(SUM($E274:X274)&lt;1,SUM(IF('11.销售及回款表'!$E$497:$AV$540=Y273,'11.销售及回款表'!$E279:$AV279,0)),'11.销售及回款表'!Y279)</f>
        <v>0</v>
      </c>
      <c r="Z163" s="276">
        <f t="array" ref="Z163">IF(SUM($E274:Y274)&lt;1,SUM(IF('11.销售及回款表'!$E$497:$AV$540=Z273,'11.销售及回款表'!$E279:$AV279,0)),'11.销售及回款表'!Z279)</f>
        <v>0</v>
      </c>
      <c r="AA163" s="276">
        <f t="array" ref="AA163">IF(SUM($E274:Z274)&lt;1,SUM(IF('11.销售及回款表'!$E$497:$AV$540=AA273,'11.销售及回款表'!$E279:$AV279,0)),'11.销售及回款表'!AA279)</f>
        <v>0</v>
      </c>
      <c r="AB163" s="277">
        <f t="array" ref="AB163">IF(SUM($E274:AA274)&lt;1,SUM(IF('11.销售及回款表'!$E$497:$AV$540=AB273,'11.销售及回款表'!$E279:$AV279,0)),'11.销售及回款表'!AB279)</f>
        <v>0</v>
      </c>
      <c r="AC163" s="275">
        <f t="array" ref="AC163">IF(SUM($E274:AB274)&lt;1,SUM(IF('11.销售及回款表'!$E$497:$AV$540=AC273,'11.销售及回款表'!$E279:$AV279,0)),'11.销售及回款表'!AC279)</f>
        <v>0</v>
      </c>
      <c r="AD163" s="276">
        <f t="array" ref="AD163">IF(SUM($E274:AC274)&lt;1,SUM(IF('11.销售及回款表'!$E$497:$AV$540=AD273,'11.销售及回款表'!$E279:$AV279,0)),'11.销售及回款表'!AD279)</f>
        <v>0</v>
      </c>
      <c r="AE163" s="276">
        <f t="array" ref="AE163">IF(SUM($E274:AD274)&lt;1,SUM(IF('11.销售及回款表'!$E$497:$AV$540=AE273,'11.销售及回款表'!$E279:$AV279,0)),'11.销售及回款表'!AE279)</f>
        <v>0</v>
      </c>
      <c r="AF163" s="277">
        <f t="array" ref="AF163">IF(SUM($E274:AE274)&lt;1,SUM(IF('11.销售及回款表'!$E$497:$AV$540=AF273,'11.销售及回款表'!$E279:$AV279,0)),'11.销售及回款表'!AF279)</f>
        <v>0</v>
      </c>
      <c r="AG163" s="275">
        <f t="array" ref="AG163">IF(SUM($E274:AF274)&lt;1,SUM(IF('11.销售及回款表'!$E$497:$AV$540=AG273,'11.销售及回款表'!$E279:$AV279,0)),'11.销售及回款表'!AG279)</f>
        <v>0</v>
      </c>
      <c r="AH163" s="276">
        <f t="array" ref="AH163">IF(SUM($E274:AG274)&lt;1,SUM(IF('11.销售及回款表'!$E$497:$AV$540=AH273,'11.销售及回款表'!$E279:$AV279,0)),'11.销售及回款表'!AH279)</f>
        <v>0</v>
      </c>
      <c r="AI163" s="276">
        <f t="array" ref="AI163">IF(SUM($E274:AH274)&lt;1,SUM(IF('11.销售及回款表'!$E$497:$AV$540=AI273,'11.销售及回款表'!$E279:$AV279,0)),'11.销售及回款表'!AI279)</f>
        <v>0</v>
      </c>
      <c r="AJ163" s="277">
        <f t="array" ref="AJ163">IF(SUM($E274:AI274)&lt;1,SUM(IF('11.销售及回款表'!$E$497:$AV$540=AJ273,'11.销售及回款表'!$E279:$AV279,0)),'11.销售及回款表'!AJ279)</f>
        <v>0</v>
      </c>
      <c r="AK163" s="275">
        <f t="array" ref="AK163">IF(SUM($E274:AJ274)&lt;1,SUM(IF('11.销售及回款表'!$E$497:$AV$540=AK273,'11.销售及回款表'!$E279:$AV279,0)),'11.销售及回款表'!AK279)</f>
        <v>0</v>
      </c>
      <c r="AL163" s="276">
        <f t="array" ref="AL163">IF(SUM($E274:AK274)&lt;1,SUM(IF('11.销售及回款表'!$E$497:$AV$540=AL273,'11.销售及回款表'!$E279:$AV279,0)),'11.销售及回款表'!AL279)</f>
        <v>0</v>
      </c>
      <c r="AM163" s="276">
        <f t="array" ref="AM163">IF(SUM($E274:AL274)&lt;1,SUM(IF('11.销售及回款表'!$E$497:$AV$540=AM273,'11.销售及回款表'!$E279:$AV279,0)),'11.销售及回款表'!AM279)</f>
        <v>0</v>
      </c>
      <c r="AN163" s="277">
        <f t="array" ref="AN163">IF(SUM($E274:AM274)&lt;1,SUM(IF('11.销售及回款表'!$E$497:$AV$540=AN273,'11.销售及回款表'!$E279:$AV279,0)),'11.销售及回款表'!AN279)</f>
        <v>0</v>
      </c>
      <c r="AO163" s="275">
        <f t="array" ref="AO163">IF(SUM($E274:AN274)&lt;1,SUM(IF('11.销售及回款表'!$E$497:$AV$540=AO273,'11.销售及回款表'!$E279:$AV279,0)),'11.销售及回款表'!AO279)</f>
        <v>0</v>
      </c>
      <c r="AP163" s="276">
        <f t="array" ref="AP163">IF(SUM($E274:AO274)&lt;1,SUM(IF('11.销售及回款表'!$E$497:$AV$540=AP273,'11.销售及回款表'!$E279:$AV279,0)),'11.销售及回款表'!AP279)</f>
        <v>0</v>
      </c>
      <c r="AQ163" s="276">
        <f t="array" ref="AQ163">IF(SUM($E274:AP274)&lt;1,SUM(IF('11.销售及回款表'!$E$497:$AV$540=AQ273,'11.销售及回款表'!$E279:$AV279,0)),'11.销售及回款表'!AQ279)</f>
        <v>0</v>
      </c>
      <c r="AR163" s="277">
        <f t="array" ref="AR163">IF(SUM($E274:AQ274)&lt;1,SUM(IF('11.销售及回款表'!$E$497:$AV$540=AR273,'11.销售及回款表'!$E279:$AV279,0)),'11.销售及回款表'!AR279)</f>
        <v>0</v>
      </c>
      <c r="AS163" s="275">
        <f t="array" ref="AS163">IF(SUM($E274:AR274)&lt;1,SUM(IF('11.销售及回款表'!$E$497:$AV$540=AS273,'11.销售及回款表'!$E279:$AV279,0)),'11.销售及回款表'!AS279)</f>
        <v>0</v>
      </c>
      <c r="AT163" s="276">
        <f t="array" ref="AT163">IF(SUM($E274:AS274)&lt;1,SUM(IF('11.销售及回款表'!$E$497:$AV$540=AT273,'11.销售及回款表'!$E279:$AV279,0)),'11.销售及回款表'!AT279)</f>
        <v>0</v>
      </c>
      <c r="AU163" s="276">
        <f t="array" ref="AU163">IF(SUM($E274:AT274)&lt;1,SUM(IF('11.销售及回款表'!$E$497:$AV$540=AU273,'11.销售及回款表'!$E279:$AV279,0)),'11.销售及回款表'!AU279)</f>
        <v>0</v>
      </c>
      <c r="AV163" s="277">
        <f t="array" ref="AV163">IF(SUM($E274:AU274)&lt;1,SUM(IF('11.销售及回款表'!$E$497:$AV$540=AV273,'11.销售及回款表'!$E279:$AV279,0)),'11.销售及回款表'!AV279)</f>
        <v>0</v>
      </c>
    </row>
    <row r="164" spans="2:48" s="257" customFormat="1" ht="15.75" customHeight="1" outlineLevel="1">
      <c r="B164" s="1980"/>
      <c r="C164" s="303" t="str">
        <f>'8.项目规划指标表'!$B$19</f>
        <v>无产权车库(个)</v>
      </c>
      <c r="D164" s="274">
        <f t="shared" si="32"/>
        <v>0</v>
      </c>
      <c r="E164" s="275">
        <f t="array" ref="E164">IF(SUM(D276:$E276)&lt;1,SUM(IF('11.销售及回款表'!$E$497:$AV$540=E275,'11.销售及回款表'!$E284:$AV284,0)),'11.销售及回款表'!E284)</f>
        <v>0</v>
      </c>
      <c r="F164" s="276">
        <f t="array" ref="F164">IF(SUM(E276:$E276)&lt;1,SUM(IF('11.销售及回款表'!$E$497:$AV$540=F275,'11.销售及回款表'!$E284:$AV284,0)),'11.销售及回款表'!F284)</f>
        <v>0</v>
      </c>
      <c r="G164" s="276">
        <f t="array" ref="G164">IF(SUM($E276:F276)&lt;1,SUM(IF('11.销售及回款表'!$E$497:$AV$540=G275,'11.销售及回款表'!$E284:$AV284,0)),'11.销售及回款表'!G284)</f>
        <v>0</v>
      </c>
      <c r="H164" s="277">
        <f t="array" ref="H164">IF(SUM($E276:G276)&lt;1,SUM(IF('11.销售及回款表'!$E$497:$AV$540=H275,'11.销售及回款表'!$E284:$AV284,0)),'11.销售及回款表'!H284)</f>
        <v>0</v>
      </c>
      <c r="I164" s="275">
        <f t="array" ref="I164">IF(SUM($E276:H276)&lt;1,SUM(IF('11.销售及回款表'!$E$497:$AV$540=I275,'11.销售及回款表'!$E284:$AV284,0)),'11.销售及回款表'!I284)</f>
        <v>0</v>
      </c>
      <c r="J164" s="276">
        <f t="array" ref="J164">IF(SUM($E276:I276)&lt;1,SUM(IF('11.销售及回款表'!$E$497:$AV$540=J275,'11.销售及回款表'!$E284:$AV284,0)),'11.销售及回款表'!J284)</f>
        <v>0</v>
      </c>
      <c r="K164" s="276">
        <f t="array" ref="K164">IF(SUM($E276:J276)&lt;1,SUM(IF('11.销售及回款表'!$E$497:$AV$540=K275,'11.销售及回款表'!$E284:$AV284,0)),'11.销售及回款表'!K284)</f>
        <v>0</v>
      </c>
      <c r="L164" s="277">
        <f t="array" ref="L164">IF(SUM($E276:K276)&lt;1,SUM(IF('11.销售及回款表'!$E$497:$AV$540=L275,'11.销售及回款表'!$E284:$AV284,0)),'11.销售及回款表'!L284)</f>
        <v>0</v>
      </c>
      <c r="M164" s="275">
        <f t="array" ref="M164">IF(SUM($E276:L276)&lt;1,SUM(IF('11.销售及回款表'!$E$497:$AV$540=M275,'11.销售及回款表'!$E284:$AV284,0)),'11.销售及回款表'!M284)</f>
        <v>0</v>
      </c>
      <c r="N164" s="276">
        <f t="array" ref="N164">IF(SUM($E276:M276)&lt;1,SUM(IF('11.销售及回款表'!$E$497:$AV$540=N275,'11.销售及回款表'!$E284:$AV284,0)),'11.销售及回款表'!N284)</f>
        <v>0</v>
      </c>
      <c r="O164" s="276">
        <f t="array" ref="O164">IF(SUM($E276:N276)&lt;1,SUM(IF('11.销售及回款表'!$E$497:$AV$540=O275,'11.销售及回款表'!$E284:$AV284,0)),'11.销售及回款表'!O284)</f>
        <v>0</v>
      </c>
      <c r="P164" s="277">
        <f t="array" ref="P164">IF(SUM($E276:O276)&lt;1,SUM(IF('11.销售及回款表'!$E$497:$AV$540=P275,'11.销售及回款表'!$E284:$AV284,0)),'11.销售及回款表'!P284)</f>
        <v>0</v>
      </c>
      <c r="Q164" s="275">
        <f t="array" ref="Q164">IF(SUM($E276:P276)&lt;1,SUM(IF('11.销售及回款表'!$E$497:$AV$540=Q275,'11.销售及回款表'!$E284:$AV284,0)),'11.销售及回款表'!Q284)</f>
        <v>0</v>
      </c>
      <c r="R164" s="276">
        <f t="array" ref="R164">IF(SUM($E276:Q276)&lt;1,SUM(IF('11.销售及回款表'!$E$497:$AV$540=R275,'11.销售及回款表'!$E284:$AV284,0)),'11.销售及回款表'!R284)</f>
        <v>0</v>
      </c>
      <c r="S164" s="276">
        <f t="array" ref="S164">IF(SUM($E276:R276)&lt;1,SUM(IF('11.销售及回款表'!$E$497:$AV$540=S275,'11.销售及回款表'!$E284:$AV284,0)),'11.销售及回款表'!S284)</f>
        <v>0</v>
      </c>
      <c r="T164" s="277">
        <f t="array" ref="T164">IF(SUM($E276:S276)&lt;1,SUM(IF('11.销售及回款表'!$E$497:$AV$540=T275,'11.销售及回款表'!$E284:$AV284,0)),'11.销售及回款表'!T284)</f>
        <v>0</v>
      </c>
      <c r="U164" s="275">
        <f t="array" ref="U164">IF(SUM($E276:T276)&lt;1,SUM(IF('11.销售及回款表'!$E$497:$AV$540=U275,'11.销售及回款表'!$E284:$AV284,0)),'11.销售及回款表'!U284)</f>
        <v>0</v>
      </c>
      <c r="V164" s="276">
        <f t="array" ref="V164">IF(SUM($E276:U276)&lt;1,SUM(IF('11.销售及回款表'!$E$497:$AV$540=V275,'11.销售及回款表'!$E284:$AV284,0)),'11.销售及回款表'!V284)</f>
        <v>0</v>
      </c>
      <c r="W164" s="276">
        <f t="array" ref="W164">IF(SUM($E276:V276)&lt;1,SUM(IF('11.销售及回款表'!$E$497:$AV$540=W275,'11.销售及回款表'!$E284:$AV284,0)),'11.销售及回款表'!W284)</f>
        <v>0</v>
      </c>
      <c r="X164" s="277">
        <f t="array" ref="X164">IF(SUM($E276:W276)&lt;1,SUM(IF('11.销售及回款表'!$E$497:$AV$540=X275,'11.销售及回款表'!$E284:$AV284,0)),'11.销售及回款表'!X284)</f>
        <v>0</v>
      </c>
      <c r="Y164" s="275">
        <f t="array" ref="Y164">IF(SUM($E276:X276)&lt;1,SUM(IF('11.销售及回款表'!$E$497:$AV$540=Y275,'11.销售及回款表'!$E284:$AV284,0)),'11.销售及回款表'!Y284)</f>
        <v>0</v>
      </c>
      <c r="Z164" s="276">
        <f t="array" ref="Z164">IF(SUM($E276:Y276)&lt;1,SUM(IF('11.销售及回款表'!$E$497:$AV$540=Z275,'11.销售及回款表'!$E284:$AV284,0)),'11.销售及回款表'!Z284)</f>
        <v>0</v>
      </c>
      <c r="AA164" s="276">
        <f t="array" ref="AA164">IF(SUM($E276:Z276)&lt;1,SUM(IF('11.销售及回款表'!$E$497:$AV$540=AA275,'11.销售及回款表'!$E284:$AV284,0)),'11.销售及回款表'!AA284)</f>
        <v>0</v>
      </c>
      <c r="AB164" s="277">
        <f t="array" ref="AB164">IF(SUM($E276:AA276)&lt;1,SUM(IF('11.销售及回款表'!$E$497:$AV$540=AB275,'11.销售及回款表'!$E284:$AV284,0)),'11.销售及回款表'!AB284)</f>
        <v>0</v>
      </c>
      <c r="AC164" s="275">
        <f t="array" ref="AC164">IF(SUM($E276:AB276)&lt;1,SUM(IF('11.销售及回款表'!$E$497:$AV$540=AC275,'11.销售及回款表'!$E284:$AV284,0)),'11.销售及回款表'!AC284)</f>
        <v>0</v>
      </c>
      <c r="AD164" s="276">
        <f t="array" ref="AD164">IF(SUM($E276:AC276)&lt;1,SUM(IF('11.销售及回款表'!$E$497:$AV$540=AD275,'11.销售及回款表'!$E284:$AV284,0)),'11.销售及回款表'!AD284)</f>
        <v>0</v>
      </c>
      <c r="AE164" s="276">
        <f t="array" ref="AE164">IF(SUM($E276:AD276)&lt;1,SUM(IF('11.销售及回款表'!$E$497:$AV$540=AE275,'11.销售及回款表'!$E284:$AV284,0)),'11.销售及回款表'!AE284)</f>
        <v>0</v>
      </c>
      <c r="AF164" s="277">
        <f t="array" ref="AF164">IF(SUM($E276:AE276)&lt;1,SUM(IF('11.销售及回款表'!$E$497:$AV$540=AF275,'11.销售及回款表'!$E284:$AV284,0)),'11.销售及回款表'!AF284)</f>
        <v>0</v>
      </c>
      <c r="AG164" s="275">
        <f t="array" ref="AG164">IF(SUM($E276:AF276)&lt;1,SUM(IF('11.销售及回款表'!$E$497:$AV$540=AG275,'11.销售及回款表'!$E284:$AV284,0)),'11.销售及回款表'!AG284)</f>
        <v>0</v>
      </c>
      <c r="AH164" s="276">
        <f t="array" ref="AH164">IF(SUM($E276:AG276)&lt;1,SUM(IF('11.销售及回款表'!$E$497:$AV$540=AH275,'11.销售及回款表'!$E284:$AV284,0)),'11.销售及回款表'!AH284)</f>
        <v>0</v>
      </c>
      <c r="AI164" s="276">
        <f t="array" ref="AI164">IF(SUM($E276:AH276)&lt;1,SUM(IF('11.销售及回款表'!$E$497:$AV$540=AI275,'11.销售及回款表'!$E284:$AV284,0)),'11.销售及回款表'!AI284)</f>
        <v>0</v>
      </c>
      <c r="AJ164" s="277">
        <f t="array" ref="AJ164">IF(SUM($E276:AI276)&lt;1,SUM(IF('11.销售及回款表'!$E$497:$AV$540=AJ275,'11.销售及回款表'!$E284:$AV284,0)),'11.销售及回款表'!AJ284)</f>
        <v>0</v>
      </c>
      <c r="AK164" s="275">
        <f t="array" ref="AK164">IF(SUM($E276:AJ276)&lt;1,SUM(IF('11.销售及回款表'!$E$497:$AV$540=AK275,'11.销售及回款表'!$E284:$AV284,0)),'11.销售及回款表'!AK284)</f>
        <v>0</v>
      </c>
      <c r="AL164" s="276">
        <f t="array" ref="AL164">IF(SUM($E276:AK276)&lt;1,SUM(IF('11.销售及回款表'!$E$497:$AV$540=AL275,'11.销售及回款表'!$E284:$AV284,0)),'11.销售及回款表'!AL284)</f>
        <v>0</v>
      </c>
      <c r="AM164" s="276">
        <f t="array" ref="AM164">IF(SUM($E276:AL276)&lt;1,SUM(IF('11.销售及回款表'!$E$497:$AV$540=AM275,'11.销售及回款表'!$E284:$AV284,0)),'11.销售及回款表'!AM284)</f>
        <v>0</v>
      </c>
      <c r="AN164" s="277">
        <f t="array" ref="AN164">IF(SUM($E276:AM276)&lt;1,SUM(IF('11.销售及回款表'!$E$497:$AV$540=AN275,'11.销售及回款表'!$E284:$AV284,0)),'11.销售及回款表'!AN284)</f>
        <v>0</v>
      </c>
      <c r="AO164" s="275">
        <f t="array" ref="AO164">IF(SUM($E276:AN276)&lt;1,SUM(IF('11.销售及回款表'!$E$497:$AV$540=AO275,'11.销售及回款表'!$E284:$AV284,0)),'11.销售及回款表'!AO284)</f>
        <v>0</v>
      </c>
      <c r="AP164" s="276">
        <f t="array" ref="AP164">IF(SUM($E276:AO276)&lt;1,SUM(IF('11.销售及回款表'!$E$497:$AV$540=AP275,'11.销售及回款表'!$E284:$AV284,0)),'11.销售及回款表'!AP284)</f>
        <v>0</v>
      </c>
      <c r="AQ164" s="276">
        <f t="array" ref="AQ164">IF(SUM($E276:AP276)&lt;1,SUM(IF('11.销售及回款表'!$E$497:$AV$540=AQ275,'11.销售及回款表'!$E284:$AV284,0)),'11.销售及回款表'!AQ284)</f>
        <v>0</v>
      </c>
      <c r="AR164" s="277">
        <f t="array" ref="AR164">IF(SUM($E276:AQ276)&lt;1,SUM(IF('11.销售及回款表'!$E$497:$AV$540=AR275,'11.销售及回款表'!$E284:$AV284,0)),'11.销售及回款表'!AR284)</f>
        <v>0</v>
      </c>
      <c r="AS164" s="275">
        <f t="array" ref="AS164">IF(SUM($E276:AR276)&lt;1,SUM(IF('11.销售及回款表'!$E$497:$AV$540=AS275,'11.销售及回款表'!$E284:$AV284,0)),'11.销售及回款表'!AS284)</f>
        <v>0</v>
      </c>
      <c r="AT164" s="276">
        <f t="array" ref="AT164">IF(SUM($E276:AS276)&lt;1,SUM(IF('11.销售及回款表'!$E$497:$AV$540=AT275,'11.销售及回款表'!$E284:$AV284,0)),'11.销售及回款表'!AT284)</f>
        <v>0</v>
      </c>
      <c r="AU164" s="276">
        <f t="array" ref="AU164">IF(SUM($E276:AT276)&lt;1,SUM(IF('11.销售及回款表'!$E$497:$AV$540=AU275,'11.销售及回款表'!$E284:$AV284,0)),'11.销售及回款表'!AU284)</f>
        <v>0</v>
      </c>
      <c r="AV164" s="277">
        <f t="array" ref="AV164">IF(SUM($E276:AU276)&lt;1,SUM(IF('11.销售及回款表'!$E$497:$AV$540=AV275,'11.销售及回款表'!$E284:$AV284,0)),'11.销售及回款表'!AV284)</f>
        <v>0</v>
      </c>
    </row>
    <row r="165" spans="2:48" s="256" customFormat="1" ht="15.75" customHeight="1">
      <c r="B165" s="1980"/>
      <c r="C165" s="299" t="s">
        <v>22</v>
      </c>
      <c r="D165" s="300">
        <f t="shared" ref="D165:AV165" si="33">SUM(D166:D177)</f>
        <v>0</v>
      </c>
      <c r="E165" s="301">
        <f t="shared" si="33"/>
        <v>0</v>
      </c>
      <c r="F165" s="300">
        <f t="shared" si="33"/>
        <v>0</v>
      </c>
      <c r="G165" s="300">
        <f t="shared" si="33"/>
        <v>0</v>
      </c>
      <c r="H165" s="302">
        <f t="shared" si="33"/>
        <v>0</v>
      </c>
      <c r="I165" s="301">
        <f t="shared" si="33"/>
        <v>0</v>
      </c>
      <c r="J165" s="300">
        <f t="shared" si="33"/>
        <v>0</v>
      </c>
      <c r="K165" s="300">
        <f t="shared" si="33"/>
        <v>0</v>
      </c>
      <c r="L165" s="302">
        <f t="shared" si="33"/>
        <v>0</v>
      </c>
      <c r="M165" s="301">
        <f t="shared" si="33"/>
        <v>0</v>
      </c>
      <c r="N165" s="300">
        <f t="shared" si="33"/>
        <v>0</v>
      </c>
      <c r="O165" s="300">
        <f t="shared" si="33"/>
        <v>0</v>
      </c>
      <c r="P165" s="302">
        <f t="shared" si="33"/>
        <v>0</v>
      </c>
      <c r="Q165" s="301">
        <f t="shared" si="33"/>
        <v>0</v>
      </c>
      <c r="R165" s="300">
        <f t="shared" si="33"/>
        <v>0</v>
      </c>
      <c r="S165" s="300">
        <f t="shared" si="33"/>
        <v>0</v>
      </c>
      <c r="T165" s="302">
        <f t="shared" si="33"/>
        <v>0</v>
      </c>
      <c r="U165" s="301">
        <f t="shared" si="33"/>
        <v>0</v>
      </c>
      <c r="V165" s="300">
        <f t="shared" si="33"/>
        <v>0</v>
      </c>
      <c r="W165" s="300">
        <f t="shared" si="33"/>
        <v>0</v>
      </c>
      <c r="X165" s="302">
        <f t="shared" si="33"/>
        <v>0</v>
      </c>
      <c r="Y165" s="301">
        <f t="shared" si="33"/>
        <v>0</v>
      </c>
      <c r="Z165" s="300">
        <f t="shared" si="33"/>
        <v>0</v>
      </c>
      <c r="AA165" s="300">
        <f t="shared" si="33"/>
        <v>0</v>
      </c>
      <c r="AB165" s="302">
        <f t="shared" si="33"/>
        <v>0</v>
      </c>
      <c r="AC165" s="301">
        <f t="shared" si="33"/>
        <v>0</v>
      </c>
      <c r="AD165" s="300">
        <f t="shared" si="33"/>
        <v>0</v>
      </c>
      <c r="AE165" s="300">
        <f t="shared" si="33"/>
        <v>0</v>
      </c>
      <c r="AF165" s="302">
        <f t="shared" si="33"/>
        <v>0</v>
      </c>
      <c r="AG165" s="301">
        <f t="shared" si="33"/>
        <v>0</v>
      </c>
      <c r="AH165" s="300">
        <f t="shared" si="33"/>
        <v>0</v>
      </c>
      <c r="AI165" s="300">
        <f t="shared" si="33"/>
        <v>0</v>
      </c>
      <c r="AJ165" s="302">
        <f t="shared" si="33"/>
        <v>0</v>
      </c>
      <c r="AK165" s="301">
        <f t="shared" si="33"/>
        <v>0</v>
      </c>
      <c r="AL165" s="300">
        <f t="shared" si="33"/>
        <v>0</v>
      </c>
      <c r="AM165" s="300">
        <f t="shared" si="33"/>
        <v>0</v>
      </c>
      <c r="AN165" s="302">
        <f t="shared" si="33"/>
        <v>0</v>
      </c>
      <c r="AO165" s="301">
        <f t="shared" si="33"/>
        <v>0</v>
      </c>
      <c r="AP165" s="300">
        <f t="shared" si="33"/>
        <v>0</v>
      </c>
      <c r="AQ165" s="300">
        <f t="shared" si="33"/>
        <v>0</v>
      </c>
      <c r="AR165" s="302">
        <f t="shared" si="33"/>
        <v>0</v>
      </c>
      <c r="AS165" s="301">
        <f t="shared" si="33"/>
        <v>0</v>
      </c>
      <c r="AT165" s="300">
        <f t="shared" si="33"/>
        <v>0</v>
      </c>
      <c r="AU165" s="300">
        <f t="shared" si="33"/>
        <v>0</v>
      </c>
      <c r="AV165" s="302">
        <f t="shared" si="33"/>
        <v>0</v>
      </c>
    </row>
    <row r="166" spans="2:48" s="257" customFormat="1" ht="15.75" customHeight="1" outlineLevel="1">
      <c r="B166" s="1980"/>
      <c r="C166" s="303" t="str">
        <f>'8.项目规划指标表'!$B$5</f>
        <v>高层</v>
      </c>
      <c r="D166" s="274">
        <f>SUM(E166:AV166)</f>
        <v>0</v>
      </c>
      <c r="E166" s="275">
        <f t="array" ref="E166">IF(SUM(D278:$E278)&lt;1,SUM(IF('11.销售及回款表'!$E$497:$AV$540=E277,'11.销售及回款表'!$E299:$AV299,0)),'11.销售及回款表'!E299)</f>
        <v>0</v>
      </c>
      <c r="F166" s="276">
        <f t="array" ref="F166">IF(SUM(E278:$E278)&lt;1,SUM(IF('11.销售及回款表'!$E$497:$AV$540=F277,'11.销售及回款表'!$E299:$AV299,0)),'11.销售及回款表'!F299)</f>
        <v>0</v>
      </c>
      <c r="G166" s="276">
        <f t="array" ref="G166">IF(SUM($E278:F278)&lt;1,SUM(IF('11.销售及回款表'!$E$497:$AV$540=G277,'11.销售及回款表'!$E299:$AV299,0)),'11.销售及回款表'!G299)</f>
        <v>0</v>
      </c>
      <c r="H166" s="277">
        <f t="array" ref="H166">IF(SUM($E278:G278)&lt;1,SUM(IF('11.销售及回款表'!$E$497:$AV$540=H277,'11.销售及回款表'!$E299:$AV299,0)),'11.销售及回款表'!H299)</f>
        <v>0</v>
      </c>
      <c r="I166" s="275">
        <f t="array" ref="I166">IF(SUM($E278:H278)&lt;1,SUM(IF('11.销售及回款表'!$E$497:$AV$540=I277,'11.销售及回款表'!$E299:$AV299,0)),'11.销售及回款表'!I299)</f>
        <v>0</v>
      </c>
      <c r="J166" s="276">
        <f t="array" ref="J166">IF(SUM($E278:I278)&lt;1,SUM(IF('11.销售及回款表'!$E$497:$AV$540=J277,'11.销售及回款表'!$E299:$AV299,0)),'11.销售及回款表'!J299)</f>
        <v>0</v>
      </c>
      <c r="K166" s="276">
        <f t="array" ref="K166">IF(SUM($E278:J278)&lt;1,SUM(IF('11.销售及回款表'!$E$497:$AV$540=K277,'11.销售及回款表'!$E299:$AV299,0)),'11.销售及回款表'!K299)</f>
        <v>0</v>
      </c>
      <c r="L166" s="277">
        <f t="array" ref="L166">IF(SUM($E278:K278)&lt;1,SUM(IF('11.销售及回款表'!$E$497:$AV$540=L277,'11.销售及回款表'!$E299:$AV299,0)),'11.销售及回款表'!L299)</f>
        <v>0</v>
      </c>
      <c r="M166" s="275">
        <f t="array" ref="M166">IF(SUM($E278:L278)&lt;1,SUM(IF('11.销售及回款表'!$E$497:$AV$540=M277,'11.销售及回款表'!$E299:$AV299,0)),'11.销售及回款表'!M299)</f>
        <v>0</v>
      </c>
      <c r="N166" s="276">
        <f t="array" ref="N166">IF(SUM($E278:M278)&lt;1,SUM(IF('11.销售及回款表'!$E$497:$AV$540=N277,'11.销售及回款表'!$E299:$AV299,0)),'11.销售及回款表'!N299)</f>
        <v>0</v>
      </c>
      <c r="O166" s="276">
        <f t="array" ref="O166">IF(SUM($E278:N278)&lt;1,SUM(IF('11.销售及回款表'!$E$497:$AV$540=O277,'11.销售及回款表'!$E299:$AV299,0)),'11.销售及回款表'!O299)</f>
        <v>0</v>
      </c>
      <c r="P166" s="277">
        <f t="array" ref="P166">IF(SUM($E278:O278)&lt;1,SUM(IF('11.销售及回款表'!$E$497:$AV$540=P277,'11.销售及回款表'!$E299:$AV299,0)),'11.销售及回款表'!P299)</f>
        <v>0</v>
      </c>
      <c r="Q166" s="275">
        <f t="array" ref="Q166">IF(SUM($E278:P278)&lt;1,SUM(IF('11.销售及回款表'!$E$497:$AV$540=Q277,'11.销售及回款表'!$E299:$AV299,0)),'11.销售及回款表'!Q299)</f>
        <v>0</v>
      </c>
      <c r="R166" s="276">
        <f t="array" ref="R166">IF(SUM($E278:Q278)&lt;1,SUM(IF('11.销售及回款表'!$E$497:$AV$540=R277,'11.销售及回款表'!$E299:$AV299,0)),'11.销售及回款表'!R299)</f>
        <v>0</v>
      </c>
      <c r="S166" s="276">
        <f t="array" ref="S166">IF(SUM($E278:R278)&lt;1,SUM(IF('11.销售及回款表'!$E$497:$AV$540=S277,'11.销售及回款表'!$E299:$AV299,0)),'11.销售及回款表'!S299)</f>
        <v>0</v>
      </c>
      <c r="T166" s="277">
        <f t="array" ref="T166">IF(SUM($E278:S278)&lt;1,SUM(IF('11.销售及回款表'!$E$497:$AV$540=T277,'11.销售及回款表'!$E299:$AV299,0)),'11.销售及回款表'!T299)</f>
        <v>0</v>
      </c>
      <c r="U166" s="275">
        <f t="array" ref="U166">IF(SUM($E278:T278)&lt;1,SUM(IF('11.销售及回款表'!$E$497:$AV$540=U277,'11.销售及回款表'!$E299:$AV299,0)),'11.销售及回款表'!U299)</f>
        <v>0</v>
      </c>
      <c r="V166" s="276">
        <f t="array" ref="V166">IF(SUM($E278:U278)&lt;1,SUM(IF('11.销售及回款表'!$E$497:$AV$540=V277,'11.销售及回款表'!$E299:$AV299,0)),'11.销售及回款表'!V299)</f>
        <v>0</v>
      </c>
      <c r="W166" s="276">
        <f t="array" ref="W166">IF(SUM($E278:V278)&lt;1,SUM(IF('11.销售及回款表'!$E$497:$AV$540=W277,'11.销售及回款表'!$E299:$AV299,0)),'11.销售及回款表'!W299)</f>
        <v>0</v>
      </c>
      <c r="X166" s="277">
        <f t="array" ref="X166">IF(SUM($E278:W278)&lt;1,SUM(IF('11.销售及回款表'!$E$497:$AV$540=X277,'11.销售及回款表'!$E299:$AV299,0)),'11.销售及回款表'!X299)</f>
        <v>0</v>
      </c>
      <c r="Y166" s="275">
        <f t="array" ref="Y166">IF(SUM($E278:X278)&lt;1,SUM(IF('11.销售及回款表'!$E$497:$AV$540=Y277,'11.销售及回款表'!$E299:$AV299,0)),'11.销售及回款表'!Y299)</f>
        <v>0</v>
      </c>
      <c r="Z166" s="276">
        <f t="array" ref="Z166">IF(SUM($E278:Y278)&lt;1,SUM(IF('11.销售及回款表'!$E$497:$AV$540=Z277,'11.销售及回款表'!$E299:$AV299,0)),'11.销售及回款表'!Z299)</f>
        <v>0</v>
      </c>
      <c r="AA166" s="276">
        <f t="array" ref="AA166">IF(SUM($E278:Z278)&lt;1,SUM(IF('11.销售及回款表'!$E$497:$AV$540=AA277,'11.销售及回款表'!$E299:$AV299,0)),'11.销售及回款表'!AA299)</f>
        <v>0</v>
      </c>
      <c r="AB166" s="277">
        <f t="array" ref="AB166">IF(SUM($E278:AA278)&lt;1,SUM(IF('11.销售及回款表'!$E$497:$AV$540=AB277,'11.销售及回款表'!$E299:$AV299,0)),'11.销售及回款表'!AB299)</f>
        <v>0</v>
      </c>
      <c r="AC166" s="275">
        <f t="array" ref="AC166">IF(SUM($E278:AB278)&lt;1,SUM(IF('11.销售及回款表'!$E$497:$AV$540=AC277,'11.销售及回款表'!$E299:$AV299,0)),'11.销售及回款表'!AC299)</f>
        <v>0</v>
      </c>
      <c r="AD166" s="276">
        <f t="array" ref="AD166">IF(SUM($E278:AC278)&lt;1,SUM(IF('11.销售及回款表'!$E$497:$AV$540=AD277,'11.销售及回款表'!$E299:$AV299,0)),'11.销售及回款表'!AD299)</f>
        <v>0</v>
      </c>
      <c r="AE166" s="276">
        <f t="array" ref="AE166">IF(SUM($E278:AD278)&lt;1,SUM(IF('11.销售及回款表'!$E$497:$AV$540=AE277,'11.销售及回款表'!$E299:$AV299,0)),'11.销售及回款表'!AE299)</f>
        <v>0</v>
      </c>
      <c r="AF166" s="277">
        <f t="array" ref="AF166">IF(SUM($E278:AE278)&lt;1,SUM(IF('11.销售及回款表'!$E$497:$AV$540=AF277,'11.销售及回款表'!$E299:$AV299,0)),'11.销售及回款表'!AF299)</f>
        <v>0</v>
      </c>
      <c r="AG166" s="275">
        <f t="array" ref="AG166">IF(SUM($E278:AF278)&lt;1,SUM(IF('11.销售及回款表'!$E$497:$AV$540=AG277,'11.销售及回款表'!$E299:$AV299,0)),'11.销售及回款表'!AG299)</f>
        <v>0</v>
      </c>
      <c r="AH166" s="276">
        <f t="array" ref="AH166">IF(SUM($E278:AG278)&lt;1,SUM(IF('11.销售及回款表'!$E$497:$AV$540=AH277,'11.销售及回款表'!$E299:$AV299,0)),'11.销售及回款表'!AH299)</f>
        <v>0</v>
      </c>
      <c r="AI166" s="276">
        <f t="array" ref="AI166">IF(SUM($E278:AH278)&lt;1,SUM(IF('11.销售及回款表'!$E$497:$AV$540=AI277,'11.销售及回款表'!$E299:$AV299,0)),'11.销售及回款表'!AI299)</f>
        <v>0</v>
      </c>
      <c r="AJ166" s="277">
        <f t="array" ref="AJ166">IF(SUM($E278:AI278)&lt;1,SUM(IF('11.销售及回款表'!$E$497:$AV$540=AJ277,'11.销售及回款表'!$E299:$AV299,0)),'11.销售及回款表'!AJ299)</f>
        <v>0</v>
      </c>
      <c r="AK166" s="275">
        <f t="array" ref="AK166">IF(SUM($E278:AJ278)&lt;1,SUM(IF('11.销售及回款表'!$E$497:$AV$540=AK277,'11.销售及回款表'!$E299:$AV299,0)),'11.销售及回款表'!AK299)</f>
        <v>0</v>
      </c>
      <c r="AL166" s="276">
        <f t="array" ref="AL166">IF(SUM($E278:AK278)&lt;1,SUM(IF('11.销售及回款表'!$E$497:$AV$540=AL277,'11.销售及回款表'!$E299:$AV299,0)),'11.销售及回款表'!AL299)</f>
        <v>0</v>
      </c>
      <c r="AM166" s="276">
        <f t="array" ref="AM166">IF(SUM($E278:AL278)&lt;1,SUM(IF('11.销售及回款表'!$E$497:$AV$540=AM277,'11.销售及回款表'!$E299:$AV299,0)),'11.销售及回款表'!AM299)</f>
        <v>0</v>
      </c>
      <c r="AN166" s="277">
        <f t="array" ref="AN166">IF(SUM($E278:AM278)&lt;1,SUM(IF('11.销售及回款表'!$E$497:$AV$540=AN277,'11.销售及回款表'!$E299:$AV299,0)),'11.销售及回款表'!AN299)</f>
        <v>0</v>
      </c>
      <c r="AO166" s="275">
        <f t="array" ref="AO166">IF(SUM($E278:AN278)&lt;1,SUM(IF('11.销售及回款表'!$E$497:$AV$540=AO277,'11.销售及回款表'!$E299:$AV299,0)),'11.销售及回款表'!AO299)</f>
        <v>0</v>
      </c>
      <c r="AP166" s="276">
        <f t="array" ref="AP166">IF(SUM($E278:AO278)&lt;1,SUM(IF('11.销售及回款表'!$E$497:$AV$540=AP277,'11.销售及回款表'!$E299:$AV299,0)),'11.销售及回款表'!AP299)</f>
        <v>0</v>
      </c>
      <c r="AQ166" s="276">
        <f t="array" ref="AQ166">IF(SUM($E278:AP278)&lt;1,SUM(IF('11.销售及回款表'!$E$497:$AV$540=AQ277,'11.销售及回款表'!$E299:$AV299,0)),'11.销售及回款表'!AQ299)</f>
        <v>0</v>
      </c>
      <c r="AR166" s="277">
        <f t="array" ref="AR166">IF(SUM($E278:AQ278)&lt;1,SUM(IF('11.销售及回款表'!$E$497:$AV$540=AR277,'11.销售及回款表'!$E299:$AV299,0)),'11.销售及回款表'!AR299)</f>
        <v>0</v>
      </c>
      <c r="AS166" s="275">
        <f t="array" ref="AS166">IF(SUM($E278:AR278)&lt;1,SUM(IF('11.销售及回款表'!$E$497:$AV$540=AS277,'11.销售及回款表'!$E299:$AV299,0)),'11.销售及回款表'!AS299)</f>
        <v>0</v>
      </c>
      <c r="AT166" s="276">
        <f t="array" ref="AT166">IF(SUM($E278:AS278)&lt;1,SUM(IF('11.销售及回款表'!$E$497:$AV$540=AT277,'11.销售及回款表'!$E299:$AV299,0)),'11.销售及回款表'!AT299)</f>
        <v>0</v>
      </c>
      <c r="AU166" s="276">
        <f t="array" ref="AU166">IF(SUM($E278:AT278)&lt;1,SUM(IF('11.销售及回款表'!$E$497:$AV$540=AU277,'11.销售及回款表'!$E299:$AV299,0)),'11.销售及回款表'!AU299)</f>
        <v>0</v>
      </c>
      <c r="AV166" s="277">
        <f t="array" ref="AV166">IF(SUM($E278:AU278)&lt;1,SUM(IF('11.销售及回款表'!$E$497:$AV$540=AV277,'11.销售及回款表'!$E299:$AV299,0)),'11.销售及回款表'!AV299)</f>
        <v>0</v>
      </c>
    </row>
    <row r="167" spans="2:48" s="257" customFormat="1" ht="15.75" customHeight="1" outlineLevel="1">
      <c r="B167" s="1980"/>
      <c r="C167" s="303" t="str">
        <f>'8.项目规划指标表'!$B$6</f>
        <v>商铺</v>
      </c>
      <c r="D167" s="274">
        <f t="shared" ref="D167:D177" si="34">SUM(E167:AV167)</f>
        <v>0</v>
      </c>
      <c r="E167" s="275">
        <f t="array" ref="E167">IF(SUM(D280:$E280)&lt;1,SUM(IF('11.销售及回款表'!$E$497:$AV$540=E279,'11.销售及回款表'!$E304:$AV304,0)),'11.销售及回款表'!E304)</f>
        <v>0</v>
      </c>
      <c r="F167" s="276">
        <f t="array" ref="F167">IF(SUM(E280:$E280)&lt;1,SUM(IF('11.销售及回款表'!$E$497:$AV$540=F279,'11.销售及回款表'!$E304:$AV304,0)),'11.销售及回款表'!F304)</f>
        <v>0</v>
      </c>
      <c r="G167" s="276">
        <f t="array" ref="G167">IF(SUM($E280:F280)&lt;1,SUM(IF('11.销售及回款表'!$E$497:$AV$540=G279,'11.销售及回款表'!$E304:$AV304,0)),'11.销售及回款表'!G304)</f>
        <v>0</v>
      </c>
      <c r="H167" s="277">
        <f t="array" ref="H167">IF(SUM($E280:G280)&lt;1,SUM(IF('11.销售及回款表'!$E$497:$AV$540=H279,'11.销售及回款表'!$E304:$AV304,0)),'11.销售及回款表'!H304)</f>
        <v>0</v>
      </c>
      <c r="I167" s="275">
        <f t="array" ref="I167">IF(SUM($E280:H280)&lt;1,SUM(IF('11.销售及回款表'!$E$497:$AV$540=I279,'11.销售及回款表'!$E304:$AV304,0)),'11.销售及回款表'!I304)</f>
        <v>0</v>
      </c>
      <c r="J167" s="276">
        <f t="array" ref="J167">IF(SUM($E280:I280)&lt;1,SUM(IF('11.销售及回款表'!$E$497:$AV$540=J279,'11.销售及回款表'!$E304:$AV304,0)),'11.销售及回款表'!J304)</f>
        <v>0</v>
      </c>
      <c r="K167" s="276">
        <f t="array" ref="K167">IF(SUM($E280:J280)&lt;1,SUM(IF('11.销售及回款表'!$E$497:$AV$540=K279,'11.销售及回款表'!$E304:$AV304,0)),'11.销售及回款表'!K304)</f>
        <v>0</v>
      </c>
      <c r="L167" s="277">
        <f t="array" ref="L167">IF(SUM($E280:K280)&lt;1,SUM(IF('11.销售及回款表'!$E$497:$AV$540=L279,'11.销售及回款表'!$E304:$AV304,0)),'11.销售及回款表'!L304)</f>
        <v>0</v>
      </c>
      <c r="M167" s="275">
        <f t="array" ref="M167">IF(SUM($E280:L280)&lt;1,SUM(IF('11.销售及回款表'!$E$497:$AV$540=M279,'11.销售及回款表'!$E304:$AV304,0)),'11.销售及回款表'!M304)</f>
        <v>0</v>
      </c>
      <c r="N167" s="276">
        <f t="array" ref="N167">IF(SUM($E280:M280)&lt;1,SUM(IF('11.销售及回款表'!$E$497:$AV$540=N279,'11.销售及回款表'!$E304:$AV304,0)),'11.销售及回款表'!N304)</f>
        <v>0</v>
      </c>
      <c r="O167" s="276">
        <f t="array" ref="O167">IF(SUM($E280:N280)&lt;1,SUM(IF('11.销售及回款表'!$E$497:$AV$540=O279,'11.销售及回款表'!$E304:$AV304,0)),'11.销售及回款表'!O304)</f>
        <v>0</v>
      </c>
      <c r="P167" s="277">
        <f t="array" ref="P167">IF(SUM($E280:O280)&lt;1,SUM(IF('11.销售及回款表'!$E$497:$AV$540=P279,'11.销售及回款表'!$E304:$AV304,0)),'11.销售及回款表'!P304)</f>
        <v>0</v>
      </c>
      <c r="Q167" s="275">
        <f t="array" ref="Q167">IF(SUM($E280:P280)&lt;1,SUM(IF('11.销售及回款表'!$E$497:$AV$540=Q279,'11.销售及回款表'!$E304:$AV304,0)),'11.销售及回款表'!Q304)</f>
        <v>0</v>
      </c>
      <c r="R167" s="276">
        <f t="array" ref="R167">IF(SUM($E280:Q280)&lt;1,SUM(IF('11.销售及回款表'!$E$497:$AV$540=R279,'11.销售及回款表'!$E304:$AV304,0)),'11.销售及回款表'!R304)</f>
        <v>0</v>
      </c>
      <c r="S167" s="276">
        <f t="array" ref="S167">IF(SUM($E280:R280)&lt;1,SUM(IF('11.销售及回款表'!$E$497:$AV$540=S279,'11.销售及回款表'!$E304:$AV304,0)),'11.销售及回款表'!S304)</f>
        <v>0</v>
      </c>
      <c r="T167" s="277">
        <f t="array" ref="T167">IF(SUM($E280:S280)&lt;1,SUM(IF('11.销售及回款表'!$E$497:$AV$540=T279,'11.销售及回款表'!$E304:$AV304,0)),'11.销售及回款表'!T304)</f>
        <v>0</v>
      </c>
      <c r="U167" s="275">
        <f t="array" ref="U167">IF(SUM($E280:T280)&lt;1,SUM(IF('11.销售及回款表'!$E$497:$AV$540=U279,'11.销售及回款表'!$E304:$AV304,0)),'11.销售及回款表'!U304)</f>
        <v>0</v>
      </c>
      <c r="V167" s="276">
        <f t="array" ref="V167">IF(SUM($E280:U280)&lt;1,SUM(IF('11.销售及回款表'!$E$497:$AV$540=V279,'11.销售及回款表'!$E304:$AV304,0)),'11.销售及回款表'!V304)</f>
        <v>0</v>
      </c>
      <c r="W167" s="276">
        <f t="array" ref="W167">IF(SUM($E280:V280)&lt;1,SUM(IF('11.销售及回款表'!$E$497:$AV$540=W279,'11.销售及回款表'!$E304:$AV304,0)),'11.销售及回款表'!W304)</f>
        <v>0</v>
      </c>
      <c r="X167" s="277">
        <f t="array" ref="X167">IF(SUM($E280:W280)&lt;1,SUM(IF('11.销售及回款表'!$E$497:$AV$540=X279,'11.销售及回款表'!$E304:$AV304,0)),'11.销售及回款表'!X304)</f>
        <v>0</v>
      </c>
      <c r="Y167" s="275">
        <f t="array" ref="Y167">IF(SUM($E280:X280)&lt;1,SUM(IF('11.销售及回款表'!$E$497:$AV$540=Y279,'11.销售及回款表'!$E304:$AV304,0)),'11.销售及回款表'!Y304)</f>
        <v>0</v>
      </c>
      <c r="Z167" s="276">
        <f t="array" ref="Z167">IF(SUM($E280:Y280)&lt;1,SUM(IF('11.销售及回款表'!$E$497:$AV$540=Z279,'11.销售及回款表'!$E304:$AV304,0)),'11.销售及回款表'!Z304)</f>
        <v>0</v>
      </c>
      <c r="AA167" s="276">
        <f t="array" ref="AA167">IF(SUM($E280:Z280)&lt;1,SUM(IF('11.销售及回款表'!$E$497:$AV$540=AA279,'11.销售及回款表'!$E304:$AV304,0)),'11.销售及回款表'!AA304)</f>
        <v>0</v>
      </c>
      <c r="AB167" s="277">
        <f t="array" ref="AB167">IF(SUM($E280:AA280)&lt;1,SUM(IF('11.销售及回款表'!$E$497:$AV$540=AB279,'11.销售及回款表'!$E304:$AV304,0)),'11.销售及回款表'!AB304)</f>
        <v>0</v>
      </c>
      <c r="AC167" s="275">
        <f t="array" ref="AC167">IF(SUM($E280:AB280)&lt;1,SUM(IF('11.销售及回款表'!$E$497:$AV$540=AC279,'11.销售及回款表'!$E304:$AV304,0)),'11.销售及回款表'!AC304)</f>
        <v>0</v>
      </c>
      <c r="AD167" s="276">
        <f t="array" ref="AD167">IF(SUM($E280:AC280)&lt;1,SUM(IF('11.销售及回款表'!$E$497:$AV$540=AD279,'11.销售及回款表'!$E304:$AV304,0)),'11.销售及回款表'!AD304)</f>
        <v>0</v>
      </c>
      <c r="AE167" s="276">
        <f t="array" ref="AE167">IF(SUM($E280:AD280)&lt;1,SUM(IF('11.销售及回款表'!$E$497:$AV$540=AE279,'11.销售及回款表'!$E304:$AV304,0)),'11.销售及回款表'!AE304)</f>
        <v>0</v>
      </c>
      <c r="AF167" s="277">
        <f t="array" ref="AF167">IF(SUM($E280:AE280)&lt;1,SUM(IF('11.销售及回款表'!$E$497:$AV$540=AF279,'11.销售及回款表'!$E304:$AV304,0)),'11.销售及回款表'!AF304)</f>
        <v>0</v>
      </c>
      <c r="AG167" s="275">
        <f t="array" ref="AG167">IF(SUM($E280:AF280)&lt;1,SUM(IF('11.销售及回款表'!$E$497:$AV$540=AG279,'11.销售及回款表'!$E304:$AV304,0)),'11.销售及回款表'!AG304)</f>
        <v>0</v>
      </c>
      <c r="AH167" s="276">
        <f t="array" ref="AH167">IF(SUM($E280:AG280)&lt;1,SUM(IF('11.销售及回款表'!$E$497:$AV$540=AH279,'11.销售及回款表'!$E304:$AV304,0)),'11.销售及回款表'!AH304)</f>
        <v>0</v>
      </c>
      <c r="AI167" s="276">
        <f t="array" ref="AI167">IF(SUM($E280:AH280)&lt;1,SUM(IF('11.销售及回款表'!$E$497:$AV$540=AI279,'11.销售及回款表'!$E304:$AV304,0)),'11.销售及回款表'!AI304)</f>
        <v>0</v>
      </c>
      <c r="AJ167" s="277">
        <f t="array" ref="AJ167">IF(SUM($E280:AI280)&lt;1,SUM(IF('11.销售及回款表'!$E$497:$AV$540=AJ279,'11.销售及回款表'!$E304:$AV304,0)),'11.销售及回款表'!AJ304)</f>
        <v>0</v>
      </c>
      <c r="AK167" s="275">
        <f t="array" ref="AK167">IF(SUM($E280:AJ280)&lt;1,SUM(IF('11.销售及回款表'!$E$497:$AV$540=AK279,'11.销售及回款表'!$E304:$AV304,0)),'11.销售及回款表'!AK304)</f>
        <v>0</v>
      </c>
      <c r="AL167" s="276">
        <f t="array" ref="AL167">IF(SUM($E280:AK280)&lt;1,SUM(IF('11.销售及回款表'!$E$497:$AV$540=AL279,'11.销售及回款表'!$E304:$AV304,0)),'11.销售及回款表'!AL304)</f>
        <v>0</v>
      </c>
      <c r="AM167" s="276">
        <f t="array" ref="AM167">IF(SUM($E280:AL280)&lt;1,SUM(IF('11.销售及回款表'!$E$497:$AV$540=AM279,'11.销售及回款表'!$E304:$AV304,0)),'11.销售及回款表'!AM304)</f>
        <v>0</v>
      </c>
      <c r="AN167" s="277">
        <f t="array" ref="AN167">IF(SUM($E280:AM280)&lt;1,SUM(IF('11.销售及回款表'!$E$497:$AV$540=AN279,'11.销售及回款表'!$E304:$AV304,0)),'11.销售及回款表'!AN304)</f>
        <v>0</v>
      </c>
      <c r="AO167" s="275">
        <f t="array" ref="AO167">IF(SUM($E280:AN280)&lt;1,SUM(IF('11.销售及回款表'!$E$497:$AV$540=AO279,'11.销售及回款表'!$E304:$AV304,0)),'11.销售及回款表'!AO304)</f>
        <v>0</v>
      </c>
      <c r="AP167" s="276">
        <f t="array" ref="AP167">IF(SUM($E280:AO280)&lt;1,SUM(IF('11.销售及回款表'!$E$497:$AV$540=AP279,'11.销售及回款表'!$E304:$AV304,0)),'11.销售及回款表'!AP304)</f>
        <v>0</v>
      </c>
      <c r="AQ167" s="276">
        <f t="array" ref="AQ167">IF(SUM($E280:AP280)&lt;1,SUM(IF('11.销售及回款表'!$E$497:$AV$540=AQ279,'11.销售及回款表'!$E304:$AV304,0)),'11.销售及回款表'!AQ304)</f>
        <v>0</v>
      </c>
      <c r="AR167" s="277">
        <f t="array" ref="AR167">IF(SUM($E280:AQ280)&lt;1,SUM(IF('11.销售及回款表'!$E$497:$AV$540=AR279,'11.销售及回款表'!$E304:$AV304,0)),'11.销售及回款表'!AR304)</f>
        <v>0</v>
      </c>
      <c r="AS167" s="275">
        <f t="array" ref="AS167">IF(SUM($E280:AR280)&lt;1,SUM(IF('11.销售及回款表'!$E$497:$AV$540=AS279,'11.销售及回款表'!$E304:$AV304,0)),'11.销售及回款表'!AS304)</f>
        <v>0</v>
      </c>
      <c r="AT167" s="276">
        <f t="array" ref="AT167">IF(SUM($E280:AS280)&lt;1,SUM(IF('11.销售及回款表'!$E$497:$AV$540=AT279,'11.销售及回款表'!$E304:$AV304,0)),'11.销售及回款表'!AT304)</f>
        <v>0</v>
      </c>
      <c r="AU167" s="276">
        <f t="array" ref="AU167">IF(SUM($E280:AT280)&lt;1,SUM(IF('11.销售及回款表'!$E$497:$AV$540=AU279,'11.销售及回款表'!$E304:$AV304,0)),'11.销售及回款表'!AU304)</f>
        <v>0</v>
      </c>
      <c r="AV167" s="277">
        <f t="array" ref="AV167">IF(SUM($E280:AU280)&lt;1,SUM(IF('11.销售及回款表'!$E$497:$AV$540=AV279,'11.销售及回款表'!$E304:$AV304,0)),'11.销售及回款表'!AV304)</f>
        <v>0</v>
      </c>
    </row>
    <row r="168" spans="2:48" s="257" customFormat="1" ht="15.75" customHeight="1" outlineLevel="1">
      <c r="B168" s="1980"/>
      <c r="C168" s="303" t="str">
        <f>'8.项目规划指标表'!$B$7</f>
        <v>回迁商业</v>
      </c>
      <c r="D168" s="274">
        <f t="shared" si="34"/>
        <v>0</v>
      </c>
      <c r="E168" s="275">
        <f t="array" ref="E168">IF(SUM(D282:$E282)&lt;1,SUM(IF('11.销售及回款表'!$E$497:$AV$540=E281,'11.销售及回款表'!$E309:$AV309,0)),'11.销售及回款表'!E309)</f>
        <v>0</v>
      </c>
      <c r="F168" s="276">
        <f t="array" ref="F168">IF(SUM(E282:$E282)&lt;1,SUM(IF('11.销售及回款表'!$E$497:$AV$540=F281,'11.销售及回款表'!$E309:$AV309,0)),'11.销售及回款表'!F309)</f>
        <v>0</v>
      </c>
      <c r="G168" s="276">
        <f t="array" ref="G168">IF(SUM($E282:F282)&lt;1,SUM(IF('11.销售及回款表'!$E$497:$AV$540=G281,'11.销售及回款表'!$E309:$AV309,0)),'11.销售及回款表'!G309)</f>
        <v>0</v>
      </c>
      <c r="H168" s="277">
        <f t="array" ref="H168">IF(SUM($E282:G282)&lt;1,SUM(IF('11.销售及回款表'!$E$497:$AV$540=H281,'11.销售及回款表'!$E309:$AV309,0)),'11.销售及回款表'!H309)</f>
        <v>0</v>
      </c>
      <c r="I168" s="275">
        <f t="array" ref="I168">IF(SUM($E282:H282)&lt;1,SUM(IF('11.销售及回款表'!$E$497:$AV$540=I281,'11.销售及回款表'!$E309:$AV309,0)),'11.销售及回款表'!I309)</f>
        <v>0</v>
      </c>
      <c r="J168" s="276">
        <f t="array" ref="J168">IF(SUM($E282:I282)&lt;1,SUM(IF('11.销售及回款表'!$E$497:$AV$540=J281,'11.销售及回款表'!$E309:$AV309,0)),'11.销售及回款表'!J309)</f>
        <v>0</v>
      </c>
      <c r="K168" s="276">
        <f t="array" ref="K168">IF(SUM($E282:J282)&lt;1,SUM(IF('11.销售及回款表'!$E$497:$AV$540=K281,'11.销售及回款表'!$E309:$AV309,0)),'11.销售及回款表'!K309)</f>
        <v>0</v>
      </c>
      <c r="L168" s="277">
        <f t="array" ref="L168">IF(SUM($E282:K282)&lt;1,SUM(IF('11.销售及回款表'!$E$497:$AV$540=L281,'11.销售及回款表'!$E309:$AV309,0)),'11.销售及回款表'!L309)</f>
        <v>0</v>
      </c>
      <c r="M168" s="275">
        <f t="array" ref="M168">IF(SUM($E282:L282)&lt;1,SUM(IF('11.销售及回款表'!$E$497:$AV$540=M281,'11.销售及回款表'!$E309:$AV309,0)),'11.销售及回款表'!M309)</f>
        <v>0</v>
      </c>
      <c r="N168" s="276">
        <f t="array" ref="N168">IF(SUM($E282:M282)&lt;1,SUM(IF('11.销售及回款表'!$E$497:$AV$540=N281,'11.销售及回款表'!$E309:$AV309,0)),'11.销售及回款表'!N309)</f>
        <v>0</v>
      </c>
      <c r="O168" s="276">
        <f t="array" ref="O168">IF(SUM($E282:N282)&lt;1,SUM(IF('11.销售及回款表'!$E$497:$AV$540=O281,'11.销售及回款表'!$E309:$AV309,0)),'11.销售及回款表'!O309)</f>
        <v>0</v>
      </c>
      <c r="P168" s="277">
        <f t="array" ref="P168">IF(SUM($E282:O282)&lt;1,SUM(IF('11.销售及回款表'!$E$497:$AV$540=P281,'11.销售及回款表'!$E309:$AV309,0)),'11.销售及回款表'!P309)</f>
        <v>0</v>
      </c>
      <c r="Q168" s="275">
        <f t="array" ref="Q168">IF(SUM($E282:P282)&lt;1,SUM(IF('11.销售及回款表'!$E$497:$AV$540=Q281,'11.销售及回款表'!$E309:$AV309,0)),'11.销售及回款表'!Q309)</f>
        <v>0</v>
      </c>
      <c r="R168" s="276">
        <f t="array" ref="R168">IF(SUM($E282:Q282)&lt;1,SUM(IF('11.销售及回款表'!$E$497:$AV$540=R281,'11.销售及回款表'!$E309:$AV309,0)),'11.销售及回款表'!R309)</f>
        <v>0</v>
      </c>
      <c r="S168" s="276">
        <f t="array" ref="S168">IF(SUM($E282:R282)&lt;1,SUM(IF('11.销售及回款表'!$E$497:$AV$540=S281,'11.销售及回款表'!$E309:$AV309,0)),'11.销售及回款表'!S309)</f>
        <v>0</v>
      </c>
      <c r="T168" s="277">
        <f t="array" ref="T168">IF(SUM($E282:S282)&lt;1,SUM(IF('11.销售及回款表'!$E$497:$AV$540=T281,'11.销售及回款表'!$E309:$AV309,0)),'11.销售及回款表'!T309)</f>
        <v>0</v>
      </c>
      <c r="U168" s="275">
        <f t="array" ref="U168">IF(SUM($E282:T282)&lt;1,SUM(IF('11.销售及回款表'!$E$497:$AV$540=U281,'11.销售及回款表'!$E309:$AV309,0)),'11.销售及回款表'!U309)</f>
        <v>0</v>
      </c>
      <c r="V168" s="276">
        <f t="array" ref="V168">IF(SUM($E282:U282)&lt;1,SUM(IF('11.销售及回款表'!$E$497:$AV$540=V281,'11.销售及回款表'!$E309:$AV309,0)),'11.销售及回款表'!V309)</f>
        <v>0</v>
      </c>
      <c r="W168" s="276">
        <f t="array" ref="W168">IF(SUM($E282:V282)&lt;1,SUM(IF('11.销售及回款表'!$E$497:$AV$540=W281,'11.销售及回款表'!$E309:$AV309,0)),'11.销售及回款表'!W309)</f>
        <v>0</v>
      </c>
      <c r="X168" s="277">
        <f t="array" ref="X168">IF(SUM($E282:W282)&lt;1,SUM(IF('11.销售及回款表'!$E$497:$AV$540=X281,'11.销售及回款表'!$E309:$AV309,0)),'11.销售及回款表'!X309)</f>
        <v>0</v>
      </c>
      <c r="Y168" s="275">
        <f t="array" ref="Y168">IF(SUM($E282:X282)&lt;1,SUM(IF('11.销售及回款表'!$E$497:$AV$540=Y281,'11.销售及回款表'!$E309:$AV309,0)),'11.销售及回款表'!Y309)</f>
        <v>0</v>
      </c>
      <c r="Z168" s="276">
        <f t="array" ref="Z168">IF(SUM($E282:Y282)&lt;1,SUM(IF('11.销售及回款表'!$E$497:$AV$540=Z281,'11.销售及回款表'!$E309:$AV309,0)),'11.销售及回款表'!Z309)</f>
        <v>0</v>
      </c>
      <c r="AA168" s="276">
        <f t="array" ref="AA168">IF(SUM($E282:Z282)&lt;1,SUM(IF('11.销售及回款表'!$E$497:$AV$540=AA281,'11.销售及回款表'!$E309:$AV309,0)),'11.销售及回款表'!AA309)</f>
        <v>0</v>
      </c>
      <c r="AB168" s="277">
        <f t="array" ref="AB168">IF(SUM($E282:AA282)&lt;1,SUM(IF('11.销售及回款表'!$E$497:$AV$540=AB281,'11.销售及回款表'!$E309:$AV309,0)),'11.销售及回款表'!AB309)</f>
        <v>0</v>
      </c>
      <c r="AC168" s="275">
        <f t="array" ref="AC168">IF(SUM($E282:AB282)&lt;1,SUM(IF('11.销售及回款表'!$E$497:$AV$540=AC281,'11.销售及回款表'!$E309:$AV309,0)),'11.销售及回款表'!AC309)</f>
        <v>0</v>
      </c>
      <c r="AD168" s="276">
        <f t="array" ref="AD168">IF(SUM($E282:AC282)&lt;1,SUM(IF('11.销售及回款表'!$E$497:$AV$540=AD281,'11.销售及回款表'!$E309:$AV309,0)),'11.销售及回款表'!AD309)</f>
        <v>0</v>
      </c>
      <c r="AE168" s="276">
        <f t="array" ref="AE168">IF(SUM($E282:AD282)&lt;1,SUM(IF('11.销售及回款表'!$E$497:$AV$540=AE281,'11.销售及回款表'!$E309:$AV309,0)),'11.销售及回款表'!AE309)</f>
        <v>0</v>
      </c>
      <c r="AF168" s="277">
        <f t="array" ref="AF168">IF(SUM($E282:AE282)&lt;1,SUM(IF('11.销售及回款表'!$E$497:$AV$540=AF281,'11.销售及回款表'!$E309:$AV309,0)),'11.销售及回款表'!AF309)</f>
        <v>0</v>
      </c>
      <c r="AG168" s="275">
        <f t="array" ref="AG168">IF(SUM($E282:AF282)&lt;1,SUM(IF('11.销售及回款表'!$E$497:$AV$540=AG281,'11.销售及回款表'!$E309:$AV309,0)),'11.销售及回款表'!AG309)</f>
        <v>0</v>
      </c>
      <c r="AH168" s="276">
        <f t="array" ref="AH168">IF(SUM($E282:AG282)&lt;1,SUM(IF('11.销售及回款表'!$E$497:$AV$540=AH281,'11.销售及回款表'!$E309:$AV309,0)),'11.销售及回款表'!AH309)</f>
        <v>0</v>
      </c>
      <c r="AI168" s="276">
        <f t="array" ref="AI168">IF(SUM($E282:AH282)&lt;1,SUM(IF('11.销售及回款表'!$E$497:$AV$540=AI281,'11.销售及回款表'!$E309:$AV309,0)),'11.销售及回款表'!AI309)</f>
        <v>0</v>
      </c>
      <c r="AJ168" s="277">
        <f t="array" ref="AJ168">IF(SUM($E282:AI282)&lt;1,SUM(IF('11.销售及回款表'!$E$497:$AV$540=AJ281,'11.销售及回款表'!$E309:$AV309,0)),'11.销售及回款表'!AJ309)</f>
        <v>0</v>
      </c>
      <c r="AK168" s="275">
        <f t="array" ref="AK168">IF(SUM($E282:AJ282)&lt;1,SUM(IF('11.销售及回款表'!$E$497:$AV$540=AK281,'11.销售及回款表'!$E309:$AV309,0)),'11.销售及回款表'!AK309)</f>
        <v>0</v>
      </c>
      <c r="AL168" s="276">
        <f t="array" ref="AL168">IF(SUM($E282:AK282)&lt;1,SUM(IF('11.销售及回款表'!$E$497:$AV$540=AL281,'11.销售及回款表'!$E309:$AV309,0)),'11.销售及回款表'!AL309)</f>
        <v>0</v>
      </c>
      <c r="AM168" s="276">
        <f t="array" ref="AM168">IF(SUM($E282:AL282)&lt;1,SUM(IF('11.销售及回款表'!$E$497:$AV$540=AM281,'11.销售及回款表'!$E309:$AV309,0)),'11.销售及回款表'!AM309)</f>
        <v>0</v>
      </c>
      <c r="AN168" s="277">
        <f t="array" ref="AN168">IF(SUM($E282:AM282)&lt;1,SUM(IF('11.销售及回款表'!$E$497:$AV$540=AN281,'11.销售及回款表'!$E309:$AV309,0)),'11.销售及回款表'!AN309)</f>
        <v>0</v>
      </c>
      <c r="AO168" s="275">
        <f t="array" ref="AO168">IF(SUM($E282:AN282)&lt;1,SUM(IF('11.销售及回款表'!$E$497:$AV$540=AO281,'11.销售及回款表'!$E309:$AV309,0)),'11.销售及回款表'!AO309)</f>
        <v>0</v>
      </c>
      <c r="AP168" s="276">
        <f t="array" ref="AP168">IF(SUM($E282:AO282)&lt;1,SUM(IF('11.销售及回款表'!$E$497:$AV$540=AP281,'11.销售及回款表'!$E309:$AV309,0)),'11.销售及回款表'!AP309)</f>
        <v>0</v>
      </c>
      <c r="AQ168" s="276">
        <f t="array" ref="AQ168">IF(SUM($E282:AP282)&lt;1,SUM(IF('11.销售及回款表'!$E$497:$AV$540=AQ281,'11.销售及回款表'!$E309:$AV309,0)),'11.销售及回款表'!AQ309)</f>
        <v>0</v>
      </c>
      <c r="AR168" s="277">
        <f t="array" ref="AR168">IF(SUM($E282:AQ282)&lt;1,SUM(IF('11.销售及回款表'!$E$497:$AV$540=AR281,'11.销售及回款表'!$E309:$AV309,0)),'11.销售及回款表'!AR309)</f>
        <v>0</v>
      </c>
      <c r="AS168" s="275">
        <f t="array" ref="AS168">IF(SUM($E282:AR282)&lt;1,SUM(IF('11.销售及回款表'!$E$497:$AV$540=AS281,'11.销售及回款表'!$E309:$AV309,0)),'11.销售及回款表'!AS309)</f>
        <v>0</v>
      </c>
      <c r="AT168" s="276">
        <f t="array" ref="AT168">IF(SUM($E282:AS282)&lt;1,SUM(IF('11.销售及回款表'!$E$497:$AV$540=AT281,'11.销售及回款表'!$E309:$AV309,0)),'11.销售及回款表'!AT309)</f>
        <v>0</v>
      </c>
      <c r="AU168" s="276">
        <f t="array" ref="AU168">IF(SUM($E282:AT282)&lt;1,SUM(IF('11.销售及回款表'!$E$497:$AV$540=AU281,'11.销售及回款表'!$E309:$AV309,0)),'11.销售及回款表'!AU309)</f>
        <v>0</v>
      </c>
      <c r="AV168" s="277">
        <f t="array" ref="AV168">IF(SUM($E282:AU282)&lt;1,SUM(IF('11.销售及回款表'!$E$497:$AV$540=AV281,'11.销售及回款表'!$E309:$AV309,0)),'11.销售及回款表'!AV309)</f>
        <v>0</v>
      </c>
    </row>
    <row r="169" spans="2:48" s="257" customFormat="1" ht="15.75" customHeight="1" outlineLevel="1">
      <c r="B169" s="1980"/>
      <c r="C169" s="303">
        <f>'8.项目规划指标表'!$B$8</f>
        <v>0</v>
      </c>
      <c r="D169" s="274">
        <f t="shared" si="34"/>
        <v>0</v>
      </c>
      <c r="E169" s="275">
        <f t="array" ref="E169">IF(SUM(D284:$E284)&lt;1,SUM(IF('11.销售及回款表'!$E$497:$AV$540=E283,'11.销售及回款表'!$E314:$AV314,0)),'11.销售及回款表'!E314)</f>
        <v>0</v>
      </c>
      <c r="F169" s="276">
        <f t="array" ref="F169">IF(SUM(E284:$E284)&lt;1,SUM(IF('11.销售及回款表'!$E$497:$AV$540=F283,'11.销售及回款表'!$E314:$AV314,0)),'11.销售及回款表'!F314)</f>
        <v>0</v>
      </c>
      <c r="G169" s="276">
        <f t="array" ref="G169">IF(SUM($E284:F284)&lt;1,SUM(IF('11.销售及回款表'!$E$497:$AV$540=G283,'11.销售及回款表'!$E314:$AV314,0)),'11.销售及回款表'!G314)</f>
        <v>0</v>
      </c>
      <c r="H169" s="277">
        <f t="array" ref="H169">IF(SUM($E284:G284)&lt;1,SUM(IF('11.销售及回款表'!$E$497:$AV$540=H283,'11.销售及回款表'!$E314:$AV314,0)),'11.销售及回款表'!H314)</f>
        <v>0</v>
      </c>
      <c r="I169" s="275">
        <f t="array" ref="I169">IF(SUM($E284:H284)&lt;1,SUM(IF('11.销售及回款表'!$E$497:$AV$540=I283,'11.销售及回款表'!$E314:$AV314,0)),'11.销售及回款表'!I314)</f>
        <v>0</v>
      </c>
      <c r="J169" s="276">
        <f t="array" ref="J169">IF(SUM($E284:I284)&lt;1,SUM(IF('11.销售及回款表'!$E$497:$AV$540=J283,'11.销售及回款表'!$E314:$AV314,0)),'11.销售及回款表'!J314)</f>
        <v>0</v>
      </c>
      <c r="K169" s="276">
        <f t="array" ref="K169">IF(SUM($E284:J284)&lt;1,SUM(IF('11.销售及回款表'!$E$497:$AV$540=K283,'11.销售及回款表'!$E314:$AV314,0)),'11.销售及回款表'!K314)</f>
        <v>0</v>
      </c>
      <c r="L169" s="277">
        <f t="array" ref="L169">IF(SUM($E284:K284)&lt;1,SUM(IF('11.销售及回款表'!$E$497:$AV$540=L283,'11.销售及回款表'!$E314:$AV314,0)),'11.销售及回款表'!L314)</f>
        <v>0</v>
      </c>
      <c r="M169" s="275">
        <f t="array" ref="M169">IF(SUM($E284:L284)&lt;1,SUM(IF('11.销售及回款表'!$E$497:$AV$540=M283,'11.销售及回款表'!$E314:$AV314,0)),'11.销售及回款表'!M314)</f>
        <v>0</v>
      </c>
      <c r="N169" s="276">
        <f t="array" ref="N169">IF(SUM($E284:M284)&lt;1,SUM(IF('11.销售及回款表'!$E$497:$AV$540=N283,'11.销售及回款表'!$E314:$AV314,0)),'11.销售及回款表'!N314)</f>
        <v>0</v>
      </c>
      <c r="O169" s="276">
        <f t="array" ref="O169">IF(SUM($E284:N284)&lt;1,SUM(IF('11.销售及回款表'!$E$497:$AV$540=O283,'11.销售及回款表'!$E314:$AV314,0)),'11.销售及回款表'!O314)</f>
        <v>0</v>
      </c>
      <c r="P169" s="277">
        <f t="array" ref="P169">IF(SUM($E284:O284)&lt;1,SUM(IF('11.销售及回款表'!$E$497:$AV$540=P283,'11.销售及回款表'!$E314:$AV314,0)),'11.销售及回款表'!P314)</f>
        <v>0</v>
      </c>
      <c r="Q169" s="275">
        <f t="array" ref="Q169">IF(SUM($E284:P284)&lt;1,SUM(IF('11.销售及回款表'!$E$497:$AV$540=Q283,'11.销售及回款表'!$E314:$AV314,0)),'11.销售及回款表'!Q314)</f>
        <v>0</v>
      </c>
      <c r="R169" s="276">
        <f t="array" ref="R169">IF(SUM($E284:Q284)&lt;1,SUM(IF('11.销售及回款表'!$E$497:$AV$540=R283,'11.销售及回款表'!$E314:$AV314,0)),'11.销售及回款表'!R314)</f>
        <v>0</v>
      </c>
      <c r="S169" s="276">
        <f t="array" ref="S169">IF(SUM($E284:R284)&lt;1,SUM(IF('11.销售及回款表'!$E$497:$AV$540=S283,'11.销售及回款表'!$E314:$AV314,0)),'11.销售及回款表'!S314)</f>
        <v>0</v>
      </c>
      <c r="T169" s="277">
        <f t="array" ref="T169">IF(SUM($E284:S284)&lt;1,SUM(IF('11.销售及回款表'!$E$497:$AV$540=T283,'11.销售及回款表'!$E314:$AV314,0)),'11.销售及回款表'!T314)</f>
        <v>0</v>
      </c>
      <c r="U169" s="275">
        <f t="array" ref="U169">IF(SUM($E284:T284)&lt;1,SUM(IF('11.销售及回款表'!$E$497:$AV$540=U283,'11.销售及回款表'!$E314:$AV314,0)),'11.销售及回款表'!U314)</f>
        <v>0</v>
      </c>
      <c r="V169" s="276">
        <f t="array" ref="V169">IF(SUM($E284:U284)&lt;1,SUM(IF('11.销售及回款表'!$E$497:$AV$540=V283,'11.销售及回款表'!$E314:$AV314,0)),'11.销售及回款表'!V314)</f>
        <v>0</v>
      </c>
      <c r="W169" s="276">
        <f t="array" ref="W169">IF(SUM($E284:V284)&lt;1,SUM(IF('11.销售及回款表'!$E$497:$AV$540=W283,'11.销售及回款表'!$E314:$AV314,0)),'11.销售及回款表'!W314)</f>
        <v>0</v>
      </c>
      <c r="X169" s="277">
        <f t="array" ref="X169">IF(SUM($E284:W284)&lt;1,SUM(IF('11.销售及回款表'!$E$497:$AV$540=X283,'11.销售及回款表'!$E314:$AV314,0)),'11.销售及回款表'!X314)</f>
        <v>0</v>
      </c>
      <c r="Y169" s="275">
        <f t="array" ref="Y169">IF(SUM($E284:X284)&lt;1,SUM(IF('11.销售及回款表'!$E$497:$AV$540=Y283,'11.销售及回款表'!$E314:$AV314,0)),'11.销售及回款表'!Y314)</f>
        <v>0</v>
      </c>
      <c r="Z169" s="276">
        <f t="array" ref="Z169">IF(SUM($E284:Y284)&lt;1,SUM(IF('11.销售及回款表'!$E$497:$AV$540=Z283,'11.销售及回款表'!$E314:$AV314,0)),'11.销售及回款表'!Z314)</f>
        <v>0</v>
      </c>
      <c r="AA169" s="276">
        <f t="array" ref="AA169">IF(SUM($E284:Z284)&lt;1,SUM(IF('11.销售及回款表'!$E$497:$AV$540=AA283,'11.销售及回款表'!$E314:$AV314,0)),'11.销售及回款表'!AA314)</f>
        <v>0</v>
      </c>
      <c r="AB169" s="277">
        <f t="array" ref="AB169">IF(SUM($E284:AA284)&lt;1,SUM(IF('11.销售及回款表'!$E$497:$AV$540=AB283,'11.销售及回款表'!$E314:$AV314,0)),'11.销售及回款表'!AB314)</f>
        <v>0</v>
      </c>
      <c r="AC169" s="275">
        <f t="array" ref="AC169">IF(SUM($E284:AB284)&lt;1,SUM(IF('11.销售及回款表'!$E$497:$AV$540=AC283,'11.销售及回款表'!$E314:$AV314,0)),'11.销售及回款表'!AC314)</f>
        <v>0</v>
      </c>
      <c r="AD169" s="276">
        <f t="array" ref="AD169">IF(SUM($E284:AC284)&lt;1,SUM(IF('11.销售及回款表'!$E$497:$AV$540=AD283,'11.销售及回款表'!$E314:$AV314,0)),'11.销售及回款表'!AD314)</f>
        <v>0</v>
      </c>
      <c r="AE169" s="276">
        <f t="array" ref="AE169">IF(SUM($E284:AD284)&lt;1,SUM(IF('11.销售及回款表'!$E$497:$AV$540=AE283,'11.销售及回款表'!$E314:$AV314,0)),'11.销售及回款表'!AE314)</f>
        <v>0</v>
      </c>
      <c r="AF169" s="277">
        <f t="array" ref="AF169">IF(SUM($E284:AE284)&lt;1,SUM(IF('11.销售及回款表'!$E$497:$AV$540=AF283,'11.销售及回款表'!$E314:$AV314,0)),'11.销售及回款表'!AF314)</f>
        <v>0</v>
      </c>
      <c r="AG169" s="275">
        <f t="array" ref="AG169">IF(SUM($E284:AF284)&lt;1,SUM(IF('11.销售及回款表'!$E$497:$AV$540=AG283,'11.销售及回款表'!$E314:$AV314,0)),'11.销售及回款表'!AG314)</f>
        <v>0</v>
      </c>
      <c r="AH169" s="276">
        <f t="array" ref="AH169">IF(SUM($E284:AG284)&lt;1,SUM(IF('11.销售及回款表'!$E$497:$AV$540=AH283,'11.销售及回款表'!$E314:$AV314,0)),'11.销售及回款表'!AH314)</f>
        <v>0</v>
      </c>
      <c r="AI169" s="276">
        <f t="array" ref="AI169">IF(SUM($E284:AH284)&lt;1,SUM(IF('11.销售及回款表'!$E$497:$AV$540=AI283,'11.销售及回款表'!$E314:$AV314,0)),'11.销售及回款表'!AI314)</f>
        <v>0</v>
      </c>
      <c r="AJ169" s="277">
        <f t="array" ref="AJ169">IF(SUM($E284:AI284)&lt;1,SUM(IF('11.销售及回款表'!$E$497:$AV$540=AJ283,'11.销售及回款表'!$E314:$AV314,0)),'11.销售及回款表'!AJ314)</f>
        <v>0</v>
      </c>
      <c r="AK169" s="275">
        <f t="array" ref="AK169">IF(SUM($E284:AJ284)&lt;1,SUM(IF('11.销售及回款表'!$E$497:$AV$540=AK283,'11.销售及回款表'!$E314:$AV314,0)),'11.销售及回款表'!AK314)</f>
        <v>0</v>
      </c>
      <c r="AL169" s="276">
        <f t="array" ref="AL169">IF(SUM($E284:AK284)&lt;1,SUM(IF('11.销售及回款表'!$E$497:$AV$540=AL283,'11.销售及回款表'!$E314:$AV314,0)),'11.销售及回款表'!AL314)</f>
        <v>0</v>
      </c>
      <c r="AM169" s="276">
        <f t="array" ref="AM169">IF(SUM($E284:AL284)&lt;1,SUM(IF('11.销售及回款表'!$E$497:$AV$540=AM283,'11.销售及回款表'!$E314:$AV314,0)),'11.销售及回款表'!AM314)</f>
        <v>0</v>
      </c>
      <c r="AN169" s="277">
        <f t="array" ref="AN169">IF(SUM($E284:AM284)&lt;1,SUM(IF('11.销售及回款表'!$E$497:$AV$540=AN283,'11.销售及回款表'!$E314:$AV314,0)),'11.销售及回款表'!AN314)</f>
        <v>0</v>
      </c>
      <c r="AO169" s="275">
        <f t="array" ref="AO169">IF(SUM($E284:AN284)&lt;1,SUM(IF('11.销售及回款表'!$E$497:$AV$540=AO283,'11.销售及回款表'!$E314:$AV314,0)),'11.销售及回款表'!AO314)</f>
        <v>0</v>
      </c>
      <c r="AP169" s="276">
        <f t="array" ref="AP169">IF(SUM($E284:AO284)&lt;1,SUM(IF('11.销售及回款表'!$E$497:$AV$540=AP283,'11.销售及回款表'!$E314:$AV314,0)),'11.销售及回款表'!AP314)</f>
        <v>0</v>
      </c>
      <c r="AQ169" s="276">
        <f t="array" ref="AQ169">IF(SUM($E284:AP284)&lt;1,SUM(IF('11.销售及回款表'!$E$497:$AV$540=AQ283,'11.销售及回款表'!$E314:$AV314,0)),'11.销售及回款表'!AQ314)</f>
        <v>0</v>
      </c>
      <c r="AR169" s="277">
        <f t="array" ref="AR169">IF(SUM($E284:AQ284)&lt;1,SUM(IF('11.销售及回款表'!$E$497:$AV$540=AR283,'11.销售及回款表'!$E314:$AV314,0)),'11.销售及回款表'!AR314)</f>
        <v>0</v>
      </c>
      <c r="AS169" s="275">
        <f t="array" ref="AS169">IF(SUM($E284:AR284)&lt;1,SUM(IF('11.销售及回款表'!$E$497:$AV$540=AS283,'11.销售及回款表'!$E314:$AV314,0)),'11.销售及回款表'!AS314)</f>
        <v>0</v>
      </c>
      <c r="AT169" s="276">
        <f t="array" ref="AT169">IF(SUM($E284:AS284)&lt;1,SUM(IF('11.销售及回款表'!$E$497:$AV$540=AT283,'11.销售及回款表'!$E314:$AV314,0)),'11.销售及回款表'!AT314)</f>
        <v>0</v>
      </c>
      <c r="AU169" s="276">
        <f t="array" ref="AU169">IF(SUM($E284:AT284)&lt;1,SUM(IF('11.销售及回款表'!$E$497:$AV$540=AU283,'11.销售及回款表'!$E314:$AV314,0)),'11.销售及回款表'!AU314)</f>
        <v>0</v>
      </c>
      <c r="AV169" s="277">
        <f t="array" ref="AV169">IF(SUM($E284:AU284)&lt;1,SUM(IF('11.销售及回款表'!$E$497:$AV$540=AV283,'11.销售及回款表'!$E314:$AV314,0)),'11.销售及回款表'!AV314)</f>
        <v>0</v>
      </c>
    </row>
    <row r="170" spans="2:48" s="257" customFormat="1" ht="15.75" customHeight="1" outlineLevel="1">
      <c r="B170" s="1980"/>
      <c r="C170" s="303">
        <f>'8.项目规划指标表'!$B$9</f>
        <v>0</v>
      </c>
      <c r="D170" s="274">
        <f t="shared" si="34"/>
        <v>0</v>
      </c>
      <c r="E170" s="275">
        <f t="array" ref="E170">IF(SUM(D286:$E286)&lt;1,SUM(IF('11.销售及回款表'!$E$497:$AV$540=E285,'11.销售及回款表'!$E319:$AV319,0)),'11.销售及回款表'!E319)</f>
        <v>0</v>
      </c>
      <c r="F170" s="276">
        <f t="array" ref="F170">IF(SUM(E286:$E286)&lt;1,SUM(IF('11.销售及回款表'!$E$497:$AV$540=F285,'11.销售及回款表'!$E319:$AV319,0)),'11.销售及回款表'!F319)</f>
        <v>0</v>
      </c>
      <c r="G170" s="276">
        <f t="array" ref="G170">IF(SUM($E286:F286)&lt;1,SUM(IF('11.销售及回款表'!$E$497:$AV$540=G285,'11.销售及回款表'!$E319:$AV319,0)),'11.销售及回款表'!G319)</f>
        <v>0</v>
      </c>
      <c r="H170" s="277">
        <f t="array" ref="H170">IF(SUM($E286:G286)&lt;1,SUM(IF('11.销售及回款表'!$E$497:$AV$540=H285,'11.销售及回款表'!$E319:$AV319,0)),'11.销售及回款表'!H319)</f>
        <v>0</v>
      </c>
      <c r="I170" s="275">
        <f t="array" ref="I170">IF(SUM($E286:H286)&lt;1,SUM(IF('11.销售及回款表'!$E$497:$AV$540=I285,'11.销售及回款表'!$E319:$AV319,0)),'11.销售及回款表'!I319)</f>
        <v>0</v>
      </c>
      <c r="J170" s="276">
        <f t="array" ref="J170">IF(SUM($E286:I286)&lt;1,SUM(IF('11.销售及回款表'!$E$497:$AV$540=J285,'11.销售及回款表'!$E319:$AV319,0)),'11.销售及回款表'!J319)</f>
        <v>0</v>
      </c>
      <c r="K170" s="276">
        <f t="array" ref="K170">IF(SUM($E286:J286)&lt;1,SUM(IF('11.销售及回款表'!$E$497:$AV$540=K285,'11.销售及回款表'!$E319:$AV319,0)),'11.销售及回款表'!K319)</f>
        <v>0</v>
      </c>
      <c r="L170" s="277">
        <f t="array" ref="L170">IF(SUM($E286:K286)&lt;1,SUM(IF('11.销售及回款表'!$E$497:$AV$540=L285,'11.销售及回款表'!$E319:$AV319,0)),'11.销售及回款表'!L319)</f>
        <v>0</v>
      </c>
      <c r="M170" s="275">
        <f t="array" ref="M170">IF(SUM($E286:L286)&lt;1,SUM(IF('11.销售及回款表'!$E$497:$AV$540=M285,'11.销售及回款表'!$E319:$AV319,0)),'11.销售及回款表'!M319)</f>
        <v>0</v>
      </c>
      <c r="N170" s="276">
        <f t="array" ref="N170">IF(SUM($E286:M286)&lt;1,SUM(IF('11.销售及回款表'!$E$497:$AV$540=N285,'11.销售及回款表'!$E319:$AV319,0)),'11.销售及回款表'!N319)</f>
        <v>0</v>
      </c>
      <c r="O170" s="276">
        <f t="array" ref="O170">IF(SUM($E286:N286)&lt;1,SUM(IF('11.销售及回款表'!$E$497:$AV$540=O285,'11.销售及回款表'!$E319:$AV319,0)),'11.销售及回款表'!O319)</f>
        <v>0</v>
      </c>
      <c r="P170" s="277">
        <f t="array" ref="P170">IF(SUM($E286:O286)&lt;1,SUM(IF('11.销售及回款表'!$E$497:$AV$540=P285,'11.销售及回款表'!$E319:$AV319,0)),'11.销售及回款表'!P319)</f>
        <v>0</v>
      </c>
      <c r="Q170" s="275">
        <f t="array" ref="Q170">IF(SUM($E286:P286)&lt;1,SUM(IF('11.销售及回款表'!$E$497:$AV$540=Q285,'11.销售及回款表'!$E319:$AV319,0)),'11.销售及回款表'!Q319)</f>
        <v>0</v>
      </c>
      <c r="R170" s="276">
        <f t="array" ref="R170">IF(SUM($E286:Q286)&lt;1,SUM(IF('11.销售及回款表'!$E$497:$AV$540=R285,'11.销售及回款表'!$E319:$AV319,0)),'11.销售及回款表'!R319)</f>
        <v>0</v>
      </c>
      <c r="S170" s="276">
        <f t="array" ref="S170">IF(SUM($E286:R286)&lt;1,SUM(IF('11.销售及回款表'!$E$497:$AV$540=S285,'11.销售及回款表'!$E319:$AV319,0)),'11.销售及回款表'!S319)</f>
        <v>0</v>
      </c>
      <c r="T170" s="277">
        <f t="array" ref="T170">IF(SUM($E286:S286)&lt;1,SUM(IF('11.销售及回款表'!$E$497:$AV$540=T285,'11.销售及回款表'!$E319:$AV319,0)),'11.销售及回款表'!T319)</f>
        <v>0</v>
      </c>
      <c r="U170" s="275">
        <f t="array" ref="U170">IF(SUM($E286:T286)&lt;1,SUM(IF('11.销售及回款表'!$E$497:$AV$540=U285,'11.销售及回款表'!$E319:$AV319,0)),'11.销售及回款表'!U319)</f>
        <v>0</v>
      </c>
      <c r="V170" s="276">
        <f t="array" ref="V170">IF(SUM($E286:U286)&lt;1,SUM(IF('11.销售及回款表'!$E$497:$AV$540=V285,'11.销售及回款表'!$E319:$AV319,0)),'11.销售及回款表'!V319)</f>
        <v>0</v>
      </c>
      <c r="W170" s="276">
        <f t="array" ref="W170">IF(SUM($E286:V286)&lt;1,SUM(IF('11.销售及回款表'!$E$497:$AV$540=W285,'11.销售及回款表'!$E319:$AV319,0)),'11.销售及回款表'!W319)</f>
        <v>0</v>
      </c>
      <c r="X170" s="277">
        <f t="array" ref="X170">IF(SUM($E286:W286)&lt;1,SUM(IF('11.销售及回款表'!$E$497:$AV$540=X285,'11.销售及回款表'!$E319:$AV319,0)),'11.销售及回款表'!X319)</f>
        <v>0</v>
      </c>
      <c r="Y170" s="275">
        <f t="array" ref="Y170">IF(SUM($E286:X286)&lt;1,SUM(IF('11.销售及回款表'!$E$497:$AV$540=Y285,'11.销售及回款表'!$E319:$AV319,0)),'11.销售及回款表'!Y319)</f>
        <v>0</v>
      </c>
      <c r="Z170" s="276">
        <f t="array" ref="Z170">IF(SUM($E286:Y286)&lt;1,SUM(IF('11.销售及回款表'!$E$497:$AV$540=Z285,'11.销售及回款表'!$E319:$AV319,0)),'11.销售及回款表'!Z319)</f>
        <v>0</v>
      </c>
      <c r="AA170" s="276">
        <f t="array" ref="AA170">IF(SUM($E286:Z286)&lt;1,SUM(IF('11.销售及回款表'!$E$497:$AV$540=AA285,'11.销售及回款表'!$E319:$AV319,0)),'11.销售及回款表'!AA319)</f>
        <v>0</v>
      </c>
      <c r="AB170" s="277">
        <f t="array" ref="AB170">IF(SUM($E286:AA286)&lt;1,SUM(IF('11.销售及回款表'!$E$497:$AV$540=AB285,'11.销售及回款表'!$E319:$AV319,0)),'11.销售及回款表'!AB319)</f>
        <v>0</v>
      </c>
      <c r="AC170" s="275">
        <f t="array" ref="AC170">IF(SUM($E286:AB286)&lt;1,SUM(IF('11.销售及回款表'!$E$497:$AV$540=AC285,'11.销售及回款表'!$E319:$AV319,0)),'11.销售及回款表'!AC319)</f>
        <v>0</v>
      </c>
      <c r="AD170" s="276">
        <f t="array" ref="AD170">IF(SUM($E286:AC286)&lt;1,SUM(IF('11.销售及回款表'!$E$497:$AV$540=AD285,'11.销售及回款表'!$E319:$AV319,0)),'11.销售及回款表'!AD319)</f>
        <v>0</v>
      </c>
      <c r="AE170" s="276">
        <f t="array" ref="AE170">IF(SUM($E286:AD286)&lt;1,SUM(IF('11.销售及回款表'!$E$497:$AV$540=AE285,'11.销售及回款表'!$E319:$AV319,0)),'11.销售及回款表'!AE319)</f>
        <v>0</v>
      </c>
      <c r="AF170" s="277">
        <f t="array" ref="AF170">IF(SUM($E286:AE286)&lt;1,SUM(IF('11.销售及回款表'!$E$497:$AV$540=AF285,'11.销售及回款表'!$E319:$AV319,0)),'11.销售及回款表'!AF319)</f>
        <v>0</v>
      </c>
      <c r="AG170" s="275">
        <f t="array" ref="AG170">IF(SUM($E286:AF286)&lt;1,SUM(IF('11.销售及回款表'!$E$497:$AV$540=AG285,'11.销售及回款表'!$E319:$AV319,0)),'11.销售及回款表'!AG319)</f>
        <v>0</v>
      </c>
      <c r="AH170" s="276">
        <f t="array" ref="AH170">IF(SUM($E286:AG286)&lt;1,SUM(IF('11.销售及回款表'!$E$497:$AV$540=AH285,'11.销售及回款表'!$E319:$AV319,0)),'11.销售及回款表'!AH319)</f>
        <v>0</v>
      </c>
      <c r="AI170" s="276">
        <f t="array" ref="AI170">IF(SUM($E286:AH286)&lt;1,SUM(IF('11.销售及回款表'!$E$497:$AV$540=AI285,'11.销售及回款表'!$E319:$AV319,0)),'11.销售及回款表'!AI319)</f>
        <v>0</v>
      </c>
      <c r="AJ170" s="277">
        <f t="array" ref="AJ170">IF(SUM($E286:AI286)&lt;1,SUM(IF('11.销售及回款表'!$E$497:$AV$540=AJ285,'11.销售及回款表'!$E319:$AV319,0)),'11.销售及回款表'!AJ319)</f>
        <v>0</v>
      </c>
      <c r="AK170" s="275">
        <f t="array" ref="AK170">IF(SUM($E286:AJ286)&lt;1,SUM(IF('11.销售及回款表'!$E$497:$AV$540=AK285,'11.销售及回款表'!$E319:$AV319,0)),'11.销售及回款表'!AK319)</f>
        <v>0</v>
      </c>
      <c r="AL170" s="276">
        <f t="array" ref="AL170">IF(SUM($E286:AK286)&lt;1,SUM(IF('11.销售及回款表'!$E$497:$AV$540=AL285,'11.销售及回款表'!$E319:$AV319,0)),'11.销售及回款表'!AL319)</f>
        <v>0</v>
      </c>
      <c r="AM170" s="276">
        <f t="array" ref="AM170">IF(SUM($E286:AL286)&lt;1,SUM(IF('11.销售及回款表'!$E$497:$AV$540=AM285,'11.销售及回款表'!$E319:$AV319,0)),'11.销售及回款表'!AM319)</f>
        <v>0</v>
      </c>
      <c r="AN170" s="277">
        <f t="array" ref="AN170">IF(SUM($E286:AM286)&lt;1,SUM(IF('11.销售及回款表'!$E$497:$AV$540=AN285,'11.销售及回款表'!$E319:$AV319,0)),'11.销售及回款表'!AN319)</f>
        <v>0</v>
      </c>
      <c r="AO170" s="275">
        <f t="array" ref="AO170">IF(SUM($E286:AN286)&lt;1,SUM(IF('11.销售及回款表'!$E$497:$AV$540=AO285,'11.销售及回款表'!$E319:$AV319,0)),'11.销售及回款表'!AO319)</f>
        <v>0</v>
      </c>
      <c r="AP170" s="276">
        <f t="array" ref="AP170">IF(SUM($E286:AO286)&lt;1,SUM(IF('11.销售及回款表'!$E$497:$AV$540=AP285,'11.销售及回款表'!$E319:$AV319,0)),'11.销售及回款表'!AP319)</f>
        <v>0</v>
      </c>
      <c r="AQ170" s="276">
        <f t="array" ref="AQ170">IF(SUM($E286:AP286)&lt;1,SUM(IF('11.销售及回款表'!$E$497:$AV$540=AQ285,'11.销售及回款表'!$E319:$AV319,0)),'11.销售及回款表'!AQ319)</f>
        <v>0</v>
      </c>
      <c r="AR170" s="277">
        <f t="array" ref="AR170">IF(SUM($E286:AQ286)&lt;1,SUM(IF('11.销售及回款表'!$E$497:$AV$540=AR285,'11.销售及回款表'!$E319:$AV319,0)),'11.销售及回款表'!AR319)</f>
        <v>0</v>
      </c>
      <c r="AS170" s="275">
        <f t="array" ref="AS170">IF(SUM($E286:AR286)&lt;1,SUM(IF('11.销售及回款表'!$E$497:$AV$540=AS285,'11.销售及回款表'!$E319:$AV319,0)),'11.销售及回款表'!AS319)</f>
        <v>0</v>
      </c>
      <c r="AT170" s="276">
        <f t="array" ref="AT170">IF(SUM($E286:AS286)&lt;1,SUM(IF('11.销售及回款表'!$E$497:$AV$540=AT285,'11.销售及回款表'!$E319:$AV319,0)),'11.销售及回款表'!AT319)</f>
        <v>0</v>
      </c>
      <c r="AU170" s="276">
        <f t="array" ref="AU170">IF(SUM($E286:AT286)&lt;1,SUM(IF('11.销售及回款表'!$E$497:$AV$540=AU285,'11.销售及回款表'!$E319:$AV319,0)),'11.销售及回款表'!AU319)</f>
        <v>0</v>
      </c>
      <c r="AV170" s="277">
        <f t="array" ref="AV170">IF(SUM($E286:AU286)&lt;1,SUM(IF('11.销售及回款表'!$E$497:$AV$540=AV285,'11.销售及回款表'!$E319:$AV319,0)),'11.销售及回款表'!AV319)</f>
        <v>0</v>
      </c>
    </row>
    <row r="171" spans="2:48" s="257" customFormat="1" ht="15.75" customHeight="1" outlineLevel="1">
      <c r="B171" s="1980"/>
      <c r="C171" s="303">
        <f>'8.项目规划指标表'!$B$10</f>
        <v>0</v>
      </c>
      <c r="D171" s="274">
        <f t="shared" si="34"/>
        <v>0</v>
      </c>
      <c r="E171" s="275">
        <f t="array" ref="E171">IF(SUM(D288:$E288)&lt;1,SUM(IF('11.销售及回款表'!$E$497:$AV$540=E287,'11.销售及回款表'!$E324:$AV324,0)),'11.销售及回款表'!E324)</f>
        <v>0</v>
      </c>
      <c r="F171" s="276">
        <f t="array" ref="F171">IF(SUM(E288:$E288)&lt;1,SUM(IF('11.销售及回款表'!$E$497:$AV$540=F287,'11.销售及回款表'!$E324:$AV324,0)),'11.销售及回款表'!F324)</f>
        <v>0</v>
      </c>
      <c r="G171" s="276">
        <f t="array" ref="G171">IF(SUM($E288:F288)&lt;1,SUM(IF('11.销售及回款表'!$E$497:$AV$540=G287,'11.销售及回款表'!$E324:$AV324,0)),'11.销售及回款表'!G324)</f>
        <v>0</v>
      </c>
      <c r="H171" s="277">
        <f t="array" ref="H171">IF(SUM($E288:G288)&lt;1,SUM(IF('11.销售及回款表'!$E$497:$AV$540=H287,'11.销售及回款表'!$E324:$AV324,0)),'11.销售及回款表'!H324)</f>
        <v>0</v>
      </c>
      <c r="I171" s="275">
        <f t="array" ref="I171">IF(SUM($E288:H288)&lt;1,SUM(IF('11.销售及回款表'!$E$497:$AV$540=I287,'11.销售及回款表'!$E324:$AV324,0)),'11.销售及回款表'!I324)</f>
        <v>0</v>
      </c>
      <c r="J171" s="276">
        <f t="array" ref="J171">IF(SUM($E288:I288)&lt;1,SUM(IF('11.销售及回款表'!$E$497:$AV$540=J287,'11.销售及回款表'!$E324:$AV324,0)),'11.销售及回款表'!J324)</f>
        <v>0</v>
      </c>
      <c r="K171" s="276">
        <f t="array" ref="K171">IF(SUM($E288:J288)&lt;1,SUM(IF('11.销售及回款表'!$E$497:$AV$540=K287,'11.销售及回款表'!$E324:$AV324,0)),'11.销售及回款表'!K324)</f>
        <v>0</v>
      </c>
      <c r="L171" s="277">
        <f t="array" ref="L171">IF(SUM($E288:K288)&lt;1,SUM(IF('11.销售及回款表'!$E$497:$AV$540=L287,'11.销售及回款表'!$E324:$AV324,0)),'11.销售及回款表'!L324)</f>
        <v>0</v>
      </c>
      <c r="M171" s="275">
        <f t="array" ref="M171">IF(SUM($E288:L288)&lt;1,SUM(IF('11.销售及回款表'!$E$497:$AV$540=M287,'11.销售及回款表'!$E324:$AV324,0)),'11.销售及回款表'!M324)</f>
        <v>0</v>
      </c>
      <c r="N171" s="276">
        <f t="array" ref="N171">IF(SUM($E288:M288)&lt;1,SUM(IF('11.销售及回款表'!$E$497:$AV$540=N287,'11.销售及回款表'!$E324:$AV324,0)),'11.销售及回款表'!N324)</f>
        <v>0</v>
      </c>
      <c r="O171" s="276">
        <f t="array" ref="O171">IF(SUM($E288:N288)&lt;1,SUM(IF('11.销售及回款表'!$E$497:$AV$540=O287,'11.销售及回款表'!$E324:$AV324,0)),'11.销售及回款表'!O324)</f>
        <v>0</v>
      </c>
      <c r="P171" s="277">
        <f t="array" ref="P171">IF(SUM($E288:O288)&lt;1,SUM(IF('11.销售及回款表'!$E$497:$AV$540=P287,'11.销售及回款表'!$E324:$AV324,0)),'11.销售及回款表'!P324)</f>
        <v>0</v>
      </c>
      <c r="Q171" s="275">
        <f t="array" ref="Q171">IF(SUM($E288:P288)&lt;1,SUM(IF('11.销售及回款表'!$E$497:$AV$540=Q287,'11.销售及回款表'!$E324:$AV324,0)),'11.销售及回款表'!Q324)</f>
        <v>0</v>
      </c>
      <c r="R171" s="276">
        <f t="array" ref="R171">IF(SUM($E288:Q288)&lt;1,SUM(IF('11.销售及回款表'!$E$497:$AV$540=R287,'11.销售及回款表'!$E324:$AV324,0)),'11.销售及回款表'!R324)</f>
        <v>0</v>
      </c>
      <c r="S171" s="276">
        <f t="array" ref="S171">IF(SUM($E288:R288)&lt;1,SUM(IF('11.销售及回款表'!$E$497:$AV$540=S287,'11.销售及回款表'!$E324:$AV324,0)),'11.销售及回款表'!S324)</f>
        <v>0</v>
      </c>
      <c r="T171" s="277">
        <f t="array" ref="T171">IF(SUM($E288:S288)&lt;1,SUM(IF('11.销售及回款表'!$E$497:$AV$540=T287,'11.销售及回款表'!$E324:$AV324,0)),'11.销售及回款表'!T324)</f>
        <v>0</v>
      </c>
      <c r="U171" s="275">
        <f t="array" ref="U171">IF(SUM($E288:T288)&lt;1,SUM(IF('11.销售及回款表'!$E$497:$AV$540=U287,'11.销售及回款表'!$E324:$AV324,0)),'11.销售及回款表'!U324)</f>
        <v>0</v>
      </c>
      <c r="V171" s="276">
        <f t="array" ref="V171">IF(SUM($E288:U288)&lt;1,SUM(IF('11.销售及回款表'!$E$497:$AV$540=V287,'11.销售及回款表'!$E324:$AV324,0)),'11.销售及回款表'!V324)</f>
        <v>0</v>
      </c>
      <c r="W171" s="276">
        <f t="array" ref="W171">IF(SUM($E288:V288)&lt;1,SUM(IF('11.销售及回款表'!$E$497:$AV$540=W287,'11.销售及回款表'!$E324:$AV324,0)),'11.销售及回款表'!W324)</f>
        <v>0</v>
      </c>
      <c r="X171" s="277">
        <f t="array" ref="X171">IF(SUM($E288:W288)&lt;1,SUM(IF('11.销售及回款表'!$E$497:$AV$540=X287,'11.销售及回款表'!$E324:$AV324,0)),'11.销售及回款表'!X324)</f>
        <v>0</v>
      </c>
      <c r="Y171" s="275">
        <f t="array" ref="Y171">IF(SUM($E288:X288)&lt;1,SUM(IF('11.销售及回款表'!$E$497:$AV$540=Y287,'11.销售及回款表'!$E324:$AV324,0)),'11.销售及回款表'!Y324)</f>
        <v>0</v>
      </c>
      <c r="Z171" s="276">
        <f t="array" ref="Z171">IF(SUM($E288:Y288)&lt;1,SUM(IF('11.销售及回款表'!$E$497:$AV$540=Z287,'11.销售及回款表'!$E324:$AV324,0)),'11.销售及回款表'!Z324)</f>
        <v>0</v>
      </c>
      <c r="AA171" s="276">
        <f t="array" ref="AA171">IF(SUM($E288:Z288)&lt;1,SUM(IF('11.销售及回款表'!$E$497:$AV$540=AA287,'11.销售及回款表'!$E324:$AV324,0)),'11.销售及回款表'!AA324)</f>
        <v>0</v>
      </c>
      <c r="AB171" s="277">
        <f t="array" ref="AB171">IF(SUM($E288:AA288)&lt;1,SUM(IF('11.销售及回款表'!$E$497:$AV$540=AB287,'11.销售及回款表'!$E324:$AV324,0)),'11.销售及回款表'!AB324)</f>
        <v>0</v>
      </c>
      <c r="AC171" s="275">
        <f t="array" ref="AC171">IF(SUM($E288:AB288)&lt;1,SUM(IF('11.销售及回款表'!$E$497:$AV$540=AC287,'11.销售及回款表'!$E324:$AV324,0)),'11.销售及回款表'!AC324)</f>
        <v>0</v>
      </c>
      <c r="AD171" s="276">
        <f t="array" ref="AD171">IF(SUM($E288:AC288)&lt;1,SUM(IF('11.销售及回款表'!$E$497:$AV$540=AD287,'11.销售及回款表'!$E324:$AV324,0)),'11.销售及回款表'!AD324)</f>
        <v>0</v>
      </c>
      <c r="AE171" s="276">
        <f t="array" ref="AE171">IF(SUM($E288:AD288)&lt;1,SUM(IF('11.销售及回款表'!$E$497:$AV$540=AE287,'11.销售及回款表'!$E324:$AV324,0)),'11.销售及回款表'!AE324)</f>
        <v>0</v>
      </c>
      <c r="AF171" s="277">
        <f t="array" ref="AF171">IF(SUM($E288:AE288)&lt;1,SUM(IF('11.销售及回款表'!$E$497:$AV$540=AF287,'11.销售及回款表'!$E324:$AV324,0)),'11.销售及回款表'!AF324)</f>
        <v>0</v>
      </c>
      <c r="AG171" s="275">
        <f t="array" ref="AG171">IF(SUM($E288:AF288)&lt;1,SUM(IF('11.销售及回款表'!$E$497:$AV$540=AG287,'11.销售及回款表'!$E324:$AV324,0)),'11.销售及回款表'!AG324)</f>
        <v>0</v>
      </c>
      <c r="AH171" s="276">
        <f t="array" ref="AH171">IF(SUM($E288:AG288)&lt;1,SUM(IF('11.销售及回款表'!$E$497:$AV$540=AH287,'11.销售及回款表'!$E324:$AV324,0)),'11.销售及回款表'!AH324)</f>
        <v>0</v>
      </c>
      <c r="AI171" s="276">
        <f t="array" ref="AI171">IF(SUM($E288:AH288)&lt;1,SUM(IF('11.销售及回款表'!$E$497:$AV$540=AI287,'11.销售及回款表'!$E324:$AV324,0)),'11.销售及回款表'!AI324)</f>
        <v>0</v>
      </c>
      <c r="AJ171" s="277">
        <f t="array" ref="AJ171">IF(SUM($E288:AI288)&lt;1,SUM(IF('11.销售及回款表'!$E$497:$AV$540=AJ287,'11.销售及回款表'!$E324:$AV324,0)),'11.销售及回款表'!AJ324)</f>
        <v>0</v>
      </c>
      <c r="AK171" s="275">
        <f t="array" ref="AK171">IF(SUM($E288:AJ288)&lt;1,SUM(IF('11.销售及回款表'!$E$497:$AV$540=AK287,'11.销售及回款表'!$E324:$AV324,0)),'11.销售及回款表'!AK324)</f>
        <v>0</v>
      </c>
      <c r="AL171" s="276">
        <f t="array" ref="AL171">IF(SUM($E288:AK288)&lt;1,SUM(IF('11.销售及回款表'!$E$497:$AV$540=AL287,'11.销售及回款表'!$E324:$AV324,0)),'11.销售及回款表'!AL324)</f>
        <v>0</v>
      </c>
      <c r="AM171" s="276">
        <f t="array" ref="AM171">IF(SUM($E288:AL288)&lt;1,SUM(IF('11.销售及回款表'!$E$497:$AV$540=AM287,'11.销售及回款表'!$E324:$AV324,0)),'11.销售及回款表'!AM324)</f>
        <v>0</v>
      </c>
      <c r="AN171" s="277">
        <f t="array" ref="AN171">IF(SUM($E288:AM288)&lt;1,SUM(IF('11.销售及回款表'!$E$497:$AV$540=AN287,'11.销售及回款表'!$E324:$AV324,0)),'11.销售及回款表'!AN324)</f>
        <v>0</v>
      </c>
      <c r="AO171" s="275">
        <f t="array" ref="AO171">IF(SUM($E288:AN288)&lt;1,SUM(IF('11.销售及回款表'!$E$497:$AV$540=AO287,'11.销售及回款表'!$E324:$AV324,0)),'11.销售及回款表'!AO324)</f>
        <v>0</v>
      </c>
      <c r="AP171" s="276">
        <f t="array" ref="AP171">IF(SUM($E288:AO288)&lt;1,SUM(IF('11.销售及回款表'!$E$497:$AV$540=AP287,'11.销售及回款表'!$E324:$AV324,0)),'11.销售及回款表'!AP324)</f>
        <v>0</v>
      </c>
      <c r="AQ171" s="276">
        <f t="array" ref="AQ171">IF(SUM($E288:AP288)&lt;1,SUM(IF('11.销售及回款表'!$E$497:$AV$540=AQ287,'11.销售及回款表'!$E324:$AV324,0)),'11.销售及回款表'!AQ324)</f>
        <v>0</v>
      </c>
      <c r="AR171" s="277">
        <f t="array" ref="AR171">IF(SUM($E288:AQ288)&lt;1,SUM(IF('11.销售及回款表'!$E$497:$AV$540=AR287,'11.销售及回款表'!$E324:$AV324,0)),'11.销售及回款表'!AR324)</f>
        <v>0</v>
      </c>
      <c r="AS171" s="275">
        <f t="array" ref="AS171">IF(SUM($E288:AR288)&lt;1,SUM(IF('11.销售及回款表'!$E$497:$AV$540=AS287,'11.销售及回款表'!$E324:$AV324,0)),'11.销售及回款表'!AS324)</f>
        <v>0</v>
      </c>
      <c r="AT171" s="276">
        <f t="array" ref="AT171">IF(SUM($E288:AS288)&lt;1,SUM(IF('11.销售及回款表'!$E$497:$AV$540=AT287,'11.销售及回款表'!$E324:$AV324,0)),'11.销售及回款表'!AT324)</f>
        <v>0</v>
      </c>
      <c r="AU171" s="276">
        <f t="array" ref="AU171">IF(SUM($E288:AT288)&lt;1,SUM(IF('11.销售及回款表'!$E$497:$AV$540=AU287,'11.销售及回款表'!$E324:$AV324,0)),'11.销售及回款表'!AU324)</f>
        <v>0</v>
      </c>
      <c r="AV171" s="277">
        <f t="array" ref="AV171">IF(SUM($E288:AU288)&lt;1,SUM(IF('11.销售及回款表'!$E$497:$AV$540=AV287,'11.销售及回款表'!$E324:$AV324,0)),'11.销售及回款表'!AV324)</f>
        <v>0</v>
      </c>
    </row>
    <row r="172" spans="2:48" s="257" customFormat="1" ht="15.75" customHeight="1" outlineLevel="1">
      <c r="B172" s="1980"/>
      <c r="C172" s="303">
        <f>'8.项目规划指标表'!$B$11</f>
        <v>0</v>
      </c>
      <c r="D172" s="274">
        <f t="shared" si="34"/>
        <v>0</v>
      </c>
      <c r="E172" s="275">
        <f t="array" ref="E172">IF(SUM(D290:$E290)&lt;1,SUM(IF('11.销售及回款表'!$E$497:$AV$540=E289,'11.销售及回款表'!$E329:$AV329,0)),'11.销售及回款表'!E329)</f>
        <v>0</v>
      </c>
      <c r="F172" s="276">
        <f t="array" ref="F172">IF(SUM(E290:$E290)&lt;1,SUM(IF('11.销售及回款表'!$E$497:$AV$540=F289,'11.销售及回款表'!$E329:$AV329,0)),'11.销售及回款表'!F329)</f>
        <v>0</v>
      </c>
      <c r="G172" s="276">
        <f t="array" ref="G172">IF(SUM($E290:F290)&lt;1,SUM(IF('11.销售及回款表'!$E$497:$AV$540=G289,'11.销售及回款表'!$E329:$AV329,0)),'11.销售及回款表'!G329)</f>
        <v>0</v>
      </c>
      <c r="H172" s="277">
        <f t="array" ref="H172">IF(SUM($E290:G290)&lt;1,SUM(IF('11.销售及回款表'!$E$497:$AV$540=H289,'11.销售及回款表'!$E329:$AV329,0)),'11.销售及回款表'!H329)</f>
        <v>0</v>
      </c>
      <c r="I172" s="275">
        <f t="array" ref="I172">IF(SUM($E290:H290)&lt;1,SUM(IF('11.销售及回款表'!$E$497:$AV$540=I289,'11.销售及回款表'!$E329:$AV329,0)),'11.销售及回款表'!I329)</f>
        <v>0</v>
      </c>
      <c r="J172" s="276">
        <f t="array" ref="J172">IF(SUM($E290:I290)&lt;1,SUM(IF('11.销售及回款表'!$E$497:$AV$540=J289,'11.销售及回款表'!$E329:$AV329,0)),'11.销售及回款表'!J329)</f>
        <v>0</v>
      </c>
      <c r="K172" s="276">
        <f t="array" ref="K172">IF(SUM($E290:J290)&lt;1,SUM(IF('11.销售及回款表'!$E$497:$AV$540=K289,'11.销售及回款表'!$E329:$AV329,0)),'11.销售及回款表'!K329)</f>
        <v>0</v>
      </c>
      <c r="L172" s="277">
        <f t="array" ref="L172">IF(SUM($E290:K290)&lt;1,SUM(IF('11.销售及回款表'!$E$497:$AV$540=L289,'11.销售及回款表'!$E329:$AV329,0)),'11.销售及回款表'!L329)</f>
        <v>0</v>
      </c>
      <c r="M172" s="275">
        <f t="array" ref="M172">IF(SUM($E290:L290)&lt;1,SUM(IF('11.销售及回款表'!$E$497:$AV$540=M289,'11.销售及回款表'!$E329:$AV329,0)),'11.销售及回款表'!M329)</f>
        <v>0</v>
      </c>
      <c r="N172" s="276">
        <f t="array" ref="N172">IF(SUM($E290:M290)&lt;1,SUM(IF('11.销售及回款表'!$E$497:$AV$540=N289,'11.销售及回款表'!$E329:$AV329,0)),'11.销售及回款表'!N329)</f>
        <v>0</v>
      </c>
      <c r="O172" s="276">
        <f t="array" ref="O172">IF(SUM($E290:N290)&lt;1,SUM(IF('11.销售及回款表'!$E$497:$AV$540=O289,'11.销售及回款表'!$E329:$AV329,0)),'11.销售及回款表'!O329)</f>
        <v>0</v>
      </c>
      <c r="P172" s="277">
        <f t="array" ref="P172">IF(SUM($E290:O290)&lt;1,SUM(IF('11.销售及回款表'!$E$497:$AV$540=P289,'11.销售及回款表'!$E329:$AV329,0)),'11.销售及回款表'!P329)</f>
        <v>0</v>
      </c>
      <c r="Q172" s="275">
        <f t="array" ref="Q172">IF(SUM($E290:P290)&lt;1,SUM(IF('11.销售及回款表'!$E$497:$AV$540=Q289,'11.销售及回款表'!$E329:$AV329,0)),'11.销售及回款表'!Q329)</f>
        <v>0</v>
      </c>
      <c r="R172" s="276">
        <f t="array" ref="R172">IF(SUM($E290:Q290)&lt;1,SUM(IF('11.销售及回款表'!$E$497:$AV$540=R289,'11.销售及回款表'!$E329:$AV329,0)),'11.销售及回款表'!R329)</f>
        <v>0</v>
      </c>
      <c r="S172" s="276">
        <f t="array" ref="S172">IF(SUM($E290:R290)&lt;1,SUM(IF('11.销售及回款表'!$E$497:$AV$540=S289,'11.销售及回款表'!$E329:$AV329,0)),'11.销售及回款表'!S329)</f>
        <v>0</v>
      </c>
      <c r="T172" s="277">
        <f t="array" ref="T172">IF(SUM($E290:S290)&lt;1,SUM(IF('11.销售及回款表'!$E$497:$AV$540=T289,'11.销售及回款表'!$E329:$AV329,0)),'11.销售及回款表'!T329)</f>
        <v>0</v>
      </c>
      <c r="U172" s="275">
        <f t="array" ref="U172">IF(SUM($E290:T290)&lt;1,SUM(IF('11.销售及回款表'!$E$497:$AV$540=U289,'11.销售及回款表'!$E329:$AV329,0)),'11.销售及回款表'!U329)</f>
        <v>0</v>
      </c>
      <c r="V172" s="276">
        <f t="array" ref="V172">IF(SUM($E290:U290)&lt;1,SUM(IF('11.销售及回款表'!$E$497:$AV$540=V289,'11.销售及回款表'!$E329:$AV329,0)),'11.销售及回款表'!V329)</f>
        <v>0</v>
      </c>
      <c r="W172" s="276">
        <f t="array" ref="W172">IF(SUM($E290:V290)&lt;1,SUM(IF('11.销售及回款表'!$E$497:$AV$540=W289,'11.销售及回款表'!$E329:$AV329,0)),'11.销售及回款表'!W329)</f>
        <v>0</v>
      </c>
      <c r="X172" s="277">
        <f t="array" ref="X172">IF(SUM($E290:W290)&lt;1,SUM(IF('11.销售及回款表'!$E$497:$AV$540=X289,'11.销售及回款表'!$E329:$AV329,0)),'11.销售及回款表'!X329)</f>
        <v>0</v>
      </c>
      <c r="Y172" s="275">
        <f t="array" ref="Y172">IF(SUM($E290:X290)&lt;1,SUM(IF('11.销售及回款表'!$E$497:$AV$540=Y289,'11.销售及回款表'!$E329:$AV329,0)),'11.销售及回款表'!Y329)</f>
        <v>0</v>
      </c>
      <c r="Z172" s="276">
        <f t="array" ref="Z172">IF(SUM($E290:Y290)&lt;1,SUM(IF('11.销售及回款表'!$E$497:$AV$540=Z289,'11.销售及回款表'!$E329:$AV329,0)),'11.销售及回款表'!Z329)</f>
        <v>0</v>
      </c>
      <c r="AA172" s="276">
        <f t="array" ref="AA172">IF(SUM($E290:Z290)&lt;1,SUM(IF('11.销售及回款表'!$E$497:$AV$540=AA289,'11.销售及回款表'!$E329:$AV329,0)),'11.销售及回款表'!AA329)</f>
        <v>0</v>
      </c>
      <c r="AB172" s="277">
        <f t="array" ref="AB172">IF(SUM($E290:AA290)&lt;1,SUM(IF('11.销售及回款表'!$E$497:$AV$540=AB289,'11.销售及回款表'!$E329:$AV329,0)),'11.销售及回款表'!AB329)</f>
        <v>0</v>
      </c>
      <c r="AC172" s="275">
        <f t="array" ref="AC172">IF(SUM($E290:AB290)&lt;1,SUM(IF('11.销售及回款表'!$E$497:$AV$540=AC289,'11.销售及回款表'!$E329:$AV329,0)),'11.销售及回款表'!AC329)</f>
        <v>0</v>
      </c>
      <c r="AD172" s="276">
        <f t="array" ref="AD172">IF(SUM($E290:AC290)&lt;1,SUM(IF('11.销售及回款表'!$E$497:$AV$540=AD289,'11.销售及回款表'!$E329:$AV329,0)),'11.销售及回款表'!AD329)</f>
        <v>0</v>
      </c>
      <c r="AE172" s="276">
        <f t="array" ref="AE172">IF(SUM($E290:AD290)&lt;1,SUM(IF('11.销售及回款表'!$E$497:$AV$540=AE289,'11.销售及回款表'!$E329:$AV329,0)),'11.销售及回款表'!AE329)</f>
        <v>0</v>
      </c>
      <c r="AF172" s="277">
        <f t="array" ref="AF172">IF(SUM($E290:AE290)&lt;1,SUM(IF('11.销售及回款表'!$E$497:$AV$540=AF289,'11.销售及回款表'!$E329:$AV329,0)),'11.销售及回款表'!AF329)</f>
        <v>0</v>
      </c>
      <c r="AG172" s="275">
        <f t="array" ref="AG172">IF(SUM($E290:AF290)&lt;1,SUM(IF('11.销售及回款表'!$E$497:$AV$540=AG289,'11.销售及回款表'!$E329:$AV329,0)),'11.销售及回款表'!AG329)</f>
        <v>0</v>
      </c>
      <c r="AH172" s="276">
        <f t="array" ref="AH172">IF(SUM($E290:AG290)&lt;1,SUM(IF('11.销售及回款表'!$E$497:$AV$540=AH289,'11.销售及回款表'!$E329:$AV329,0)),'11.销售及回款表'!AH329)</f>
        <v>0</v>
      </c>
      <c r="AI172" s="276">
        <f t="array" ref="AI172">IF(SUM($E290:AH290)&lt;1,SUM(IF('11.销售及回款表'!$E$497:$AV$540=AI289,'11.销售及回款表'!$E329:$AV329,0)),'11.销售及回款表'!AI329)</f>
        <v>0</v>
      </c>
      <c r="AJ172" s="277">
        <f t="array" ref="AJ172">IF(SUM($E290:AI290)&lt;1,SUM(IF('11.销售及回款表'!$E$497:$AV$540=AJ289,'11.销售及回款表'!$E329:$AV329,0)),'11.销售及回款表'!AJ329)</f>
        <v>0</v>
      </c>
      <c r="AK172" s="275">
        <f t="array" ref="AK172">IF(SUM($E290:AJ290)&lt;1,SUM(IF('11.销售及回款表'!$E$497:$AV$540=AK289,'11.销售及回款表'!$E329:$AV329,0)),'11.销售及回款表'!AK329)</f>
        <v>0</v>
      </c>
      <c r="AL172" s="276">
        <f t="array" ref="AL172">IF(SUM($E290:AK290)&lt;1,SUM(IF('11.销售及回款表'!$E$497:$AV$540=AL289,'11.销售及回款表'!$E329:$AV329,0)),'11.销售及回款表'!AL329)</f>
        <v>0</v>
      </c>
      <c r="AM172" s="276">
        <f t="array" ref="AM172">IF(SUM($E290:AL290)&lt;1,SUM(IF('11.销售及回款表'!$E$497:$AV$540=AM289,'11.销售及回款表'!$E329:$AV329,0)),'11.销售及回款表'!AM329)</f>
        <v>0</v>
      </c>
      <c r="AN172" s="277">
        <f t="array" ref="AN172">IF(SUM($E290:AM290)&lt;1,SUM(IF('11.销售及回款表'!$E$497:$AV$540=AN289,'11.销售及回款表'!$E329:$AV329,0)),'11.销售及回款表'!AN329)</f>
        <v>0</v>
      </c>
      <c r="AO172" s="275">
        <f t="array" ref="AO172">IF(SUM($E290:AN290)&lt;1,SUM(IF('11.销售及回款表'!$E$497:$AV$540=AO289,'11.销售及回款表'!$E329:$AV329,0)),'11.销售及回款表'!AO329)</f>
        <v>0</v>
      </c>
      <c r="AP172" s="276">
        <f t="array" ref="AP172">IF(SUM($E290:AO290)&lt;1,SUM(IF('11.销售及回款表'!$E$497:$AV$540=AP289,'11.销售及回款表'!$E329:$AV329,0)),'11.销售及回款表'!AP329)</f>
        <v>0</v>
      </c>
      <c r="AQ172" s="276">
        <f t="array" ref="AQ172">IF(SUM($E290:AP290)&lt;1,SUM(IF('11.销售及回款表'!$E$497:$AV$540=AQ289,'11.销售及回款表'!$E329:$AV329,0)),'11.销售及回款表'!AQ329)</f>
        <v>0</v>
      </c>
      <c r="AR172" s="277">
        <f t="array" ref="AR172">IF(SUM($E290:AQ290)&lt;1,SUM(IF('11.销售及回款表'!$E$497:$AV$540=AR289,'11.销售及回款表'!$E329:$AV329,0)),'11.销售及回款表'!AR329)</f>
        <v>0</v>
      </c>
      <c r="AS172" s="275">
        <f t="array" ref="AS172">IF(SUM($E290:AR290)&lt;1,SUM(IF('11.销售及回款表'!$E$497:$AV$540=AS289,'11.销售及回款表'!$E329:$AV329,0)),'11.销售及回款表'!AS329)</f>
        <v>0</v>
      </c>
      <c r="AT172" s="276">
        <f t="array" ref="AT172">IF(SUM($E290:AS290)&lt;1,SUM(IF('11.销售及回款表'!$E$497:$AV$540=AT289,'11.销售及回款表'!$E329:$AV329,0)),'11.销售及回款表'!AT329)</f>
        <v>0</v>
      </c>
      <c r="AU172" s="276">
        <f t="array" ref="AU172">IF(SUM($E290:AT290)&lt;1,SUM(IF('11.销售及回款表'!$E$497:$AV$540=AU289,'11.销售及回款表'!$E329:$AV329,0)),'11.销售及回款表'!AU329)</f>
        <v>0</v>
      </c>
      <c r="AV172" s="277">
        <f t="array" ref="AV172">IF(SUM($E290:AU290)&lt;1,SUM(IF('11.销售及回款表'!$E$497:$AV$540=AV289,'11.销售及回款表'!$E329:$AV329,0)),'11.销售及回款表'!AV329)</f>
        <v>0</v>
      </c>
    </row>
    <row r="173" spans="2:48" s="257" customFormat="1" ht="15.75" customHeight="1" outlineLevel="1">
      <c r="B173" s="1980"/>
      <c r="C173" s="303">
        <f>'8.项目规划指标表'!$B$12</f>
        <v>0</v>
      </c>
      <c r="D173" s="274">
        <f t="shared" si="34"/>
        <v>0</v>
      </c>
      <c r="E173" s="275">
        <f t="array" ref="E173">IF(SUM(D292:$E292)&lt;1,SUM(IF('11.销售及回款表'!$E$497:$AV$540=E291,'11.销售及回款表'!$E334:$AV334,0)),'11.销售及回款表'!E334)</f>
        <v>0</v>
      </c>
      <c r="F173" s="276">
        <f t="array" ref="F173">IF(SUM(E292:$E292)&lt;1,SUM(IF('11.销售及回款表'!$E$497:$AV$540=F291,'11.销售及回款表'!$E334:$AV334,0)),'11.销售及回款表'!F334)</f>
        <v>0</v>
      </c>
      <c r="G173" s="276">
        <f t="array" ref="G173">IF(SUM($E292:F292)&lt;1,SUM(IF('11.销售及回款表'!$E$497:$AV$540=G291,'11.销售及回款表'!$E334:$AV334,0)),'11.销售及回款表'!G334)</f>
        <v>0</v>
      </c>
      <c r="H173" s="277">
        <f t="array" ref="H173">IF(SUM($E292:G292)&lt;1,SUM(IF('11.销售及回款表'!$E$497:$AV$540=H291,'11.销售及回款表'!$E334:$AV334,0)),'11.销售及回款表'!H334)</f>
        <v>0</v>
      </c>
      <c r="I173" s="275">
        <f t="array" ref="I173">IF(SUM($E292:H292)&lt;1,SUM(IF('11.销售及回款表'!$E$497:$AV$540=I291,'11.销售及回款表'!$E334:$AV334,0)),'11.销售及回款表'!I334)</f>
        <v>0</v>
      </c>
      <c r="J173" s="276">
        <f t="array" ref="J173">IF(SUM($E292:I292)&lt;1,SUM(IF('11.销售及回款表'!$E$497:$AV$540=J291,'11.销售及回款表'!$E334:$AV334,0)),'11.销售及回款表'!J334)</f>
        <v>0</v>
      </c>
      <c r="K173" s="276">
        <f t="array" ref="K173">IF(SUM($E292:J292)&lt;1,SUM(IF('11.销售及回款表'!$E$497:$AV$540=K291,'11.销售及回款表'!$E334:$AV334,0)),'11.销售及回款表'!K334)</f>
        <v>0</v>
      </c>
      <c r="L173" s="277">
        <f t="array" ref="L173">IF(SUM($E292:K292)&lt;1,SUM(IF('11.销售及回款表'!$E$497:$AV$540=L291,'11.销售及回款表'!$E334:$AV334,0)),'11.销售及回款表'!L334)</f>
        <v>0</v>
      </c>
      <c r="M173" s="275">
        <f t="array" ref="M173">IF(SUM($E292:L292)&lt;1,SUM(IF('11.销售及回款表'!$E$497:$AV$540=M291,'11.销售及回款表'!$E334:$AV334,0)),'11.销售及回款表'!M334)</f>
        <v>0</v>
      </c>
      <c r="N173" s="276">
        <f t="array" ref="N173">IF(SUM($E292:M292)&lt;1,SUM(IF('11.销售及回款表'!$E$497:$AV$540=N291,'11.销售及回款表'!$E334:$AV334,0)),'11.销售及回款表'!N334)</f>
        <v>0</v>
      </c>
      <c r="O173" s="276">
        <f t="array" ref="O173">IF(SUM($E292:N292)&lt;1,SUM(IF('11.销售及回款表'!$E$497:$AV$540=O291,'11.销售及回款表'!$E334:$AV334,0)),'11.销售及回款表'!O334)</f>
        <v>0</v>
      </c>
      <c r="P173" s="277">
        <f t="array" ref="P173">IF(SUM($E292:O292)&lt;1,SUM(IF('11.销售及回款表'!$E$497:$AV$540=P291,'11.销售及回款表'!$E334:$AV334,0)),'11.销售及回款表'!P334)</f>
        <v>0</v>
      </c>
      <c r="Q173" s="275">
        <f t="array" ref="Q173">IF(SUM($E292:P292)&lt;1,SUM(IF('11.销售及回款表'!$E$497:$AV$540=Q291,'11.销售及回款表'!$E334:$AV334,0)),'11.销售及回款表'!Q334)</f>
        <v>0</v>
      </c>
      <c r="R173" s="276">
        <f t="array" ref="R173">IF(SUM($E292:Q292)&lt;1,SUM(IF('11.销售及回款表'!$E$497:$AV$540=R291,'11.销售及回款表'!$E334:$AV334,0)),'11.销售及回款表'!R334)</f>
        <v>0</v>
      </c>
      <c r="S173" s="276">
        <f t="array" ref="S173">IF(SUM($E292:R292)&lt;1,SUM(IF('11.销售及回款表'!$E$497:$AV$540=S291,'11.销售及回款表'!$E334:$AV334,0)),'11.销售及回款表'!S334)</f>
        <v>0</v>
      </c>
      <c r="T173" s="277">
        <f t="array" ref="T173">IF(SUM($E292:S292)&lt;1,SUM(IF('11.销售及回款表'!$E$497:$AV$540=T291,'11.销售及回款表'!$E334:$AV334,0)),'11.销售及回款表'!T334)</f>
        <v>0</v>
      </c>
      <c r="U173" s="275">
        <f t="array" ref="U173">IF(SUM($E292:T292)&lt;1,SUM(IF('11.销售及回款表'!$E$497:$AV$540=U291,'11.销售及回款表'!$E334:$AV334,0)),'11.销售及回款表'!U334)</f>
        <v>0</v>
      </c>
      <c r="V173" s="276">
        <f t="array" ref="V173">IF(SUM($E292:U292)&lt;1,SUM(IF('11.销售及回款表'!$E$497:$AV$540=V291,'11.销售及回款表'!$E334:$AV334,0)),'11.销售及回款表'!V334)</f>
        <v>0</v>
      </c>
      <c r="W173" s="276">
        <f t="array" ref="W173">IF(SUM($E292:V292)&lt;1,SUM(IF('11.销售及回款表'!$E$497:$AV$540=W291,'11.销售及回款表'!$E334:$AV334,0)),'11.销售及回款表'!W334)</f>
        <v>0</v>
      </c>
      <c r="X173" s="277">
        <f t="array" ref="X173">IF(SUM($E292:W292)&lt;1,SUM(IF('11.销售及回款表'!$E$497:$AV$540=X291,'11.销售及回款表'!$E334:$AV334,0)),'11.销售及回款表'!X334)</f>
        <v>0</v>
      </c>
      <c r="Y173" s="275">
        <f t="array" ref="Y173">IF(SUM($E292:X292)&lt;1,SUM(IF('11.销售及回款表'!$E$497:$AV$540=Y291,'11.销售及回款表'!$E334:$AV334,0)),'11.销售及回款表'!Y334)</f>
        <v>0</v>
      </c>
      <c r="Z173" s="276">
        <f t="array" ref="Z173">IF(SUM($E292:Y292)&lt;1,SUM(IF('11.销售及回款表'!$E$497:$AV$540=Z291,'11.销售及回款表'!$E334:$AV334,0)),'11.销售及回款表'!Z334)</f>
        <v>0</v>
      </c>
      <c r="AA173" s="276">
        <f t="array" ref="AA173">IF(SUM($E292:Z292)&lt;1,SUM(IF('11.销售及回款表'!$E$497:$AV$540=AA291,'11.销售及回款表'!$E334:$AV334,0)),'11.销售及回款表'!AA334)</f>
        <v>0</v>
      </c>
      <c r="AB173" s="277">
        <f t="array" ref="AB173">IF(SUM($E292:AA292)&lt;1,SUM(IF('11.销售及回款表'!$E$497:$AV$540=AB291,'11.销售及回款表'!$E334:$AV334,0)),'11.销售及回款表'!AB334)</f>
        <v>0</v>
      </c>
      <c r="AC173" s="275">
        <f t="array" ref="AC173">IF(SUM($E292:AB292)&lt;1,SUM(IF('11.销售及回款表'!$E$497:$AV$540=AC291,'11.销售及回款表'!$E334:$AV334,0)),'11.销售及回款表'!AC334)</f>
        <v>0</v>
      </c>
      <c r="AD173" s="276">
        <f t="array" ref="AD173">IF(SUM($E292:AC292)&lt;1,SUM(IF('11.销售及回款表'!$E$497:$AV$540=AD291,'11.销售及回款表'!$E334:$AV334,0)),'11.销售及回款表'!AD334)</f>
        <v>0</v>
      </c>
      <c r="AE173" s="276">
        <f t="array" ref="AE173">IF(SUM($E292:AD292)&lt;1,SUM(IF('11.销售及回款表'!$E$497:$AV$540=AE291,'11.销售及回款表'!$E334:$AV334,0)),'11.销售及回款表'!AE334)</f>
        <v>0</v>
      </c>
      <c r="AF173" s="277">
        <f t="array" ref="AF173">IF(SUM($E292:AE292)&lt;1,SUM(IF('11.销售及回款表'!$E$497:$AV$540=AF291,'11.销售及回款表'!$E334:$AV334,0)),'11.销售及回款表'!AF334)</f>
        <v>0</v>
      </c>
      <c r="AG173" s="275">
        <f t="array" ref="AG173">IF(SUM($E292:AF292)&lt;1,SUM(IF('11.销售及回款表'!$E$497:$AV$540=AG291,'11.销售及回款表'!$E334:$AV334,0)),'11.销售及回款表'!AG334)</f>
        <v>0</v>
      </c>
      <c r="AH173" s="276">
        <f t="array" ref="AH173">IF(SUM($E292:AG292)&lt;1,SUM(IF('11.销售及回款表'!$E$497:$AV$540=AH291,'11.销售及回款表'!$E334:$AV334,0)),'11.销售及回款表'!AH334)</f>
        <v>0</v>
      </c>
      <c r="AI173" s="276">
        <f t="array" ref="AI173">IF(SUM($E292:AH292)&lt;1,SUM(IF('11.销售及回款表'!$E$497:$AV$540=AI291,'11.销售及回款表'!$E334:$AV334,0)),'11.销售及回款表'!AI334)</f>
        <v>0</v>
      </c>
      <c r="AJ173" s="277">
        <f t="array" ref="AJ173">IF(SUM($E292:AI292)&lt;1,SUM(IF('11.销售及回款表'!$E$497:$AV$540=AJ291,'11.销售及回款表'!$E334:$AV334,0)),'11.销售及回款表'!AJ334)</f>
        <v>0</v>
      </c>
      <c r="AK173" s="275">
        <f t="array" ref="AK173">IF(SUM($E292:AJ292)&lt;1,SUM(IF('11.销售及回款表'!$E$497:$AV$540=AK291,'11.销售及回款表'!$E334:$AV334,0)),'11.销售及回款表'!AK334)</f>
        <v>0</v>
      </c>
      <c r="AL173" s="276">
        <f t="array" ref="AL173">IF(SUM($E292:AK292)&lt;1,SUM(IF('11.销售及回款表'!$E$497:$AV$540=AL291,'11.销售及回款表'!$E334:$AV334,0)),'11.销售及回款表'!AL334)</f>
        <v>0</v>
      </c>
      <c r="AM173" s="276">
        <f t="array" ref="AM173">IF(SUM($E292:AL292)&lt;1,SUM(IF('11.销售及回款表'!$E$497:$AV$540=AM291,'11.销售及回款表'!$E334:$AV334,0)),'11.销售及回款表'!AM334)</f>
        <v>0</v>
      </c>
      <c r="AN173" s="277">
        <f t="array" ref="AN173">IF(SUM($E292:AM292)&lt;1,SUM(IF('11.销售及回款表'!$E$497:$AV$540=AN291,'11.销售及回款表'!$E334:$AV334,0)),'11.销售及回款表'!AN334)</f>
        <v>0</v>
      </c>
      <c r="AO173" s="275">
        <f t="array" ref="AO173">IF(SUM($E292:AN292)&lt;1,SUM(IF('11.销售及回款表'!$E$497:$AV$540=AO291,'11.销售及回款表'!$E334:$AV334,0)),'11.销售及回款表'!AO334)</f>
        <v>0</v>
      </c>
      <c r="AP173" s="276">
        <f t="array" ref="AP173">IF(SUM($E292:AO292)&lt;1,SUM(IF('11.销售及回款表'!$E$497:$AV$540=AP291,'11.销售及回款表'!$E334:$AV334,0)),'11.销售及回款表'!AP334)</f>
        <v>0</v>
      </c>
      <c r="AQ173" s="276">
        <f t="array" ref="AQ173">IF(SUM($E292:AP292)&lt;1,SUM(IF('11.销售及回款表'!$E$497:$AV$540=AQ291,'11.销售及回款表'!$E334:$AV334,0)),'11.销售及回款表'!AQ334)</f>
        <v>0</v>
      </c>
      <c r="AR173" s="277">
        <f t="array" ref="AR173">IF(SUM($E292:AQ292)&lt;1,SUM(IF('11.销售及回款表'!$E$497:$AV$540=AR291,'11.销售及回款表'!$E334:$AV334,0)),'11.销售及回款表'!AR334)</f>
        <v>0</v>
      </c>
      <c r="AS173" s="275">
        <f t="array" ref="AS173">IF(SUM($E292:AR292)&lt;1,SUM(IF('11.销售及回款表'!$E$497:$AV$540=AS291,'11.销售及回款表'!$E334:$AV334,0)),'11.销售及回款表'!AS334)</f>
        <v>0</v>
      </c>
      <c r="AT173" s="276">
        <f t="array" ref="AT173">IF(SUM($E292:AS292)&lt;1,SUM(IF('11.销售及回款表'!$E$497:$AV$540=AT291,'11.销售及回款表'!$E334:$AV334,0)),'11.销售及回款表'!AT334)</f>
        <v>0</v>
      </c>
      <c r="AU173" s="276">
        <f t="array" ref="AU173">IF(SUM($E292:AT292)&lt;1,SUM(IF('11.销售及回款表'!$E$497:$AV$540=AU291,'11.销售及回款表'!$E334:$AV334,0)),'11.销售及回款表'!AU334)</f>
        <v>0</v>
      </c>
      <c r="AV173" s="277">
        <f t="array" ref="AV173">IF(SUM($E292:AU292)&lt;1,SUM(IF('11.销售及回款表'!$E$497:$AV$540=AV291,'11.销售及回款表'!$E334:$AV334,0)),'11.销售及回款表'!AV334)</f>
        <v>0</v>
      </c>
    </row>
    <row r="174" spans="2:48" s="257" customFormat="1" ht="15.75" customHeight="1" outlineLevel="1">
      <c r="B174" s="1980"/>
      <c r="C174" s="303">
        <f>'8.项目规划指标表'!$B$13</f>
        <v>0</v>
      </c>
      <c r="D174" s="274">
        <f t="shared" si="34"/>
        <v>0</v>
      </c>
      <c r="E174" s="275">
        <f t="array" ref="E174">IF(SUM(D294:$E294)&lt;1,SUM(IF('11.销售及回款表'!$E$497:$AV$540=E293,'11.销售及回款表'!$E339:$AV339,0)),'11.销售及回款表'!E339)</f>
        <v>0</v>
      </c>
      <c r="F174" s="276">
        <f t="array" ref="F174">IF(SUM(E294:$E294)&lt;1,SUM(IF('11.销售及回款表'!$E$497:$AV$540=F293,'11.销售及回款表'!$E339:$AV339,0)),'11.销售及回款表'!F339)</f>
        <v>0</v>
      </c>
      <c r="G174" s="276">
        <f t="array" ref="G174">IF(SUM($E294:F294)&lt;1,SUM(IF('11.销售及回款表'!$E$497:$AV$540=G293,'11.销售及回款表'!$E339:$AV339,0)),'11.销售及回款表'!G339)</f>
        <v>0</v>
      </c>
      <c r="H174" s="277">
        <f t="array" ref="H174">IF(SUM($E294:G294)&lt;1,SUM(IF('11.销售及回款表'!$E$497:$AV$540=H293,'11.销售及回款表'!$E339:$AV339,0)),'11.销售及回款表'!H339)</f>
        <v>0</v>
      </c>
      <c r="I174" s="275">
        <f t="array" ref="I174">IF(SUM($E294:H294)&lt;1,SUM(IF('11.销售及回款表'!$E$497:$AV$540=I293,'11.销售及回款表'!$E339:$AV339,0)),'11.销售及回款表'!I339)</f>
        <v>0</v>
      </c>
      <c r="J174" s="276">
        <f t="array" ref="J174">IF(SUM($E294:I294)&lt;1,SUM(IF('11.销售及回款表'!$E$497:$AV$540=J293,'11.销售及回款表'!$E339:$AV339,0)),'11.销售及回款表'!J339)</f>
        <v>0</v>
      </c>
      <c r="K174" s="276">
        <f t="array" ref="K174">IF(SUM($E294:J294)&lt;1,SUM(IF('11.销售及回款表'!$E$497:$AV$540=K293,'11.销售及回款表'!$E339:$AV339,0)),'11.销售及回款表'!K339)</f>
        <v>0</v>
      </c>
      <c r="L174" s="277">
        <f t="array" ref="L174">IF(SUM($E294:K294)&lt;1,SUM(IF('11.销售及回款表'!$E$497:$AV$540=L293,'11.销售及回款表'!$E339:$AV339,0)),'11.销售及回款表'!L339)</f>
        <v>0</v>
      </c>
      <c r="M174" s="275">
        <f t="array" ref="M174">IF(SUM($E294:L294)&lt;1,SUM(IF('11.销售及回款表'!$E$497:$AV$540=M293,'11.销售及回款表'!$E339:$AV339,0)),'11.销售及回款表'!M339)</f>
        <v>0</v>
      </c>
      <c r="N174" s="276">
        <f t="array" ref="N174">IF(SUM($E294:M294)&lt;1,SUM(IF('11.销售及回款表'!$E$497:$AV$540=N293,'11.销售及回款表'!$E339:$AV339,0)),'11.销售及回款表'!N339)</f>
        <v>0</v>
      </c>
      <c r="O174" s="276">
        <f t="array" ref="O174">IF(SUM($E294:N294)&lt;1,SUM(IF('11.销售及回款表'!$E$497:$AV$540=O293,'11.销售及回款表'!$E339:$AV339,0)),'11.销售及回款表'!O339)</f>
        <v>0</v>
      </c>
      <c r="P174" s="277">
        <f t="array" ref="P174">IF(SUM($E294:O294)&lt;1,SUM(IF('11.销售及回款表'!$E$497:$AV$540=P293,'11.销售及回款表'!$E339:$AV339,0)),'11.销售及回款表'!P339)</f>
        <v>0</v>
      </c>
      <c r="Q174" s="275">
        <f t="array" ref="Q174">IF(SUM($E294:P294)&lt;1,SUM(IF('11.销售及回款表'!$E$497:$AV$540=Q293,'11.销售及回款表'!$E339:$AV339,0)),'11.销售及回款表'!Q339)</f>
        <v>0</v>
      </c>
      <c r="R174" s="276">
        <f t="array" ref="R174">IF(SUM($E294:Q294)&lt;1,SUM(IF('11.销售及回款表'!$E$497:$AV$540=R293,'11.销售及回款表'!$E339:$AV339,0)),'11.销售及回款表'!R339)</f>
        <v>0</v>
      </c>
      <c r="S174" s="276">
        <f t="array" ref="S174">IF(SUM($E294:R294)&lt;1,SUM(IF('11.销售及回款表'!$E$497:$AV$540=S293,'11.销售及回款表'!$E339:$AV339,0)),'11.销售及回款表'!S339)</f>
        <v>0</v>
      </c>
      <c r="T174" s="277">
        <f t="array" ref="T174">IF(SUM($E294:S294)&lt;1,SUM(IF('11.销售及回款表'!$E$497:$AV$540=T293,'11.销售及回款表'!$E339:$AV339,0)),'11.销售及回款表'!T339)</f>
        <v>0</v>
      </c>
      <c r="U174" s="275">
        <f t="array" ref="U174">IF(SUM($E294:T294)&lt;1,SUM(IF('11.销售及回款表'!$E$497:$AV$540=U293,'11.销售及回款表'!$E339:$AV339,0)),'11.销售及回款表'!U339)</f>
        <v>0</v>
      </c>
      <c r="V174" s="276">
        <f t="array" ref="V174">IF(SUM($E294:U294)&lt;1,SUM(IF('11.销售及回款表'!$E$497:$AV$540=V293,'11.销售及回款表'!$E339:$AV339,0)),'11.销售及回款表'!V339)</f>
        <v>0</v>
      </c>
      <c r="W174" s="276">
        <f t="array" ref="W174">IF(SUM($E294:V294)&lt;1,SUM(IF('11.销售及回款表'!$E$497:$AV$540=W293,'11.销售及回款表'!$E339:$AV339,0)),'11.销售及回款表'!W339)</f>
        <v>0</v>
      </c>
      <c r="X174" s="277">
        <f t="array" ref="X174">IF(SUM($E294:W294)&lt;1,SUM(IF('11.销售及回款表'!$E$497:$AV$540=X293,'11.销售及回款表'!$E339:$AV339,0)),'11.销售及回款表'!X339)</f>
        <v>0</v>
      </c>
      <c r="Y174" s="275">
        <f t="array" ref="Y174">IF(SUM($E294:X294)&lt;1,SUM(IF('11.销售及回款表'!$E$497:$AV$540=Y293,'11.销售及回款表'!$E339:$AV339,0)),'11.销售及回款表'!Y339)</f>
        <v>0</v>
      </c>
      <c r="Z174" s="276">
        <f t="array" ref="Z174">IF(SUM($E294:Y294)&lt;1,SUM(IF('11.销售及回款表'!$E$497:$AV$540=Z293,'11.销售及回款表'!$E339:$AV339,0)),'11.销售及回款表'!Z339)</f>
        <v>0</v>
      </c>
      <c r="AA174" s="276">
        <f t="array" ref="AA174">IF(SUM($E294:Z294)&lt;1,SUM(IF('11.销售及回款表'!$E$497:$AV$540=AA293,'11.销售及回款表'!$E339:$AV339,0)),'11.销售及回款表'!AA339)</f>
        <v>0</v>
      </c>
      <c r="AB174" s="277">
        <f t="array" ref="AB174">IF(SUM($E294:AA294)&lt;1,SUM(IF('11.销售及回款表'!$E$497:$AV$540=AB293,'11.销售及回款表'!$E339:$AV339,0)),'11.销售及回款表'!AB339)</f>
        <v>0</v>
      </c>
      <c r="AC174" s="275">
        <f t="array" ref="AC174">IF(SUM($E294:AB294)&lt;1,SUM(IF('11.销售及回款表'!$E$497:$AV$540=AC293,'11.销售及回款表'!$E339:$AV339,0)),'11.销售及回款表'!AC339)</f>
        <v>0</v>
      </c>
      <c r="AD174" s="276">
        <f t="array" ref="AD174">IF(SUM($E294:AC294)&lt;1,SUM(IF('11.销售及回款表'!$E$497:$AV$540=AD293,'11.销售及回款表'!$E339:$AV339,0)),'11.销售及回款表'!AD339)</f>
        <v>0</v>
      </c>
      <c r="AE174" s="276">
        <f t="array" ref="AE174">IF(SUM($E294:AD294)&lt;1,SUM(IF('11.销售及回款表'!$E$497:$AV$540=AE293,'11.销售及回款表'!$E339:$AV339,0)),'11.销售及回款表'!AE339)</f>
        <v>0</v>
      </c>
      <c r="AF174" s="277">
        <f t="array" ref="AF174">IF(SUM($E294:AE294)&lt;1,SUM(IF('11.销售及回款表'!$E$497:$AV$540=AF293,'11.销售及回款表'!$E339:$AV339,0)),'11.销售及回款表'!AF339)</f>
        <v>0</v>
      </c>
      <c r="AG174" s="275">
        <f t="array" ref="AG174">IF(SUM($E294:AF294)&lt;1,SUM(IF('11.销售及回款表'!$E$497:$AV$540=AG293,'11.销售及回款表'!$E339:$AV339,0)),'11.销售及回款表'!AG339)</f>
        <v>0</v>
      </c>
      <c r="AH174" s="276">
        <f t="array" ref="AH174">IF(SUM($E294:AG294)&lt;1,SUM(IF('11.销售及回款表'!$E$497:$AV$540=AH293,'11.销售及回款表'!$E339:$AV339,0)),'11.销售及回款表'!AH339)</f>
        <v>0</v>
      </c>
      <c r="AI174" s="276">
        <f t="array" ref="AI174">IF(SUM($E294:AH294)&lt;1,SUM(IF('11.销售及回款表'!$E$497:$AV$540=AI293,'11.销售及回款表'!$E339:$AV339,0)),'11.销售及回款表'!AI339)</f>
        <v>0</v>
      </c>
      <c r="AJ174" s="277">
        <f t="array" ref="AJ174">IF(SUM($E294:AI294)&lt;1,SUM(IF('11.销售及回款表'!$E$497:$AV$540=AJ293,'11.销售及回款表'!$E339:$AV339,0)),'11.销售及回款表'!AJ339)</f>
        <v>0</v>
      </c>
      <c r="AK174" s="275">
        <f t="array" ref="AK174">IF(SUM($E294:AJ294)&lt;1,SUM(IF('11.销售及回款表'!$E$497:$AV$540=AK293,'11.销售及回款表'!$E339:$AV339,0)),'11.销售及回款表'!AK339)</f>
        <v>0</v>
      </c>
      <c r="AL174" s="276">
        <f t="array" ref="AL174">IF(SUM($E294:AK294)&lt;1,SUM(IF('11.销售及回款表'!$E$497:$AV$540=AL293,'11.销售及回款表'!$E339:$AV339,0)),'11.销售及回款表'!AL339)</f>
        <v>0</v>
      </c>
      <c r="AM174" s="276">
        <f t="array" ref="AM174">IF(SUM($E294:AL294)&lt;1,SUM(IF('11.销售及回款表'!$E$497:$AV$540=AM293,'11.销售及回款表'!$E339:$AV339,0)),'11.销售及回款表'!AM339)</f>
        <v>0</v>
      </c>
      <c r="AN174" s="277">
        <f t="array" ref="AN174">IF(SUM($E294:AM294)&lt;1,SUM(IF('11.销售及回款表'!$E$497:$AV$540=AN293,'11.销售及回款表'!$E339:$AV339,0)),'11.销售及回款表'!AN339)</f>
        <v>0</v>
      </c>
      <c r="AO174" s="275">
        <f t="array" ref="AO174">IF(SUM($E294:AN294)&lt;1,SUM(IF('11.销售及回款表'!$E$497:$AV$540=AO293,'11.销售及回款表'!$E339:$AV339,0)),'11.销售及回款表'!AO339)</f>
        <v>0</v>
      </c>
      <c r="AP174" s="276">
        <f t="array" ref="AP174">IF(SUM($E294:AO294)&lt;1,SUM(IF('11.销售及回款表'!$E$497:$AV$540=AP293,'11.销售及回款表'!$E339:$AV339,0)),'11.销售及回款表'!AP339)</f>
        <v>0</v>
      </c>
      <c r="AQ174" s="276">
        <f t="array" ref="AQ174">IF(SUM($E294:AP294)&lt;1,SUM(IF('11.销售及回款表'!$E$497:$AV$540=AQ293,'11.销售及回款表'!$E339:$AV339,0)),'11.销售及回款表'!AQ339)</f>
        <v>0</v>
      </c>
      <c r="AR174" s="277">
        <f t="array" ref="AR174">IF(SUM($E294:AQ294)&lt;1,SUM(IF('11.销售及回款表'!$E$497:$AV$540=AR293,'11.销售及回款表'!$E339:$AV339,0)),'11.销售及回款表'!AR339)</f>
        <v>0</v>
      </c>
      <c r="AS174" s="275">
        <f t="array" ref="AS174">IF(SUM($E294:AR294)&lt;1,SUM(IF('11.销售及回款表'!$E$497:$AV$540=AS293,'11.销售及回款表'!$E339:$AV339,0)),'11.销售及回款表'!AS339)</f>
        <v>0</v>
      </c>
      <c r="AT174" s="276">
        <f t="array" ref="AT174">IF(SUM($E294:AS294)&lt;1,SUM(IF('11.销售及回款表'!$E$497:$AV$540=AT293,'11.销售及回款表'!$E339:$AV339,0)),'11.销售及回款表'!AT339)</f>
        <v>0</v>
      </c>
      <c r="AU174" s="276">
        <f t="array" ref="AU174">IF(SUM($E294:AT294)&lt;1,SUM(IF('11.销售及回款表'!$E$497:$AV$540=AU293,'11.销售及回款表'!$E339:$AV339,0)),'11.销售及回款表'!AU339)</f>
        <v>0</v>
      </c>
      <c r="AV174" s="277">
        <f t="array" ref="AV174">IF(SUM($E294:AU294)&lt;1,SUM(IF('11.销售及回款表'!$E$497:$AV$540=AV293,'11.销售及回款表'!$E339:$AV339,0)),'11.销售及回款表'!AV339)</f>
        <v>0</v>
      </c>
    </row>
    <row r="175" spans="2:48" s="257" customFormat="1" ht="15.75" customHeight="1" outlineLevel="1">
      <c r="B175" s="1980"/>
      <c r="C175" s="303" t="str">
        <f>'8.项目规划指标表'!$B$14</f>
        <v>自持物业</v>
      </c>
      <c r="D175" s="274">
        <f t="shared" si="34"/>
        <v>0</v>
      </c>
      <c r="E175" s="275">
        <f t="array" ref="E175">IF(SUM(D296:$E296)&lt;1,SUM(IF('11.销售及回款表'!$E$497:$AV$540=E295,'11.销售及回款表'!$E344:$AV344,0)),'11.销售及回款表'!E344)</f>
        <v>0</v>
      </c>
      <c r="F175" s="276">
        <f t="array" ref="F175">IF(SUM(E296:$E296)&lt;1,SUM(IF('11.销售及回款表'!$E$497:$AV$540=F295,'11.销售及回款表'!$E344:$AV344,0)),'11.销售及回款表'!F344)</f>
        <v>0</v>
      </c>
      <c r="G175" s="276">
        <f t="array" ref="G175">IF(SUM($E296:F296)&lt;1,SUM(IF('11.销售及回款表'!$E$497:$AV$540=G295,'11.销售及回款表'!$E344:$AV344,0)),'11.销售及回款表'!G344)</f>
        <v>0</v>
      </c>
      <c r="H175" s="277">
        <f t="array" ref="H175">IF(SUM($E296:G296)&lt;1,SUM(IF('11.销售及回款表'!$E$497:$AV$540=H295,'11.销售及回款表'!$E344:$AV344,0)),'11.销售及回款表'!H344)</f>
        <v>0</v>
      </c>
      <c r="I175" s="275">
        <f t="array" ref="I175">IF(SUM($E296:H296)&lt;1,SUM(IF('11.销售及回款表'!$E$497:$AV$540=I295,'11.销售及回款表'!$E344:$AV344,0)),'11.销售及回款表'!I344)</f>
        <v>0</v>
      </c>
      <c r="J175" s="276">
        <f t="array" ref="J175">IF(SUM($E296:I296)&lt;1,SUM(IF('11.销售及回款表'!$E$497:$AV$540=J295,'11.销售及回款表'!$E344:$AV344,0)),'11.销售及回款表'!J344)</f>
        <v>0</v>
      </c>
      <c r="K175" s="276">
        <f t="array" ref="K175">IF(SUM($E296:J296)&lt;1,SUM(IF('11.销售及回款表'!$E$497:$AV$540=K295,'11.销售及回款表'!$E344:$AV344,0)),'11.销售及回款表'!K344)</f>
        <v>0</v>
      </c>
      <c r="L175" s="277">
        <f t="array" ref="L175">IF(SUM($E296:K296)&lt;1,SUM(IF('11.销售及回款表'!$E$497:$AV$540=L295,'11.销售及回款表'!$E344:$AV344,0)),'11.销售及回款表'!L344)</f>
        <v>0</v>
      </c>
      <c r="M175" s="275">
        <f t="array" ref="M175">IF(SUM($E296:L296)&lt;1,SUM(IF('11.销售及回款表'!$E$497:$AV$540=M295,'11.销售及回款表'!$E344:$AV344,0)),'11.销售及回款表'!M344)</f>
        <v>0</v>
      </c>
      <c r="N175" s="276">
        <f t="array" ref="N175">IF(SUM($E296:M296)&lt;1,SUM(IF('11.销售及回款表'!$E$497:$AV$540=N295,'11.销售及回款表'!$E344:$AV344,0)),'11.销售及回款表'!N344)</f>
        <v>0</v>
      </c>
      <c r="O175" s="276">
        <f t="array" ref="O175">IF(SUM($E296:N296)&lt;1,SUM(IF('11.销售及回款表'!$E$497:$AV$540=O295,'11.销售及回款表'!$E344:$AV344,0)),'11.销售及回款表'!O344)</f>
        <v>0</v>
      </c>
      <c r="P175" s="277">
        <f t="array" ref="P175">IF(SUM($E296:O296)&lt;1,SUM(IF('11.销售及回款表'!$E$497:$AV$540=P295,'11.销售及回款表'!$E344:$AV344,0)),'11.销售及回款表'!P344)</f>
        <v>0</v>
      </c>
      <c r="Q175" s="275">
        <f t="array" ref="Q175">IF(SUM($E296:P296)&lt;1,SUM(IF('11.销售及回款表'!$E$497:$AV$540=Q295,'11.销售及回款表'!$E344:$AV344,0)),'11.销售及回款表'!Q344)</f>
        <v>0</v>
      </c>
      <c r="R175" s="276">
        <f t="array" ref="R175">IF(SUM($E296:Q296)&lt;1,SUM(IF('11.销售及回款表'!$E$497:$AV$540=R295,'11.销售及回款表'!$E344:$AV344,0)),'11.销售及回款表'!R344)</f>
        <v>0</v>
      </c>
      <c r="S175" s="276">
        <f t="array" ref="S175">IF(SUM($E296:R296)&lt;1,SUM(IF('11.销售及回款表'!$E$497:$AV$540=S295,'11.销售及回款表'!$E344:$AV344,0)),'11.销售及回款表'!S344)</f>
        <v>0</v>
      </c>
      <c r="T175" s="277">
        <f t="array" ref="T175">IF(SUM($E296:S296)&lt;1,SUM(IF('11.销售及回款表'!$E$497:$AV$540=T295,'11.销售及回款表'!$E344:$AV344,0)),'11.销售及回款表'!T344)</f>
        <v>0</v>
      </c>
      <c r="U175" s="275">
        <f t="array" ref="U175">IF(SUM($E296:T296)&lt;1,SUM(IF('11.销售及回款表'!$E$497:$AV$540=U295,'11.销售及回款表'!$E344:$AV344,0)),'11.销售及回款表'!U344)</f>
        <v>0</v>
      </c>
      <c r="V175" s="276">
        <f t="array" ref="V175">IF(SUM($E296:U296)&lt;1,SUM(IF('11.销售及回款表'!$E$497:$AV$540=V295,'11.销售及回款表'!$E344:$AV344,0)),'11.销售及回款表'!V344)</f>
        <v>0</v>
      </c>
      <c r="W175" s="276">
        <f t="array" ref="W175">IF(SUM($E296:V296)&lt;1,SUM(IF('11.销售及回款表'!$E$497:$AV$540=W295,'11.销售及回款表'!$E344:$AV344,0)),'11.销售及回款表'!W344)</f>
        <v>0</v>
      </c>
      <c r="X175" s="277">
        <f t="array" ref="X175">IF(SUM($E296:W296)&lt;1,SUM(IF('11.销售及回款表'!$E$497:$AV$540=X295,'11.销售及回款表'!$E344:$AV344,0)),'11.销售及回款表'!X344)</f>
        <v>0</v>
      </c>
      <c r="Y175" s="275">
        <f t="array" ref="Y175">IF(SUM($E296:X296)&lt;1,SUM(IF('11.销售及回款表'!$E$497:$AV$540=Y295,'11.销售及回款表'!$E344:$AV344,0)),'11.销售及回款表'!Y344)</f>
        <v>0</v>
      </c>
      <c r="Z175" s="276">
        <f t="array" ref="Z175">IF(SUM($E296:Y296)&lt;1,SUM(IF('11.销售及回款表'!$E$497:$AV$540=Z295,'11.销售及回款表'!$E344:$AV344,0)),'11.销售及回款表'!Z344)</f>
        <v>0</v>
      </c>
      <c r="AA175" s="276">
        <f t="array" ref="AA175">IF(SUM($E296:Z296)&lt;1,SUM(IF('11.销售及回款表'!$E$497:$AV$540=AA295,'11.销售及回款表'!$E344:$AV344,0)),'11.销售及回款表'!AA344)</f>
        <v>0</v>
      </c>
      <c r="AB175" s="277">
        <f t="array" ref="AB175">IF(SUM($E296:AA296)&lt;1,SUM(IF('11.销售及回款表'!$E$497:$AV$540=AB295,'11.销售及回款表'!$E344:$AV344,0)),'11.销售及回款表'!AB344)</f>
        <v>0</v>
      </c>
      <c r="AC175" s="275">
        <f t="array" ref="AC175">IF(SUM($E296:AB296)&lt;1,SUM(IF('11.销售及回款表'!$E$497:$AV$540=AC295,'11.销售及回款表'!$E344:$AV344,0)),'11.销售及回款表'!AC344)</f>
        <v>0</v>
      </c>
      <c r="AD175" s="276">
        <f t="array" ref="AD175">IF(SUM($E296:AC296)&lt;1,SUM(IF('11.销售及回款表'!$E$497:$AV$540=AD295,'11.销售及回款表'!$E344:$AV344,0)),'11.销售及回款表'!AD344)</f>
        <v>0</v>
      </c>
      <c r="AE175" s="276">
        <f t="array" ref="AE175">IF(SUM($E296:AD296)&lt;1,SUM(IF('11.销售及回款表'!$E$497:$AV$540=AE295,'11.销售及回款表'!$E344:$AV344,0)),'11.销售及回款表'!AE344)</f>
        <v>0</v>
      </c>
      <c r="AF175" s="277">
        <f t="array" ref="AF175">IF(SUM($E296:AE296)&lt;1,SUM(IF('11.销售及回款表'!$E$497:$AV$540=AF295,'11.销售及回款表'!$E344:$AV344,0)),'11.销售及回款表'!AF344)</f>
        <v>0</v>
      </c>
      <c r="AG175" s="275">
        <f t="array" ref="AG175">IF(SUM($E296:AF296)&lt;1,SUM(IF('11.销售及回款表'!$E$497:$AV$540=AG295,'11.销售及回款表'!$E344:$AV344,0)),'11.销售及回款表'!AG344)</f>
        <v>0</v>
      </c>
      <c r="AH175" s="276">
        <f t="array" ref="AH175">IF(SUM($E296:AG296)&lt;1,SUM(IF('11.销售及回款表'!$E$497:$AV$540=AH295,'11.销售及回款表'!$E344:$AV344,0)),'11.销售及回款表'!AH344)</f>
        <v>0</v>
      </c>
      <c r="AI175" s="276">
        <f t="array" ref="AI175">IF(SUM($E296:AH296)&lt;1,SUM(IF('11.销售及回款表'!$E$497:$AV$540=AI295,'11.销售及回款表'!$E344:$AV344,0)),'11.销售及回款表'!AI344)</f>
        <v>0</v>
      </c>
      <c r="AJ175" s="277">
        <f t="array" ref="AJ175">IF(SUM($E296:AI296)&lt;1,SUM(IF('11.销售及回款表'!$E$497:$AV$540=AJ295,'11.销售及回款表'!$E344:$AV344,0)),'11.销售及回款表'!AJ344)</f>
        <v>0</v>
      </c>
      <c r="AK175" s="275">
        <f t="array" ref="AK175">IF(SUM($E296:AJ296)&lt;1,SUM(IF('11.销售及回款表'!$E$497:$AV$540=AK295,'11.销售及回款表'!$E344:$AV344,0)),'11.销售及回款表'!AK344)</f>
        <v>0</v>
      </c>
      <c r="AL175" s="276">
        <f t="array" ref="AL175">IF(SUM($E296:AK296)&lt;1,SUM(IF('11.销售及回款表'!$E$497:$AV$540=AL295,'11.销售及回款表'!$E344:$AV344,0)),'11.销售及回款表'!AL344)</f>
        <v>0</v>
      </c>
      <c r="AM175" s="276">
        <f t="array" ref="AM175">IF(SUM($E296:AL296)&lt;1,SUM(IF('11.销售及回款表'!$E$497:$AV$540=AM295,'11.销售及回款表'!$E344:$AV344,0)),'11.销售及回款表'!AM344)</f>
        <v>0</v>
      </c>
      <c r="AN175" s="277">
        <f t="array" ref="AN175">IF(SUM($E296:AM296)&lt;1,SUM(IF('11.销售及回款表'!$E$497:$AV$540=AN295,'11.销售及回款表'!$E344:$AV344,0)),'11.销售及回款表'!AN344)</f>
        <v>0</v>
      </c>
      <c r="AO175" s="275">
        <f t="array" ref="AO175">IF(SUM($E296:AN296)&lt;1,SUM(IF('11.销售及回款表'!$E$497:$AV$540=AO295,'11.销售及回款表'!$E344:$AV344,0)),'11.销售及回款表'!AO344)</f>
        <v>0</v>
      </c>
      <c r="AP175" s="276">
        <f t="array" ref="AP175">IF(SUM($E296:AO296)&lt;1,SUM(IF('11.销售及回款表'!$E$497:$AV$540=AP295,'11.销售及回款表'!$E344:$AV344,0)),'11.销售及回款表'!AP344)</f>
        <v>0</v>
      </c>
      <c r="AQ175" s="276">
        <f t="array" ref="AQ175">IF(SUM($E296:AP296)&lt;1,SUM(IF('11.销售及回款表'!$E$497:$AV$540=AQ295,'11.销售及回款表'!$E344:$AV344,0)),'11.销售及回款表'!AQ344)</f>
        <v>0</v>
      </c>
      <c r="AR175" s="277">
        <f t="array" ref="AR175">IF(SUM($E296:AQ296)&lt;1,SUM(IF('11.销售及回款表'!$E$497:$AV$540=AR295,'11.销售及回款表'!$E344:$AV344,0)),'11.销售及回款表'!AR344)</f>
        <v>0</v>
      </c>
      <c r="AS175" s="275">
        <f t="array" ref="AS175">IF(SUM($E296:AR296)&lt;1,SUM(IF('11.销售及回款表'!$E$497:$AV$540=AS295,'11.销售及回款表'!$E344:$AV344,0)),'11.销售及回款表'!AS344)</f>
        <v>0</v>
      </c>
      <c r="AT175" s="276">
        <f t="array" ref="AT175">IF(SUM($E296:AS296)&lt;1,SUM(IF('11.销售及回款表'!$E$497:$AV$540=AT295,'11.销售及回款表'!$E344:$AV344,0)),'11.销售及回款表'!AT344)</f>
        <v>0</v>
      </c>
      <c r="AU175" s="276">
        <f t="array" ref="AU175">IF(SUM($E296:AT296)&lt;1,SUM(IF('11.销售及回款表'!$E$497:$AV$540=AU295,'11.销售及回款表'!$E344:$AV344,0)),'11.销售及回款表'!AU344)</f>
        <v>0</v>
      </c>
      <c r="AV175" s="277">
        <f t="array" ref="AV175">IF(SUM($E296:AU296)&lt;1,SUM(IF('11.销售及回款表'!$E$497:$AV$540=AV295,'11.销售及回款表'!$E344:$AV344,0)),'11.销售及回款表'!AV344)</f>
        <v>0</v>
      </c>
    </row>
    <row r="176" spans="2:48" s="257" customFormat="1" ht="15.75" customHeight="1" outlineLevel="1">
      <c r="B176" s="1980"/>
      <c r="C176" s="303" t="str">
        <f>'8.项目规划指标表'!$B$18</f>
        <v>有产权车库(个)</v>
      </c>
      <c r="D176" s="274">
        <f t="shared" si="34"/>
        <v>0</v>
      </c>
      <c r="E176" s="275">
        <f t="array" ref="E176">IF(SUM(D298:$E298)&lt;1,SUM(IF('11.销售及回款表'!$E$497:$AV$540=E297,'11.销售及回款表'!$E349:$AV349,0)),'11.销售及回款表'!E349)</f>
        <v>0</v>
      </c>
      <c r="F176" s="276">
        <f t="array" ref="F176">IF(SUM(E298:$E298)&lt;1,SUM(IF('11.销售及回款表'!$E$497:$AV$540=F297,'11.销售及回款表'!$E349:$AV349,0)),'11.销售及回款表'!F349)</f>
        <v>0</v>
      </c>
      <c r="G176" s="276">
        <f t="array" ref="G176">IF(SUM($E298:F298)&lt;1,SUM(IF('11.销售及回款表'!$E$497:$AV$540=G297,'11.销售及回款表'!$E349:$AV349,0)),'11.销售及回款表'!G349)</f>
        <v>0</v>
      </c>
      <c r="H176" s="277">
        <f t="array" ref="H176">IF(SUM($E298:G298)&lt;1,SUM(IF('11.销售及回款表'!$E$497:$AV$540=H297,'11.销售及回款表'!$E349:$AV349,0)),'11.销售及回款表'!H349)</f>
        <v>0</v>
      </c>
      <c r="I176" s="275">
        <f t="array" ref="I176">IF(SUM($E298:H298)&lt;1,SUM(IF('11.销售及回款表'!$E$497:$AV$540=I297,'11.销售及回款表'!$E349:$AV349,0)),'11.销售及回款表'!I349)</f>
        <v>0</v>
      </c>
      <c r="J176" s="276">
        <f t="array" ref="J176">IF(SUM($E298:I298)&lt;1,SUM(IF('11.销售及回款表'!$E$497:$AV$540=J297,'11.销售及回款表'!$E349:$AV349,0)),'11.销售及回款表'!J349)</f>
        <v>0</v>
      </c>
      <c r="K176" s="276">
        <f t="array" ref="K176">IF(SUM($E298:J298)&lt;1,SUM(IF('11.销售及回款表'!$E$497:$AV$540=K297,'11.销售及回款表'!$E349:$AV349,0)),'11.销售及回款表'!K349)</f>
        <v>0</v>
      </c>
      <c r="L176" s="277">
        <f t="array" ref="L176">IF(SUM($E298:K298)&lt;1,SUM(IF('11.销售及回款表'!$E$497:$AV$540=L297,'11.销售及回款表'!$E349:$AV349,0)),'11.销售及回款表'!L349)</f>
        <v>0</v>
      </c>
      <c r="M176" s="275">
        <f t="array" ref="M176">IF(SUM($E298:L298)&lt;1,SUM(IF('11.销售及回款表'!$E$497:$AV$540=M297,'11.销售及回款表'!$E349:$AV349,0)),'11.销售及回款表'!M349)</f>
        <v>0</v>
      </c>
      <c r="N176" s="276">
        <f t="array" ref="N176">IF(SUM($E298:M298)&lt;1,SUM(IF('11.销售及回款表'!$E$497:$AV$540=N297,'11.销售及回款表'!$E349:$AV349,0)),'11.销售及回款表'!N349)</f>
        <v>0</v>
      </c>
      <c r="O176" s="276">
        <f t="array" ref="O176">IF(SUM($E298:N298)&lt;1,SUM(IF('11.销售及回款表'!$E$497:$AV$540=O297,'11.销售及回款表'!$E349:$AV349,0)),'11.销售及回款表'!O349)</f>
        <v>0</v>
      </c>
      <c r="P176" s="277">
        <f t="array" ref="P176">IF(SUM($E298:O298)&lt;1,SUM(IF('11.销售及回款表'!$E$497:$AV$540=P297,'11.销售及回款表'!$E349:$AV349,0)),'11.销售及回款表'!P349)</f>
        <v>0</v>
      </c>
      <c r="Q176" s="275">
        <f t="array" ref="Q176">IF(SUM($E298:P298)&lt;1,SUM(IF('11.销售及回款表'!$E$497:$AV$540=Q297,'11.销售及回款表'!$E349:$AV349,0)),'11.销售及回款表'!Q349)</f>
        <v>0</v>
      </c>
      <c r="R176" s="276">
        <f t="array" ref="R176">IF(SUM($E298:Q298)&lt;1,SUM(IF('11.销售及回款表'!$E$497:$AV$540=R297,'11.销售及回款表'!$E349:$AV349,0)),'11.销售及回款表'!R349)</f>
        <v>0</v>
      </c>
      <c r="S176" s="276">
        <f t="array" ref="S176">IF(SUM($E298:R298)&lt;1,SUM(IF('11.销售及回款表'!$E$497:$AV$540=S297,'11.销售及回款表'!$E349:$AV349,0)),'11.销售及回款表'!S349)</f>
        <v>0</v>
      </c>
      <c r="T176" s="277">
        <f t="array" ref="T176">IF(SUM($E298:S298)&lt;1,SUM(IF('11.销售及回款表'!$E$497:$AV$540=T297,'11.销售及回款表'!$E349:$AV349,0)),'11.销售及回款表'!T349)</f>
        <v>0</v>
      </c>
      <c r="U176" s="275">
        <f t="array" ref="U176">IF(SUM($E298:T298)&lt;1,SUM(IF('11.销售及回款表'!$E$497:$AV$540=U297,'11.销售及回款表'!$E349:$AV349,0)),'11.销售及回款表'!U349)</f>
        <v>0</v>
      </c>
      <c r="V176" s="276">
        <f t="array" ref="V176">IF(SUM($E298:U298)&lt;1,SUM(IF('11.销售及回款表'!$E$497:$AV$540=V297,'11.销售及回款表'!$E349:$AV349,0)),'11.销售及回款表'!V349)</f>
        <v>0</v>
      </c>
      <c r="W176" s="276">
        <f t="array" ref="W176">IF(SUM($E298:V298)&lt;1,SUM(IF('11.销售及回款表'!$E$497:$AV$540=W297,'11.销售及回款表'!$E349:$AV349,0)),'11.销售及回款表'!W349)</f>
        <v>0</v>
      </c>
      <c r="X176" s="277">
        <f t="array" ref="X176">IF(SUM($E298:W298)&lt;1,SUM(IF('11.销售及回款表'!$E$497:$AV$540=X297,'11.销售及回款表'!$E349:$AV349,0)),'11.销售及回款表'!X349)</f>
        <v>0</v>
      </c>
      <c r="Y176" s="275">
        <f t="array" ref="Y176">IF(SUM($E298:X298)&lt;1,SUM(IF('11.销售及回款表'!$E$497:$AV$540=Y297,'11.销售及回款表'!$E349:$AV349,0)),'11.销售及回款表'!Y349)</f>
        <v>0</v>
      </c>
      <c r="Z176" s="276">
        <f t="array" ref="Z176">IF(SUM($E298:Y298)&lt;1,SUM(IF('11.销售及回款表'!$E$497:$AV$540=Z297,'11.销售及回款表'!$E349:$AV349,0)),'11.销售及回款表'!Z349)</f>
        <v>0</v>
      </c>
      <c r="AA176" s="276">
        <f t="array" ref="AA176">IF(SUM($E298:Z298)&lt;1,SUM(IF('11.销售及回款表'!$E$497:$AV$540=AA297,'11.销售及回款表'!$E349:$AV349,0)),'11.销售及回款表'!AA349)</f>
        <v>0</v>
      </c>
      <c r="AB176" s="277">
        <f t="array" ref="AB176">IF(SUM($E298:AA298)&lt;1,SUM(IF('11.销售及回款表'!$E$497:$AV$540=AB297,'11.销售及回款表'!$E349:$AV349,0)),'11.销售及回款表'!AB349)</f>
        <v>0</v>
      </c>
      <c r="AC176" s="275">
        <f t="array" ref="AC176">IF(SUM($E298:AB298)&lt;1,SUM(IF('11.销售及回款表'!$E$497:$AV$540=AC297,'11.销售及回款表'!$E349:$AV349,0)),'11.销售及回款表'!AC349)</f>
        <v>0</v>
      </c>
      <c r="AD176" s="276">
        <f t="array" ref="AD176">IF(SUM($E298:AC298)&lt;1,SUM(IF('11.销售及回款表'!$E$497:$AV$540=AD297,'11.销售及回款表'!$E349:$AV349,0)),'11.销售及回款表'!AD349)</f>
        <v>0</v>
      </c>
      <c r="AE176" s="276">
        <f t="array" ref="AE176">IF(SUM($E298:AD298)&lt;1,SUM(IF('11.销售及回款表'!$E$497:$AV$540=AE297,'11.销售及回款表'!$E349:$AV349,0)),'11.销售及回款表'!AE349)</f>
        <v>0</v>
      </c>
      <c r="AF176" s="277">
        <f t="array" ref="AF176">IF(SUM($E298:AE298)&lt;1,SUM(IF('11.销售及回款表'!$E$497:$AV$540=AF297,'11.销售及回款表'!$E349:$AV349,0)),'11.销售及回款表'!AF349)</f>
        <v>0</v>
      </c>
      <c r="AG176" s="275">
        <f t="array" ref="AG176">IF(SUM($E298:AF298)&lt;1,SUM(IF('11.销售及回款表'!$E$497:$AV$540=AG297,'11.销售及回款表'!$E349:$AV349,0)),'11.销售及回款表'!AG349)</f>
        <v>0</v>
      </c>
      <c r="AH176" s="276">
        <f t="array" ref="AH176">IF(SUM($E298:AG298)&lt;1,SUM(IF('11.销售及回款表'!$E$497:$AV$540=AH297,'11.销售及回款表'!$E349:$AV349,0)),'11.销售及回款表'!AH349)</f>
        <v>0</v>
      </c>
      <c r="AI176" s="276">
        <f t="array" ref="AI176">IF(SUM($E298:AH298)&lt;1,SUM(IF('11.销售及回款表'!$E$497:$AV$540=AI297,'11.销售及回款表'!$E349:$AV349,0)),'11.销售及回款表'!AI349)</f>
        <v>0</v>
      </c>
      <c r="AJ176" s="277">
        <f t="array" ref="AJ176">IF(SUM($E298:AI298)&lt;1,SUM(IF('11.销售及回款表'!$E$497:$AV$540=AJ297,'11.销售及回款表'!$E349:$AV349,0)),'11.销售及回款表'!AJ349)</f>
        <v>0</v>
      </c>
      <c r="AK176" s="275">
        <f t="array" ref="AK176">IF(SUM($E298:AJ298)&lt;1,SUM(IF('11.销售及回款表'!$E$497:$AV$540=AK297,'11.销售及回款表'!$E349:$AV349,0)),'11.销售及回款表'!AK349)</f>
        <v>0</v>
      </c>
      <c r="AL176" s="276">
        <f t="array" ref="AL176">IF(SUM($E298:AK298)&lt;1,SUM(IF('11.销售及回款表'!$E$497:$AV$540=AL297,'11.销售及回款表'!$E349:$AV349,0)),'11.销售及回款表'!AL349)</f>
        <v>0</v>
      </c>
      <c r="AM176" s="276">
        <f t="array" ref="AM176">IF(SUM($E298:AL298)&lt;1,SUM(IF('11.销售及回款表'!$E$497:$AV$540=AM297,'11.销售及回款表'!$E349:$AV349,0)),'11.销售及回款表'!AM349)</f>
        <v>0</v>
      </c>
      <c r="AN176" s="277">
        <f t="array" ref="AN176">IF(SUM($E298:AM298)&lt;1,SUM(IF('11.销售及回款表'!$E$497:$AV$540=AN297,'11.销售及回款表'!$E349:$AV349,0)),'11.销售及回款表'!AN349)</f>
        <v>0</v>
      </c>
      <c r="AO176" s="275">
        <f t="array" ref="AO176">IF(SUM($E298:AN298)&lt;1,SUM(IF('11.销售及回款表'!$E$497:$AV$540=AO297,'11.销售及回款表'!$E349:$AV349,0)),'11.销售及回款表'!AO349)</f>
        <v>0</v>
      </c>
      <c r="AP176" s="276">
        <f t="array" ref="AP176">IF(SUM($E298:AO298)&lt;1,SUM(IF('11.销售及回款表'!$E$497:$AV$540=AP297,'11.销售及回款表'!$E349:$AV349,0)),'11.销售及回款表'!AP349)</f>
        <v>0</v>
      </c>
      <c r="AQ176" s="276">
        <f t="array" ref="AQ176">IF(SUM($E298:AP298)&lt;1,SUM(IF('11.销售及回款表'!$E$497:$AV$540=AQ297,'11.销售及回款表'!$E349:$AV349,0)),'11.销售及回款表'!AQ349)</f>
        <v>0</v>
      </c>
      <c r="AR176" s="277">
        <f t="array" ref="AR176">IF(SUM($E298:AQ298)&lt;1,SUM(IF('11.销售及回款表'!$E$497:$AV$540=AR297,'11.销售及回款表'!$E349:$AV349,0)),'11.销售及回款表'!AR349)</f>
        <v>0</v>
      </c>
      <c r="AS176" s="275">
        <f t="array" ref="AS176">IF(SUM($E298:AR298)&lt;1,SUM(IF('11.销售及回款表'!$E$497:$AV$540=AS297,'11.销售及回款表'!$E349:$AV349,0)),'11.销售及回款表'!AS349)</f>
        <v>0</v>
      </c>
      <c r="AT176" s="276">
        <f t="array" ref="AT176">IF(SUM($E298:AS298)&lt;1,SUM(IF('11.销售及回款表'!$E$497:$AV$540=AT297,'11.销售及回款表'!$E349:$AV349,0)),'11.销售及回款表'!AT349)</f>
        <v>0</v>
      </c>
      <c r="AU176" s="276">
        <f t="array" ref="AU176">IF(SUM($E298:AT298)&lt;1,SUM(IF('11.销售及回款表'!$E$497:$AV$540=AU297,'11.销售及回款表'!$E349:$AV349,0)),'11.销售及回款表'!AU349)</f>
        <v>0</v>
      </c>
      <c r="AV176" s="277">
        <f t="array" ref="AV176">IF(SUM($E298:AU298)&lt;1,SUM(IF('11.销售及回款表'!$E$497:$AV$540=AV297,'11.销售及回款表'!$E349:$AV349,0)),'11.销售及回款表'!AV349)</f>
        <v>0</v>
      </c>
    </row>
    <row r="177" spans="2:48" s="257" customFormat="1" ht="15.75" customHeight="1" outlineLevel="1">
      <c r="B177" s="1980"/>
      <c r="C177" s="303" t="str">
        <f>'8.项目规划指标表'!$B$19</f>
        <v>无产权车库(个)</v>
      </c>
      <c r="D177" s="274">
        <f t="shared" si="34"/>
        <v>0</v>
      </c>
      <c r="E177" s="275">
        <f t="array" ref="E177">IF(SUM(D300:$E300)&lt;1,SUM(IF('11.销售及回款表'!$E$497:$AV$540=E299,'11.销售及回款表'!$E354:$AV354,0)),'11.销售及回款表'!E354)</f>
        <v>0</v>
      </c>
      <c r="F177" s="276">
        <f t="array" ref="F177">IF(SUM(E300:$E300)&lt;1,SUM(IF('11.销售及回款表'!$E$497:$AV$540=F299,'11.销售及回款表'!$E354:$AV354,0)),'11.销售及回款表'!F354)</f>
        <v>0</v>
      </c>
      <c r="G177" s="276">
        <f t="array" ref="G177">IF(SUM($E300:F300)&lt;1,SUM(IF('11.销售及回款表'!$E$497:$AV$540=G299,'11.销售及回款表'!$E354:$AV354,0)),'11.销售及回款表'!G354)</f>
        <v>0</v>
      </c>
      <c r="H177" s="277">
        <f t="array" ref="H177">IF(SUM($E300:G300)&lt;1,SUM(IF('11.销售及回款表'!$E$497:$AV$540=H299,'11.销售及回款表'!$E354:$AV354,0)),'11.销售及回款表'!H354)</f>
        <v>0</v>
      </c>
      <c r="I177" s="275">
        <f t="array" ref="I177">IF(SUM($E300:H300)&lt;1,SUM(IF('11.销售及回款表'!$E$497:$AV$540=I299,'11.销售及回款表'!$E354:$AV354,0)),'11.销售及回款表'!I354)</f>
        <v>0</v>
      </c>
      <c r="J177" s="276">
        <f t="array" ref="J177">IF(SUM($E300:I300)&lt;1,SUM(IF('11.销售及回款表'!$E$497:$AV$540=J299,'11.销售及回款表'!$E354:$AV354,0)),'11.销售及回款表'!J354)</f>
        <v>0</v>
      </c>
      <c r="K177" s="276">
        <f t="array" ref="K177">IF(SUM($E300:J300)&lt;1,SUM(IF('11.销售及回款表'!$E$497:$AV$540=K299,'11.销售及回款表'!$E354:$AV354,0)),'11.销售及回款表'!K354)</f>
        <v>0</v>
      </c>
      <c r="L177" s="277">
        <f t="array" ref="L177">IF(SUM($E300:K300)&lt;1,SUM(IF('11.销售及回款表'!$E$497:$AV$540=L299,'11.销售及回款表'!$E354:$AV354,0)),'11.销售及回款表'!L354)</f>
        <v>0</v>
      </c>
      <c r="M177" s="275">
        <f t="array" ref="M177">IF(SUM($E300:L300)&lt;1,SUM(IF('11.销售及回款表'!$E$497:$AV$540=M299,'11.销售及回款表'!$E354:$AV354,0)),'11.销售及回款表'!M354)</f>
        <v>0</v>
      </c>
      <c r="N177" s="276">
        <f t="array" ref="N177">IF(SUM($E300:M300)&lt;1,SUM(IF('11.销售及回款表'!$E$497:$AV$540=N299,'11.销售及回款表'!$E354:$AV354,0)),'11.销售及回款表'!N354)</f>
        <v>0</v>
      </c>
      <c r="O177" s="276">
        <f t="array" ref="O177">IF(SUM($E300:N300)&lt;1,SUM(IF('11.销售及回款表'!$E$497:$AV$540=O299,'11.销售及回款表'!$E354:$AV354,0)),'11.销售及回款表'!O354)</f>
        <v>0</v>
      </c>
      <c r="P177" s="277">
        <f t="array" ref="P177">IF(SUM($E300:O300)&lt;1,SUM(IF('11.销售及回款表'!$E$497:$AV$540=P299,'11.销售及回款表'!$E354:$AV354,0)),'11.销售及回款表'!P354)</f>
        <v>0</v>
      </c>
      <c r="Q177" s="275">
        <f t="array" ref="Q177">IF(SUM($E300:P300)&lt;1,SUM(IF('11.销售及回款表'!$E$497:$AV$540=Q299,'11.销售及回款表'!$E354:$AV354,0)),'11.销售及回款表'!Q354)</f>
        <v>0</v>
      </c>
      <c r="R177" s="276">
        <f t="array" ref="R177">IF(SUM($E300:Q300)&lt;1,SUM(IF('11.销售及回款表'!$E$497:$AV$540=R299,'11.销售及回款表'!$E354:$AV354,0)),'11.销售及回款表'!R354)</f>
        <v>0</v>
      </c>
      <c r="S177" s="276">
        <f t="array" ref="S177">IF(SUM($E300:R300)&lt;1,SUM(IF('11.销售及回款表'!$E$497:$AV$540=S299,'11.销售及回款表'!$E354:$AV354,0)),'11.销售及回款表'!S354)</f>
        <v>0</v>
      </c>
      <c r="T177" s="277">
        <f t="array" ref="T177">IF(SUM($E300:S300)&lt;1,SUM(IF('11.销售及回款表'!$E$497:$AV$540=T299,'11.销售及回款表'!$E354:$AV354,0)),'11.销售及回款表'!T354)</f>
        <v>0</v>
      </c>
      <c r="U177" s="275">
        <f t="array" ref="U177">IF(SUM($E300:T300)&lt;1,SUM(IF('11.销售及回款表'!$E$497:$AV$540=U299,'11.销售及回款表'!$E354:$AV354,0)),'11.销售及回款表'!U354)</f>
        <v>0</v>
      </c>
      <c r="V177" s="276">
        <f t="array" ref="V177">IF(SUM($E300:U300)&lt;1,SUM(IF('11.销售及回款表'!$E$497:$AV$540=V299,'11.销售及回款表'!$E354:$AV354,0)),'11.销售及回款表'!V354)</f>
        <v>0</v>
      </c>
      <c r="W177" s="276">
        <f t="array" ref="W177">IF(SUM($E300:V300)&lt;1,SUM(IF('11.销售及回款表'!$E$497:$AV$540=W299,'11.销售及回款表'!$E354:$AV354,0)),'11.销售及回款表'!W354)</f>
        <v>0</v>
      </c>
      <c r="X177" s="277">
        <f t="array" ref="X177">IF(SUM($E300:W300)&lt;1,SUM(IF('11.销售及回款表'!$E$497:$AV$540=X299,'11.销售及回款表'!$E354:$AV354,0)),'11.销售及回款表'!X354)</f>
        <v>0</v>
      </c>
      <c r="Y177" s="275">
        <f t="array" ref="Y177">IF(SUM($E300:X300)&lt;1,SUM(IF('11.销售及回款表'!$E$497:$AV$540=Y299,'11.销售及回款表'!$E354:$AV354,0)),'11.销售及回款表'!Y354)</f>
        <v>0</v>
      </c>
      <c r="Z177" s="276">
        <f t="array" ref="Z177">IF(SUM($E300:Y300)&lt;1,SUM(IF('11.销售及回款表'!$E$497:$AV$540=Z299,'11.销售及回款表'!$E354:$AV354,0)),'11.销售及回款表'!Z354)</f>
        <v>0</v>
      </c>
      <c r="AA177" s="276">
        <f t="array" ref="AA177">IF(SUM($E300:Z300)&lt;1,SUM(IF('11.销售及回款表'!$E$497:$AV$540=AA299,'11.销售及回款表'!$E354:$AV354,0)),'11.销售及回款表'!AA354)</f>
        <v>0</v>
      </c>
      <c r="AB177" s="277">
        <f t="array" ref="AB177">IF(SUM($E300:AA300)&lt;1,SUM(IF('11.销售及回款表'!$E$497:$AV$540=AB299,'11.销售及回款表'!$E354:$AV354,0)),'11.销售及回款表'!AB354)</f>
        <v>0</v>
      </c>
      <c r="AC177" s="275">
        <f t="array" ref="AC177">IF(SUM($E300:AB300)&lt;1,SUM(IF('11.销售及回款表'!$E$497:$AV$540=AC299,'11.销售及回款表'!$E354:$AV354,0)),'11.销售及回款表'!AC354)</f>
        <v>0</v>
      </c>
      <c r="AD177" s="276">
        <f t="array" ref="AD177">IF(SUM($E300:AC300)&lt;1,SUM(IF('11.销售及回款表'!$E$497:$AV$540=AD299,'11.销售及回款表'!$E354:$AV354,0)),'11.销售及回款表'!AD354)</f>
        <v>0</v>
      </c>
      <c r="AE177" s="276">
        <f t="array" ref="AE177">IF(SUM($E300:AD300)&lt;1,SUM(IF('11.销售及回款表'!$E$497:$AV$540=AE299,'11.销售及回款表'!$E354:$AV354,0)),'11.销售及回款表'!AE354)</f>
        <v>0</v>
      </c>
      <c r="AF177" s="277">
        <f t="array" ref="AF177">IF(SUM($E300:AE300)&lt;1,SUM(IF('11.销售及回款表'!$E$497:$AV$540=AF299,'11.销售及回款表'!$E354:$AV354,0)),'11.销售及回款表'!AF354)</f>
        <v>0</v>
      </c>
      <c r="AG177" s="275">
        <f t="array" ref="AG177">IF(SUM($E300:AF300)&lt;1,SUM(IF('11.销售及回款表'!$E$497:$AV$540=AG299,'11.销售及回款表'!$E354:$AV354,0)),'11.销售及回款表'!AG354)</f>
        <v>0</v>
      </c>
      <c r="AH177" s="276">
        <f t="array" ref="AH177">IF(SUM($E300:AG300)&lt;1,SUM(IF('11.销售及回款表'!$E$497:$AV$540=AH299,'11.销售及回款表'!$E354:$AV354,0)),'11.销售及回款表'!AH354)</f>
        <v>0</v>
      </c>
      <c r="AI177" s="276">
        <f t="array" ref="AI177">IF(SUM($E300:AH300)&lt;1,SUM(IF('11.销售及回款表'!$E$497:$AV$540=AI299,'11.销售及回款表'!$E354:$AV354,0)),'11.销售及回款表'!AI354)</f>
        <v>0</v>
      </c>
      <c r="AJ177" s="277">
        <f t="array" ref="AJ177">IF(SUM($E300:AI300)&lt;1,SUM(IF('11.销售及回款表'!$E$497:$AV$540=AJ299,'11.销售及回款表'!$E354:$AV354,0)),'11.销售及回款表'!AJ354)</f>
        <v>0</v>
      </c>
      <c r="AK177" s="275">
        <f t="array" ref="AK177">IF(SUM($E300:AJ300)&lt;1,SUM(IF('11.销售及回款表'!$E$497:$AV$540=AK299,'11.销售及回款表'!$E354:$AV354,0)),'11.销售及回款表'!AK354)</f>
        <v>0</v>
      </c>
      <c r="AL177" s="276">
        <f t="array" ref="AL177">IF(SUM($E300:AK300)&lt;1,SUM(IF('11.销售及回款表'!$E$497:$AV$540=AL299,'11.销售及回款表'!$E354:$AV354,0)),'11.销售及回款表'!AL354)</f>
        <v>0</v>
      </c>
      <c r="AM177" s="276">
        <f t="array" ref="AM177">IF(SUM($E300:AL300)&lt;1,SUM(IF('11.销售及回款表'!$E$497:$AV$540=AM299,'11.销售及回款表'!$E354:$AV354,0)),'11.销售及回款表'!AM354)</f>
        <v>0</v>
      </c>
      <c r="AN177" s="277">
        <f t="array" ref="AN177">IF(SUM($E300:AM300)&lt;1,SUM(IF('11.销售及回款表'!$E$497:$AV$540=AN299,'11.销售及回款表'!$E354:$AV354,0)),'11.销售及回款表'!AN354)</f>
        <v>0</v>
      </c>
      <c r="AO177" s="275">
        <f t="array" ref="AO177">IF(SUM($E300:AN300)&lt;1,SUM(IF('11.销售及回款表'!$E$497:$AV$540=AO299,'11.销售及回款表'!$E354:$AV354,0)),'11.销售及回款表'!AO354)</f>
        <v>0</v>
      </c>
      <c r="AP177" s="276">
        <f t="array" ref="AP177">IF(SUM($E300:AO300)&lt;1,SUM(IF('11.销售及回款表'!$E$497:$AV$540=AP299,'11.销售及回款表'!$E354:$AV354,0)),'11.销售及回款表'!AP354)</f>
        <v>0</v>
      </c>
      <c r="AQ177" s="276">
        <f t="array" ref="AQ177">IF(SUM($E300:AP300)&lt;1,SUM(IF('11.销售及回款表'!$E$497:$AV$540=AQ299,'11.销售及回款表'!$E354:$AV354,0)),'11.销售及回款表'!AQ354)</f>
        <v>0</v>
      </c>
      <c r="AR177" s="277">
        <f t="array" ref="AR177">IF(SUM($E300:AQ300)&lt;1,SUM(IF('11.销售及回款表'!$E$497:$AV$540=AR299,'11.销售及回款表'!$E354:$AV354,0)),'11.销售及回款表'!AR354)</f>
        <v>0</v>
      </c>
      <c r="AS177" s="275">
        <f t="array" ref="AS177">IF(SUM($E300:AR300)&lt;1,SUM(IF('11.销售及回款表'!$E$497:$AV$540=AS299,'11.销售及回款表'!$E354:$AV354,0)),'11.销售及回款表'!AS354)</f>
        <v>0</v>
      </c>
      <c r="AT177" s="276">
        <f t="array" ref="AT177">IF(SUM($E300:AS300)&lt;1,SUM(IF('11.销售及回款表'!$E$497:$AV$540=AT299,'11.销售及回款表'!$E354:$AV354,0)),'11.销售及回款表'!AT354)</f>
        <v>0</v>
      </c>
      <c r="AU177" s="276">
        <f t="array" ref="AU177">IF(SUM($E300:AT300)&lt;1,SUM(IF('11.销售及回款表'!$E$497:$AV$540=AU299,'11.销售及回款表'!$E354:$AV354,0)),'11.销售及回款表'!AU354)</f>
        <v>0</v>
      </c>
      <c r="AV177" s="277">
        <f t="array" ref="AV177">IF(SUM($E300:AU300)&lt;1,SUM(IF('11.销售及回款表'!$E$497:$AV$540=AV299,'11.销售及回款表'!$E354:$AV354,0)),'11.销售及回款表'!AV354)</f>
        <v>0</v>
      </c>
    </row>
    <row r="178" spans="2:48" s="256" customFormat="1" ht="15.75" customHeight="1">
      <c r="B178" s="1980"/>
      <c r="C178" s="299" t="s">
        <v>23</v>
      </c>
      <c r="D178" s="300">
        <f t="shared" ref="D178:AV178" si="35">SUM(D179:D190)</f>
        <v>0</v>
      </c>
      <c r="E178" s="301">
        <f t="shared" si="35"/>
        <v>0</v>
      </c>
      <c r="F178" s="300">
        <f t="shared" si="35"/>
        <v>0</v>
      </c>
      <c r="G178" s="300">
        <f t="shared" si="35"/>
        <v>0</v>
      </c>
      <c r="H178" s="302">
        <f t="shared" si="35"/>
        <v>0</v>
      </c>
      <c r="I178" s="301">
        <f t="shared" si="35"/>
        <v>0</v>
      </c>
      <c r="J178" s="300">
        <f t="shared" si="35"/>
        <v>0</v>
      </c>
      <c r="K178" s="300">
        <f t="shared" si="35"/>
        <v>0</v>
      </c>
      <c r="L178" s="302">
        <f t="shared" si="35"/>
        <v>0</v>
      </c>
      <c r="M178" s="301">
        <f t="shared" si="35"/>
        <v>0</v>
      </c>
      <c r="N178" s="300">
        <f t="shared" si="35"/>
        <v>0</v>
      </c>
      <c r="O178" s="300">
        <f t="shared" si="35"/>
        <v>0</v>
      </c>
      <c r="P178" s="302">
        <f t="shared" si="35"/>
        <v>0</v>
      </c>
      <c r="Q178" s="301">
        <f t="shared" si="35"/>
        <v>0</v>
      </c>
      <c r="R178" s="300">
        <f t="shared" si="35"/>
        <v>0</v>
      </c>
      <c r="S178" s="300">
        <f t="shared" si="35"/>
        <v>0</v>
      </c>
      <c r="T178" s="302">
        <f t="shared" si="35"/>
        <v>0</v>
      </c>
      <c r="U178" s="301">
        <f t="shared" si="35"/>
        <v>0</v>
      </c>
      <c r="V178" s="300">
        <f t="shared" si="35"/>
        <v>0</v>
      </c>
      <c r="W178" s="300">
        <f t="shared" si="35"/>
        <v>0</v>
      </c>
      <c r="X178" s="302">
        <f t="shared" si="35"/>
        <v>0</v>
      </c>
      <c r="Y178" s="301">
        <f t="shared" si="35"/>
        <v>0</v>
      </c>
      <c r="Z178" s="300">
        <f t="shared" si="35"/>
        <v>0</v>
      </c>
      <c r="AA178" s="300">
        <f t="shared" si="35"/>
        <v>0</v>
      </c>
      <c r="AB178" s="302">
        <f t="shared" si="35"/>
        <v>0</v>
      </c>
      <c r="AC178" s="301">
        <f t="shared" si="35"/>
        <v>0</v>
      </c>
      <c r="AD178" s="300">
        <f t="shared" si="35"/>
        <v>0</v>
      </c>
      <c r="AE178" s="300">
        <f t="shared" si="35"/>
        <v>0</v>
      </c>
      <c r="AF178" s="302">
        <f t="shared" si="35"/>
        <v>0</v>
      </c>
      <c r="AG178" s="301">
        <f t="shared" si="35"/>
        <v>0</v>
      </c>
      <c r="AH178" s="300">
        <f t="shared" si="35"/>
        <v>0</v>
      </c>
      <c r="AI178" s="300">
        <f t="shared" si="35"/>
        <v>0</v>
      </c>
      <c r="AJ178" s="302">
        <f t="shared" si="35"/>
        <v>0</v>
      </c>
      <c r="AK178" s="301">
        <f t="shared" si="35"/>
        <v>0</v>
      </c>
      <c r="AL178" s="300">
        <f t="shared" si="35"/>
        <v>0</v>
      </c>
      <c r="AM178" s="300">
        <f t="shared" si="35"/>
        <v>0</v>
      </c>
      <c r="AN178" s="302">
        <f t="shared" si="35"/>
        <v>0</v>
      </c>
      <c r="AO178" s="301">
        <f t="shared" si="35"/>
        <v>0</v>
      </c>
      <c r="AP178" s="300">
        <f t="shared" si="35"/>
        <v>0</v>
      </c>
      <c r="AQ178" s="300">
        <f t="shared" si="35"/>
        <v>0</v>
      </c>
      <c r="AR178" s="302">
        <f t="shared" si="35"/>
        <v>0</v>
      </c>
      <c r="AS178" s="301">
        <f t="shared" si="35"/>
        <v>0</v>
      </c>
      <c r="AT178" s="300">
        <f t="shared" si="35"/>
        <v>0</v>
      </c>
      <c r="AU178" s="300">
        <f t="shared" si="35"/>
        <v>0</v>
      </c>
      <c r="AV178" s="302">
        <f t="shared" si="35"/>
        <v>0</v>
      </c>
    </row>
    <row r="179" spans="2:48" s="257" customFormat="1" ht="15.75" customHeight="1" outlineLevel="1">
      <c r="B179" s="1980"/>
      <c r="C179" s="303" t="str">
        <f>'8.项目规划指标表'!$B$5</f>
        <v>高层</v>
      </c>
      <c r="D179" s="274">
        <f>SUM(E179:AV179)</f>
        <v>0</v>
      </c>
      <c r="E179" s="275">
        <f t="array" ref="E179">IF(SUM(D302:$E302)&lt;1,SUM(IF('11.销售及回款表'!$E$497:$AV$540=E301,'11.销售及回款表'!$E369:$AV369,0)),'11.销售及回款表'!E369)</f>
        <v>0</v>
      </c>
      <c r="F179" s="276">
        <f t="array" ref="F179">IF(SUM(E302:$E302)&lt;1,SUM(IF('11.销售及回款表'!$E$497:$AV$540=F301,'11.销售及回款表'!$E369:$AV369,0)),'11.销售及回款表'!F369)</f>
        <v>0</v>
      </c>
      <c r="G179" s="276">
        <f t="array" ref="G179">IF(SUM($E302:F302)&lt;1,SUM(IF('11.销售及回款表'!$E$497:$AV$540=G301,'11.销售及回款表'!$E369:$AV369,0)),'11.销售及回款表'!G369)</f>
        <v>0</v>
      </c>
      <c r="H179" s="277">
        <f t="array" ref="H179">IF(SUM($E302:G302)&lt;1,SUM(IF('11.销售及回款表'!$E$497:$AV$540=H301,'11.销售及回款表'!$E369:$AV369,0)),'11.销售及回款表'!H369)</f>
        <v>0</v>
      </c>
      <c r="I179" s="275">
        <f t="array" ref="I179">IF(SUM($E302:H302)&lt;1,SUM(IF('11.销售及回款表'!$E$497:$AV$540=I301,'11.销售及回款表'!$E369:$AV369,0)),'11.销售及回款表'!I369)</f>
        <v>0</v>
      </c>
      <c r="J179" s="276">
        <f t="array" ref="J179">IF(SUM($E302:I302)&lt;1,SUM(IF('11.销售及回款表'!$E$497:$AV$540=J301,'11.销售及回款表'!$E369:$AV369,0)),'11.销售及回款表'!J369)</f>
        <v>0</v>
      </c>
      <c r="K179" s="276">
        <f t="array" ref="K179">IF(SUM($E302:J302)&lt;1,SUM(IF('11.销售及回款表'!$E$497:$AV$540=K301,'11.销售及回款表'!$E369:$AV369,0)),'11.销售及回款表'!K369)</f>
        <v>0</v>
      </c>
      <c r="L179" s="277">
        <f t="array" ref="L179">IF(SUM($E302:K302)&lt;1,SUM(IF('11.销售及回款表'!$E$497:$AV$540=L301,'11.销售及回款表'!$E369:$AV369,0)),'11.销售及回款表'!L369)</f>
        <v>0</v>
      </c>
      <c r="M179" s="275">
        <f t="array" ref="M179">IF(SUM($E302:L302)&lt;1,SUM(IF('11.销售及回款表'!$E$497:$AV$540=M301,'11.销售及回款表'!$E369:$AV369,0)),'11.销售及回款表'!M369)</f>
        <v>0</v>
      </c>
      <c r="N179" s="276">
        <f t="array" ref="N179">IF(SUM($E302:M302)&lt;1,SUM(IF('11.销售及回款表'!$E$497:$AV$540=N301,'11.销售及回款表'!$E369:$AV369,0)),'11.销售及回款表'!N369)</f>
        <v>0</v>
      </c>
      <c r="O179" s="276">
        <f t="array" ref="O179">IF(SUM($E302:N302)&lt;1,SUM(IF('11.销售及回款表'!$E$497:$AV$540=O301,'11.销售及回款表'!$E369:$AV369,0)),'11.销售及回款表'!O369)</f>
        <v>0</v>
      </c>
      <c r="P179" s="277">
        <f t="array" ref="P179">IF(SUM($E302:O302)&lt;1,SUM(IF('11.销售及回款表'!$E$497:$AV$540=P301,'11.销售及回款表'!$E369:$AV369,0)),'11.销售及回款表'!P369)</f>
        <v>0</v>
      </c>
      <c r="Q179" s="275">
        <f t="array" ref="Q179">IF(SUM($E302:P302)&lt;1,SUM(IF('11.销售及回款表'!$E$497:$AV$540=Q301,'11.销售及回款表'!$E369:$AV369,0)),'11.销售及回款表'!Q369)</f>
        <v>0</v>
      </c>
      <c r="R179" s="276">
        <f t="array" ref="R179">IF(SUM($E302:Q302)&lt;1,SUM(IF('11.销售及回款表'!$E$497:$AV$540=R301,'11.销售及回款表'!$E369:$AV369,0)),'11.销售及回款表'!R369)</f>
        <v>0</v>
      </c>
      <c r="S179" s="276">
        <f t="array" ref="S179">IF(SUM($E302:R302)&lt;1,SUM(IF('11.销售及回款表'!$E$497:$AV$540=S301,'11.销售及回款表'!$E369:$AV369,0)),'11.销售及回款表'!S369)</f>
        <v>0</v>
      </c>
      <c r="T179" s="277">
        <f t="array" ref="T179">IF(SUM($E302:S302)&lt;1,SUM(IF('11.销售及回款表'!$E$497:$AV$540=T301,'11.销售及回款表'!$E369:$AV369,0)),'11.销售及回款表'!T369)</f>
        <v>0</v>
      </c>
      <c r="U179" s="275">
        <f t="array" ref="U179">IF(SUM($E302:T302)&lt;1,SUM(IF('11.销售及回款表'!$E$497:$AV$540=U301,'11.销售及回款表'!$E369:$AV369,0)),'11.销售及回款表'!U369)</f>
        <v>0</v>
      </c>
      <c r="V179" s="276">
        <f t="array" ref="V179">IF(SUM($E302:U302)&lt;1,SUM(IF('11.销售及回款表'!$E$497:$AV$540=V301,'11.销售及回款表'!$E369:$AV369,0)),'11.销售及回款表'!V369)</f>
        <v>0</v>
      </c>
      <c r="W179" s="276">
        <f t="array" ref="W179">IF(SUM($E302:V302)&lt;1,SUM(IF('11.销售及回款表'!$E$497:$AV$540=W301,'11.销售及回款表'!$E369:$AV369,0)),'11.销售及回款表'!W369)</f>
        <v>0</v>
      </c>
      <c r="X179" s="277">
        <f t="array" ref="X179">IF(SUM($E302:W302)&lt;1,SUM(IF('11.销售及回款表'!$E$497:$AV$540=X301,'11.销售及回款表'!$E369:$AV369,0)),'11.销售及回款表'!X369)</f>
        <v>0</v>
      </c>
      <c r="Y179" s="275">
        <f t="array" ref="Y179">IF(SUM($E302:X302)&lt;1,SUM(IF('11.销售及回款表'!$E$497:$AV$540=Y301,'11.销售及回款表'!$E369:$AV369,0)),'11.销售及回款表'!Y369)</f>
        <v>0</v>
      </c>
      <c r="Z179" s="276">
        <f t="array" ref="Z179">IF(SUM($E302:Y302)&lt;1,SUM(IF('11.销售及回款表'!$E$497:$AV$540=Z301,'11.销售及回款表'!$E369:$AV369,0)),'11.销售及回款表'!Z369)</f>
        <v>0</v>
      </c>
      <c r="AA179" s="276">
        <f t="array" ref="AA179">IF(SUM($E302:Z302)&lt;1,SUM(IF('11.销售及回款表'!$E$497:$AV$540=AA301,'11.销售及回款表'!$E369:$AV369,0)),'11.销售及回款表'!AA369)</f>
        <v>0</v>
      </c>
      <c r="AB179" s="277">
        <f t="array" ref="AB179">IF(SUM($E302:AA302)&lt;1,SUM(IF('11.销售及回款表'!$E$497:$AV$540=AB301,'11.销售及回款表'!$E369:$AV369,0)),'11.销售及回款表'!AB369)</f>
        <v>0</v>
      </c>
      <c r="AC179" s="275">
        <f t="array" ref="AC179">IF(SUM($E302:AB302)&lt;1,SUM(IF('11.销售及回款表'!$E$497:$AV$540=AC301,'11.销售及回款表'!$E369:$AV369,0)),'11.销售及回款表'!AC369)</f>
        <v>0</v>
      </c>
      <c r="AD179" s="276">
        <f t="array" ref="AD179">IF(SUM($E302:AC302)&lt;1,SUM(IF('11.销售及回款表'!$E$497:$AV$540=AD301,'11.销售及回款表'!$E369:$AV369,0)),'11.销售及回款表'!AD369)</f>
        <v>0</v>
      </c>
      <c r="AE179" s="276">
        <f t="array" ref="AE179">IF(SUM($E302:AD302)&lt;1,SUM(IF('11.销售及回款表'!$E$497:$AV$540=AE301,'11.销售及回款表'!$E369:$AV369,0)),'11.销售及回款表'!AE369)</f>
        <v>0</v>
      </c>
      <c r="AF179" s="277">
        <f t="array" ref="AF179">IF(SUM($E302:AE302)&lt;1,SUM(IF('11.销售及回款表'!$E$497:$AV$540=AF301,'11.销售及回款表'!$E369:$AV369,0)),'11.销售及回款表'!AF369)</f>
        <v>0</v>
      </c>
      <c r="AG179" s="275">
        <f t="array" ref="AG179">IF(SUM($E302:AF302)&lt;1,SUM(IF('11.销售及回款表'!$E$497:$AV$540=AG301,'11.销售及回款表'!$E369:$AV369,0)),'11.销售及回款表'!AG369)</f>
        <v>0</v>
      </c>
      <c r="AH179" s="276">
        <f t="array" ref="AH179">IF(SUM($E302:AG302)&lt;1,SUM(IF('11.销售及回款表'!$E$497:$AV$540=AH301,'11.销售及回款表'!$E369:$AV369,0)),'11.销售及回款表'!AH369)</f>
        <v>0</v>
      </c>
      <c r="AI179" s="276">
        <f t="array" ref="AI179">IF(SUM($E302:AH302)&lt;1,SUM(IF('11.销售及回款表'!$E$497:$AV$540=AI301,'11.销售及回款表'!$E369:$AV369,0)),'11.销售及回款表'!AI369)</f>
        <v>0</v>
      </c>
      <c r="AJ179" s="277">
        <f t="array" ref="AJ179">IF(SUM($E302:AI302)&lt;1,SUM(IF('11.销售及回款表'!$E$497:$AV$540=AJ301,'11.销售及回款表'!$E369:$AV369,0)),'11.销售及回款表'!AJ369)</f>
        <v>0</v>
      </c>
      <c r="AK179" s="275">
        <f t="array" ref="AK179">IF(SUM($E302:AJ302)&lt;1,SUM(IF('11.销售及回款表'!$E$497:$AV$540=AK301,'11.销售及回款表'!$E369:$AV369,0)),'11.销售及回款表'!AK369)</f>
        <v>0</v>
      </c>
      <c r="AL179" s="276">
        <f t="array" ref="AL179">IF(SUM($E302:AK302)&lt;1,SUM(IF('11.销售及回款表'!$E$497:$AV$540=AL301,'11.销售及回款表'!$E369:$AV369,0)),'11.销售及回款表'!AL369)</f>
        <v>0</v>
      </c>
      <c r="AM179" s="276">
        <f t="array" ref="AM179">IF(SUM($E302:AL302)&lt;1,SUM(IF('11.销售及回款表'!$E$497:$AV$540=AM301,'11.销售及回款表'!$E369:$AV369,0)),'11.销售及回款表'!AM369)</f>
        <v>0</v>
      </c>
      <c r="AN179" s="277">
        <f t="array" ref="AN179">IF(SUM($E302:AM302)&lt;1,SUM(IF('11.销售及回款表'!$E$497:$AV$540=AN301,'11.销售及回款表'!$E369:$AV369,0)),'11.销售及回款表'!AN369)</f>
        <v>0</v>
      </c>
      <c r="AO179" s="275">
        <f t="array" ref="AO179">IF(SUM($E302:AN302)&lt;1,SUM(IF('11.销售及回款表'!$E$497:$AV$540=AO301,'11.销售及回款表'!$E369:$AV369,0)),'11.销售及回款表'!AO369)</f>
        <v>0</v>
      </c>
      <c r="AP179" s="276">
        <f t="array" ref="AP179">IF(SUM($E302:AO302)&lt;1,SUM(IF('11.销售及回款表'!$E$497:$AV$540=AP301,'11.销售及回款表'!$E369:$AV369,0)),'11.销售及回款表'!AP369)</f>
        <v>0</v>
      </c>
      <c r="AQ179" s="276">
        <f t="array" ref="AQ179">IF(SUM($E302:AP302)&lt;1,SUM(IF('11.销售及回款表'!$E$497:$AV$540=AQ301,'11.销售及回款表'!$E369:$AV369,0)),'11.销售及回款表'!AQ369)</f>
        <v>0</v>
      </c>
      <c r="AR179" s="277">
        <f t="array" ref="AR179">IF(SUM($E302:AQ302)&lt;1,SUM(IF('11.销售及回款表'!$E$497:$AV$540=AR301,'11.销售及回款表'!$E369:$AV369,0)),'11.销售及回款表'!AR369)</f>
        <v>0</v>
      </c>
      <c r="AS179" s="275">
        <f t="array" ref="AS179">IF(SUM($E302:AR302)&lt;1,SUM(IF('11.销售及回款表'!$E$497:$AV$540=AS301,'11.销售及回款表'!$E369:$AV369,0)),'11.销售及回款表'!AS369)</f>
        <v>0</v>
      </c>
      <c r="AT179" s="276">
        <f t="array" ref="AT179">IF(SUM($E302:AS302)&lt;1,SUM(IF('11.销售及回款表'!$E$497:$AV$540=AT301,'11.销售及回款表'!$E369:$AV369,0)),'11.销售及回款表'!AT369)</f>
        <v>0</v>
      </c>
      <c r="AU179" s="276">
        <f t="array" ref="AU179">IF(SUM($E302:AT302)&lt;1,SUM(IF('11.销售及回款表'!$E$497:$AV$540=AU301,'11.销售及回款表'!$E369:$AV369,0)),'11.销售及回款表'!AU369)</f>
        <v>0</v>
      </c>
      <c r="AV179" s="277">
        <f t="array" ref="AV179">IF(SUM($E302:AU302)&lt;1,SUM(IF('11.销售及回款表'!$E$497:$AV$540=AV301,'11.销售及回款表'!$E369:$AV369,0)),'11.销售及回款表'!AV369)</f>
        <v>0</v>
      </c>
    </row>
    <row r="180" spans="2:48" s="257" customFormat="1" ht="15.75" customHeight="1" outlineLevel="1">
      <c r="B180" s="1980"/>
      <c r="C180" s="303" t="str">
        <f>'8.项目规划指标表'!$B$6</f>
        <v>商铺</v>
      </c>
      <c r="D180" s="274">
        <f t="shared" ref="D180:D190" si="36">SUM(E180:AV180)</f>
        <v>0</v>
      </c>
      <c r="E180" s="275">
        <f t="array" ref="E180">IF(SUM(D304:$E304)&lt;1,SUM(IF('11.销售及回款表'!$E$497:$AV$540=E303,'11.销售及回款表'!$E374:$AV374,0)),'11.销售及回款表'!E374)</f>
        <v>0</v>
      </c>
      <c r="F180" s="276">
        <f t="array" ref="F180">IF(SUM(E304:$E304)&lt;1,SUM(IF('11.销售及回款表'!$E$497:$AV$540=F303,'11.销售及回款表'!$E374:$AV374,0)),'11.销售及回款表'!F374)</f>
        <v>0</v>
      </c>
      <c r="G180" s="276">
        <f t="array" ref="G180">IF(SUM($E304:F304)&lt;1,SUM(IF('11.销售及回款表'!$E$497:$AV$540=G303,'11.销售及回款表'!$E374:$AV374,0)),'11.销售及回款表'!G374)</f>
        <v>0</v>
      </c>
      <c r="H180" s="277">
        <f t="array" ref="H180">IF(SUM($E304:G304)&lt;1,SUM(IF('11.销售及回款表'!$E$497:$AV$540=H303,'11.销售及回款表'!$E374:$AV374,0)),'11.销售及回款表'!H374)</f>
        <v>0</v>
      </c>
      <c r="I180" s="275">
        <f t="array" ref="I180">IF(SUM($E304:H304)&lt;1,SUM(IF('11.销售及回款表'!$E$497:$AV$540=I303,'11.销售及回款表'!$E374:$AV374,0)),'11.销售及回款表'!I374)</f>
        <v>0</v>
      </c>
      <c r="J180" s="276">
        <f t="array" ref="J180">IF(SUM($E304:I304)&lt;1,SUM(IF('11.销售及回款表'!$E$497:$AV$540=J303,'11.销售及回款表'!$E374:$AV374,0)),'11.销售及回款表'!J374)</f>
        <v>0</v>
      </c>
      <c r="K180" s="276">
        <f t="array" ref="K180">IF(SUM($E304:J304)&lt;1,SUM(IF('11.销售及回款表'!$E$497:$AV$540=K303,'11.销售及回款表'!$E374:$AV374,0)),'11.销售及回款表'!K374)</f>
        <v>0</v>
      </c>
      <c r="L180" s="277">
        <f t="array" ref="L180">IF(SUM($E304:K304)&lt;1,SUM(IF('11.销售及回款表'!$E$497:$AV$540=L303,'11.销售及回款表'!$E374:$AV374,0)),'11.销售及回款表'!L374)</f>
        <v>0</v>
      </c>
      <c r="M180" s="275">
        <f t="array" ref="M180">IF(SUM($E304:L304)&lt;1,SUM(IF('11.销售及回款表'!$E$497:$AV$540=M303,'11.销售及回款表'!$E374:$AV374,0)),'11.销售及回款表'!M374)</f>
        <v>0</v>
      </c>
      <c r="N180" s="276">
        <f t="array" ref="N180">IF(SUM($E304:M304)&lt;1,SUM(IF('11.销售及回款表'!$E$497:$AV$540=N303,'11.销售及回款表'!$E374:$AV374,0)),'11.销售及回款表'!N374)</f>
        <v>0</v>
      </c>
      <c r="O180" s="276">
        <f t="array" ref="O180">IF(SUM($E304:N304)&lt;1,SUM(IF('11.销售及回款表'!$E$497:$AV$540=O303,'11.销售及回款表'!$E374:$AV374,0)),'11.销售及回款表'!O374)</f>
        <v>0</v>
      </c>
      <c r="P180" s="277">
        <f t="array" ref="P180">IF(SUM($E304:O304)&lt;1,SUM(IF('11.销售及回款表'!$E$497:$AV$540=P303,'11.销售及回款表'!$E374:$AV374,0)),'11.销售及回款表'!P374)</f>
        <v>0</v>
      </c>
      <c r="Q180" s="275">
        <f t="array" ref="Q180">IF(SUM($E304:P304)&lt;1,SUM(IF('11.销售及回款表'!$E$497:$AV$540=Q303,'11.销售及回款表'!$E374:$AV374,0)),'11.销售及回款表'!Q374)</f>
        <v>0</v>
      </c>
      <c r="R180" s="276">
        <f t="array" ref="R180">IF(SUM($E304:Q304)&lt;1,SUM(IF('11.销售及回款表'!$E$497:$AV$540=R303,'11.销售及回款表'!$E374:$AV374,0)),'11.销售及回款表'!R374)</f>
        <v>0</v>
      </c>
      <c r="S180" s="276">
        <f t="array" ref="S180">IF(SUM($E304:R304)&lt;1,SUM(IF('11.销售及回款表'!$E$497:$AV$540=S303,'11.销售及回款表'!$E374:$AV374,0)),'11.销售及回款表'!S374)</f>
        <v>0</v>
      </c>
      <c r="T180" s="277">
        <f t="array" ref="T180">IF(SUM($E304:S304)&lt;1,SUM(IF('11.销售及回款表'!$E$497:$AV$540=T303,'11.销售及回款表'!$E374:$AV374,0)),'11.销售及回款表'!T374)</f>
        <v>0</v>
      </c>
      <c r="U180" s="275">
        <f t="array" ref="U180">IF(SUM($E304:T304)&lt;1,SUM(IF('11.销售及回款表'!$E$497:$AV$540=U303,'11.销售及回款表'!$E374:$AV374,0)),'11.销售及回款表'!U374)</f>
        <v>0</v>
      </c>
      <c r="V180" s="276">
        <f t="array" ref="V180">IF(SUM($E304:U304)&lt;1,SUM(IF('11.销售及回款表'!$E$497:$AV$540=V303,'11.销售及回款表'!$E374:$AV374,0)),'11.销售及回款表'!V374)</f>
        <v>0</v>
      </c>
      <c r="W180" s="276">
        <f t="array" ref="W180">IF(SUM($E304:V304)&lt;1,SUM(IF('11.销售及回款表'!$E$497:$AV$540=W303,'11.销售及回款表'!$E374:$AV374,0)),'11.销售及回款表'!W374)</f>
        <v>0</v>
      </c>
      <c r="X180" s="277">
        <f t="array" ref="X180">IF(SUM($E304:W304)&lt;1,SUM(IF('11.销售及回款表'!$E$497:$AV$540=X303,'11.销售及回款表'!$E374:$AV374,0)),'11.销售及回款表'!X374)</f>
        <v>0</v>
      </c>
      <c r="Y180" s="275">
        <f t="array" ref="Y180">IF(SUM($E304:X304)&lt;1,SUM(IF('11.销售及回款表'!$E$497:$AV$540=Y303,'11.销售及回款表'!$E374:$AV374,0)),'11.销售及回款表'!Y374)</f>
        <v>0</v>
      </c>
      <c r="Z180" s="276">
        <f t="array" ref="Z180">IF(SUM($E304:Y304)&lt;1,SUM(IF('11.销售及回款表'!$E$497:$AV$540=Z303,'11.销售及回款表'!$E374:$AV374,0)),'11.销售及回款表'!Z374)</f>
        <v>0</v>
      </c>
      <c r="AA180" s="276">
        <f t="array" ref="AA180">IF(SUM($E304:Z304)&lt;1,SUM(IF('11.销售及回款表'!$E$497:$AV$540=AA303,'11.销售及回款表'!$E374:$AV374,0)),'11.销售及回款表'!AA374)</f>
        <v>0</v>
      </c>
      <c r="AB180" s="277">
        <f t="array" ref="AB180">IF(SUM($E304:AA304)&lt;1,SUM(IF('11.销售及回款表'!$E$497:$AV$540=AB303,'11.销售及回款表'!$E374:$AV374,0)),'11.销售及回款表'!AB374)</f>
        <v>0</v>
      </c>
      <c r="AC180" s="275">
        <f t="array" ref="AC180">IF(SUM($E304:AB304)&lt;1,SUM(IF('11.销售及回款表'!$E$497:$AV$540=AC303,'11.销售及回款表'!$E374:$AV374,0)),'11.销售及回款表'!AC374)</f>
        <v>0</v>
      </c>
      <c r="AD180" s="276">
        <f t="array" ref="AD180">IF(SUM($E304:AC304)&lt;1,SUM(IF('11.销售及回款表'!$E$497:$AV$540=AD303,'11.销售及回款表'!$E374:$AV374,0)),'11.销售及回款表'!AD374)</f>
        <v>0</v>
      </c>
      <c r="AE180" s="276">
        <f t="array" ref="AE180">IF(SUM($E304:AD304)&lt;1,SUM(IF('11.销售及回款表'!$E$497:$AV$540=AE303,'11.销售及回款表'!$E374:$AV374,0)),'11.销售及回款表'!AE374)</f>
        <v>0</v>
      </c>
      <c r="AF180" s="277">
        <f t="array" ref="AF180">IF(SUM($E304:AE304)&lt;1,SUM(IF('11.销售及回款表'!$E$497:$AV$540=AF303,'11.销售及回款表'!$E374:$AV374,0)),'11.销售及回款表'!AF374)</f>
        <v>0</v>
      </c>
      <c r="AG180" s="275">
        <f t="array" ref="AG180">IF(SUM($E304:AF304)&lt;1,SUM(IF('11.销售及回款表'!$E$497:$AV$540=AG303,'11.销售及回款表'!$E374:$AV374,0)),'11.销售及回款表'!AG374)</f>
        <v>0</v>
      </c>
      <c r="AH180" s="276">
        <f t="array" ref="AH180">IF(SUM($E304:AG304)&lt;1,SUM(IF('11.销售及回款表'!$E$497:$AV$540=AH303,'11.销售及回款表'!$E374:$AV374,0)),'11.销售及回款表'!AH374)</f>
        <v>0</v>
      </c>
      <c r="AI180" s="276">
        <f t="array" ref="AI180">IF(SUM($E304:AH304)&lt;1,SUM(IF('11.销售及回款表'!$E$497:$AV$540=AI303,'11.销售及回款表'!$E374:$AV374,0)),'11.销售及回款表'!AI374)</f>
        <v>0</v>
      </c>
      <c r="AJ180" s="277">
        <f t="array" ref="AJ180">IF(SUM($E304:AI304)&lt;1,SUM(IF('11.销售及回款表'!$E$497:$AV$540=AJ303,'11.销售及回款表'!$E374:$AV374,0)),'11.销售及回款表'!AJ374)</f>
        <v>0</v>
      </c>
      <c r="AK180" s="275">
        <f t="array" ref="AK180">IF(SUM($E304:AJ304)&lt;1,SUM(IF('11.销售及回款表'!$E$497:$AV$540=AK303,'11.销售及回款表'!$E374:$AV374,0)),'11.销售及回款表'!AK374)</f>
        <v>0</v>
      </c>
      <c r="AL180" s="276">
        <f t="array" ref="AL180">IF(SUM($E304:AK304)&lt;1,SUM(IF('11.销售及回款表'!$E$497:$AV$540=AL303,'11.销售及回款表'!$E374:$AV374,0)),'11.销售及回款表'!AL374)</f>
        <v>0</v>
      </c>
      <c r="AM180" s="276">
        <f t="array" ref="AM180">IF(SUM($E304:AL304)&lt;1,SUM(IF('11.销售及回款表'!$E$497:$AV$540=AM303,'11.销售及回款表'!$E374:$AV374,0)),'11.销售及回款表'!AM374)</f>
        <v>0</v>
      </c>
      <c r="AN180" s="277">
        <f t="array" ref="AN180">IF(SUM($E304:AM304)&lt;1,SUM(IF('11.销售及回款表'!$E$497:$AV$540=AN303,'11.销售及回款表'!$E374:$AV374,0)),'11.销售及回款表'!AN374)</f>
        <v>0</v>
      </c>
      <c r="AO180" s="275">
        <f t="array" ref="AO180">IF(SUM($E304:AN304)&lt;1,SUM(IF('11.销售及回款表'!$E$497:$AV$540=AO303,'11.销售及回款表'!$E374:$AV374,0)),'11.销售及回款表'!AO374)</f>
        <v>0</v>
      </c>
      <c r="AP180" s="276">
        <f t="array" ref="AP180">IF(SUM($E304:AO304)&lt;1,SUM(IF('11.销售及回款表'!$E$497:$AV$540=AP303,'11.销售及回款表'!$E374:$AV374,0)),'11.销售及回款表'!AP374)</f>
        <v>0</v>
      </c>
      <c r="AQ180" s="276">
        <f t="array" ref="AQ180">IF(SUM($E304:AP304)&lt;1,SUM(IF('11.销售及回款表'!$E$497:$AV$540=AQ303,'11.销售及回款表'!$E374:$AV374,0)),'11.销售及回款表'!AQ374)</f>
        <v>0</v>
      </c>
      <c r="AR180" s="277">
        <f t="array" ref="AR180">IF(SUM($E304:AQ304)&lt;1,SUM(IF('11.销售及回款表'!$E$497:$AV$540=AR303,'11.销售及回款表'!$E374:$AV374,0)),'11.销售及回款表'!AR374)</f>
        <v>0</v>
      </c>
      <c r="AS180" s="275">
        <f t="array" ref="AS180">IF(SUM($E304:AR304)&lt;1,SUM(IF('11.销售及回款表'!$E$497:$AV$540=AS303,'11.销售及回款表'!$E374:$AV374,0)),'11.销售及回款表'!AS374)</f>
        <v>0</v>
      </c>
      <c r="AT180" s="276">
        <f t="array" ref="AT180">IF(SUM($E304:AS304)&lt;1,SUM(IF('11.销售及回款表'!$E$497:$AV$540=AT303,'11.销售及回款表'!$E374:$AV374,0)),'11.销售及回款表'!AT374)</f>
        <v>0</v>
      </c>
      <c r="AU180" s="276">
        <f t="array" ref="AU180">IF(SUM($E304:AT304)&lt;1,SUM(IF('11.销售及回款表'!$E$497:$AV$540=AU303,'11.销售及回款表'!$E374:$AV374,0)),'11.销售及回款表'!AU374)</f>
        <v>0</v>
      </c>
      <c r="AV180" s="277">
        <f t="array" ref="AV180">IF(SUM($E304:AU304)&lt;1,SUM(IF('11.销售及回款表'!$E$497:$AV$540=AV303,'11.销售及回款表'!$E374:$AV374,0)),'11.销售及回款表'!AV374)</f>
        <v>0</v>
      </c>
    </row>
    <row r="181" spans="2:48" s="257" customFormat="1" ht="15.75" customHeight="1" outlineLevel="1">
      <c r="B181" s="1980"/>
      <c r="C181" s="303" t="str">
        <f>'8.项目规划指标表'!$B$7</f>
        <v>回迁商业</v>
      </c>
      <c r="D181" s="274">
        <f t="shared" si="36"/>
        <v>0</v>
      </c>
      <c r="E181" s="275">
        <f t="array" ref="E181">IF(SUM(D306:$E306)&lt;1,SUM(IF('11.销售及回款表'!$E$497:$AV$540=E305,'11.销售及回款表'!$E379:$AV379,0)),'11.销售及回款表'!E379)</f>
        <v>0</v>
      </c>
      <c r="F181" s="276">
        <f t="array" ref="F181">IF(SUM(E306:$E306)&lt;1,SUM(IF('11.销售及回款表'!$E$497:$AV$540=F305,'11.销售及回款表'!$E379:$AV379,0)),'11.销售及回款表'!F379)</f>
        <v>0</v>
      </c>
      <c r="G181" s="276">
        <f t="array" ref="G181">IF(SUM($E306:F306)&lt;1,SUM(IF('11.销售及回款表'!$E$497:$AV$540=G305,'11.销售及回款表'!$E379:$AV379,0)),'11.销售及回款表'!G379)</f>
        <v>0</v>
      </c>
      <c r="H181" s="277">
        <f t="array" ref="H181">IF(SUM($E306:G306)&lt;1,SUM(IF('11.销售及回款表'!$E$497:$AV$540=H305,'11.销售及回款表'!$E379:$AV379,0)),'11.销售及回款表'!H379)</f>
        <v>0</v>
      </c>
      <c r="I181" s="275">
        <f t="array" ref="I181">IF(SUM($E306:H306)&lt;1,SUM(IF('11.销售及回款表'!$E$497:$AV$540=I305,'11.销售及回款表'!$E379:$AV379,0)),'11.销售及回款表'!I379)</f>
        <v>0</v>
      </c>
      <c r="J181" s="276">
        <f t="array" ref="J181">IF(SUM($E306:I306)&lt;1,SUM(IF('11.销售及回款表'!$E$497:$AV$540=J305,'11.销售及回款表'!$E379:$AV379,0)),'11.销售及回款表'!J379)</f>
        <v>0</v>
      </c>
      <c r="K181" s="276">
        <f t="array" ref="K181">IF(SUM($E306:J306)&lt;1,SUM(IF('11.销售及回款表'!$E$497:$AV$540=K305,'11.销售及回款表'!$E379:$AV379,0)),'11.销售及回款表'!K379)</f>
        <v>0</v>
      </c>
      <c r="L181" s="277">
        <f t="array" ref="L181">IF(SUM($E306:K306)&lt;1,SUM(IF('11.销售及回款表'!$E$497:$AV$540=L305,'11.销售及回款表'!$E379:$AV379,0)),'11.销售及回款表'!L379)</f>
        <v>0</v>
      </c>
      <c r="M181" s="275">
        <f t="array" ref="M181">IF(SUM($E306:L306)&lt;1,SUM(IF('11.销售及回款表'!$E$497:$AV$540=M305,'11.销售及回款表'!$E379:$AV379,0)),'11.销售及回款表'!M379)</f>
        <v>0</v>
      </c>
      <c r="N181" s="276">
        <f t="array" ref="N181">IF(SUM($E306:M306)&lt;1,SUM(IF('11.销售及回款表'!$E$497:$AV$540=N305,'11.销售及回款表'!$E379:$AV379,0)),'11.销售及回款表'!N379)</f>
        <v>0</v>
      </c>
      <c r="O181" s="276">
        <f t="array" ref="O181">IF(SUM($E306:N306)&lt;1,SUM(IF('11.销售及回款表'!$E$497:$AV$540=O305,'11.销售及回款表'!$E379:$AV379,0)),'11.销售及回款表'!O379)</f>
        <v>0</v>
      </c>
      <c r="P181" s="277">
        <f t="array" ref="P181">IF(SUM($E306:O306)&lt;1,SUM(IF('11.销售及回款表'!$E$497:$AV$540=P305,'11.销售及回款表'!$E379:$AV379,0)),'11.销售及回款表'!P379)</f>
        <v>0</v>
      </c>
      <c r="Q181" s="275">
        <f t="array" ref="Q181">IF(SUM($E306:P306)&lt;1,SUM(IF('11.销售及回款表'!$E$497:$AV$540=Q305,'11.销售及回款表'!$E379:$AV379,0)),'11.销售及回款表'!Q379)</f>
        <v>0</v>
      </c>
      <c r="R181" s="276">
        <f t="array" ref="R181">IF(SUM($E306:Q306)&lt;1,SUM(IF('11.销售及回款表'!$E$497:$AV$540=R305,'11.销售及回款表'!$E379:$AV379,0)),'11.销售及回款表'!R379)</f>
        <v>0</v>
      </c>
      <c r="S181" s="276">
        <f t="array" ref="S181">IF(SUM($E306:R306)&lt;1,SUM(IF('11.销售及回款表'!$E$497:$AV$540=S305,'11.销售及回款表'!$E379:$AV379,0)),'11.销售及回款表'!S379)</f>
        <v>0</v>
      </c>
      <c r="T181" s="277">
        <f t="array" ref="T181">IF(SUM($E306:S306)&lt;1,SUM(IF('11.销售及回款表'!$E$497:$AV$540=T305,'11.销售及回款表'!$E379:$AV379,0)),'11.销售及回款表'!T379)</f>
        <v>0</v>
      </c>
      <c r="U181" s="275">
        <f t="array" ref="U181">IF(SUM($E306:T306)&lt;1,SUM(IF('11.销售及回款表'!$E$497:$AV$540=U305,'11.销售及回款表'!$E379:$AV379,0)),'11.销售及回款表'!U379)</f>
        <v>0</v>
      </c>
      <c r="V181" s="276">
        <f t="array" ref="V181">IF(SUM($E306:U306)&lt;1,SUM(IF('11.销售及回款表'!$E$497:$AV$540=V305,'11.销售及回款表'!$E379:$AV379,0)),'11.销售及回款表'!V379)</f>
        <v>0</v>
      </c>
      <c r="W181" s="276">
        <f t="array" ref="W181">IF(SUM($E306:V306)&lt;1,SUM(IF('11.销售及回款表'!$E$497:$AV$540=W305,'11.销售及回款表'!$E379:$AV379,0)),'11.销售及回款表'!W379)</f>
        <v>0</v>
      </c>
      <c r="X181" s="277">
        <f t="array" ref="X181">IF(SUM($E306:W306)&lt;1,SUM(IF('11.销售及回款表'!$E$497:$AV$540=X305,'11.销售及回款表'!$E379:$AV379,0)),'11.销售及回款表'!X379)</f>
        <v>0</v>
      </c>
      <c r="Y181" s="275">
        <f t="array" ref="Y181">IF(SUM($E306:X306)&lt;1,SUM(IF('11.销售及回款表'!$E$497:$AV$540=Y305,'11.销售及回款表'!$E379:$AV379,0)),'11.销售及回款表'!Y379)</f>
        <v>0</v>
      </c>
      <c r="Z181" s="276">
        <f t="array" ref="Z181">IF(SUM($E306:Y306)&lt;1,SUM(IF('11.销售及回款表'!$E$497:$AV$540=Z305,'11.销售及回款表'!$E379:$AV379,0)),'11.销售及回款表'!Z379)</f>
        <v>0</v>
      </c>
      <c r="AA181" s="276">
        <f t="array" ref="AA181">IF(SUM($E306:Z306)&lt;1,SUM(IF('11.销售及回款表'!$E$497:$AV$540=AA305,'11.销售及回款表'!$E379:$AV379,0)),'11.销售及回款表'!AA379)</f>
        <v>0</v>
      </c>
      <c r="AB181" s="277">
        <f t="array" ref="AB181">IF(SUM($E306:AA306)&lt;1,SUM(IF('11.销售及回款表'!$E$497:$AV$540=AB305,'11.销售及回款表'!$E379:$AV379,0)),'11.销售及回款表'!AB379)</f>
        <v>0</v>
      </c>
      <c r="AC181" s="275">
        <f t="array" ref="AC181">IF(SUM($E306:AB306)&lt;1,SUM(IF('11.销售及回款表'!$E$497:$AV$540=AC305,'11.销售及回款表'!$E379:$AV379,0)),'11.销售及回款表'!AC379)</f>
        <v>0</v>
      </c>
      <c r="AD181" s="276">
        <f t="array" ref="AD181">IF(SUM($E306:AC306)&lt;1,SUM(IF('11.销售及回款表'!$E$497:$AV$540=AD305,'11.销售及回款表'!$E379:$AV379,0)),'11.销售及回款表'!AD379)</f>
        <v>0</v>
      </c>
      <c r="AE181" s="276">
        <f t="array" ref="AE181">IF(SUM($E306:AD306)&lt;1,SUM(IF('11.销售及回款表'!$E$497:$AV$540=AE305,'11.销售及回款表'!$E379:$AV379,0)),'11.销售及回款表'!AE379)</f>
        <v>0</v>
      </c>
      <c r="AF181" s="277">
        <f t="array" ref="AF181">IF(SUM($E306:AE306)&lt;1,SUM(IF('11.销售及回款表'!$E$497:$AV$540=AF305,'11.销售及回款表'!$E379:$AV379,0)),'11.销售及回款表'!AF379)</f>
        <v>0</v>
      </c>
      <c r="AG181" s="275">
        <f t="array" ref="AG181">IF(SUM($E306:AF306)&lt;1,SUM(IF('11.销售及回款表'!$E$497:$AV$540=AG305,'11.销售及回款表'!$E379:$AV379,0)),'11.销售及回款表'!AG379)</f>
        <v>0</v>
      </c>
      <c r="AH181" s="276">
        <f t="array" ref="AH181">IF(SUM($E306:AG306)&lt;1,SUM(IF('11.销售及回款表'!$E$497:$AV$540=AH305,'11.销售及回款表'!$E379:$AV379,0)),'11.销售及回款表'!AH379)</f>
        <v>0</v>
      </c>
      <c r="AI181" s="276">
        <f t="array" ref="AI181">IF(SUM($E306:AH306)&lt;1,SUM(IF('11.销售及回款表'!$E$497:$AV$540=AI305,'11.销售及回款表'!$E379:$AV379,0)),'11.销售及回款表'!AI379)</f>
        <v>0</v>
      </c>
      <c r="AJ181" s="277">
        <f t="array" ref="AJ181">IF(SUM($E306:AI306)&lt;1,SUM(IF('11.销售及回款表'!$E$497:$AV$540=AJ305,'11.销售及回款表'!$E379:$AV379,0)),'11.销售及回款表'!AJ379)</f>
        <v>0</v>
      </c>
      <c r="AK181" s="275">
        <f t="array" ref="AK181">IF(SUM($E306:AJ306)&lt;1,SUM(IF('11.销售及回款表'!$E$497:$AV$540=AK305,'11.销售及回款表'!$E379:$AV379,0)),'11.销售及回款表'!AK379)</f>
        <v>0</v>
      </c>
      <c r="AL181" s="276">
        <f t="array" ref="AL181">IF(SUM($E306:AK306)&lt;1,SUM(IF('11.销售及回款表'!$E$497:$AV$540=AL305,'11.销售及回款表'!$E379:$AV379,0)),'11.销售及回款表'!AL379)</f>
        <v>0</v>
      </c>
      <c r="AM181" s="276">
        <f t="array" ref="AM181">IF(SUM($E306:AL306)&lt;1,SUM(IF('11.销售及回款表'!$E$497:$AV$540=AM305,'11.销售及回款表'!$E379:$AV379,0)),'11.销售及回款表'!AM379)</f>
        <v>0</v>
      </c>
      <c r="AN181" s="277">
        <f t="array" ref="AN181">IF(SUM($E306:AM306)&lt;1,SUM(IF('11.销售及回款表'!$E$497:$AV$540=AN305,'11.销售及回款表'!$E379:$AV379,0)),'11.销售及回款表'!AN379)</f>
        <v>0</v>
      </c>
      <c r="AO181" s="275">
        <f t="array" ref="AO181">IF(SUM($E306:AN306)&lt;1,SUM(IF('11.销售及回款表'!$E$497:$AV$540=AO305,'11.销售及回款表'!$E379:$AV379,0)),'11.销售及回款表'!AO379)</f>
        <v>0</v>
      </c>
      <c r="AP181" s="276">
        <f t="array" ref="AP181">IF(SUM($E306:AO306)&lt;1,SUM(IF('11.销售及回款表'!$E$497:$AV$540=AP305,'11.销售及回款表'!$E379:$AV379,0)),'11.销售及回款表'!AP379)</f>
        <v>0</v>
      </c>
      <c r="AQ181" s="276">
        <f t="array" ref="AQ181">IF(SUM($E306:AP306)&lt;1,SUM(IF('11.销售及回款表'!$E$497:$AV$540=AQ305,'11.销售及回款表'!$E379:$AV379,0)),'11.销售及回款表'!AQ379)</f>
        <v>0</v>
      </c>
      <c r="AR181" s="277">
        <f t="array" ref="AR181">IF(SUM($E306:AQ306)&lt;1,SUM(IF('11.销售及回款表'!$E$497:$AV$540=AR305,'11.销售及回款表'!$E379:$AV379,0)),'11.销售及回款表'!AR379)</f>
        <v>0</v>
      </c>
      <c r="AS181" s="275">
        <f t="array" ref="AS181">IF(SUM($E306:AR306)&lt;1,SUM(IF('11.销售及回款表'!$E$497:$AV$540=AS305,'11.销售及回款表'!$E379:$AV379,0)),'11.销售及回款表'!AS379)</f>
        <v>0</v>
      </c>
      <c r="AT181" s="276">
        <f t="array" ref="AT181">IF(SUM($E306:AS306)&lt;1,SUM(IF('11.销售及回款表'!$E$497:$AV$540=AT305,'11.销售及回款表'!$E379:$AV379,0)),'11.销售及回款表'!AT379)</f>
        <v>0</v>
      </c>
      <c r="AU181" s="276">
        <f t="array" ref="AU181">IF(SUM($E306:AT306)&lt;1,SUM(IF('11.销售及回款表'!$E$497:$AV$540=AU305,'11.销售及回款表'!$E379:$AV379,0)),'11.销售及回款表'!AU379)</f>
        <v>0</v>
      </c>
      <c r="AV181" s="277">
        <f t="array" ref="AV181">IF(SUM($E306:AU306)&lt;1,SUM(IF('11.销售及回款表'!$E$497:$AV$540=AV305,'11.销售及回款表'!$E379:$AV379,0)),'11.销售及回款表'!AV379)</f>
        <v>0</v>
      </c>
    </row>
    <row r="182" spans="2:48" s="257" customFormat="1" ht="15.75" customHeight="1" outlineLevel="1">
      <c r="B182" s="1980"/>
      <c r="C182" s="303">
        <f>'8.项目规划指标表'!$B$8</f>
        <v>0</v>
      </c>
      <c r="D182" s="274">
        <f t="shared" si="36"/>
        <v>0</v>
      </c>
      <c r="E182" s="275">
        <f t="array" ref="E182">IF(SUM(D308:$E308)&lt;1,SUM(IF('11.销售及回款表'!$E$497:$AV$540=E307,'11.销售及回款表'!$E384:$AV384,0)),'11.销售及回款表'!E384)</f>
        <v>0</v>
      </c>
      <c r="F182" s="276">
        <f t="array" ref="F182">IF(SUM(E308:$E308)&lt;1,SUM(IF('11.销售及回款表'!$E$497:$AV$540=F307,'11.销售及回款表'!$E384:$AV384,0)),'11.销售及回款表'!F384)</f>
        <v>0</v>
      </c>
      <c r="G182" s="276">
        <f t="array" ref="G182">IF(SUM($E308:F308)&lt;1,SUM(IF('11.销售及回款表'!$E$497:$AV$540=G307,'11.销售及回款表'!$E384:$AV384,0)),'11.销售及回款表'!G384)</f>
        <v>0</v>
      </c>
      <c r="H182" s="277">
        <f t="array" ref="H182">IF(SUM($E308:G308)&lt;1,SUM(IF('11.销售及回款表'!$E$497:$AV$540=H307,'11.销售及回款表'!$E384:$AV384,0)),'11.销售及回款表'!H384)</f>
        <v>0</v>
      </c>
      <c r="I182" s="275">
        <f t="array" ref="I182">IF(SUM($E308:H308)&lt;1,SUM(IF('11.销售及回款表'!$E$497:$AV$540=I307,'11.销售及回款表'!$E384:$AV384,0)),'11.销售及回款表'!I384)</f>
        <v>0</v>
      </c>
      <c r="J182" s="276">
        <f t="array" ref="J182">IF(SUM($E308:I308)&lt;1,SUM(IF('11.销售及回款表'!$E$497:$AV$540=J307,'11.销售及回款表'!$E384:$AV384,0)),'11.销售及回款表'!J384)</f>
        <v>0</v>
      </c>
      <c r="K182" s="276">
        <f t="array" ref="K182">IF(SUM($E308:J308)&lt;1,SUM(IF('11.销售及回款表'!$E$497:$AV$540=K307,'11.销售及回款表'!$E384:$AV384,0)),'11.销售及回款表'!K384)</f>
        <v>0</v>
      </c>
      <c r="L182" s="277">
        <f t="array" ref="L182">IF(SUM($E308:K308)&lt;1,SUM(IF('11.销售及回款表'!$E$497:$AV$540=L307,'11.销售及回款表'!$E384:$AV384,0)),'11.销售及回款表'!L384)</f>
        <v>0</v>
      </c>
      <c r="M182" s="275">
        <f t="array" ref="M182">IF(SUM($E308:L308)&lt;1,SUM(IF('11.销售及回款表'!$E$497:$AV$540=M307,'11.销售及回款表'!$E384:$AV384,0)),'11.销售及回款表'!M384)</f>
        <v>0</v>
      </c>
      <c r="N182" s="276">
        <f t="array" ref="N182">IF(SUM($E308:M308)&lt;1,SUM(IF('11.销售及回款表'!$E$497:$AV$540=N307,'11.销售及回款表'!$E384:$AV384,0)),'11.销售及回款表'!N384)</f>
        <v>0</v>
      </c>
      <c r="O182" s="276">
        <f t="array" ref="O182">IF(SUM($E308:N308)&lt;1,SUM(IF('11.销售及回款表'!$E$497:$AV$540=O307,'11.销售及回款表'!$E384:$AV384,0)),'11.销售及回款表'!O384)</f>
        <v>0</v>
      </c>
      <c r="P182" s="277">
        <f t="array" ref="P182">IF(SUM($E308:O308)&lt;1,SUM(IF('11.销售及回款表'!$E$497:$AV$540=P307,'11.销售及回款表'!$E384:$AV384,0)),'11.销售及回款表'!P384)</f>
        <v>0</v>
      </c>
      <c r="Q182" s="275">
        <f t="array" ref="Q182">IF(SUM($E308:P308)&lt;1,SUM(IF('11.销售及回款表'!$E$497:$AV$540=Q307,'11.销售及回款表'!$E384:$AV384,0)),'11.销售及回款表'!Q384)</f>
        <v>0</v>
      </c>
      <c r="R182" s="276">
        <f t="array" ref="R182">IF(SUM($E308:Q308)&lt;1,SUM(IF('11.销售及回款表'!$E$497:$AV$540=R307,'11.销售及回款表'!$E384:$AV384,0)),'11.销售及回款表'!R384)</f>
        <v>0</v>
      </c>
      <c r="S182" s="276">
        <f t="array" ref="S182">IF(SUM($E308:R308)&lt;1,SUM(IF('11.销售及回款表'!$E$497:$AV$540=S307,'11.销售及回款表'!$E384:$AV384,0)),'11.销售及回款表'!S384)</f>
        <v>0</v>
      </c>
      <c r="T182" s="277">
        <f t="array" ref="T182">IF(SUM($E308:S308)&lt;1,SUM(IF('11.销售及回款表'!$E$497:$AV$540=T307,'11.销售及回款表'!$E384:$AV384,0)),'11.销售及回款表'!T384)</f>
        <v>0</v>
      </c>
      <c r="U182" s="275">
        <f t="array" ref="U182">IF(SUM($E308:T308)&lt;1,SUM(IF('11.销售及回款表'!$E$497:$AV$540=U307,'11.销售及回款表'!$E384:$AV384,0)),'11.销售及回款表'!U384)</f>
        <v>0</v>
      </c>
      <c r="V182" s="276">
        <f t="array" ref="V182">IF(SUM($E308:U308)&lt;1,SUM(IF('11.销售及回款表'!$E$497:$AV$540=V307,'11.销售及回款表'!$E384:$AV384,0)),'11.销售及回款表'!V384)</f>
        <v>0</v>
      </c>
      <c r="W182" s="276">
        <f t="array" ref="W182">IF(SUM($E308:V308)&lt;1,SUM(IF('11.销售及回款表'!$E$497:$AV$540=W307,'11.销售及回款表'!$E384:$AV384,0)),'11.销售及回款表'!W384)</f>
        <v>0</v>
      </c>
      <c r="X182" s="277">
        <f t="array" ref="X182">IF(SUM($E308:W308)&lt;1,SUM(IF('11.销售及回款表'!$E$497:$AV$540=X307,'11.销售及回款表'!$E384:$AV384,0)),'11.销售及回款表'!X384)</f>
        <v>0</v>
      </c>
      <c r="Y182" s="275">
        <f t="array" ref="Y182">IF(SUM($E308:X308)&lt;1,SUM(IF('11.销售及回款表'!$E$497:$AV$540=Y307,'11.销售及回款表'!$E384:$AV384,0)),'11.销售及回款表'!Y384)</f>
        <v>0</v>
      </c>
      <c r="Z182" s="276">
        <f t="array" ref="Z182">IF(SUM($E308:Y308)&lt;1,SUM(IF('11.销售及回款表'!$E$497:$AV$540=Z307,'11.销售及回款表'!$E384:$AV384,0)),'11.销售及回款表'!Z384)</f>
        <v>0</v>
      </c>
      <c r="AA182" s="276">
        <f t="array" ref="AA182">IF(SUM($E308:Z308)&lt;1,SUM(IF('11.销售及回款表'!$E$497:$AV$540=AA307,'11.销售及回款表'!$E384:$AV384,0)),'11.销售及回款表'!AA384)</f>
        <v>0</v>
      </c>
      <c r="AB182" s="277">
        <f t="array" ref="AB182">IF(SUM($E308:AA308)&lt;1,SUM(IF('11.销售及回款表'!$E$497:$AV$540=AB307,'11.销售及回款表'!$E384:$AV384,0)),'11.销售及回款表'!AB384)</f>
        <v>0</v>
      </c>
      <c r="AC182" s="275">
        <f t="array" ref="AC182">IF(SUM($E308:AB308)&lt;1,SUM(IF('11.销售及回款表'!$E$497:$AV$540=AC307,'11.销售及回款表'!$E384:$AV384,0)),'11.销售及回款表'!AC384)</f>
        <v>0</v>
      </c>
      <c r="AD182" s="276">
        <f t="array" ref="AD182">IF(SUM($E308:AC308)&lt;1,SUM(IF('11.销售及回款表'!$E$497:$AV$540=AD307,'11.销售及回款表'!$E384:$AV384,0)),'11.销售及回款表'!AD384)</f>
        <v>0</v>
      </c>
      <c r="AE182" s="276">
        <f t="array" ref="AE182">IF(SUM($E308:AD308)&lt;1,SUM(IF('11.销售及回款表'!$E$497:$AV$540=AE307,'11.销售及回款表'!$E384:$AV384,0)),'11.销售及回款表'!AE384)</f>
        <v>0</v>
      </c>
      <c r="AF182" s="277">
        <f t="array" ref="AF182">IF(SUM($E308:AE308)&lt;1,SUM(IF('11.销售及回款表'!$E$497:$AV$540=AF307,'11.销售及回款表'!$E384:$AV384,0)),'11.销售及回款表'!AF384)</f>
        <v>0</v>
      </c>
      <c r="AG182" s="275">
        <f t="array" ref="AG182">IF(SUM($E308:AF308)&lt;1,SUM(IF('11.销售及回款表'!$E$497:$AV$540=AG307,'11.销售及回款表'!$E384:$AV384,0)),'11.销售及回款表'!AG384)</f>
        <v>0</v>
      </c>
      <c r="AH182" s="276">
        <f t="array" ref="AH182">IF(SUM($E308:AG308)&lt;1,SUM(IF('11.销售及回款表'!$E$497:$AV$540=AH307,'11.销售及回款表'!$E384:$AV384,0)),'11.销售及回款表'!AH384)</f>
        <v>0</v>
      </c>
      <c r="AI182" s="276">
        <f t="array" ref="AI182">IF(SUM($E308:AH308)&lt;1,SUM(IF('11.销售及回款表'!$E$497:$AV$540=AI307,'11.销售及回款表'!$E384:$AV384,0)),'11.销售及回款表'!AI384)</f>
        <v>0</v>
      </c>
      <c r="AJ182" s="277">
        <f t="array" ref="AJ182">IF(SUM($E308:AI308)&lt;1,SUM(IF('11.销售及回款表'!$E$497:$AV$540=AJ307,'11.销售及回款表'!$E384:$AV384,0)),'11.销售及回款表'!AJ384)</f>
        <v>0</v>
      </c>
      <c r="AK182" s="275">
        <f t="array" ref="AK182">IF(SUM($E308:AJ308)&lt;1,SUM(IF('11.销售及回款表'!$E$497:$AV$540=AK307,'11.销售及回款表'!$E384:$AV384,0)),'11.销售及回款表'!AK384)</f>
        <v>0</v>
      </c>
      <c r="AL182" s="276">
        <f t="array" ref="AL182">IF(SUM($E308:AK308)&lt;1,SUM(IF('11.销售及回款表'!$E$497:$AV$540=AL307,'11.销售及回款表'!$E384:$AV384,0)),'11.销售及回款表'!AL384)</f>
        <v>0</v>
      </c>
      <c r="AM182" s="276">
        <f t="array" ref="AM182">IF(SUM($E308:AL308)&lt;1,SUM(IF('11.销售及回款表'!$E$497:$AV$540=AM307,'11.销售及回款表'!$E384:$AV384,0)),'11.销售及回款表'!AM384)</f>
        <v>0</v>
      </c>
      <c r="AN182" s="277">
        <f t="array" ref="AN182">IF(SUM($E308:AM308)&lt;1,SUM(IF('11.销售及回款表'!$E$497:$AV$540=AN307,'11.销售及回款表'!$E384:$AV384,0)),'11.销售及回款表'!AN384)</f>
        <v>0</v>
      </c>
      <c r="AO182" s="275">
        <f t="array" ref="AO182">IF(SUM($E308:AN308)&lt;1,SUM(IF('11.销售及回款表'!$E$497:$AV$540=AO307,'11.销售及回款表'!$E384:$AV384,0)),'11.销售及回款表'!AO384)</f>
        <v>0</v>
      </c>
      <c r="AP182" s="276">
        <f t="array" ref="AP182">IF(SUM($E308:AO308)&lt;1,SUM(IF('11.销售及回款表'!$E$497:$AV$540=AP307,'11.销售及回款表'!$E384:$AV384,0)),'11.销售及回款表'!AP384)</f>
        <v>0</v>
      </c>
      <c r="AQ182" s="276">
        <f t="array" ref="AQ182">IF(SUM($E308:AP308)&lt;1,SUM(IF('11.销售及回款表'!$E$497:$AV$540=AQ307,'11.销售及回款表'!$E384:$AV384,0)),'11.销售及回款表'!AQ384)</f>
        <v>0</v>
      </c>
      <c r="AR182" s="277">
        <f t="array" ref="AR182">IF(SUM($E308:AQ308)&lt;1,SUM(IF('11.销售及回款表'!$E$497:$AV$540=AR307,'11.销售及回款表'!$E384:$AV384,0)),'11.销售及回款表'!AR384)</f>
        <v>0</v>
      </c>
      <c r="AS182" s="275">
        <f t="array" ref="AS182">IF(SUM($E308:AR308)&lt;1,SUM(IF('11.销售及回款表'!$E$497:$AV$540=AS307,'11.销售及回款表'!$E384:$AV384,0)),'11.销售及回款表'!AS384)</f>
        <v>0</v>
      </c>
      <c r="AT182" s="276">
        <f t="array" ref="AT182">IF(SUM($E308:AS308)&lt;1,SUM(IF('11.销售及回款表'!$E$497:$AV$540=AT307,'11.销售及回款表'!$E384:$AV384,0)),'11.销售及回款表'!AT384)</f>
        <v>0</v>
      </c>
      <c r="AU182" s="276">
        <f t="array" ref="AU182">IF(SUM($E308:AT308)&lt;1,SUM(IF('11.销售及回款表'!$E$497:$AV$540=AU307,'11.销售及回款表'!$E384:$AV384,0)),'11.销售及回款表'!AU384)</f>
        <v>0</v>
      </c>
      <c r="AV182" s="277">
        <f t="array" ref="AV182">IF(SUM($E308:AU308)&lt;1,SUM(IF('11.销售及回款表'!$E$497:$AV$540=AV307,'11.销售及回款表'!$E384:$AV384,0)),'11.销售及回款表'!AV384)</f>
        <v>0</v>
      </c>
    </row>
    <row r="183" spans="2:48" s="257" customFormat="1" ht="15.75" customHeight="1" outlineLevel="1">
      <c r="B183" s="1980"/>
      <c r="C183" s="303">
        <f>'8.项目规划指标表'!$B$9</f>
        <v>0</v>
      </c>
      <c r="D183" s="274">
        <f t="shared" si="36"/>
        <v>0</v>
      </c>
      <c r="E183" s="275">
        <f t="array" ref="E183">IF(SUM(D310:$E310)&lt;1,SUM(IF('11.销售及回款表'!$E$497:$AV$540=E309,'11.销售及回款表'!$E389:$AV389,0)),'11.销售及回款表'!E389)</f>
        <v>0</v>
      </c>
      <c r="F183" s="276">
        <f t="array" ref="F183">IF(SUM(E310:$E310)&lt;1,SUM(IF('11.销售及回款表'!$E$497:$AV$540=F309,'11.销售及回款表'!$E389:$AV389,0)),'11.销售及回款表'!F389)</f>
        <v>0</v>
      </c>
      <c r="G183" s="276">
        <f t="array" ref="G183">IF(SUM($E310:F310)&lt;1,SUM(IF('11.销售及回款表'!$E$497:$AV$540=G309,'11.销售及回款表'!$E389:$AV389,0)),'11.销售及回款表'!G389)</f>
        <v>0</v>
      </c>
      <c r="H183" s="277">
        <f t="array" ref="H183">IF(SUM($E310:G310)&lt;1,SUM(IF('11.销售及回款表'!$E$497:$AV$540=H309,'11.销售及回款表'!$E389:$AV389,0)),'11.销售及回款表'!H389)</f>
        <v>0</v>
      </c>
      <c r="I183" s="275">
        <f t="array" ref="I183">IF(SUM($E310:H310)&lt;1,SUM(IF('11.销售及回款表'!$E$497:$AV$540=I309,'11.销售及回款表'!$E389:$AV389,0)),'11.销售及回款表'!I389)</f>
        <v>0</v>
      </c>
      <c r="J183" s="276">
        <f t="array" ref="J183">IF(SUM($E310:I310)&lt;1,SUM(IF('11.销售及回款表'!$E$497:$AV$540=J309,'11.销售及回款表'!$E389:$AV389,0)),'11.销售及回款表'!J389)</f>
        <v>0</v>
      </c>
      <c r="K183" s="276">
        <f t="array" ref="K183">IF(SUM($E310:J310)&lt;1,SUM(IF('11.销售及回款表'!$E$497:$AV$540=K309,'11.销售及回款表'!$E389:$AV389,0)),'11.销售及回款表'!K389)</f>
        <v>0</v>
      </c>
      <c r="L183" s="277">
        <f t="array" ref="L183">IF(SUM($E310:K310)&lt;1,SUM(IF('11.销售及回款表'!$E$497:$AV$540=L309,'11.销售及回款表'!$E389:$AV389,0)),'11.销售及回款表'!L389)</f>
        <v>0</v>
      </c>
      <c r="M183" s="275">
        <f t="array" ref="M183">IF(SUM($E310:L310)&lt;1,SUM(IF('11.销售及回款表'!$E$497:$AV$540=M309,'11.销售及回款表'!$E389:$AV389,0)),'11.销售及回款表'!M389)</f>
        <v>0</v>
      </c>
      <c r="N183" s="276">
        <f t="array" ref="N183">IF(SUM($E310:M310)&lt;1,SUM(IF('11.销售及回款表'!$E$497:$AV$540=N309,'11.销售及回款表'!$E389:$AV389,0)),'11.销售及回款表'!N389)</f>
        <v>0</v>
      </c>
      <c r="O183" s="276">
        <f t="array" ref="O183">IF(SUM($E310:N310)&lt;1,SUM(IF('11.销售及回款表'!$E$497:$AV$540=O309,'11.销售及回款表'!$E389:$AV389,0)),'11.销售及回款表'!O389)</f>
        <v>0</v>
      </c>
      <c r="P183" s="277">
        <f t="array" ref="P183">IF(SUM($E310:O310)&lt;1,SUM(IF('11.销售及回款表'!$E$497:$AV$540=P309,'11.销售及回款表'!$E389:$AV389,0)),'11.销售及回款表'!P389)</f>
        <v>0</v>
      </c>
      <c r="Q183" s="275">
        <f t="array" ref="Q183">IF(SUM($E310:P310)&lt;1,SUM(IF('11.销售及回款表'!$E$497:$AV$540=Q309,'11.销售及回款表'!$E389:$AV389,0)),'11.销售及回款表'!Q389)</f>
        <v>0</v>
      </c>
      <c r="R183" s="276">
        <f t="array" ref="R183">IF(SUM($E310:Q310)&lt;1,SUM(IF('11.销售及回款表'!$E$497:$AV$540=R309,'11.销售及回款表'!$E389:$AV389,0)),'11.销售及回款表'!R389)</f>
        <v>0</v>
      </c>
      <c r="S183" s="276">
        <f t="array" ref="S183">IF(SUM($E310:R310)&lt;1,SUM(IF('11.销售及回款表'!$E$497:$AV$540=S309,'11.销售及回款表'!$E389:$AV389,0)),'11.销售及回款表'!S389)</f>
        <v>0</v>
      </c>
      <c r="T183" s="277">
        <f t="array" ref="T183">IF(SUM($E310:S310)&lt;1,SUM(IF('11.销售及回款表'!$E$497:$AV$540=T309,'11.销售及回款表'!$E389:$AV389,0)),'11.销售及回款表'!T389)</f>
        <v>0</v>
      </c>
      <c r="U183" s="275">
        <f t="array" ref="U183">IF(SUM($E310:T310)&lt;1,SUM(IF('11.销售及回款表'!$E$497:$AV$540=U309,'11.销售及回款表'!$E389:$AV389,0)),'11.销售及回款表'!U389)</f>
        <v>0</v>
      </c>
      <c r="V183" s="276">
        <f t="array" ref="V183">IF(SUM($E310:U310)&lt;1,SUM(IF('11.销售及回款表'!$E$497:$AV$540=V309,'11.销售及回款表'!$E389:$AV389,0)),'11.销售及回款表'!V389)</f>
        <v>0</v>
      </c>
      <c r="W183" s="276">
        <f t="array" ref="W183">IF(SUM($E310:V310)&lt;1,SUM(IF('11.销售及回款表'!$E$497:$AV$540=W309,'11.销售及回款表'!$E389:$AV389,0)),'11.销售及回款表'!W389)</f>
        <v>0</v>
      </c>
      <c r="X183" s="277">
        <f t="array" ref="X183">IF(SUM($E310:W310)&lt;1,SUM(IF('11.销售及回款表'!$E$497:$AV$540=X309,'11.销售及回款表'!$E389:$AV389,0)),'11.销售及回款表'!X389)</f>
        <v>0</v>
      </c>
      <c r="Y183" s="275">
        <f t="array" ref="Y183">IF(SUM($E310:X310)&lt;1,SUM(IF('11.销售及回款表'!$E$497:$AV$540=Y309,'11.销售及回款表'!$E389:$AV389,0)),'11.销售及回款表'!Y389)</f>
        <v>0</v>
      </c>
      <c r="Z183" s="276">
        <f t="array" ref="Z183">IF(SUM($E310:Y310)&lt;1,SUM(IF('11.销售及回款表'!$E$497:$AV$540=Z309,'11.销售及回款表'!$E389:$AV389,0)),'11.销售及回款表'!Z389)</f>
        <v>0</v>
      </c>
      <c r="AA183" s="276">
        <f t="array" ref="AA183">IF(SUM($E310:Z310)&lt;1,SUM(IF('11.销售及回款表'!$E$497:$AV$540=AA309,'11.销售及回款表'!$E389:$AV389,0)),'11.销售及回款表'!AA389)</f>
        <v>0</v>
      </c>
      <c r="AB183" s="277">
        <f t="array" ref="AB183">IF(SUM($E310:AA310)&lt;1,SUM(IF('11.销售及回款表'!$E$497:$AV$540=AB309,'11.销售及回款表'!$E389:$AV389,0)),'11.销售及回款表'!AB389)</f>
        <v>0</v>
      </c>
      <c r="AC183" s="275">
        <f t="array" ref="AC183">IF(SUM($E310:AB310)&lt;1,SUM(IF('11.销售及回款表'!$E$497:$AV$540=AC309,'11.销售及回款表'!$E389:$AV389,0)),'11.销售及回款表'!AC389)</f>
        <v>0</v>
      </c>
      <c r="AD183" s="276">
        <f t="array" ref="AD183">IF(SUM($E310:AC310)&lt;1,SUM(IF('11.销售及回款表'!$E$497:$AV$540=AD309,'11.销售及回款表'!$E389:$AV389,0)),'11.销售及回款表'!AD389)</f>
        <v>0</v>
      </c>
      <c r="AE183" s="276">
        <f t="array" ref="AE183">IF(SUM($E310:AD310)&lt;1,SUM(IF('11.销售及回款表'!$E$497:$AV$540=AE309,'11.销售及回款表'!$E389:$AV389,0)),'11.销售及回款表'!AE389)</f>
        <v>0</v>
      </c>
      <c r="AF183" s="277">
        <f t="array" ref="AF183">IF(SUM($E310:AE310)&lt;1,SUM(IF('11.销售及回款表'!$E$497:$AV$540=AF309,'11.销售及回款表'!$E389:$AV389,0)),'11.销售及回款表'!AF389)</f>
        <v>0</v>
      </c>
      <c r="AG183" s="275">
        <f t="array" ref="AG183">IF(SUM($E310:AF310)&lt;1,SUM(IF('11.销售及回款表'!$E$497:$AV$540=AG309,'11.销售及回款表'!$E389:$AV389,0)),'11.销售及回款表'!AG389)</f>
        <v>0</v>
      </c>
      <c r="AH183" s="276">
        <f t="array" ref="AH183">IF(SUM($E310:AG310)&lt;1,SUM(IF('11.销售及回款表'!$E$497:$AV$540=AH309,'11.销售及回款表'!$E389:$AV389,0)),'11.销售及回款表'!AH389)</f>
        <v>0</v>
      </c>
      <c r="AI183" s="276">
        <f t="array" ref="AI183">IF(SUM($E310:AH310)&lt;1,SUM(IF('11.销售及回款表'!$E$497:$AV$540=AI309,'11.销售及回款表'!$E389:$AV389,0)),'11.销售及回款表'!AI389)</f>
        <v>0</v>
      </c>
      <c r="AJ183" s="277">
        <f t="array" ref="AJ183">IF(SUM($E310:AI310)&lt;1,SUM(IF('11.销售及回款表'!$E$497:$AV$540=AJ309,'11.销售及回款表'!$E389:$AV389,0)),'11.销售及回款表'!AJ389)</f>
        <v>0</v>
      </c>
      <c r="AK183" s="275">
        <f t="array" ref="AK183">IF(SUM($E310:AJ310)&lt;1,SUM(IF('11.销售及回款表'!$E$497:$AV$540=AK309,'11.销售及回款表'!$E389:$AV389,0)),'11.销售及回款表'!AK389)</f>
        <v>0</v>
      </c>
      <c r="AL183" s="276">
        <f t="array" ref="AL183">IF(SUM($E310:AK310)&lt;1,SUM(IF('11.销售及回款表'!$E$497:$AV$540=AL309,'11.销售及回款表'!$E389:$AV389,0)),'11.销售及回款表'!AL389)</f>
        <v>0</v>
      </c>
      <c r="AM183" s="276">
        <f t="array" ref="AM183">IF(SUM($E310:AL310)&lt;1,SUM(IF('11.销售及回款表'!$E$497:$AV$540=AM309,'11.销售及回款表'!$E389:$AV389,0)),'11.销售及回款表'!AM389)</f>
        <v>0</v>
      </c>
      <c r="AN183" s="277">
        <f t="array" ref="AN183">IF(SUM($E310:AM310)&lt;1,SUM(IF('11.销售及回款表'!$E$497:$AV$540=AN309,'11.销售及回款表'!$E389:$AV389,0)),'11.销售及回款表'!AN389)</f>
        <v>0</v>
      </c>
      <c r="AO183" s="275">
        <f t="array" ref="AO183">IF(SUM($E310:AN310)&lt;1,SUM(IF('11.销售及回款表'!$E$497:$AV$540=AO309,'11.销售及回款表'!$E389:$AV389,0)),'11.销售及回款表'!AO389)</f>
        <v>0</v>
      </c>
      <c r="AP183" s="276">
        <f t="array" ref="AP183">IF(SUM($E310:AO310)&lt;1,SUM(IF('11.销售及回款表'!$E$497:$AV$540=AP309,'11.销售及回款表'!$E389:$AV389,0)),'11.销售及回款表'!AP389)</f>
        <v>0</v>
      </c>
      <c r="AQ183" s="276">
        <f t="array" ref="AQ183">IF(SUM($E310:AP310)&lt;1,SUM(IF('11.销售及回款表'!$E$497:$AV$540=AQ309,'11.销售及回款表'!$E389:$AV389,0)),'11.销售及回款表'!AQ389)</f>
        <v>0</v>
      </c>
      <c r="AR183" s="277">
        <f t="array" ref="AR183">IF(SUM($E310:AQ310)&lt;1,SUM(IF('11.销售及回款表'!$E$497:$AV$540=AR309,'11.销售及回款表'!$E389:$AV389,0)),'11.销售及回款表'!AR389)</f>
        <v>0</v>
      </c>
      <c r="AS183" s="275">
        <f t="array" ref="AS183">IF(SUM($E310:AR310)&lt;1,SUM(IF('11.销售及回款表'!$E$497:$AV$540=AS309,'11.销售及回款表'!$E389:$AV389,0)),'11.销售及回款表'!AS389)</f>
        <v>0</v>
      </c>
      <c r="AT183" s="276">
        <f t="array" ref="AT183">IF(SUM($E310:AS310)&lt;1,SUM(IF('11.销售及回款表'!$E$497:$AV$540=AT309,'11.销售及回款表'!$E389:$AV389,0)),'11.销售及回款表'!AT389)</f>
        <v>0</v>
      </c>
      <c r="AU183" s="276">
        <f t="array" ref="AU183">IF(SUM($E310:AT310)&lt;1,SUM(IF('11.销售及回款表'!$E$497:$AV$540=AU309,'11.销售及回款表'!$E389:$AV389,0)),'11.销售及回款表'!AU389)</f>
        <v>0</v>
      </c>
      <c r="AV183" s="277">
        <f t="array" ref="AV183">IF(SUM($E310:AU310)&lt;1,SUM(IF('11.销售及回款表'!$E$497:$AV$540=AV309,'11.销售及回款表'!$E389:$AV389,0)),'11.销售及回款表'!AV389)</f>
        <v>0</v>
      </c>
    </row>
    <row r="184" spans="2:48" s="257" customFormat="1" ht="15.75" customHeight="1" outlineLevel="1">
      <c r="B184" s="1980"/>
      <c r="C184" s="303">
        <f>'8.项目规划指标表'!$B$10</f>
        <v>0</v>
      </c>
      <c r="D184" s="274">
        <f t="shared" si="36"/>
        <v>0</v>
      </c>
      <c r="E184" s="275">
        <f t="array" ref="E184">IF(SUM(D312:$E312)&lt;1,SUM(IF('11.销售及回款表'!$E$497:$AV$540=E311,'11.销售及回款表'!$E394:$AV394,0)),'11.销售及回款表'!E394)</f>
        <v>0</v>
      </c>
      <c r="F184" s="276">
        <f t="array" ref="F184">IF(SUM(E312:$E312)&lt;1,SUM(IF('11.销售及回款表'!$E$497:$AV$540=F311,'11.销售及回款表'!$E394:$AV394,0)),'11.销售及回款表'!F394)</f>
        <v>0</v>
      </c>
      <c r="G184" s="276">
        <f t="array" ref="G184">IF(SUM($E312:F312)&lt;1,SUM(IF('11.销售及回款表'!$E$497:$AV$540=G311,'11.销售及回款表'!$E394:$AV394,0)),'11.销售及回款表'!G394)</f>
        <v>0</v>
      </c>
      <c r="H184" s="277">
        <f t="array" ref="H184">IF(SUM($E312:G312)&lt;1,SUM(IF('11.销售及回款表'!$E$497:$AV$540=H311,'11.销售及回款表'!$E394:$AV394,0)),'11.销售及回款表'!H394)</f>
        <v>0</v>
      </c>
      <c r="I184" s="275">
        <f t="array" ref="I184">IF(SUM($E312:H312)&lt;1,SUM(IF('11.销售及回款表'!$E$497:$AV$540=I311,'11.销售及回款表'!$E394:$AV394,0)),'11.销售及回款表'!I394)</f>
        <v>0</v>
      </c>
      <c r="J184" s="276">
        <f t="array" ref="J184">IF(SUM($E312:I312)&lt;1,SUM(IF('11.销售及回款表'!$E$497:$AV$540=J311,'11.销售及回款表'!$E394:$AV394,0)),'11.销售及回款表'!J394)</f>
        <v>0</v>
      </c>
      <c r="K184" s="276">
        <f t="array" ref="K184">IF(SUM($E312:J312)&lt;1,SUM(IF('11.销售及回款表'!$E$497:$AV$540=K311,'11.销售及回款表'!$E394:$AV394,0)),'11.销售及回款表'!K394)</f>
        <v>0</v>
      </c>
      <c r="L184" s="277">
        <f t="array" ref="L184">IF(SUM($E312:K312)&lt;1,SUM(IF('11.销售及回款表'!$E$497:$AV$540=L311,'11.销售及回款表'!$E394:$AV394,0)),'11.销售及回款表'!L394)</f>
        <v>0</v>
      </c>
      <c r="M184" s="275">
        <f t="array" ref="M184">IF(SUM($E312:L312)&lt;1,SUM(IF('11.销售及回款表'!$E$497:$AV$540=M311,'11.销售及回款表'!$E394:$AV394,0)),'11.销售及回款表'!M394)</f>
        <v>0</v>
      </c>
      <c r="N184" s="276">
        <f t="array" ref="N184">IF(SUM($E312:M312)&lt;1,SUM(IF('11.销售及回款表'!$E$497:$AV$540=N311,'11.销售及回款表'!$E394:$AV394,0)),'11.销售及回款表'!N394)</f>
        <v>0</v>
      </c>
      <c r="O184" s="276">
        <f t="array" ref="O184">IF(SUM($E312:N312)&lt;1,SUM(IF('11.销售及回款表'!$E$497:$AV$540=O311,'11.销售及回款表'!$E394:$AV394,0)),'11.销售及回款表'!O394)</f>
        <v>0</v>
      </c>
      <c r="P184" s="277">
        <f t="array" ref="P184">IF(SUM($E312:O312)&lt;1,SUM(IF('11.销售及回款表'!$E$497:$AV$540=P311,'11.销售及回款表'!$E394:$AV394,0)),'11.销售及回款表'!P394)</f>
        <v>0</v>
      </c>
      <c r="Q184" s="275">
        <f t="array" ref="Q184">IF(SUM($E312:P312)&lt;1,SUM(IF('11.销售及回款表'!$E$497:$AV$540=Q311,'11.销售及回款表'!$E394:$AV394,0)),'11.销售及回款表'!Q394)</f>
        <v>0</v>
      </c>
      <c r="R184" s="276">
        <f t="array" ref="R184">IF(SUM($E312:Q312)&lt;1,SUM(IF('11.销售及回款表'!$E$497:$AV$540=R311,'11.销售及回款表'!$E394:$AV394,0)),'11.销售及回款表'!R394)</f>
        <v>0</v>
      </c>
      <c r="S184" s="276">
        <f t="array" ref="S184">IF(SUM($E312:R312)&lt;1,SUM(IF('11.销售及回款表'!$E$497:$AV$540=S311,'11.销售及回款表'!$E394:$AV394,0)),'11.销售及回款表'!S394)</f>
        <v>0</v>
      </c>
      <c r="T184" s="277">
        <f t="array" ref="T184">IF(SUM($E312:S312)&lt;1,SUM(IF('11.销售及回款表'!$E$497:$AV$540=T311,'11.销售及回款表'!$E394:$AV394,0)),'11.销售及回款表'!T394)</f>
        <v>0</v>
      </c>
      <c r="U184" s="275">
        <f t="array" ref="U184">IF(SUM($E312:T312)&lt;1,SUM(IF('11.销售及回款表'!$E$497:$AV$540=U311,'11.销售及回款表'!$E394:$AV394,0)),'11.销售及回款表'!U394)</f>
        <v>0</v>
      </c>
      <c r="V184" s="276">
        <f t="array" ref="V184">IF(SUM($E312:U312)&lt;1,SUM(IF('11.销售及回款表'!$E$497:$AV$540=V311,'11.销售及回款表'!$E394:$AV394,0)),'11.销售及回款表'!V394)</f>
        <v>0</v>
      </c>
      <c r="W184" s="276">
        <f t="array" ref="W184">IF(SUM($E312:V312)&lt;1,SUM(IF('11.销售及回款表'!$E$497:$AV$540=W311,'11.销售及回款表'!$E394:$AV394,0)),'11.销售及回款表'!W394)</f>
        <v>0</v>
      </c>
      <c r="X184" s="277">
        <f t="array" ref="X184">IF(SUM($E312:W312)&lt;1,SUM(IF('11.销售及回款表'!$E$497:$AV$540=X311,'11.销售及回款表'!$E394:$AV394,0)),'11.销售及回款表'!X394)</f>
        <v>0</v>
      </c>
      <c r="Y184" s="275">
        <f t="array" ref="Y184">IF(SUM($E312:X312)&lt;1,SUM(IF('11.销售及回款表'!$E$497:$AV$540=Y311,'11.销售及回款表'!$E394:$AV394,0)),'11.销售及回款表'!Y394)</f>
        <v>0</v>
      </c>
      <c r="Z184" s="276">
        <f t="array" ref="Z184">IF(SUM($E312:Y312)&lt;1,SUM(IF('11.销售及回款表'!$E$497:$AV$540=Z311,'11.销售及回款表'!$E394:$AV394,0)),'11.销售及回款表'!Z394)</f>
        <v>0</v>
      </c>
      <c r="AA184" s="276">
        <f t="array" ref="AA184">IF(SUM($E312:Z312)&lt;1,SUM(IF('11.销售及回款表'!$E$497:$AV$540=AA311,'11.销售及回款表'!$E394:$AV394,0)),'11.销售及回款表'!AA394)</f>
        <v>0</v>
      </c>
      <c r="AB184" s="277">
        <f t="array" ref="AB184">IF(SUM($E312:AA312)&lt;1,SUM(IF('11.销售及回款表'!$E$497:$AV$540=AB311,'11.销售及回款表'!$E394:$AV394,0)),'11.销售及回款表'!AB394)</f>
        <v>0</v>
      </c>
      <c r="AC184" s="275">
        <f t="array" ref="AC184">IF(SUM($E312:AB312)&lt;1,SUM(IF('11.销售及回款表'!$E$497:$AV$540=AC311,'11.销售及回款表'!$E394:$AV394,0)),'11.销售及回款表'!AC394)</f>
        <v>0</v>
      </c>
      <c r="AD184" s="276">
        <f t="array" ref="AD184">IF(SUM($E312:AC312)&lt;1,SUM(IF('11.销售及回款表'!$E$497:$AV$540=AD311,'11.销售及回款表'!$E394:$AV394,0)),'11.销售及回款表'!AD394)</f>
        <v>0</v>
      </c>
      <c r="AE184" s="276">
        <f t="array" ref="AE184">IF(SUM($E312:AD312)&lt;1,SUM(IF('11.销售及回款表'!$E$497:$AV$540=AE311,'11.销售及回款表'!$E394:$AV394,0)),'11.销售及回款表'!AE394)</f>
        <v>0</v>
      </c>
      <c r="AF184" s="277">
        <f t="array" ref="AF184">IF(SUM($E312:AE312)&lt;1,SUM(IF('11.销售及回款表'!$E$497:$AV$540=AF311,'11.销售及回款表'!$E394:$AV394,0)),'11.销售及回款表'!AF394)</f>
        <v>0</v>
      </c>
      <c r="AG184" s="275">
        <f t="array" ref="AG184">IF(SUM($E312:AF312)&lt;1,SUM(IF('11.销售及回款表'!$E$497:$AV$540=AG311,'11.销售及回款表'!$E394:$AV394,0)),'11.销售及回款表'!AG394)</f>
        <v>0</v>
      </c>
      <c r="AH184" s="276">
        <f t="array" ref="AH184">IF(SUM($E312:AG312)&lt;1,SUM(IF('11.销售及回款表'!$E$497:$AV$540=AH311,'11.销售及回款表'!$E394:$AV394,0)),'11.销售及回款表'!AH394)</f>
        <v>0</v>
      </c>
      <c r="AI184" s="276">
        <f t="array" ref="AI184">IF(SUM($E312:AH312)&lt;1,SUM(IF('11.销售及回款表'!$E$497:$AV$540=AI311,'11.销售及回款表'!$E394:$AV394,0)),'11.销售及回款表'!AI394)</f>
        <v>0</v>
      </c>
      <c r="AJ184" s="277">
        <f t="array" ref="AJ184">IF(SUM($E312:AI312)&lt;1,SUM(IF('11.销售及回款表'!$E$497:$AV$540=AJ311,'11.销售及回款表'!$E394:$AV394,0)),'11.销售及回款表'!AJ394)</f>
        <v>0</v>
      </c>
      <c r="AK184" s="275">
        <f t="array" ref="AK184">IF(SUM($E312:AJ312)&lt;1,SUM(IF('11.销售及回款表'!$E$497:$AV$540=AK311,'11.销售及回款表'!$E394:$AV394,0)),'11.销售及回款表'!AK394)</f>
        <v>0</v>
      </c>
      <c r="AL184" s="276">
        <f t="array" ref="AL184">IF(SUM($E312:AK312)&lt;1,SUM(IF('11.销售及回款表'!$E$497:$AV$540=AL311,'11.销售及回款表'!$E394:$AV394,0)),'11.销售及回款表'!AL394)</f>
        <v>0</v>
      </c>
      <c r="AM184" s="276">
        <f t="array" ref="AM184">IF(SUM($E312:AL312)&lt;1,SUM(IF('11.销售及回款表'!$E$497:$AV$540=AM311,'11.销售及回款表'!$E394:$AV394,0)),'11.销售及回款表'!AM394)</f>
        <v>0</v>
      </c>
      <c r="AN184" s="277">
        <f t="array" ref="AN184">IF(SUM($E312:AM312)&lt;1,SUM(IF('11.销售及回款表'!$E$497:$AV$540=AN311,'11.销售及回款表'!$E394:$AV394,0)),'11.销售及回款表'!AN394)</f>
        <v>0</v>
      </c>
      <c r="AO184" s="275">
        <f t="array" ref="AO184">IF(SUM($E312:AN312)&lt;1,SUM(IF('11.销售及回款表'!$E$497:$AV$540=AO311,'11.销售及回款表'!$E394:$AV394,0)),'11.销售及回款表'!AO394)</f>
        <v>0</v>
      </c>
      <c r="AP184" s="276">
        <f t="array" ref="AP184">IF(SUM($E312:AO312)&lt;1,SUM(IF('11.销售及回款表'!$E$497:$AV$540=AP311,'11.销售及回款表'!$E394:$AV394,0)),'11.销售及回款表'!AP394)</f>
        <v>0</v>
      </c>
      <c r="AQ184" s="276">
        <f t="array" ref="AQ184">IF(SUM($E312:AP312)&lt;1,SUM(IF('11.销售及回款表'!$E$497:$AV$540=AQ311,'11.销售及回款表'!$E394:$AV394,0)),'11.销售及回款表'!AQ394)</f>
        <v>0</v>
      </c>
      <c r="AR184" s="277">
        <f t="array" ref="AR184">IF(SUM($E312:AQ312)&lt;1,SUM(IF('11.销售及回款表'!$E$497:$AV$540=AR311,'11.销售及回款表'!$E394:$AV394,0)),'11.销售及回款表'!AR394)</f>
        <v>0</v>
      </c>
      <c r="AS184" s="275">
        <f t="array" ref="AS184">IF(SUM($E312:AR312)&lt;1,SUM(IF('11.销售及回款表'!$E$497:$AV$540=AS311,'11.销售及回款表'!$E394:$AV394,0)),'11.销售及回款表'!AS394)</f>
        <v>0</v>
      </c>
      <c r="AT184" s="276">
        <f t="array" ref="AT184">IF(SUM($E312:AS312)&lt;1,SUM(IF('11.销售及回款表'!$E$497:$AV$540=AT311,'11.销售及回款表'!$E394:$AV394,0)),'11.销售及回款表'!AT394)</f>
        <v>0</v>
      </c>
      <c r="AU184" s="276">
        <f t="array" ref="AU184">IF(SUM($E312:AT312)&lt;1,SUM(IF('11.销售及回款表'!$E$497:$AV$540=AU311,'11.销售及回款表'!$E394:$AV394,0)),'11.销售及回款表'!AU394)</f>
        <v>0</v>
      </c>
      <c r="AV184" s="277">
        <f t="array" ref="AV184">IF(SUM($E312:AU312)&lt;1,SUM(IF('11.销售及回款表'!$E$497:$AV$540=AV311,'11.销售及回款表'!$E394:$AV394,0)),'11.销售及回款表'!AV394)</f>
        <v>0</v>
      </c>
    </row>
    <row r="185" spans="2:48" s="257" customFormat="1" ht="15.75" customHeight="1" outlineLevel="1">
      <c r="B185" s="1980"/>
      <c r="C185" s="303">
        <f>'8.项目规划指标表'!$B$11</f>
        <v>0</v>
      </c>
      <c r="D185" s="274">
        <f t="shared" si="36"/>
        <v>0</v>
      </c>
      <c r="E185" s="275">
        <f t="array" ref="E185">IF(SUM(D314:$E314)&lt;1,SUM(IF('11.销售及回款表'!$E$497:$AV$540=E313,'11.销售及回款表'!$E399:$AV399,0)),'11.销售及回款表'!E399)</f>
        <v>0</v>
      </c>
      <c r="F185" s="276">
        <f t="array" ref="F185">IF(SUM(E314:$E314)&lt;1,SUM(IF('11.销售及回款表'!$E$497:$AV$540=F313,'11.销售及回款表'!$E399:$AV399,0)),'11.销售及回款表'!F399)</f>
        <v>0</v>
      </c>
      <c r="G185" s="276">
        <f t="array" ref="G185">IF(SUM($E314:F314)&lt;1,SUM(IF('11.销售及回款表'!$E$497:$AV$540=G313,'11.销售及回款表'!$E399:$AV399,0)),'11.销售及回款表'!G399)</f>
        <v>0</v>
      </c>
      <c r="H185" s="277">
        <f t="array" ref="H185">IF(SUM($E314:G314)&lt;1,SUM(IF('11.销售及回款表'!$E$497:$AV$540=H313,'11.销售及回款表'!$E399:$AV399,0)),'11.销售及回款表'!H399)</f>
        <v>0</v>
      </c>
      <c r="I185" s="275">
        <f t="array" ref="I185">IF(SUM($E314:H314)&lt;1,SUM(IF('11.销售及回款表'!$E$497:$AV$540=I313,'11.销售及回款表'!$E399:$AV399,0)),'11.销售及回款表'!I399)</f>
        <v>0</v>
      </c>
      <c r="J185" s="276">
        <f t="array" ref="J185">IF(SUM($E314:I314)&lt;1,SUM(IF('11.销售及回款表'!$E$497:$AV$540=J313,'11.销售及回款表'!$E399:$AV399,0)),'11.销售及回款表'!J399)</f>
        <v>0</v>
      </c>
      <c r="K185" s="276">
        <f t="array" ref="K185">IF(SUM($E314:J314)&lt;1,SUM(IF('11.销售及回款表'!$E$497:$AV$540=K313,'11.销售及回款表'!$E399:$AV399,0)),'11.销售及回款表'!K399)</f>
        <v>0</v>
      </c>
      <c r="L185" s="277">
        <f t="array" ref="L185">IF(SUM($E314:K314)&lt;1,SUM(IF('11.销售及回款表'!$E$497:$AV$540=L313,'11.销售及回款表'!$E399:$AV399,0)),'11.销售及回款表'!L399)</f>
        <v>0</v>
      </c>
      <c r="M185" s="275">
        <f t="array" ref="M185">IF(SUM($E314:L314)&lt;1,SUM(IF('11.销售及回款表'!$E$497:$AV$540=M313,'11.销售及回款表'!$E399:$AV399,0)),'11.销售及回款表'!M399)</f>
        <v>0</v>
      </c>
      <c r="N185" s="276">
        <f t="array" ref="N185">IF(SUM($E314:M314)&lt;1,SUM(IF('11.销售及回款表'!$E$497:$AV$540=N313,'11.销售及回款表'!$E399:$AV399,0)),'11.销售及回款表'!N399)</f>
        <v>0</v>
      </c>
      <c r="O185" s="276">
        <f t="array" ref="O185">IF(SUM($E314:N314)&lt;1,SUM(IF('11.销售及回款表'!$E$497:$AV$540=O313,'11.销售及回款表'!$E399:$AV399,0)),'11.销售及回款表'!O399)</f>
        <v>0</v>
      </c>
      <c r="P185" s="277">
        <f t="array" ref="P185">IF(SUM($E314:O314)&lt;1,SUM(IF('11.销售及回款表'!$E$497:$AV$540=P313,'11.销售及回款表'!$E399:$AV399,0)),'11.销售及回款表'!P399)</f>
        <v>0</v>
      </c>
      <c r="Q185" s="275">
        <f t="array" ref="Q185">IF(SUM($E314:P314)&lt;1,SUM(IF('11.销售及回款表'!$E$497:$AV$540=Q313,'11.销售及回款表'!$E399:$AV399,0)),'11.销售及回款表'!Q399)</f>
        <v>0</v>
      </c>
      <c r="R185" s="276">
        <f t="array" ref="R185">IF(SUM($E314:Q314)&lt;1,SUM(IF('11.销售及回款表'!$E$497:$AV$540=R313,'11.销售及回款表'!$E399:$AV399,0)),'11.销售及回款表'!R399)</f>
        <v>0</v>
      </c>
      <c r="S185" s="276">
        <f t="array" ref="S185">IF(SUM($E314:R314)&lt;1,SUM(IF('11.销售及回款表'!$E$497:$AV$540=S313,'11.销售及回款表'!$E399:$AV399,0)),'11.销售及回款表'!S399)</f>
        <v>0</v>
      </c>
      <c r="T185" s="277">
        <f t="array" ref="T185">IF(SUM($E314:S314)&lt;1,SUM(IF('11.销售及回款表'!$E$497:$AV$540=T313,'11.销售及回款表'!$E399:$AV399,0)),'11.销售及回款表'!T399)</f>
        <v>0</v>
      </c>
      <c r="U185" s="275">
        <f t="array" ref="U185">IF(SUM($E314:T314)&lt;1,SUM(IF('11.销售及回款表'!$E$497:$AV$540=U313,'11.销售及回款表'!$E399:$AV399,0)),'11.销售及回款表'!U399)</f>
        <v>0</v>
      </c>
      <c r="V185" s="276">
        <f t="array" ref="V185">IF(SUM($E314:U314)&lt;1,SUM(IF('11.销售及回款表'!$E$497:$AV$540=V313,'11.销售及回款表'!$E399:$AV399,0)),'11.销售及回款表'!V399)</f>
        <v>0</v>
      </c>
      <c r="W185" s="276">
        <f t="array" ref="W185">IF(SUM($E314:V314)&lt;1,SUM(IF('11.销售及回款表'!$E$497:$AV$540=W313,'11.销售及回款表'!$E399:$AV399,0)),'11.销售及回款表'!W399)</f>
        <v>0</v>
      </c>
      <c r="X185" s="277">
        <f t="array" ref="X185">IF(SUM($E314:W314)&lt;1,SUM(IF('11.销售及回款表'!$E$497:$AV$540=X313,'11.销售及回款表'!$E399:$AV399,0)),'11.销售及回款表'!X399)</f>
        <v>0</v>
      </c>
      <c r="Y185" s="275">
        <f t="array" ref="Y185">IF(SUM($E314:X314)&lt;1,SUM(IF('11.销售及回款表'!$E$497:$AV$540=Y313,'11.销售及回款表'!$E399:$AV399,0)),'11.销售及回款表'!Y399)</f>
        <v>0</v>
      </c>
      <c r="Z185" s="276">
        <f t="array" ref="Z185">IF(SUM($E314:Y314)&lt;1,SUM(IF('11.销售及回款表'!$E$497:$AV$540=Z313,'11.销售及回款表'!$E399:$AV399,0)),'11.销售及回款表'!Z399)</f>
        <v>0</v>
      </c>
      <c r="AA185" s="276">
        <f t="array" ref="AA185">IF(SUM($E314:Z314)&lt;1,SUM(IF('11.销售及回款表'!$E$497:$AV$540=AA313,'11.销售及回款表'!$E399:$AV399,0)),'11.销售及回款表'!AA399)</f>
        <v>0</v>
      </c>
      <c r="AB185" s="277">
        <f t="array" ref="AB185">IF(SUM($E314:AA314)&lt;1,SUM(IF('11.销售及回款表'!$E$497:$AV$540=AB313,'11.销售及回款表'!$E399:$AV399,0)),'11.销售及回款表'!AB399)</f>
        <v>0</v>
      </c>
      <c r="AC185" s="275">
        <f t="array" ref="AC185">IF(SUM($E314:AB314)&lt;1,SUM(IF('11.销售及回款表'!$E$497:$AV$540=AC313,'11.销售及回款表'!$E399:$AV399,0)),'11.销售及回款表'!AC399)</f>
        <v>0</v>
      </c>
      <c r="AD185" s="276">
        <f t="array" ref="AD185">IF(SUM($E314:AC314)&lt;1,SUM(IF('11.销售及回款表'!$E$497:$AV$540=AD313,'11.销售及回款表'!$E399:$AV399,0)),'11.销售及回款表'!AD399)</f>
        <v>0</v>
      </c>
      <c r="AE185" s="276">
        <f t="array" ref="AE185">IF(SUM($E314:AD314)&lt;1,SUM(IF('11.销售及回款表'!$E$497:$AV$540=AE313,'11.销售及回款表'!$E399:$AV399,0)),'11.销售及回款表'!AE399)</f>
        <v>0</v>
      </c>
      <c r="AF185" s="277">
        <f t="array" ref="AF185">IF(SUM($E314:AE314)&lt;1,SUM(IF('11.销售及回款表'!$E$497:$AV$540=AF313,'11.销售及回款表'!$E399:$AV399,0)),'11.销售及回款表'!AF399)</f>
        <v>0</v>
      </c>
      <c r="AG185" s="275">
        <f t="array" ref="AG185">IF(SUM($E314:AF314)&lt;1,SUM(IF('11.销售及回款表'!$E$497:$AV$540=AG313,'11.销售及回款表'!$E399:$AV399,0)),'11.销售及回款表'!AG399)</f>
        <v>0</v>
      </c>
      <c r="AH185" s="276">
        <f t="array" ref="AH185">IF(SUM($E314:AG314)&lt;1,SUM(IF('11.销售及回款表'!$E$497:$AV$540=AH313,'11.销售及回款表'!$E399:$AV399,0)),'11.销售及回款表'!AH399)</f>
        <v>0</v>
      </c>
      <c r="AI185" s="276">
        <f t="array" ref="AI185">IF(SUM($E314:AH314)&lt;1,SUM(IF('11.销售及回款表'!$E$497:$AV$540=AI313,'11.销售及回款表'!$E399:$AV399,0)),'11.销售及回款表'!AI399)</f>
        <v>0</v>
      </c>
      <c r="AJ185" s="277">
        <f t="array" ref="AJ185">IF(SUM($E314:AI314)&lt;1,SUM(IF('11.销售及回款表'!$E$497:$AV$540=AJ313,'11.销售及回款表'!$E399:$AV399,0)),'11.销售及回款表'!AJ399)</f>
        <v>0</v>
      </c>
      <c r="AK185" s="275">
        <f t="array" ref="AK185">IF(SUM($E314:AJ314)&lt;1,SUM(IF('11.销售及回款表'!$E$497:$AV$540=AK313,'11.销售及回款表'!$E399:$AV399,0)),'11.销售及回款表'!AK399)</f>
        <v>0</v>
      </c>
      <c r="AL185" s="276">
        <f t="array" ref="AL185">IF(SUM($E314:AK314)&lt;1,SUM(IF('11.销售及回款表'!$E$497:$AV$540=AL313,'11.销售及回款表'!$E399:$AV399,0)),'11.销售及回款表'!AL399)</f>
        <v>0</v>
      </c>
      <c r="AM185" s="276">
        <f t="array" ref="AM185">IF(SUM($E314:AL314)&lt;1,SUM(IF('11.销售及回款表'!$E$497:$AV$540=AM313,'11.销售及回款表'!$E399:$AV399,0)),'11.销售及回款表'!AM399)</f>
        <v>0</v>
      </c>
      <c r="AN185" s="277">
        <f t="array" ref="AN185">IF(SUM($E314:AM314)&lt;1,SUM(IF('11.销售及回款表'!$E$497:$AV$540=AN313,'11.销售及回款表'!$E399:$AV399,0)),'11.销售及回款表'!AN399)</f>
        <v>0</v>
      </c>
      <c r="AO185" s="275">
        <f t="array" ref="AO185">IF(SUM($E314:AN314)&lt;1,SUM(IF('11.销售及回款表'!$E$497:$AV$540=AO313,'11.销售及回款表'!$E399:$AV399,0)),'11.销售及回款表'!AO399)</f>
        <v>0</v>
      </c>
      <c r="AP185" s="276">
        <f t="array" ref="AP185">IF(SUM($E314:AO314)&lt;1,SUM(IF('11.销售及回款表'!$E$497:$AV$540=AP313,'11.销售及回款表'!$E399:$AV399,0)),'11.销售及回款表'!AP399)</f>
        <v>0</v>
      </c>
      <c r="AQ185" s="276">
        <f t="array" ref="AQ185">IF(SUM($E314:AP314)&lt;1,SUM(IF('11.销售及回款表'!$E$497:$AV$540=AQ313,'11.销售及回款表'!$E399:$AV399,0)),'11.销售及回款表'!AQ399)</f>
        <v>0</v>
      </c>
      <c r="AR185" s="277">
        <f t="array" ref="AR185">IF(SUM($E314:AQ314)&lt;1,SUM(IF('11.销售及回款表'!$E$497:$AV$540=AR313,'11.销售及回款表'!$E399:$AV399,0)),'11.销售及回款表'!AR399)</f>
        <v>0</v>
      </c>
      <c r="AS185" s="275">
        <f t="array" ref="AS185">IF(SUM($E314:AR314)&lt;1,SUM(IF('11.销售及回款表'!$E$497:$AV$540=AS313,'11.销售及回款表'!$E399:$AV399,0)),'11.销售及回款表'!AS399)</f>
        <v>0</v>
      </c>
      <c r="AT185" s="276">
        <f t="array" ref="AT185">IF(SUM($E314:AS314)&lt;1,SUM(IF('11.销售及回款表'!$E$497:$AV$540=AT313,'11.销售及回款表'!$E399:$AV399,0)),'11.销售及回款表'!AT399)</f>
        <v>0</v>
      </c>
      <c r="AU185" s="276">
        <f t="array" ref="AU185">IF(SUM($E314:AT314)&lt;1,SUM(IF('11.销售及回款表'!$E$497:$AV$540=AU313,'11.销售及回款表'!$E399:$AV399,0)),'11.销售及回款表'!AU399)</f>
        <v>0</v>
      </c>
      <c r="AV185" s="277">
        <f t="array" ref="AV185">IF(SUM($E314:AU314)&lt;1,SUM(IF('11.销售及回款表'!$E$497:$AV$540=AV313,'11.销售及回款表'!$E399:$AV399,0)),'11.销售及回款表'!AV399)</f>
        <v>0</v>
      </c>
    </row>
    <row r="186" spans="2:48" s="257" customFormat="1" ht="15.75" customHeight="1" outlineLevel="1">
      <c r="B186" s="1980"/>
      <c r="C186" s="303">
        <f>'8.项目规划指标表'!$B$12</f>
        <v>0</v>
      </c>
      <c r="D186" s="274">
        <f t="shared" si="36"/>
        <v>0</v>
      </c>
      <c r="E186" s="275">
        <f t="array" ref="E186">IF(SUM(D316:$E316)&lt;1,SUM(IF('11.销售及回款表'!$E$497:$AV$540=E315,'11.销售及回款表'!$E404:$AV404,0)),'11.销售及回款表'!E404)</f>
        <v>0</v>
      </c>
      <c r="F186" s="276">
        <f t="array" ref="F186">IF(SUM(E316:$E316)&lt;1,SUM(IF('11.销售及回款表'!$E$497:$AV$540=F315,'11.销售及回款表'!$E404:$AV404,0)),'11.销售及回款表'!F404)</f>
        <v>0</v>
      </c>
      <c r="G186" s="276">
        <f t="array" ref="G186">IF(SUM($E316:F316)&lt;1,SUM(IF('11.销售及回款表'!$E$497:$AV$540=G315,'11.销售及回款表'!$E404:$AV404,0)),'11.销售及回款表'!G404)</f>
        <v>0</v>
      </c>
      <c r="H186" s="277">
        <f t="array" ref="H186">IF(SUM($E316:G316)&lt;1,SUM(IF('11.销售及回款表'!$E$497:$AV$540=H315,'11.销售及回款表'!$E404:$AV404,0)),'11.销售及回款表'!H404)</f>
        <v>0</v>
      </c>
      <c r="I186" s="275">
        <f t="array" ref="I186">IF(SUM($E316:H316)&lt;1,SUM(IF('11.销售及回款表'!$E$497:$AV$540=I315,'11.销售及回款表'!$E404:$AV404,0)),'11.销售及回款表'!I404)</f>
        <v>0</v>
      </c>
      <c r="J186" s="276">
        <f t="array" ref="J186">IF(SUM($E316:I316)&lt;1,SUM(IF('11.销售及回款表'!$E$497:$AV$540=J315,'11.销售及回款表'!$E404:$AV404,0)),'11.销售及回款表'!J404)</f>
        <v>0</v>
      </c>
      <c r="K186" s="276">
        <f t="array" ref="K186">IF(SUM($E316:J316)&lt;1,SUM(IF('11.销售及回款表'!$E$497:$AV$540=K315,'11.销售及回款表'!$E404:$AV404,0)),'11.销售及回款表'!K404)</f>
        <v>0</v>
      </c>
      <c r="L186" s="277">
        <f t="array" ref="L186">IF(SUM($E316:K316)&lt;1,SUM(IF('11.销售及回款表'!$E$497:$AV$540=L315,'11.销售及回款表'!$E404:$AV404,0)),'11.销售及回款表'!L404)</f>
        <v>0</v>
      </c>
      <c r="M186" s="275">
        <f t="array" ref="M186">IF(SUM($E316:L316)&lt;1,SUM(IF('11.销售及回款表'!$E$497:$AV$540=M315,'11.销售及回款表'!$E404:$AV404,0)),'11.销售及回款表'!M404)</f>
        <v>0</v>
      </c>
      <c r="N186" s="276">
        <f t="array" ref="N186">IF(SUM($E316:M316)&lt;1,SUM(IF('11.销售及回款表'!$E$497:$AV$540=N315,'11.销售及回款表'!$E404:$AV404,0)),'11.销售及回款表'!N404)</f>
        <v>0</v>
      </c>
      <c r="O186" s="276">
        <f t="array" ref="O186">IF(SUM($E316:N316)&lt;1,SUM(IF('11.销售及回款表'!$E$497:$AV$540=O315,'11.销售及回款表'!$E404:$AV404,0)),'11.销售及回款表'!O404)</f>
        <v>0</v>
      </c>
      <c r="P186" s="277">
        <f t="array" ref="P186">IF(SUM($E316:O316)&lt;1,SUM(IF('11.销售及回款表'!$E$497:$AV$540=P315,'11.销售及回款表'!$E404:$AV404,0)),'11.销售及回款表'!P404)</f>
        <v>0</v>
      </c>
      <c r="Q186" s="275">
        <f t="array" ref="Q186">IF(SUM($E316:P316)&lt;1,SUM(IF('11.销售及回款表'!$E$497:$AV$540=Q315,'11.销售及回款表'!$E404:$AV404,0)),'11.销售及回款表'!Q404)</f>
        <v>0</v>
      </c>
      <c r="R186" s="276">
        <f t="array" ref="R186">IF(SUM($E316:Q316)&lt;1,SUM(IF('11.销售及回款表'!$E$497:$AV$540=R315,'11.销售及回款表'!$E404:$AV404,0)),'11.销售及回款表'!R404)</f>
        <v>0</v>
      </c>
      <c r="S186" s="276">
        <f t="array" ref="S186">IF(SUM($E316:R316)&lt;1,SUM(IF('11.销售及回款表'!$E$497:$AV$540=S315,'11.销售及回款表'!$E404:$AV404,0)),'11.销售及回款表'!S404)</f>
        <v>0</v>
      </c>
      <c r="T186" s="277">
        <f t="array" ref="T186">IF(SUM($E316:S316)&lt;1,SUM(IF('11.销售及回款表'!$E$497:$AV$540=T315,'11.销售及回款表'!$E404:$AV404,0)),'11.销售及回款表'!T404)</f>
        <v>0</v>
      </c>
      <c r="U186" s="275">
        <f t="array" ref="U186">IF(SUM($E316:T316)&lt;1,SUM(IF('11.销售及回款表'!$E$497:$AV$540=U315,'11.销售及回款表'!$E404:$AV404,0)),'11.销售及回款表'!U404)</f>
        <v>0</v>
      </c>
      <c r="V186" s="276">
        <f t="array" ref="V186">IF(SUM($E316:U316)&lt;1,SUM(IF('11.销售及回款表'!$E$497:$AV$540=V315,'11.销售及回款表'!$E404:$AV404,0)),'11.销售及回款表'!V404)</f>
        <v>0</v>
      </c>
      <c r="W186" s="276">
        <f t="array" ref="W186">IF(SUM($E316:V316)&lt;1,SUM(IF('11.销售及回款表'!$E$497:$AV$540=W315,'11.销售及回款表'!$E404:$AV404,0)),'11.销售及回款表'!W404)</f>
        <v>0</v>
      </c>
      <c r="X186" s="277">
        <f t="array" ref="X186">IF(SUM($E316:W316)&lt;1,SUM(IF('11.销售及回款表'!$E$497:$AV$540=X315,'11.销售及回款表'!$E404:$AV404,0)),'11.销售及回款表'!X404)</f>
        <v>0</v>
      </c>
      <c r="Y186" s="275">
        <f t="array" ref="Y186">IF(SUM($E316:X316)&lt;1,SUM(IF('11.销售及回款表'!$E$497:$AV$540=Y315,'11.销售及回款表'!$E404:$AV404,0)),'11.销售及回款表'!Y404)</f>
        <v>0</v>
      </c>
      <c r="Z186" s="276">
        <f t="array" ref="Z186">IF(SUM($E316:Y316)&lt;1,SUM(IF('11.销售及回款表'!$E$497:$AV$540=Z315,'11.销售及回款表'!$E404:$AV404,0)),'11.销售及回款表'!Z404)</f>
        <v>0</v>
      </c>
      <c r="AA186" s="276">
        <f t="array" ref="AA186">IF(SUM($E316:Z316)&lt;1,SUM(IF('11.销售及回款表'!$E$497:$AV$540=AA315,'11.销售及回款表'!$E404:$AV404,0)),'11.销售及回款表'!AA404)</f>
        <v>0</v>
      </c>
      <c r="AB186" s="277">
        <f t="array" ref="AB186">IF(SUM($E316:AA316)&lt;1,SUM(IF('11.销售及回款表'!$E$497:$AV$540=AB315,'11.销售及回款表'!$E404:$AV404,0)),'11.销售及回款表'!AB404)</f>
        <v>0</v>
      </c>
      <c r="AC186" s="275">
        <f t="array" ref="AC186">IF(SUM($E316:AB316)&lt;1,SUM(IF('11.销售及回款表'!$E$497:$AV$540=AC315,'11.销售及回款表'!$E404:$AV404,0)),'11.销售及回款表'!AC404)</f>
        <v>0</v>
      </c>
      <c r="AD186" s="276">
        <f t="array" ref="AD186">IF(SUM($E316:AC316)&lt;1,SUM(IF('11.销售及回款表'!$E$497:$AV$540=AD315,'11.销售及回款表'!$E404:$AV404,0)),'11.销售及回款表'!AD404)</f>
        <v>0</v>
      </c>
      <c r="AE186" s="276">
        <f t="array" ref="AE186">IF(SUM($E316:AD316)&lt;1,SUM(IF('11.销售及回款表'!$E$497:$AV$540=AE315,'11.销售及回款表'!$E404:$AV404,0)),'11.销售及回款表'!AE404)</f>
        <v>0</v>
      </c>
      <c r="AF186" s="277">
        <f t="array" ref="AF186">IF(SUM($E316:AE316)&lt;1,SUM(IF('11.销售及回款表'!$E$497:$AV$540=AF315,'11.销售及回款表'!$E404:$AV404,0)),'11.销售及回款表'!AF404)</f>
        <v>0</v>
      </c>
      <c r="AG186" s="275">
        <f t="array" ref="AG186">IF(SUM($E316:AF316)&lt;1,SUM(IF('11.销售及回款表'!$E$497:$AV$540=AG315,'11.销售及回款表'!$E404:$AV404,0)),'11.销售及回款表'!AG404)</f>
        <v>0</v>
      </c>
      <c r="AH186" s="276">
        <f t="array" ref="AH186">IF(SUM($E316:AG316)&lt;1,SUM(IF('11.销售及回款表'!$E$497:$AV$540=AH315,'11.销售及回款表'!$E404:$AV404,0)),'11.销售及回款表'!AH404)</f>
        <v>0</v>
      </c>
      <c r="AI186" s="276">
        <f t="array" ref="AI186">IF(SUM($E316:AH316)&lt;1,SUM(IF('11.销售及回款表'!$E$497:$AV$540=AI315,'11.销售及回款表'!$E404:$AV404,0)),'11.销售及回款表'!AI404)</f>
        <v>0</v>
      </c>
      <c r="AJ186" s="277">
        <f t="array" ref="AJ186">IF(SUM($E316:AI316)&lt;1,SUM(IF('11.销售及回款表'!$E$497:$AV$540=AJ315,'11.销售及回款表'!$E404:$AV404,0)),'11.销售及回款表'!AJ404)</f>
        <v>0</v>
      </c>
      <c r="AK186" s="275">
        <f t="array" ref="AK186">IF(SUM($E316:AJ316)&lt;1,SUM(IF('11.销售及回款表'!$E$497:$AV$540=AK315,'11.销售及回款表'!$E404:$AV404,0)),'11.销售及回款表'!AK404)</f>
        <v>0</v>
      </c>
      <c r="AL186" s="276">
        <f t="array" ref="AL186">IF(SUM($E316:AK316)&lt;1,SUM(IF('11.销售及回款表'!$E$497:$AV$540=AL315,'11.销售及回款表'!$E404:$AV404,0)),'11.销售及回款表'!AL404)</f>
        <v>0</v>
      </c>
      <c r="AM186" s="276">
        <f t="array" ref="AM186">IF(SUM($E316:AL316)&lt;1,SUM(IF('11.销售及回款表'!$E$497:$AV$540=AM315,'11.销售及回款表'!$E404:$AV404,0)),'11.销售及回款表'!AM404)</f>
        <v>0</v>
      </c>
      <c r="AN186" s="277">
        <f t="array" ref="AN186">IF(SUM($E316:AM316)&lt;1,SUM(IF('11.销售及回款表'!$E$497:$AV$540=AN315,'11.销售及回款表'!$E404:$AV404,0)),'11.销售及回款表'!AN404)</f>
        <v>0</v>
      </c>
      <c r="AO186" s="275">
        <f t="array" ref="AO186">IF(SUM($E316:AN316)&lt;1,SUM(IF('11.销售及回款表'!$E$497:$AV$540=AO315,'11.销售及回款表'!$E404:$AV404,0)),'11.销售及回款表'!AO404)</f>
        <v>0</v>
      </c>
      <c r="AP186" s="276">
        <f t="array" ref="AP186">IF(SUM($E316:AO316)&lt;1,SUM(IF('11.销售及回款表'!$E$497:$AV$540=AP315,'11.销售及回款表'!$E404:$AV404,0)),'11.销售及回款表'!AP404)</f>
        <v>0</v>
      </c>
      <c r="AQ186" s="276">
        <f t="array" ref="AQ186">IF(SUM($E316:AP316)&lt;1,SUM(IF('11.销售及回款表'!$E$497:$AV$540=AQ315,'11.销售及回款表'!$E404:$AV404,0)),'11.销售及回款表'!AQ404)</f>
        <v>0</v>
      </c>
      <c r="AR186" s="277">
        <f t="array" ref="AR186">IF(SUM($E316:AQ316)&lt;1,SUM(IF('11.销售及回款表'!$E$497:$AV$540=AR315,'11.销售及回款表'!$E404:$AV404,0)),'11.销售及回款表'!AR404)</f>
        <v>0</v>
      </c>
      <c r="AS186" s="275">
        <f t="array" ref="AS186">IF(SUM($E316:AR316)&lt;1,SUM(IF('11.销售及回款表'!$E$497:$AV$540=AS315,'11.销售及回款表'!$E404:$AV404,0)),'11.销售及回款表'!AS404)</f>
        <v>0</v>
      </c>
      <c r="AT186" s="276">
        <f t="array" ref="AT186">IF(SUM($E316:AS316)&lt;1,SUM(IF('11.销售及回款表'!$E$497:$AV$540=AT315,'11.销售及回款表'!$E404:$AV404,0)),'11.销售及回款表'!AT404)</f>
        <v>0</v>
      </c>
      <c r="AU186" s="276">
        <f t="array" ref="AU186">IF(SUM($E316:AT316)&lt;1,SUM(IF('11.销售及回款表'!$E$497:$AV$540=AU315,'11.销售及回款表'!$E404:$AV404,0)),'11.销售及回款表'!AU404)</f>
        <v>0</v>
      </c>
      <c r="AV186" s="277">
        <f t="array" ref="AV186">IF(SUM($E316:AU316)&lt;1,SUM(IF('11.销售及回款表'!$E$497:$AV$540=AV315,'11.销售及回款表'!$E404:$AV404,0)),'11.销售及回款表'!AV404)</f>
        <v>0</v>
      </c>
    </row>
    <row r="187" spans="2:48" s="257" customFormat="1" ht="15.75" customHeight="1" outlineLevel="1">
      <c r="B187" s="1980"/>
      <c r="C187" s="303">
        <f>'8.项目规划指标表'!$B$13</f>
        <v>0</v>
      </c>
      <c r="D187" s="274">
        <f t="shared" si="36"/>
        <v>0</v>
      </c>
      <c r="E187" s="275">
        <f t="array" ref="E187">IF(SUM(D318:$E318)&lt;1,SUM(IF('11.销售及回款表'!$E$497:$AV$540=E317,'11.销售及回款表'!$E409:$AV409,0)),'11.销售及回款表'!E409)</f>
        <v>0</v>
      </c>
      <c r="F187" s="276">
        <f t="array" ref="F187">IF(SUM(E318:$E318)&lt;1,SUM(IF('11.销售及回款表'!$E$497:$AV$540=F317,'11.销售及回款表'!$E409:$AV409,0)),'11.销售及回款表'!F409)</f>
        <v>0</v>
      </c>
      <c r="G187" s="276">
        <f t="array" ref="G187">IF(SUM($E318:F318)&lt;1,SUM(IF('11.销售及回款表'!$E$497:$AV$540=G317,'11.销售及回款表'!$E409:$AV409,0)),'11.销售及回款表'!G409)</f>
        <v>0</v>
      </c>
      <c r="H187" s="277">
        <f t="array" ref="H187">IF(SUM($E318:G318)&lt;1,SUM(IF('11.销售及回款表'!$E$497:$AV$540=H317,'11.销售及回款表'!$E409:$AV409,0)),'11.销售及回款表'!H409)</f>
        <v>0</v>
      </c>
      <c r="I187" s="275">
        <f t="array" ref="I187">IF(SUM($E318:H318)&lt;1,SUM(IF('11.销售及回款表'!$E$497:$AV$540=I317,'11.销售及回款表'!$E409:$AV409,0)),'11.销售及回款表'!I409)</f>
        <v>0</v>
      </c>
      <c r="J187" s="276">
        <f t="array" ref="J187">IF(SUM($E318:I318)&lt;1,SUM(IF('11.销售及回款表'!$E$497:$AV$540=J317,'11.销售及回款表'!$E409:$AV409,0)),'11.销售及回款表'!J409)</f>
        <v>0</v>
      </c>
      <c r="K187" s="276">
        <f t="array" ref="K187">IF(SUM($E318:J318)&lt;1,SUM(IF('11.销售及回款表'!$E$497:$AV$540=K317,'11.销售及回款表'!$E409:$AV409,0)),'11.销售及回款表'!K409)</f>
        <v>0</v>
      </c>
      <c r="L187" s="277">
        <f t="array" ref="L187">IF(SUM($E318:K318)&lt;1,SUM(IF('11.销售及回款表'!$E$497:$AV$540=L317,'11.销售及回款表'!$E409:$AV409,0)),'11.销售及回款表'!L409)</f>
        <v>0</v>
      </c>
      <c r="M187" s="275">
        <f t="array" ref="M187">IF(SUM($E318:L318)&lt;1,SUM(IF('11.销售及回款表'!$E$497:$AV$540=M317,'11.销售及回款表'!$E409:$AV409,0)),'11.销售及回款表'!M409)</f>
        <v>0</v>
      </c>
      <c r="N187" s="276">
        <f t="array" ref="N187">IF(SUM($E318:M318)&lt;1,SUM(IF('11.销售及回款表'!$E$497:$AV$540=N317,'11.销售及回款表'!$E409:$AV409,0)),'11.销售及回款表'!N409)</f>
        <v>0</v>
      </c>
      <c r="O187" s="276">
        <f t="array" ref="O187">IF(SUM($E318:N318)&lt;1,SUM(IF('11.销售及回款表'!$E$497:$AV$540=O317,'11.销售及回款表'!$E409:$AV409,0)),'11.销售及回款表'!O409)</f>
        <v>0</v>
      </c>
      <c r="P187" s="277">
        <f t="array" ref="P187">IF(SUM($E318:O318)&lt;1,SUM(IF('11.销售及回款表'!$E$497:$AV$540=P317,'11.销售及回款表'!$E409:$AV409,0)),'11.销售及回款表'!P409)</f>
        <v>0</v>
      </c>
      <c r="Q187" s="275">
        <f t="array" ref="Q187">IF(SUM($E318:P318)&lt;1,SUM(IF('11.销售及回款表'!$E$497:$AV$540=Q317,'11.销售及回款表'!$E409:$AV409,0)),'11.销售及回款表'!Q409)</f>
        <v>0</v>
      </c>
      <c r="R187" s="276">
        <f t="array" ref="R187">IF(SUM($E318:Q318)&lt;1,SUM(IF('11.销售及回款表'!$E$497:$AV$540=R317,'11.销售及回款表'!$E409:$AV409,0)),'11.销售及回款表'!R409)</f>
        <v>0</v>
      </c>
      <c r="S187" s="276">
        <f t="array" ref="S187">IF(SUM($E318:R318)&lt;1,SUM(IF('11.销售及回款表'!$E$497:$AV$540=S317,'11.销售及回款表'!$E409:$AV409,0)),'11.销售及回款表'!S409)</f>
        <v>0</v>
      </c>
      <c r="T187" s="277">
        <f t="array" ref="T187">IF(SUM($E318:S318)&lt;1,SUM(IF('11.销售及回款表'!$E$497:$AV$540=T317,'11.销售及回款表'!$E409:$AV409,0)),'11.销售及回款表'!T409)</f>
        <v>0</v>
      </c>
      <c r="U187" s="275">
        <f t="array" ref="U187">IF(SUM($E318:T318)&lt;1,SUM(IF('11.销售及回款表'!$E$497:$AV$540=U317,'11.销售及回款表'!$E409:$AV409,0)),'11.销售及回款表'!U409)</f>
        <v>0</v>
      </c>
      <c r="V187" s="276">
        <f t="array" ref="V187">IF(SUM($E318:U318)&lt;1,SUM(IF('11.销售及回款表'!$E$497:$AV$540=V317,'11.销售及回款表'!$E409:$AV409,0)),'11.销售及回款表'!V409)</f>
        <v>0</v>
      </c>
      <c r="W187" s="276">
        <f t="array" ref="W187">IF(SUM($E318:V318)&lt;1,SUM(IF('11.销售及回款表'!$E$497:$AV$540=W317,'11.销售及回款表'!$E409:$AV409,0)),'11.销售及回款表'!W409)</f>
        <v>0</v>
      </c>
      <c r="X187" s="277">
        <f t="array" ref="X187">IF(SUM($E318:W318)&lt;1,SUM(IF('11.销售及回款表'!$E$497:$AV$540=X317,'11.销售及回款表'!$E409:$AV409,0)),'11.销售及回款表'!X409)</f>
        <v>0</v>
      </c>
      <c r="Y187" s="275">
        <f t="array" ref="Y187">IF(SUM($E318:X318)&lt;1,SUM(IF('11.销售及回款表'!$E$497:$AV$540=Y317,'11.销售及回款表'!$E409:$AV409,0)),'11.销售及回款表'!Y409)</f>
        <v>0</v>
      </c>
      <c r="Z187" s="276">
        <f t="array" ref="Z187">IF(SUM($E318:Y318)&lt;1,SUM(IF('11.销售及回款表'!$E$497:$AV$540=Z317,'11.销售及回款表'!$E409:$AV409,0)),'11.销售及回款表'!Z409)</f>
        <v>0</v>
      </c>
      <c r="AA187" s="276">
        <f t="array" ref="AA187">IF(SUM($E318:Z318)&lt;1,SUM(IF('11.销售及回款表'!$E$497:$AV$540=AA317,'11.销售及回款表'!$E409:$AV409,0)),'11.销售及回款表'!AA409)</f>
        <v>0</v>
      </c>
      <c r="AB187" s="277">
        <f t="array" ref="AB187">IF(SUM($E318:AA318)&lt;1,SUM(IF('11.销售及回款表'!$E$497:$AV$540=AB317,'11.销售及回款表'!$E409:$AV409,0)),'11.销售及回款表'!AB409)</f>
        <v>0</v>
      </c>
      <c r="AC187" s="275">
        <f t="array" ref="AC187">IF(SUM($E318:AB318)&lt;1,SUM(IF('11.销售及回款表'!$E$497:$AV$540=AC317,'11.销售及回款表'!$E409:$AV409,0)),'11.销售及回款表'!AC409)</f>
        <v>0</v>
      </c>
      <c r="AD187" s="276">
        <f t="array" ref="AD187">IF(SUM($E318:AC318)&lt;1,SUM(IF('11.销售及回款表'!$E$497:$AV$540=AD317,'11.销售及回款表'!$E409:$AV409,0)),'11.销售及回款表'!AD409)</f>
        <v>0</v>
      </c>
      <c r="AE187" s="276">
        <f t="array" ref="AE187">IF(SUM($E318:AD318)&lt;1,SUM(IF('11.销售及回款表'!$E$497:$AV$540=AE317,'11.销售及回款表'!$E409:$AV409,0)),'11.销售及回款表'!AE409)</f>
        <v>0</v>
      </c>
      <c r="AF187" s="277">
        <f t="array" ref="AF187">IF(SUM($E318:AE318)&lt;1,SUM(IF('11.销售及回款表'!$E$497:$AV$540=AF317,'11.销售及回款表'!$E409:$AV409,0)),'11.销售及回款表'!AF409)</f>
        <v>0</v>
      </c>
      <c r="AG187" s="275">
        <f t="array" ref="AG187">IF(SUM($E318:AF318)&lt;1,SUM(IF('11.销售及回款表'!$E$497:$AV$540=AG317,'11.销售及回款表'!$E409:$AV409,0)),'11.销售及回款表'!AG409)</f>
        <v>0</v>
      </c>
      <c r="AH187" s="276">
        <f t="array" ref="AH187">IF(SUM($E318:AG318)&lt;1,SUM(IF('11.销售及回款表'!$E$497:$AV$540=AH317,'11.销售及回款表'!$E409:$AV409,0)),'11.销售及回款表'!AH409)</f>
        <v>0</v>
      </c>
      <c r="AI187" s="276">
        <f t="array" ref="AI187">IF(SUM($E318:AH318)&lt;1,SUM(IF('11.销售及回款表'!$E$497:$AV$540=AI317,'11.销售及回款表'!$E409:$AV409,0)),'11.销售及回款表'!AI409)</f>
        <v>0</v>
      </c>
      <c r="AJ187" s="277">
        <f t="array" ref="AJ187">IF(SUM($E318:AI318)&lt;1,SUM(IF('11.销售及回款表'!$E$497:$AV$540=AJ317,'11.销售及回款表'!$E409:$AV409,0)),'11.销售及回款表'!AJ409)</f>
        <v>0</v>
      </c>
      <c r="AK187" s="275">
        <f t="array" ref="AK187">IF(SUM($E318:AJ318)&lt;1,SUM(IF('11.销售及回款表'!$E$497:$AV$540=AK317,'11.销售及回款表'!$E409:$AV409,0)),'11.销售及回款表'!AK409)</f>
        <v>0</v>
      </c>
      <c r="AL187" s="276">
        <f t="array" ref="AL187">IF(SUM($E318:AK318)&lt;1,SUM(IF('11.销售及回款表'!$E$497:$AV$540=AL317,'11.销售及回款表'!$E409:$AV409,0)),'11.销售及回款表'!AL409)</f>
        <v>0</v>
      </c>
      <c r="AM187" s="276">
        <f t="array" ref="AM187">IF(SUM($E318:AL318)&lt;1,SUM(IF('11.销售及回款表'!$E$497:$AV$540=AM317,'11.销售及回款表'!$E409:$AV409,0)),'11.销售及回款表'!AM409)</f>
        <v>0</v>
      </c>
      <c r="AN187" s="277">
        <f t="array" ref="AN187">IF(SUM($E318:AM318)&lt;1,SUM(IF('11.销售及回款表'!$E$497:$AV$540=AN317,'11.销售及回款表'!$E409:$AV409,0)),'11.销售及回款表'!AN409)</f>
        <v>0</v>
      </c>
      <c r="AO187" s="275">
        <f t="array" ref="AO187">IF(SUM($E318:AN318)&lt;1,SUM(IF('11.销售及回款表'!$E$497:$AV$540=AO317,'11.销售及回款表'!$E409:$AV409,0)),'11.销售及回款表'!AO409)</f>
        <v>0</v>
      </c>
      <c r="AP187" s="276">
        <f t="array" ref="AP187">IF(SUM($E318:AO318)&lt;1,SUM(IF('11.销售及回款表'!$E$497:$AV$540=AP317,'11.销售及回款表'!$E409:$AV409,0)),'11.销售及回款表'!AP409)</f>
        <v>0</v>
      </c>
      <c r="AQ187" s="276">
        <f t="array" ref="AQ187">IF(SUM($E318:AP318)&lt;1,SUM(IF('11.销售及回款表'!$E$497:$AV$540=AQ317,'11.销售及回款表'!$E409:$AV409,0)),'11.销售及回款表'!AQ409)</f>
        <v>0</v>
      </c>
      <c r="AR187" s="277">
        <f t="array" ref="AR187">IF(SUM($E318:AQ318)&lt;1,SUM(IF('11.销售及回款表'!$E$497:$AV$540=AR317,'11.销售及回款表'!$E409:$AV409,0)),'11.销售及回款表'!AR409)</f>
        <v>0</v>
      </c>
      <c r="AS187" s="275">
        <f t="array" ref="AS187">IF(SUM($E318:AR318)&lt;1,SUM(IF('11.销售及回款表'!$E$497:$AV$540=AS317,'11.销售及回款表'!$E409:$AV409,0)),'11.销售及回款表'!AS409)</f>
        <v>0</v>
      </c>
      <c r="AT187" s="276">
        <f t="array" ref="AT187">IF(SUM($E318:AS318)&lt;1,SUM(IF('11.销售及回款表'!$E$497:$AV$540=AT317,'11.销售及回款表'!$E409:$AV409,0)),'11.销售及回款表'!AT409)</f>
        <v>0</v>
      </c>
      <c r="AU187" s="276">
        <f t="array" ref="AU187">IF(SUM($E318:AT318)&lt;1,SUM(IF('11.销售及回款表'!$E$497:$AV$540=AU317,'11.销售及回款表'!$E409:$AV409,0)),'11.销售及回款表'!AU409)</f>
        <v>0</v>
      </c>
      <c r="AV187" s="277">
        <f t="array" ref="AV187">IF(SUM($E318:AU318)&lt;1,SUM(IF('11.销售及回款表'!$E$497:$AV$540=AV317,'11.销售及回款表'!$E409:$AV409,0)),'11.销售及回款表'!AV409)</f>
        <v>0</v>
      </c>
    </row>
    <row r="188" spans="2:48" s="257" customFormat="1" ht="15.75" customHeight="1" outlineLevel="1">
      <c r="B188" s="1980"/>
      <c r="C188" s="303" t="str">
        <f>'8.项目规划指标表'!$B$14</f>
        <v>自持物业</v>
      </c>
      <c r="D188" s="274">
        <f t="shared" si="36"/>
        <v>0</v>
      </c>
      <c r="E188" s="275">
        <f t="array" ref="E188">IF(SUM(D320:$E320)&lt;1,SUM(IF('11.销售及回款表'!$E$497:$AV$540=E319,'11.销售及回款表'!$E414:$AV414,0)),'11.销售及回款表'!E414)</f>
        <v>0</v>
      </c>
      <c r="F188" s="276">
        <f t="array" ref="F188">IF(SUM(E320:$E320)&lt;1,SUM(IF('11.销售及回款表'!$E$497:$AV$540=F319,'11.销售及回款表'!$E414:$AV414,0)),'11.销售及回款表'!F414)</f>
        <v>0</v>
      </c>
      <c r="G188" s="276">
        <f t="array" ref="G188">IF(SUM($E320:F320)&lt;1,SUM(IF('11.销售及回款表'!$E$497:$AV$540=G319,'11.销售及回款表'!$E414:$AV414,0)),'11.销售及回款表'!G414)</f>
        <v>0</v>
      </c>
      <c r="H188" s="277">
        <f t="array" ref="H188">IF(SUM($E320:G320)&lt;1,SUM(IF('11.销售及回款表'!$E$497:$AV$540=H319,'11.销售及回款表'!$E414:$AV414,0)),'11.销售及回款表'!H414)</f>
        <v>0</v>
      </c>
      <c r="I188" s="275">
        <f t="array" ref="I188">IF(SUM($E320:H320)&lt;1,SUM(IF('11.销售及回款表'!$E$497:$AV$540=I319,'11.销售及回款表'!$E414:$AV414,0)),'11.销售及回款表'!I414)</f>
        <v>0</v>
      </c>
      <c r="J188" s="276">
        <f t="array" ref="J188">IF(SUM($E320:I320)&lt;1,SUM(IF('11.销售及回款表'!$E$497:$AV$540=J319,'11.销售及回款表'!$E414:$AV414,0)),'11.销售及回款表'!J414)</f>
        <v>0</v>
      </c>
      <c r="K188" s="276">
        <f t="array" ref="K188">IF(SUM($E320:J320)&lt;1,SUM(IF('11.销售及回款表'!$E$497:$AV$540=K319,'11.销售及回款表'!$E414:$AV414,0)),'11.销售及回款表'!K414)</f>
        <v>0</v>
      </c>
      <c r="L188" s="277">
        <f t="array" ref="L188">IF(SUM($E320:K320)&lt;1,SUM(IF('11.销售及回款表'!$E$497:$AV$540=L319,'11.销售及回款表'!$E414:$AV414,0)),'11.销售及回款表'!L414)</f>
        <v>0</v>
      </c>
      <c r="M188" s="275">
        <f t="array" ref="M188">IF(SUM($E320:L320)&lt;1,SUM(IF('11.销售及回款表'!$E$497:$AV$540=M319,'11.销售及回款表'!$E414:$AV414,0)),'11.销售及回款表'!M414)</f>
        <v>0</v>
      </c>
      <c r="N188" s="276">
        <f t="array" ref="N188">IF(SUM($E320:M320)&lt;1,SUM(IF('11.销售及回款表'!$E$497:$AV$540=N319,'11.销售及回款表'!$E414:$AV414,0)),'11.销售及回款表'!N414)</f>
        <v>0</v>
      </c>
      <c r="O188" s="276">
        <f t="array" ref="O188">IF(SUM($E320:N320)&lt;1,SUM(IF('11.销售及回款表'!$E$497:$AV$540=O319,'11.销售及回款表'!$E414:$AV414,0)),'11.销售及回款表'!O414)</f>
        <v>0</v>
      </c>
      <c r="P188" s="277">
        <f t="array" ref="P188">IF(SUM($E320:O320)&lt;1,SUM(IF('11.销售及回款表'!$E$497:$AV$540=P319,'11.销售及回款表'!$E414:$AV414,0)),'11.销售及回款表'!P414)</f>
        <v>0</v>
      </c>
      <c r="Q188" s="275">
        <f t="array" ref="Q188">IF(SUM($E320:P320)&lt;1,SUM(IF('11.销售及回款表'!$E$497:$AV$540=Q319,'11.销售及回款表'!$E414:$AV414,0)),'11.销售及回款表'!Q414)</f>
        <v>0</v>
      </c>
      <c r="R188" s="276">
        <f t="array" ref="R188">IF(SUM($E320:Q320)&lt;1,SUM(IF('11.销售及回款表'!$E$497:$AV$540=R319,'11.销售及回款表'!$E414:$AV414,0)),'11.销售及回款表'!R414)</f>
        <v>0</v>
      </c>
      <c r="S188" s="276">
        <f t="array" ref="S188">IF(SUM($E320:R320)&lt;1,SUM(IF('11.销售及回款表'!$E$497:$AV$540=S319,'11.销售及回款表'!$E414:$AV414,0)),'11.销售及回款表'!S414)</f>
        <v>0</v>
      </c>
      <c r="T188" s="277">
        <f t="array" ref="T188">IF(SUM($E320:S320)&lt;1,SUM(IF('11.销售及回款表'!$E$497:$AV$540=T319,'11.销售及回款表'!$E414:$AV414,0)),'11.销售及回款表'!T414)</f>
        <v>0</v>
      </c>
      <c r="U188" s="275">
        <f t="array" ref="U188">IF(SUM($E320:T320)&lt;1,SUM(IF('11.销售及回款表'!$E$497:$AV$540=U319,'11.销售及回款表'!$E414:$AV414,0)),'11.销售及回款表'!U414)</f>
        <v>0</v>
      </c>
      <c r="V188" s="276">
        <f t="array" ref="V188">IF(SUM($E320:U320)&lt;1,SUM(IF('11.销售及回款表'!$E$497:$AV$540=V319,'11.销售及回款表'!$E414:$AV414,0)),'11.销售及回款表'!V414)</f>
        <v>0</v>
      </c>
      <c r="W188" s="276">
        <f t="array" ref="W188">IF(SUM($E320:V320)&lt;1,SUM(IF('11.销售及回款表'!$E$497:$AV$540=W319,'11.销售及回款表'!$E414:$AV414,0)),'11.销售及回款表'!W414)</f>
        <v>0</v>
      </c>
      <c r="X188" s="277">
        <f t="array" ref="X188">IF(SUM($E320:W320)&lt;1,SUM(IF('11.销售及回款表'!$E$497:$AV$540=X319,'11.销售及回款表'!$E414:$AV414,0)),'11.销售及回款表'!X414)</f>
        <v>0</v>
      </c>
      <c r="Y188" s="275">
        <f t="array" ref="Y188">IF(SUM($E320:X320)&lt;1,SUM(IF('11.销售及回款表'!$E$497:$AV$540=Y319,'11.销售及回款表'!$E414:$AV414,0)),'11.销售及回款表'!Y414)</f>
        <v>0</v>
      </c>
      <c r="Z188" s="276">
        <f t="array" ref="Z188">IF(SUM($E320:Y320)&lt;1,SUM(IF('11.销售及回款表'!$E$497:$AV$540=Z319,'11.销售及回款表'!$E414:$AV414,0)),'11.销售及回款表'!Z414)</f>
        <v>0</v>
      </c>
      <c r="AA188" s="276">
        <f t="array" ref="AA188">IF(SUM($E320:Z320)&lt;1,SUM(IF('11.销售及回款表'!$E$497:$AV$540=AA319,'11.销售及回款表'!$E414:$AV414,0)),'11.销售及回款表'!AA414)</f>
        <v>0</v>
      </c>
      <c r="AB188" s="277">
        <f t="array" ref="AB188">IF(SUM($E320:AA320)&lt;1,SUM(IF('11.销售及回款表'!$E$497:$AV$540=AB319,'11.销售及回款表'!$E414:$AV414,0)),'11.销售及回款表'!AB414)</f>
        <v>0</v>
      </c>
      <c r="AC188" s="275">
        <f t="array" ref="AC188">IF(SUM($E320:AB320)&lt;1,SUM(IF('11.销售及回款表'!$E$497:$AV$540=AC319,'11.销售及回款表'!$E414:$AV414,0)),'11.销售及回款表'!AC414)</f>
        <v>0</v>
      </c>
      <c r="AD188" s="276">
        <f t="array" ref="AD188">IF(SUM($E320:AC320)&lt;1,SUM(IF('11.销售及回款表'!$E$497:$AV$540=AD319,'11.销售及回款表'!$E414:$AV414,0)),'11.销售及回款表'!AD414)</f>
        <v>0</v>
      </c>
      <c r="AE188" s="276">
        <f t="array" ref="AE188">IF(SUM($E320:AD320)&lt;1,SUM(IF('11.销售及回款表'!$E$497:$AV$540=AE319,'11.销售及回款表'!$E414:$AV414,0)),'11.销售及回款表'!AE414)</f>
        <v>0</v>
      </c>
      <c r="AF188" s="277">
        <f t="array" ref="AF188">IF(SUM($E320:AE320)&lt;1,SUM(IF('11.销售及回款表'!$E$497:$AV$540=AF319,'11.销售及回款表'!$E414:$AV414,0)),'11.销售及回款表'!AF414)</f>
        <v>0</v>
      </c>
      <c r="AG188" s="275">
        <f t="array" ref="AG188">IF(SUM($E320:AF320)&lt;1,SUM(IF('11.销售及回款表'!$E$497:$AV$540=AG319,'11.销售及回款表'!$E414:$AV414,0)),'11.销售及回款表'!AG414)</f>
        <v>0</v>
      </c>
      <c r="AH188" s="276">
        <f t="array" ref="AH188">IF(SUM($E320:AG320)&lt;1,SUM(IF('11.销售及回款表'!$E$497:$AV$540=AH319,'11.销售及回款表'!$E414:$AV414,0)),'11.销售及回款表'!AH414)</f>
        <v>0</v>
      </c>
      <c r="AI188" s="276">
        <f t="array" ref="AI188">IF(SUM($E320:AH320)&lt;1,SUM(IF('11.销售及回款表'!$E$497:$AV$540=AI319,'11.销售及回款表'!$E414:$AV414,0)),'11.销售及回款表'!AI414)</f>
        <v>0</v>
      </c>
      <c r="AJ188" s="277">
        <f t="array" ref="AJ188">IF(SUM($E320:AI320)&lt;1,SUM(IF('11.销售及回款表'!$E$497:$AV$540=AJ319,'11.销售及回款表'!$E414:$AV414,0)),'11.销售及回款表'!AJ414)</f>
        <v>0</v>
      </c>
      <c r="AK188" s="275">
        <f t="array" ref="AK188">IF(SUM($E320:AJ320)&lt;1,SUM(IF('11.销售及回款表'!$E$497:$AV$540=AK319,'11.销售及回款表'!$E414:$AV414,0)),'11.销售及回款表'!AK414)</f>
        <v>0</v>
      </c>
      <c r="AL188" s="276">
        <f t="array" ref="AL188">IF(SUM($E320:AK320)&lt;1,SUM(IF('11.销售及回款表'!$E$497:$AV$540=AL319,'11.销售及回款表'!$E414:$AV414,0)),'11.销售及回款表'!AL414)</f>
        <v>0</v>
      </c>
      <c r="AM188" s="276">
        <f t="array" ref="AM188">IF(SUM($E320:AL320)&lt;1,SUM(IF('11.销售及回款表'!$E$497:$AV$540=AM319,'11.销售及回款表'!$E414:$AV414,0)),'11.销售及回款表'!AM414)</f>
        <v>0</v>
      </c>
      <c r="AN188" s="277">
        <f t="array" ref="AN188">IF(SUM($E320:AM320)&lt;1,SUM(IF('11.销售及回款表'!$E$497:$AV$540=AN319,'11.销售及回款表'!$E414:$AV414,0)),'11.销售及回款表'!AN414)</f>
        <v>0</v>
      </c>
      <c r="AO188" s="275">
        <f t="array" ref="AO188">IF(SUM($E320:AN320)&lt;1,SUM(IF('11.销售及回款表'!$E$497:$AV$540=AO319,'11.销售及回款表'!$E414:$AV414,0)),'11.销售及回款表'!AO414)</f>
        <v>0</v>
      </c>
      <c r="AP188" s="276">
        <f t="array" ref="AP188">IF(SUM($E320:AO320)&lt;1,SUM(IF('11.销售及回款表'!$E$497:$AV$540=AP319,'11.销售及回款表'!$E414:$AV414,0)),'11.销售及回款表'!AP414)</f>
        <v>0</v>
      </c>
      <c r="AQ188" s="276">
        <f t="array" ref="AQ188">IF(SUM($E320:AP320)&lt;1,SUM(IF('11.销售及回款表'!$E$497:$AV$540=AQ319,'11.销售及回款表'!$E414:$AV414,0)),'11.销售及回款表'!AQ414)</f>
        <v>0</v>
      </c>
      <c r="AR188" s="277">
        <f t="array" ref="AR188">IF(SUM($E320:AQ320)&lt;1,SUM(IF('11.销售及回款表'!$E$497:$AV$540=AR319,'11.销售及回款表'!$E414:$AV414,0)),'11.销售及回款表'!AR414)</f>
        <v>0</v>
      </c>
      <c r="AS188" s="275">
        <f t="array" ref="AS188">IF(SUM($E320:AR320)&lt;1,SUM(IF('11.销售及回款表'!$E$497:$AV$540=AS319,'11.销售及回款表'!$E414:$AV414,0)),'11.销售及回款表'!AS414)</f>
        <v>0</v>
      </c>
      <c r="AT188" s="276">
        <f t="array" ref="AT188">IF(SUM($E320:AS320)&lt;1,SUM(IF('11.销售及回款表'!$E$497:$AV$540=AT319,'11.销售及回款表'!$E414:$AV414,0)),'11.销售及回款表'!AT414)</f>
        <v>0</v>
      </c>
      <c r="AU188" s="276">
        <f t="array" ref="AU188">IF(SUM($E320:AT320)&lt;1,SUM(IF('11.销售及回款表'!$E$497:$AV$540=AU319,'11.销售及回款表'!$E414:$AV414,0)),'11.销售及回款表'!AU414)</f>
        <v>0</v>
      </c>
      <c r="AV188" s="277">
        <f t="array" ref="AV188">IF(SUM($E320:AU320)&lt;1,SUM(IF('11.销售及回款表'!$E$497:$AV$540=AV319,'11.销售及回款表'!$E414:$AV414,0)),'11.销售及回款表'!AV414)</f>
        <v>0</v>
      </c>
    </row>
    <row r="189" spans="2:48" s="257" customFormat="1" ht="15.75" customHeight="1" outlineLevel="1">
      <c r="B189" s="1980"/>
      <c r="C189" s="303" t="str">
        <f>'8.项目规划指标表'!$B$18</f>
        <v>有产权车库(个)</v>
      </c>
      <c r="D189" s="274">
        <f t="shared" si="36"/>
        <v>0</v>
      </c>
      <c r="E189" s="275">
        <f t="array" ref="E189">IF(SUM(D322:$E322)&lt;1,SUM(IF('11.销售及回款表'!$E$497:$AV$540=E321,'11.销售及回款表'!$E419:$AV419,0)),'11.销售及回款表'!E419)</f>
        <v>0</v>
      </c>
      <c r="F189" s="276">
        <f t="array" ref="F189">IF(SUM(E322:$E322)&lt;1,SUM(IF('11.销售及回款表'!$E$497:$AV$540=F321,'11.销售及回款表'!$E419:$AV419,0)),'11.销售及回款表'!F419)</f>
        <v>0</v>
      </c>
      <c r="G189" s="276">
        <f t="array" ref="G189">IF(SUM($E322:F322)&lt;1,SUM(IF('11.销售及回款表'!$E$497:$AV$540=G321,'11.销售及回款表'!$E419:$AV419,0)),'11.销售及回款表'!G419)</f>
        <v>0</v>
      </c>
      <c r="H189" s="277">
        <f t="array" ref="H189">IF(SUM($E322:G322)&lt;1,SUM(IF('11.销售及回款表'!$E$497:$AV$540=H321,'11.销售及回款表'!$E419:$AV419,0)),'11.销售及回款表'!H419)</f>
        <v>0</v>
      </c>
      <c r="I189" s="275">
        <f t="array" ref="I189">IF(SUM($E322:H322)&lt;1,SUM(IF('11.销售及回款表'!$E$497:$AV$540=I321,'11.销售及回款表'!$E419:$AV419,0)),'11.销售及回款表'!I419)</f>
        <v>0</v>
      </c>
      <c r="J189" s="276">
        <f t="array" ref="J189">IF(SUM($E322:I322)&lt;1,SUM(IF('11.销售及回款表'!$E$497:$AV$540=J321,'11.销售及回款表'!$E419:$AV419,0)),'11.销售及回款表'!J419)</f>
        <v>0</v>
      </c>
      <c r="K189" s="276">
        <f t="array" ref="K189">IF(SUM($E322:J322)&lt;1,SUM(IF('11.销售及回款表'!$E$497:$AV$540=K321,'11.销售及回款表'!$E419:$AV419,0)),'11.销售及回款表'!K419)</f>
        <v>0</v>
      </c>
      <c r="L189" s="277">
        <f t="array" ref="L189">IF(SUM($E322:K322)&lt;1,SUM(IF('11.销售及回款表'!$E$497:$AV$540=L321,'11.销售及回款表'!$E419:$AV419,0)),'11.销售及回款表'!L419)</f>
        <v>0</v>
      </c>
      <c r="M189" s="275">
        <f t="array" ref="M189">IF(SUM($E322:L322)&lt;1,SUM(IF('11.销售及回款表'!$E$497:$AV$540=M321,'11.销售及回款表'!$E419:$AV419,0)),'11.销售及回款表'!M419)</f>
        <v>0</v>
      </c>
      <c r="N189" s="276">
        <f t="array" ref="N189">IF(SUM($E322:M322)&lt;1,SUM(IF('11.销售及回款表'!$E$497:$AV$540=N321,'11.销售及回款表'!$E419:$AV419,0)),'11.销售及回款表'!N419)</f>
        <v>0</v>
      </c>
      <c r="O189" s="276">
        <f t="array" ref="O189">IF(SUM($E322:N322)&lt;1,SUM(IF('11.销售及回款表'!$E$497:$AV$540=O321,'11.销售及回款表'!$E419:$AV419,0)),'11.销售及回款表'!O419)</f>
        <v>0</v>
      </c>
      <c r="P189" s="277">
        <f t="array" ref="P189">IF(SUM($E322:O322)&lt;1,SUM(IF('11.销售及回款表'!$E$497:$AV$540=P321,'11.销售及回款表'!$E419:$AV419,0)),'11.销售及回款表'!P419)</f>
        <v>0</v>
      </c>
      <c r="Q189" s="275">
        <f t="array" ref="Q189">IF(SUM($E322:P322)&lt;1,SUM(IF('11.销售及回款表'!$E$497:$AV$540=Q321,'11.销售及回款表'!$E419:$AV419,0)),'11.销售及回款表'!Q419)</f>
        <v>0</v>
      </c>
      <c r="R189" s="276">
        <f t="array" ref="R189">IF(SUM($E322:Q322)&lt;1,SUM(IF('11.销售及回款表'!$E$497:$AV$540=R321,'11.销售及回款表'!$E419:$AV419,0)),'11.销售及回款表'!R419)</f>
        <v>0</v>
      </c>
      <c r="S189" s="276">
        <f t="array" ref="S189">IF(SUM($E322:R322)&lt;1,SUM(IF('11.销售及回款表'!$E$497:$AV$540=S321,'11.销售及回款表'!$E419:$AV419,0)),'11.销售及回款表'!S419)</f>
        <v>0</v>
      </c>
      <c r="T189" s="277">
        <f t="array" ref="T189">IF(SUM($E322:S322)&lt;1,SUM(IF('11.销售及回款表'!$E$497:$AV$540=T321,'11.销售及回款表'!$E419:$AV419,0)),'11.销售及回款表'!T419)</f>
        <v>0</v>
      </c>
      <c r="U189" s="275">
        <f t="array" ref="U189">IF(SUM($E322:T322)&lt;1,SUM(IF('11.销售及回款表'!$E$497:$AV$540=U321,'11.销售及回款表'!$E419:$AV419,0)),'11.销售及回款表'!U419)</f>
        <v>0</v>
      </c>
      <c r="V189" s="276">
        <f t="array" ref="V189">IF(SUM($E322:U322)&lt;1,SUM(IF('11.销售及回款表'!$E$497:$AV$540=V321,'11.销售及回款表'!$E419:$AV419,0)),'11.销售及回款表'!V419)</f>
        <v>0</v>
      </c>
      <c r="W189" s="276">
        <f t="array" ref="W189">IF(SUM($E322:V322)&lt;1,SUM(IF('11.销售及回款表'!$E$497:$AV$540=W321,'11.销售及回款表'!$E419:$AV419,0)),'11.销售及回款表'!W419)</f>
        <v>0</v>
      </c>
      <c r="X189" s="277">
        <f t="array" ref="X189">IF(SUM($E322:W322)&lt;1,SUM(IF('11.销售及回款表'!$E$497:$AV$540=X321,'11.销售及回款表'!$E419:$AV419,0)),'11.销售及回款表'!X419)</f>
        <v>0</v>
      </c>
      <c r="Y189" s="275">
        <f t="array" ref="Y189">IF(SUM($E322:X322)&lt;1,SUM(IF('11.销售及回款表'!$E$497:$AV$540=Y321,'11.销售及回款表'!$E419:$AV419,0)),'11.销售及回款表'!Y419)</f>
        <v>0</v>
      </c>
      <c r="Z189" s="276">
        <f t="array" ref="Z189">IF(SUM($E322:Y322)&lt;1,SUM(IF('11.销售及回款表'!$E$497:$AV$540=Z321,'11.销售及回款表'!$E419:$AV419,0)),'11.销售及回款表'!Z419)</f>
        <v>0</v>
      </c>
      <c r="AA189" s="276">
        <f t="array" ref="AA189">IF(SUM($E322:Z322)&lt;1,SUM(IF('11.销售及回款表'!$E$497:$AV$540=AA321,'11.销售及回款表'!$E419:$AV419,0)),'11.销售及回款表'!AA419)</f>
        <v>0</v>
      </c>
      <c r="AB189" s="277">
        <f t="array" ref="AB189">IF(SUM($E322:AA322)&lt;1,SUM(IF('11.销售及回款表'!$E$497:$AV$540=AB321,'11.销售及回款表'!$E419:$AV419,0)),'11.销售及回款表'!AB419)</f>
        <v>0</v>
      </c>
      <c r="AC189" s="275">
        <f t="array" ref="AC189">IF(SUM($E322:AB322)&lt;1,SUM(IF('11.销售及回款表'!$E$497:$AV$540=AC321,'11.销售及回款表'!$E419:$AV419,0)),'11.销售及回款表'!AC419)</f>
        <v>0</v>
      </c>
      <c r="AD189" s="276">
        <f t="array" ref="AD189">IF(SUM($E322:AC322)&lt;1,SUM(IF('11.销售及回款表'!$E$497:$AV$540=AD321,'11.销售及回款表'!$E419:$AV419,0)),'11.销售及回款表'!AD419)</f>
        <v>0</v>
      </c>
      <c r="AE189" s="276">
        <f t="array" ref="AE189">IF(SUM($E322:AD322)&lt;1,SUM(IF('11.销售及回款表'!$E$497:$AV$540=AE321,'11.销售及回款表'!$E419:$AV419,0)),'11.销售及回款表'!AE419)</f>
        <v>0</v>
      </c>
      <c r="AF189" s="277">
        <f t="array" ref="AF189">IF(SUM($E322:AE322)&lt;1,SUM(IF('11.销售及回款表'!$E$497:$AV$540=AF321,'11.销售及回款表'!$E419:$AV419,0)),'11.销售及回款表'!AF419)</f>
        <v>0</v>
      </c>
      <c r="AG189" s="275">
        <f t="array" ref="AG189">IF(SUM($E322:AF322)&lt;1,SUM(IF('11.销售及回款表'!$E$497:$AV$540=AG321,'11.销售及回款表'!$E419:$AV419,0)),'11.销售及回款表'!AG419)</f>
        <v>0</v>
      </c>
      <c r="AH189" s="276">
        <f t="array" ref="AH189">IF(SUM($E322:AG322)&lt;1,SUM(IF('11.销售及回款表'!$E$497:$AV$540=AH321,'11.销售及回款表'!$E419:$AV419,0)),'11.销售及回款表'!AH419)</f>
        <v>0</v>
      </c>
      <c r="AI189" s="276">
        <f t="array" ref="AI189">IF(SUM($E322:AH322)&lt;1,SUM(IF('11.销售及回款表'!$E$497:$AV$540=AI321,'11.销售及回款表'!$E419:$AV419,0)),'11.销售及回款表'!AI419)</f>
        <v>0</v>
      </c>
      <c r="AJ189" s="277">
        <f t="array" ref="AJ189">IF(SUM($E322:AI322)&lt;1,SUM(IF('11.销售及回款表'!$E$497:$AV$540=AJ321,'11.销售及回款表'!$E419:$AV419,0)),'11.销售及回款表'!AJ419)</f>
        <v>0</v>
      </c>
      <c r="AK189" s="275">
        <f t="array" ref="AK189">IF(SUM($E322:AJ322)&lt;1,SUM(IF('11.销售及回款表'!$E$497:$AV$540=AK321,'11.销售及回款表'!$E419:$AV419,0)),'11.销售及回款表'!AK419)</f>
        <v>0</v>
      </c>
      <c r="AL189" s="276">
        <f t="array" ref="AL189">IF(SUM($E322:AK322)&lt;1,SUM(IF('11.销售及回款表'!$E$497:$AV$540=AL321,'11.销售及回款表'!$E419:$AV419,0)),'11.销售及回款表'!AL419)</f>
        <v>0</v>
      </c>
      <c r="AM189" s="276">
        <f t="array" ref="AM189">IF(SUM($E322:AL322)&lt;1,SUM(IF('11.销售及回款表'!$E$497:$AV$540=AM321,'11.销售及回款表'!$E419:$AV419,0)),'11.销售及回款表'!AM419)</f>
        <v>0</v>
      </c>
      <c r="AN189" s="277">
        <f t="array" ref="AN189">IF(SUM($E322:AM322)&lt;1,SUM(IF('11.销售及回款表'!$E$497:$AV$540=AN321,'11.销售及回款表'!$E419:$AV419,0)),'11.销售及回款表'!AN419)</f>
        <v>0</v>
      </c>
      <c r="AO189" s="275">
        <f t="array" ref="AO189">IF(SUM($E322:AN322)&lt;1,SUM(IF('11.销售及回款表'!$E$497:$AV$540=AO321,'11.销售及回款表'!$E419:$AV419,0)),'11.销售及回款表'!AO419)</f>
        <v>0</v>
      </c>
      <c r="AP189" s="276">
        <f t="array" ref="AP189">IF(SUM($E322:AO322)&lt;1,SUM(IF('11.销售及回款表'!$E$497:$AV$540=AP321,'11.销售及回款表'!$E419:$AV419,0)),'11.销售及回款表'!AP419)</f>
        <v>0</v>
      </c>
      <c r="AQ189" s="276">
        <f t="array" ref="AQ189">IF(SUM($E322:AP322)&lt;1,SUM(IF('11.销售及回款表'!$E$497:$AV$540=AQ321,'11.销售及回款表'!$E419:$AV419,0)),'11.销售及回款表'!AQ419)</f>
        <v>0</v>
      </c>
      <c r="AR189" s="277">
        <f t="array" ref="AR189">IF(SUM($E322:AQ322)&lt;1,SUM(IF('11.销售及回款表'!$E$497:$AV$540=AR321,'11.销售及回款表'!$E419:$AV419,0)),'11.销售及回款表'!AR419)</f>
        <v>0</v>
      </c>
      <c r="AS189" s="275">
        <f t="array" ref="AS189">IF(SUM($E322:AR322)&lt;1,SUM(IF('11.销售及回款表'!$E$497:$AV$540=AS321,'11.销售及回款表'!$E419:$AV419,0)),'11.销售及回款表'!AS419)</f>
        <v>0</v>
      </c>
      <c r="AT189" s="276">
        <f t="array" ref="AT189">IF(SUM($E322:AS322)&lt;1,SUM(IF('11.销售及回款表'!$E$497:$AV$540=AT321,'11.销售及回款表'!$E419:$AV419,0)),'11.销售及回款表'!AT419)</f>
        <v>0</v>
      </c>
      <c r="AU189" s="276">
        <f t="array" ref="AU189">IF(SUM($E322:AT322)&lt;1,SUM(IF('11.销售及回款表'!$E$497:$AV$540=AU321,'11.销售及回款表'!$E419:$AV419,0)),'11.销售及回款表'!AU419)</f>
        <v>0</v>
      </c>
      <c r="AV189" s="277">
        <f t="array" ref="AV189">IF(SUM($E322:AU322)&lt;1,SUM(IF('11.销售及回款表'!$E$497:$AV$540=AV321,'11.销售及回款表'!$E419:$AV419,0)),'11.销售及回款表'!AV419)</f>
        <v>0</v>
      </c>
    </row>
    <row r="190" spans="2:48" s="257" customFormat="1" ht="15.75" customHeight="1" outlineLevel="1">
      <c r="B190" s="1980"/>
      <c r="C190" s="303" t="str">
        <f>'8.项目规划指标表'!$B$19</f>
        <v>无产权车库(个)</v>
      </c>
      <c r="D190" s="274">
        <f t="shared" si="36"/>
        <v>0</v>
      </c>
      <c r="E190" s="275">
        <f t="array" ref="E190">IF(SUM(D324:$E324)&lt;1,SUM(IF('11.销售及回款表'!$E$497:$AV$540=E323,'11.销售及回款表'!$E424:$AV424,0)),'11.销售及回款表'!E424)</f>
        <v>0</v>
      </c>
      <c r="F190" s="276">
        <f t="array" ref="F190">IF(SUM(E324:$E324)&lt;1,SUM(IF('11.销售及回款表'!$E$497:$AV$540=F323,'11.销售及回款表'!$E424:$AV424,0)),'11.销售及回款表'!F424)</f>
        <v>0</v>
      </c>
      <c r="G190" s="276">
        <f t="array" ref="G190">IF(SUM($E324:F324)&lt;1,SUM(IF('11.销售及回款表'!$E$497:$AV$540=G323,'11.销售及回款表'!$E424:$AV424,0)),'11.销售及回款表'!G424)</f>
        <v>0</v>
      </c>
      <c r="H190" s="277">
        <f t="array" ref="H190">IF(SUM($E324:G324)&lt;1,SUM(IF('11.销售及回款表'!$E$497:$AV$540=H323,'11.销售及回款表'!$E424:$AV424,0)),'11.销售及回款表'!H424)</f>
        <v>0</v>
      </c>
      <c r="I190" s="275">
        <f t="array" ref="I190">IF(SUM($E324:H324)&lt;1,SUM(IF('11.销售及回款表'!$E$497:$AV$540=I323,'11.销售及回款表'!$E424:$AV424,0)),'11.销售及回款表'!I424)</f>
        <v>0</v>
      </c>
      <c r="J190" s="276">
        <f t="array" ref="J190">IF(SUM($E324:I324)&lt;1,SUM(IF('11.销售及回款表'!$E$497:$AV$540=J323,'11.销售及回款表'!$E424:$AV424,0)),'11.销售及回款表'!J424)</f>
        <v>0</v>
      </c>
      <c r="K190" s="276">
        <f t="array" ref="K190">IF(SUM($E324:J324)&lt;1,SUM(IF('11.销售及回款表'!$E$497:$AV$540=K323,'11.销售及回款表'!$E424:$AV424,0)),'11.销售及回款表'!K424)</f>
        <v>0</v>
      </c>
      <c r="L190" s="277">
        <f t="array" ref="L190">IF(SUM($E324:K324)&lt;1,SUM(IF('11.销售及回款表'!$E$497:$AV$540=L323,'11.销售及回款表'!$E424:$AV424,0)),'11.销售及回款表'!L424)</f>
        <v>0</v>
      </c>
      <c r="M190" s="275">
        <f t="array" ref="M190">IF(SUM($E324:L324)&lt;1,SUM(IF('11.销售及回款表'!$E$497:$AV$540=M323,'11.销售及回款表'!$E424:$AV424,0)),'11.销售及回款表'!M424)</f>
        <v>0</v>
      </c>
      <c r="N190" s="276">
        <f t="array" ref="N190">IF(SUM($E324:M324)&lt;1,SUM(IF('11.销售及回款表'!$E$497:$AV$540=N323,'11.销售及回款表'!$E424:$AV424,0)),'11.销售及回款表'!N424)</f>
        <v>0</v>
      </c>
      <c r="O190" s="276">
        <f t="array" ref="O190">IF(SUM($E324:N324)&lt;1,SUM(IF('11.销售及回款表'!$E$497:$AV$540=O323,'11.销售及回款表'!$E424:$AV424,0)),'11.销售及回款表'!O424)</f>
        <v>0</v>
      </c>
      <c r="P190" s="277">
        <f t="array" ref="P190">IF(SUM($E324:O324)&lt;1,SUM(IF('11.销售及回款表'!$E$497:$AV$540=P323,'11.销售及回款表'!$E424:$AV424,0)),'11.销售及回款表'!P424)</f>
        <v>0</v>
      </c>
      <c r="Q190" s="275">
        <f t="array" ref="Q190">IF(SUM($E324:P324)&lt;1,SUM(IF('11.销售及回款表'!$E$497:$AV$540=Q323,'11.销售及回款表'!$E424:$AV424,0)),'11.销售及回款表'!Q424)</f>
        <v>0</v>
      </c>
      <c r="R190" s="276">
        <f t="array" ref="R190">IF(SUM($E324:Q324)&lt;1,SUM(IF('11.销售及回款表'!$E$497:$AV$540=R323,'11.销售及回款表'!$E424:$AV424,0)),'11.销售及回款表'!R424)</f>
        <v>0</v>
      </c>
      <c r="S190" s="276">
        <f t="array" ref="S190">IF(SUM($E324:R324)&lt;1,SUM(IF('11.销售及回款表'!$E$497:$AV$540=S323,'11.销售及回款表'!$E424:$AV424,0)),'11.销售及回款表'!S424)</f>
        <v>0</v>
      </c>
      <c r="T190" s="277">
        <f t="array" ref="T190">IF(SUM($E324:S324)&lt;1,SUM(IF('11.销售及回款表'!$E$497:$AV$540=T323,'11.销售及回款表'!$E424:$AV424,0)),'11.销售及回款表'!T424)</f>
        <v>0</v>
      </c>
      <c r="U190" s="275">
        <f t="array" ref="U190">IF(SUM($E324:T324)&lt;1,SUM(IF('11.销售及回款表'!$E$497:$AV$540=U323,'11.销售及回款表'!$E424:$AV424,0)),'11.销售及回款表'!U424)</f>
        <v>0</v>
      </c>
      <c r="V190" s="276">
        <f t="array" ref="V190">IF(SUM($E324:U324)&lt;1,SUM(IF('11.销售及回款表'!$E$497:$AV$540=V323,'11.销售及回款表'!$E424:$AV424,0)),'11.销售及回款表'!V424)</f>
        <v>0</v>
      </c>
      <c r="W190" s="276">
        <f t="array" ref="W190">IF(SUM($E324:V324)&lt;1,SUM(IF('11.销售及回款表'!$E$497:$AV$540=W323,'11.销售及回款表'!$E424:$AV424,0)),'11.销售及回款表'!W424)</f>
        <v>0</v>
      </c>
      <c r="X190" s="277">
        <f t="array" ref="X190">IF(SUM($E324:W324)&lt;1,SUM(IF('11.销售及回款表'!$E$497:$AV$540=X323,'11.销售及回款表'!$E424:$AV424,0)),'11.销售及回款表'!X424)</f>
        <v>0</v>
      </c>
      <c r="Y190" s="275">
        <f t="array" ref="Y190">IF(SUM($E324:X324)&lt;1,SUM(IF('11.销售及回款表'!$E$497:$AV$540=Y323,'11.销售及回款表'!$E424:$AV424,0)),'11.销售及回款表'!Y424)</f>
        <v>0</v>
      </c>
      <c r="Z190" s="276">
        <f t="array" ref="Z190">IF(SUM($E324:Y324)&lt;1,SUM(IF('11.销售及回款表'!$E$497:$AV$540=Z323,'11.销售及回款表'!$E424:$AV424,0)),'11.销售及回款表'!Z424)</f>
        <v>0</v>
      </c>
      <c r="AA190" s="276">
        <f t="array" ref="AA190">IF(SUM($E324:Z324)&lt;1,SUM(IF('11.销售及回款表'!$E$497:$AV$540=AA323,'11.销售及回款表'!$E424:$AV424,0)),'11.销售及回款表'!AA424)</f>
        <v>0</v>
      </c>
      <c r="AB190" s="277">
        <f t="array" ref="AB190">IF(SUM($E324:AA324)&lt;1,SUM(IF('11.销售及回款表'!$E$497:$AV$540=AB323,'11.销售及回款表'!$E424:$AV424,0)),'11.销售及回款表'!AB424)</f>
        <v>0</v>
      </c>
      <c r="AC190" s="275">
        <f t="array" ref="AC190">IF(SUM($E324:AB324)&lt;1,SUM(IF('11.销售及回款表'!$E$497:$AV$540=AC323,'11.销售及回款表'!$E424:$AV424,0)),'11.销售及回款表'!AC424)</f>
        <v>0</v>
      </c>
      <c r="AD190" s="276">
        <f t="array" ref="AD190">IF(SUM($E324:AC324)&lt;1,SUM(IF('11.销售及回款表'!$E$497:$AV$540=AD323,'11.销售及回款表'!$E424:$AV424,0)),'11.销售及回款表'!AD424)</f>
        <v>0</v>
      </c>
      <c r="AE190" s="276">
        <f t="array" ref="AE190">IF(SUM($E324:AD324)&lt;1,SUM(IF('11.销售及回款表'!$E$497:$AV$540=AE323,'11.销售及回款表'!$E424:$AV424,0)),'11.销售及回款表'!AE424)</f>
        <v>0</v>
      </c>
      <c r="AF190" s="277">
        <f t="array" ref="AF190">IF(SUM($E324:AE324)&lt;1,SUM(IF('11.销售及回款表'!$E$497:$AV$540=AF323,'11.销售及回款表'!$E424:$AV424,0)),'11.销售及回款表'!AF424)</f>
        <v>0</v>
      </c>
      <c r="AG190" s="275">
        <f t="array" ref="AG190">IF(SUM($E324:AF324)&lt;1,SUM(IF('11.销售及回款表'!$E$497:$AV$540=AG323,'11.销售及回款表'!$E424:$AV424,0)),'11.销售及回款表'!AG424)</f>
        <v>0</v>
      </c>
      <c r="AH190" s="276">
        <f t="array" ref="AH190">IF(SUM($E324:AG324)&lt;1,SUM(IF('11.销售及回款表'!$E$497:$AV$540=AH323,'11.销售及回款表'!$E424:$AV424,0)),'11.销售及回款表'!AH424)</f>
        <v>0</v>
      </c>
      <c r="AI190" s="276">
        <f t="array" ref="AI190">IF(SUM($E324:AH324)&lt;1,SUM(IF('11.销售及回款表'!$E$497:$AV$540=AI323,'11.销售及回款表'!$E424:$AV424,0)),'11.销售及回款表'!AI424)</f>
        <v>0</v>
      </c>
      <c r="AJ190" s="277">
        <f t="array" ref="AJ190">IF(SUM($E324:AI324)&lt;1,SUM(IF('11.销售及回款表'!$E$497:$AV$540=AJ323,'11.销售及回款表'!$E424:$AV424,0)),'11.销售及回款表'!AJ424)</f>
        <v>0</v>
      </c>
      <c r="AK190" s="275">
        <f t="array" ref="AK190">IF(SUM($E324:AJ324)&lt;1,SUM(IF('11.销售及回款表'!$E$497:$AV$540=AK323,'11.销售及回款表'!$E424:$AV424,0)),'11.销售及回款表'!AK424)</f>
        <v>0</v>
      </c>
      <c r="AL190" s="276">
        <f t="array" ref="AL190">IF(SUM($E324:AK324)&lt;1,SUM(IF('11.销售及回款表'!$E$497:$AV$540=AL323,'11.销售及回款表'!$E424:$AV424,0)),'11.销售及回款表'!AL424)</f>
        <v>0</v>
      </c>
      <c r="AM190" s="276">
        <f t="array" ref="AM190">IF(SUM($E324:AL324)&lt;1,SUM(IF('11.销售及回款表'!$E$497:$AV$540=AM323,'11.销售及回款表'!$E424:$AV424,0)),'11.销售及回款表'!AM424)</f>
        <v>0</v>
      </c>
      <c r="AN190" s="277">
        <f t="array" ref="AN190">IF(SUM($E324:AM324)&lt;1,SUM(IF('11.销售及回款表'!$E$497:$AV$540=AN323,'11.销售及回款表'!$E424:$AV424,0)),'11.销售及回款表'!AN424)</f>
        <v>0</v>
      </c>
      <c r="AO190" s="275">
        <f t="array" ref="AO190">IF(SUM($E324:AN324)&lt;1,SUM(IF('11.销售及回款表'!$E$497:$AV$540=AO323,'11.销售及回款表'!$E424:$AV424,0)),'11.销售及回款表'!AO424)</f>
        <v>0</v>
      </c>
      <c r="AP190" s="276">
        <f t="array" ref="AP190">IF(SUM($E324:AO324)&lt;1,SUM(IF('11.销售及回款表'!$E$497:$AV$540=AP323,'11.销售及回款表'!$E424:$AV424,0)),'11.销售及回款表'!AP424)</f>
        <v>0</v>
      </c>
      <c r="AQ190" s="276">
        <f t="array" ref="AQ190">IF(SUM($E324:AP324)&lt;1,SUM(IF('11.销售及回款表'!$E$497:$AV$540=AQ323,'11.销售及回款表'!$E424:$AV424,0)),'11.销售及回款表'!AQ424)</f>
        <v>0</v>
      </c>
      <c r="AR190" s="277">
        <f t="array" ref="AR190">IF(SUM($E324:AQ324)&lt;1,SUM(IF('11.销售及回款表'!$E$497:$AV$540=AR323,'11.销售及回款表'!$E424:$AV424,0)),'11.销售及回款表'!AR424)</f>
        <v>0</v>
      </c>
      <c r="AS190" s="275">
        <f t="array" ref="AS190">IF(SUM($E324:AR324)&lt;1,SUM(IF('11.销售及回款表'!$E$497:$AV$540=AS323,'11.销售及回款表'!$E424:$AV424,0)),'11.销售及回款表'!AS424)</f>
        <v>0</v>
      </c>
      <c r="AT190" s="276">
        <f t="array" ref="AT190">IF(SUM($E324:AS324)&lt;1,SUM(IF('11.销售及回款表'!$E$497:$AV$540=AT323,'11.销售及回款表'!$E424:$AV424,0)),'11.销售及回款表'!AT424)</f>
        <v>0</v>
      </c>
      <c r="AU190" s="276">
        <f t="array" ref="AU190">IF(SUM($E324:AT324)&lt;1,SUM(IF('11.销售及回款表'!$E$497:$AV$540=AU323,'11.销售及回款表'!$E424:$AV424,0)),'11.销售及回款表'!AU424)</f>
        <v>0</v>
      </c>
      <c r="AV190" s="277">
        <f t="array" ref="AV190">IF(SUM($E324:AU324)&lt;1,SUM(IF('11.销售及回款表'!$E$497:$AV$540=AV323,'11.销售及回款表'!$E424:$AV424,0)),'11.销售及回款表'!AV424)</f>
        <v>0</v>
      </c>
    </row>
    <row r="191" spans="2:48" s="256" customFormat="1" ht="15.75" customHeight="1">
      <c r="B191" s="1980"/>
      <c r="C191" s="299" t="s">
        <v>24</v>
      </c>
      <c r="D191" s="300">
        <f t="shared" ref="D191:AV191" si="37">SUM(D192:D203)</f>
        <v>0</v>
      </c>
      <c r="E191" s="301">
        <f t="shared" si="37"/>
        <v>0</v>
      </c>
      <c r="F191" s="300">
        <f t="shared" si="37"/>
        <v>0</v>
      </c>
      <c r="G191" s="300">
        <f t="shared" si="37"/>
        <v>0</v>
      </c>
      <c r="H191" s="302">
        <f t="shared" si="37"/>
        <v>0</v>
      </c>
      <c r="I191" s="301">
        <f t="shared" si="37"/>
        <v>0</v>
      </c>
      <c r="J191" s="300">
        <f t="shared" si="37"/>
        <v>0</v>
      </c>
      <c r="K191" s="300">
        <f t="shared" si="37"/>
        <v>0</v>
      </c>
      <c r="L191" s="302">
        <f t="shared" si="37"/>
        <v>0</v>
      </c>
      <c r="M191" s="301">
        <f t="shared" si="37"/>
        <v>0</v>
      </c>
      <c r="N191" s="300">
        <f t="shared" si="37"/>
        <v>0</v>
      </c>
      <c r="O191" s="300">
        <f t="shared" si="37"/>
        <v>0</v>
      </c>
      <c r="P191" s="302">
        <f t="shared" si="37"/>
        <v>0</v>
      </c>
      <c r="Q191" s="301">
        <f t="shared" si="37"/>
        <v>0</v>
      </c>
      <c r="R191" s="300">
        <f t="shared" si="37"/>
        <v>0</v>
      </c>
      <c r="S191" s="300">
        <f t="shared" si="37"/>
        <v>0</v>
      </c>
      <c r="T191" s="302">
        <f t="shared" si="37"/>
        <v>0</v>
      </c>
      <c r="U191" s="301">
        <f t="shared" si="37"/>
        <v>0</v>
      </c>
      <c r="V191" s="300">
        <f t="shared" si="37"/>
        <v>0</v>
      </c>
      <c r="W191" s="300">
        <f t="shared" si="37"/>
        <v>0</v>
      </c>
      <c r="X191" s="302">
        <f t="shared" si="37"/>
        <v>0</v>
      </c>
      <c r="Y191" s="301">
        <f t="shared" si="37"/>
        <v>0</v>
      </c>
      <c r="Z191" s="300">
        <f t="shared" si="37"/>
        <v>0</v>
      </c>
      <c r="AA191" s="300">
        <f t="shared" si="37"/>
        <v>0</v>
      </c>
      <c r="AB191" s="302">
        <f t="shared" si="37"/>
        <v>0</v>
      </c>
      <c r="AC191" s="301">
        <f t="shared" si="37"/>
        <v>0</v>
      </c>
      <c r="AD191" s="300">
        <f t="shared" si="37"/>
        <v>0</v>
      </c>
      <c r="AE191" s="300">
        <f t="shared" si="37"/>
        <v>0</v>
      </c>
      <c r="AF191" s="302">
        <f t="shared" si="37"/>
        <v>0</v>
      </c>
      <c r="AG191" s="301">
        <f t="shared" si="37"/>
        <v>0</v>
      </c>
      <c r="AH191" s="300">
        <f t="shared" si="37"/>
        <v>0</v>
      </c>
      <c r="AI191" s="300">
        <f t="shared" si="37"/>
        <v>0</v>
      </c>
      <c r="AJ191" s="302">
        <f t="shared" si="37"/>
        <v>0</v>
      </c>
      <c r="AK191" s="301">
        <f t="shared" si="37"/>
        <v>0</v>
      </c>
      <c r="AL191" s="300">
        <f t="shared" si="37"/>
        <v>0</v>
      </c>
      <c r="AM191" s="300">
        <f t="shared" si="37"/>
        <v>0</v>
      </c>
      <c r="AN191" s="302">
        <f t="shared" si="37"/>
        <v>0</v>
      </c>
      <c r="AO191" s="301">
        <f t="shared" si="37"/>
        <v>0</v>
      </c>
      <c r="AP191" s="300">
        <f t="shared" si="37"/>
        <v>0</v>
      </c>
      <c r="AQ191" s="300">
        <f t="shared" si="37"/>
        <v>0</v>
      </c>
      <c r="AR191" s="302">
        <f t="shared" si="37"/>
        <v>0</v>
      </c>
      <c r="AS191" s="301">
        <f t="shared" si="37"/>
        <v>0</v>
      </c>
      <c r="AT191" s="300">
        <f t="shared" si="37"/>
        <v>0</v>
      </c>
      <c r="AU191" s="300">
        <f t="shared" si="37"/>
        <v>0</v>
      </c>
      <c r="AV191" s="302">
        <f t="shared" si="37"/>
        <v>0</v>
      </c>
    </row>
    <row r="192" spans="2:48" s="257" customFormat="1" ht="15.75" customHeight="1" outlineLevel="2">
      <c r="B192" s="1980"/>
      <c r="C192" s="303" t="str">
        <f>'8.项目规划指标表'!$B$5</f>
        <v>高层</v>
      </c>
      <c r="D192" s="274">
        <f>SUM(E192:AV192)</f>
        <v>0</v>
      </c>
      <c r="E192" s="275">
        <f t="array" ref="E192">IF(SUM(D326:$E326)&lt;1,SUM(IF('11.销售及回款表'!$E$497:$AV$540=E325,'11.销售及回款表'!$E439:$AV439,0)),'11.销售及回款表'!E439)</f>
        <v>0</v>
      </c>
      <c r="F192" s="276">
        <f t="array" ref="F192">IF(SUM(E326:$E326)&lt;1,SUM(IF('11.销售及回款表'!$E$497:$AV$540=F325,'11.销售及回款表'!$E439:$AV439,0)),'11.销售及回款表'!F439)</f>
        <v>0</v>
      </c>
      <c r="G192" s="276">
        <f t="array" ref="G192">IF(SUM($E326:F326)&lt;1,SUM(IF('11.销售及回款表'!$E$497:$AV$540=G325,'11.销售及回款表'!$E439:$AV439,0)),'11.销售及回款表'!G439)</f>
        <v>0</v>
      </c>
      <c r="H192" s="277">
        <f t="array" ref="H192">IF(SUM($E326:G326)&lt;1,SUM(IF('11.销售及回款表'!$E$497:$AV$540=H325,'11.销售及回款表'!$E439:$AV439,0)),'11.销售及回款表'!H439)</f>
        <v>0</v>
      </c>
      <c r="I192" s="275">
        <f t="array" ref="I192">IF(SUM($E326:H326)&lt;1,SUM(IF('11.销售及回款表'!$E$497:$AV$540=I325,'11.销售及回款表'!$E439:$AV439,0)),'11.销售及回款表'!I439)</f>
        <v>0</v>
      </c>
      <c r="J192" s="276">
        <f t="array" ref="J192">IF(SUM($E326:I326)&lt;1,SUM(IF('11.销售及回款表'!$E$497:$AV$540=J325,'11.销售及回款表'!$E439:$AV439,0)),'11.销售及回款表'!J439)</f>
        <v>0</v>
      </c>
      <c r="K192" s="276">
        <f t="array" ref="K192">IF(SUM($E326:J326)&lt;1,SUM(IF('11.销售及回款表'!$E$497:$AV$540=K325,'11.销售及回款表'!$E439:$AV439,0)),'11.销售及回款表'!K439)</f>
        <v>0</v>
      </c>
      <c r="L192" s="277">
        <f t="array" ref="L192">IF(SUM($E326:K326)&lt;1,SUM(IF('11.销售及回款表'!$E$497:$AV$540=L325,'11.销售及回款表'!$E439:$AV439,0)),'11.销售及回款表'!L439)</f>
        <v>0</v>
      </c>
      <c r="M192" s="275">
        <f t="array" ref="M192">IF(SUM($E326:L326)&lt;1,SUM(IF('11.销售及回款表'!$E$497:$AV$540=M325,'11.销售及回款表'!$E439:$AV439,0)),'11.销售及回款表'!M439)</f>
        <v>0</v>
      </c>
      <c r="N192" s="276">
        <f t="array" ref="N192">IF(SUM($E326:M326)&lt;1,SUM(IF('11.销售及回款表'!$E$497:$AV$540=N325,'11.销售及回款表'!$E439:$AV439,0)),'11.销售及回款表'!N439)</f>
        <v>0</v>
      </c>
      <c r="O192" s="276">
        <f t="array" ref="O192">IF(SUM($E326:N326)&lt;1,SUM(IF('11.销售及回款表'!$E$497:$AV$540=O325,'11.销售及回款表'!$E439:$AV439,0)),'11.销售及回款表'!O439)</f>
        <v>0</v>
      </c>
      <c r="P192" s="277">
        <f t="array" ref="P192">IF(SUM($E326:O326)&lt;1,SUM(IF('11.销售及回款表'!$E$497:$AV$540=P325,'11.销售及回款表'!$E439:$AV439,0)),'11.销售及回款表'!P439)</f>
        <v>0</v>
      </c>
      <c r="Q192" s="275">
        <f t="array" ref="Q192">IF(SUM($E326:P326)&lt;1,SUM(IF('11.销售及回款表'!$E$497:$AV$540=Q325,'11.销售及回款表'!$E439:$AV439,0)),'11.销售及回款表'!Q439)</f>
        <v>0</v>
      </c>
      <c r="R192" s="276">
        <f t="array" ref="R192">IF(SUM($E326:Q326)&lt;1,SUM(IF('11.销售及回款表'!$E$497:$AV$540=R325,'11.销售及回款表'!$E439:$AV439,0)),'11.销售及回款表'!R439)</f>
        <v>0</v>
      </c>
      <c r="S192" s="276">
        <f t="array" ref="S192">IF(SUM($E326:R326)&lt;1,SUM(IF('11.销售及回款表'!$E$497:$AV$540=S325,'11.销售及回款表'!$E439:$AV439,0)),'11.销售及回款表'!S439)</f>
        <v>0</v>
      </c>
      <c r="T192" s="277">
        <f t="array" ref="T192">IF(SUM($E326:S326)&lt;1,SUM(IF('11.销售及回款表'!$E$497:$AV$540=T325,'11.销售及回款表'!$E439:$AV439,0)),'11.销售及回款表'!T439)</f>
        <v>0</v>
      </c>
      <c r="U192" s="275">
        <f t="array" ref="U192">IF(SUM($E326:T326)&lt;1,SUM(IF('11.销售及回款表'!$E$497:$AV$540=U325,'11.销售及回款表'!$E439:$AV439,0)),'11.销售及回款表'!U439)</f>
        <v>0</v>
      </c>
      <c r="V192" s="276">
        <f t="array" ref="V192">IF(SUM($E326:U326)&lt;1,SUM(IF('11.销售及回款表'!$E$497:$AV$540=V325,'11.销售及回款表'!$E439:$AV439,0)),'11.销售及回款表'!V439)</f>
        <v>0</v>
      </c>
      <c r="W192" s="276">
        <f t="array" ref="W192">IF(SUM($E326:V326)&lt;1,SUM(IF('11.销售及回款表'!$E$497:$AV$540=W325,'11.销售及回款表'!$E439:$AV439,0)),'11.销售及回款表'!W439)</f>
        <v>0</v>
      </c>
      <c r="X192" s="277">
        <f t="array" ref="X192">IF(SUM($E326:W326)&lt;1,SUM(IF('11.销售及回款表'!$E$497:$AV$540=X325,'11.销售及回款表'!$E439:$AV439,0)),'11.销售及回款表'!X439)</f>
        <v>0</v>
      </c>
      <c r="Y192" s="275">
        <f t="array" ref="Y192">IF(SUM($E326:X326)&lt;1,SUM(IF('11.销售及回款表'!$E$497:$AV$540=Y325,'11.销售及回款表'!$E439:$AV439,0)),'11.销售及回款表'!Y439)</f>
        <v>0</v>
      </c>
      <c r="Z192" s="276">
        <f t="array" ref="Z192">IF(SUM($E326:Y326)&lt;1,SUM(IF('11.销售及回款表'!$E$497:$AV$540=Z325,'11.销售及回款表'!$E439:$AV439,0)),'11.销售及回款表'!Z439)</f>
        <v>0</v>
      </c>
      <c r="AA192" s="276">
        <f t="array" ref="AA192">IF(SUM($E326:Z326)&lt;1,SUM(IF('11.销售及回款表'!$E$497:$AV$540=AA325,'11.销售及回款表'!$E439:$AV439,0)),'11.销售及回款表'!AA439)</f>
        <v>0</v>
      </c>
      <c r="AB192" s="277">
        <f t="array" ref="AB192">IF(SUM($E326:AA326)&lt;1,SUM(IF('11.销售及回款表'!$E$497:$AV$540=AB325,'11.销售及回款表'!$E439:$AV439,0)),'11.销售及回款表'!AB439)</f>
        <v>0</v>
      </c>
      <c r="AC192" s="275">
        <f t="array" ref="AC192">IF(SUM($E326:AB326)&lt;1,SUM(IF('11.销售及回款表'!$E$497:$AV$540=AC325,'11.销售及回款表'!$E439:$AV439,0)),'11.销售及回款表'!AC439)</f>
        <v>0</v>
      </c>
      <c r="AD192" s="276">
        <f t="array" ref="AD192">IF(SUM($E326:AC326)&lt;1,SUM(IF('11.销售及回款表'!$E$497:$AV$540=AD325,'11.销售及回款表'!$E439:$AV439,0)),'11.销售及回款表'!AD439)</f>
        <v>0</v>
      </c>
      <c r="AE192" s="276">
        <f t="array" ref="AE192">IF(SUM($E326:AD326)&lt;1,SUM(IF('11.销售及回款表'!$E$497:$AV$540=AE325,'11.销售及回款表'!$E439:$AV439,0)),'11.销售及回款表'!AE439)</f>
        <v>0</v>
      </c>
      <c r="AF192" s="277">
        <f t="array" ref="AF192">IF(SUM($E326:AE326)&lt;1,SUM(IF('11.销售及回款表'!$E$497:$AV$540=AF325,'11.销售及回款表'!$E439:$AV439,0)),'11.销售及回款表'!AF439)</f>
        <v>0</v>
      </c>
      <c r="AG192" s="275">
        <f t="array" ref="AG192">IF(SUM($E326:AF326)&lt;1,SUM(IF('11.销售及回款表'!$E$497:$AV$540=AG325,'11.销售及回款表'!$E439:$AV439,0)),'11.销售及回款表'!AG439)</f>
        <v>0</v>
      </c>
      <c r="AH192" s="276">
        <f t="array" ref="AH192">IF(SUM($E326:AG326)&lt;1,SUM(IF('11.销售及回款表'!$E$497:$AV$540=AH325,'11.销售及回款表'!$E439:$AV439,0)),'11.销售及回款表'!AH439)</f>
        <v>0</v>
      </c>
      <c r="AI192" s="276">
        <f t="array" ref="AI192">IF(SUM($E326:AH326)&lt;1,SUM(IF('11.销售及回款表'!$E$497:$AV$540=AI325,'11.销售及回款表'!$E439:$AV439,0)),'11.销售及回款表'!AI439)</f>
        <v>0</v>
      </c>
      <c r="AJ192" s="277">
        <f t="array" ref="AJ192">IF(SUM($E326:AI326)&lt;1,SUM(IF('11.销售及回款表'!$E$497:$AV$540=AJ325,'11.销售及回款表'!$E439:$AV439,0)),'11.销售及回款表'!AJ439)</f>
        <v>0</v>
      </c>
      <c r="AK192" s="275">
        <f t="array" ref="AK192">IF(SUM($E326:AJ326)&lt;1,SUM(IF('11.销售及回款表'!$E$497:$AV$540=AK325,'11.销售及回款表'!$E439:$AV439,0)),'11.销售及回款表'!AK439)</f>
        <v>0</v>
      </c>
      <c r="AL192" s="276">
        <f t="array" ref="AL192">IF(SUM($E326:AK326)&lt;1,SUM(IF('11.销售及回款表'!$E$497:$AV$540=AL325,'11.销售及回款表'!$E439:$AV439,0)),'11.销售及回款表'!AL439)</f>
        <v>0</v>
      </c>
      <c r="AM192" s="276">
        <f t="array" ref="AM192">IF(SUM($E326:AL326)&lt;1,SUM(IF('11.销售及回款表'!$E$497:$AV$540=AM325,'11.销售及回款表'!$E439:$AV439,0)),'11.销售及回款表'!AM439)</f>
        <v>0</v>
      </c>
      <c r="AN192" s="277">
        <f t="array" ref="AN192">IF(SUM($E326:AM326)&lt;1,SUM(IF('11.销售及回款表'!$E$497:$AV$540=AN325,'11.销售及回款表'!$E439:$AV439,0)),'11.销售及回款表'!AN439)</f>
        <v>0</v>
      </c>
      <c r="AO192" s="275">
        <f t="array" ref="AO192">IF(SUM($E326:AN326)&lt;1,SUM(IF('11.销售及回款表'!$E$497:$AV$540=AO325,'11.销售及回款表'!$E439:$AV439,0)),'11.销售及回款表'!AO439)</f>
        <v>0</v>
      </c>
      <c r="AP192" s="276">
        <f t="array" ref="AP192">IF(SUM($E326:AO326)&lt;1,SUM(IF('11.销售及回款表'!$E$497:$AV$540=AP325,'11.销售及回款表'!$E439:$AV439,0)),'11.销售及回款表'!AP439)</f>
        <v>0</v>
      </c>
      <c r="AQ192" s="276">
        <f t="array" ref="AQ192">IF(SUM($E326:AP326)&lt;1,SUM(IF('11.销售及回款表'!$E$497:$AV$540=AQ325,'11.销售及回款表'!$E439:$AV439,0)),'11.销售及回款表'!AQ439)</f>
        <v>0</v>
      </c>
      <c r="AR192" s="277">
        <f t="array" ref="AR192">IF(SUM($E326:AQ326)&lt;1,SUM(IF('11.销售及回款表'!$E$497:$AV$540=AR325,'11.销售及回款表'!$E439:$AV439,0)),'11.销售及回款表'!AR439)</f>
        <v>0</v>
      </c>
      <c r="AS192" s="275">
        <f t="array" ref="AS192">IF(SUM($E326:AR326)&lt;1,SUM(IF('11.销售及回款表'!$E$497:$AV$540=AS325,'11.销售及回款表'!$E439:$AV439,0)),'11.销售及回款表'!AS439)</f>
        <v>0</v>
      </c>
      <c r="AT192" s="276">
        <f t="array" ref="AT192">IF(SUM($E326:AS326)&lt;1,SUM(IF('11.销售及回款表'!$E$497:$AV$540=AT325,'11.销售及回款表'!$E439:$AV439,0)),'11.销售及回款表'!AT439)</f>
        <v>0</v>
      </c>
      <c r="AU192" s="276">
        <f t="array" ref="AU192">IF(SUM($E326:AT326)&lt;1,SUM(IF('11.销售及回款表'!$E$497:$AV$540=AU325,'11.销售及回款表'!$E439:$AV439,0)),'11.销售及回款表'!AU439)</f>
        <v>0</v>
      </c>
      <c r="AV192" s="277">
        <f t="array" ref="AV192">IF(SUM($E326:AU326)&lt;1,SUM(IF('11.销售及回款表'!$E$497:$AV$540=AV325,'11.销售及回款表'!$E439:$AV439,0)),'11.销售及回款表'!AV439)</f>
        <v>0</v>
      </c>
    </row>
    <row r="193" spans="2:48" s="257" customFormat="1" ht="15.75" customHeight="1" outlineLevel="2">
      <c r="B193" s="1980"/>
      <c r="C193" s="303" t="str">
        <f>'8.项目规划指标表'!$B$6</f>
        <v>商铺</v>
      </c>
      <c r="D193" s="274">
        <f t="shared" ref="D193:D203" si="38">SUM(E193:AV193)</f>
        <v>0</v>
      </c>
      <c r="E193" s="275">
        <f t="array" ref="E193">IF(SUM(D328:$E328)&lt;1,SUM(IF('11.销售及回款表'!$E$497:$AV$540=E327,'11.销售及回款表'!$E444:$AV444,0)),'11.销售及回款表'!E444)</f>
        <v>0</v>
      </c>
      <c r="F193" s="276">
        <f t="array" ref="F193">IF(SUM(E328:$E328)&lt;1,SUM(IF('11.销售及回款表'!$E$497:$AV$540=F327,'11.销售及回款表'!$E444:$AV444,0)),'11.销售及回款表'!F444)</f>
        <v>0</v>
      </c>
      <c r="G193" s="276">
        <f t="array" ref="G193">IF(SUM($E328:F328)&lt;1,SUM(IF('11.销售及回款表'!$E$497:$AV$540=G327,'11.销售及回款表'!$E444:$AV444,0)),'11.销售及回款表'!G444)</f>
        <v>0</v>
      </c>
      <c r="H193" s="277">
        <f t="array" ref="H193">IF(SUM($E328:G328)&lt;1,SUM(IF('11.销售及回款表'!$E$497:$AV$540=H327,'11.销售及回款表'!$E444:$AV444,0)),'11.销售及回款表'!H444)</f>
        <v>0</v>
      </c>
      <c r="I193" s="275">
        <f t="array" ref="I193">IF(SUM($E328:H328)&lt;1,SUM(IF('11.销售及回款表'!$E$497:$AV$540=I327,'11.销售及回款表'!$E444:$AV444,0)),'11.销售及回款表'!I444)</f>
        <v>0</v>
      </c>
      <c r="J193" s="276">
        <f t="array" ref="J193">IF(SUM($E328:I328)&lt;1,SUM(IF('11.销售及回款表'!$E$497:$AV$540=J327,'11.销售及回款表'!$E444:$AV444,0)),'11.销售及回款表'!J444)</f>
        <v>0</v>
      </c>
      <c r="K193" s="276">
        <f t="array" ref="K193">IF(SUM($E328:J328)&lt;1,SUM(IF('11.销售及回款表'!$E$497:$AV$540=K327,'11.销售及回款表'!$E444:$AV444,0)),'11.销售及回款表'!K444)</f>
        <v>0</v>
      </c>
      <c r="L193" s="277">
        <f t="array" ref="L193">IF(SUM($E328:K328)&lt;1,SUM(IF('11.销售及回款表'!$E$497:$AV$540=L327,'11.销售及回款表'!$E444:$AV444,0)),'11.销售及回款表'!L444)</f>
        <v>0</v>
      </c>
      <c r="M193" s="275">
        <f t="array" ref="M193">IF(SUM($E328:L328)&lt;1,SUM(IF('11.销售及回款表'!$E$497:$AV$540=M327,'11.销售及回款表'!$E444:$AV444,0)),'11.销售及回款表'!M444)</f>
        <v>0</v>
      </c>
      <c r="N193" s="276">
        <f t="array" ref="N193">IF(SUM($E328:M328)&lt;1,SUM(IF('11.销售及回款表'!$E$497:$AV$540=N327,'11.销售及回款表'!$E444:$AV444,0)),'11.销售及回款表'!N444)</f>
        <v>0</v>
      </c>
      <c r="O193" s="276">
        <f t="array" ref="O193">IF(SUM($E328:N328)&lt;1,SUM(IF('11.销售及回款表'!$E$497:$AV$540=O327,'11.销售及回款表'!$E444:$AV444,0)),'11.销售及回款表'!O444)</f>
        <v>0</v>
      </c>
      <c r="P193" s="277">
        <f t="array" ref="P193">IF(SUM($E328:O328)&lt;1,SUM(IF('11.销售及回款表'!$E$497:$AV$540=P327,'11.销售及回款表'!$E444:$AV444,0)),'11.销售及回款表'!P444)</f>
        <v>0</v>
      </c>
      <c r="Q193" s="275">
        <f t="array" ref="Q193">IF(SUM($E328:P328)&lt;1,SUM(IF('11.销售及回款表'!$E$497:$AV$540=Q327,'11.销售及回款表'!$E444:$AV444,0)),'11.销售及回款表'!Q444)</f>
        <v>0</v>
      </c>
      <c r="R193" s="276">
        <f t="array" ref="R193">IF(SUM($E328:Q328)&lt;1,SUM(IF('11.销售及回款表'!$E$497:$AV$540=R327,'11.销售及回款表'!$E444:$AV444,0)),'11.销售及回款表'!R444)</f>
        <v>0</v>
      </c>
      <c r="S193" s="276">
        <f t="array" ref="S193">IF(SUM($E328:R328)&lt;1,SUM(IF('11.销售及回款表'!$E$497:$AV$540=S327,'11.销售及回款表'!$E444:$AV444,0)),'11.销售及回款表'!S444)</f>
        <v>0</v>
      </c>
      <c r="T193" s="277">
        <f t="array" ref="T193">IF(SUM($E328:S328)&lt;1,SUM(IF('11.销售及回款表'!$E$497:$AV$540=T327,'11.销售及回款表'!$E444:$AV444,0)),'11.销售及回款表'!T444)</f>
        <v>0</v>
      </c>
      <c r="U193" s="275">
        <f t="array" ref="U193">IF(SUM($E328:T328)&lt;1,SUM(IF('11.销售及回款表'!$E$497:$AV$540=U327,'11.销售及回款表'!$E444:$AV444,0)),'11.销售及回款表'!U444)</f>
        <v>0</v>
      </c>
      <c r="V193" s="276">
        <f t="array" ref="V193">IF(SUM($E328:U328)&lt;1,SUM(IF('11.销售及回款表'!$E$497:$AV$540=V327,'11.销售及回款表'!$E444:$AV444,0)),'11.销售及回款表'!V444)</f>
        <v>0</v>
      </c>
      <c r="W193" s="276">
        <f t="array" ref="W193">IF(SUM($E328:V328)&lt;1,SUM(IF('11.销售及回款表'!$E$497:$AV$540=W327,'11.销售及回款表'!$E444:$AV444,0)),'11.销售及回款表'!W444)</f>
        <v>0</v>
      </c>
      <c r="X193" s="277">
        <f t="array" ref="X193">IF(SUM($E328:W328)&lt;1,SUM(IF('11.销售及回款表'!$E$497:$AV$540=X327,'11.销售及回款表'!$E444:$AV444,0)),'11.销售及回款表'!X444)</f>
        <v>0</v>
      </c>
      <c r="Y193" s="275">
        <f t="array" ref="Y193">IF(SUM($E328:X328)&lt;1,SUM(IF('11.销售及回款表'!$E$497:$AV$540=Y327,'11.销售及回款表'!$E444:$AV444,0)),'11.销售及回款表'!Y444)</f>
        <v>0</v>
      </c>
      <c r="Z193" s="276">
        <f t="array" ref="Z193">IF(SUM($E328:Y328)&lt;1,SUM(IF('11.销售及回款表'!$E$497:$AV$540=Z327,'11.销售及回款表'!$E444:$AV444,0)),'11.销售及回款表'!Z444)</f>
        <v>0</v>
      </c>
      <c r="AA193" s="276">
        <f t="array" ref="AA193">IF(SUM($E328:Z328)&lt;1,SUM(IF('11.销售及回款表'!$E$497:$AV$540=AA327,'11.销售及回款表'!$E444:$AV444,0)),'11.销售及回款表'!AA444)</f>
        <v>0</v>
      </c>
      <c r="AB193" s="277">
        <f t="array" ref="AB193">IF(SUM($E328:AA328)&lt;1,SUM(IF('11.销售及回款表'!$E$497:$AV$540=AB327,'11.销售及回款表'!$E444:$AV444,0)),'11.销售及回款表'!AB444)</f>
        <v>0</v>
      </c>
      <c r="AC193" s="275">
        <f t="array" ref="AC193">IF(SUM($E328:AB328)&lt;1,SUM(IF('11.销售及回款表'!$E$497:$AV$540=AC327,'11.销售及回款表'!$E444:$AV444,0)),'11.销售及回款表'!AC444)</f>
        <v>0</v>
      </c>
      <c r="AD193" s="276">
        <f t="array" ref="AD193">IF(SUM($E328:AC328)&lt;1,SUM(IF('11.销售及回款表'!$E$497:$AV$540=AD327,'11.销售及回款表'!$E444:$AV444,0)),'11.销售及回款表'!AD444)</f>
        <v>0</v>
      </c>
      <c r="AE193" s="276">
        <f t="array" ref="AE193">IF(SUM($E328:AD328)&lt;1,SUM(IF('11.销售及回款表'!$E$497:$AV$540=AE327,'11.销售及回款表'!$E444:$AV444,0)),'11.销售及回款表'!AE444)</f>
        <v>0</v>
      </c>
      <c r="AF193" s="277">
        <f t="array" ref="AF193">IF(SUM($E328:AE328)&lt;1,SUM(IF('11.销售及回款表'!$E$497:$AV$540=AF327,'11.销售及回款表'!$E444:$AV444,0)),'11.销售及回款表'!AF444)</f>
        <v>0</v>
      </c>
      <c r="AG193" s="275">
        <f t="array" ref="AG193">IF(SUM($E328:AF328)&lt;1,SUM(IF('11.销售及回款表'!$E$497:$AV$540=AG327,'11.销售及回款表'!$E444:$AV444,0)),'11.销售及回款表'!AG444)</f>
        <v>0</v>
      </c>
      <c r="AH193" s="276">
        <f t="array" ref="AH193">IF(SUM($E328:AG328)&lt;1,SUM(IF('11.销售及回款表'!$E$497:$AV$540=AH327,'11.销售及回款表'!$E444:$AV444,0)),'11.销售及回款表'!AH444)</f>
        <v>0</v>
      </c>
      <c r="AI193" s="276">
        <f t="array" ref="AI193">IF(SUM($E328:AH328)&lt;1,SUM(IF('11.销售及回款表'!$E$497:$AV$540=AI327,'11.销售及回款表'!$E444:$AV444,0)),'11.销售及回款表'!AI444)</f>
        <v>0</v>
      </c>
      <c r="AJ193" s="277">
        <f t="array" ref="AJ193">IF(SUM($E328:AI328)&lt;1,SUM(IF('11.销售及回款表'!$E$497:$AV$540=AJ327,'11.销售及回款表'!$E444:$AV444,0)),'11.销售及回款表'!AJ444)</f>
        <v>0</v>
      </c>
      <c r="AK193" s="275">
        <f t="array" ref="AK193">IF(SUM($E328:AJ328)&lt;1,SUM(IF('11.销售及回款表'!$E$497:$AV$540=AK327,'11.销售及回款表'!$E444:$AV444,0)),'11.销售及回款表'!AK444)</f>
        <v>0</v>
      </c>
      <c r="AL193" s="276">
        <f t="array" ref="AL193">IF(SUM($E328:AK328)&lt;1,SUM(IF('11.销售及回款表'!$E$497:$AV$540=AL327,'11.销售及回款表'!$E444:$AV444,0)),'11.销售及回款表'!AL444)</f>
        <v>0</v>
      </c>
      <c r="AM193" s="276">
        <f t="array" ref="AM193">IF(SUM($E328:AL328)&lt;1,SUM(IF('11.销售及回款表'!$E$497:$AV$540=AM327,'11.销售及回款表'!$E444:$AV444,0)),'11.销售及回款表'!AM444)</f>
        <v>0</v>
      </c>
      <c r="AN193" s="277">
        <f t="array" ref="AN193">IF(SUM($E328:AM328)&lt;1,SUM(IF('11.销售及回款表'!$E$497:$AV$540=AN327,'11.销售及回款表'!$E444:$AV444,0)),'11.销售及回款表'!AN444)</f>
        <v>0</v>
      </c>
      <c r="AO193" s="275">
        <f t="array" ref="AO193">IF(SUM($E328:AN328)&lt;1,SUM(IF('11.销售及回款表'!$E$497:$AV$540=AO327,'11.销售及回款表'!$E444:$AV444,0)),'11.销售及回款表'!AO444)</f>
        <v>0</v>
      </c>
      <c r="AP193" s="276">
        <f t="array" ref="AP193">IF(SUM($E328:AO328)&lt;1,SUM(IF('11.销售及回款表'!$E$497:$AV$540=AP327,'11.销售及回款表'!$E444:$AV444,0)),'11.销售及回款表'!AP444)</f>
        <v>0</v>
      </c>
      <c r="AQ193" s="276">
        <f t="array" ref="AQ193">IF(SUM($E328:AP328)&lt;1,SUM(IF('11.销售及回款表'!$E$497:$AV$540=AQ327,'11.销售及回款表'!$E444:$AV444,0)),'11.销售及回款表'!AQ444)</f>
        <v>0</v>
      </c>
      <c r="AR193" s="277">
        <f t="array" ref="AR193">IF(SUM($E328:AQ328)&lt;1,SUM(IF('11.销售及回款表'!$E$497:$AV$540=AR327,'11.销售及回款表'!$E444:$AV444,0)),'11.销售及回款表'!AR444)</f>
        <v>0</v>
      </c>
      <c r="AS193" s="275">
        <f t="array" ref="AS193">IF(SUM($E328:AR328)&lt;1,SUM(IF('11.销售及回款表'!$E$497:$AV$540=AS327,'11.销售及回款表'!$E444:$AV444,0)),'11.销售及回款表'!AS444)</f>
        <v>0</v>
      </c>
      <c r="AT193" s="276">
        <f t="array" ref="AT193">IF(SUM($E328:AS328)&lt;1,SUM(IF('11.销售及回款表'!$E$497:$AV$540=AT327,'11.销售及回款表'!$E444:$AV444,0)),'11.销售及回款表'!AT444)</f>
        <v>0</v>
      </c>
      <c r="AU193" s="276">
        <f t="array" ref="AU193">IF(SUM($E328:AT328)&lt;1,SUM(IF('11.销售及回款表'!$E$497:$AV$540=AU327,'11.销售及回款表'!$E444:$AV444,0)),'11.销售及回款表'!AU444)</f>
        <v>0</v>
      </c>
      <c r="AV193" s="277">
        <f t="array" ref="AV193">IF(SUM($E328:AU328)&lt;1,SUM(IF('11.销售及回款表'!$E$497:$AV$540=AV327,'11.销售及回款表'!$E444:$AV444,0)),'11.销售及回款表'!AV444)</f>
        <v>0</v>
      </c>
    </row>
    <row r="194" spans="2:48" s="257" customFormat="1" ht="15.75" customHeight="1" outlineLevel="2">
      <c r="B194" s="1980"/>
      <c r="C194" s="303" t="str">
        <f>'8.项目规划指标表'!$B$7</f>
        <v>回迁商业</v>
      </c>
      <c r="D194" s="274">
        <f t="shared" si="38"/>
        <v>0</v>
      </c>
      <c r="E194" s="275">
        <f t="array" ref="E194">IF(SUM(D330:$E330)&lt;1,SUM(IF('11.销售及回款表'!$E$497:$AV$540=E329,'11.销售及回款表'!$E449:$AV449,0)),'11.销售及回款表'!E449)</f>
        <v>0</v>
      </c>
      <c r="F194" s="276">
        <f t="array" ref="F194">IF(SUM(E330:$E330)&lt;1,SUM(IF('11.销售及回款表'!$E$497:$AV$540=F329,'11.销售及回款表'!$E449:$AV449,0)),'11.销售及回款表'!F449)</f>
        <v>0</v>
      </c>
      <c r="G194" s="276">
        <f t="array" ref="G194">IF(SUM($E330:F330)&lt;1,SUM(IF('11.销售及回款表'!$E$497:$AV$540=G329,'11.销售及回款表'!$E449:$AV449,0)),'11.销售及回款表'!G449)</f>
        <v>0</v>
      </c>
      <c r="H194" s="277">
        <f t="array" ref="H194">IF(SUM($E330:G330)&lt;1,SUM(IF('11.销售及回款表'!$E$497:$AV$540=H329,'11.销售及回款表'!$E449:$AV449,0)),'11.销售及回款表'!H449)</f>
        <v>0</v>
      </c>
      <c r="I194" s="275">
        <f t="array" ref="I194">IF(SUM($E330:H330)&lt;1,SUM(IF('11.销售及回款表'!$E$497:$AV$540=I329,'11.销售及回款表'!$E449:$AV449,0)),'11.销售及回款表'!I449)</f>
        <v>0</v>
      </c>
      <c r="J194" s="276">
        <f t="array" ref="J194">IF(SUM($E330:I330)&lt;1,SUM(IF('11.销售及回款表'!$E$497:$AV$540=J329,'11.销售及回款表'!$E449:$AV449,0)),'11.销售及回款表'!J449)</f>
        <v>0</v>
      </c>
      <c r="K194" s="276">
        <f t="array" ref="K194">IF(SUM($E330:J330)&lt;1,SUM(IF('11.销售及回款表'!$E$497:$AV$540=K329,'11.销售及回款表'!$E449:$AV449,0)),'11.销售及回款表'!K449)</f>
        <v>0</v>
      </c>
      <c r="L194" s="277">
        <f t="array" ref="L194">IF(SUM($E330:K330)&lt;1,SUM(IF('11.销售及回款表'!$E$497:$AV$540=L329,'11.销售及回款表'!$E449:$AV449,0)),'11.销售及回款表'!L449)</f>
        <v>0</v>
      </c>
      <c r="M194" s="275">
        <f t="array" ref="M194">IF(SUM($E330:L330)&lt;1,SUM(IF('11.销售及回款表'!$E$497:$AV$540=M329,'11.销售及回款表'!$E449:$AV449,0)),'11.销售及回款表'!M449)</f>
        <v>0</v>
      </c>
      <c r="N194" s="276">
        <f t="array" ref="N194">IF(SUM($E330:M330)&lt;1,SUM(IF('11.销售及回款表'!$E$497:$AV$540=N329,'11.销售及回款表'!$E449:$AV449,0)),'11.销售及回款表'!N449)</f>
        <v>0</v>
      </c>
      <c r="O194" s="276">
        <f t="array" ref="O194">IF(SUM($E330:N330)&lt;1,SUM(IF('11.销售及回款表'!$E$497:$AV$540=O329,'11.销售及回款表'!$E449:$AV449,0)),'11.销售及回款表'!O449)</f>
        <v>0</v>
      </c>
      <c r="P194" s="277">
        <f t="array" ref="P194">IF(SUM($E330:O330)&lt;1,SUM(IF('11.销售及回款表'!$E$497:$AV$540=P329,'11.销售及回款表'!$E449:$AV449,0)),'11.销售及回款表'!P449)</f>
        <v>0</v>
      </c>
      <c r="Q194" s="275">
        <f t="array" ref="Q194">IF(SUM($E330:P330)&lt;1,SUM(IF('11.销售及回款表'!$E$497:$AV$540=Q329,'11.销售及回款表'!$E449:$AV449,0)),'11.销售及回款表'!Q449)</f>
        <v>0</v>
      </c>
      <c r="R194" s="276">
        <f t="array" ref="R194">IF(SUM($E330:Q330)&lt;1,SUM(IF('11.销售及回款表'!$E$497:$AV$540=R329,'11.销售及回款表'!$E449:$AV449,0)),'11.销售及回款表'!R449)</f>
        <v>0</v>
      </c>
      <c r="S194" s="276">
        <f t="array" ref="S194">IF(SUM($E330:R330)&lt;1,SUM(IF('11.销售及回款表'!$E$497:$AV$540=S329,'11.销售及回款表'!$E449:$AV449,0)),'11.销售及回款表'!S449)</f>
        <v>0</v>
      </c>
      <c r="T194" s="277">
        <f t="array" ref="T194">IF(SUM($E330:S330)&lt;1,SUM(IF('11.销售及回款表'!$E$497:$AV$540=T329,'11.销售及回款表'!$E449:$AV449,0)),'11.销售及回款表'!T449)</f>
        <v>0</v>
      </c>
      <c r="U194" s="275">
        <f t="array" ref="U194">IF(SUM($E330:T330)&lt;1,SUM(IF('11.销售及回款表'!$E$497:$AV$540=U329,'11.销售及回款表'!$E449:$AV449,0)),'11.销售及回款表'!U449)</f>
        <v>0</v>
      </c>
      <c r="V194" s="276">
        <f t="array" ref="V194">IF(SUM($E330:U330)&lt;1,SUM(IF('11.销售及回款表'!$E$497:$AV$540=V329,'11.销售及回款表'!$E449:$AV449,0)),'11.销售及回款表'!V449)</f>
        <v>0</v>
      </c>
      <c r="W194" s="276">
        <f t="array" ref="W194">IF(SUM($E330:V330)&lt;1,SUM(IF('11.销售及回款表'!$E$497:$AV$540=W329,'11.销售及回款表'!$E449:$AV449,0)),'11.销售及回款表'!W449)</f>
        <v>0</v>
      </c>
      <c r="X194" s="277">
        <f t="array" ref="X194">IF(SUM($E330:W330)&lt;1,SUM(IF('11.销售及回款表'!$E$497:$AV$540=X329,'11.销售及回款表'!$E449:$AV449,0)),'11.销售及回款表'!X449)</f>
        <v>0</v>
      </c>
      <c r="Y194" s="275">
        <f t="array" ref="Y194">IF(SUM($E330:X330)&lt;1,SUM(IF('11.销售及回款表'!$E$497:$AV$540=Y329,'11.销售及回款表'!$E449:$AV449,0)),'11.销售及回款表'!Y449)</f>
        <v>0</v>
      </c>
      <c r="Z194" s="276">
        <f t="array" ref="Z194">IF(SUM($E330:Y330)&lt;1,SUM(IF('11.销售及回款表'!$E$497:$AV$540=Z329,'11.销售及回款表'!$E449:$AV449,0)),'11.销售及回款表'!Z449)</f>
        <v>0</v>
      </c>
      <c r="AA194" s="276">
        <f t="array" ref="AA194">IF(SUM($E330:Z330)&lt;1,SUM(IF('11.销售及回款表'!$E$497:$AV$540=AA329,'11.销售及回款表'!$E449:$AV449,0)),'11.销售及回款表'!AA449)</f>
        <v>0</v>
      </c>
      <c r="AB194" s="277">
        <f t="array" ref="AB194">IF(SUM($E330:AA330)&lt;1,SUM(IF('11.销售及回款表'!$E$497:$AV$540=AB329,'11.销售及回款表'!$E449:$AV449,0)),'11.销售及回款表'!AB449)</f>
        <v>0</v>
      </c>
      <c r="AC194" s="275">
        <f t="array" ref="AC194">IF(SUM($E330:AB330)&lt;1,SUM(IF('11.销售及回款表'!$E$497:$AV$540=AC329,'11.销售及回款表'!$E449:$AV449,0)),'11.销售及回款表'!AC449)</f>
        <v>0</v>
      </c>
      <c r="AD194" s="276">
        <f t="array" ref="AD194">IF(SUM($E330:AC330)&lt;1,SUM(IF('11.销售及回款表'!$E$497:$AV$540=AD329,'11.销售及回款表'!$E449:$AV449,0)),'11.销售及回款表'!AD449)</f>
        <v>0</v>
      </c>
      <c r="AE194" s="276">
        <f t="array" ref="AE194">IF(SUM($E330:AD330)&lt;1,SUM(IF('11.销售及回款表'!$E$497:$AV$540=AE329,'11.销售及回款表'!$E449:$AV449,0)),'11.销售及回款表'!AE449)</f>
        <v>0</v>
      </c>
      <c r="AF194" s="277">
        <f t="array" ref="AF194">IF(SUM($E330:AE330)&lt;1,SUM(IF('11.销售及回款表'!$E$497:$AV$540=AF329,'11.销售及回款表'!$E449:$AV449,0)),'11.销售及回款表'!AF449)</f>
        <v>0</v>
      </c>
      <c r="AG194" s="275">
        <f t="array" ref="AG194">IF(SUM($E330:AF330)&lt;1,SUM(IF('11.销售及回款表'!$E$497:$AV$540=AG329,'11.销售及回款表'!$E449:$AV449,0)),'11.销售及回款表'!AG449)</f>
        <v>0</v>
      </c>
      <c r="AH194" s="276">
        <f t="array" ref="AH194">IF(SUM($E330:AG330)&lt;1,SUM(IF('11.销售及回款表'!$E$497:$AV$540=AH329,'11.销售及回款表'!$E449:$AV449,0)),'11.销售及回款表'!AH449)</f>
        <v>0</v>
      </c>
      <c r="AI194" s="276">
        <f t="array" ref="AI194">IF(SUM($E330:AH330)&lt;1,SUM(IF('11.销售及回款表'!$E$497:$AV$540=AI329,'11.销售及回款表'!$E449:$AV449,0)),'11.销售及回款表'!AI449)</f>
        <v>0</v>
      </c>
      <c r="AJ194" s="277">
        <f t="array" ref="AJ194">IF(SUM($E330:AI330)&lt;1,SUM(IF('11.销售及回款表'!$E$497:$AV$540=AJ329,'11.销售及回款表'!$E449:$AV449,0)),'11.销售及回款表'!AJ449)</f>
        <v>0</v>
      </c>
      <c r="AK194" s="275">
        <f t="array" ref="AK194">IF(SUM($E330:AJ330)&lt;1,SUM(IF('11.销售及回款表'!$E$497:$AV$540=AK329,'11.销售及回款表'!$E449:$AV449,0)),'11.销售及回款表'!AK449)</f>
        <v>0</v>
      </c>
      <c r="AL194" s="276">
        <f t="array" ref="AL194">IF(SUM($E330:AK330)&lt;1,SUM(IF('11.销售及回款表'!$E$497:$AV$540=AL329,'11.销售及回款表'!$E449:$AV449,0)),'11.销售及回款表'!AL449)</f>
        <v>0</v>
      </c>
      <c r="AM194" s="276">
        <f t="array" ref="AM194">IF(SUM($E330:AL330)&lt;1,SUM(IF('11.销售及回款表'!$E$497:$AV$540=AM329,'11.销售及回款表'!$E449:$AV449,0)),'11.销售及回款表'!AM449)</f>
        <v>0</v>
      </c>
      <c r="AN194" s="277">
        <f t="array" ref="AN194">IF(SUM($E330:AM330)&lt;1,SUM(IF('11.销售及回款表'!$E$497:$AV$540=AN329,'11.销售及回款表'!$E449:$AV449,0)),'11.销售及回款表'!AN449)</f>
        <v>0</v>
      </c>
      <c r="AO194" s="275">
        <f t="array" ref="AO194">IF(SUM($E330:AN330)&lt;1,SUM(IF('11.销售及回款表'!$E$497:$AV$540=AO329,'11.销售及回款表'!$E449:$AV449,0)),'11.销售及回款表'!AO449)</f>
        <v>0</v>
      </c>
      <c r="AP194" s="276">
        <f t="array" ref="AP194">IF(SUM($E330:AO330)&lt;1,SUM(IF('11.销售及回款表'!$E$497:$AV$540=AP329,'11.销售及回款表'!$E449:$AV449,0)),'11.销售及回款表'!AP449)</f>
        <v>0</v>
      </c>
      <c r="AQ194" s="276">
        <f t="array" ref="AQ194">IF(SUM($E330:AP330)&lt;1,SUM(IF('11.销售及回款表'!$E$497:$AV$540=AQ329,'11.销售及回款表'!$E449:$AV449,0)),'11.销售及回款表'!AQ449)</f>
        <v>0</v>
      </c>
      <c r="AR194" s="277">
        <f t="array" ref="AR194">IF(SUM($E330:AQ330)&lt;1,SUM(IF('11.销售及回款表'!$E$497:$AV$540=AR329,'11.销售及回款表'!$E449:$AV449,0)),'11.销售及回款表'!AR449)</f>
        <v>0</v>
      </c>
      <c r="AS194" s="275">
        <f t="array" ref="AS194">IF(SUM($E330:AR330)&lt;1,SUM(IF('11.销售及回款表'!$E$497:$AV$540=AS329,'11.销售及回款表'!$E449:$AV449,0)),'11.销售及回款表'!AS449)</f>
        <v>0</v>
      </c>
      <c r="AT194" s="276">
        <f t="array" ref="AT194">IF(SUM($E330:AS330)&lt;1,SUM(IF('11.销售及回款表'!$E$497:$AV$540=AT329,'11.销售及回款表'!$E449:$AV449,0)),'11.销售及回款表'!AT449)</f>
        <v>0</v>
      </c>
      <c r="AU194" s="276">
        <f t="array" ref="AU194">IF(SUM($E330:AT330)&lt;1,SUM(IF('11.销售及回款表'!$E$497:$AV$540=AU329,'11.销售及回款表'!$E449:$AV449,0)),'11.销售及回款表'!AU449)</f>
        <v>0</v>
      </c>
      <c r="AV194" s="277">
        <f t="array" ref="AV194">IF(SUM($E330:AU330)&lt;1,SUM(IF('11.销售及回款表'!$E$497:$AV$540=AV329,'11.销售及回款表'!$E449:$AV449,0)),'11.销售及回款表'!AV449)</f>
        <v>0</v>
      </c>
    </row>
    <row r="195" spans="2:48" s="257" customFormat="1" ht="15.75" customHeight="1" outlineLevel="2">
      <c r="B195" s="1980"/>
      <c r="C195" s="303">
        <f>'8.项目规划指标表'!$B$8</f>
        <v>0</v>
      </c>
      <c r="D195" s="274">
        <f t="shared" si="38"/>
        <v>0</v>
      </c>
      <c r="E195" s="275">
        <f t="array" ref="E195">IF(SUM(D332:$E332)&lt;1,SUM(IF('11.销售及回款表'!$E$497:$AV$540=E331,'11.销售及回款表'!$E454:$AV454,0)),'11.销售及回款表'!E454)</f>
        <v>0</v>
      </c>
      <c r="F195" s="276">
        <f t="array" ref="F195">IF(SUM(E332:$E332)&lt;1,SUM(IF('11.销售及回款表'!$E$497:$AV$540=F331,'11.销售及回款表'!$E454:$AV454,0)),'11.销售及回款表'!F454)</f>
        <v>0</v>
      </c>
      <c r="G195" s="276">
        <f t="array" ref="G195">IF(SUM($E332:F332)&lt;1,SUM(IF('11.销售及回款表'!$E$497:$AV$540=G331,'11.销售及回款表'!$E454:$AV454,0)),'11.销售及回款表'!G454)</f>
        <v>0</v>
      </c>
      <c r="H195" s="277">
        <f t="array" ref="H195">IF(SUM($E332:G332)&lt;1,SUM(IF('11.销售及回款表'!$E$497:$AV$540=H331,'11.销售及回款表'!$E454:$AV454,0)),'11.销售及回款表'!H454)</f>
        <v>0</v>
      </c>
      <c r="I195" s="275">
        <f t="array" ref="I195">IF(SUM($E332:H332)&lt;1,SUM(IF('11.销售及回款表'!$E$497:$AV$540=I331,'11.销售及回款表'!$E454:$AV454,0)),'11.销售及回款表'!I454)</f>
        <v>0</v>
      </c>
      <c r="J195" s="276">
        <f t="array" ref="J195">IF(SUM($E332:I332)&lt;1,SUM(IF('11.销售及回款表'!$E$497:$AV$540=J331,'11.销售及回款表'!$E454:$AV454,0)),'11.销售及回款表'!J454)</f>
        <v>0</v>
      </c>
      <c r="K195" s="276">
        <f t="array" ref="K195">IF(SUM($E332:J332)&lt;1,SUM(IF('11.销售及回款表'!$E$497:$AV$540=K331,'11.销售及回款表'!$E454:$AV454,0)),'11.销售及回款表'!K454)</f>
        <v>0</v>
      </c>
      <c r="L195" s="277">
        <f t="array" ref="L195">IF(SUM($E332:K332)&lt;1,SUM(IF('11.销售及回款表'!$E$497:$AV$540=L331,'11.销售及回款表'!$E454:$AV454,0)),'11.销售及回款表'!L454)</f>
        <v>0</v>
      </c>
      <c r="M195" s="275">
        <f t="array" ref="M195">IF(SUM($E332:L332)&lt;1,SUM(IF('11.销售及回款表'!$E$497:$AV$540=M331,'11.销售及回款表'!$E454:$AV454,0)),'11.销售及回款表'!M454)</f>
        <v>0</v>
      </c>
      <c r="N195" s="276">
        <f t="array" ref="N195">IF(SUM($E332:M332)&lt;1,SUM(IF('11.销售及回款表'!$E$497:$AV$540=N331,'11.销售及回款表'!$E454:$AV454,0)),'11.销售及回款表'!N454)</f>
        <v>0</v>
      </c>
      <c r="O195" s="276">
        <f t="array" ref="O195">IF(SUM($E332:N332)&lt;1,SUM(IF('11.销售及回款表'!$E$497:$AV$540=O331,'11.销售及回款表'!$E454:$AV454,0)),'11.销售及回款表'!O454)</f>
        <v>0</v>
      </c>
      <c r="P195" s="277">
        <f t="array" ref="P195">IF(SUM($E332:O332)&lt;1,SUM(IF('11.销售及回款表'!$E$497:$AV$540=P331,'11.销售及回款表'!$E454:$AV454,0)),'11.销售及回款表'!P454)</f>
        <v>0</v>
      </c>
      <c r="Q195" s="275">
        <f t="array" ref="Q195">IF(SUM($E332:P332)&lt;1,SUM(IF('11.销售及回款表'!$E$497:$AV$540=Q331,'11.销售及回款表'!$E454:$AV454,0)),'11.销售及回款表'!Q454)</f>
        <v>0</v>
      </c>
      <c r="R195" s="276">
        <f t="array" ref="R195">IF(SUM($E332:Q332)&lt;1,SUM(IF('11.销售及回款表'!$E$497:$AV$540=R331,'11.销售及回款表'!$E454:$AV454,0)),'11.销售及回款表'!R454)</f>
        <v>0</v>
      </c>
      <c r="S195" s="276">
        <f t="array" ref="S195">IF(SUM($E332:R332)&lt;1,SUM(IF('11.销售及回款表'!$E$497:$AV$540=S331,'11.销售及回款表'!$E454:$AV454,0)),'11.销售及回款表'!S454)</f>
        <v>0</v>
      </c>
      <c r="T195" s="277">
        <f t="array" ref="T195">IF(SUM($E332:S332)&lt;1,SUM(IF('11.销售及回款表'!$E$497:$AV$540=T331,'11.销售及回款表'!$E454:$AV454,0)),'11.销售及回款表'!T454)</f>
        <v>0</v>
      </c>
      <c r="U195" s="275">
        <f t="array" ref="U195">IF(SUM($E332:T332)&lt;1,SUM(IF('11.销售及回款表'!$E$497:$AV$540=U331,'11.销售及回款表'!$E454:$AV454,0)),'11.销售及回款表'!U454)</f>
        <v>0</v>
      </c>
      <c r="V195" s="276">
        <f t="array" ref="V195">IF(SUM($E332:U332)&lt;1,SUM(IF('11.销售及回款表'!$E$497:$AV$540=V331,'11.销售及回款表'!$E454:$AV454,0)),'11.销售及回款表'!V454)</f>
        <v>0</v>
      </c>
      <c r="W195" s="276">
        <f t="array" ref="W195">IF(SUM($E332:V332)&lt;1,SUM(IF('11.销售及回款表'!$E$497:$AV$540=W331,'11.销售及回款表'!$E454:$AV454,0)),'11.销售及回款表'!W454)</f>
        <v>0</v>
      </c>
      <c r="X195" s="277">
        <f t="array" ref="X195">IF(SUM($E332:W332)&lt;1,SUM(IF('11.销售及回款表'!$E$497:$AV$540=X331,'11.销售及回款表'!$E454:$AV454,0)),'11.销售及回款表'!X454)</f>
        <v>0</v>
      </c>
      <c r="Y195" s="275">
        <f t="array" ref="Y195">IF(SUM($E332:X332)&lt;1,SUM(IF('11.销售及回款表'!$E$497:$AV$540=Y331,'11.销售及回款表'!$E454:$AV454,0)),'11.销售及回款表'!Y454)</f>
        <v>0</v>
      </c>
      <c r="Z195" s="276">
        <f t="array" ref="Z195">IF(SUM($E332:Y332)&lt;1,SUM(IF('11.销售及回款表'!$E$497:$AV$540=Z331,'11.销售及回款表'!$E454:$AV454,0)),'11.销售及回款表'!Z454)</f>
        <v>0</v>
      </c>
      <c r="AA195" s="276">
        <f t="array" ref="AA195">IF(SUM($E332:Z332)&lt;1,SUM(IF('11.销售及回款表'!$E$497:$AV$540=AA331,'11.销售及回款表'!$E454:$AV454,0)),'11.销售及回款表'!AA454)</f>
        <v>0</v>
      </c>
      <c r="AB195" s="277">
        <f t="array" ref="AB195">IF(SUM($E332:AA332)&lt;1,SUM(IF('11.销售及回款表'!$E$497:$AV$540=AB331,'11.销售及回款表'!$E454:$AV454,0)),'11.销售及回款表'!AB454)</f>
        <v>0</v>
      </c>
      <c r="AC195" s="275">
        <f t="array" ref="AC195">IF(SUM($E332:AB332)&lt;1,SUM(IF('11.销售及回款表'!$E$497:$AV$540=AC331,'11.销售及回款表'!$E454:$AV454,0)),'11.销售及回款表'!AC454)</f>
        <v>0</v>
      </c>
      <c r="AD195" s="276">
        <f t="array" ref="AD195">IF(SUM($E332:AC332)&lt;1,SUM(IF('11.销售及回款表'!$E$497:$AV$540=AD331,'11.销售及回款表'!$E454:$AV454,0)),'11.销售及回款表'!AD454)</f>
        <v>0</v>
      </c>
      <c r="AE195" s="276">
        <f t="array" ref="AE195">IF(SUM($E332:AD332)&lt;1,SUM(IF('11.销售及回款表'!$E$497:$AV$540=AE331,'11.销售及回款表'!$E454:$AV454,0)),'11.销售及回款表'!AE454)</f>
        <v>0</v>
      </c>
      <c r="AF195" s="277">
        <f t="array" ref="AF195">IF(SUM($E332:AE332)&lt;1,SUM(IF('11.销售及回款表'!$E$497:$AV$540=AF331,'11.销售及回款表'!$E454:$AV454,0)),'11.销售及回款表'!AF454)</f>
        <v>0</v>
      </c>
      <c r="AG195" s="275">
        <f t="array" ref="AG195">IF(SUM($E332:AF332)&lt;1,SUM(IF('11.销售及回款表'!$E$497:$AV$540=AG331,'11.销售及回款表'!$E454:$AV454,0)),'11.销售及回款表'!AG454)</f>
        <v>0</v>
      </c>
      <c r="AH195" s="276">
        <f t="array" ref="AH195">IF(SUM($E332:AG332)&lt;1,SUM(IF('11.销售及回款表'!$E$497:$AV$540=AH331,'11.销售及回款表'!$E454:$AV454,0)),'11.销售及回款表'!AH454)</f>
        <v>0</v>
      </c>
      <c r="AI195" s="276">
        <f t="array" ref="AI195">IF(SUM($E332:AH332)&lt;1,SUM(IF('11.销售及回款表'!$E$497:$AV$540=AI331,'11.销售及回款表'!$E454:$AV454,0)),'11.销售及回款表'!AI454)</f>
        <v>0</v>
      </c>
      <c r="AJ195" s="277">
        <f t="array" ref="AJ195">IF(SUM($E332:AI332)&lt;1,SUM(IF('11.销售及回款表'!$E$497:$AV$540=AJ331,'11.销售及回款表'!$E454:$AV454,0)),'11.销售及回款表'!AJ454)</f>
        <v>0</v>
      </c>
      <c r="AK195" s="275">
        <f t="array" ref="AK195">IF(SUM($E332:AJ332)&lt;1,SUM(IF('11.销售及回款表'!$E$497:$AV$540=AK331,'11.销售及回款表'!$E454:$AV454,0)),'11.销售及回款表'!AK454)</f>
        <v>0</v>
      </c>
      <c r="AL195" s="276">
        <f t="array" ref="AL195">IF(SUM($E332:AK332)&lt;1,SUM(IF('11.销售及回款表'!$E$497:$AV$540=AL331,'11.销售及回款表'!$E454:$AV454,0)),'11.销售及回款表'!AL454)</f>
        <v>0</v>
      </c>
      <c r="AM195" s="276">
        <f t="array" ref="AM195">IF(SUM($E332:AL332)&lt;1,SUM(IF('11.销售及回款表'!$E$497:$AV$540=AM331,'11.销售及回款表'!$E454:$AV454,0)),'11.销售及回款表'!AM454)</f>
        <v>0</v>
      </c>
      <c r="AN195" s="277">
        <f t="array" ref="AN195">IF(SUM($E332:AM332)&lt;1,SUM(IF('11.销售及回款表'!$E$497:$AV$540=AN331,'11.销售及回款表'!$E454:$AV454,0)),'11.销售及回款表'!AN454)</f>
        <v>0</v>
      </c>
      <c r="AO195" s="275">
        <f t="array" ref="AO195">IF(SUM($E332:AN332)&lt;1,SUM(IF('11.销售及回款表'!$E$497:$AV$540=AO331,'11.销售及回款表'!$E454:$AV454,0)),'11.销售及回款表'!AO454)</f>
        <v>0</v>
      </c>
      <c r="AP195" s="276">
        <f t="array" ref="AP195">IF(SUM($E332:AO332)&lt;1,SUM(IF('11.销售及回款表'!$E$497:$AV$540=AP331,'11.销售及回款表'!$E454:$AV454,0)),'11.销售及回款表'!AP454)</f>
        <v>0</v>
      </c>
      <c r="AQ195" s="276">
        <f t="array" ref="AQ195">IF(SUM($E332:AP332)&lt;1,SUM(IF('11.销售及回款表'!$E$497:$AV$540=AQ331,'11.销售及回款表'!$E454:$AV454,0)),'11.销售及回款表'!AQ454)</f>
        <v>0</v>
      </c>
      <c r="AR195" s="277">
        <f t="array" ref="AR195">IF(SUM($E332:AQ332)&lt;1,SUM(IF('11.销售及回款表'!$E$497:$AV$540=AR331,'11.销售及回款表'!$E454:$AV454,0)),'11.销售及回款表'!AR454)</f>
        <v>0</v>
      </c>
      <c r="AS195" s="275">
        <f t="array" ref="AS195">IF(SUM($E332:AR332)&lt;1,SUM(IF('11.销售及回款表'!$E$497:$AV$540=AS331,'11.销售及回款表'!$E454:$AV454,0)),'11.销售及回款表'!AS454)</f>
        <v>0</v>
      </c>
      <c r="AT195" s="276">
        <f t="array" ref="AT195">IF(SUM($E332:AS332)&lt;1,SUM(IF('11.销售及回款表'!$E$497:$AV$540=AT331,'11.销售及回款表'!$E454:$AV454,0)),'11.销售及回款表'!AT454)</f>
        <v>0</v>
      </c>
      <c r="AU195" s="276">
        <f t="array" ref="AU195">IF(SUM($E332:AT332)&lt;1,SUM(IF('11.销售及回款表'!$E$497:$AV$540=AU331,'11.销售及回款表'!$E454:$AV454,0)),'11.销售及回款表'!AU454)</f>
        <v>0</v>
      </c>
      <c r="AV195" s="277">
        <f t="array" ref="AV195">IF(SUM($E332:AU332)&lt;1,SUM(IF('11.销售及回款表'!$E$497:$AV$540=AV331,'11.销售及回款表'!$E454:$AV454,0)),'11.销售及回款表'!AV454)</f>
        <v>0</v>
      </c>
    </row>
    <row r="196" spans="2:48" s="257" customFormat="1" ht="15.75" customHeight="1" outlineLevel="2">
      <c r="B196" s="1980"/>
      <c r="C196" s="303">
        <f>'8.项目规划指标表'!$B$9</f>
        <v>0</v>
      </c>
      <c r="D196" s="274">
        <f t="shared" si="38"/>
        <v>0</v>
      </c>
      <c r="E196" s="275">
        <f t="array" ref="E196">IF(SUM(D334:$E334)&lt;1,SUM(IF('11.销售及回款表'!$E$497:$AV$540=E333,'11.销售及回款表'!$E459:$AV459,0)),'11.销售及回款表'!E459)</f>
        <v>0</v>
      </c>
      <c r="F196" s="276">
        <f t="array" ref="F196">IF(SUM(E334:$E334)&lt;1,SUM(IF('11.销售及回款表'!$E$497:$AV$540=F333,'11.销售及回款表'!$E459:$AV459,0)),'11.销售及回款表'!F459)</f>
        <v>0</v>
      </c>
      <c r="G196" s="276">
        <f t="array" ref="G196">IF(SUM($E334:F334)&lt;1,SUM(IF('11.销售及回款表'!$E$497:$AV$540=G333,'11.销售及回款表'!$E459:$AV459,0)),'11.销售及回款表'!G459)</f>
        <v>0</v>
      </c>
      <c r="H196" s="277">
        <f t="array" ref="H196">IF(SUM($E334:G334)&lt;1,SUM(IF('11.销售及回款表'!$E$497:$AV$540=H333,'11.销售及回款表'!$E459:$AV459,0)),'11.销售及回款表'!H459)</f>
        <v>0</v>
      </c>
      <c r="I196" s="275">
        <f t="array" ref="I196">IF(SUM($E334:H334)&lt;1,SUM(IF('11.销售及回款表'!$E$497:$AV$540=I333,'11.销售及回款表'!$E459:$AV459,0)),'11.销售及回款表'!I459)</f>
        <v>0</v>
      </c>
      <c r="J196" s="276">
        <f t="array" ref="J196">IF(SUM($E334:I334)&lt;1,SUM(IF('11.销售及回款表'!$E$497:$AV$540=J333,'11.销售及回款表'!$E459:$AV459,0)),'11.销售及回款表'!J459)</f>
        <v>0</v>
      </c>
      <c r="K196" s="276">
        <f t="array" ref="K196">IF(SUM($E334:J334)&lt;1,SUM(IF('11.销售及回款表'!$E$497:$AV$540=K333,'11.销售及回款表'!$E459:$AV459,0)),'11.销售及回款表'!K459)</f>
        <v>0</v>
      </c>
      <c r="L196" s="277">
        <f t="array" ref="L196">IF(SUM($E334:K334)&lt;1,SUM(IF('11.销售及回款表'!$E$497:$AV$540=L333,'11.销售及回款表'!$E459:$AV459,0)),'11.销售及回款表'!L459)</f>
        <v>0</v>
      </c>
      <c r="M196" s="275">
        <f t="array" ref="M196">IF(SUM($E334:L334)&lt;1,SUM(IF('11.销售及回款表'!$E$497:$AV$540=M333,'11.销售及回款表'!$E459:$AV459,0)),'11.销售及回款表'!M459)</f>
        <v>0</v>
      </c>
      <c r="N196" s="276">
        <f t="array" ref="N196">IF(SUM($E334:M334)&lt;1,SUM(IF('11.销售及回款表'!$E$497:$AV$540=N333,'11.销售及回款表'!$E459:$AV459,0)),'11.销售及回款表'!N459)</f>
        <v>0</v>
      </c>
      <c r="O196" s="276">
        <f t="array" ref="O196">IF(SUM($E334:N334)&lt;1,SUM(IF('11.销售及回款表'!$E$497:$AV$540=O333,'11.销售及回款表'!$E459:$AV459,0)),'11.销售及回款表'!O459)</f>
        <v>0</v>
      </c>
      <c r="P196" s="277">
        <f t="array" ref="P196">IF(SUM($E334:O334)&lt;1,SUM(IF('11.销售及回款表'!$E$497:$AV$540=P333,'11.销售及回款表'!$E459:$AV459,0)),'11.销售及回款表'!P459)</f>
        <v>0</v>
      </c>
      <c r="Q196" s="275">
        <f t="array" ref="Q196">IF(SUM($E334:P334)&lt;1,SUM(IF('11.销售及回款表'!$E$497:$AV$540=Q333,'11.销售及回款表'!$E459:$AV459,0)),'11.销售及回款表'!Q459)</f>
        <v>0</v>
      </c>
      <c r="R196" s="276">
        <f t="array" ref="R196">IF(SUM($E334:Q334)&lt;1,SUM(IF('11.销售及回款表'!$E$497:$AV$540=R333,'11.销售及回款表'!$E459:$AV459,0)),'11.销售及回款表'!R459)</f>
        <v>0</v>
      </c>
      <c r="S196" s="276">
        <f t="array" ref="S196">IF(SUM($E334:R334)&lt;1,SUM(IF('11.销售及回款表'!$E$497:$AV$540=S333,'11.销售及回款表'!$E459:$AV459,0)),'11.销售及回款表'!S459)</f>
        <v>0</v>
      </c>
      <c r="T196" s="277">
        <f t="array" ref="T196">IF(SUM($E334:S334)&lt;1,SUM(IF('11.销售及回款表'!$E$497:$AV$540=T333,'11.销售及回款表'!$E459:$AV459,0)),'11.销售及回款表'!T459)</f>
        <v>0</v>
      </c>
      <c r="U196" s="275">
        <f t="array" ref="U196">IF(SUM($E334:T334)&lt;1,SUM(IF('11.销售及回款表'!$E$497:$AV$540=U333,'11.销售及回款表'!$E459:$AV459,0)),'11.销售及回款表'!U459)</f>
        <v>0</v>
      </c>
      <c r="V196" s="276">
        <f t="array" ref="V196">IF(SUM($E334:U334)&lt;1,SUM(IF('11.销售及回款表'!$E$497:$AV$540=V333,'11.销售及回款表'!$E459:$AV459,0)),'11.销售及回款表'!V459)</f>
        <v>0</v>
      </c>
      <c r="W196" s="276">
        <f t="array" ref="W196">IF(SUM($E334:V334)&lt;1,SUM(IF('11.销售及回款表'!$E$497:$AV$540=W333,'11.销售及回款表'!$E459:$AV459,0)),'11.销售及回款表'!W459)</f>
        <v>0</v>
      </c>
      <c r="X196" s="277">
        <f t="array" ref="X196">IF(SUM($E334:W334)&lt;1,SUM(IF('11.销售及回款表'!$E$497:$AV$540=X333,'11.销售及回款表'!$E459:$AV459,0)),'11.销售及回款表'!X459)</f>
        <v>0</v>
      </c>
      <c r="Y196" s="275">
        <f t="array" ref="Y196">IF(SUM($E334:X334)&lt;1,SUM(IF('11.销售及回款表'!$E$497:$AV$540=Y333,'11.销售及回款表'!$E459:$AV459,0)),'11.销售及回款表'!Y459)</f>
        <v>0</v>
      </c>
      <c r="Z196" s="276">
        <f t="array" ref="Z196">IF(SUM($E334:Y334)&lt;1,SUM(IF('11.销售及回款表'!$E$497:$AV$540=Z333,'11.销售及回款表'!$E459:$AV459,0)),'11.销售及回款表'!Z459)</f>
        <v>0</v>
      </c>
      <c r="AA196" s="276">
        <f t="array" ref="AA196">IF(SUM($E334:Z334)&lt;1,SUM(IF('11.销售及回款表'!$E$497:$AV$540=AA333,'11.销售及回款表'!$E459:$AV459,0)),'11.销售及回款表'!AA459)</f>
        <v>0</v>
      </c>
      <c r="AB196" s="277">
        <f t="array" ref="AB196">IF(SUM($E334:AA334)&lt;1,SUM(IF('11.销售及回款表'!$E$497:$AV$540=AB333,'11.销售及回款表'!$E459:$AV459,0)),'11.销售及回款表'!AB459)</f>
        <v>0</v>
      </c>
      <c r="AC196" s="275">
        <f t="array" ref="AC196">IF(SUM($E334:AB334)&lt;1,SUM(IF('11.销售及回款表'!$E$497:$AV$540=AC333,'11.销售及回款表'!$E459:$AV459,0)),'11.销售及回款表'!AC459)</f>
        <v>0</v>
      </c>
      <c r="AD196" s="276">
        <f t="array" ref="AD196">IF(SUM($E334:AC334)&lt;1,SUM(IF('11.销售及回款表'!$E$497:$AV$540=AD333,'11.销售及回款表'!$E459:$AV459,0)),'11.销售及回款表'!AD459)</f>
        <v>0</v>
      </c>
      <c r="AE196" s="276">
        <f t="array" ref="AE196">IF(SUM($E334:AD334)&lt;1,SUM(IF('11.销售及回款表'!$E$497:$AV$540=AE333,'11.销售及回款表'!$E459:$AV459,0)),'11.销售及回款表'!AE459)</f>
        <v>0</v>
      </c>
      <c r="AF196" s="277">
        <f t="array" ref="AF196">IF(SUM($E334:AE334)&lt;1,SUM(IF('11.销售及回款表'!$E$497:$AV$540=AF333,'11.销售及回款表'!$E459:$AV459,0)),'11.销售及回款表'!AF459)</f>
        <v>0</v>
      </c>
      <c r="AG196" s="275">
        <f t="array" ref="AG196">IF(SUM($E334:AF334)&lt;1,SUM(IF('11.销售及回款表'!$E$497:$AV$540=AG333,'11.销售及回款表'!$E459:$AV459,0)),'11.销售及回款表'!AG459)</f>
        <v>0</v>
      </c>
      <c r="AH196" s="276">
        <f t="array" ref="AH196">IF(SUM($E334:AG334)&lt;1,SUM(IF('11.销售及回款表'!$E$497:$AV$540=AH333,'11.销售及回款表'!$E459:$AV459,0)),'11.销售及回款表'!AH459)</f>
        <v>0</v>
      </c>
      <c r="AI196" s="276">
        <f t="array" ref="AI196">IF(SUM($E334:AH334)&lt;1,SUM(IF('11.销售及回款表'!$E$497:$AV$540=AI333,'11.销售及回款表'!$E459:$AV459,0)),'11.销售及回款表'!AI459)</f>
        <v>0</v>
      </c>
      <c r="AJ196" s="277">
        <f t="array" ref="AJ196">IF(SUM($E334:AI334)&lt;1,SUM(IF('11.销售及回款表'!$E$497:$AV$540=AJ333,'11.销售及回款表'!$E459:$AV459,0)),'11.销售及回款表'!AJ459)</f>
        <v>0</v>
      </c>
      <c r="AK196" s="275">
        <f t="array" ref="AK196">IF(SUM($E334:AJ334)&lt;1,SUM(IF('11.销售及回款表'!$E$497:$AV$540=AK333,'11.销售及回款表'!$E459:$AV459,0)),'11.销售及回款表'!AK459)</f>
        <v>0</v>
      </c>
      <c r="AL196" s="276">
        <f t="array" ref="AL196">IF(SUM($E334:AK334)&lt;1,SUM(IF('11.销售及回款表'!$E$497:$AV$540=AL333,'11.销售及回款表'!$E459:$AV459,0)),'11.销售及回款表'!AL459)</f>
        <v>0</v>
      </c>
      <c r="AM196" s="276">
        <f t="array" ref="AM196">IF(SUM($E334:AL334)&lt;1,SUM(IF('11.销售及回款表'!$E$497:$AV$540=AM333,'11.销售及回款表'!$E459:$AV459,0)),'11.销售及回款表'!AM459)</f>
        <v>0</v>
      </c>
      <c r="AN196" s="277">
        <f t="array" ref="AN196">IF(SUM($E334:AM334)&lt;1,SUM(IF('11.销售及回款表'!$E$497:$AV$540=AN333,'11.销售及回款表'!$E459:$AV459,0)),'11.销售及回款表'!AN459)</f>
        <v>0</v>
      </c>
      <c r="AO196" s="275">
        <f t="array" ref="AO196">IF(SUM($E334:AN334)&lt;1,SUM(IF('11.销售及回款表'!$E$497:$AV$540=AO333,'11.销售及回款表'!$E459:$AV459,0)),'11.销售及回款表'!AO459)</f>
        <v>0</v>
      </c>
      <c r="AP196" s="276">
        <f t="array" ref="AP196">IF(SUM($E334:AO334)&lt;1,SUM(IF('11.销售及回款表'!$E$497:$AV$540=AP333,'11.销售及回款表'!$E459:$AV459,0)),'11.销售及回款表'!AP459)</f>
        <v>0</v>
      </c>
      <c r="AQ196" s="276">
        <f t="array" ref="AQ196">IF(SUM($E334:AP334)&lt;1,SUM(IF('11.销售及回款表'!$E$497:$AV$540=AQ333,'11.销售及回款表'!$E459:$AV459,0)),'11.销售及回款表'!AQ459)</f>
        <v>0</v>
      </c>
      <c r="AR196" s="277">
        <f t="array" ref="AR196">IF(SUM($E334:AQ334)&lt;1,SUM(IF('11.销售及回款表'!$E$497:$AV$540=AR333,'11.销售及回款表'!$E459:$AV459,0)),'11.销售及回款表'!AR459)</f>
        <v>0</v>
      </c>
      <c r="AS196" s="275">
        <f t="array" ref="AS196">IF(SUM($E334:AR334)&lt;1,SUM(IF('11.销售及回款表'!$E$497:$AV$540=AS333,'11.销售及回款表'!$E459:$AV459,0)),'11.销售及回款表'!AS459)</f>
        <v>0</v>
      </c>
      <c r="AT196" s="276">
        <f t="array" ref="AT196">IF(SUM($E334:AS334)&lt;1,SUM(IF('11.销售及回款表'!$E$497:$AV$540=AT333,'11.销售及回款表'!$E459:$AV459,0)),'11.销售及回款表'!AT459)</f>
        <v>0</v>
      </c>
      <c r="AU196" s="276">
        <f t="array" ref="AU196">IF(SUM($E334:AT334)&lt;1,SUM(IF('11.销售及回款表'!$E$497:$AV$540=AU333,'11.销售及回款表'!$E459:$AV459,0)),'11.销售及回款表'!AU459)</f>
        <v>0</v>
      </c>
      <c r="AV196" s="277">
        <f t="array" ref="AV196">IF(SUM($E334:AU334)&lt;1,SUM(IF('11.销售及回款表'!$E$497:$AV$540=AV333,'11.销售及回款表'!$E459:$AV459,0)),'11.销售及回款表'!AV459)</f>
        <v>0</v>
      </c>
    </row>
    <row r="197" spans="2:48" s="257" customFormat="1" ht="15.75" customHeight="1" outlineLevel="2">
      <c r="B197" s="1980"/>
      <c r="C197" s="303">
        <f>'8.项目规划指标表'!$B$10</f>
        <v>0</v>
      </c>
      <c r="D197" s="274">
        <f t="shared" si="38"/>
        <v>0</v>
      </c>
      <c r="E197" s="275">
        <f t="array" ref="E197">IF(SUM(D336:$E336)&lt;1,SUM(IF('11.销售及回款表'!$E$497:$AV$540=E335,'11.销售及回款表'!$E464:$AV464,0)),'11.销售及回款表'!E464)</f>
        <v>0</v>
      </c>
      <c r="F197" s="276">
        <f t="array" ref="F197">IF(SUM(E336:$E336)&lt;1,SUM(IF('11.销售及回款表'!$E$497:$AV$540=F335,'11.销售及回款表'!$E464:$AV464,0)),'11.销售及回款表'!F464)</f>
        <v>0</v>
      </c>
      <c r="G197" s="276">
        <f t="array" ref="G197">IF(SUM($E336:F336)&lt;1,SUM(IF('11.销售及回款表'!$E$497:$AV$540=G335,'11.销售及回款表'!$E464:$AV464,0)),'11.销售及回款表'!G464)</f>
        <v>0</v>
      </c>
      <c r="H197" s="277">
        <f t="array" ref="H197">IF(SUM($E336:G336)&lt;1,SUM(IF('11.销售及回款表'!$E$497:$AV$540=H335,'11.销售及回款表'!$E464:$AV464,0)),'11.销售及回款表'!H464)</f>
        <v>0</v>
      </c>
      <c r="I197" s="275">
        <f t="array" ref="I197">IF(SUM($E336:H336)&lt;1,SUM(IF('11.销售及回款表'!$E$497:$AV$540=I335,'11.销售及回款表'!$E464:$AV464,0)),'11.销售及回款表'!I464)</f>
        <v>0</v>
      </c>
      <c r="J197" s="276">
        <f t="array" ref="J197">IF(SUM($E336:I336)&lt;1,SUM(IF('11.销售及回款表'!$E$497:$AV$540=J335,'11.销售及回款表'!$E464:$AV464,0)),'11.销售及回款表'!J464)</f>
        <v>0</v>
      </c>
      <c r="K197" s="276">
        <f t="array" ref="K197">IF(SUM($E336:J336)&lt;1,SUM(IF('11.销售及回款表'!$E$497:$AV$540=K335,'11.销售及回款表'!$E464:$AV464,0)),'11.销售及回款表'!K464)</f>
        <v>0</v>
      </c>
      <c r="L197" s="277">
        <f t="array" ref="L197">IF(SUM($E336:K336)&lt;1,SUM(IF('11.销售及回款表'!$E$497:$AV$540=L335,'11.销售及回款表'!$E464:$AV464,0)),'11.销售及回款表'!L464)</f>
        <v>0</v>
      </c>
      <c r="M197" s="275">
        <f t="array" ref="M197">IF(SUM($E336:L336)&lt;1,SUM(IF('11.销售及回款表'!$E$497:$AV$540=M335,'11.销售及回款表'!$E464:$AV464,0)),'11.销售及回款表'!M464)</f>
        <v>0</v>
      </c>
      <c r="N197" s="276">
        <f t="array" ref="N197">IF(SUM($E336:M336)&lt;1,SUM(IF('11.销售及回款表'!$E$497:$AV$540=N335,'11.销售及回款表'!$E464:$AV464,0)),'11.销售及回款表'!N464)</f>
        <v>0</v>
      </c>
      <c r="O197" s="276">
        <f t="array" ref="O197">IF(SUM($E336:N336)&lt;1,SUM(IF('11.销售及回款表'!$E$497:$AV$540=O335,'11.销售及回款表'!$E464:$AV464,0)),'11.销售及回款表'!O464)</f>
        <v>0</v>
      </c>
      <c r="P197" s="277">
        <f t="array" ref="P197">IF(SUM($E336:O336)&lt;1,SUM(IF('11.销售及回款表'!$E$497:$AV$540=P335,'11.销售及回款表'!$E464:$AV464,0)),'11.销售及回款表'!P464)</f>
        <v>0</v>
      </c>
      <c r="Q197" s="275">
        <f t="array" ref="Q197">IF(SUM($E336:P336)&lt;1,SUM(IF('11.销售及回款表'!$E$497:$AV$540=Q335,'11.销售及回款表'!$E464:$AV464,0)),'11.销售及回款表'!Q464)</f>
        <v>0</v>
      </c>
      <c r="R197" s="276">
        <f t="array" ref="R197">IF(SUM($E336:Q336)&lt;1,SUM(IF('11.销售及回款表'!$E$497:$AV$540=R335,'11.销售及回款表'!$E464:$AV464,0)),'11.销售及回款表'!R464)</f>
        <v>0</v>
      </c>
      <c r="S197" s="276">
        <f t="array" ref="S197">IF(SUM($E336:R336)&lt;1,SUM(IF('11.销售及回款表'!$E$497:$AV$540=S335,'11.销售及回款表'!$E464:$AV464,0)),'11.销售及回款表'!S464)</f>
        <v>0</v>
      </c>
      <c r="T197" s="277">
        <f t="array" ref="T197">IF(SUM($E336:S336)&lt;1,SUM(IF('11.销售及回款表'!$E$497:$AV$540=T335,'11.销售及回款表'!$E464:$AV464,0)),'11.销售及回款表'!T464)</f>
        <v>0</v>
      </c>
      <c r="U197" s="275">
        <f t="array" ref="U197">IF(SUM($E336:T336)&lt;1,SUM(IF('11.销售及回款表'!$E$497:$AV$540=U335,'11.销售及回款表'!$E464:$AV464,0)),'11.销售及回款表'!U464)</f>
        <v>0</v>
      </c>
      <c r="V197" s="276">
        <f t="array" ref="V197">IF(SUM($E336:U336)&lt;1,SUM(IF('11.销售及回款表'!$E$497:$AV$540=V335,'11.销售及回款表'!$E464:$AV464,0)),'11.销售及回款表'!V464)</f>
        <v>0</v>
      </c>
      <c r="W197" s="276">
        <f t="array" ref="W197">IF(SUM($E336:V336)&lt;1,SUM(IF('11.销售及回款表'!$E$497:$AV$540=W335,'11.销售及回款表'!$E464:$AV464,0)),'11.销售及回款表'!W464)</f>
        <v>0</v>
      </c>
      <c r="X197" s="277">
        <f t="array" ref="X197">IF(SUM($E336:W336)&lt;1,SUM(IF('11.销售及回款表'!$E$497:$AV$540=X335,'11.销售及回款表'!$E464:$AV464,0)),'11.销售及回款表'!X464)</f>
        <v>0</v>
      </c>
      <c r="Y197" s="275">
        <f t="array" ref="Y197">IF(SUM($E336:X336)&lt;1,SUM(IF('11.销售及回款表'!$E$497:$AV$540=Y335,'11.销售及回款表'!$E464:$AV464,0)),'11.销售及回款表'!Y464)</f>
        <v>0</v>
      </c>
      <c r="Z197" s="276">
        <f t="array" ref="Z197">IF(SUM($E336:Y336)&lt;1,SUM(IF('11.销售及回款表'!$E$497:$AV$540=Z335,'11.销售及回款表'!$E464:$AV464,0)),'11.销售及回款表'!Z464)</f>
        <v>0</v>
      </c>
      <c r="AA197" s="276">
        <f t="array" ref="AA197">IF(SUM($E336:Z336)&lt;1,SUM(IF('11.销售及回款表'!$E$497:$AV$540=AA335,'11.销售及回款表'!$E464:$AV464,0)),'11.销售及回款表'!AA464)</f>
        <v>0</v>
      </c>
      <c r="AB197" s="277">
        <f t="array" ref="AB197">IF(SUM($E336:AA336)&lt;1,SUM(IF('11.销售及回款表'!$E$497:$AV$540=AB335,'11.销售及回款表'!$E464:$AV464,0)),'11.销售及回款表'!AB464)</f>
        <v>0</v>
      </c>
      <c r="AC197" s="275">
        <f t="array" ref="AC197">IF(SUM($E336:AB336)&lt;1,SUM(IF('11.销售及回款表'!$E$497:$AV$540=AC335,'11.销售及回款表'!$E464:$AV464,0)),'11.销售及回款表'!AC464)</f>
        <v>0</v>
      </c>
      <c r="AD197" s="276">
        <f t="array" ref="AD197">IF(SUM($E336:AC336)&lt;1,SUM(IF('11.销售及回款表'!$E$497:$AV$540=AD335,'11.销售及回款表'!$E464:$AV464,0)),'11.销售及回款表'!AD464)</f>
        <v>0</v>
      </c>
      <c r="AE197" s="276">
        <f t="array" ref="AE197">IF(SUM($E336:AD336)&lt;1,SUM(IF('11.销售及回款表'!$E$497:$AV$540=AE335,'11.销售及回款表'!$E464:$AV464,0)),'11.销售及回款表'!AE464)</f>
        <v>0</v>
      </c>
      <c r="AF197" s="277">
        <f t="array" ref="AF197">IF(SUM($E336:AE336)&lt;1,SUM(IF('11.销售及回款表'!$E$497:$AV$540=AF335,'11.销售及回款表'!$E464:$AV464,0)),'11.销售及回款表'!AF464)</f>
        <v>0</v>
      </c>
      <c r="AG197" s="275">
        <f t="array" ref="AG197">IF(SUM($E336:AF336)&lt;1,SUM(IF('11.销售及回款表'!$E$497:$AV$540=AG335,'11.销售及回款表'!$E464:$AV464,0)),'11.销售及回款表'!AG464)</f>
        <v>0</v>
      </c>
      <c r="AH197" s="276">
        <f t="array" ref="AH197">IF(SUM($E336:AG336)&lt;1,SUM(IF('11.销售及回款表'!$E$497:$AV$540=AH335,'11.销售及回款表'!$E464:$AV464,0)),'11.销售及回款表'!AH464)</f>
        <v>0</v>
      </c>
      <c r="AI197" s="276">
        <f t="array" ref="AI197">IF(SUM($E336:AH336)&lt;1,SUM(IF('11.销售及回款表'!$E$497:$AV$540=AI335,'11.销售及回款表'!$E464:$AV464,0)),'11.销售及回款表'!AI464)</f>
        <v>0</v>
      </c>
      <c r="AJ197" s="277">
        <f t="array" ref="AJ197">IF(SUM($E336:AI336)&lt;1,SUM(IF('11.销售及回款表'!$E$497:$AV$540=AJ335,'11.销售及回款表'!$E464:$AV464,0)),'11.销售及回款表'!AJ464)</f>
        <v>0</v>
      </c>
      <c r="AK197" s="275">
        <f t="array" ref="AK197">IF(SUM($E336:AJ336)&lt;1,SUM(IF('11.销售及回款表'!$E$497:$AV$540=AK335,'11.销售及回款表'!$E464:$AV464,0)),'11.销售及回款表'!AK464)</f>
        <v>0</v>
      </c>
      <c r="AL197" s="276">
        <f t="array" ref="AL197">IF(SUM($E336:AK336)&lt;1,SUM(IF('11.销售及回款表'!$E$497:$AV$540=AL335,'11.销售及回款表'!$E464:$AV464,0)),'11.销售及回款表'!AL464)</f>
        <v>0</v>
      </c>
      <c r="AM197" s="276">
        <f t="array" ref="AM197">IF(SUM($E336:AL336)&lt;1,SUM(IF('11.销售及回款表'!$E$497:$AV$540=AM335,'11.销售及回款表'!$E464:$AV464,0)),'11.销售及回款表'!AM464)</f>
        <v>0</v>
      </c>
      <c r="AN197" s="277">
        <f t="array" ref="AN197">IF(SUM($E336:AM336)&lt;1,SUM(IF('11.销售及回款表'!$E$497:$AV$540=AN335,'11.销售及回款表'!$E464:$AV464,0)),'11.销售及回款表'!AN464)</f>
        <v>0</v>
      </c>
      <c r="AO197" s="275">
        <f t="array" ref="AO197">IF(SUM($E336:AN336)&lt;1,SUM(IF('11.销售及回款表'!$E$497:$AV$540=AO335,'11.销售及回款表'!$E464:$AV464,0)),'11.销售及回款表'!AO464)</f>
        <v>0</v>
      </c>
      <c r="AP197" s="276">
        <f t="array" ref="AP197">IF(SUM($E336:AO336)&lt;1,SUM(IF('11.销售及回款表'!$E$497:$AV$540=AP335,'11.销售及回款表'!$E464:$AV464,0)),'11.销售及回款表'!AP464)</f>
        <v>0</v>
      </c>
      <c r="AQ197" s="276">
        <f t="array" ref="AQ197">IF(SUM($E336:AP336)&lt;1,SUM(IF('11.销售及回款表'!$E$497:$AV$540=AQ335,'11.销售及回款表'!$E464:$AV464,0)),'11.销售及回款表'!AQ464)</f>
        <v>0</v>
      </c>
      <c r="AR197" s="277">
        <f t="array" ref="AR197">IF(SUM($E336:AQ336)&lt;1,SUM(IF('11.销售及回款表'!$E$497:$AV$540=AR335,'11.销售及回款表'!$E464:$AV464,0)),'11.销售及回款表'!AR464)</f>
        <v>0</v>
      </c>
      <c r="AS197" s="275">
        <f t="array" ref="AS197">IF(SUM($E336:AR336)&lt;1,SUM(IF('11.销售及回款表'!$E$497:$AV$540=AS335,'11.销售及回款表'!$E464:$AV464,0)),'11.销售及回款表'!AS464)</f>
        <v>0</v>
      </c>
      <c r="AT197" s="276">
        <f t="array" ref="AT197">IF(SUM($E336:AS336)&lt;1,SUM(IF('11.销售及回款表'!$E$497:$AV$540=AT335,'11.销售及回款表'!$E464:$AV464,0)),'11.销售及回款表'!AT464)</f>
        <v>0</v>
      </c>
      <c r="AU197" s="276">
        <f t="array" ref="AU197">IF(SUM($E336:AT336)&lt;1,SUM(IF('11.销售及回款表'!$E$497:$AV$540=AU335,'11.销售及回款表'!$E464:$AV464,0)),'11.销售及回款表'!AU464)</f>
        <v>0</v>
      </c>
      <c r="AV197" s="277">
        <f t="array" ref="AV197">IF(SUM($E336:AU336)&lt;1,SUM(IF('11.销售及回款表'!$E$497:$AV$540=AV335,'11.销售及回款表'!$E464:$AV464,0)),'11.销售及回款表'!AV464)</f>
        <v>0</v>
      </c>
    </row>
    <row r="198" spans="2:48" s="257" customFormat="1" ht="15.75" customHeight="1" outlineLevel="2">
      <c r="B198" s="1980"/>
      <c r="C198" s="303">
        <f>'8.项目规划指标表'!$B$11</f>
        <v>0</v>
      </c>
      <c r="D198" s="274">
        <f t="shared" si="38"/>
        <v>0</v>
      </c>
      <c r="E198" s="275">
        <f t="array" ref="E198">IF(SUM(D338:$E338)&lt;1,SUM(IF('11.销售及回款表'!$E$497:$AV$540=E337,'11.销售及回款表'!$E469:$AV469,0)),'11.销售及回款表'!E469)</f>
        <v>0</v>
      </c>
      <c r="F198" s="276">
        <f t="array" ref="F198">IF(SUM(E338:$E338)&lt;1,SUM(IF('11.销售及回款表'!$E$497:$AV$540=F337,'11.销售及回款表'!$E469:$AV469,0)),'11.销售及回款表'!F469)</f>
        <v>0</v>
      </c>
      <c r="G198" s="276">
        <f t="array" ref="G198">IF(SUM($E338:F338)&lt;1,SUM(IF('11.销售及回款表'!$E$497:$AV$540=G337,'11.销售及回款表'!$E469:$AV469,0)),'11.销售及回款表'!G469)</f>
        <v>0</v>
      </c>
      <c r="H198" s="277">
        <f t="array" ref="H198">IF(SUM($E338:G338)&lt;1,SUM(IF('11.销售及回款表'!$E$497:$AV$540=H337,'11.销售及回款表'!$E469:$AV469,0)),'11.销售及回款表'!H469)</f>
        <v>0</v>
      </c>
      <c r="I198" s="275">
        <f t="array" ref="I198">IF(SUM($E338:H338)&lt;1,SUM(IF('11.销售及回款表'!$E$497:$AV$540=I337,'11.销售及回款表'!$E469:$AV469,0)),'11.销售及回款表'!I469)</f>
        <v>0</v>
      </c>
      <c r="J198" s="276">
        <f t="array" ref="J198">IF(SUM($E338:I338)&lt;1,SUM(IF('11.销售及回款表'!$E$497:$AV$540=J337,'11.销售及回款表'!$E469:$AV469,0)),'11.销售及回款表'!J469)</f>
        <v>0</v>
      </c>
      <c r="K198" s="276">
        <f t="array" ref="K198">IF(SUM($E338:J338)&lt;1,SUM(IF('11.销售及回款表'!$E$497:$AV$540=K337,'11.销售及回款表'!$E469:$AV469,0)),'11.销售及回款表'!K469)</f>
        <v>0</v>
      </c>
      <c r="L198" s="277">
        <f t="array" ref="L198">IF(SUM($E338:K338)&lt;1,SUM(IF('11.销售及回款表'!$E$497:$AV$540=L337,'11.销售及回款表'!$E469:$AV469,0)),'11.销售及回款表'!L469)</f>
        <v>0</v>
      </c>
      <c r="M198" s="275">
        <f t="array" ref="M198">IF(SUM($E338:L338)&lt;1,SUM(IF('11.销售及回款表'!$E$497:$AV$540=M337,'11.销售及回款表'!$E469:$AV469,0)),'11.销售及回款表'!M469)</f>
        <v>0</v>
      </c>
      <c r="N198" s="276">
        <f t="array" ref="N198">IF(SUM($E338:M338)&lt;1,SUM(IF('11.销售及回款表'!$E$497:$AV$540=N337,'11.销售及回款表'!$E469:$AV469,0)),'11.销售及回款表'!N469)</f>
        <v>0</v>
      </c>
      <c r="O198" s="276">
        <f t="array" ref="O198">IF(SUM($E338:N338)&lt;1,SUM(IF('11.销售及回款表'!$E$497:$AV$540=O337,'11.销售及回款表'!$E469:$AV469,0)),'11.销售及回款表'!O469)</f>
        <v>0</v>
      </c>
      <c r="P198" s="277">
        <f t="array" ref="P198">IF(SUM($E338:O338)&lt;1,SUM(IF('11.销售及回款表'!$E$497:$AV$540=P337,'11.销售及回款表'!$E469:$AV469,0)),'11.销售及回款表'!P469)</f>
        <v>0</v>
      </c>
      <c r="Q198" s="275">
        <f t="array" ref="Q198">IF(SUM($E338:P338)&lt;1,SUM(IF('11.销售及回款表'!$E$497:$AV$540=Q337,'11.销售及回款表'!$E469:$AV469,0)),'11.销售及回款表'!Q469)</f>
        <v>0</v>
      </c>
      <c r="R198" s="276">
        <f t="array" ref="R198">IF(SUM($E338:Q338)&lt;1,SUM(IF('11.销售及回款表'!$E$497:$AV$540=R337,'11.销售及回款表'!$E469:$AV469,0)),'11.销售及回款表'!R469)</f>
        <v>0</v>
      </c>
      <c r="S198" s="276">
        <f t="array" ref="S198">IF(SUM($E338:R338)&lt;1,SUM(IF('11.销售及回款表'!$E$497:$AV$540=S337,'11.销售及回款表'!$E469:$AV469,0)),'11.销售及回款表'!S469)</f>
        <v>0</v>
      </c>
      <c r="T198" s="277">
        <f t="array" ref="T198">IF(SUM($E338:S338)&lt;1,SUM(IF('11.销售及回款表'!$E$497:$AV$540=T337,'11.销售及回款表'!$E469:$AV469,0)),'11.销售及回款表'!T469)</f>
        <v>0</v>
      </c>
      <c r="U198" s="275">
        <f t="array" ref="U198">IF(SUM($E338:T338)&lt;1,SUM(IF('11.销售及回款表'!$E$497:$AV$540=U337,'11.销售及回款表'!$E469:$AV469,0)),'11.销售及回款表'!U469)</f>
        <v>0</v>
      </c>
      <c r="V198" s="276">
        <f t="array" ref="V198">IF(SUM($E338:U338)&lt;1,SUM(IF('11.销售及回款表'!$E$497:$AV$540=V337,'11.销售及回款表'!$E469:$AV469,0)),'11.销售及回款表'!V469)</f>
        <v>0</v>
      </c>
      <c r="W198" s="276">
        <f t="array" ref="W198">IF(SUM($E338:V338)&lt;1,SUM(IF('11.销售及回款表'!$E$497:$AV$540=W337,'11.销售及回款表'!$E469:$AV469,0)),'11.销售及回款表'!W469)</f>
        <v>0</v>
      </c>
      <c r="X198" s="277">
        <f t="array" ref="X198">IF(SUM($E338:W338)&lt;1,SUM(IF('11.销售及回款表'!$E$497:$AV$540=X337,'11.销售及回款表'!$E469:$AV469,0)),'11.销售及回款表'!X469)</f>
        <v>0</v>
      </c>
      <c r="Y198" s="275">
        <f t="array" ref="Y198">IF(SUM($E338:X338)&lt;1,SUM(IF('11.销售及回款表'!$E$497:$AV$540=Y337,'11.销售及回款表'!$E469:$AV469,0)),'11.销售及回款表'!Y469)</f>
        <v>0</v>
      </c>
      <c r="Z198" s="276">
        <f t="array" ref="Z198">IF(SUM($E338:Y338)&lt;1,SUM(IF('11.销售及回款表'!$E$497:$AV$540=Z337,'11.销售及回款表'!$E469:$AV469,0)),'11.销售及回款表'!Z469)</f>
        <v>0</v>
      </c>
      <c r="AA198" s="276">
        <f t="array" ref="AA198">IF(SUM($E338:Z338)&lt;1,SUM(IF('11.销售及回款表'!$E$497:$AV$540=AA337,'11.销售及回款表'!$E469:$AV469,0)),'11.销售及回款表'!AA469)</f>
        <v>0</v>
      </c>
      <c r="AB198" s="277">
        <f t="array" ref="AB198">IF(SUM($E338:AA338)&lt;1,SUM(IF('11.销售及回款表'!$E$497:$AV$540=AB337,'11.销售及回款表'!$E469:$AV469,0)),'11.销售及回款表'!AB469)</f>
        <v>0</v>
      </c>
      <c r="AC198" s="275">
        <f t="array" ref="AC198">IF(SUM($E338:AB338)&lt;1,SUM(IF('11.销售及回款表'!$E$497:$AV$540=AC337,'11.销售及回款表'!$E469:$AV469,0)),'11.销售及回款表'!AC469)</f>
        <v>0</v>
      </c>
      <c r="AD198" s="276">
        <f t="array" ref="AD198">IF(SUM($E338:AC338)&lt;1,SUM(IF('11.销售及回款表'!$E$497:$AV$540=AD337,'11.销售及回款表'!$E469:$AV469,0)),'11.销售及回款表'!AD469)</f>
        <v>0</v>
      </c>
      <c r="AE198" s="276">
        <f t="array" ref="AE198">IF(SUM($E338:AD338)&lt;1,SUM(IF('11.销售及回款表'!$E$497:$AV$540=AE337,'11.销售及回款表'!$E469:$AV469,0)),'11.销售及回款表'!AE469)</f>
        <v>0</v>
      </c>
      <c r="AF198" s="277">
        <f t="array" ref="AF198">IF(SUM($E338:AE338)&lt;1,SUM(IF('11.销售及回款表'!$E$497:$AV$540=AF337,'11.销售及回款表'!$E469:$AV469,0)),'11.销售及回款表'!AF469)</f>
        <v>0</v>
      </c>
      <c r="AG198" s="275">
        <f t="array" ref="AG198">IF(SUM($E338:AF338)&lt;1,SUM(IF('11.销售及回款表'!$E$497:$AV$540=AG337,'11.销售及回款表'!$E469:$AV469,0)),'11.销售及回款表'!AG469)</f>
        <v>0</v>
      </c>
      <c r="AH198" s="276">
        <f t="array" ref="AH198">IF(SUM($E338:AG338)&lt;1,SUM(IF('11.销售及回款表'!$E$497:$AV$540=AH337,'11.销售及回款表'!$E469:$AV469,0)),'11.销售及回款表'!AH469)</f>
        <v>0</v>
      </c>
      <c r="AI198" s="276">
        <f t="array" ref="AI198">IF(SUM($E338:AH338)&lt;1,SUM(IF('11.销售及回款表'!$E$497:$AV$540=AI337,'11.销售及回款表'!$E469:$AV469,0)),'11.销售及回款表'!AI469)</f>
        <v>0</v>
      </c>
      <c r="AJ198" s="277">
        <f t="array" ref="AJ198">IF(SUM($E338:AI338)&lt;1,SUM(IF('11.销售及回款表'!$E$497:$AV$540=AJ337,'11.销售及回款表'!$E469:$AV469,0)),'11.销售及回款表'!AJ469)</f>
        <v>0</v>
      </c>
      <c r="AK198" s="275">
        <f t="array" ref="AK198">IF(SUM($E338:AJ338)&lt;1,SUM(IF('11.销售及回款表'!$E$497:$AV$540=AK337,'11.销售及回款表'!$E469:$AV469,0)),'11.销售及回款表'!AK469)</f>
        <v>0</v>
      </c>
      <c r="AL198" s="276">
        <f t="array" ref="AL198">IF(SUM($E338:AK338)&lt;1,SUM(IF('11.销售及回款表'!$E$497:$AV$540=AL337,'11.销售及回款表'!$E469:$AV469,0)),'11.销售及回款表'!AL469)</f>
        <v>0</v>
      </c>
      <c r="AM198" s="276">
        <f t="array" ref="AM198">IF(SUM($E338:AL338)&lt;1,SUM(IF('11.销售及回款表'!$E$497:$AV$540=AM337,'11.销售及回款表'!$E469:$AV469,0)),'11.销售及回款表'!AM469)</f>
        <v>0</v>
      </c>
      <c r="AN198" s="277">
        <f t="array" ref="AN198">IF(SUM($E338:AM338)&lt;1,SUM(IF('11.销售及回款表'!$E$497:$AV$540=AN337,'11.销售及回款表'!$E469:$AV469,0)),'11.销售及回款表'!AN469)</f>
        <v>0</v>
      </c>
      <c r="AO198" s="275">
        <f t="array" ref="AO198">IF(SUM($E338:AN338)&lt;1,SUM(IF('11.销售及回款表'!$E$497:$AV$540=AO337,'11.销售及回款表'!$E469:$AV469,0)),'11.销售及回款表'!AO469)</f>
        <v>0</v>
      </c>
      <c r="AP198" s="276">
        <f t="array" ref="AP198">IF(SUM($E338:AO338)&lt;1,SUM(IF('11.销售及回款表'!$E$497:$AV$540=AP337,'11.销售及回款表'!$E469:$AV469,0)),'11.销售及回款表'!AP469)</f>
        <v>0</v>
      </c>
      <c r="AQ198" s="276">
        <f t="array" ref="AQ198">IF(SUM($E338:AP338)&lt;1,SUM(IF('11.销售及回款表'!$E$497:$AV$540=AQ337,'11.销售及回款表'!$E469:$AV469,0)),'11.销售及回款表'!AQ469)</f>
        <v>0</v>
      </c>
      <c r="AR198" s="277">
        <f t="array" ref="AR198">IF(SUM($E338:AQ338)&lt;1,SUM(IF('11.销售及回款表'!$E$497:$AV$540=AR337,'11.销售及回款表'!$E469:$AV469,0)),'11.销售及回款表'!AR469)</f>
        <v>0</v>
      </c>
      <c r="AS198" s="275">
        <f t="array" ref="AS198">IF(SUM($E338:AR338)&lt;1,SUM(IF('11.销售及回款表'!$E$497:$AV$540=AS337,'11.销售及回款表'!$E469:$AV469,0)),'11.销售及回款表'!AS469)</f>
        <v>0</v>
      </c>
      <c r="AT198" s="276">
        <f t="array" ref="AT198">IF(SUM($E338:AS338)&lt;1,SUM(IF('11.销售及回款表'!$E$497:$AV$540=AT337,'11.销售及回款表'!$E469:$AV469,0)),'11.销售及回款表'!AT469)</f>
        <v>0</v>
      </c>
      <c r="AU198" s="276">
        <f t="array" ref="AU198">IF(SUM($E338:AT338)&lt;1,SUM(IF('11.销售及回款表'!$E$497:$AV$540=AU337,'11.销售及回款表'!$E469:$AV469,0)),'11.销售及回款表'!AU469)</f>
        <v>0</v>
      </c>
      <c r="AV198" s="277">
        <f t="array" ref="AV198">IF(SUM($E338:AU338)&lt;1,SUM(IF('11.销售及回款表'!$E$497:$AV$540=AV337,'11.销售及回款表'!$E469:$AV469,0)),'11.销售及回款表'!AV469)</f>
        <v>0</v>
      </c>
    </row>
    <row r="199" spans="2:48" s="257" customFormat="1" ht="15.75" customHeight="1" outlineLevel="2">
      <c r="B199" s="1980"/>
      <c r="C199" s="303">
        <f>'8.项目规划指标表'!$B$12</f>
        <v>0</v>
      </c>
      <c r="D199" s="274">
        <f t="shared" si="38"/>
        <v>0</v>
      </c>
      <c r="E199" s="275">
        <f t="array" ref="E199">IF(SUM(D340:$E340)&lt;1,SUM(IF('11.销售及回款表'!$E$497:$AV$540=E339,'11.销售及回款表'!$E474:$AV474,0)),'11.销售及回款表'!E474)</f>
        <v>0</v>
      </c>
      <c r="F199" s="276">
        <f t="array" ref="F199">IF(SUM(E340:$E340)&lt;1,SUM(IF('11.销售及回款表'!$E$497:$AV$540=F339,'11.销售及回款表'!$E474:$AV474,0)),'11.销售及回款表'!F474)</f>
        <v>0</v>
      </c>
      <c r="G199" s="276">
        <f t="array" ref="G199">IF(SUM($E340:F340)&lt;1,SUM(IF('11.销售及回款表'!$E$497:$AV$540=G339,'11.销售及回款表'!$E474:$AV474,0)),'11.销售及回款表'!G474)</f>
        <v>0</v>
      </c>
      <c r="H199" s="277">
        <f t="array" ref="H199">IF(SUM($E340:G340)&lt;1,SUM(IF('11.销售及回款表'!$E$497:$AV$540=H339,'11.销售及回款表'!$E474:$AV474,0)),'11.销售及回款表'!H474)</f>
        <v>0</v>
      </c>
      <c r="I199" s="275">
        <f t="array" ref="I199">IF(SUM($E340:H340)&lt;1,SUM(IF('11.销售及回款表'!$E$497:$AV$540=I339,'11.销售及回款表'!$E474:$AV474,0)),'11.销售及回款表'!I474)</f>
        <v>0</v>
      </c>
      <c r="J199" s="276">
        <f t="array" ref="J199">IF(SUM($E340:I340)&lt;1,SUM(IF('11.销售及回款表'!$E$497:$AV$540=J339,'11.销售及回款表'!$E474:$AV474,0)),'11.销售及回款表'!J474)</f>
        <v>0</v>
      </c>
      <c r="K199" s="276">
        <f t="array" ref="K199">IF(SUM($E340:J340)&lt;1,SUM(IF('11.销售及回款表'!$E$497:$AV$540=K339,'11.销售及回款表'!$E474:$AV474,0)),'11.销售及回款表'!K474)</f>
        <v>0</v>
      </c>
      <c r="L199" s="277">
        <f t="array" ref="L199">IF(SUM($E340:K340)&lt;1,SUM(IF('11.销售及回款表'!$E$497:$AV$540=L339,'11.销售及回款表'!$E474:$AV474,0)),'11.销售及回款表'!L474)</f>
        <v>0</v>
      </c>
      <c r="M199" s="275">
        <f t="array" ref="M199">IF(SUM($E340:L340)&lt;1,SUM(IF('11.销售及回款表'!$E$497:$AV$540=M339,'11.销售及回款表'!$E474:$AV474,0)),'11.销售及回款表'!M474)</f>
        <v>0</v>
      </c>
      <c r="N199" s="276">
        <f t="array" ref="N199">IF(SUM($E340:M340)&lt;1,SUM(IF('11.销售及回款表'!$E$497:$AV$540=N339,'11.销售及回款表'!$E474:$AV474,0)),'11.销售及回款表'!N474)</f>
        <v>0</v>
      </c>
      <c r="O199" s="276">
        <f t="array" ref="O199">IF(SUM($E340:N340)&lt;1,SUM(IF('11.销售及回款表'!$E$497:$AV$540=O339,'11.销售及回款表'!$E474:$AV474,0)),'11.销售及回款表'!O474)</f>
        <v>0</v>
      </c>
      <c r="P199" s="277">
        <f t="array" ref="P199">IF(SUM($E340:O340)&lt;1,SUM(IF('11.销售及回款表'!$E$497:$AV$540=P339,'11.销售及回款表'!$E474:$AV474,0)),'11.销售及回款表'!P474)</f>
        <v>0</v>
      </c>
      <c r="Q199" s="275">
        <f t="array" ref="Q199">IF(SUM($E340:P340)&lt;1,SUM(IF('11.销售及回款表'!$E$497:$AV$540=Q339,'11.销售及回款表'!$E474:$AV474,0)),'11.销售及回款表'!Q474)</f>
        <v>0</v>
      </c>
      <c r="R199" s="276">
        <f t="array" ref="R199">IF(SUM($E340:Q340)&lt;1,SUM(IF('11.销售及回款表'!$E$497:$AV$540=R339,'11.销售及回款表'!$E474:$AV474,0)),'11.销售及回款表'!R474)</f>
        <v>0</v>
      </c>
      <c r="S199" s="276">
        <f t="array" ref="S199">IF(SUM($E340:R340)&lt;1,SUM(IF('11.销售及回款表'!$E$497:$AV$540=S339,'11.销售及回款表'!$E474:$AV474,0)),'11.销售及回款表'!S474)</f>
        <v>0</v>
      </c>
      <c r="T199" s="277">
        <f t="array" ref="T199">IF(SUM($E340:S340)&lt;1,SUM(IF('11.销售及回款表'!$E$497:$AV$540=T339,'11.销售及回款表'!$E474:$AV474,0)),'11.销售及回款表'!T474)</f>
        <v>0</v>
      </c>
      <c r="U199" s="275">
        <f t="array" ref="U199">IF(SUM($E340:T340)&lt;1,SUM(IF('11.销售及回款表'!$E$497:$AV$540=U339,'11.销售及回款表'!$E474:$AV474,0)),'11.销售及回款表'!U474)</f>
        <v>0</v>
      </c>
      <c r="V199" s="276">
        <f t="array" ref="V199">IF(SUM($E340:U340)&lt;1,SUM(IF('11.销售及回款表'!$E$497:$AV$540=V339,'11.销售及回款表'!$E474:$AV474,0)),'11.销售及回款表'!V474)</f>
        <v>0</v>
      </c>
      <c r="W199" s="276">
        <f t="array" ref="W199">IF(SUM($E340:V340)&lt;1,SUM(IF('11.销售及回款表'!$E$497:$AV$540=W339,'11.销售及回款表'!$E474:$AV474,0)),'11.销售及回款表'!W474)</f>
        <v>0</v>
      </c>
      <c r="X199" s="277">
        <f t="array" ref="X199">IF(SUM($E340:W340)&lt;1,SUM(IF('11.销售及回款表'!$E$497:$AV$540=X339,'11.销售及回款表'!$E474:$AV474,0)),'11.销售及回款表'!X474)</f>
        <v>0</v>
      </c>
      <c r="Y199" s="275">
        <f t="array" ref="Y199">IF(SUM($E340:X340)&lt;1,SUM(IF('11.销售及回款表'!$E$497:$AV$540=Y339,'11.销售及回款表'!$E474:$AV474,0)),'11.销售及回款表'!Y474)</f>
        <v>0</v>
      </c>
      <c r="Z199" s="276">
        <f t="array" ref="Z199">IF(SUM($E340:Y340)&lt;1,SUM(IF('11.销售及回款表'!$E$497:$AV$540=Z339,'11.销售及回款表'!$E474:$AV474,0)),'11.销售及回款表'!Z474)</f>
        <v>0</v>
      </c>
      <c r="AA199" s="276">
        <f t="array" ref="AA199">IF(SUM($E340:Z340)&lt;1,SUM(IF('11.销售及回款表'!$E$497:$AV$540=AA339,'11.销售及回款表'!$E474:$AV474,0)),'11.销售及回款表'!AA474)</f>
        <v>0</v>
      </c>
      <c r="AB199" s="277">
        <f t="array" ref="AB199">IF(SUM($E340:AA340)&lt;1,SUM(IF('11.销售及回款表'!$E$497:$AV$540=AB339,'11.销售及回款表'!$E474:$AV474,0)),'11.销售及回款表'!AB474)</f>
        <v>0</v>
      </c>
      <c r="AC199" s="275">
        <f t="array" ref="AC199">IF(SUM($E340:AB340)&lt;1,SUM(IF('11.销售及回款表'!$E$497:$AV$540=AC339,'11.销售及回款表'!$E474:$AV474,0)),'11.销售及回款表'!AC474)</f>
        <v>0</v>
      </c>
      <c r="AD199" s="276">
        <f t="array" ref="AD199">IF(SUM($E340:AC340)&lt;1,SUM(IF('11.销售及回款表'!$E$497:$AV$540=AD339,'11.销售及回款表'!$E474:$AV474,0)),'11.销售及回款表'!AD474)</f>
        <v>0</v>
      </c>
      <c r="AE199" s="276">
        <f t="array" ref="AE199">IF(SUM($E340:AD340)&lt;1,SUM(IF('11.销售及回款表'!$E$497:$AV$540=AE339,'11.销售及回款表'!$E474:$AV474,0)),'11.销售及回款表'!AE474)</f>
        <v>0</v>
      </c>
      <c r="AF199" s="277">
        <f t="array" ref="AF199">IF(SUM($E340:AE340)&lt;1,SUM(IF('11.销售及回款表'!$E$497:$AV$540=AF339,'11.销售及回款表'!$E474:$AV474,0)),'11.销售及回款表'!AF474)</f>
        <v>0</v>
      </c>
      <c r="AG199" s="275">
        <f t="array" ref="AG199">IF(SUM($E340:AF340)&lt;1,SUM(IF('11.销售及回款表'!$E$497:$AV$540=AG339,'11.销售及回款表'!$E474:$AV474,0)),'11.销售及回款表'!AG474)</f>
        <v>0</v>
      </c>
      <c r="AH199" s="276">
        <f t="array" ref="AH199">IF(SUM($E340:AG340)&lt;1,SUM(IF('11.销售及回款表'!$E$497:$AV$540=AH339,'11.销售及回款表'!$E474:$AV474,0)),'11.销售及回款表'!AH474)</f>
        <v>0</v>
      </c>
      <c r="AI199" s="276">
        <f t="array" ref="AI199">IF(SUM($E340:AH340)&lt;1,SUM(IF('11.销售及回款表'!$E$497:$AV$540=AI339,'11.销售及回款表'!$E474:$AV474,0)),'11.销售及回款表'!AI474)</f>
        <v>0</v>
      </c>
      <c r="AJ199" s="277">
        <f t="array" ref="AJ199">IF(SUM($E340:AI340)&lt;1,SUM(IF('11.销售及回款表'!$E$497:$AV$540=AJ339,'11.销售及回款表'!$E474:$AV474,0)),'11.销售及回款表'!AJ474)</f>
        <v>0</v>
      </c>
      <c r="AK199" s="275">
        <f t="array" ref="AK199">IF(SUM($E340:AJ340)&lt;1,SUM(IF('11.销售及回款表'!$E$497:$AV$540=AK339,'11.销售及回款表'!$E474:$AV474,0)),'11.销售及回款表'!AK474)</f>
        <v>0</v>
      </c>
      <c r="AL199" s="276">
        <f t="array" ref="AL199">IF(SUM($E340:AK340)&lt;1,SUM(IF('11.销售及回款表'!$E$497:$AV$540=AL339,'11.销售及回款表'!$E474:$AV474,0)),'11.销售及回款表'!AL474)</f>
        <v>0</v>
      </c>
      <c r="AM199" s="276">
        <f t="array" ref="AM199">IF(SUM($E340:AL340)&lt;1,SUM(IF('11.销售及回款表'!$E$497:$AV$540=AM339,'11.销售及回款表'!$E474:$AV474,0)),'11.销售及回款表'!AM474)</f>
        <v>0</v>
      </c>
      <c r="AN199" s="277">
        <f t="array" ref="AN199">IF(SUM($E340:AM340)&lt;1,SUM(IF('11.销售及回款表'!$E$497:$AV$540=AN339,'11.销售及回款表'!$E474:$AV474,0)),'11.销售及回款表'!AN474)</f>
        <v>0</v>
      </c>
      <c r="AO199" s="275">
        <f t="array" ref="AO199">IF(SUM($E340:AN340)&lt;1,SUM(IF('11.销售及回款表'!$E$497:$AV$540=AO339,'11.销售及回款表'!$E474:$AV474,0)),'11.销售及回款表'!AO474)</f>
        <v>0</v>
      </c>
      <c r="AP199" s="276">
        <f t="array" ref="AP199">IF(SUM($E340:AO340)&lt;1,SUM(IF('11.销售及回款表'!$E$497:$AV$540=AP339,'11.销售及回款表'!$E474:$AV474,0)),'11.销售及回款表'!AP474)</f>
        <v>0</v>
      </c>
      <c r="AQ199" s="276">
        <f t="array" ref="AQ199">IF(SUM($E340:AP340)&lt;1,SUM(IF('11.销售及回款表'!$E$497:$AV$540=AQ339,'11.销售及回款表'!$E474:$AV474,0)),'11.销售及回款表'!AQ474)</f>
        <v>0</v>
      </c>
      <c r="AR199" s="277">
        <f t="array" ref="AR199">IF(SUM($E340:AQ340)&lt;1,SUM(IF('11.销售及回款表'!$E$497:$AV$540=AR339,'11.销售及回款表'!$E474:$AV474,0)),'11.销售及回款表'!AR474)</f>
        <v>0</v>
      </c>
      <c r="AS199" s="275">
        <f t="array" ref="AS199">IF(SUM($E340:AR340)&lt;1,SUM(IF('11.销售及回款表'!$E$497:$AV$540=AS339,'11.销售及回款表'!$E474:$AV474,0)),'11.销售及回款表'!AS474)</f>
        <v>0</v>
      </c>
      <c r="AT199" s="276">
        <f t="array" ref="AT199">IF(SUM($E340:AS340)&lt;1,SUM(IF('11.销售及回款表'!$E$497:$AV$540=AT339,'11.销售及回款表'!$E474:$AV474,0)),'11.销售及回款表'!AT474)</f>
        <v>0</v>
      </c>
      <c r="AU199" s="276">
        <f t="array" ref="AU199">IF(SUM($E340:AT340)&lt;1,SUM(IF('11.销售及回款表'!$E$497:$AV$540=AU339,'11.销售及回款表'!$E474:$AV474,0)),'11.销售及回款表'!AU474)</f>
        <v>0</v>
      </c>
      <c r="AV199" s="277">
        <f t="array" ref="AV199">IF(SUM($E340:AU340)&lt;1,SUM(IF('11.销售及回款表'!$E$497:$AV$540=AV339,'11.销售及回款表'!$E474:$AV474,0)),'11.销售及回款表'!AV474)</f>
        <v>0</v>
      </c>
    </row>
    <row r="200" spans="2:48" s="257" customFormat="1" ht="15.75" customHeight="1" outlineLevel="2">
      <c r="B200" s="1980"/>
      <c r="C200" s="303">
        <f>'8.项目规划指标表'!$B$13</f>
        <v>0</v>
      </c>
      <c r="D200" s="274">
        <f t="shared" si="38"/>
        <v>0</v>
      </c>
      <c r="E200" s="275">
        <f t="array" ref="E200">IF(SUM(D342:$E342)&lt;1,SUM(IF('11.销售及回款表'!$E$497:$AV$540=E341,'11.销售及回款表'!$E479:$AV479,0)),'11.销售及回款表'!E479)</f>
        <v>0</v>
      </c>
      <c r="F200" s="276">
        <f t="array" ref="F200">IF(SUM(E342:$E342)&lt;1,SUM(IF('11.销售及回款表'!$E$497:$AV$540=F341,'11.销售及回款表'!$E479:$AV479,0)),'11.销售及回款表'!F479)</f>
        <v>0</v>
      </c>
      <c r="G200" s="276">
        <f t="array" ref="G200">IF(SUM($E342:F342)&lt;1,SUM(IF('11.销售及回款表'!$E$497:$AV$540=G341,'11.销售及回款表'!$E479:$AV479,0)),'11.销售及回款表'!G479)</f>
        <v>0</v>
      </c>
      <c r="H200" s="277">
        <f t="array" ref="H200">IF(SUM($E342:G342)&lt;1,SUM(IF('11.销售及回款表'!$E$497:$AV$540=H341,'11.销售及回款表'!$E479:$AV479,0)),'11.销售及回款表'!H479)</f>
        <v>0</v>
      </c>
      <c r="I200" s="275">
        <f t="array" ref="I200">IF(SUM($E342:H342)&lt;1,SUM(IF('11.销售及回款表'!$E$497:$AV$540=I341,'11.销售及回款表'!$E479:$AV479,0)),'11.销售及回款表'!I479)</f>
        <v>0</v>
      </c>
      <c r="J200" s="276">
        <f t="array" ref="J200">IF(SUM($E342:I342)&lt;1,SUM(IF('11.销售及回款表'!$E$497:$AV$540=J341,'11.销售及回款表'!$E479:$AV479,0)),'11.销售及回款表'!J479)</f>
        <v>0</v>
      </c>
      <c r="K200" s="276">
        <f t="array" ref="K200">IF(SUM($E342:J342)&lt;1,SUM(IF('11.销售及回款表'!$E$497:$AV$540=K341,'11.销售及回款表'!$E479:$AV479,0)),'11.销售及回款表'!K479)</f>
        <v>0</v>
      </c>
      <c r="L200" s="277">
        <f t="array" ref="L200">IF(SUM($E342:K342)&lt;1,SUM(IF('11.销售及回款表'!$E$497:$AV$540=L341,'11.销售及回款表'!$E479:$AV479,0)),'11.销售及回款表'!L479)</f>
        <v>0</v>
      </c>
      <c r="M200" s="275">
        <f t="array" ref="M200">IF(SUM($E342:L342)&lt;1,SUM(IF('11.销售及回款表'!$E$497:$AV$540=M341,'11.销售及回款表'!$E479:$AV479,0)),'11.销售及回款表'!M479)</f>
        <v>0</v>
      </c>
      <c r="N200" s="276">
        <f t="array" ref="N200">IF(SUM($E342:M342)&lt;1,SUM(IF('11.销售及回款表'!$E$497:$AV$540=N341,'11.销售及回款表'!$E479:$AV479,0)),'11.销售及回款表'!N479)</f>
        <v>0</v>
      </c>
      <c r="O200" s="276">
        <f t="array" ref="O200">IF(SUM($E342:N342)&lt;1,SUM(IF('11.销售及回款表'!$E$497:$AV$540=O341,'11.销售及回款表'!$E479:$AV479,0)),'11.销售及回款表'!O479)</f>
        <v>0</v>
      </c>
      <c r="P200" s="277">
        <f t="array" ref="P200">IF(SUM($E342:O342)&lt;1,SUM(IF('11.销售及回款表'!$E$497:$AV$540=P341,'11.销售及回款表'!$E479:$AV479,0)),'11.销售及回款表'!P479)</f>
        <v>0</v>
      </c>
      <c r="Q200" s="275">
        <f t="array" ref="Q200">IF(SUM($E342:P342)&lt;1,SUM(IF('11.销售及回款表'!$E$497:$AV$540=Q341,'11.销售及回款表'!$E479:$AV479,0)),'11.销售及回款表'!Q479)</f>
        <v>0</v>
      </c>
      <c r="R200" s="276">
        <f t="array" ref="R200">IF(SUM($E342:Q342)&lt;1,SUM(IF('11.销售及回款表'!$E$497:$AV$540=R341,'11.销售及回款表'!$E479:$AV479,0)),'11.销售及回款表'!R479)</f>
        <v>0</v>
      </c>
      <c r="S200" s="276">
        <f t="array" ref="S200">IF(SUM($E342:R342)&lt;1,SUM(IF('11.销售及回款表'!$E$497:$AV$540=S341,'11.销售及回款表'!$E479:$AV479,0)),'11.销售及回款表'!S479)</f>
        <v>0</v>
      </c>
      <c r="T200" s="277">
        <f t="array" ref="T200">IF(SUM($E342:S342)&lt;1,SUM(IF('11.销售及回款表'!$E$497:$AV$540=T341,'11.销售及回款表'!$E479:$AV479,0)),'11.销售及回款表'!T479)</f>
        <v>0</v>
      </c>
      <c r="U200" s="275">
        <f t="array" ref="U200">IF(SUM($E342:T342)&lt;1,SUM(IF('11.销售及回款表'!$E$497:$AV$540=U341,'11.销售及回款表'!$E479:$AV479,0)),'11.销售及回款表'!U479)</f>
        <v>0</v>
      </c>
      <c r="V200" s="276">
        <f t="array" ref="V200">IF(SUM($E342:U342)&lt;1,SUM(IF('11.销售及回款表'!$E$497:$AV$540=V341,'11.销售及回款表'!$E479:$AV479,0)),'11.销售及回款表'!V479)</f>
        <v>0</v>
      </c>
      <c r="W200" s="276">
        <f t="array" ref="W200">IF(SUM($E342:V342)&lt;1,SUM(IF('11.销售及回款表'!$E$497:$AV$540=W341,'11.销售及回款表'!$E479:$AV479,0)),'11.销售及回款表'!W479)</f>
        <v>0</v>
      </c>
      <c r="X200" s="277">
        <f t="array" ref="X200">IF(SUM($E342:W342)&lt;1,SUM(IF('11.销售及回款表'!$E$497:$AV$540=X341,'11.销售及回款表'!$E479:$AV479,0)),'11.销售及回款表'!X479)</f>
        <v>0</v>
      </c>
      <c r="Y200" s="275">
        <f t="array" ref="Y200">IF(SUM($E342:X342)&lt;1,SUM(IF('11.销售及回款表'!$E$497:$AV$540=Y341,'11.销售及回款表'!$E479:$AV479,0)),'11.销售及回款表'!Y479)</f>
        <v>0</v>
      </c>
      <c r="Z200" s="276">
        <f t="array" ref="Z200">IF(SUM($E342:Y342)&lt;1,SUM(IF('11.销售及回款表'!$E$497:$AV$540=Z341,'11.销售及回款表'!$E479:$AV479,0)),'11.销售及回款表'!Z479)</f>
        <v>0</v>
      </c>
      <c r="AA200" s="276">
        <f t="array" ref="AA200">IF(SUM($E342:Z342)&lt;1,SUM(IF('11.销售及回款表'!$E$497:$AV$540=AA341,'11.销售及回款表'!$E479:$AV479,0)),'11.销售及回款表'!AA479)</f>
        <v>0</v>
      </c>
      <c r="AB200" s="277">
        <f t="array" ref="AB200">IF(SUM($E342:AA342)&lt;1,SUM(IF('11.销售及回款表'!$E$497:$AV$540=AB341,'11.销售及回款表'!$E479:$AV479,0)),'11.销售及回款表'!AB479)</f>
        <v>0</v>
      </c>
      <c r="AC200" s="275">
        <f t="array" ref="AC200">IF(SUM($E342:AB342)&lt;1,SUM(IF('11.销售及回款表'!$E$497:$AV$540=AC341,'11.销售及回款表'!$E479:$AV479,0)),'11.销售及回款表'!AC479)</f>
        <v>0</v>
      </c>
      <c r="AD200" s="276">
        <f t="array" ref="AD200">IF(SUM($E342:AC342)&lt;1,SUM(IF('11.销售及回款表'!$E$497:$AV$540=AD341,'11.销售及回款表'!$E479:$AV479,0)),'11.销售及回款表'!AD479)</f>
        <v>0</v>
      </c>
      <c r="AE200" s="276">
        <f t="array" ref="AE200">IF(SUM($E342:AD342)&lt;1,SUM(IF('11.销售及回款表'!$E$497:$AV$540=AE341,'11.销售及回款表'!$E479:$AV479,0)),'11.销售及回款表'!AE479)</f>
        <v>0</v>
      </c>
      <c r="AF200" s="277">
        <f t="array" ref="AF200">IF(SUM($E342:AE342)&lt;1,SUM(IF('11.销售及回款表'!$E$497:$AV$540=AF341,'11.销售及回款表'!$E479:$AV479,0)),'11.销售及回款表'!AF479)</f>
        <v>0</v>
      </c>
      <c r="AG200" s="275">
        <f t="array" ref="AG200">IF(SUM($E342:AF342)&lt;1,SUM(IF('11.销售及回款表'!$E$497:$AV$540=AG341,'11.销售及回款表'!$E479:$AV479,0)),'11.销售及回款表'!AG479)</f>
        <v>0</v>
      </c>
      <c r="AH200" s="276">
        <f t="array" ref="AH200">IF(SUM($E342:AG342)&lt;1,SUM(IF('11.销售及回款表'!$E$497:$AV$540=AH341,'11.销售及回款表'!$E479:$AV479,0)),'11.销售及回款表'!AH479)</f>
        <v>0</v>
      </c>
      <c r="AI200" s="276">
        <f t="array" ref="AI200">IF(SUM($E342:AH342)&lt;1,SUM(IF('11.销售及回款表'!$E$497:$AV$540=AI341,'11.销售及回款表'!$E479:$AV479,0)),'11.销售及回款表'!AI479)</f>
        <v>0</v>
      </c>
      <c r="AJ200" s="277">
        <f t="array" ref="AJ200">IF(SUM($E342:AI342)&lt;1,SUM(IF('11.销售及回款表'!$E$497:$AV$540=AJ341,'11.销售及回款表'!$E479:$AV479,0)),'11.销售及回款表'!AJ479)</f>
        <v>0</v>
      </c>
      <c r="AK200" s="275">
        <f t="array" ref="AK200">IF(SUM($E342:AJ342)&lt;1,SUM(IF('11.销售及回款表'!$E$497:$AV$540=AK341,'11.销售及回款表'!$E479:$AV479,0)),'11.销售及回款表'!AK479)</f>
        <v>0</v>
      </c>
      <c r="AL200" s="276">
        <f t="array" ref="AL200">IF(SUM($E342:AK342)&lt;1,SUM(IF('11.销售及回款表'!$E$497:$AV$540=AL341,'11.销售及回款表'!$E479:$AV479,0)),'11.销售及回款表'!AL479)</f>
        <v>0</v>
      </c>
      <c r="AM200" s="276">
        <f t="array" ref="AM200">IF(SUM($E342:AL342)&lt;1,SUM(IF('11.销售及回款表'!$E$497:$AV$540=AM341,'11.销售及回款表'!$E479:$AV479,0)),'11.销售及回款表'!AM479)</f>
        <v>0</v>
      </c>
      <c r="AN200" s="277">
        <f t="array" ref="AN200">IF(SUM($E342:AM342)&lt;1,SUM(IF('11.销售及回款表'!$E$497:$AV$540=AN341,'11.销售及回款表'!$E479:$AV479,0)),'11.销售及回款表'!AN479)</f>
        <v>0</v>
      </c>
      <c r="AO200" s="275">
        <f t="array" ref="AO200">IF(SUM($E342:AN342)&lt;1,SUM(IF('11.销售及回款表'!$E$497:$AV$540=AO341,'11.销售及回款表'!$E479:$AV479,0)),'11.销售及回款表'!AO479)</f>
        <v>0</v>
      </c>
      <c r="AP200" s="276">
        <f t="array" ref="AP200">IF(SUM($E342:AO342)&lt;1,SUM(IF('11.销售及回款表'!$E$497:$AV$540=AP341,'11.销售及回款表'!$E479:$AV479,0)),'11.销售及回款表'!AP479)</f>
        <v>0</v>
      </c>
      <c r="AQ200" s="276">
        <f t="array" ref="AQ200">IF(SUM($E342:AP342)&lt;1,SUM(IF('11.销售及回款表'!$E$497:$AV$540=AQ341,'11.销售及回款表'!$E479:$AV479,0)),'11.销售及回款表'!AQ479)</f>
        <v>0</v>
      </c>
      <c r="AR200" s="277">
        <f t="array" ref="AR200">IF(SUM($E342:AQ342)&lt;1,SUM(IF('11.销售及回款表'!$E$497:$AV$540=AR341,'11.销售及回款表'!$E479:$AV479,0)),'11.销售及回款表'!AR479)</f>
        <v>0</v>
      </c>
      <c r="AS200" s="275">
        <f t="array" ref="AS200">IF(SUM($E342:AR342)&lt;1,SUM(IF('11.销售及回款表'!$E$497:$AV$540=AS341,'11.销售及回款表'!$E479:$AV479,0)),'11.销售及回款表'!AS479)</f>
        <v>0</v>
      </c>
      <c r="AT200" s="276">
        <f t="array" ref="AT200">IF(SUM($E342:AS342)&lt;1,SUM(IF('11.销售及回款表'!$E$497:$AV$540=AT341,'11.销售及回款表'!$E479:$AV479,0)),'11.销售及回款表'!AT479)</f>
        <v>0</v>
      </c>
      <c r="AU200" s="276">
        <f t="array" ref="AU200">IF(SUM($E342:AT342)&lt;1,SUM(IF('11.销售及回款表'!$E$497:$AV$540=AU341,'11.销售及回款表'!$E479:$AV479,0)),'11.销售及回款表'!AU479)</f>
        <v>0</v>
      </c>
      <c r="AV200" s="277">
        <f t="array" ref="AV200">IF(SUM($E342:AU342)&lt;1,SUM(IF('11.销售及回款表'!$E$497:$AV$540=AV341,'11.销售及回款表'!$E479:$AV479,0)),'11.销售及回款表'!AV479)</f>
        <v>0</v>
      </c>
    </row>
    <row r="201" spans="2:48" s="257" customFormat="1" ht="15.75" customHeight="1" outlineLevel="2">
      <c r="B201" s="1980"/>
      <c r="C201" s="303" t="str">
        <f>'8.项目规划指标表'!$B$14</f>
        <v>自持物业</v>
      </c>
      <c r="D201" s="274">
        <f t="shared" si="38"/>
        <v>0</v>
      </c>
      <c r="E201" s="275">
        <f t="array" ref="E201">IF(SUM(D344:$E344)&lt;1,SUM(IF('11.销售及回款表'!$E$497:$AV$540=E343,'11.销售及回款表'!$E484:$AV484,0)),'11.销售及回款表'!E484)</f>
        <v>0</v>
      </c>
      <c r="F201" s="276">
        <f t="array" ref="F201">IF(SUM(E344:$E344)&lt;1,SUM(IF('11.销售及回款表'!$E$497:$AV$540=F343,'11.销售及回款表'!$E484:$AV484,0)),'11.销售及回款表'!F484)</f>
        <v>0</v>
      </c>
      <c r="G201" s="276">
        <f t="array" ref="G201">IF(SUM($E344:F344)&lt;1,SUM(IF('11.销售及回款表'!$E$497:$AV$540=G343,'11.销售及回款表'!$E484:$AV484,0)),'11.销售及回款表'!G484)</f>
        <v>0</v>
      </c>
      <c r="H201" s="277">
        <f t="array" ref="H201">IF(SUM($E344:G344)&lt;1,SUM(IF('11.销售及回款表'!$E$497:$AV$540=H343,'11.销售及回款表'!$E484:$AV484,0)),'11.销售及回款表'!H484)</f>
        <v>0</v>
      </c>
      <c r="I201" s="275">
        <f t="array" ref="I201">IF(SUM($E344:H344)&lt;1,SUM(IF('11.销售及回款表'!$E$497:$AV$540=I343,'11.销售及回款表'!$E484:$AV484,0)),'11.销售及回款表'!I484)</f>
        <v>0</v>
      </c>
      <c r="J201" s="276">
        <f t="array" ref="J201">IF(SUM($E344:I344)&lt;1,SUM(IF('11.销售及回款表'!$E$497:$AV$540=J343,'11.销售及回款表'!$E484:$AV484,0)),'11.销售及回款表'!J484)</f>
        <v>0</v>
      </c>
      <c r="K201" s="276">
        <f t="array" ref="K201">IF(SUM($E344:J344)&lt;1,SUM(IF('11.销售及回款表'!$E$497:$AV$540=K343,'11.销售及回款表'!$E484:$AV484,0)),'11.销售及回款表'!K484)</f>
        <v>0</v>
      </c>
      <c r="L201" s="277">
        <f t="array" ref="L201">IF(SUM($E344:K344)&lt;1,SUM(IF('11.销售及回款表'!$E$497:$AV$540=L343,'11.销售及回款表'!$E484:$AV484,0)),'11.销售及回款表'!L484)</f>
        <v>0</v>
      </c>
      <c r="M201" s="275">
        <f t="array" ref="M201">IF(SUM($E344:L344)&lt;1,SUM(IF('11.销售及回款表'!$E$497:$AV$540=M343,'11.销售及回款表'!$E484:$AV484,0)),'11.销售及回款表'!M484)</f>
        <v>0</v>
      </c>
      <c r="N201" s="276">
        <f t="array" ref="N201">IF(SUM($E344:M344)&lt;1,SUM(IF('11.销售及回款表'!$E$497:$AV$540=N343,'11.销售及回款表'!$E484:$AV484,0)),'11.销售及回款表'!N484)</f>
        <v>0</v>
      </c>
      <c r="O201" s="276">
        <f t="array" ref="O201">IF(SUM($E344:N344)&lt;1,SUM(IF('11.销售及回款表'!$E$497:$AV$540=O343,'11.销售及回款表'!$E484:$AV484,0)),'11.销售及回款表'!O484)</f>
        <v>0</v>
      </c>
      <c r="P201" s="277">
        <f t="array" ref="P201">IF(SUM($E344:O344)&lt;1,SUM(IF('11.销售及回款表'!$E$497:$AV$540=P343,'11.销售及回款表'!$E484:$AV484,0)),'11.销售及回款表'!P484)</f>
        <v>0</v>
      </c>
      <c r="Q201" s="275">
        <f t="array" ref="Q201">IF(SUM($E344:P344)&lt;1,SUM(IF('11.销售及回款表'!$E$497:$AV$540=Q343,'11.销售及回款表'!$E484:$AV484,0)),'11.销售及回款表'!Q484)</f>
        <v>0</v>
      </c>
      <c r="R201" s="276">
        <f t="array" ref="R201">IF(SUM($E344:Q344)&lt;1,SUM(IF('11.销售及回款表'!$E$497:$AV$540=R343,'11.销售及回款表'!$E484:$AV484,0)),'11.销售及回款表'!R484)</f>
        <v>0</v>
      </c>
      <c r="S201" s="276">
        <f t="array" ref="S201">IF(SUM($E344:R344)&lt;1,SUM(IF('11.销售及回款表'!$E$497:$AV$540=S343,'11.销售及回款表'!$E484:$AV484,0)),'11.销售及回款表'!S484)</f>
        <v>0</v>
      </c>
      <c r="T201" s="277">
        <f t="array" ref="T201">IF(SUM($E344:S344)&lt;1,SUM(IF('11.销售及回款表'!$E$497:$AV$540=T343,'11.销售及回款表'!$E484:$AV484,0)),'11.销售及回款表'!T484)</f>
        <v>0</v>
      </c>
      <c r="U201" s="275">
        <f t="array" ref="U201">IF(SUM($E344:T344)&lt;1,SUM(IF('11.销售及回款表'!$E$497:$AV$540=U343,'11.销售及回款表'!$E484:$AV484,0)),'11.销售及回款表'!U484)</f>
        <v>0</v>
      </c>
      <c r="V201" s="276">
        <f t="array" ref="V201">IF(SUM($E344:U344)&lt;1,SUM(IF('11.销售及回款表'!$E$497:$AV$540=V343,'11.销售及回款表'!$E484:$AV484,0)),'11.销售及回款表'!V484)</f>
        <v>0</v>
      </c>
      <c r="W201" s="276">
        <f t="array" ref="W201">IF(SUM($E344:V344)&lt;1,SUM(IF('11.销售及回款表'!$E$497:$AV$540=W343,'11.销售及回款表'!$E484:$AV484,0)),'11.销售及回款表'!W484)</f>
        <v>0</v>
      </c>
      <c r="X201" s="277">
        <f t="array" ref="X201">IF(SUM($E344:W344)&lt;1,SUM(IF('11.销售及回款表'!$E$497:$AV$540=X343,'11.销售及回款表'!$E484:$AV484,0)),'11.销售及回款表'!X484)</f>
        <v>0</v>
      </c>
      <c r="Y201" s="275">
        <f t="array" ref="Y201">IF(SUM($E344:X344)&lt;1,SUM(IF('11.销售及回款表'!$E$497:$AV$540=Y343,'11.销售及回款表'!$E484:$AV484,0)),'11.销售及回款表'!Y484)</f>
        <v>0</v>
      </c>
      <c r="Z201" s="276">
        <f t="array" ref="Z201">IF(SUM($E344:Y344)&lt;1,SUM(IF('11.销售及回款表'!$E$497:$AV$540=Z343,'11.销售及回款表'!$E484:$AV484,0)),'11.销售及回款表'!Z484)</f>
        <v>0</v>
      </c>
      <c r="AA201" s="276">
        <f t="array" ref="AA201">IF(SUM($E344:Z344)&lt;1,SUM(IF('11.销售及回款表'!$E$497:$AV$540=AA343,'11.销售及回款表'!$E484:$AV484,0)),'11.销售及回款表'!AA484)</f>
        <v>0</v>
      </c>
      <c r="AB201" s="277">
        <f t="array" ref="AB201">IF(SUM($E344:AA344)&lt;1,SUM(IF('11.销售及回款表'!$E$497:$AV$540=AB343,'11.销售及回款表'!$E484:$AV484,0)),'11.销售及回款表'!AB484)</f>
        <v>0</v>
      </c>
      <c r="AC201" s="275">
        <f t="array" ref="AC201">IF(SUM($E344:AB344)&lt;1,SUM(IF('11.销售及回款表'!$E$497:$AV$540=AC343,'11.销售及回款表'!$E484:$AV484,0)),'11.销售及回款表'!AC484)</f>
        <v>0</v>
      </c>
      <c r="AD201" s="276">
        <f t="array" ref="AD201">IF(SUM($E344:AC344)&lt;1,SUM(IF('11.销售及回款表'!$E$497:$AV$540=AD343,'11.销售及回款表'!$E484:$AV484,0)),'11.销售及回款表'!AD484)</f>
        <v>0</v>
      </c>
      <c r="AE201" s="276">
        <f t="array" ref="AE201">IF(SUM($E344:AD344)&lt;1,SUM(IF('11.销售及回款表'!$E$497:$AV$540=AE343,'11.销售及回款表'!$E484:$AV484,0)),'11.销售及回款表'!AE484)</f>
        <v>0</v>
      </c>
      <c r="AF201" s="277">
        <f t="array" ref="AF201">IF(SUM($E344:AE344)&lt;1,SUM(IF('11.销售及回款表'!$E$497:$AV$540=AF343,'11.销售及回款表'!$E484:$AV484,0)),'11.销售及回款表'!AF484)</f>
        <v>0</v>
      </c>
      <c r="AG201" s="275">
        <f t="array" ref="AG201">IF(SUM($E344:AF344)&lt;1,SUM(IF('11.销售及回款表'!$E$497:$AV$540=AG343,'11.销售及回款表'!$E484:$AV484,0)),'11.销售及回款表'!AG484)</f>
        <v>0</v>
      </c>
      <c r="AH201" s="276">
        <f t="array" ref="AH201">IF(SUM($E344:AG344)&lt;1,SUM(IF('11.销售及回款表'!$E$497:$AV$540=AH343,'11.销售及回款表'!$E484:$AV484,0)),'11.销售及回款表'!AH484)</f>
        <v>0</v>
      </c>
      <c r="AI201" s="276">
        <f t="array" ref="AI201">IF(SUM($E344:AH344)&lt;1,SUM(IF('11.销售及回款表'!$E$497:$AV$540=AI343,'11.销售及回款表'!$E484:$AV484,0)),'11.销售及回款表'!AI484)</f>
        <v>0</v>
      </c>
      <c r="AJ201" s="277">
        <f t="array" ref="AJ201">IF(SUM($E344:AI344)&lt;1,SUM(IF('11.销售及回款表'!$E$497:$AV$540=AJ343,'11.销售及回款表'!$E484:$AV484,0)),'11.销售及回款表'!AJ484)</f>
        <v>0</v>
      </c>
      <c r="AK201" s="275">
        <f t="array" ref="AK201">IF(SUM($E344:AJ344)&lt;1,SUM(IF('11.销售及回款表'!$E$497:$AV$540=AK343,'11.销售及回款表'!$E484:$AV484,0)),'11.销售及回款表'!AK484)</f>
        <v>0</v>
      </c>
      <c r="AL201" s="276">
        <f t="array" ref="AL201">IF(SUM($E344:AK344)&lt;1,SUM(IF('11.销售及回款表'!$E$497:$AV$540=AL343,'11.销售及回款表'!$E484:$AV484,0)),'11.销售及回款表'!AL484)</f>
        <v>0</v>
      </c>
      <c r="AM201" s="276">
        <f t="array" ref="AM201">IF(SUM($E344:AL344)&lt;1,SUM(IF('11.销售及回款表'!$E$497:$AV$540=AM343,'11.销售及回款表'!$E484:$AV484,0)),'11.销售及回款表'!AM484)</f>
        <v>0</v>
      </c>
      <c r="AN201" s="277">
        <f t="array" ref="AN201">IF(SUM($E344:AM344)&lt;1,SUM(IF('11.销售及回款表'!$E$497:$AV$540=AN343,'11.销售及回款表'!$E484:$AV484,0)),'11.销售及回款表'!AN484)</f>
        <v>0</v>
      </c>
      <c r="AO201" s="275">
        <f t="array" ref="AO201">IF(SUM($E344:AN344)&lt;1,SUM(IF('11.销售及回款表'!$E$497:$AV$540=AO343,'11.销售及回款表'!$E484:$AV484,0)),'11.销售及回款表'!AO484)</f>
        <v>0</v>
      </c>
      <c r="AP201" s="276">
        <f t="array" ref="AP201">IF(SUM($E344:AO344)&lt;1,SUM(IF('11.销售及回款表'!$E$497:$AV$540=AP343,'11.销售及回款表'!$E484:$AV484,0)),'11.销售及回款表'!AP484)</f>
        <v>0</v>
      </c>
      <c r="AQ201" s="276">
        <f t="array" ref="AQ201">IF(SUM($E344:AP344)&lt;1,SUM(IF('11.销售及回款表'!$E$497:$AV$540=AQ343,'11.销售及回款表'!$E484:$AV484,0)),'11.销售及回款表'!AQ484)</f>
        <v>0</v>
      </c>
      <c r="AR201" s="277">
        <f t="array" ref="AR201">IF(SUM($E344:AQ344)&lt;1,SUM(IF('11.销售及回款表'!$E$497:$AV$540=AR343,'11.销售及回款表'!$E484:$AV484,0)),'11.销售及回款表'!AR484)</f>
        <v>0</v>
      </c>
      <c r="AS201" s="275">
        <f t="array" ref="AS201">IF(SUM($E344:AR344)&lt;1,SUM(IF('11.销售及回款表'!$E$497:$AV$540=AS343,'11.销售及回款表'!$E484:$AV484,0)),'11.销售及回款表'!AS484)</f>
        <v>0</v>
      </c>
      <c r="AT201" s="276">
        <f t="array" ref="AT201">IF(SUM($E344:AS344)&lt;1,SUM(IF('11.销售及回款表'!$E$497:$AV$540=AT343,'11.销售及回款表'!$E484:$AV484,0)),'11.销售及回款表'!AT484)</f>
        <v>0</v>
      </c>
      <c r="AU201" s="276">
        <f t="array" ref="AU201">IF(SUM($E344:AT344)&lt;1,SUM(IF('11.销售及回款表'!$E$497:$AV$540=AU343,'11.销售及回款表'!$E484:$AV484,0)),'11.销售及回款表'!AU484)</f>
        <v>0</v>
      </c>
      <c r="AV201" s="277">
        <f t="array" ref="AV201">IF(SUM($E344:AU344)&lt;1,SUM(IF('11.销售及回款表'!$E$497:$AV$540=AV343,'11.销售及回款表'!$E484:$AV484,0)),'11.销售及回款表'!AV484)</f>
        <v>0</v>
      </c>
    </row>
    <row r="202" spans="2:48" s="257" customFormat="1" ht="15.75" customHeight="1" outlineLevel="2">
      <c r="B202" s="1980"/>
      <c r="C202" s="303" t="str">
        <f>'8.项目规划指标表'!$B$18</f>
        <v>有产权车库(个)</v>
      </c>
      <c r="D202" s="274">
        <f t="shared" si="38"/>
        <v>0</v>
      </c>
      <c r="E202" s="275">
        <f t="array" ref="E202">IF(SUM(D346:$E346)&lt;1,SUM(IF('11.销售及回款表'!$E$497:$AV$540=E345,'11.销售及回款表'!$E489:$AV489,0)),'11.销售及回款表'!E489)</f>
        <v>0</v>
      </c>
      <c r="F202" s="276">
        <f t="array" ref="F202">IF(SUM(E346:$E346)&lt;1,SUM(IF('11.销售及回款表'!$E$497:$AV$540=F345,'11.销售及回款表'!$E489:$AV489,0)),'11.销售及回款表'!F489)</f>
        <v>0</v>
      </c>
      <c r="G202" s="276">
        <f t="array" ref="G202">IF(SUM($E346:F346)&lt;1,SUM(IF('11.销售及回款表'!$E$497:$AV$540=G345,'11.销售及回款表'!$E489:$AV489,0)),'11.销售及回款表'!G489)</f>
        <v>0</v>
      </c>
      <c r="H202" s="277">
        <f t="array" ref="H202">IF(SUM($E346:G346)&lt;1,SUM(IF('11.销售及回款表'!$E$497:$AV$540=H345,'11.销售及回款表'!$E489:$AV489,0)),'11.销售及回款表'!H489)</f>
        <v>0</v>
      </c>
      <c r="I202" s="275">
        <f t="array" ref="I202">IF(SUM($E346:H346)&lt;1,SUM(IF('11.销售及回款表'!$E$497:$AV$540=I345,'11.销售及回款表'!$E489:$AV489,0)),'11.销售及回款表'!I489)</f>
        <v>0</v>
      </c>
      <c r="J202" s="276">
        <f t="array" ref="J202">IF(SUM($E346:I346)&lt;1,SUM(IF('11.销售及回款表'!$E$497:$AV$540=J345,'11.销售及回款表'!$E489:$AV489,0)),'11.销售及回款表'!J489)</f>
        <v>0</v>
      </c>
      <c r="K202" s="276">
        <f t="array" ref="K202">IF(SUM($E346:J346)&lt;1,SUM(IF('11.销售及回款表'!$E$497:$AV$540=K345,'11.销售及回款表'!$E489:$AV489,0)),'11.销售及回款表'!K489)</f>
        <v>0</v>
      </c>
      <c r="L202" s="277">
        <f t="array" ref="L202">IF(SUM($E346:K346)&lt;1,SUM(IF('11.销售及回款表'!$E$497:$AV$540=L345,'11.销售及回款表'!$E489:$AV489,0)),'11.销售及回款表'!L489)</f>
        <v>0</v>
      </c>
      <c r="M202" s="275">
        <f t="array" ref="M202">IF(SUM($E346:L346)&lt;1,SUM(IF('11.销售及回款表'!$E$497:$AV$540=M345,'11.销售及回款表'!$E489:$AV489,0)),'11.销售及回款表'!M489)</f>
        <v>0</v>
      </c>
      <c r="N202" s="276">
        <f t="array" ref="N202">IF(SUM($E346:M346)&lt;1,SUM(IF('11.销售及回款表'!$E$497:$AV$540=N345,'11.销售及回款表'!$E489:$AV489,0)),'11.销售及回款表'!N489)</f>
        <v>0</v>
      </c>
      <c r="O202" s="276">
        <f t="array" ref="O202">IF(SUM($E346:N346)&lt;1,SUM(IF('11.销售及回款表'!$E$497:$AV$540=O345,'11.销售及回款表'!$E489:$AV489,0)),'11.销售及回款表'!O489)</f>
        <v>0</v>
      </c>
      <c r="P202" s="277">
        <f t="array" ref="P202">IF(SUM($E346:O346)&lt;1,SUM(IF('11.销售及回款表'!$E$497:$AV$540=P345,'11.销售及回款表'!$E489:$AV489,0)),'11.销售及回款表'!P489)</f>
        <v>0</v>
      </c>
      <c r="Q202" s="275">
        <f t="array" ref="Q202">IF(SUM($E346:P346)&lt;1,SUM(IF('11.销售及回款表'!$E$497:$AV$540=Q345,'11.销售及回款表'!$E489:$AV489,0)),'11.销售及回款表'!Q489)</f>
        <v>0</v>
      </c>
      <c r="R202" s="276">
        <f t="array" ref="R202">IF(SUM($E346:Q346)&lt;1,SUM(IF('11.销售及回款表'!$E$497:$AV$540=R345,'11.销售及回款表'!$E489:$AV489,0)),'11.销售及回款表'!R489)</f>
        <v>0</v>
      </c>
      <c r="S202" s="276">
        <f t="array" ref="S202">IF(SUM($E346:R346)&lt;1,SUM(IF('11.销售及回款表'!$E$497:$AV$540=S345,'11.销售及回款表'!$E489:$AV489,0)),'11.销售及回款表'!S489)</f>
        <v>0</v>
      </c>
      <c r="T202" s="277">
        <f t="array" ref="T202">IF(SUM($E346:S346)&lt;1,SUM(IF('11.销售及回款表'!$E$497:$AV$540=T345,'11.销售及回款表'!$E489:$AV489,0)),'11.销售及回款表'!T489)</f>
        <v>0</v>
      </c>
      <c r="U202" s="275">
        <f t="array" ref="U202">IF(SUM($E346:T346)&lt;1,SUM(IF('11.销售及回款表'!$E$497:$AV$540=U345,'11.销售及回款表'!$E489:$AV489,0)),'11.销售及回款表'!U489)</f>
        <v>0</v>
      </c>
      <c r="V202" s="276">
        <f t="array" ref="V202">IF(SUM($E346:U346)&lt;1,SUM(IF('11.销售及回款表'!$E$497:$AV$540=V345,'11.销售及回款表'!$E489:$AV489,0)),'11.销售及回款表'!V489)</f>
        <v>0</v>
      </c>
      <c r="W202" s="276">
        <f t="array" ref="W202">IF(SUM($E346:V346)&lt;1,SUM(IF('11.销售及回款表'!$E$497:$AV$540=W345,'11.销售及回款表'!$E489:$AV489,0)),'11.销售及回款表'!W489)</f>
        <v>0</v>
      </c>
      <c r="X202" s="277">
        <f t="array" ref="X202">IF(SUM($E346:W346)&lt;1,SUM(IF('11.销售及回款表'!$E$497:$AV$540=X345,'11.销售及回款表'!$E489:$AV489,0)),'11.销售及回款表'!X489)</f>
        <v>0</v>
      </c>
      <c r="Y202" s="275">
        <f t="array" ref="Y202">IF(SUM($E346:X346)&lt;1,SUM(IF('11.销售及回款表'!$E$497:$AV$540=Y345,'11.销售及回款表'!$E489:$AV489,0)),'11.销售及回款表'!Y489)</f>
        <v>0</v>
      </c>
      <c r="Z202" s="276">
        <f t="array" ref="Z202">IF(SUM($E346:Y346)&lt;1,SUM(IF('11.销售及回款表'!$E$497:$AV$540=Z345,'11.销售及回款表'!$E489:$AV489,0)),'11.销售及回款表'!Z489)</f>
        <v>0</v>
      </c>
      <c r="AA202" s="276">
        <f t="array" ref="AA202">IF(SUM($E346:Z346)&lt;1,SUM(IF('11.销售及回款表'!$E$497:$AV$540=AA345,'11.销售及回款表'!$E489:$AV489,0)),'11.销售及回款表'!AA489)</f>
        <v>0</v>
      </c>
      <c r="AB202" s="277">
        <f t="array" ref="AB202">IF(SUM($E346:AA346)&lt;1,SUM(IF('11.销售及回款表'!$E$497:$AV$540=AB345,'11.销售及回款表'!$E489:$AV489,0)),'11.销售及回款表'!AB489)</f>
        <v>0</v>
      </c>
      <c r="AC202" s="275">
        <f t="array" ref="AC202">IF(SUM($E346:AB346)&lt;1,SUM(IF('11.销售及回款表'!$E$497:$AV$540=AC345,'11.销售及回款表'!$E489:$AV489,0)),'11.销售及回款表'!AC489)</f>
        <v>0</v>
      </c>
      <c r="AD202" s="276">
        <f t="array" ref="AD202">IF(SUM($E346:AC346)&lt;1,SUM(IF('11.销售及回款表'!$E$497:$AV$540=AD345,'11.销售及回款表'!$E489:$AV489,0)),'11.销售及回款表'!AD489)</f>
        <v>0</v>
      </c>
      <c r="AE202" s="276">
        <f t="array" ref="AE202">IF(SUM($E346:AD346)&lt;1,SUM(IF('11.销售及回款表'!$E$497:$AV$540=AE345,'11.销售及回款表'!$E489:$AV489,0)),'11.销售及回款表'!AE489)</f>
        <v>0</v>
      </c>
      <c r="AF202" s="277">
        <f t="array" ref="AF202">IF(SUM($E346:AE346)&lt;1,SUM(IF('11.销售及回款表'!$E$497:$AV$540=AF345,'11.销售及回款表'!$E489:$AV489,0)),'11.销售及回款表'!AF489)</f>
        <v>0</v>
      </c>
      <c r="AG202" s="275">
        <f t="array" ref="AG202">IF(SUM($E346:AF346)&lt;1,SUM(IF('11.销售及回款表'!$E$497:$AV$540=AG345,'11.销售及回款表'!$E489:$AV489,0)),'11.销售及回款表'!AG489)</f>
        <v>0</v>
      </c>
      <c r="AH202" s="276">
        <f t="array" ref="AH202">IF(SUM($E346:AG346)&lt;1,SUM(IF('11.销售及回款表'!$E$497:$AV$540=AH345,'11.销售及回款表'!$E489:$AV489,0)),'11.销售及回款表'!AH489)</f>
        <v>0</v>
      </c>
      <c r="AI202" s="276">
        <f t="array" ref="AI202">IF(SUM($E346:AH346)&lt;1,SUM(IF('11.销售及回款表'!$E$497:$AV$540=AI345,'11.销售及回款表'!$E489:$AV489,0)),'11.销售及回款表'!AI489)</f>
        <v>0</v>
      </c>
      <c r="AJ202" s="277">
        <f t="array" ref="AJ202">IF(SUM($E346:AI346)&lt;1,SUM(IF('11.销售及回款表'!$E$497:$AV$540=AJ345,'11.销售及回款表'!$E489:$AV489,0)),'11.销售及回款表'!AJ489)</f>
        <v>0</v>
      </c>
      <c r="AK202" s="275">
        <f t="array" ref="AK202">IF(SUM($E346:AJ346)&lt;1,SUM(IF('11.销售及回款表'!$E$497:$AV$540=AK345,'11.销售及回款表'!$E489:$AV489,0)),'11.销售及回款表'!AK489)</f>
        <v>0</v>
      </c>
      <c r="AL202" s="276">
        <f t="array" ref="AL202">IF(SUM($E346:AK346)&lt;1,SUM(IF('11.销售及回款表'!$E$497:$AV$540=AL345,'11.销售及回款表'!$E489:$AV489,0)),'11.销售及回款表'!AL489)</f>
        <v>0</v>
      </c>
      <c r="AM202" s="276">
        <f t="array" ref="AM202">IF(SUM($E346:AL346)&lt;1,SUM(IF('11.销售及回款表'!$E$497:$AV$540=AM345,'11.销售及回款表'!$E489:$AV489,0)),'11.销售及回款表'!AM489)</f>
        <v>0</v>
      </c>
      <c r="AN202" s="277">
        <f t="array" ref="AN202">IF(SUM($E346:AM346)&lt;1,SUM(IF('11.销售及回款表'!$E$497:$AV$540=AN345,'11.销售及回款表'!$E489:$AV489,0)),'11.销售及回款表'!AN489)</f>
        <v>0</v>
      </c>
      <c r="AO202" s="275">
        <f t="array" ref="AO202">IF(SUM($E346:AN346)&lt;1,SUM(IF('11.销售及回款表'!$E$497:$AV$540=AO345,'11.销售及回款表'!$E489:$AV489,0)),'11.销售及回款表'!AO489)</f>
        <v>0</v>
      </c>
      <c r="AP202" s="276">
        <f t="array" ref="AP202">IF(SUM($E346:AO346)&lt;1,SUM(IF('11.销售及回款表'!$E$497:$AV$540=AP345,'11.销售及回款表'!$E489:$AV489,0)),'11.销售及回款表'!AP489)</f>
        <v>0</v>
      </c>
      <c r="AQ202" s="276">
        <f t="array" ref="AQ202">IF(SUM($E346:AP346)&lt;1,SUM(IF('11.销售及回款表'!$E$497:$AV$540=AQ345,'11.销售及回款表'!$E489:$AV489,0)),'11.销售及回款表'!AQ489)</f>
        <v>0</v>
      </c>
      <c r="AR202" s="277">
        <f t="array" ref="AR202">IF(SUM($E346:AQ346)&lt;1,SUM(IF('11.销售及回款表'!$E$497:$AV$540=AR345,'11.销售及回款表'!$E489:$AV489,0)),'11.销售及回款表'!AR489)</f>
        <v>0</v>
      </c>
      <c r="AS202" s="275">
        <f t="array" ref="AS202">IF(SUM($E346:AR346)&lt;1,SUM(IF('11.销售及回款表'!$E$497:$AV$540=AS345,'11.销售及回款表'!$E489:$AV489,0)),'11.销售及回款表'!AS489)</f>
        <v>0</v>
      </c>
      <c r="AT202" s="276">
        <f t="array" ref="AT202">IF(SUM($E346:AS346)&lt;1,SUM(IF('11.销售及回款表'!$E$497:$AV$540=AT345,'11.销售及回款表'!$E489:$AV489,0)),'11.销售及回款表'!AT489)</f>
        <v>0</v>
      </c>
      <c r="AU202" s="276">
        <f t="array" ref="AU202">IF(SUM($E346:AT346)&lt;1,SUM(IF('11.销售及回款表'!$E$497:$AV$540=AU345,'11.销售及回款表'!$E489:$AV489,0)),'11.销售及回款表'!AU489)</f>
        <v>0</v>
      </c>
      <c r="AV202" s="277">
        <f t="array" ref="AV202">IF(SUM($E346:AU346)&lt;1,SUM(IF('11.销售及回款表'!$E$497:$AV$540=AV345,'11.销售及回款表'!$E489:$AV489,0)),'11.销售及回款表'!AV489)</f>
        <v>0</v>
      </c>
    </row>
    <row r="203" spans="2:48" s="257" customFormat="1" ht="15.75" customHeight="1" outlineLevel="2">
      <c r="B203" s="1980"/>
      <c r="C203" s="314" t="str">
        <f>'8.项目规划指标表'!$B$19</f>
        <v>无产权车库(个)</v>
      </c>
      <c r="D203" s="315">
        <f t="shared" si="38"/>
        <v>0</v>
      </c>
      <c r="E203" s="280">
        <f t="array" ref="E203">IF(SUM(D348:$E348)&lt;1,SUM(IF('11.销售及回款表'!$E$497:$AV$540=E347,'11.销售及回款表'!$E494:$AV494,0)),'11.销售及回款表'!E494)</f>
        <v>0</v>
      </c>
      <c r="F203" s="281">
        <f t="array" ref="F203">IF(SUM(E348:$E348)&lt;1,SUM(IF('11.销售及回款表'!$E$497:$AV$540=F347,'11.销售及回款表'!$E494:$AV494,0)),'11.销售及回款表'!F494)</f>
        <v>0</v>
      </c>
      <c r="G203" s="281">
        <f t="array" ref="G203">IF(SUM($E348:F348)&lt;1,SUM(IF('11.销售及回款表'!$E$497:$AV$540=G347,'11.销售及回款表'!$E494:$AV494,0)),'11.销售及回款表'!G494)</f>
        <v>0</v>
      </c>
      <c r="H203" s="282">
        <f t="array" ref="H203">IF(SUM($E348:G348)&lt;1,SUM(IF('11.销售及回款表'!$E$497:$AV$540=H347,'11.销售及回款表'!$E494:$AV494,0)),'11.销售及回款表'!H494)</f>
        <v>0</v>
      </c>
      <c r="I203" s="280">
        <f t="array" ref="I203">IF(SUM($E348:H348)&lt;1,SUM(IF('11.销售及回款表'!$E$497:$AV$540=I347,'11.销售及回款表'!$E494:$AV494,0)),'11.销售及回款表'!I494)</f>
        <v>0</v>
      </c>
      <c r="J203" s="281">
        <f t="array" ref="J203">IF(SUM($E348:I348)&lt;1,SUM(IF('11.销售及回款表'!$E$497:$AV$540=J347,'11.销售及回款表'!$E494:$AV494,0)),'11.销售及回款表'!J494)</f>
        <v>0</v>
      </c>
      <c r="K203" s="281">
        <f t="array" ref="K203">IF(SUM($E348:J348)&lt;1,SUM(IF('11.销售及回款表'!$E$497:$AV$540=K347,'11.销售及回款表'!$E494:$AV494,0)),'11.销售及回款表'!K494)</f>
        <v>0</v>
      </c>
      <c r="L203" s="282">
        <f t="array" ref="L203">IF(SUM($E348:K348)&lt;1,SUM(IF('11.销售及回款表'!$E$497:$AV$540=L347,'11.销售及回款表'!$E494:$AV494,0)),'11.销售及回款表'!L494)</f>
        <v>0</v>
      </c>
      <c r="M203" s="280">
        <f t="array" ref="M203">IF(SUM($E348:L348)&lt;1,SUM(IF('11.销售及回款表'!$E$497:$AV$540=M347,'11.销售及回款表'!$E494:$AV494,0)),'11.销售及回款表'!M494)</f>
        <v>0</v>
      </c>
      <c r="N203" s="281">
        <f t="array" ref="N203">IF(SUM($E348:M348)&lt;1,SUM(IF('11.销售及回款表'!$E$497:$AV$540=N347,'11.销售及回款表'!$E494:$AV494,0)),'11.销售及回款表'!N494)</f>
        <v>0</v>
      </c>
      <c r="O203" s="281">
        <f t="array" ref="O203">IF(SUM($E348:N348)&lt;1,SUM(IF('11.销售及回款表'!$E$497:$AV$540=O347,'11.销售及回款表'!$E494:$AV494,0)),'11.销售及回款表'!O494)</f>
        <v>0</v>
      </c>
      <c r="P203" s="282">
        <f t="array" ref="P203">IF(SUM($E348:O348)&lt;1,SUM(IF('11.销售及回款表'!$E$497:$AV$540=P347,'11.销售及回款表'!$E494:$AV494,0)),'11.销售及回款表'!P494)</f>
        <v>0</v>
      </c>
      <c r="Q203" s="280">
        <f t="array" ref="Q203">IF(SUM($E348:P348)&lt;1,SUM(IF('11.销售及回款表'!$E$497:$AV$540=Q347,'11.销售及回款表'!$E494:$AV494,0)),'11.销售及回款表'!Q494)</f>
        <v>0</v>
      </c>
      <c r="R203" s="281">
        <f t="array" ref="R203">IF(SUM($E348:Q348)&lt;1,SUM(IF('11.销售及回款表'!$E$497:$AV$540=R347,'11.销售及回款表'!$E494:$AV494,0)),'11.销售及回款表'!R494)</f>
        <v>0</v>
      </c>
      <c r="S203" s="281">
        <f t="array" ref="S203">IF(SUM($E348:R348)&lt;1,SUM(IF('11.销售及回款表'!$E$497:$AV$540=S347,'11.销售及回款表'!$E494:$AV494,0)),'11.销售及回款表'!S494)</f>
        <v>0</v>
      </c>
      <c r="T203" s="282">
        <f t="array" ref="T203">IF(SUM($E348:S348)&lt;1,SUM(IF('11.销售及回款表'!$E$497:$AV$540=T347,'11.销售及回款表'!$E494:$AV494,0)),'11.销售及回款表'!T494)</f>
        <v>0</v>
      </c>
      <c r="U203" s="280">
        <f t="array" ref="U203">IF(SUM($E348:T348)&lt;1,SUM(IF('11.销售及回款表'!$E$497:$AV$540=U347,'11.销售及回款表'!$E494:$AV494,0)),'11.销售及回款表'!U494)</f>
        <v>0</v>
      </c>
      <c r="V203" s="281">
        <f t="array" ref="V203">IF(SUM($E348:U348)&lt;1,SUM(IF('11.销售及回款表'!$E$497:$AV$540=V347,'11.销售及回款表'!$E494:$AV494,0)),'11.销售及回款表'!V494)</f>
        <v>0</v>
      </c>
      <c r="W203" s="281">
        <f t="array" ref="W203">IF(SUM($E348:V348)&lt;1,SUM(IF('11.销售及回款表'!$E$497:$AV$540=W347,'11.销售及回款表'!$E494:$AV494,0)),'11.销售及回款表'!W494)</f>
        <v>0</v>
      </c>
      <c r="X203" s="282">
        <f t="array" ref="X203">IF(SUM($E348:W348)&lt;1,SUM(IF('11.销售及回款表'!$E$497:$AV$540=X347,'11.销售及回款表'!$E494:$AV494,0)),'11.销售及回款表'!X494)</f>
        <v>0</v>
      </c>
      <c r="Y203" s="280">
        <f t="array" ref="Y203">IF(SUM($E348:X348)&lt;1,SUM(IF('11.销售及回款表'!$E$497:$AV$540=Y347,'11.销售及回款表'!$E494:$AV494,0)),'11.销售及回款表'!Y494)</f>
        <v>0</v>
      </c>
      <c r="Z203" s="281">
        <f t="array" ref="Z203">IF(SUM($E348:Y348)&lt;1,SUM(IF('11.销售及回款表'!$E$497:$AV$540=Z347,'11.销售及回款表'!$E494:$AV494,0)),'11.销售及回款表'!Z494)</f>
        <v>0</v>
      </c>
      <c r="AA203" s="281">
        <f t="array" ref="AA203">IF(SUM($E348:Z348)&lt;1,SUM(IF('11.销售及回款表'!$E$497:$AV$540=AA347,'11.销售及回款表'!$E494:$AV494,0)),'11.销售及回款表'!AA494)</f>
        <v>0</v>
      </c>
      <c r="AB203" s="282">
        <f t="array" ref="AB203">IF(SUM($E348:AA348)&lt;1,SUM(IF('11.销售及回款表'!$E$497:$AV$540=AB347,'11.销售及回款表'!$E494:$AV494,0)),'11.销售及回款表'!AB494)</f>
        <v>0</v>
      </c>
      <c r="AC203" s="280">
        <f t="array" ref="AC203">IF(SUM($E348:AB348)&lt;1,SUM(IF('11.销售及回款表'!$E$497:$AV$540=AC347,'11.销售及回款表'!$E494:$AV494,0)),'11.销售及回款表'!AC494)</f>
        <v>0</v>
      </c>
      <c r="AD203" s="281">
        <f t="array" ref="AD203">IF(SUM($E348:AC348)&lt;1,SUM(IF('11.销售及回款表'!$E$497:$AV$540=AD347,'11.销售及回款表'!$E494:$AV494,0)),'11.销售及回款表'!AD494)</f>
        <v>0</v>
      </c>
      <c r="AE203" s="281">
        <f t="array" ref="AE203">IF(SUM($E348:AD348)&lt;1,SUM(IF('11.销售及回款表'!$E$497:$AV$540=AE347,'11.销售及回款表'!$E494:$AV494,0)),'11.销售及回款表'!AE494)</f>
        <v>0</v>
      </c>
      <c r="AF203" s="282">
        <f t="array" ref="AF203">IF(SUM($E348:AE348)&lt;1,SUM(IF('11.销售及回款表'!$E$497:$AV$540=AF347,'11.销售及回款表'!$E494:$AV494,0)),'11.销售及回款表'!AF494)</f>
        <v>0</v>
      </c>
      <c r="AG203" s="280">
        <f t="array" ref="AG203">IF(SUM($E348:AF348)&lt;1,SUM(IF('11.销售及回款表'!$E$497:$AV$540=AG347,'11.销售及回款表'!$E494:$AV494,0)),'11.销售及回款表'!AG494)</f>
        <v>0</v>
      </c>
      <c r="AH203" s="281">
        <f t="array" ref="AH203">IF(SUM($E348:AG348)&lt;1,SUM(IF('11.销售及回款表'!$E$497:$AV$540=AH347,'11.销售及回款表'!$E494:$AV494,0)),'11.销售及回款表'!AH494)</f>
        <v>0</v>
      </c>
      <c r="AI203" s="281">
        <f t="array" ref="AI203">IF(SUM($E348:AH348)&lt;1,SUM(IF('11.销售及回款表'!$E$497:$AV$540=AI347,'11.销售及回款表'!$E494:$AV494,0)),'11.销售及回款表'!AI494)</f>
        <v>0</v>
      </c>
      <c r="AJ203" s="282">
        <f t="array" ref="AJ203">IF(SUM($E348:AI348)&lt;1,SUM(IF('11.销售及回款表'!$E$497:$AV$540=AJ347,'11.销售及回款表'!$E494:$AV494,0)),'11.销售及回款表'!AJ494)</f>
        <v>0</v>
      </c>
      <c r="AK203" s="280">
        <f t="array" ref="AK203">IF(SUM($E348:AJ348)&lt;1,SUM(IF('11.销售及回款表'!$E$497:$AV$540=AK347,'11.销售及回款表'!$E494:$AV494,0)),'11.销售及回款表'!AK494)</f>
        <v>0</v>
      </c>
      <c r="AL203" s="281">
        <f t="array" ref="AL203">IF(SUM($E348:AK348)&lt;1,SUM(IF('11.销售及回款表'!$E$497:$AV$540=AL347,'11.销售及回款表'!$E494:$AV494,0)),'11.销售及回款表'!AL494)</f>
        <v>0</v>
      </c>
      <c r="AM203" s="281">
        <f t="array" ref="AM203">IF(SUM($E348:AL348)&lt;1,SUM(IF('11.销售及回款表'!$E$497:$AV$540=AM347,'11.销售及回款表'!$E494:$AV494,0)),'11.销售及回款表'!AM494)</f>
        <v>0</v>
      </c>
      <c r="AN203" s="282">
        <f t="array" ref="AN203">IF(SUM($E348:AM348)&lt;1,SUM(IF('11.销售及回款表'!$E$497:$AV$540=AN347,'11.销售及回款表'!$E494:$AV494,0)),'11.销售及回款表'!AN494)</f>
        <v>0</v>
      </c>
      <c r="AO203" s="280">
        <f t="array" ref="AO203">IF(SUM($E348:AN348)&lt;1,SUM(IF('11.销售及回款表'!$E$497:$AV$540=AO347,'11.销售及回款表'!$E494:$AV494,0)),'11.销售及回款表'!AO494)</f>
        <v>0</v>
      </c>
      <c r="AP203" s="281">
        <f t="array" ref="AP203">IF(SUM($E348:AO348)&lt;1,SUM(IF('11.销售及回款表'!$E$497:$AV$540=AP347,'11.销售及回款表'!$E494:$AV494,0)),'11.销售及回款表'!AP494)</f>
        <v>0</v>
      </c>
      <c r="AQ203" s="281">
        <f t="array" ref="AQ203">IF(SUM($E348:AP348)&lt;1,SUM(IF('11.销售及回款表'!$E$497:$AV$540=AQ347,'11.销售及回款表'!$E494:$AV494,0)),'11.销售及回款表'!AQ494)</f>
        <v>0</v>
      </c>
      <c r="AR203" s="282">
        <f t="array" ref="AR203">IF(SUM($E348:AQ348)&lt;1,SUM(IF('11.销售及回款表'!$E$497:$AV$540=AR347,'11.销售及回款表'!$E494:$AV494,0)),'11.销售及回款表'!AR494)</f>
        <v>0</v>
      </c>
      <c r="AS203" s="280">
        <f t="array" ref="AS203">IF(SUM($E348:AR348)&lt;1,SUM(IF('11.销售及回款表'!$E$497:$AV$540=AS347,'11.销售及回款表'!$E494:$AV494,0)),'11.销售及回款表'!AS494)</f>
        <v>0</v>
      </c>
      <c r="AT203" s="281">
        <f t="array" ref="AT203">IF(SUM($E348:AS348)&lt;1,SUM(IF('11.销售及回款表'!$E$497:$AV$540=AT347,'11.销售及回款表'!$E494:$AV494,0)),'11.销售及回款表'!AT494)</f>
        <v>0</v>
      </c>
      <c r="AU203" s="281">
        <f t="array" ref="AU203">IF(SUM($E348:AT348)&lt;1,SUM(IF('11.销售及回款表'!$E$497:$AV$540=AU347,'11.销售及回款表'!$E494:$AV494,0)),'11.销售及回款表'!AU494)</f>
        <v>0</v>
      </c>
      <c r="AV203" s="282">
        <f t="array" ref="AV203">IF(SUM($E348:AU348)&lt;1,SUM(IF('11.销售及回款表'!$E$497:$AV$540=AV347,'11.销售及回款表'!$E494:$AV494,0)),'11.销售及回款表'!AV494)</f>
        <v>0</v>
      </c>
    </row>
    <row r="204" spans="2:48" outlineLevel="1"/>
    <row r="205" spans="2:48" s="256" customFormat="1" ht="15.75" customHeight="1" outlineLevel="1">
      <c r="B205" s="321"/>
      <c r="C205" s="1977" t="s">
        <v>19</v>
      </c>
      <c r="D205" s="1981" t="str">
        <f>'8.项目规划指标表'!$B$5</f>
        <v>高层</v>
      </c>
      <c r="E205" s="311">
        <f>IF($E$4&amp;"年"&amp;E$5&lt;&gt;'9.项目开发计划表'!$AG$5,1,$E$4&amp;"年"&amp;E$5)</f>
        <v>1</v>
      </c>
      <c r="F205" s="312">
        <f>IF($E$4&amp;"年"&amp;F$5&lt;&gt;'9.项目开发计划表'!$AG$5,1,$E$4&amp;"年"&amp;F$5)</f>
        <v>1</v>
      </c>
      <c r="G205" s="312">
        <f>IF($E$4&amp;"年"&amp;G$5&lt;&gt;'9.项目开发计划表'!$AG$5,1,$E$4&amp;"年"&amp;G$5)</f>
        <v>1</v>
      </c>
      <c r="H205" s="313">
        <f>IF($E$4&amp;"年"&amp;H$5&lt;&gt;'9.项目开发计划表'!$AG$5,1,$E$4&amp;"年"&amp;H$5)</f>
        <v>1</v>
      </c>
      <c r="I205" s="311">
        <f>IF((E$4+1)&amp;"年"&amp;I$5&lt;&gt;'9.项目开发计划表'!$AG$5,1,(E$4+1)&amp;"年"&amp;I$5)</f>
        <v>1</v>
      </c>
      <c r="J205" s="312">
        <f>IF((E$4+1)&amp;"年"&amp;J$5&lt;&gt;'9.项目开发计划表'!$AG$5,1,(E$4+1)&amp;"年"&amp;J$5)</f>
        <v>1</v>
      </c>
      <c r="K205" s="312">
        <f>IF((E$4+1)&amp;"年"&amp;K$5&lt;&gt;'9.项目开发计划表'!$AG$5,1,(E$4+1)&amp;"年"&amp;K$5)</f>
        <v>1</v>
      </c>
      <c r="L205" s="313">
        <f>IF((E$4+1)&amp;"年"&amp;L$5&lt;&gt;'9.项目开发计划表'!$AG$5,1,(E$4+1)&amp;"年"&amp;L$5)</f>
        <v>1</v>
      </c>
      <c r="M205" s="311">
        <f>IF((I$4+1)&amp;"年"&amp;M$5&lt;&gt;'9.项目开发计划表'!$AG$5,1,(I$4+1)&amp;"年"&amp;M$5)</f>
        <v>1</v>
      </c>
      <c r="N205" s="312">
        <f>IF((I$4+1)&amp;"年"&amp;N$5&lt;&gt;'9.项目开发计划表'!$AG$5,1,(I$4+1)&amp;"年"&amp;N$5)</f>
        <v>1</v>
      </c>
      <c r="O205" s="312">
        <f>IF((I$4+1)&amp;"年"&amp;O$5&lt;&gt;'9.项目开发计划表'!$AG$5,1,(I$4+1)&amp;"年"&amp;O$5)</f>
        <v>1</v>
      </c>
      <c r="P205" s="313" t="str">
        <f>IF((I$4+1)&amp;"年"&amp;P$5&lt;&gt;'9.项目开发计划表'!$AG$5,1,(I$4+1)&amp;"年"&amp;P$5)</f>
        <v>2020年4季度</v>
      </c>
      <c r="Q205" s="311">
        <f>IF((M$4+1)&amp;"年"&amp;Q$5&lt;&gt;'9.项目开发计划表'!$AG$5,1,(M$4+1)&amp;"年"&amp;Q$5)</f>
        <v>1</v>
      </c>
      <c r="R205" s="312">
        <f>IF((M$4+1)&amp;"年"&amp;R$5&lt;&gt;'9.项目开发计划表'!$AG$5,1,(M$4+1)&amp;"年"&amp;R$5)</f>
        <v>1</v>
      </c>
      <c r="S205" s="312">
        <f>IF((M$4+1)&amp;"年"&amp;S$5&lt;&gt;'9.项目开发计划表'!$AG$5,1,(M$4+1)&amp;"年"&amp;S$5)</f>
        <v>1</v>
      </c>
      <c r="T205" s="313">
        <f>IF((M$4+1)&amp;"年"&amp;T$5&lt;&gt;'9.项目开发计划表'!$AG$5,1,(M$4+1)&amp;"年"&amp;T$5)</f>
        <v>1</v>
      </c>
      <c r="U205" s="311">
        <f>IF((Q$4+1)&amp;"年"&amp;U$5&lt;&gt;'9.项目开发计划表'!$AG$5,1,(Q$4+1)&amp;"年"&amp;U$5)</f>
        <v>1</v>
      </c>
      <c r="V205" s="312">
        <f>IF((Q$4+1)&amp;"年"&amp;V$5&lt;&gt;'9.项目开发计划表'!$AG$5,1,(Q$4+1)&amp;"年"&amp;V$5)</f>
        <v>1</v>
      </c>
      <c r="W205" s="312">
        <f>IF((Q$4+1)&amp;"年"&amp;W$5&lt;&gt;'9.项目开发计划表'!$AG$5,1,(Q$4+1)&amp;"年"&amp;W$5)</f>
        <v>1</v>
      </c>
      <c r="X205" s="313">
        <f>IF((Q$4+1)&amp;"年"&amp;X$5&lt;&gt;'9.项目开发计划表'!$AG$5,1,(Q$4+1)&amp;"年"&amp;X$5)</f>
        <v>1</v>
      </c>
      <c r="Y205" s="311">
        <f>IF((U$4+1)&amp;"年"&amp;Y$5&lt;&gt;'9.项目开发计划表'!$AG$5,1,(U$4+1)&amp;"年"&amp;Y$5)</f>
        <v>1</v>
      </c>
      <c r="Z205" s="312">
        <f>IF((U$4+1)&amp;"年"&amp;Z$5&lt;&gt;'9.项目开发计划表'!$AG$5,1,(U$4+1)&amp;"年"&amp;Z$5)</f>
        <v>1</v>
      </c>
      <c r="AA205" s="312">
        <f>IF((U$4+1)&amp;"年"&amp;AA$5&lt;&gt;'9.项目开发计划表'!$AG$5,1,(U$4+1)&amp;"年"&amp;AA$5)</f>
        <v>1</v>
      </c>
      <c r="AB205" s="313">
        <f>IF((U$4+1)&amp;"年"&amp;AB$5&lt;&gt;'9.项目开发计划表'!$AG$5,1,(U$4+1)&amp;"年"&amp;AB$5)</f>
        <v>1</v>
      </c>
      <c r="AC205" s="311">
        <f>IF((Y$4+1)&amp;"年"&amp;AC$5&lt;&gt;'9.项目开发计划表'!$AG$5,1,(Y$4+1)&amp;"年"&amp;AC$5)</f>
        <v>1</v>
      </c>
      <c r="AD205" s="312">
        <f>IF((Y$4+1)&amp;"年"&amp;AD$5&lt;&gt;'9.项目开发计划表'!$AG$5,1,(Y$4+1)&amp;"年"&amp;AD$5)</f>
        <v>1</v>
      </c>
      <c r="AE205" s="312">
        <f>IF((Y$4+1)&amp;"年"&amp;AE$5&lt;&gt;'9.项目开发计划表'!$AG$5,1,(Y$4+1)&amp;"年"&amp;AE$5)</f>
        <v>1</v>
      </c>
      <c r="AF205" s="313">
        <f>IF((Y$4+1)&amp;"年"&amp;AF$5&lt;&gt;'9.项目开发计划表'!$AG$5,1,(Y$4+1)&amp;"年"&amp;AF$5)</f>
        <v>1</v>
      </c>
      <c r="AG205" s="311">
        <f>IF((AC$4+1)&amp;"年"&amp;AG$5&lt;&gt;'9.项目开发计划表'!$AG$5,1,(AC$4+1)&amp;"年"&amp;AG$5)</f>
        <v>1</v>
      </c>
      <c r="AH205" s="312">
        <f>IF((AC$4+1)&amp;"年"&amp;AH$5&lt;&gt;'9.项目开发计划表'!$AG$5,1,(AC$4+1)&amp;"年"&amp;AH$5)</f>
        <v>1</v>
      </c>
      <c r="AI205" s="312">
        <f>IF((AC$4+1)&amp;"年"&amp;AI$5&lt;&gt;'9.项目开发计划表'!$AG$5,1,(AC$4+1)&amp;"年"&amp;AI$5)</f>
        <v>1</v>
      </c>
      <c r="AJ205" s="313">
        <f>IF((AC$4+1)&amp;"年"&amp;AJ$5&lt;&gt;'9.项目开发计划表'!$AG$5,1,(AC$4+1)&amp;"年"&amp;AJ$5)</f>
        <v>1</v>
      </c>
      <c r="AK205" s="311">
        <f>IF((AG$4+1)&amp;"年"&amp;AK$5&lt;&gt;'9.项目开发计划表'!$AG$5,1,(AG$4+1)&amp;"年"&amp;AK$5)</f>
        <v>1</v>
      </c>
      <c r="AL205" s="312">
        <f>IF((AG$4+1)&amp;"年"&amp;AL$5&lt;&gt;'9.项目开发计划表'!$AG$5,1,(AG$4+1)&amp;"年"&amp;AL$5)</f>
        <v>1</v>
      </c>
      <c r="AM205" s="312">
        <f>IF((AG$4+1)&amp;"年"&amp;AM$5&lt;&gt;'9.项目开发计划表'!$AG$5,1,(AG$4+1)&amp;"年"&amp;AM$5)</f>
        <v>1</v>
      </c>
      <c r="AN205" s="313">
        <f>IF((AG$4+1)&amp;"年"&amp;AN$5&lt;&gt;'9.项目开发计划表'!$AG$5,1,(AG$4+1)&amp;"年"&amp;AN$5)</f>
        <v>1</v>
      </c>
      <c r="AO205" s="311">
        <f>IF((AK$4+1)&amp;"年"&amp;AO$5&lt;&gt;'9.项目开发计划表'!$AG$5,1,(AK$4+1)&amp;"年"&amp;AO$5)</f>
        <v>1</v>
      </c>
      <c r="AP205" s="312">
        <f>IF((AK$4+1)&amp;"年"&amp;AP$5&lt;&gt;'9.项目开发计划表'!$AG$5,1,(AK$4+1)&amp;"年"&amp;AP$5)</f>
        <v>1</v>
      </c>
      <c r="AQ205" s="312">
        <f>IF((AK$4+1)&amp;"年"&amp;AQ$5&lt;&gt;'9.项目开发计划表'!$AG$5,1,(AK$4+1)&amp;"年"&amp;AQ$5)</f>
        <v>1</v>
      </c>
      <c r="AR205" s="313">
        <f>IF((AK$4+1)&amp;"年"&amp;AR$5&lt;&gt;'9.项目开发计划表'!$AG$5,1,(AK$4+1)&amp;"年"&amp;AR$5)</f>
        <v>1</v>
      </c>
      <c r="AS205" s="311">
        <f>IF((AO$4+1)&amp;"年"&amp;AS$5&lt;&gt;'9.项目开发计划表'!$AG$5,1,(AO$4+1)&amp;"年"&amp;AS$5)</f>
        <v>1</v>
      </c>
      <c r="AT205" s="312">
        <f>IF((AO$4+1)&amp;"年"&amp;AT$5&lt;&gt;'9.项目开发计划表'!$AG$5,1,(AO$4+1)&amp;"年"&amp;AT$5)</f>
        <v>1</v>
      </c>
      <c r="AU205" s="312">
        <f>IF((AO$4+1)&amp;"年"&amp;AU$5&lt;&gt;'9.项目开发计划表'!$AG$5,1,(AO$4+1)&amp;"年"&amp;AU$5)</f>
        <v>1</v>
      </c>
      <c r="AV205" s="313">
        <f>IF((AO$4+1)&amp;"年"&amp;AV$5&lt;&gt;'9.项目开发计划表'!$AG$5,1,(AO$4+1)&amp;"年"&amp;AV$5)</f>
        <v>1</v>
      </c>
    </row>
    <row r="206" spans="2:48" s="256" customFormat="1" ht="15.75" customHeight="1" outlineLevel="1">
      <c r="B206" s="321"/>
      <c r="C206" s="1975"/>
      <c r="D206" s="1982"/>
      <c r="E206" s="280">
        <f t="shared" ref="E206:E210" si="39">IF(E205=1,0,1)</f>
        <v>0</v>
      </c>
      <c r="F206" s="281">
        <f t="shared" ref="F206:AV216" si="40">IF(F205=1,0,1)</f>
        <v>0</v>
      </c>
      <c r="G206" s="281">
        <f t="shared" si="40"/>
        <v>0</v>
      </c>
      <c r="H206" s="282">
        <f t="shared" si="40"/>
        <v>0</v>
      </c>
      <c r="I206" s="280">
        <f t="shared" si="40"/>
        <v>0</v>
      </c>
      <c r="J206" s="281">
        <f t="shared" si="40"/>
        <v>0</v>
      </c>
      <c r="K206" s="281">
        <f t="shared" si="40"/>
        <v>0</v>
      </c>
      <c r="L206" s="282">
        <f t="shared" si="40"/>
        <v>0</v>
      </c>
      <c r="M206" s="280">
        <f t="shared" si="40"/>
        <v>0</v>
      </c>
      <c r="N206" s="281">
        <f t="shared" si="40"/>
        <v>0</v>
      </c>
      <c r="O206" s="281">
        <f t="shared" si="40"/>
        <v>0</v>
      </c>
      <c r="P206" s="282">
        <f t="shared" si="40"/>
        <v>1</v>
      </c>
      <c r="Q206" s="280">
        <f t="shared" si="40"/>
        <v>0</v>
      </c>
      <c r="R206" s="281">
        <f t="shared" si="40"/>
        <v>0</v>
      </c>
      <c r="S206" s="281">
        <f t="shared" si="40"/>
        <v>0</v>
      </c>
      <c r="T206" s="282">
        <f t="shared" si="40"/>
        <v>0</v>
      </c>
      <c r="U206" s="280">
        <f t="shared" si="40"/>
        <v>0</v>
      </c>
      <c r="V206" s="281">
        <f t="shared" si="40"/>
        <v>0</v>
      </c>
      <c r="W206" s="281">
        <f t="shared" si="40"/>
        <v>0</v>
      </c>
      <c r="X206" s="282">
        <f t="shared" si="40"/>
        <v>0</v>
      </c>
      <c r="Y206" s="280">
        <f t="shared" si="40"/>
        <v>0</v>
      </c>
      <c r="Z206" s="281">
        <f t="shared" si="40"/>
        <v>0</v>
      </c>
      <c r="AA206" s="281">
        <f t="shared" si="40"/>
        <v>0</v>
      </c>
      <c r="AB206" s="282">
        <f t="shared" si="40"/>
        <v>0</v>
      </c>
      <c r="AC206" s="280">
        <f t="shared" si="40"/>
        <v>0</v>
      </c>
      <c r="AD206" s="281">
        <f t="shared" si="40"/>
        <v>0</v>
      </c>
      <c r="AE206" s="281">
        <f t="shared" si="40"/>
        <v>0</v>
      </c>
      <c r="AF206" s="282">
        <f t="shared" si="40"/>
        <v>0</v>
      </c>
      <c r="AG206" s="280">
        <f t="shared" si="40"/>
        <v>0</v>
      </c>
      <c r="AH206" s="281">
        <f t="shared" si="40"/>
        <v>0</v>
      </c>
      <c r="AI206" s="281">
        <f t="shared" si="40"/>
        <v>0</v>
      </c>
      <c r="AJ206" s="282">
        <f t="shared" si="40"/>
        <v>0</v>
      </c>
      <c r="AK206" s="280">
        <f t="shared" si="40"/>
        <v>0</v>
      </c>
      <c r="AL206" s="281">
        <f t="shared" si="40"/>
        <v>0</v>
      </c>
      <c r="AM206" s="281">
        <f t="shared" si="40"/>
        <v>0</v>
      </c>
      <c r="AN206" s="282">
        <f t="shared" si="40"/>
        <v>0</v>
      </c>
      <c r="AO206" s="280">
        <f t="shared" si="40"/>
        <v>0</v>
      </c>
      <c r="AP206" s="281">
        <f t="shared" si="40"/>
        <v>0</v>
      </c>
      <c r="AQ206" s="281">
        <f t="shared" si="40"/>
        <v>0</v>
      </c>
      <c r="AR206" s="282">
        <f t="shared" si="40"/>
        <v>0</v>
      </c>
      <c r="AS206" s="280">
        <f t="shared" si="40"/>
        <v>0</v>
      </c>
      <c r="AT206" s="281">
        <f t="shared" si="40"/>
        <v>0</v>
      </c>
      <c r="AU206" s="281">
        <f t="shared" si="40"/>
        <v>0</v>
      </c>
      <c r="AV206" s="282">
        <f t="shared" si="40"/>
        <v>0</v>
      </c>
    </row>
    <row r="207" spans="2:48" s="256" customFormat="1" ht="15.75" customHeight="1" outlineLevel="1">
      <c r="B207" s="321"/>
      <c r="C207" s="1975"/>
      <c r="D207" s="1981" t="str">
        <f>'8.项目规划指标表'!$B$6</f>
        <v>商铺</v>
      </c>
      <c r="E207" s="311">
        <f>IF($E$4&amp;"年"&amp;E$5&lt;&gt;'9.项目开发计划表'!$AG$6,1,$E$4&amp;"年"&amp;E$5)</f>
        <v>1</v>
      </c>
      <c r="F207" s="312">
        <f>IF($E$4&amp;"年"&amp;F$5&lt;&gt;'9.项目开发计划表'!$AG$6,1,$E$4&amp;"年"&amp;F$5)</f>
        <v>1</v>
      </c>
      <c r="G207" s="312">
        <f>IF($E$4&amp;"年"&amp;G$5&lt;&gt;'9.项目开发计划表'!$AG$6,1,$E$4&amp;"年"&amp;G$5)</f>
        <v>1</v>
      </c>
      <c r="H207" s="313">
        <f>IF($E$4&amp;"年"&amp;H$5&lt;&gt;'9.项目开发计划表'!$AG$6,1,$E$4&amp;"年"&amp;H$5)</f>
        <v>1</v>
      </c>
      <c r="I207" s="311">
        <f>IF((E$4+1)&amp;"年"&amp;I$5&lt;&gt;'9.项目开发计划表'!$AG$6,1,(E$4+1)&amp;"年"&amp;I$5)</f>
        <v>1</v>
      </c>
      <c r="J207" s="312">
        <f>IF((E$4+1)&amp;"年"&amp;J$5&lt;&gt;'9.项目开发计划表'!$AG$6,1,(E$4+1)&amp;"年"&amp;J$5)</f>
        <v>1</v>
      </c>
      <c r="K207" s="312">
        <f>IF((E$4+1)&amp;"年"&amp;K$5&lt;&gt;'9.项目开发计划表'!$AG$6,1,(E$4+1)&amp;"年"&amp;K$5)</f>
        <v>1</v>
      </c>
      <c r="L207" s="313">
        <f>IF((E$4+1)&amp;"年"&amp;L$5&lt;&gt;'9.项目开发计划表'!$AG$6,1,(E$4+1)&amp;"年"&amp;L$5)</f>
        <v>1</v>
      </c>
      <c r="M207" s="311">
        <f>IF((I$4+1)&amp;"年"&amp;M$5&lt;&gt;'9.项目开发计划表'!$AG$6,1,(I$4+1)&amp;"年"&amp;M$5)</f>
        <v>1</v>
      </c>
      <c r="N207" s="312">
        <f>IF((I$4+1)&amp;"年"&amp;N$5&lt;&gt;'9.项目开发计划表'!$AG$6,1,(I$4+1)&amp;"年"&amp;N$5)</f>
        <v>1</v>
      </c>
      <c r="O207" s="312">
        <f>IF((I$4+1)&amp;"年"&amp;O$5&lt;&gt;'9.项目开发计划表'!$AG$6,1,(I$4+1)&amp;"年"&amp;O$5)</f>
        <v>1</v>
      </c>
      <c r="P207" s="313" t="str">
        <f>IF((I$4+1)&amp;"年"&amp;P$5&lt;&gt;'9.项目开发计划表'!$AG$6,1,(I$4+1)&amp;"年"&amp;P$5)</f>
        <v>2020年4季度</v>
      </c>
      <c r="Q207" s="311">
        <f>IF((M$4+1)&amp;"年"&amp;Q$5&lt;&gt;'9.项目开发计划表'!$AG$6,1,(M$4+1)&amp;"年"&amp;Q$5)</f>
        <v>1</v>
      </c>
      <c r="R207" s="312">
        <f>IF((M$4+1)&amp;"年"&amp;R$5&lt;&gt;'9.项目开发计划表'!$AG$6,1,(M$4+1)&amp;"年"&amp;R$5)</f>
        <v>1</v>
      </c>
      <c r="S207" s="312">
        <f>IF((M$4+1)&amp;"年"&amp;S$5&lt;&gt;'9.项目开发计划表'!$AG$6,1,(M$4+1)&amp;"年"&amp;S$5)</f>
        <v>1</v>
      </c>
      <c r="T207" s="313">
        <f>IF((M$4+1)&amp;"年"&amp;T$5&lt;&gt;'9.项目开发计划表'!$AG$6,1,(M$4+1)&amp;"年"&amp;T$5)</f>
        <v>1</v>
      </c>
      <c r="U207" s="311">
        <f>IF((Q$4+1)&amp;"年"&amp;U$5&lt;&gt;'9.项目开发计划表'!$AG$6,1,(Q$4+1)&amp;"年"&amp;U$5)</f>
        <v>1</v>
      </c>
      <c r="V207" s="312">
        <f>IF((Q$4+1)&amp;"年"&amp;V$5&lt;&gt;'9.项目开发计划表'!$AG$6,1,(Q$4+1)&amp;"年"&amp;V$5)</f>
        <v>1</v>
      </c>
      <c r="W207" s="312">
        <f>IF((Q$4+1)&amp;"年"&amp;W$5&lt;&gt;'9.项目开发计划表'!$AG$6,1,(Q$4+1)&amp;"年"&amp;W$5)</f>
        <v>1</v>
      </c>
      <c r="X207" s="313">
        <f>IF((Q$4+1)&amp;"年"&amp;X$5&lt;&gt;'9.项目开发计划表'!$AG$6,1,(Q$4+1)&amp;"年"&amp;X$5)</f>
        <v>1</v>
      </c>
      <c r="Y207" s="311">
        <f>IF((U$4+1)&amp;"年"&amp;Y$5&lt;&gt;'9.项目开发计划表'!$AG$6,1,(U$4+1)&amp;"年"&amp;Y$5)</f>
        <v>1</v>
      </c>
      <c r="Z207" s="312">
        <f>IF((U$4+1)&amp;"年"&amp;Z$5&lt;&gt;'9.项目开发计划表'!$AG$6,1,(U$4+1)&amp;"年"&amp;Z$5)</f>
        <v>1</v>
      </c>
      <c r="AA207" s="312">
        <f>IF((U$4+1)&amp;"年"&amp;AA$5&lt;&gt;'9.项目开发计划表'!$AG$6,1,(U$4+1)&amp;"年"&amp;AA$5)</f>
        <v>1</v>
      </c>
      <c r="AB207" s="313">
        <f>IF((U$4+1)&amp;"年"&amp;AB$5&lt;&gt;'9.项目开发计划表'!$AG$6,1,(U$4+1)&amp;"年"&amp;AB$5)</f>
        <v>1</v>
      </c>
      <c r="AC207" s="311">
        <f>IF((Y$4+1)&amp;"年"&amp;AC$5&lt;&gt;'9.项目开发计划表'!$AG$6,1,(Y$4+1)&amp;"年"&amp;AC$5)</f>
        <v>1</v>
      </c>
      <c r="AD207" s="312">
        <f>IF((Y$4+1)&amp;"年"&amp;AD$5&lt;&gt;'9.项目开发计划表'!$AG$6,1,(Y$4+1)&amp;"年"&amp;AD$5)</f>
        <v>1</v>
      </c>
      <c r="AE207" s="312">
        <f>IF((Y$4+1)&amp;"年"&amp;AE$5&lt;&gt;'9.项目开发计划表'!$AG$6,1,(Y$4+1)&amp;"年"&amp;AE$5)</f>
        <v>1</v>
      </c>
      <c r="AF207" s="313">
        <f>IF((Y$4+1)&amp;"年"&amp;AF$5&lt;&gt;'9.项目开发计划表'!$AG$6,1,(Y$4+1)&amp;"年"&amp;AF$5)</f>
        <v>1</v>
      </c>
      <c r="AG207" s="311">
        <f>IF((AC$4+1)&amp;"年"&amp;AG$5&lt;&gt;'9.项目开发计划表'!$AG$6,1,(AC$4+1)&amp;"年"&amp;AG$5)</f>
        <v>1</v>
      </c>
      <c r="AH207" s="312">
        <f>IF((AC$4+1)&amp;"年"&amp;AH$5&lt;&gt;'9.项目开发计划表'!$AG$6,1,(AC$4+1)&amp;"年"&amp;AH$5)</f>
        <v>1</v>
      </c>
      <c r="AI207" s="312">
        <f>IF((AC$4+1)&amp;"年"&amp;AI$5&lt;&gt;'9.项目开发计划表'!$AG$6,1,(AC$4+1)&amp;"年"&amp;AI$5)</f>
        <v>1</v>
      </c>
      <c r="AJ207" s="313">
        <f>IF((AC$4+1)&amp;"年"&amp;AJ$5&lt;&gt;'9.项目开发计划表'!$AG$6,1,(AC$4+1)&amp;"年"&amp;AJ$5)</f>
        <v>1</v>
      </c>
      <c r="AK207" s="311">
        <f>IF((AG$4+1)&amp;"年"&amp;AK$5&lt;&gt;'9.项目开发计划表'!$AG$6,1,(AG$4+1)&amp;"年"&amp;AK$5)</f>
        <v>1</v>
      </c>
      <c r="AL207" s="312">
        <f>IF((AG$4+1)&amp;"年"&amp;AL$5&lt;&gt;'9.项目开发计划表'!$AG$6,1,(AG$4+1)&amp;"年"&amp;AL$5)</f>
        <v>1</v>
      </c>
      <c r="AM207" s="312">
        <f>IF((AG$4+1)&amp;"年"&amp;AM$5&lt;&gt;'9.项目开发计划表'!$AG$6,1,(AG$4+1)&amp;"年"&amp;AM$5)</f>
        <v>1</v>
      </c>
      <c r="AN207" s="313">
        <f>IF((AG$4+1)&amp;"年"&amp;AN$5&lt;&gt;'9.项目开发计划表'!$AG$6,1,(AG$4+1)&amp;"年"&amp;AN$5)</f>
        <v>1</v>
      </c>
      <c r="AO207" s="311">
        <f>IF((AK$4+1)&amp;"年"&amp;AO$5&lt;&gt;'9.项目开发计划表'!$AG$6,1,(AK$4+1)&amp;"年"&amp;AO$5)</f>
        <v>1</v>
      </c>
      <c r="AP207" s="312">
        <f>IF((AK$4+1)&amp;"年"&amp;AP$5&lt;&gt;'9.项目开发计划表'!$AG$6,1,(AK$4+1)&amp;"年"&amp;AP$5)</f>
        <v>1</v>
      </c>
      <c r="AQ207" s="312">
        <f>IF((AK$4+1)&amp;"年"&amp;AQ$5&lt;&gt;'9.项目开发计划表'!$AG$6,1,(AK$4+1)&amp;"年"&amp;AQ$5)</f>
        <v>1</v>
      </c>
      <c r="AR207" s="313">
        <f>IF((AK$4+1)&amp;"年"&amp;AR$5&lt;&gt;'9.项目开发计划表'!$AG$6,1,(AK$4+1)&amp;"年"&amp;AR$5)</f>
        <v>1</v>
      </c>
      <c r="AS207" s="311">
        <f>IF((AO$4+1)&amp;"年"&amp;AS$5&lt;&gt;'9.项目开发计划表'!$AG$6,1,(AO$4+1)&amp;"年"&amp;AS$5)</f>
        <v>1</v>
      </c>
      <c r="AT207" s="312">
        <f>IF((AO$4+1)&amp;"年"&amp;AT$5&lt;&gt;'9.项目开发计划表'!$AG$6,1,(AO$4+1)&amp;"年"&amp;AT$5)</f>
        <v>1</v>
      </c>
      <c r="AU207" s="312">
        <f>IF((AO$4+1)&amp;"年"&amp;AU$5&lt;&gt;'9.项目开发计划表'!$AG$6,1,(AO$4+1)&amp;"年"&amp;AU$5)</f>
        <v>1</v>
      </c>
      <c r="AV207" s="313">
        <f>IF((AO$4+1)&amp;"年"&amp;AV$5&lt;&gt;'9.项目开发计划表'!$AG$6,1,(AO$4+1)&amp;"年"&amp;AV$5)</f>
        <v>1</v>
      </c>
    </row>
    <row r="208" spans="2:48" s="256" customFormat="1" ht="15.75" customHeight="1" outlineLevel="1">
      <c r="B208" s="321"/>
      <c r="C208" s="1975"/>
      <c r="D208" s="1982"/>
      <c r="E208" s="280">
        <f t="shared" si="39"/>
        <v>0</v>
      </c>
      <c r="F208" s="281">
        <f t="shared" si="40"/>
        <v>0</v>
      </c>
      <c r="G208" s="281">
        <f t="shared" si="40"/>
        <v>0</v>
      </c>
      <c r="H208" s="282">
        <f t="shared" si="40"/>
        <v>0</v>
      </c>
      <c r="I208" s="280">
        <f t="shared" si="40"/>
        <v>0</v>
      </c>
      <c r="J208" s="281">
        <f t="shared" si="40"/>
        <v>0</v>
      </c>
      <c r="K208" s="281">
        <f t="shared" si="40"/>
        <v>0</v>
      </c>
      <c r="L208" s="282">
        <f t="shared" si="40"/>
        <v>0</v>
      </c>
      <c r="M208" s="280">
        <f t="shared" si="40"/>
        <v>0</v>
      </c>
      <c r="N208" s="281">
        <f t="shared" si="40"/>
        <v>0</v>
      </c>
      <c r="O208" s="281">
        <f t="shared" si="40"/>
        <v>0</v>
      </c>
      <c r="P208" s="282">
        <f t="shared" si="40"/>
        <v>1</v>
      </c>
      <c r="Q208" s="280">
        <f t="shared" si="40"/>
        <v>0</v>
      </c>
      <c r="R208" s="281">
        <f t="shared" si="40"/>
        <v>0</v>
      </c>
      <c r="S208" s="281">
        <f t="shared" si="40"/>
        <v>0</v>
      </c>
      <c r="T208" s="282">
        <f t="shared" si="40"/>
        <v>0</v>
      </c>
      <c r="U208" s="280">
        <f t="shared" si="40"/>
        <v>0</v>
      </c>
      <c r="V208" s="281">
        <f t="shared" si="40"/>
        <v>0</v>
      </c>
      <c r="W208" s="281">
        <f t="shared" si="40"/>
        <v>0</v>
      </c>
      <c r="X208" s="282">
        <f t="shared" si="40"/>
        <v>0</v>
      </c>
      <c r="Y208" s="280">
        <f t="shared" si="40"/>
        <v>0</v>
      </c>
      <c r="Z208" s="281">
        <f t="shared" si="40"/>
        <v>0</v>
      </c>
      <c r="AA208" s="281">
        <f t="shared" si="40"/>
        <v>0</v>
      </c>
      <c r="AB208" s="282">
        <f t="shared" si="40"/>
        <v>0</v>
      </c>
      <c r="AC208" s="280">
        <f t="shared" si="40"/>
        <v>0</v>
      </c>
      <c r="AD208" s="281">
        <f t="shared" si="40"/>
        <v>0</v>
      </c>
      <c r="AE208" s="281">
        <f t="shared" si="40"/>
        <v>0</v>
      </c>
      <c r="AF208" s="282">
        <f t="shared" si="40"/>
        <v>0</v>
      </c>
      <c r="AG208" s="280">
        <f t="shared" si="40"/>
        <v>0</v>
      </c>
      <c r="AH208" s="281">
        <f t="shared" si="40"/>
        <v>0</v>
      </c>
      <c r="AI208" s="281">
        <f t="shared" si="40"/>
        <v>0</v>
      </c>
      <c r="AJ208" s="282">
        <f t="shared" si="40"/>
        <v>0</v>
      </c>
      <c r="AK208" s="280">
        <f t="shared" si="40"/>
        <v>0</v>
      </c>
      <c r="AL208" s="281">
        <f t="shared" si="40"/>
        <v>0</v>
      </c>
      <c r="AM208" s="281">
        <f t="shared" si="40"/>
        <v>0</v>
      </c>
      <c r="AN208" s="282">
        <f t="shared" si="40"/>
        <v>0</v>
      </c>
      <c r="AO208" s="280">
        <f t="shared" si="40"/>
        <v>0</v>
      </c>
      <c r="AP208" s="281">
        <f t="shared" si="40"/>
        <v>0</v>
      </c>
      <c r="AQ208" s="281">
        <f t="shared" si="40"/>
        <v>0</v>
      </c>
      <c r="AR208" s="282">
        <f t="shared" si="40"/>
        <v>0</v>
      </c>
      <c r="AS208" s="280">
        <f t="shared" si="40"/>
        <v>0</v>
      </c>
      <c r="AT208" s="281">
        <f t="shared" si="40"/>
        <v>0</v>
      </c>
      <c r="AU208" s="281">
        <f t="shared" si="40"/>
        <v>0</v>
      </c>
      <c r="AV208" s="282">
        <f t="shared" si="40"/>
        <v>0</v>
      </c>
    </row>
    <row r="209" spans="2:48" s="256" customFormat="1" ht="15.75" customHeight="1" outlineLevel="1">
      <c r="B209" s="321"/>
      <c r="C209" s="1975"/>
      <c r="D209" s="1981" t="str">
        <f>'8.项目规划指标表'!$B$7</f>
        <v>回迁商业</v>
      </c>
      <c r="E209" s="311">
        <f>IF($E$4&amp;"年"&amp;E$5&lt;&gt;'9.项目开发计划表'!$AG$7,1,$E$4&amp;"年"&amp;E$5)</f>
        <v>1</v>
      </c>
      <c r="F209" s="312">
        <f>IF($E$4&amp;"年"&amp;F$5&lt;&gt;'9.项目开发计划表'!$AG$7,1,$E$4&amp;"年"&amp;F$5)</f>
        <v>1</v>
      </c>
      <c r="G209" s="312">
        <f>IF($E$4&amp;"年"&amp;G$5&lt;&gt;'9.项目开发计划表'!$AG$7,1,$E$4&amp;"年"&amp;G$5)</f>
        <v>1</v>
      </c>
      <c r="H209" s="313">
        <f>IF($E$4&amp;"年"&amp;H$5&lt;&gt;'9.项目开发计划表'!$AG$7,1,$E$4&amp;"年"&amp;H$5)</f>
        <v>1</v>
      </c>
      <c r="I209" s="311">
        <f>IF((E$4+1)&amp;"年"&amp;I$5&lt;&gt;'9.项目开发计划表'!$AG$7,1,(E$4+1)&amp;"年"&amp;I$5)</f>
        <v>1</v>
      </c>
      <c r="J209" s="312">
        <f>IF((E$4+1)&amp;"年"&amp;J$5&lt;&gt;'9.项目开发计划表'!$AG$7,1,(E$4+1)&amp;"年"&amp;J$5)</f>
        <v>1</v>
      </c>
      <c r="K209" s="312">
        <f>IF((E$4+1)&amp;"年"&amp;K$5&lt;&gt;'9.项目开发计划表'!$AG$7,1,(E$4+1)&amp;"年"&amp;K$5)</f>
        <v>1</v>
      </c>
      <c r="L209" s="313">
        <f>IF((E$4+1)&amp;"年"&amp;L$5&lt;&gt;'9.项目开发计划表'!$AG$7,1,(E$4+1)&amp;"年"&amp;L$5)</f>
        <v>1</v>
      </c>
      <c r="M209" s="311">
        <f>IF((I$4+1)&amp;"年"&amp;M$5&lt;&gt;'9.项目开发计划表'!$AG$7,1,(I$4+1)&amp;"年"&amp;M$5)</f>
        <v>1</v>
      </c>
      <c r="N209" s="312">
        <f>IF((I$4+1)&amp;"年"&amp;N$5&lt;&gt;'9.项目开发计划表'!$AG$7,1,(I$4+1)&amp;"年"&amp;N$5)</f>
        <v>1</v>
      </c>
      <c r="O209" s="312">
        <f>IF((I$4+1)&amp;"年"&amp;O$5&lt;&gt;'9.项目开发计划表'!$AG$7,1,(I$4+1)&amp;"年"&amp;O$5)</f>
        <v>1</v>
      </c>
      <c r="P209" s="313">
        <f>IF((I$4+1)&amp;"年"&amp;P$5&lt;&gt;'9.项目开发计划表'!$AG$7,1,(I$4+1)&amp;"年"&amp;P$5)</f>
        <v>1</v>
      </c>
      <c r="Q209" s="311">
        <f>IF((M$4+1)&amp;"年"&amp;Q$5&lt;&gt;'9.项目开发计划表'!$AG$7,1,(M$4+1)&amp;"年"&amp;Q$5)</f>
        <v>1</v>
      </c>
      <c r="R209" s="312">
        <f>IF((M$4+1)&amp;"年"&amp;R$5&lt;&gt;'9.项目开发计划表'!$AG$7,1,(M$4+1)&amp;"年"&amp;R$5)</f>
        <v>1</v>
      </c>
      <c r="S209" s="312">
        <f>IF((M$4+1)&amp;"年"&amp;S$5&lt;&gt;'9.项目开发计划表'!$AG$7,1,(M$4+1)&amp;"年"&amp;S$5)</f>
        <v>1</v>
      </c>
      <c r="T209" s="313">
        <f>IF((M$4+1)&amp;"年"&amp;T$5&lt;&gt;'9.项目开发计划表'!$AG$7,1,(M$4+1)&amp;"年"&amp;T$5)</f>
        <v>1</v>
      </c>
      <c r="U209" s="311">
        <f>IF((Q$4+1)&amp;"年"&amp;U$5&lt;&gt;'9.项目开发计划表'!$AG$7,1,(Q$4+1)&amp;"年"&amp;U$5)</f>
        <v>1</v>
      </c>
      <c r="V209" s="312">
        <f>IF((Q$4+1)&amp;"年"&amp;V$5&lt;&gt;'9.项目开发计划表'!$AG$7,1,(Q$4+1)&amp;"年"&amp;V$5)</f>
        <v>1</v>
      </c>
      <c r="W209" s="312">
        <f>IF((Q$4+1)&amp;"年"&amp;W$5&lt;&gt;'9.项目开发计划表'!$AG$7,1,(Q$4+1)&amp;"年"&amp;W$5)</f>
        <v>1</v>
      </c>
      <c r="X209" s="313">
        <f>IF((Q$4+1)&amp;"年"&amp;X$5&lt;&gt;'9.项目开发计划表'!$AG$7,1,(Q$4+1)&amp;"年"&amp;X$5)</f>
        <v>1</v>
      </c>
      <c r="Y209" s="311">
        <f>IF((U$4+1)&amp;"年"&amp;Y$5&lt;&gt;'9.项目开发计划表'!$AG$7,1,(U$4+1)&amp;"年"&amp;Y$5)</f>
        <v>1</v>
      </c>
      <c r="Z209" s="312">
        <f>IF((U$4+1)&amp;"年"&amp;Z$5&lt;&gt;'9.项目开发计划表'!$AG$7,1,(U$4+1)&amp;"年"&amp;Z$5)</f>
        <v>1</v>
      </c>
      <c r="AA209" s="312">
        <f>IF((U$4+1)&amp;"年"&amp;AA$5&lt;&gt;'9.项目开发计划表'!$AG$7,1,(U$4+1)&amp;"年"&amp;AA$5)</f>
        <v>1</v>
      </c>
      <c r="AB209" s="313">
        <f>IF((U$4+1)&amp;"年"&amp;AB$5&lt;&gt;'9.项目开发计划表'!$AG$7,1,(U$4+1)&amp;"年"&amp;AB$5)</f>
        <v>1</v>
      </c>
      <c r="AC209" s="311">
        <f>IF((Y$4+1)&amp;"年"&amp;AC$5&lt;&gt;'9.项目开发计划表'!$AG$7,1,(Y$4+1)&amp;"年"&amp;AC$5)</f>
        <v>1</v>
      </c>
      <c r="AD209" s="312">
        <f>IF((Y$4+1)&amp;"年"&amp;AD$5&lt;&gt;'9.项目开发计划表'!$AG$7,1,(Y$4+1)&amp;"年"&amp;AD$5)</f>
        <v>1</v>
      </c>
      <c r="AE209" s="312">
        <f>IF((Y$4+1)&amp;"年"&amp;AE$5&lt;&gt;'9.项目开发计划表'!$AG$7,1,(Y$4+1)&amp;"年"&amp;AE$5)</f>
        <v>1</v>
      </c>
      <c r="AF209" s="313">
        <f>IF((Y$4+1)&amp;"年"&amp;AF$5&lt;&gt;'9.项目开发计划表'!$AG$7,1,(Y$4+1)&amp;"年"&amp;AF$5)</f>
        <v>1</v>
      </c>
      <c r="AG209" s="311">
        <f>IF((AC$4+1)&amp;"年"&amp;AG$5&lt;&gt;'9.项目开发计划表'!$AG$7,1,(AC$4+1)&amp;"年"&amp;AG$5)</f>
        <v>1</v>
      </c>
      <c r="AH209" s="312">
        <f>IF((AC$4+1)&amp;"年"&amp;AH$5&lt;&gt;'9.项目开发计划表'!$AG$7,1,(AC$4+1)&amp;"年"&amp;AH$5)</f>
        <v>1</v>
      </c>
      <c r="AI209" s="312">
        <f>IF((AC$4+1)&amp;"年"&amp;AI$5&lt;&gt;'9.项目开发计划表'!$AG$7,1,(AC$4+1)&amp;"年"&amp;AI$5)</f>
        <v>1</v>
      </c>
      <c r="AJ209" s="313">
        <f>IF((AC$4+1)&amp;"年"&amp;AJ$5&lt;&gt;'9.项目开发计划表'!$AG$7,1,(AC$4+1)&amp;"年"&amp;AJ$5)</f>
        <v>1</v>
      </c>
      <c r="AK209" s="311">
        <f>IF((AG$4+1)&amp;"年"&amp;AK$5&lt;&gt;'9.项目开发计划表'!$AG$7,1,(AG$4+1)&amp;"年"&amp;AK$5)</f>
        <v>1</v>
      </c>
      <c r="AL209" s="312">
        <f>IF((AG$4+1)&amp;"年"&amp;AL$5&lt;&gt;'9.项目开发计划表'!$AG$7,1,(AG$4+1)&amp;"年"&amp;AL$5)</f>
        <v>1</v>
      </c>
      <c r="AM209" s="312">
        <f>IF((AG$4+1)&amp;"年"&amp;AM$5&lt;&gt;'9.项目开发计划表'!$AG$7,1,(AG$4+1)&amp;"年"&amp;AM$5)</f>
        <v>1</v>
      </c>
      <c r="AN209" s="313">
        <f>IF((AG$4+1)&amp;"年"&amp;AN$5&lt;&gt;'9.项目开发计划表'!$AG$7,1,(AG$4+1)&amp;"年"&amp;AN$5)</f>
        <v>1</v>
      </c>
      <c r="AO209" s="311">
        <f>IF((AK$4+1)&amp;"年"&amp;AO$5&lt;&gt;'9.项目开发计划表'!$AG$7,1,(AK$4+1)&amp;"年"&amp;AO$5)</f>
        <v>1</v>
      </c>
      <c r="AP209" s="312">
        <f>IF((AK$4+1)&amp;"年"&amp;AP$5&lt;&gt;'9.项目开发计划表'!$AG$7,1,(AK$4+1)&amp;"年"&amp;AP$5)</f>
        <v>1</v>
      </c>
      <c r="AQ209" s="312">
        <f>IF((AK$4+1)&amp;"年"&amp;AQ$5&lt;&gt;'9.项目开发计划表'!$AG$7,1,(AK$4+1)&amp;"年"&amp;AQ$5)</f>
        <v>1</v>
      </c>
      <c r="AR209" s="313">
        <f>IF((AK$4+1)&amp;"年"&amp;AR$5&lt;&gt;'9.项目开发计划表'!$AG$7,1,(AK$4+1)&amp;"年"&amp;AR$5)</f>
        <v>1</v>
      </c>
      <c r="AS209" s="311">
        <f>IF((AO$4+1)&amp;"年"&amp;AS$5&lt;&gt;'9.项目开发计划表'!$AG$7,1,(AO$4+1)&amp;"年"&amp;AS$5)</f>
        <v>1</v>
      </c>
      <c r="AT209" s="312">
        <f>IF((AO$4+1)&amp;"年"&amp;AT$5&lt;&gt;'9.项目开发计划表'!$AG$7,1,(AO$4+1)&amp;"年"&amp;AT$5)</f>
        <v>1</v>
      </c>
      <c r="AU209" s="312">
        <f>IF((AO$4+1)&amp;"年"&amp;AU$5&lt;&gt;'9.项目开发计划表'!$AG$7,1,(AO$4+1)&amp;"年"&amp;AU$5)</f>
        <v>1</v>
      </c>
      <c r="AV209" s="313">
        <f>IF((AO$4+1)&amp;"年"&amp;AV$5&lt;&gt;'9.项目开发计划表'!$AG$7,1,(AO$4+1)&amp;"年"&amp;AV$5)</f>
        <v>1</v>
      </c>
    </row>
    <row r="210" spans="2:48" s="256" customFormat="1" ht="15.75" customHeight="1" outlineLevel="1">
      <c r="B210" s="321"/>
      <c r="C210" s="1975"/>
      <c r="D210" s="1982"/>
      <c r="E210" s="280">
        <f t="shared" si="39"/>
        <v>0</v>
      </c>
      <c r="F210" s="281">
        <f t="shared" si="40"/>
        <v>0</v>
      </c>
      <c r="G210" s="281">
        <f t="shared" si="40"/>
        <v>0</v>
      </c>
      <c r="H210" s="282">
        <f t="shared" si="40"/>
        <v>0</v>
      </c>
      <c r="I210" s="280">
        <f t="shared" si="40"/>
        <v>0</v>
      </c>
      <c r="J210" s="281">
        <f t="shared" si="40"/>
        <v>0</v>
      </c>
      <c r="K210" s="281">
        <f t="shared" si="40"/>
        <v>0</v>
      </c>
      <c r="L210" s="282">
        <f t="shared" si="40"/>
        <v>0</v>
      </c>
      <c r="M210" s="280">
        <f t="shared" si="40"/>
        <v>0</v>
      </c>
      <c r="N210" s="281">
        <f t="shared" si="40"/>
        <v>0</v>
      </c>
      <c r="O210" s="281">
        <f t="shared" si="40"/>
        <v>0</v>
      </c>
      <c r="P210" s="282">
        <f t="shared" si="40"/>
        <v>0</v>
      </c>
      <c r="Q210" s="280">
        <f t="shared" si="40"/>
        <v>0</v>
      </c>
      <c r="R210" s="281">
        <f t="shared" si="40"/>
        <v>0</v>
      </c>
      <c r="S210" s="281">
        <f t="shared" si="40"/>
        <v>0</v>
      </c>
      <c r="T210" s="282">
        <f t="shared" si="40"/>
        <v>0</v>
      </c>
      <c r="U210" s="280">
        <f t="shared" si="40"/>
        <v>0</v>
      </c>
      <c r="V210" s="281">
        <f t="shared" si="40"/>
        <v>0</v>
      </c>
      <c r="W210" s="281">
        <f t="shared" si="40"/>
        <v>0</v>
      </c>
      <c r="X210" s="282">
        <f t="shared" si="40"/>
        <v>0</v>
      </c>
      <c r="Y210" s="280">
        <f t="shared" si="40"/>
        <v>0</v>
      </c>
      <c r="Z210" s="281">
        <f t="shared" si="40"/>
        <v>0</v>
      </c>
      <c r="AA210" s="281">
        <f t="shared" si="40"/>
        <v>0</v>
      </c>
      <c r="AB210" s="282">
        <f t="shared" si="40"/>
        <v>0</v>
      </c>
      <c r="AC210" s="280">
        <f t="shared" si="40"/>
        <v>0</v>
      </c>
      <c r="AD210" s="281">
        <f t="shared" si="40"/>
        <v>0</v>
      </c>
      <c r="AE210" s="281">
        <f t="shared" si="40"/>
        <v>0</v>
      </c>
      <c r="AF210" s="282">
        <f t="shared" si="40"/>
        <v>0</v>
      </c>
      <c r="AG210" s="280">
        <f t="shared" si="40"/>
        <v>0</v>
      </c>
      <c r="AH210" s="281">
        <f t="shared" si="40"/>
        <v>0</v>
      </c>
      <c r="AI210" s="281">
        <f t="shared" si="40"/>
        <v>0</v>
      </c>
      <c r="AJ210" s="282">
        <f t="shared" si="40"/>
        <v>0</v>
      </c>
      <c r="AK210" s="280">
        <f t="shared" si="40"/>
        <v>0</v>
      </c>
      <c r="AL210" s="281">
        <f t="shared" si="40"/>
        <v>0</v>
      </c>
      <c r="AM210" s="281">
        <f t="shared" si="40"/>
        <v>0</v>
      </c>
      <c r="AN210" s="282">
        <f t="shared" si="40"/>
        <v>0</v>
      </c>
      <c r="AO210" s="280">
        <f t="shared" si="40"/>
        <v>0</v>
      </c>
      <c r="AP210" s="281">
        <f t="shared" si="40"/>
        <v>0</v>
      </c>
      <c r="AQ210" s="281">
        <f t="shared" si="40"/>
        <v>0</v>
      </c>
      <c r="AR210" s="282">
        <f t="shared" si="40"/>
        <v>0</v>
      </c>
      <c r="AS210" s="280">
        <f t="shared" si="40"/>
        <v>0</v>
      </c>
      <c r="AT210" s="281">
        <f t="shared" si="40"/>
        <v>0</v>
      </c>
      <c r="AU210" s="281">
        <f t="shared" si="40"/>
        <v>0</v>
      </c>
      <c r="AV210" s="282">
        <f t="shared" si="40"/>
        <v>0</v>
      </c>
    </row>
    <row r="211" spans="2:48" s="256" customFormat="1" ht="15.75" customHeight="1" outlineLevel="1">
      <c r="B211" s="321"/>
      <c r="C211" s="1975"/>
      <c r="D211" s="1981">
        <f>'8.项目规划指标表'!$B$8</f>
        <v>0</v>
      </c>
      <c r="E211" s="311">
        <f>IF($E$4&amp;"年"&amp;E$5&lt;&gt;'9.项目开发计划表'!$AG$8,1,$E$4&amp;"年"&amp;E$5)</f>
        <v>1</v>
      </c>
      <c r="F211" s="312">
        <f>IF($E$4&amp;"年"&amp;F$5&lt;&gt;'9.项目开发计划表'!$AG$8,1,$E$4&amp;"年"&amp;F$5)</f>
        <v>1</v>
      </c>
      <c r="G211" s="312">
        <f>IF($E$4&amp;"年"&amp;G$5&lt;&gt;'9.项目开发计划表'!$AG$8,1,$E$4&amp;"年"&amp;G$5)</f>
        <v>1</v>
      </c>
      <c r="H211" s="313">
        <f>IF($E$4&amp;"年"&amp;H$5&lt;&gt;'9.项目开发计划表'!$AG$8,1,$E$4&amp;"年"&amp;H$5)</f>
        <v>1</v>
      </c>
      <c r="I211" s="311">
        <f>IF((E$4+1)&amp;"年"&amp;I$5&lt;&gt;'9.项目开发计划表'!$AG$8,1,(E$4+1)&amp;"年"&amp;I$5)</f>
        <v>1</v>
      </c>
      <c r="J211" s="312">
        <f>IF((E$4+1)&amp;"年"&amp;J$5&lt;&gt;'9.项目开发计划表'!$AG$8,1,(E$4+1)&amp;"年"&amp;J$5)</f>
        <v>1</v>
      </c>
      <c r="K211" s="312">
        <f>IF((E$4+1)&amp;"年"&amp;K$5&lt;&gt;'9.项目开发计划表'!$AG$8,1,(E$4+1)&amp;"年"&amp;K$5)</f>
        <v>1</v>
      </c>
      <c r="L211" s="313">
        <f>IF((E$4+1)&amp;"年"&amp;L$5&lt;&gt;'9.项目开发计划表'!$AG$8,1,(E$4+1)&amp;"年"&amp;L$5)</f>
        <v>1</v>
      </c>
      <c r="M211" s="311">
        <f>IF((I$4+1)&amp;"年"&amp;M$5&lt;&gt;'9.项目开发计划表'!$AG$8,1,(I$4+1)&amp;"年"&amp;M$5)</f>
        <v>1</v>
      </c>
      <c r="N211" s="312">
        <f>IF((I$4+1)&amp;"年"&amp;N$5&lt;&gt;'9.项目开发计划表'!$AG$8,1,(I$4+1)&amp;"年"&amp;N$5)</f>
        <v>1</v>
      </c>
      <c r="O211" s="312">
        <f>IF((I$4+1)&amp;"年"&amp;O$5&lt;&gt;'9.项目开发计划表'!$AG$8,1,(I$4+1)&amp;"年"&amp;O$5)</f>
        <v>1</v>
      </c>
      <c r="P211" s="313">
        <f>IF((I$4+1)&amp;"年"&amp;P$5&lt;&gt;'9.项目开发计划表'!$AG$8,1,(I$4+1)&amp;"年"&amp;P$5)</f>
        <v>1</v>
      </c>
      <c r="Q211" s="311">
        <f>IF((M$4+1)&amp;"年"&amp;Q$5&lt;&gt;'9.项目开发计划表'!$AG$8,1,(M$4+1)&amp;"年"&amp;Q$5)</f>
        <v>1</v>
      </c>
      <c r="R211" s="312">
        <f>IF((M$4+1)&amp;"年"&amp;R$5&lt;&gt;'9.项目开发计划表'!$AG$8,1,(M$4+1)&amp;"年"&amp;R$5)</f>
        <v>1</v>
      </c>
      <c r="S211" s="312">
        <f>IF((M$4+1)&amp;"年"&amp;S$5&lt;&gt;'9.项目开发计划表'!$AG$8,1,(M$4+1)&amp;"年"&amp;S$5)</f>
        <v>1</v>
      </c>
      <c r="T211" s="313">
        <f>IF((M$4+1)&amp;"年"&amp;T$5&lt;&gt;'9.项目开发计划表'!$AG$8,1,(M$4+1)&amp;"年"&amp;T$5)</f>
        <v>1</v>
      </c>
      <c r="U211" s="311">
        <f>IF((Q$4+1)&amp;"年"&amp;U$5&lt;&gt;'9.项目开发计划表'!$AG$8,1,(Q$4+1)&amp;"年"&amp;U$5)</f>
        <v>1</v>
      </c>
      <c r="V211" s="312">
        <f>IF((Q$4+1)&amp;"年"&amp;V$5&lt;&gt;'9.项目开发计划表'!$AG$8,1,(Q$4+1)&amp;"年"&amp;V$5)</f>
        <v>1</v>
      </c>
      <c r="W211" s="312">
        <f>IF((Q$4+1)&amp;"年"&amp;W$5&lt;&gt;'9.项目开发计划表'!$AG$8,1,(Q$4+1)&amp;"年"&amp;W$5)</f>
        <v>1</v>
      </c>
      <c r="X211" s="313">
        <f>IF((Q$4+1)&amp;"年"&amp;X$5&lt;&gt;'9.项目开发计划表'!$AG$8,1,(Q$4+1)&amp;"年"&amp;X$5)</f>
        <v>1</v>
      </c>
      <c r="Y211" s="311">
        <f>IF((U$4+1)&amp;"年"&amp;Y$5&lt;&gt;'9.项目开发计划表'!$AG$8,1,(U$4+1)&amp;"年"&amp;Y$5)</f>
        <v>1</v>
      </c>
      <c r="Z211" s="312">
        <f>IF((U$4+1)&amp;"年"&amp;Z$5&lt;&gt;'9.项目开发计划表'!$AG$8,1,(U$4+1)&amp;"年"&amp;Z$5)</f>
        <v>1</v>
      </c>
      <c r="AA211" s="312">
        <f>IF((U$4+1)&amp;"年"&amp;AA$5&lt;&gt;'9.项目开发计划表'!$AG$8,1,(U$4+1)&amp;"年"&amp;AA$5)</f>
        <v>1</v>
      </c>
      <c r="AB211" s="313">
        <f>IF((U$4+1)&amp;"年"&amp;AB$5&lt;&gt;'9.项目开发计划表'!$AG$8,1,(U$4+1)&amp;"年"&amp;AB$5)</f>
        <v>1</v>
      </c>
      <c r="AC211" s="311">
        <f>IF((Y$4+1)&amp;"年"&amp;AC$5&lt;&gt;'9.项目开发计划表'!$AG$8,1,(Y$4+1)&amp;"年"&amp;AC$5)</f>
        <v>1</v>
      </c>
      <c r="AD211" s="312">
        <f>IF((Y$4+1)&amp;"年"&amp;AD$5&lt;&gt;'9.项目开发计划表'!$AG$8,1,(Y$4+1)&amp;"年"&amp;AD$5)</f>
        <v>1</v>
      </c>
      <c r="AE211" s="312">
        <f>IF((Y$4+1)&amp;"年"&amp;AE$5&lt;&gt;'9.项目开发计划表'!$AG$8,1,(Y$4+1)&amp;"年"&amp;AE$5)</f>
        <v>1</v>
      </c>
      <c r="AF211" s="313">
        <f>IF((Y$4+1)&amp;"年"&amp;AF$5&lt;&gt;'9.项目开发计划表'!$AG$8,1,(Y$4+1)&amp;"年"&amp;AF$5)</f>
        <v>1</v>
      </c>
      <c r="AG211" s="311">
        <f>IF((AC$4+1)&amp;"年"&amp;AG$5&lt;&gt;'9.项目开发计划表'!$AG$8,1,(AC$4+1)&amp;"年"&amp;AG$5)</f>
        <v>1</v>
      </c>
      <c r="AH211" s="312">
        <f>IF((AC$4+1)&amp;"年"&amp;AH$5&lt;&gt;'9.项目开发计划表'!$AG$8,1,(AC$4+1)&amp;"年"&amp;AH$5)</f>
        <v>1</v>
      </c>
      <c r="AI211" s="312">
        <f>IF((AC$4+1)&amp;"年"&amp;AI$5&lt;&gt;'9.项目开发计划表'!$AG$8,1,(AC$4+1)&amp;"年"&amp;AI$5)</f>
        <v>1</v>
      </c>
      <c r="AJ211" s="313">
        <f>IF((AC$4+1)&amp;"年"&amp;AJ$5&lt;&gt;'9.项目开发计划表'!$AG$8,1,(AC$4+1)&amp;"年"&amp;AJ$5)</f>
        <v>1</v>
      </c>
      <c r="AK211" s="311">
        <f>IF((AG$4+1)&amp;"年"&amp;AK$5&lt;&gt;'9.项目开发计划表'!$AG$8,1,(AG$4+1)&amp;"年"&amp;AK$5)</f>
        <v>1</v>
      </c>
      <c r="AL211" s="312">
        <f>IF((AG$4+1)&amp;"年"&amp;AL$5&lt;&gt;'9.项目开发计划表'!$AG$8,1,(AG$4+1)&amp;"年"&amp;AL$5)</f>
        <v>1</v>
      </c>
      <c r="AM211" s="312">
        <f>IF((AG$4+1)&amp;"年"&amp;AM$5&lt;&gt;'9.项目开发计划表'!$AG$8,1,(AG$4+1)&amp;"年"&amp;AM$5)</f>
        <v>1</v>
      </c>
      <c r="AN211" s="313">
        <f>IF((AG$4+1)&amp;"年"&amp;AN$5&lt;&gt;'9.项目开发计划表'!$AG$8,1,(AG$4+1)&amp;"年"&amp;AN$5)</f>
        <v>1</v>
      </c>
      <c r="AO211" s="311">
        <f>IF((AK$4+1)&amp;"年"&amp;AO$5&lt;&gt;'9.项目开发计划表'!$AG$8,1,(AK$4+1)&amp;"年"&amp;AO$5)</f>
        <v>1</v>
      </c>
      <c r="AP211" s="312">
        <f>IF((AK$4+1)&amp;"年"&amp;AP$5&lt;&gt;'9.项目开发计划表'!$AG$8,1,(AK$4+1)&amp;"年"&amp;AP$5)</f>
        <v>1</v>
      </c>
      <c r="AQ211" s="312">
        <f>IF((AK$4+1)&amp;"年"&amp;AQ$5&lt;&gt;'9.项目开发计划表'!$AG$8,1,(AK$4+1)&amp;"年"&amp;AQ$5)</f>
        <v>1</v>
      </c>
      <c r="AR211" s="313">
        <f>IF((AK$4+1)&amp;"年"&amp;AR$5&lt;&gt;'9.项目开发计划表'!$AG$8,1,(AK$4+1)&amp;"年"&amp;AR$5)</f>
        <v>1</v>
      </c>
      <c r="AS211" s="311">
        <f>IF((AO$4+1)&amp;"年"&amp;AS$5&lt;&gt;'9.项目开发计划表'!$AG$8,1,(AO$4+1)&amp;"年"&amp;AS$5)</f>
        <v>1</v>
      </c>
      <c r="AT211" s="312">
        <f>IF((AO$4+1)&amp;"年"&amp;AT$5&lt;&gt;'9.项目开发计划表'!$AG$8,1,(AO$4+1)&amp;"年"&amp;AT$5)</f>
        <v>1</v>
      </c>
      <c r="AU211" s="312">
        <f>IF((AO$4+1)&amp;"年"&amp;AU$5&lt;&gt;'9.项目开发计划表'!$AG$8,1,(AO$4+1)&amp;"年"&amp;AU$5)</f>
        <v>1</v>
      </c>
      <c r="AV211" s="313">
        <f>IF((AO$4+1)&amp;"年"&amp;AV$5&lt;&gt;'9.项目开发计划表'!$AG$8,1,(AO$4+1)&amp;"年"&amp;AV$5)</f>
        <v>1</v>
      </c>
    </row>
    <row r="212" spans="2:48" s="256" customFormat="1" ht="15.75" customHeight="1" outlineLevel="1">
      <c r="B212" s="321"/>
      <c r="C212" s="1975"/>
      <c r="D212" s="1982"/>
      <c r="E212" s="280">
        <f t="shared" ref="E212:E216" si="41">IF(E211=1,0,1)</f>
        <v>0</v>
      </c>
      <c r="F212" s="281">
        <f t="shared" si="40"/>
        <v>0</v>
      </c>
      <c r="G212" s="281">
        <f t="shared" si="40"/>
        <v>0</v>
      </c>
      <c r="H212" s="282">
        <f t="shared" si="40"/>
        <v>0</v>
      </c>
      <c r="I212" s="280">
        <f t="shared" si="40"/>
        <v>0</v>
      </c>
      <c r="J212" s="281">
        <f t="shared" si="40"/>
        <v>0</v>
      </c>
      <c r="K212" s="281">
        <f t="shared" si="40"/>
        <v>0</v>
      </c>
      <c r="L212" s="282">
        <f t="shared" si="40"/>
        <v>0</v>
      </c>
      <c r="M212" s="280">
        <f t="shared" si="40"/>
        <v>0</v>
      </c>
      <c r="N212" s="281">
        <f t="shared" si="40"/>
        <v>0</v>
      </c>
      <c r="O212" s="281">
        <f t="shared" si="40"/>
        <v>0</v>
      </c>
      <c r="P212" s="282">
        <f t="shared" si="40"/>
        <v>0</v>
      </c>
      <c r="Q212" s="280">
        <f t="shared" si="40"/>
        <v>0</v>
      </c>
      <c r="R212" s="281">
        <f t="shared" si="40"/>
        <v>0</v>
      </c>
      <c r="S212" s="281">
        <f t="shared" si="40"/>
        <v>0</v>
      </c>
      <c r="T212" s="282">
        <f t="shared" si="40"/>
        <v>0</v>
      </c>
      <c r="U212" s="280">
        <f t="shared" si="40"/>
        <v>0</v>
      </c>
      <c r="V212" s="281">
        <f t="shared" si="40"/>
        <v>0</v>
      </c>
      <c r="W212" s="281">
        <f t="shared" si="40"/>
        <v>0</v>
      </c>
      <c r="X212" s="282">
        <f t="shared" si="40"/>
        <v>0</v>
      </c>
      <c r="Y212" s="280">
        <f t="shared" si="40"/>
        <v>0</v>
      </c>
      <c r="Z212" s="281">
        <f t="shared" si="40"/>
        <v>0</v>
      </c>
      <c r="AA212" s="281">
        <f t="shared" si="40"/>
        <v>0</v>
      </c>
      <c r="AB212" s="282">
        <f t="shared" si="40"/>
        <v>0</v>
      </c>
      <c r="AC212" s="280">
        <f t="shared" si="40"/>
        <v>0</v>
      </c>
      <c r="AD212" s="281">
        <f t="shared" si="40"/>
        <v>0</v>
      </c>
      <c r="AE212" s="281">
        <f t="shared" si="40"/>
        <v>0</v>
      </c>
      <c r="AF212" s="282">
        <f t="shared" si="40"/>
        <v>0</v>
      </c>
      <c r="AG212" s="280">
        <f t="shared" si="40"/>
        <v>0</v>
      </c>
      <c r="AH212" s="281">
        <f t="shared" si="40"/>
        <v>0</v>
      </c>
      <c r="AI212" s="281">
        <f t="shared" si="40"/>
        <v>0</v>
      </c>
      <c r="AJ212" s="282">
        <f t="shared" si="40"/>
        <v>0</v>
      </c>
      <c r="AK212" s="280">
        <f t="shared" si="40"/>
        <v>0</v>
      </c>
      <c r="AL212" s="281">
        <f t="shared" si="40"/>
        <v>0</v>
      </c>
      <c r="AM212" s="281">
        <f t="shared" si="40"/>
        <v>0</v>
      </c>
      <c r="AN212" s="282">
        <f t="shared" si="40"/>
        <v>0</v>
      </c>
      <c r="AO212" s="280">
        <f t="shared" si="40"/>
        <v>0</v>
      </c>
      <c r="AP212" s="281">
        <f t="shared" si="40"/>
        <v>0</v>
      </c>
      <c r="AQ212" s="281">
        <f t="shared" si="40"/>
        <v>0</v>
      </c>
      <c r="AR212" s="282">
        <f t="shared" si="40"/>
        <v>0</v>
      </c>
      <c r="AS212" s="280">
        <f t="shared" si="40"/>
        <v>0</v>
      </c>
      <c r="AT212" s="281">
        <f t="shared" si="40"/>
        <v>0</v>
      </c>
      <c r="AU212" s="281">
        <f t="shared" si="40"/>
        <v>0</v>
      </c>
      <c r="AV212" s="282">
        <f t="shared" si="40"/>
        <v>0</v>
      </c>
    </row>
    <row r="213" spans="2:48" s="256" customFormat="1" ht="15.75" customHeight="1" outlineLevel="1">
      <c r="B213" s="321"/>
      <c r="C213" s="1975"/>
      <c r="D213" s="1981">
        <f>'8.项目规划指标表'!$B$9</f>
        <v>0</v>
      </c>
      <c r="E213" s="311">
        <f>IF($E$4&amp;"年"&amp;E$5&lt;&gt;'9.项目开发计划表'!$AG$9,1,$E$4&amp;"年"&amp;E$5)</f>
        <v>1</v>
      </c>
      <c r="F213" s="312">
        <f>IF($E$4&amp;"年"&amp;F$5&lt;&gt;'9.项目开发计划表'!$AG$9,1,$E$4&amp;"年"&amp;F$5)</f>
        <v>1</v>
      </c>
      <c r="G213" s="312">
        <f>IF($E$4&amp;"年"&amp;G$5&lt;&gt;'9.项目开发计划表'!$AG$9,1,$E$4&amp;"年"&amp;G$5)</f>
        <v>1</v>
      </c>
      <c r="H213" s="313">
        <f>IF($E$4&amp;"年"&amp;H$5&lt;&gt;'9.项目开发计划表'!$AG$9,1,$E$4&amp;"年"&amp;H$5)</f>
        <v>1</v>
      </c>
      <c r="I213" s="311">
        <f>IF((E$4+1)&amp;"年"&amp;I$5&lt;&gt;'9.项目开发计划表'!$AG$9,1,(E$4+1)&amp;"年"&amp;I$5)</f>
        <v>1</v>
      </c>
      <c r="J213" s="312">
        <f>IF((E$4+1)&amp;"年"&amp;J$5&lt;&gt;'9.项目开发计划表'!$AG$9,1,(E$4+1)&amp;"年"&amp;J$5)</f>
        <v>1</v>
      </c>
      <c r="K213" s="312">
        <f>IF((E$4+1)&amp;"年"&amp;K$5&lt;&gt;'9.项目开发计划表'!$AG$9,1,(E$4+1)&amp;"年"&amp;K$5)</f>
        <v>1</v>
      </c>
      <c r="L213" s="313">
        <f>IF((E$4+1)&amp;"年"&amp;L$5&lt;&gt;'9.项目开发计划表'!$AG$9,1,(E$4+1)&amp;"年"&amp;L$5)</f>
        <v>1</v>
      </c>
      <c r="M213" s="311">
        <f>IF((I$4+1)&amp;"年"&amp;M$5&lt;&gt;'9.项目开发计划表'!$AG$9,1,(I$4+1)&amp;"年"&amp;M$5)</f>
        <v>1</v>
      </c>
      <c r="N213" s="312">
        <f>IF((I$4+1)&amp;"年"&amp;N$5&lt;&gt;'9.项目开发计划表'!$AG$9,1,(I$4+1)&amp;"年"&amp;N$5)</f>
        <v>1</v>
      </c>
      <c r="O213" s="312">
        <f>IF((I$4+1)&amp;"年"&amp;O$5&lt;&gt;'9.项目开发计划表'!$AG$9,1,(I$4+1)&amp;"年"&amp;O$5)</f>
        <v>1</v>
      </c>
      <c r="P213" s="313">
        <f>IF((I$4+1)&amp;"年"&amp;P$5&lt;&gt;'9.项目开发计划表'!$AG$9,1,(I$4+1)&amp;"年"&amp;P$5)</f>
        <v>1</v>
      </c>
      <c r="Q213" s="311">
        <f>IF((M$4+1)&amp;"年"&amp;Q$5&lt;&gt;'9.项目开发计划表'!$AG$9,1,(M$4+1)&amp;"年"&amp;Q$5)</f>
        <v>1</v>
      </c>
      <c r="R213" s="312">
        <f>IF((M$4+1)&amp;"年"&amp;R$5&lt;&gt;'9.项目开发计划表'!$AG$9,1,(M$4+1)&amp;"年"&amp;R$5)</f>
        <v>1</v>
      </c>
      <c r="S213" s="312">
        <f>IF((M$4+1)&amp;"年"&amp;S$5&lt;&gt;'9.项目开发计划表'!$AG$9,1,(M$4+1)&amp;"年"&amp;S$5)</f>
        <v>1</v>
      </c>
      <c r="T213" s="313">
        <f>IF((M$4+1)&amp;"年"&amp;T$5&lt;&gt;'9.项目开发计划表'!$AG$9,1,(M$4+1)&amp;"年"&amp;T$5)</f>
        <v>1</v>
      </c>
      <c r="U213" s="311">
        <f>IF((Q$4+1)&amp;"年"&amp;U$5&lt;&gt;'9.项目开发计划表'!$AG$9,1,(Q$4+1)&amp;"年"&amp;U$5)</f>
        <v>1</v>
      </c>
      <c r="V213" s="312">
        <f>IF((Q$4+1)&amp;"年"&amp;V$5&lt;&gt;'9.项目开发计划表'!$AG$9,1,(Q$4+1)&amp;"年"&amp;V$5)</f>
        <v>1</v>
      </c>
      <c r="W213" s="312">
        <f>IF((Q$4+1)&amp;"年"&amp;W$5&lt;&gt;'9.项目开发计划表'!$AG$9,1,(Q$4+1)&amp;"年"&amp;W$5)</f>
        <v>1</v>
      </c>
      <c r="X213" s="313">
        <f>IF((Q$4+1)&amp;"年"&amp;X$5&lt;&gt;'9.项目开发计划表'!$AG$9,1,(Q$4+1)&amp;"年"&amp;X$5)</f>
        <v>1</v>
      </c>
      <c r="Y213" s="311">
        <f>IF((U$4+1)&amp;"年"&amp;Y$5&lt;&gt;'9.项目开发计划表'!$AG$9,1,(U$4+1)&amp;"年"&amp;Y$5)</f>
        <v>1</v>
      </c>
      <c r="Z213" s="312">
        <f>IF((U$4+1)&amp;"年"&amp;Z$5&lt;&gt;'9.项目开发计划表'!$AG$9,1,(U$4+1)&amp;"年"&amp;Z$5)</f>
        <v>1</v>
      </c>
      <c r="AA213" s="312">
        <f>IF((U$4+1)&amp;"年"&amp;AA$5&lt;&gt;'9.项目开发计划表'!$AG$9,1,(U$4+1)&amp;"年"&amp;AA$5)</f>
        <v>1</v>
      </c>
      <c r="AB213" s="313">
        <f>IF((U$4+1)&amp;"年"&amp;AB$5&lt;&gt;'9.项目开发计划表'!$AG$9,1,(U$4+1)&amp;"年"&amp;AB$5)</f>
        <v>1</v>
      </c>
      <c r="AC213" s="311">
        <f>IF((Y$4+1)&amp;"年"&amp;AC$5&lt;&gt;'9.项目开发计划表'!$AG$9,1,(Y$4+1)&amp;"年"&amp;AC$5)</f>
        <v>1</v>
      </c>
      <c r="AD213" s="312">
        <f>IF((Y$4+1)&amp;"年"&amp;AD$5&lt;&gt;'9.项目开发计划表'!$AG$9,1,(Y$4+1)&amp;"年"&amp;AD$5)</f>
        <v>1</v>
      </c>
      <c r="AE213" s="312">
        <f>IF((Y$4+1)&amp;"年"&amp;AE$5&lt;&gt;'9.项目开发计划表'!$AG$9,1,(Y$4+1)&amp;"年"&amp;AE$5)</f>
        <v>1</v>
      </c>
      <c r="AF213" s="313">
        <f>IF((Y$4+1)&amp;"年"&amp;AF$5&lt;&gt;'9.项目开发计划表'!$AG$9,1,(Y$4+1)&amp;"年"&amp;AF$5)</f>
        <v>1</v>
      </c>
      <c r="AG213" s="311">
        <f>IF((AC$4+1)&amp;"年"&amp;AG$5&lt;&gt;'9.项目开发计划表'!$AG$9,1,(AC$4+1)&amp;"年"&amp;AG$5)</f>
        <v>1</v>
      </c>
      <c r="AH213" s="312">
        <f>IF((AC$4+1)&amp;"年"&amp;AH$5&lt;&gt;'9.项目开发计划表'!$AG$9,1,(AC$4+1)&amp;"年"&amp;AH$5)</f>
        <v>1</v>
      </c>
      <c r="AI213" s="312">
        <f>IF((AC$4+1)&amp;"年"&amp;AI$5&lt;&gt;'9.项目开发计划表'!$AG$9,1,(AC$4+1)&amp;"年"&amp;AI$5)</f>
        <v>1</v>
      </c>
      <c r="AJ213" s="313">
        <f>IF((AC$4+1)&amp;"年"&amp;AJ$5&lt;&gt;'9.项目开发计划表'!$AG$9,1,(AC$4+1)&amp;"年"&amp;AJ$5)</f>
        <v>1</v>
      </c>
      <c r="AK213" s="311">
        <f>IF((AG$4+1)&amp;"年"&amp;AK$5&lt;&gt;'9.项目开发计划表'!$AG$9,1,(AG$4+1)&amp;"年"&amp;AK$5)</f>
        <v>1</v>
      </c>
      <c r="AL213" s="312">
        <f>IF((AG$4+1)&amp;"年"&amp;AL$5&lt;&gt;'9.项目开发计划表'!$AG$9,1,(AG$4+1)&amp;"年"&amp;AL$5)</f>
        <v>1</v>
      </c>
      <c r="AM213" s="312">
        <f>IF((AG$4+1)&amp;"年"&amp;AM$5&lt;&gt;'9.项目开发计划表'!$AG$9,1,(AG$4+1)&amp;"年"&amp;AM$5)</f>
        <v>1</v>
      </c>
      <c r="AN213" s="313">
        <f>IF((AG$4+1)&amp;"年"&amp;AN$5&lt;&gt;'9.项目开发计划表'!$AG$9,1,(AG$4+1)&amp;"年"&amp;AN$5)</f>
        <v>1</v>
      </c>
      <c r="AO213" s="311">
        <f>IF((AK$4+1)&amp;"年"&amp;AO$5&lt;&gt;'9.项目开发计划表'!$AG$9,1,(AK$4+1)&amp;"年"&amp;AO$5)</f>
        <v>1</v>
      </c>
      <c r="AP213" s="312">
        <f>IF((AK$4+1)&amp;"年"&amp;AP$5&lt;&gt;'9.项目开发计划表'!$AG$9,1,(AK$4+1)&amp;"年"&amp;AP$5)</f>
        <v>1</v>
      </c>
      <c r="AQ213" s="312">
        <f>IF((AK$4+1)&amp;"年"&amp;AQ$5&lt;&gt;'9.项目开发计划表'!$AG$9,1,(AK$4+1)&amp;"年"&amp;AQ$5)</f>
        <v>1</v>
      </c>
      <c r="AR213" s="313">
        <f>IF((AK$4+1)&amp;"年"&amp;AR$5&lt;&gt;'9.项目开发计划表'!$AG$9,1,(AK$4+1)&amp;"年"&amp;AR$5)</f>
        <v>1</v>
      </c>
      <c r="AS213" s="311">
        <f>IF((AO$4+1)&amp;"年"&amp;AS$5&lt;&gt;'9.项目开发计划表'!$AG$9,1,(AO$4+1)&amp;"年"&amp;AS$5)</f>
        <v>1</v>
      </c>
      <c r="AT213" s="312">
        <f>IF((AO$4+1)&amp;"年"&amp;AT$5&lt;&gt;'9.项目开发计划表'!$AG$9,1,(AO$4+1)&amp;"年"&amp;AT$5)</f>
        <v>1</v>
      </c>
      <c r="AU213" s="312">
        <f>IF((AO$4+1)&amp;"年"&amp;AU$5&lt;&gt;'9.项目开发计划表'!$AG$9,1,(AO$4+1)&amp;"年"&amp;AU$5)</f>
        <v>1</v>
      </c>
      <c r="AV213" s="313">
        <f>IF((AO$4+1)&amp;"年"&amp;AV$5&lt;&gt;'9.项目开发计划表'!$AG$9,1,(AO$4+1)&amp;"年"&amp;AV$5)</f>
        <v>1</v>
      </c>
    </row>
    <row r="214" spans="2:48" s="256" customFormat="1" ht="15.75" customHeight="1" outlineLevel="1">
      <c r="B214" s="321"/>
      <c r="C214" s="1975"/>
      <c r="D214" s="1982"/>
      <c r="E214" s="280">
        <f t="shared" si="41"/>
        <v>0</v>
      </c>
      <c r="F214" s="281">
        <f t="shared" si="40"/>
        <v>0</v>
      </c>
      <c r="G214" s="281">
        <f t="shared" si="40"/>
        <v>0</v>
      </c>
      <c r="H214" s="282">
        <f t="shared" si="40"/>
        <v>0</v>
      </c>
      <c r="I214" s="280">
        <f t="shared" si="40"/>
        <v>0</v>
      </c>
      <c r="J214" s="281">
        <f t="shared" si="40"/>
        <v>0</v>
      </c>
      <c r="K214" s="281">
        <f t="shared" si="40"/>
        <v>0</v>
      </c>
      <c r="L214" s="282">
        <f t="shared" si="40"/>
        <v>0</v>
      </c>
      <c r="M214" s="280">
        <f t="shared" si="40"/>
        <v>0</v>
      </c>
      <c r="N214" s="281">
        <f t="shared" si="40"/>
        <v>0</v>
      </c>
      <c r="O214" s="281">
        <f t="shared" si="40"/>
        <v>0</v>
      </c>
      <c r="P214" s="282">
        <f t="shared" si="40"/>
        <v>0</v>
      </c>
      <c r="Q214" s="280">
        <f t="shared" si="40"/>
        <v>0</v>
      </c>
      <c r="R214" s="281">
        <f t="shared" si="40"/>
        <v>0</v>
      </c>
      <c r="S214" s="281">
        <f t="shared" si="40"/>
        <v>0</v>
      </c>
      <c r="T214" s="282">
        <f t="shared" si="40"/>
        <v>0</v>
      </c>
      <c r="U214" s="280">
        <f t="shared" si="40"/>
        <v>0</v>
      </c>
      <c r="V214" s="281">
        <f t="shared" si="40"/>
        <v>0</v>
      </c>
      <c r="W214" s="281">
        <f t="shared" si="40"/>
        <v>0</v>
      </c>
      <c r="X214" s="282">
        <f t="shared" si="40"/>
        <v>0</v>
      </c>
      <c r="Y214" s="280">
        <f t="shared" si="40"/>
        <v>0</v>
      </c>
      <c r="Z214" s="281">
        <f t="shared" si="40"/>
        <v>0</v>
      </c>
      <c r="AA214" s="281">
        <f t="shared" si="40"/>
        <v>0</v>
      </c>
      <c r="AB214" s="282">
        <f t="shared" si="40"/>
        <v>0</v>
      </c>
      <c r="AC214" s="280">
        <f t="shared" si="40"/>
        <v>0</v>
      </c>
      <c r="AD214" s="281">
        <f t="shared" si="40"/>
        <v>0</v>
      </c>
      <c r="AE214" s="281">
        <f t="shared" si="40"/>
        <v>0</v>
      </c>
      <c r="AF214" s="282">
        <f t="shared" si="40"/>
        <v>0</v>
      </c>
      <c r="AG214" s="280">
        <f t="shared" si="40"/>
        <v>0</v>
      </c>
      <c r="AH214" s="281">
        <f t="shared" si="40"/>
        <v>0</v>
      </c>
      <c r="AI214" s="281">
        <f t="shared" si="40"/>
        <v>0</v>
      </c>
      <c r="AJ214" s="282">
        <f t="shared" si="40"/>
        <v>0</v>
      </c>
      <c r="AK214" s="280">
        <f t="shared" si="40"/>
        <v>0</v>
      </c>
      <c r="AL214" s="281">
        <f t="shared" si="40"/>
        <v>0</v>
      </c>
      <c r="AM214" s="281">
        <f t="shared" si="40"/>
        <v>0</v>
      </c>
      <c r="AN214" s="282">
        <f t="shared" si="40"/>
        <v>0</v>
      </c>
      <c r="AO214" s="280">
        <f t="shared" si="40"/>
        <v>0</v>
      </c>
      <c r="AP214" s="281">
        <f t="shared" si="40"/>
        <v>0</v>
      </c>
      <c r="AQ214" s="281">
        <f t="shared" si="40"/>
        <v>0</v>
      </c>
      <c r="AR214" s="282">
        <f t="shared" si="40"/>
        <v>0</v>
      </c>
      <c r="AS214" s="280">
        <f t="shared" si="40"/>
        <v>0</v>
      </c>
      <c r="AT214" s="281">
        <f t="shared" si="40"/>
        <v>0</v>
      </c>
      <c r="AU214" s="281">
        <f t="shared" si="40"/>
        <v>0</v>
      </c>
      <c r="AV214" s="282">
        <f t="shared" si="40"/>
        <v>0</v>
      </c>
    </row>
    <row r="215" spans="2:48" s="256" customFormat="1" ht="15.75" customHeight="1" outlineLevel="1">
      <c r="B215" s="321"/>
      <c r="C215" s="1975"/>
      <c r="D215" s="1981">
        <f>'8.项目规划指标表'!$B$10</f>
        <v>0</v>
      </c>
      <c r="E215" s="311">
        <f>IF($E$4&amp;"年"&amp;E$5&lt;&gt;'9.项目开发计划表'!$AG$10,1,$E$4&amp;"年"&amp;E$5)</f>
        <v>1</v>
      </c>
      <c r="F215" s="312">
        <f>IF($E$4&amp;"年"&amp;F$5&lt;&gt;'9.项目开发计划表'!$AG$10,1,$E$4&amp;"年"&amp;F$5)</f>
        <v>1</v>
      </c>
      <c r="G215" s="312">
        <f>IF($E$4&amp;"年"&amp;G$5&lt;&gt;'9.项目开发计划表'!$AG$10,1,$E$4&amp;"年"&amp;G$5)</f>
        <v>1</v>
      </c>
      <c r="H215" s="313">
        <f>IF($E$4&amp;"年"&amp;H$5&lt;&gt;'9.项目开发计划表'!$AG$10,1,$E$4&amp;"年"&amp;H$5)</f>
        <v>1</v>
      </c>
      <c r="I215" s="311">
        <f>IF((E$4+1)&amp;"年"&amp;I$5&lt;&gt;'9.项目开发计划表'!$AG$10,1,(E$4+1)&amp;"年"&amp;I$5)</f>
        <v>1</v>
      </c>
      <c r="J215" s="312">
        <f>IF((E$4+1)&amp;"年"&amp;J$5&lt;&gt;'9.项目开发计划表'!$AG$10,1,(E$4+1)&amp;"年"&amp;J$5)</f>
        <v>1</v>
      </c>
      <c r="K215" s="312">
        <f>IF((E$4+1)&amp;"年"&amp;K$5&lt;&gt;'9.项目开发计划表'!$AG$10,1,(E$4+1)&amp;"年"&amp;K$5)</f>
        <v>1</v>
      </c>
      <c r="L215" s="313">
        <f>IF((E$4+1)&amp;"年"&amp;L$5&lt;&gt;'9.项目开发计划表'!$AG$10,1,(E$4+1)&amp;"年"&amp;L$5)</f>
        <v>1</v>
      </c>
      <c r="M215" s="311">
        <f>IF((I$4+1)&amp;"年"&amp;M$5&lt;&gt;'9.项目开发计划表'!$AG$10,1,(I$4+1)&amp;"年"&amp;M$5)</f>
        <v>1</v>
      </c>
      <c r="N215" s="312">
        <f>IF((I$4+1)&amp;"年"&amp;N$5&lt;&gt;'9.项目开发计划表'!$AG$10,1,(I$4+1)&amp;"年"&amp;N$5)</f>
        <v>1</v>
      </c>
      <c r="O215" s="312">
        <f>IF((I$4+1)&amp;"年"&amp;O$5&lt;&gt;'9.项目开发计划表'!$AG$10,1,(I$4+1)&amp;"年"&amp;O$5)</f>
        <v>1</v>
      </c>
      <c r="P215" s="313">
        <f>IF((I$4+1)&amp;"年"&amp;P$5&lt;&gt;'9.项目开发计划表'!$AG$10,1,(I$4+1)&amp;"年"&amp;P$5)</f>
        <v>1</v>
      </c>
      <c r="Q215" s="311">
        <f>IF((M$4+1)&amp;"年"&amp;Q$5&lt;&gt;'9.项目开发计划表'!$AG$10,1,(M$4+1)&amp;"年"&amp;Q$5)</f>
        <v>1</v>
      </c>
      <c r="R215" s="312">
        <f>IF((M$4+1)&amp;"年"&amp;R$5&lt;&gt;'9.项目开发计划表'!$AG$10,1,(M$4+1)&amp;"年"&amp;R$5)</f>
        <v>1</v>
      </c>
      <c r="S215" s="312">
        <f>IF((M$4+1)&amp;"年"&amp;S$5&lt;&gt;'9.项目开发计划表'!$AG$10,1,(M$4+1)&amp;"年"&amp;S$5)</f>
        <v>1</v>
      </c>
      <c r="T215" s="313">
        <f>IF((M$4+1)&amp;"年"&amp;T$5&lt;&gt;'9.项目开发计划表'!$AG$10,1,(M$4+1)&amp;"年"&amp;T$5)</f>
        <v>1</v>
      </c>
      <c r="U215" s="311">
        <f>IF((Q$4+1)&amp;"年"&amp;U$5&lt;&gt;'9.项目开发计划表'!$AG$10,1,(Q$4+1)&amp;"年"&amp;U$5)</f>
        <v>1</v>
      </c>
      <c r="V215" s="312">
        <f>IF((Q$4+1)&amp;"年"&amp;V$5&lt;&gt;'9.项目开发计划表'!$AG$10,1,(Q$4+1)&amp;"年"&amp;V$5)</f>
        <v>1</v>
      </c>
      <c r="W215" s="312">
        <f>IF((Q$4+1)&amp;"年"&amp;W$5&lt;&gt;'9.项目开发计划表'!$AG$10,1,(Q$4+1)&amp;"年"&amp;W$5)</f>
        <v>1</v>
      </c>
      <c r="X215" s="313">
        <f>IF((Q$4+1)&amp;"年"&amp;X$5&lt;&gt;'9.项目开发计划表'!$AG$10,1,(Q$4+1)&amp;"年"&amp;X$5)</f>
        <v>1</v>
      </c>
      <c r="Y215" s="311">
        <f>IF((U$4+1)&amp;"年"&amp;Y$5&lt;&gt;'9.项目开发计划表'!$AG$10,1,(U$4+1)&amp;"年"&amp;Y$5)</f>
        <v>1</v>
      </c>
      <c r="Z215" s="312">
        <f>IF((U$4+1)&amp;"年"&amp;Z$5&lt;&gt;'9.项目开发计划表'!$AG$10,1,(U$4+1)&amp;"年"&amp;Z$5)</f>
        <v>1</v>
      </c>
      <c r="AA215" s="312">
        <f>IF((U$4+1)&amp;"年"&amp;AA$5&lt;&gt;'9.项目开发计划表'!$AG$10,1,(U$4+1)&amp;"年"&amp;AA$5)</f>
        <v>1</v>
      </c>
      <c r="AB215" s="313">
        <f>IF((U$4+1)&amp;"年"&amp;AB$5&lt;&gt;'9.项目开发计划表'!$AG$10,1,(U$4+1)&amp;"年"&amp;AB$5)</f>
        <v>1</v>
      </c>
      <c r="AC215" s="311">
        <f>IF((Y$4+1)&amp;"年"&amp;AC$5&lt;&gt;'9.项目开发计划表'!$AG$10,1,(Y$4+1)&amp;"年"&amp;AC$5)</f>
        <v>1</v>
      </c>
      <c r="AD215" s="312">
        <f>IF((Y$4+1)&amp;"年"&amp;AD$5&lt;&gt;'9.项目开发计划表'!$AG$10,1,(Y$4+1)&amp;"年"&amp;AD$5)</f>
        <v>1</v>
      </c>
      <c r="AE215" s="312">
        <f>IF((Y$4+1)&amp;"年"&amp;AE$5&lt;&gt;'9.项目开发计划表'!$AG$10,1,(Y$4+1)&amp;"年"&amp;AE$5)</f>
        <v>1</v>
      </c>
      <c r="AF215" s="313">
        <f>IF((Y$4+1)&amp;"年"&amp;AF$5&lt;&gt;'9.项目开发计划表'!$AG$10,1,(Y$4+1)&amp;"年"&amp;AF$5)</f>
        <v>1</v>
      </c>
      <c r="AG215" s="311">
        <f>IF((AC$4+1)&amp;"年"&amp;AG$5&lt;&gt;'9.项目开发计划表'!$AG$10,1,(AC$4+1)&amp;"年"&amp;AG$5)</f>
        <v>1</v>
      </c>
      <c r="AH215" s="312">
        <f>IF((AC$4+1)&amp;"年"&amp;AH$5&lt;&gt;'9.项目开发计划表'!$AG$10,1,(AC$4+1)&amp;"年"&amp;AH$5)</f>
        <v>1</v>
      </c>
      <c r="AI215" s="312">
        <f>IF((AC$4+1)&amp;"年"&amp;AI$5&lt;&gt;'9.项目开发计划表'!$AG$10,1,(AC$4+1)&amp;"年"&amp;AI$5)</f>
        <v>1</v>
      </c>
      <c r="AJ215" s="313">
        <f>IF((AC$4+1)&amp;"年"&amp;AJ$5&lt;&gt;'9.项目开发计划表'!$AG$10,1,(AC$4+1)&amp;"年"&amp;AJ$5)</f>
        <v>1</v>
      </c>
      <c r="AK215" s="311">
        <f>IF((AG$4+1)&amp;"年"&amp;AK$5&lt;&gt;'9.项目开发计划表'!$AG$10,1,(AG$4+1)&amp;"年"&amp;AK$5)</f>
        <v>1</v>
      </c>
      <c r="AL215" s="312">
        <f>IF((AG$4+1)&amp;"年"&amp;AL$5&lt;&gt;'9.项目开发计划表'!$AG$10,1,(AG$4+1)&amp;"年"&amp;AL$5)</f>
        <v>1</v>
      </c>
      <c r="AM215" s="312">
        <f>IF((AG$4+1)&amp;"年"&amp;AM$5&lt;&gt;'9.项目开发计划表'!$AG$10,1,(AG$4+1)&amp;"年"&amp;AM$5)</f>
        <v>1</v>
      </c>
      <c r="AN215" s="313">
        <f>IF((AG$4+1)&amp;"年"&amp;AN$5&lt;&gt;'9.项目开发计划表'!$AG$10,1,(AG$4+1)&amp;"年"&amp;AN$5)</f>
        <v>1</v>
      </c>
      <c r="AO215" s="311">
        <f>IF((AK$4+1)&amp;"年"&amp;AO$5&lt;&gt;'9.项目开发计划表'!$AG$10,1,(AK$4+1)&amp;"年"&amp;AO$5)</f>
        <v>1</v>
      </c>
      <c r="AP215" s="312">
        <f>IF((AK$4+1)&amp;"年"&amp;AP$5&lt;&gt;'9.项目开发计划表'!$AG$10,1,(AK$4+1)&amp;"年"&amp;AP$5)</f>
        <v>1</v>
      </c>
      <c r="AQ215" s="312">
        <f>IF((AK$4+1)&amp;"年"&amp;AQ$5&lt;&gt;'9.项目开发计划表'!$AG$10,1,(AK$4+1)&amp;"年"&amp;AQ$5)</f>
        <v>1</v>
      </c>
      <c r="AR215" s="313">
        <f>IF((AK$4+1)&amp;"年"&amp;AR$5&lt;&gt;'9.项目开发计划表'!$AG$10,1,(AK$4+1)&amp;"年"&amp;AR$5)</f>
        <v>1</v>
      </c>
      <c r="AS215" s="311">
        <f>IF((AO$4+1)&amp;"年"&amp;AS$5&lt;&gt;'9.项目开发计划表'!$AG$10,1,(AO$4+1)&amp;"年"&amp;AS$5)</f>
        <v>1</v>
      </c>
      <c r="AT215" s="312">
        <f>IF((AO$4+1)&amp;"年"&amp;AT$5&lt;&gt;'9.项目开发计划表'!$AG$10,1,(AO$4+1)&amp;"年"&amp;AT$5)</f>
        <v>1</v>
      </c>
      <c r="AU215" s="312">
        <f>IF((AO$4+1)&amp;"年"&amp;AU$5&lt;&gt;'9.项目开发计划表'!$AG$10,1,(AO$4+1)&amp;"年"&amp;AU$5)</f>
        <v>1</v>
      </c>
      <c r="AV215" s="313">
        <f>IF((AO$4+1)&amp;"年"&amp;AV$5&lt;&gt;'9.项目开发计划表'!$AG$10,1,(AO$4+1)&amp;"年"&amp;AV$5)</f>
        <v>1</v>
      </c>
    </row>
    <row r="216" spans="2:48" s="256" customFormat="1" ht="15.75" customHeight="1" outlineLevel="1">
      <c r="B216" s="321"/>
      <c r="C216" s="1975"/>
      <c r="D216" s="1982"/>
      <c r="E216" s="280">
        <f t="shared" si="41"/>
        <v>0</v>
      </c>
      <c r="F216" s="281">
        <f t="shared" si="40"/>
        <v>0</v>
      </c>
      <c r="G216" s="281">
        <f t="shared" si="40"/>
        <v>0</v>
      </c>
      <c r="H216" s="282">
        <f t="shared" si="40"/>
        <v>0</v>
      </c>
      <c r="I216" s="280">
        <f t="shared" si="40"/>
        <v>0</v>
      </c>
      <c r="J216" s="281">
        <f t="shared" si="40"/>
        <v>0</v>
      </c>
      <c r="K216" s="281">
        <f t="shared" si="40"/>
        <v>0</v>
      </c>
      <c r="L216" s="282">
        <f t="shared" si="40"/>
        <v>0</v>
      </c>
      <c r="M216" s="280">
        <f t="shared" si="40"/>
        <v>0</v>
      </c>
      <c r="N216" s="281">
        <f t="shared" si="40"/>
        <v>0</v>
      </c>
      <c r="O216" s="281">
        <f t="shared" si="40"/>
        <v>0</v>
      </c>
      <c r="P216" s="282">
        <f t="shared" si="40"/>
        <v>0</v>
      </c>
      <c r="Q216" s="280">
        <f t="shared" si="40"/>
        <v>0</v>
      </c>
      <c r="R216" s="281">
        <f t="shared" si="40"/>
        <v>0</v>
      </c>
      <c r="S216" s="281">
        <f t="shared" si="40"/>
        <v>0</v>
      </c>
      <c r="T216" s="282">
        <f t="shared" si="40"/>
        <v>0</v>
      </c>
      <c r="U216" s="280">
        <f t="shared" si="40"/>
        <v>0</v>
      </c>
      <c r="V216" s="281">
        <f t="shared" si="40"/>
        <v>0</v>
      </c>
      <c r="W216" s="281">
        <f t="shared" si="40"/>
        <v>0</v>
      </c>
      <c r="X216" s="282">
        <f t="shared" si="40"/>
        <v>0</v>
      </c>
      <c r="Y216" s="280">
        <f t="shared" si="40"/>
        <v>0</v>
      </c>
      <c r="Z216" s="281">
        <f t="shared" si="40"/>
        <v>0</v>
      </c>
      <c r="AA216" s="281">
        <f t="shared" si="40"/>
        <v>0</v>
      </c>
      <c r="AB216" s="282">
        <f t="shared" si="40"/>
        <v>0</v>
      </c>
      <c r="AC216" s="280">
        <f t="shared" si="40"/>
        <v>0</v>
      </c>
      <c r="AD216" s="281">
        <f t="shared" si="40"/>
        <v>0</v>
      </c>
      <c r="AE216" s="281">
        <f t="shared" si="40"/>
        <v>0</v>
      </c>
      <c r="AF216" s="282">
        <f t="shared" si="40"/>
        <v>0</v>
      </c>
      <c r="AG216" s="280">
        <f t="shared" si="40"/>
        <v>0</v>
      </c>
      <c r="AH216" s="281">
        <f t="shared" si="40"/>
        <v>0</v>
      </c>
      <c r="AI216" s="281">
        <f t="shared" si="40"/>
        <v>0</v>
      </c>
      <c r="AJ216" s="282">
        <f t="shared" si="40"/>
        <v>0</v>
      </c>
      <c r="AK216" s="280">
        <f t="shared" si="40"/>
        <v>0</v>
      </c>
      <c r="AL216" s="281">
        <f t="shared" si="40"/>
        <v>0</v>
      </c>
      <c r="AM216" s="281">
        <f t="shared" si="40"/>
        <v>0</v>
      </c>
      <c r="AN216" s="282">
        <f t="shared" si="40"/>
        <v>0</v>
      </c>
      <c r="AO216" s="280">
        <f t="shared" si="40"/>
        <v>0</v>
      </c>
      <c r="AP216" s="281">
        <f t="shared" si="40"/>
        <v>0</v>
      </c>
      <c r="AQ216" s="281">
        <f t="shared" si="40"/>
        <v>0</v>
      </c>
      <c r="AR216" s="282">
        <f t="shared" si="40"/>
        <v>0</v>
      </c>
      <c r="AS216" s="280">
        <f t="shared" si="40"/>
        <v>0</v>
      </c>
      <c r="AT216" s="281">
        <f t="shared" ref="AT216:AV216" si="42">IF(AT215=1,0,1)</f>
        <v>0</v>
      </c>
      <c r="AU216" s="281">
        <f t="shared" si="42"/>
        <v>0</v>
      </c>
      <c r="AV216" s="282">
        <f t="shared" si="42"/>
        <v>0</v>
      </c>
    </row>
    <row r="217" spans="2:48" s="256" customFormat="1" ht="15.75" customHeight="1" outlineLevel="1">
      <c r="B217" s="321"/>
      <c r="C217" s="1975"/>
      <c r="D217" s="1981">
        <f>'8.项目规划指标表'!$B$11</f>
        <v>0</v>
      </c>
      <c r="E217" s="311">
        <f>IF($E$4&amp;"年"&amp;E$5&lt;&gt;'9.项目开发计划表'!$AG$11,1,$E$4&amp;"年"&amp;E$5)</f>
        <v>1</v>
      </c>
      <c r="F217" s="312">
        <f>IF($E$4&amp;"年"&amp;F$5&lt;&gt;'9.项目开发计划表'!$AG$11,1,$E$4&amp;"年"&amp;F$5)</f>
        <v>1</v>
      </c>
      <c r="G217" s="312">
        <f>IF($E$4&amp;"年"&amp;G$5&lt;&gt;'9.项目开发计划表'!$AG$11,1,$E$4&amp;"年"&amp;G$5)</f>
        <v>1</v>
      </c>
      <c r="H217" s="313">
        <f>IF($E$4&amp;"年"&amp;H$5&lt;&gt;'9.项目开发计划表'!$AG$11,1,$E$4&amp;"年"&amp;H$5)</f>
        <v>1</v>
      </c>
      <c r="I217" s="311">
        <f>IF((E$4+1)&amp;"年"&amp;I$5&lt;&gt;'9.项目开发计划表'!$AG$11,1,(E$4+1)&amp;"年"&amp;I$5)</f>
        <v>1</v>
      </c>
      <c r="J217" s="312">
        <f>IF((E$4+1)&amp;"年"&amp;J$5&lt;&gt;'9.项目开发计划表'!$AG$11,1,(E$4+1)&amp;"年"&amp;J$5)</f>
        <v>1</v>
      </c>
      <c r="K217" s="312">
        <f>IF((E$4+1)&amp;"年"&amp;K$5&lt;&gt;'9.项目开发计划表'!$AG$11,1,(E$4+1)&amp;"年"&amp;K$5)</f>
        <v>1</v>
      </c>
      <c r="L217" s="313">
        <f>IF((E$4+1)&amp;"年"&amp;L$5&lt;&gt;'9.项目开发计划表'!$AG$11,1,(E$4+1)&amp;"年"&amp;L$5)</f>
        <v>1</v>
      </c>
      <c r="M217" s="311">
        <f>IF((I$4+1)&amp;"年"&amp;M$5&lt;&gt;'9.项目开发计划表'!$AG$11,1,(I$4+1)&amp;"年"&amp;M$5)</f>
        <v>1</v>
      </c>
      <c r="N217" s="312">
        <f>IF((I$4+1)&amp;"年"&amp;N$5&lt;&gt;'9.项目开发计划表'!$AG$11,1,(I$4+1)&amp;"年"&amp;N$5)</f>
        <v>1</v>
      </c>
      <c r="O217" s="312">
        <f>IF((I$4+1)&amp;"年"&amp;O$5&lt;&gt;'9.项目开发计划表'!$AG$11,1,(I$4+1)&amp;"年"&amp;O$5)</f>
        <v>1</v>
      </c>
      <c r="P217" s="313">
        <f>IF((I$4+1)&amp;"年"&amp;P$5&lt;&gt;'9.项目开发计划表'!$AG$11,1,(I$4+1)&amp;"年"&amp;P$5)</f>
        <v>1</v>
      </c>
      <c r="Q217" s="311">
        <f>IF((M$4+1)&amp;"年"&amp;Q$5&lt;&gt;'9.项目开发计划表'!$AG$11,1,(M$4+1)&amp;"年"&amp;Q$5)</f>
        <v>1</v>
      </c>
      <c r="R217" s="312">
        <f>IF((M$4+1)&amp;"年"&amp;R$5&lt;&gt;'9.项目开发计划表'!$AG$11,1,(M$4+1)&amp;"年"&amp;R$5)</f>
        <v>1</v>
      </c>
      <c r="S217" s="312">
        <f>IF((M$4+1)&amp;"年"&amp;S$5&lt;&gt;'9.项目开发计划表'!$AG$11,1,(M$4+1)&amp;"年"&amp;S$5)</f>
        <v>1</v>
      </c>
      <c r="T217" s="313">
        <f>IF((M$4+1)&amp;"年"&amp;T$5&lt;&gt;'9.项目开发计划表'!$AG$11,1,(M$4+1)&amp;"年"&amp;T$5)</f>
        <v>1</v>
      </c>
      <c r="U217" s="311">
        <f>IF((Q$4+1)&amp;"年"&amp;U$5&lt;&gt;'9.项目开发计划表'!$AG$11,1,(Q$4+1)&amp;"年"&amp;U$5)</f>
        <v>1</v>
      </c>
      <c r="V217" s="312">
        <f>IF((Q$4+1)&amp;"年"&amp;V$5&lt;&gt;'9.项目开发计划表'!$AG$11,1,(Q$4+1)&amp;"年"&amp;V$5)</f>
        <v>1</v>
      </c>
      <c r="W217" s="312">
        <f>IF((Q$4+1)&amp;"年"&amp;W$5&lt;&gt;'9.项目开发计划表'!$AG$11,1,(Q$4+1)&amp;"年"&amp;W$5)</f>
        <v>1</v>
      </c>
      <c r="X217" s="313">
        <f>IF((Q$4+1)&amp;"年"&amp;X$5&lt;&gt;'9.项目开发计划表'!$AG$11,1,(Q$4+1)&amp;"年"&amp;X$5)</f>
        <v>1</v>
      </c>
      <c r="Y217" s="311">
        <f>IF((U$4+1)&amp;"年"&amp;Y$5&lt;&gt;'9.项目开发计划表'!$AG$11,1,(U$4+1)&amp;"年"&amp;Y$5)</f>
        <v>1</v>
      </c>
      <c r="Z217" s="312">
        <f>IF((U$4+1)&amp;"年"&amp;Z$5&lt;&gt;'9.项目开发计划表'!$AG$11,1,(U$4+1)&amp;"年"&amp;Z$5)</f>
        <v>1</v>
      </c>
      <c r="AA217" s="312">
        <f>IF((U$4+1)&amp;"年"&amp;AA$5&lt;&gt;'9.项目开发计划表'!$AG$11,1,(U$4+1)&amp;"年"&amp;AA$5)</f>
        <v>1</v>
      </c>
      <c r="AB217" s="313">
        <f>IF((U$4+1)&amp;"年"&amp;AB$5&lt;&gt;'9.项目开发计划表'!$AG$11,1,(U$4+1)&amp;"年"&amp;AB$5)</f>
        <v>1</v>
      </c>
      <c r="AC217" s="311">
        <f>IF((Y$4+1)&amp;"年"&amp;AC$5&lt;&gt;'9.项目开发计划表'!$AG$11,1,(Y$4+1)&amp;"年"&amp;AC$5)</f>
        <v>1</v>
      </c>
      <c r="AD217" s="312">
        <f>IF((Y$4+1)&amp;"年"&amp;AD$5&lt;&gt;'9.项目开发计划表'!$AG$11,1,(Y$4+1)&amp;"年"&amp;AD$5)</f>
        <v>1</v>
      </c>
      <c r="AE217" s="312">
        <f>IF((Y$4+1)&amp;"年"&amp;AE$5&lt;&gt;'9.项目开发计划表'!$AG$11,1,(Y$4+1)&amp;"年"&amp;AE$5)</f>
        <v>1</v>
      </c>
      <c r="AF217" s="313">
        <f>IF((Y$4+1)&amp;"年"&amp;AF$5&lt;&gt;'9.项目开发计划表'!$AG$11,1,(Y$4+1)&amp;"年"&amp;AF$5)</f>
        <v>1</v>
      </c>
      <c r="AG217" s="311">
        <f>IF((AC$4+1)&amp;"年"&amp;AG$5&lt;&gt;'9.项目开发计划表'!$AG$11,1,(AC$4+1)&amp;"年"&amp;AG$5)</f>
        <v>1</v>
      </c>
      <c r="AH217" s="312">
        <f>IF((AC$4+1)&amp;"年"&amp;AH$5&lt;&gt;'9.项目开发计划表'!$AG$11,1,(AC$4+1)&amp;"年"&amp;AH$5)</f>
        <v>1</v>
      </c>
      <c r="AI217" s="312">
        <f>IF((AC$4+1)&amp;"年"&amp;AI$5&lt;&gt;'9.项目开发计划表'!$AG$11,1,(AC$4+1)&amp;"年"&amp;AI$5)</f>
        <v>1</v>
      </c>
      <c r="AJ217" s="313">
        <f>IF((AC$4+1)&amp;"年"&amp;AJ$5&lt;&gt;'9.项目开发计划表'!$AG$11,1,(AC$4+1)&amp;"年"&amp;AJ$5)</f>
        <v>1</v>
      </c>
      <c r="AK217" s="311">
        <f>IF((AG$4+1)&amp;"年"&amp;AK$5&lt;&gt;'9.项目开发计划表'!$AG$11,1,(AG$4+1)&amp;"年"&amp;AK$5)</f>
        <v>1</v>
      </c>
      <c r="AL217" s="312">
        <f>IF((AG$4+1)&amp;"年"&amp;AL$5&lt;&gt;'9.项目开发计划表'!$AG$11,1,(AG$4+1)&amp;"年"&amp;AL$5)</f>
        <v>1</v>
      </c>
      <c r="AM217" s="312">
        <f>IF((AG$4+1)&amp;"年"&amp;AM$5&lt;&gt;'9.项目开发计划表'!$AG$11,1,(AG$4+1)&amp;"年"&amp;AM$5)</f>
        <v>1</v>
      </c>
      <c r="AN217" s="313">
        <f>IF((AG$4+1)&amp;"年"&amp;AN$5&lt;&gt;'9.项目开发计划表'!$AG$11,1,(AG$4+1)&amp;"年"&amp;AN$5)</f>
        <v>1</v>
      </c>
      <c r="AO217" s="311">
        <f>IF((AK$4+1)&amp;"年"&amp;AO$5&lt;&gt;'9.项目开发计划表'!$AG$11,1,(AK$4+1)&amp;"年"&amp;AO$5)</f>
        <v>1</v>
      </c>
      <c r="AP217" s="312">
        <f>IF((AK$4+1)&amp;"年"&amp;AP$5&lt;&gt;'9.项目开发计划表'!$AG$11,1,(AK$4+1)&amp;"年"&amp;AP$5)</f>
        <v>1</v>
      </c>
      <c r="AQ217" s="312">
        <f>IF((AK$4+1)&amp;"年"&amp;AQ$5&lt;&gt;'9.项目开发计划表'!$AG$11,1,(AK$4+1)&amp;"年"&amp;AQ$5)</f>
        <v>1</v>
      </c>
      <c r="AR217" s="313">
        <f>IF((AK$4+1)&amp;"年"&amp;AR$5&lt;&gt;'9.项目开发计划表'!$AG$11,1,(AK$4+1)&amp;"年"&amp;AR$5)</f>
        <v>1</v>
      </c>
      <c r="AS217" s="311">
        <f>IF((AO$4+1)&amp;"年"&amp;AS$5&lt;&gt;'9.项目开发计划表'!$AG$11,1,(AO$4+1)&amp;"年"&amp;AS$5)</f>
        <v>1</v>
      </c>
      <c r="AT217" s="312">
        <f>IF((AO$4+1)&amp;"年"&amp;AT$5&lt;&gt;'9.项目开发计划表'!$AG$11,1,(AO$4+1)&amp;"年"&amp;AT$5)</f>
        <v>1</v>
      </c>
      <c r="AU217" s="312">
        <f>IF((AO$4+1)&amp;"年"&amp;AU$5&lt;&gt;'9.项目开发计划表'!$AG$11,1,(AO$4+1)&amp;"年"&amp;AU$5)</f>
        <v>1</v>
      </c>
      <c r="AV217" s="313">
        <f>IF((AO$4+1)&amp;"年"&amp;AV$5&lt;&gt;'9.项目开发计划表'!$AG$11,1,(AO$4+1)&amp;"年"&amp;AV$5)</f>
        <v>1</v>
      </c>
    </row>
    <row r="218" spans="2:48" s="256" customFormat="1" ht="15.75" customHeight="1" outlineLevel="1">
      <c r="B218" s="321"/>
      <c r="C218" s="1975"/>
      <c r="D218" s="1982"/>
      <c r="E218" s="280">
        <f t="shared" ref="E218:E222" si="43">IF(E217=1,0,1)</f>
        <v>0</v>
      </c>
      <c r="F218" s="281">
        <f t="shared" ref="F218:AV218" si="44">IF(F217=1,0,1)</f>
        <v>0</v>
      </c>
      <c r="G218" s="281">
        <f t="shared" si="44"/>
        <v>0</v>
      </c>
      <c r="H218" s="282">
        <f t="shared" si="44"/>
        <v>0</v>
      </c>
      <c r="I218" s="280">
        <f t="shared" si="44"/>
        <v>0</v>
      </c>
      <c r="J218" s="281">
        <f t="shared" si="44"/>
        <v>0</v>
      </c>
      <c r="K218" s="281">
        <f t="shared" si="44"/>
        <v>0</v>
      </c>
      <c r="L218" s="282">
        <f t="shared" si="44"/>
        <v>0</v>
      </c>
      <c r="M218" s="280">
        <f t="shared" si="44"/>
        <v>0</v>
      </c>
      <c r="N218" s="281">
        <f t="shared" si="44"/>
        <v>0</v>
      </c>
      <c r="O218" s="281">
        <f t="shared" si="44"/>
        <v>0</v>
      </c>
      <c r="P218" s="282">
        <f t="shared" si="44"/>
        <v>0</v>
      </c>
      <c r="Q218" s="280">
        <f t="shared" si="44"/>
        <v>0</v>
      </c>
      <c r="R218" s="281">
        <f t="shared" si="44"/>
        <v>0</v>
      </c>
      <c r="S218" s="281">
        <f t="shared" si="44"/>
        <v>0</v>
      </c>
      <c r="T218" s="282">
        <f t="shared" si="44"/>
        <v>0</v>
      </c>
      <c r="U218" s="280">
        <f t="shared" si="44"/>
        <v>0</v>
      </c>
      <c r="V218" s="281">
        <f t="shared" si="44"/>
        <v>0</v>
      </c>
      <c r="W218" s="281">
        <f t="shared" si="44"/>
        <v>0</v>
      </c>
      <c r="X218" s="282">
        <f t="shared" si="44"/>
        <v>0</v>
      </c>
      <c r="Y218" s="280">
        <f t="shared" si="44"/>
        <v>0</v>
      </c>
      <c r="Z218" s="281">
        <f t="shared" si="44"/>
        <v>0</v>
      </c>
      <c r="AA218" s="281">
        <f t="shared" si="44"/>
        <v>0</v>
      </c>
      <c r="AB218" s="282">
        <f t="shared" si="44"/>
        <v>0</v>
      </c>
      <c r="AC218" s="280">
        <f t="shared" si="44"/>
        <v>0</v>
      </c>
      <c r="AD218" s="281">
        <f t="shared" si="44"/>
        <v>0</v>
      </c>
      <c r="AE218" s="281">
        <f t="shared" si="44"/>
        <v>0</v>
      </c>
      <c r="AF218" s="282">
        <f t="shared" si="44"/>
        <v>0</v>
      </c>
      <c r="AG218" s="280">
        <f t="shared" si="44"/>
        <v>0</v>
      </c>
      <c r="AH218" s="281">
        <f t="shared" si="44"/>
        <v>0</v>
      </c>
      <c r="AI218" s="281">
        <f t="shared" si="44"/>
        <v>0</v>
      </c>
      <c r="AJ218" s="282">
        <f t="shared" si="44"/>
        <v>0</v>
      </c>
      <c r="AK218" s="280">
        <f t="shared" si="44"/>
        <v>0</v>
      </c>
      <c r="AL218" s="281">
        <f t="shared" si="44"/>
        <v>0</v>
      </c>
      <c r="AM218" s="281">
        <f t="shared" si="44"/>
        <v>0</v>
      </c>
      <c r="AN218" s="282">
        <f t="shared" si="44"/>
        <v>0</v>
      </c>
      <c r="AO218" s="280">
        <f t="shared" si="44"/>
        <v>0</v>
      </c>
      <c r="AP218" s="281">
        <f t="shared" si="44"/>
        <v>0</v>
      </c>
      <c r="AQ218" s="281">
        <f t="shared" si="44"/>
        <v>0</v>
      </c>
      <c r="AR218" s="282">
        <f t="shared" si="44"/>
        <v>0</v>
      </c>
      <c r="AS218" s="280">
        <f t="shared" si="44"/>
        <v>0</v>
      </c>
      <c r="AT218" s="281">
        <f t="shared" si="44"/>
        <v>0</v>
      </c>
      <c r="AU218" s="281">
        <f t="shared" si="44"/>
        <v>0</v>
      </c>
      <c r="AV218" s="282">
        <f t="shared" si="44"/>
        <v>0</v>
      </c>
    </row>
    <row r="219" spans="2:48" s="256" customFormat="1" ht="15.75" customHeight="1" outlineLevel="1">
      <c r="B219" s="321"/>
      <c r="C219" s="1975"/>
      <c r="D219" s="1981">
        <f>'8.项目规划指标表'!$B$12</f>
        <v>0</v>
      </c>
      <c r="E219" s="311">
        <f>IF($E$4&amp;"年"&amp;E$5&lt;&gt;'9.项目开发计划表'!$AG$12,1,$E$4&amp;"年"&amp;E$5)</f>
        <v>1</v>
      </c>
      <c r="F219" s="312">
        <f>IF($E$4&amp;"年"&amp;F$5&lt;&gt;'9.项目开发计划表'!$AG$12,1,$E$4&amp;"年"&amp;F$5)</f>
        <v>1</v>
      </c>
      <c r="G219" s="312">
        <f>IF($E$4&amp;"年"&amp;G$5&lt;&gt;'9.项目开发计划表'!$AG$12,1,$E$4&amp;"年"&amp;G$5)</f>
        <v>1</v>
      </c>
      <c r="H219" s="313">
        <f>IF($E$4&amp;"年"&amp;H$5&lt;&gt;'9.项目开发计划表'!$AG$12,1,$E$4&amp;"年"&amp;H$5)</f>
        <v>1</v>
      </c>
      <c r="I219" s="311">
        <f>IF((E$4+1)&amp;"年"&amp;I$5&lt;&gt;'9.项目开发计划表'!$AG$12,1,(E$4+1)&amp;"年"&amp;I$5)</f>
        <v>1</v>
      </c>
      <c r="J219" s="312">
        <f>IF((E$4+1)&amp;"年"&amp;J$5&lt;&gt;'9.项目开发计划表'!$AG$12,1,(E$4+1)&amp;"年"&amp;J$5)</f>
        <v>1</v>
      </c>
      <c r="K219" s="312">
        <f>IF((E$4+1)&amp;"年"&amp;K$5&lt;&gt;'9.项目开发计划表'!$AG$12,1,(E$4+1)&amp;"年"&amp;K$5)</f>
        <v>1</v>
      </c>
      <c r="L219" s="313">
        <f>IF((E$4+1)&amp;"年"&amp;L$5&lt;&gt;'9.项目开发计划表'!$AG$12,1,(E$4+1)&amp;"年"&amp;L$5)</f>
        <v>1</v>
      </c>
      <c r="M219" s="311">
        <f>IF((I$4+1)&amp;"年"&amp;M$5&lt;&gt;'9.项目开发计划表'!$AG$12,1,(I$4+1)&amp;"年"&amp;M$5)</f>
        <v>1</v>
      </c>
      <c r="N219" s="312">
        <f>IF((I$4+1)&amp;"年"&amp;N$5&lt;&gt;'9.项目开发计划表'!$AG$12,1,(I$4+1)&amp;"年"&amp;N$5)</f>
        <v>1</v>
      </c>
      <c r="O219" s="312">
        <f>IF((I$4+1)&amp;"年"&amp;O$5&lt;&gt;'9.项目开发计划表'!$AG$12,1,(I$4+1)&amp;"年"&amp;O$5)</f>
        <v>1</v>
      </c>
      <c r="P219" s="313">
        <f>IF((I$4+1)&amp;"年"&amp;P$5&lt;&gt;'9.项目开发计划表'!$AG$12,1,(I$4+1)&amp;"年"&amp;P$5)</f>
        <v>1</v>
      </c>
      <c r="Q219" s="311">
        <f>IF((M$4+1)&amp;"年"&amp;Q$5&lt;&gt;'9.项目开发计划表'!$AG$12,1,(M$4+1)&amp;"年"&amp;Q$5)</f>
        <v>1</v>
      </c>
      <c r="R219" s="312">
        <f>IF((M$4+1)&amp;"年"&amp;R$5&lt;&gt;'9.项目开发计划表'!$AG$12,1,(M$4+1)&amp;"年"&amp;R$5)</f>
        <v>1</v>
      </c>
      <c r="S219" s="312">
        <f>IF((M$4+1)&amp;"年"&amp;S$5&lt;&gt;'9.项目开发计划表'!$AG$12,1,(M$4+1)&amp;"年"&amp;S$5)</f>
        <v>1</v>
      </c>
      <c r="T219" s="313">
        <f>IF((M$4+1)&amp;"年"&amp;T$5&lt;&gt;'9.项目开发计划表'!$AG$12,1,(M$4+1)&amp;"年"&amp;T$5)</f>
        <v>1</v>
      </c>
      <c r="U219" s="311">
        <f>IF((Q$4+1)&amp;"年"&amp;U$5&lt;&gt;'9.项目开发计划表'!$AG$12,1,(Q$4+1)&amp;"年"&amp;U$5)</f>
        <v>1</v>
      </c>
      <c r="V219" s="312">
        <f>IF((Q$4+1)&amp;"年"&amp;V$5&lt;&gt;'9.项目开发计划表'!$AG$12,1,(Q$4+1)&amp;"年"&amp;V$5)</f>
        <v>1</v>
      </c>
      <c r="W219" s="312">
        <f>IF((Q$4+1)&amp;"年"&amp;W$5&lt;&gt;'9.项目开发计划表'!$AG$12,1,(Q$4+1)&amp;"年"&amp;W$5)</f>
        <v>1</v>
      </c>
      <c r="X219" s="313">
        <f>IF((Q$4+1)&amp;"年"&amp;X$5&lt;&gt;'9.项目开发计划表'!$AG$12,1,(Q$4+1)&amp;"年"&amp;X$5)</f>
        <v>1</v>
      </c>
      <c r="Y219" s="311">
        <f>IF((U$4+1)&amp;"年"&amp;Y$5&lt;&gt;'9.项目开发计划表'!$AG$12,1,(U$4+1)&amp;"年"&amp;Y$5)</f>
        <v>1</v>
      </c>
      <c r="Z219" s="312">
        <f>IF((U$4+1)&amp;"年"&amp;Z$5&lt;&gt;'9.项目开发计划表'!$AG$12,1,(U$4+1)&amp;"年"&amp;Z$5)</f>
        <v>1</v>
      </c>
      <c r="AA219" s="312">
        <f>IF((U$4+1)&amp;"年"&amp;AA$5&lt;&gt;'9.项目开发计划表'!$AG$12,1,(U$4+1)&amp;"年"&amp;AA$5)</f>
        <v>1</v>
      </c>
      <c r="AB219" s="313">
        <f>IF((U$4+1)&amp;"年"&amp;AB$5&lt;&gt;'9.项目开发计划表'!$AG$12,1,(U$4+1)&amp;"年"&amp;AB$5)</f>
        <v>1</v>
      </c>
      <c r="AC219" s="311">
        <f>IF((Y$4+1)&amp;"年"&amp;AC$5&lt;&gt;'9.项目开发计划表'!$AG$12,1,(Y$4+1)&amp;"年"&amp;AC$5)</f>
        <v>1</v>
      </c>
      <c r="AD219" s="312">
        <f>IF((Y$4+1)&amp;"年"&amp;AD$5&lt;&gt;'9.项目开发计划表'!$AG$12,1,(Y$4+1)&amp;"年"&amp;AD$5)</f>
        <v>1</v>
      </c>
      <c r="AE219" s="312">
        <f>IF((Y$4+1)&amp;"年"&amp;AE$5&lt;&gt;'9.项目开发计划表'!$AG$12,1,(Y$4+1)&amp;"年"&amp;AE$5)</f>
        <v>1</v>
      </c>
      <c r="AF219" s="313">
        <f>IF((Y$4+1)&amp;"年"&amp;AF$5&lt;&gt;'9.项目开发计划表'!$AG$12,1,(Y$4+1)&amp;"年"&amp;AF$5)</f>
        <v>1</v>
      </c>
      <c r="AG219" s="311">
        <f>IF((AC$4+1)&amp;"年"&amp;AG$5&lt;&gt;'9.项目开发计划表'!$AG$12,1,(AC$4+1)&amp;"年"&amp;AG$5)</f>
        <v>1</v>
      </c>
      <c r="AH219" s="312">
        <f>IF((AC$4+1)&amp;"年"&amp;AH$5&lt;&gt;'9.项目开发计划表'!$AG$12,1,(AC$4+1)&amp;"年"&amp;AH$5)</f>
        <v>1</v>
      </c>
      <c r="AI219" s="312">
        <f>IF((AC$4+1)&amp;"年"&amp;AI$5&lt;&gt;'9.项目开发计划表'!$AG$12,1,(AC$4+1)&amp;"年"&amp;AI$5)</f>
        <v>1</v>
      </c>
      <c r="AJ219" s="313">
        <f>IF((AC$4+1)&amp;"年"&amp;AJ$5&lt;&gt;'9.项目开发计划表'!$AG$12,1,(AC$4+1)&amp;"年"&amp;AJ$5)</f>
        <v>1</v>
      </c>
      <c r="AK219" s="311">
        <f>IF((AG$4+1)&amp;"年"&amp;AK$5&lt;&gt;'9.项目开发计划表'!$AG$12,1,(AG$4+1)&amp;"年"&amp;AK$5)</f>
        <v>1</v>
      </c>
      <c r="AL219" s="312">
        <f>IF((AG$4+1)&amp;"年"&amp;AL$5&lt;&gt;'9.项目开发计划表'!$AG$12,1,(AG$4+1)&amp;"年"&amp;AL$5)</f>
        <v>1</v>
      </c>
      <c r="AM219" s="312">
        <f>IF((AG$4+1)&amp;"年"&amp;AM$5&lt;&gt;'9.项目开发计划表'!$AG$12,1,(AG$4+1)&amp;"年"&amp;AM$5)</f>
        <v>1</v>
      </c>
      <c r="AN219" s="313">
        <f>IF((AG$4+1)&amp;"年"&amp;AN$5&lt;&gt;'9.项目开发计划表'!$AG$12,1,(AG$4+1)&amp;"年"&amp;AN$5)</f>
        <v>1</v>
      </c>
      <c r="AO219" s="311">
        <f>IF((AK$4+1)&amp;"年"&amp;AO$5&lt;&gt;'9.项目开发计划表'!$AG$12,1,(AK$4+1)&amp;"年"&amp;AO$5)</f>
        <v>1</v>
      </c>
      <c r="AP219" s="312">
        <f>IF((AK$4+1)&amp;"年"&amp;AP$5&lt;&gt;'9.项目开发计划表'!$AG$12,1,(AK$4+1)&amp;"年"&amp;AP$5)</f>
        <v>1</v>
      </c>
      <c r="AQ219" s="312">
        <f>IF((AK$4+1)&amp;"年"&amp;AQ$5&lt;&gt;'9.项目开发计划表'!$AG$12,1,(AK$4+1)&amp;"年"&amp;AQ$5)</f>
        <v>1</v>
      </c>
      <c r="AR219" s="313">
        <f>IF((AK$4+1)&amp;"年"&amp;AR$5&lt;&gt;'9.项目开发计划表'!$AG$12,1,(AK$4+1)&amp;"年"&amp;AR$5)</f>
        <v>1</v>
      </c>
      <c r="AS219" s="311">
        <f>IF((AO$4+1)&amp;"年"&amp;AS$5&lt;&gt;'9.项目开发计划表'!$AG$12,1,(AO$4+1)&amp;"年"&amp;AS$5)</f>
        <v>1</v>
      </c>
      <c r="AT219" s="312">
        <f>IF((AO$4+1)&amp;"年"&amp;AT$5&lt;&gt;'9.项目开发计划表'!$AG$12,1,(AO$4+1)&amp;"年"&amp;AT$5)</f>
        <v>1</v>
      </c>
      <c r="AU219" s="312">
        <f>IF((AO$4+1)&amp;"年"&amp;AU$5&lt;&gt;'9.项目开发计划表'!$AG$12,1,(AO$4+1)&amp;"年"&amp;AU$5)</f>
        <v>1</v>
      </c>
      <c r="AV219" s="313">
        <f>IF((AO$4+1)&amp;"年"&amp;AV$5&lt;&gt;'9.项目开发计划表'!$AG$12,1,(AO$4+1)&amp;"年"&amp;AV$5)</f>
        <v>1</v>
      </c>
    </row>
    <row r="220" spans="2:48" s="256" customFormat="1" ht="15.75" customHeight="1" outlineLevel="1">
      <c r="B220" s="321"/>
      <c r="C220" s="1975"/>
      <c r="D220" s="1982"/>
      <c r="E220" s="280">
        <f t="shared" si="43"/>
        <v>0</v>
      </c>
      <c r="F220" s="281">
        <f t="shared" ref="F220:AV220" si="45">IF(F219=1,0,1)</f>
        <v>0</v>
      </c>
      <c r="G220" s="281">
        <f t="shared" si="45"/>
        <v>0</v>
      </c>
      <c r="H220" s="282">
        <f t="shared" si="45"/>
        <v>0</v>
      </c>
      <c r="I220" s="280">
        <f t="shared" si="45"/>
        <v>0</v>
      </c>
      <c r="J220" s="281">
        <f t="shared" si="45"/>
        <v>0</v>
      </c>
      <c r="K220" s="281">
        <f t="shared" si="45"/>
        <v>0</v>
      </c>
      <c r="L220" s="282">
        <f t="shared" si="45"/>
        <v>0</v>
      </c>
      <c r="M220" s="280">
        <f t="shared" si="45"/>
        <v>0</v>
      </c>
      <c r="N220" s="281">
        <f t="shared" si="45"/>
        <v>0</v>
      </c>
      <c r="O220" s="281">
        <f t="shared" si="45"/>
        <v>0</v>
      </c>
      <c r="P220" s="282">
        <f t="shared" si="45"/>
        <v>0</v>
      </c>
      <c r="Q220" s="280">
        <f t="shared" si="45"/>
        <v>0</v>
      </c>
      <c r="R220" s="281">
        <f t="shared" si="45"/>
        <v>0</v>
      </c>
      <c r="S220" s="281">
        <f t="shared" si="45"/>
        <v>0</v>
      </c>
      <c r="T220" s="282">
        <f t="shared" si="45"/>
        <v>0</v>
      </c>
      <c r="U220" s="280">
        <f t="shared" si="45"/>
        <v>0</v>
      </c>
      <c r="V220" s="281">
        <f t="shared" si="45"/>
        <v>0</v>
      </c>
      <c r="W220" s="281">
        <f t="shared" si="45"/>
        <v>0</v>
      </c>
      <c r="X220" s="282">
        <f t="shared" si="45"/>
        <v>0</v>
      </c>
      <c r="Y220" s="280">
        <f t="shared" si="45"/>
        <v>0</v>
      </c>
      <c r="Z220" s="281">
        <f t="shared" si="45"/>
        <v>0</v>
      </c>
      <c r="AA220" s="281">
        <f t="shared" si="45"/>
        <v>0</v>
      </c>
      <c r="AB220" s="282">
        <f t="shared" si="45"/>
        <v>0</v>
      </c>
      <c r="AC220" s="280">
        <f t="shared" si="45"/>
        <v>0</v>
      </c>
      <c r="AD220" s="281">
        <f t="shared" si="45"/>
        <v>0</v>
      </c>
      <c r="AE220" s="281">
        <f t="shared" si="45"/>
        <v>0</v>
      </c>
      <c r="AF220" s="282">
        <f t="shared" si="45"/>
        <v>0</v>
      </c>
      <c r="AG220" s="280">
        <f t="shared" si="45"/>
        <v>0</v>
      </c>
      <c r="AH220" s="281">
        <f t="shared" si="45"/>
        <v>0</v>
      </c>
      <c r="AI220" s="281">
        <f t="shared" si="45"/>
        <v>0</v>
      </c>
      <c r="AJ220" s="282">
        <f t="shared" si="45"/>
        <v>0</v>
      </c>
      <c r="AK220" s="280">
        <f t="shared" si="45"/>
        <v>0</v>
      </c>
      <c r="AL220" s="281">
        <f t="shared" si="45"/>
        <v>0</v>
      </c>
      <c r="AM220" s="281">
        <f t="shared" si="45"/>
        <v>0</v>
      </c>
      <c r="AN220" s="282">
        <f t="shared" si="45"/>
        <v>0</v>
      </c>
      <c r="AO220" s="280">
        <f t="shared" si="45"/>
        <v>0</v>
      </c>
      <c r="AP220" s="281">
        <f t="shared" si="45"/>
        <v>0</v>
      </c>
      <c r="AQ220" s="281">
        <f t="shared" si="45"/>
        <v>0</v>
      </c>
      <c r="AR220" s="282">
        <f t="shared" si="45"/>
        <v>0</v>
      </c>
      <c r="AS220" s="280">
        <f t="shared" si="45"/>
        <v>0</v>
      </c>
      <c r="AT220" s="281">
        <f t="shared" si="45"/>
        <v>0</v>
      </c>
      <c r="AU220" s="281">
        <f t="shared" si="45"/>
        <v>0</v>
      </c>
      <c r="AV220" s="282">
        <f t="shared" si="45"/>
        <v>0</v>
      </c>
    </row>
    <row r="221" spans="2:48" s="256" customFormat="1" ht="15.75" customHeight="1" outlineLevel="1">
      <c r="B221" s="321"/>
      <c r="C221" s="1975"/>
      <c r="D221" s="1981">
        <f>'8.项目规划指标表'!$B$13</f>
        <v>0</v>
      </c>
      <c r="E221" s="311">
        <f>IF($E$4&amp;"年"&amp;E$5&lt;&gt;'9.项目开发计划表'!$AG$13,1,$E$4&amp;"年"&amp;E$5)</f>
        <v>1</v>
      </c>
      <c r="F221" s="312">
        <f>IF($E$4&amp;"年"&amp;F$5&lt;&gt;'9.项目开发计划表'!$AG$13,1,$E$4&amp;"年"&amp;F$5)</f>
        <v>1</v>
      </c>
      <c r="G221" s="312">
        <f>IF($E$4&amp;"年"&amp;G$5&lt;&gt;'9.项目开发计划表'!$AG$13,1,$E$4&amp;"年"&amp;G$5)</f>
        <v>1</v>
      </c>
      <c r="H221" s="313">
        <f>IF($E$4&amp;"年"&amp;H$5&lt;&gt;'9.项目开发计划表'!$AG$13,1,$E$4&amp;"年"&amp;H$5)</f>
        <v>1</v>
      </c>
      <c r="I221" s="311">
        <f>IF((E$4+1)&amp;"年"&amp;I$5&lt;&gt;'9.项目开发计划表'!$AG$13,1,(E$4+1)&amp;"年"&amp;I$5)</f>
        <v>1</v>
      </c>
      <c r="J221" s="312">
        <f>IF((E$4+1)&amp;"年"&amp;J$5&lt;&gt;'9.项目开发计划表'!$AG$13,1,(E$4+1)&amp;"年"&amp;J$5)</f>
        <v>1</v>
      </c>
      <c r="K221" s="312">
        <f>IF((E$4+1)&amp;"年"&amp;K$5&lt;&gt;'9.项目开发计划表'!$AG$13,1,(E$4+1)&amp;"年"&amp;K$5)</f>
        <v>1</v>
      </c>
      <c r="L221" s="313">
        <f>IF((E$4+1)&amp;"年"&amp;L$5&lt;&gt;'9.项目开发计划表'!$AG$13,1,(E$4+1)&amp;"年"&amp;L$5)</f>
        <v>1</v>
      </c>
      <c r="M221" s="311">
        <f>IF((I$4+1)&amp;"年"&amp;M$5&lt;&gt;'9.项目开发计划表'!$AG$13,1,(I$4+1)&amp;"年"&amp;M$5)</f>
        <v>1</v>
      </c>
      <c r="N221" s="312">
        <f>IF((I$4+1)&amp;"年"&amp;N$5&lt;&gt;'9.项目开发计划表'!$AG$13,1,(I$4+1)&amp;"年"&amp;N$5)</f>
        <v>1</v>
      </c>
      <c r="O221" s="312">
        <f>IF((I$4+1)&amp;"年"&amp;O$5&lt;&gt;'9.项目开发计划表'!$AG$13,1,(I$4+1)&amp;"年"&amp;O$5)</f>
        <v>1</v>
      </c>
      <c r="P221" s="313">
        <f>IF((I$4+1)&amp;"年"&amp;P$5&lt;&gt;'9.项目开发计划表'!$AG$13,1,(I$4+1)&amp;"年"&amp;P$5)</f>
        <v>1</v>
      </c>
      <c r="Q221" s="311">
        <f>IF((M$4+1)&amp;"年"&amp;Q$5&lt;&gt;'9.项目开发计划表'!$AG$13,1,(M$4+1)&amp;"年"&amp;Q$5)</f>
        <v>1</v>
      </c>
      <c r="R221" s="312">
        <f>IF((M$4+1)&amp;"年"&amp;R$5&lt;&gt;'9.项目开发计划表'!$AG$13,1,(M$4+1)&amp;"年"&amp;R$5)</f>
        <v>1</v>
      </c>
      <c r="S221" s="312">
        <f>IF((M$4+1)&amp;"年"&amp;S$5&lt;&gt;'9.项目开发计划表'!$AG$13,1,(M$4+1)&amp;"年"&amp;S$5)</f>
        <v>1</v>
      </c>
      <c r="T221" s="313">
        <f>IF((M$4+1)&amp;"年"&amp;T$5&lt;&gt;'9.项目开发计划表'!$AG$13,1,(M$4+1)&amp;"年"&amp;T$5)</f>
        <v>1</v>
      </c>
      <c r="U221" s="311">
        <f>IF((Q$4+1)&amp;"年"&amp;U$5&lt;&gt;'9.项目开发计划表'!$AG$13,1,(Q$4+1)&amp;"年"&amp;U$5)</f>
        <v>1</v>
      </c>
      <c r="V221" s="312">
        <f>IF((Q$4+1)&amp;"年"&amp;V$5&lt;&gt;'9.项目开发计划表'!$AG$13,1,(Q$4+1)&amp;"年"&amp;V$5)</f>
        <v>1</v>
      </c>
      <c r="W221" s="312">
        <f>IF((Q$4+1)&amp;"年"&amp;W$5&lt;&gt;'9.项目开发计划表'!$AG$13,1,(Q$4+1)&amp;"年"&amp;W$5)</f>
        <v>1</v>
      </c>
      <c r="X221" s="313">
        <f>IF((Q$4+1)&amp;"年"&amp;X$5&lt;&gt;'9.项目开发计划表'!$AG$13,1,(Q$4+1)&amp;"年"&amp;X$5)</f>
        <v>1</v>
      </c>
      <c r="Y221" s="311">
        <f>IF((U$4+1)&amp;"年"&amp;Y$5&lt;&gt;'9.项目开发计划表'!$AG$13,1,(U$4+1)&amp;"年"&amp;Y$5)</f>
        <v>1</v>
      </c>
      <c r="Z221" s="312">
        <f>IF((U$4+1)&amp;"年"&amp;Z$5&lt;&gt;'9.项目开发计划表'!$AG$13,1,(U$4+1)&amp;"年"&amp;Z$5)</f>
        <v>1</v>
      </c>
      <c r="AA221" s="312">
        <f>IF((U$4+1)&amp;"年"&amp;AA$5&lt;&gt;'9.项目开发计划表'!$AG$13,1,(U$4+1)&amp;"年"&amp;AA$5)</f>
        <v>1</v>
      </c>
      <c r="AB221" s="313">
        <f>IF((U$4+1)&amp;"年"&amp;AB$5&lt;&gt;'9.项目开发计划表'!$AG$13,1,(U$4+1)&amp;"年"&amp;AB$5)</f>
        <v>1</v>
      </c>
      <c r="AC221" s="311">
        <f>IF((Y$4+1)&amp;"年"&amp;AC$5&lt;&gt;'9.项目开发计划表'!$AG$13,1,(Y$4+1)&amp;"年"&amp;AC$5)</f>
        <v>1</v>
      </c>
      <c r="AD221" s="312">
        <f>IF((Y$4+1)&amp;"年"&amp;AD$5&lt;&gt;'9.项目开发计划表'!$AG$13,1,(Y$4+1)&amp;"年"&amp;AD$5)</f>
        <v>1</v>
      </c>
      <c r="AE221" s="312">
        <f>IF((Y$4+1)&amp;"年"&amp;AE$5&lt;&gt;'9.项目开发计划表'!$AG$13,1,(Y$4+1)&amp;"年"&amp;AE$5)</f>
        <v>1</v>
      </c>
      <c r="AF221" s="313">
        <f>IF((Y$4+1)&amp;"年"&amp;AF$5&lt;&gt;'9.项目开发计划表'!$AG$13,1,(Y$4+1)&amp;"年"&amp;AF$5)</f>
        <v>1</v>
      </c>
      <c r="AG221" s="311">
        <f>IF((AC$4+1)&amp;"年"&amp;AG$5&lt;&gt;'9.项目开发计划表'!$AG$13,1,(AC$4+1)&amp;"年"&amp;AG$5)</f>
        <v>1</v>
      </c>
      <c r="AH221" s="312">
        <f>IF((AC$4+1)&amp;"年"&amp;AH$5&lt;&gt;'9.项目开发计划表'!$AG$13,1,(AC$4+1)&amp;"年"&amp;AH$5)</f>
        <v>1</v>
      </c>
      <c r="AI221" s="312">
        <f>IF((AC$4+1)&amp;"年"&amp;AI$5&lt;&gt;'9.项目开发计划表'!$AG$13,1,(AC$4+1)&amp;"年"&amp;AI$5)</f>
        <v>1</v>
      </c>
      <c r="AJ221" s="313">
        <f>IF((AC$4+1)&amp;"年"&amp;AJ$5&lt;&gt;'9.项目开发计划表'!$AG$13,1,(AC$4+1)&amp;"年"&amp;AJ$5)</f>
        <v>1</v>
      </c>
      <c r="AK221" s="311">
        <f>IF((AG$4+1)&amp;"年"&amp;AK$5&lt;&gt;'9.项目开发计划表'!$AG$13,1,(AG$4+1)&amp;"年"&amp;AK$5)</f>
        <v>1</v>
      </c>
      <c r="AL221" s="312">
        <f>IF((AG$4+1)&amp;"年"&amp;AL$5&lt;&gt;'9.项目开发计划表'!$AG$13,1,(AG$4+1)&amp;"年"&amp;AL$5)</f>
        <v>1</v>
      </c>
      <c r="AM221" s="312">
        <f>IF((AG$4+1)&amp;"年"&amp;AM$5&lt;&gt;'9.项目开发计划表'!$AG$13,1,(AG$4+1)&amp;"年"&amp;AM$5)</f>
        <v>1</v>
      </c>
      <c r="AN221" s="313">
        <f>IF((AG$4+1)&amp;"年"&amp;AN$5&lt;&gt;'9.项目开发计划表'!$AG$13,1,(AG$4+1)&amp;"年"&amp;AN$5)</f>
        <v>1</v>
      </c>
      <c r="AO221" s="311">
        <f>IF((AK$4+1)&amp;"年"&amp;AO$5&lt;&gt;'9.项目开发计划表'!$AG$13,1,(AK$4+1)&amp;"年"&amp;AO$5)</f>
        <v>1</v>
      </c>
      <c r="AP221" s="312">
        <f>IF((AK$4+1)&amp;"年"&amp;AP$5&lt;&gt;'9.项目开发计划表'!$AG$13,1,(AK$4+1)&amp;"年"&amp;AP$5)</f>
        <v>1</v>
      </c>
      <c r="AQ221" s="312">
        <f>IF((AK$4+1)&amp;"年"&amp;AQ$5&lt;&gt;'9.项目开发计划表'!$AG$13,1,(AK$4+1)&amp;"年"&amp;AQ$5)</f>
        <v>1</v>
      </c>
      <c r="AR221" s="313">
        <f>IF((AK$4+1)&amp;"年"&amp;AR$5&lt;&gt;'9.项目开发计划表'!$AG$13,1,(AK$4+1)&amp;"年"&amp;AR$5)</f>
        <v>1</v>
      </c>
      <c r="AS221" s="311">
        <f>IF((AO$4+1)&amp;"年"&amp;AS$5&lt;&gt;'9.项目开发计划表'!$AG$13,1,(AO$4+1)&amp;"年"&amp;AS$5)</f>
        <v>1</v>
      </c>
      <c r="AT221" s="312">
        <f>IF((AO$4+1)&amp;"年"&amp;AT$5&lt;&gt;'9.项目开发计划表'!$AG$13,1,(AO$4+1)&amp;"年"&amp;AT$5)</f>
        <v>1</v>
      </c>
      <c r="AU221" s="312">
        <f>IF((AO$4+1)&amp;"年"&amp;AU$5&lt;&gt;'9.项目开发计划表'!$AG$13,1,(AO$4+1)&amp;"年"&amp;AU$5)</f>
        <v>1</v>
      </c>
      <c r="AV221" s="313">
        <f>IF((AO$4+1)&amp;"年"&amp;AV$5&lt;&gt;'9.项目开发计划表'!$AG$13,1,(AO$4+1)&amp;"年"&amp;AV$5)</f>
        <v>1</v>
      </c>
    </row>
    <row r="222" spans="2:48" s="256" customFormat="1" ht="15.75" customHeight="1" outlineLevel="1">
      <c r="B222" s="321"/>
      <c r="C222" s="1975"/>
      <c r="D222" s="1982"/>
      <c r="E222" s="280">
        <f t="shared" si="43"/>
        <v>0</v>
      </c>
      <c r="F222" s="281">
        <f t="shared" ref="F222:AV222" si="46">IF(F221=1,0,1)</f>
        <v>0</v>
      </c>
      <c r="G222" s="281">
        <f t="shared" si="46"/>
        <v>0</v>
      </c>
      <c r="H222" s="282">
        <f t="shared" si="46"/>
        <v>0</v>
      </c>
      <c r="I222" s="280">
        <f t="shared" si="46"/>
        <v>0</v>
      </c>
      <c r="J222" s="281">
        <f t="shared" si="46"/>
        <v>0</v>
      </c>
      <c r="K222" s="281">
        <f t="shared" si="46"/>
        <v>0</v>
      </c>
      <c r="L222" s="282">
        <f t="shared" si="46"/>
        <v>0</v>
      </c>
      <c r="M222" s="280">
        <f t="shared" si="46"/>
        <v>0</v>
      </c>
      <c r="N222" s="281">
        <f t="shared" si="46"/>
        <v>0</v>
      </c>
      <c r="O222" s="281">
        <f t="shared" si="46"/>
        <v>0</v>
      </c>
      <c r="P222" s="282">
        <f t="shared" si="46"/>
        <v>0</v>
      </c>
      <c r="Q222" s="280">
        <f t="shared" si="46"/>
        <v>0</v>
      </c>
      <c r="R222" s="281">
        <f t="shared" si="46"/>
        <v>0</v>
      </c>
      <c r="S222" s="281">
        <f t="shared" si="46"/>
        <v>0</v>
      </c>
      <c r="T222" s="282">
        <f t="shared" si="46"/>
        <v>0</v>
      </c>
      <c r="U222" s="280">
        <f t="shared" si="46"/>
        <v>0</v>
      </c>
      <c r="V222" s="281">
        <f t="shared" si="46"/>
        <v>0</v>
      </c>
      <c r="W222" s="281">
        <f t="shared" si="46"/>
        <v>0</v>
      </c>
      <c r="X222" s="282">
        <f t="shared" si="46"/>
        <v>0</v>
      </c>
      <c r="Y222" s="280">
        <f t="shared" si="46"/>
        <v>0</v>
      </c>
      <c r="Z222" s="281">
        <f t="shared" si="46"/>
        <v>0</v>
      </c>
      <c r="AA222" s="281">
        <f t="shared" si="46"/>
        <v>0</v>
      </c>
      <c r="AB222" s="282">
        <f t="shared" si="46"/>
        <v>0</v>
      </c>
      <c r="AC222" s="280">
        <f t="shared" si="46"/>
        <v>0</v>
      </c>
      <c r="AD222" s="281">
        <f t="shared" si="46"/>
        <v>0</v>
      </c>
      <c r="AE222" s="281">
        <f t="shared" si="46"/>
        <v>0</v>
      </c>
      <c r="AF222" s="282">
        <f t="shared" si="46"/>
        <v>0</v>
      </c>
      <c r="AG222" s="280">
        <f t="shared" si="46"/>
        <v>0</v>
      </c>
      <c r="AH222" s="281">
        <f t="shared" si="46"/>
        <v>0</v>
      </c>
      <c r="AI222" s="281">
        <f t="shared" si="46"/>
        <v>0</v>
      </c>
      <c r="AJ222" s="282">
        <f t="shared" si="46"/>
        <v>0</v>
      </c>
      <c r="AK222" s="280">
        <f t="shared" si="46"/>
        <v>0</v>
      </c>
      <c r="AL222" s="281">
        <f t="shared" si="46"/>
        <v>0</v>
      </c>
      <c r="AM222" s="281">
        <f t="shared" si="46"/>
        <v>0</v>
      </c>
      <c r="AN222" s="282">
        <f t="shared" si="46"/>
        <v>0</v>
      </c>
      <c r="AO222" s="280">
        <f t="shared" si="46"/>
        <v>0</v>
      </c>
      <c r="AP222" s="281">
        <f t="shared" si="46"/>
        <v>0</v>
      </c>
      <c r="AQ222" s="281">
        <f t="shared" si="46"/>
        <v>0</v>
      </c>
      <c r="AR222" s="282">
        <f t="shared" si="46"/>
        <v>0</v>
      </c>
      <c r="AS222" s="280">
        <f t="shared" si="46"/>
        <v>0</v>
      </c>
      <c r="AT222" s="281">
        <f t="shared" si="46"/>
        <v>0</v>
      </c>
      <c r="AU222" s="281">
        <f t="shared" si="46"/>
        <v>0</v>
      </c>
      <c r="AV222" s="282">
        <f t="shared" si="46"/>
        <v>0</v>
      </c>
    </row>
    <row r="223" spans="2:48" s="256" customFormat="1" ht="15.75" customHeight="1" outlineLevel="1">
      <c r="B223" s="321"/>
      <c r="C223" s="1975"/>
      <c r="D223" s="1981" t="str">
        <f>'8.项目规划指标表'!$B$14</f>
        <v>自持物业</v>
      </c>
      <c r="E223" s="311">
        <f>IF($E$4&amp;"年"&amp;E$5&lt;&gt;'9.项目开发计划表'!$AG$14,1,$E$4&amp;"年"&amp;E$5)</f>
        <v>1</v>
      </c>
      <c r="F223" s="312">
        <f>IF($E$4&amp;"年"&amp;F$5&lt;&gt;'9.项目开发计划表'!$AG$14,1,$E$4&amp;"年"&amp;F$5)</f>
        <v>1</v>
      </c>
      <c r="G223" s="312">
        <f>IF($E$4&amp;"年"&amp;G$5&lt;&gt;'9.项目开发计划表'!$AG$14,1,$E$4&amp;"年"&amp;G$5)</f>
        <v>1</v>
      </c>
      <c r="H223" s="313">
        <f>IF($E$4&amp;"年"&amp;H$5&lt;&gt;'9.项目开发计划表'!$AG$14,1,$E$4&amp;"年"&amp;H$5)</f>
        <v>1</v>
      </c>
      <c r="I223" s="311">
        <f>IF((E$4+1)&amp;"年"&amp;I$5&lt;&gt;'9.项目开发计划表'!$AG$14,1,(E$4+1)&amp;"年"&amp;I$5)</f>
        <v>1</v>
      </c>
      <c r="J223" s="312">
        <f>IF((E$4+1)&amp;"年"&amp;J$5&lt;&gt;'9.项目开发计划表'!$AG$14,1,(E$4+1)&amp;"年"&amp;J$5)</f>
        <v>1</v>
      </c>
      <c r="K223" s="312">
        <f>IF((E$4+1)&amp;"年"&amp;K$5&lt;&gt;'9.项目开发计划表'!$AG$14,1,(E$4+1)&amp;"年"&amp;K$5)</f>
        <v>1</v>
      </c>
      <c r="L223" s="313">
        <f>IF((E$4+1)&amp;"年"&amp;L$5&lt;&gt;'9.项目开发计划表'!$AG$14,1,(E$4+1)&amp;"年"&amp;L$5)</f>
        <v>1</v>
      </c>
      <c r="M223" s="311">
        <f>IF((I$4+1)&amp;"年"&amp;M$5&lt;&gt;'9.项目开发计划表'!$AG$14,1,(I$4+1)&amp;"年"&amp;M$5)</f>
        <v>1</v>
      </c>
      <c r="N223" s="312">
        <f>IF((I$4+1)&amp;"年"&amp;N$5&lt;&gt;'9.项目开发计划表'!$AG$14,1,(I$4+1)&amp;"年"&amp;N$5)</f>
        <v>1</v>
      </c>
      <c r="O223" s="312">
        <f>IF((I$4+1)&amp;"年"&amp;O$5&lt;&gt;'9.项目开发计划表'!$AG$14,1,(I$4+1)&amp;"年"&amp;O$5)</f>
        <v>1</v>
      </c>
      <c r="P223" s="313">
        <f>IF((I$4+1)&amp;"年"&amp;P$5&lt;&gt;'9.项目开发计划表'!$AG$14,1,(I$4+1)&amp;"年"&amp;P$5)</f>
        <v>1</v>
      </c>
      <c r="Q223" s="311">
        <f>IF((M$4+1)&amp;"年"&amp;Q$5&lt;&gt;'9.项目开发计划表'!$AG$14,1,(M$4+1)&amp;"年"&amp;Q$5)</f>
        <v>1</v>
      </c>
      <c r="R223" s="312">
        <f>IF((M$4+1)&amp;"年"&amp;R$5&lt;&gt;'9.项目开发计划表'!$AG$14,1,(M$4+1)&amp;"年"&amp;R$5)</f>
        <v>1</v>
      </c>
      <c r="S223" s="312">
        <f>IF((M$4+1)&amp;"年"&amp;S$5&lt;&gt;'9.项目开发计划表'!$AG$14,1,(M$4+1)&amp;"年"&amp;S$5)</f>
        <v>1</v>
      </c>
      <c r="T223" s="313">
        <f>IF((M$4+1)&amp;"年"&amp;T$5&lt;&gt;'9.项目开发计划表'!$AG$14,1,(M$4+1)&amp;"年"&amp;T$5)</f>
        <v>1</v>
      </c>
      <c r="U223" s="311">
        <f>IF((Q$4+1)&amp;"年"&amp;U$5&lt;&gt;'9.项目开发计划表'!$AG$14,1,(Q$4+1)&amp;"年"&amp;U$5)</f>
        <v>1</v>
      </c>
      <c r="V223" s="312">
        <f>IF((Q$4+1)&amp;"年"&amp;V$5&lt;&gt;'9.项目开发计划表'!$AG$14,1,(Q$4+1)&amp;"年"&amp;V$5)</f>
        <v>1</v>
      </c>
      <c r="W223" s="312">
        <f>IF((Q$4+1)&amp;"年"&amp;W$5&lt;&gt;'9.项目开发计划表'!$AG$14,1,(Q$4+1)&amp;"年"&amp;W$5)</f>
        <v>1</v>
      </c>
      <c r="X223" s="313">
        <f>IF((Q$4+1)&amp;"年"&amp;X$5&lt;&gt;'9.项目开发计划表'!$AG$14,1,(Q$4+1)&amp;"年"&amp;X$5)</f>
        <v>1</v>
      </c>
      <c r="Y223" s="311">
        <f>IF((U$4+1)&amp;"年"&amp;Y$5&lt;&gt;'9.项目开发计划表'!$AG$14,1,(U$4+1)&amp;"年"&amp;Y$5)</f>
        <v>1</v>
      </c>
      <c r="Z223" s="312">
        <f>IF((U$4+1)&amp;"年"&amp;Z$5&lt;&gt;'9.项目开发计划表'!$AG$14,1,(U$4+1)&amp;"年"&amp;Z$5)</f>
        <v>1</v>
      </c>
      <c r="AA223" s="312">
        <f>IF((U$4+1)&amp;"年"&amp;AA$5&lt;&gt;'9.项目开发计划表'!$AG$14,1,(U$4+1)&amp;"年"&amp;AA$5)</f>
        <v>1</v>
      </c>
      <c r="AB223" s="313">
        <f>IF((U$4+1)&amp;"年"&amp;AB$5&lt;&gt;'9.项目开发计划表'!$AG$14,1,(U$4+1)&amp;"年"&amp;AB$5)</f>
        <v>1</v>
      </c>
      <c r="AC223" s="311">
        <f>IF((Y$4+1)&amp;"年"&amp;AC$5&lt;&gt;'9.项目开发计划表'!$AG$14,1,(Y$4+1)&amp;"年"&amp;AC$5)</f>
        <v>1</v>
      </c>
      <c r="AD223" s="312">
        <f>IF((Y$4+1)&amp;"年"&amp;AD$5&lt;&gt;'9.项目开发计划表'!$AG$14,1,(Y$4+1)&amp;"年"&amp;AD$5)</f>
        <v>1</v>
      </c>
      <c r="AE223" s="312">
        <f>IF((Y$4+1)&amp;"年"&amp;AE$5&lt;&gt;'9.项目开发计划表'!$AG$14,1,(Y$4+1)&amp;"年"&amp;AE$5)</f>
        <v>1</v>
      </c>
      <c r="AF223" s="313">
        <f>IF((Y$4+1)&amp;"年"&amp;AF$5&lt;&gt;'9.项目开发计划表'!$AG$14,1,(Y$4+1)&amp;"年"&amp;AF$5)</f>
        <v>1</v>
      </c>
      <c r="AG223" s="311">
        <f>IF((AC$4+1)&amp;"年"&amp;AG$5&lt;&gt;'9.项目开发计划表'!$AG$14,1,(AC$4+1)&amp;"年"&amp;AG$5)</f>
        <v>1</v>
      </c>
      <c r="AH223" s="312">
        <f>IF((AC$4+1)&amp;"年"&amp;AH$5&lt;&gt;'9.项目开发计划表'!$AG$14,1,(AC$4+1)&amp;"年"&amp;AH$5)</f>
        <v>1</v>
      </c>
      <c r="AI223" s="312">
        <f>IF((AC$4+1)&amp;"年"&amp;AI$5&lt;&gt;'9.项目开发计划表'!$AG$14,1,(AC$4+1)&amp;"年"&amp;AI$5)</f>
        <v>1</v>
      </c>
      <c r="AJ223" s="313">
        <f>IF((AC$4+1)&amp;"年"&amp;AJ$5&lt;&gt;'9.项目开发计划表'!$AG$14,1,(AC$4+1)&amp;"年"&amp;AJ$5)</f>
        <v>1</v>
      </c>
      <c r="AK223" s="311">
        <f>IF((AG$4+1)&amp;"年"&amp;AK$5&lt;&gt;'9.项目开发计划表'!$AG$14,1,(AG$4+1)&amp;"年"&amp;AK$5)</f>
        <v>1</v>
      </c>
      <c r="AL223" s="312">
        <f>IF((AG$4+1)&amp;"年"&amp;AL$5&lt;&gt;'9.项目开发计划表'!$AG$14,1,(AG$4+1)&amp;"年"&amp;AL$5)</f>
        <v>1</v>
      </c>
      <c r="AM223" s="312">
        <f>IF((AG$4+1)&amp;"年"&amp;AM$5&lt;&gt;'9.项目开发计划表'!$AG$14,1,(AG$4+1)&amp;"年"&amp;AM$5)</f>
        <v>1</v>
      </c>
      <c r="AN223" s="313">
        <f>IF((AG$4+1)&amp;"年"&amp;AN$5&lt;&gt;'9.项目开发计划表'!$AG$14,1,(AG$4+1)&amp;"年"&amp;AN$5)</f>
        <v>1</v>
      </c>
      <c r="AO223" s="311">
        <f>IF((AK$4+1)&amp;"年"&amp;AO$5&lt;&gt;'9.项目开发计划表'!$AG$14,1,(AK$4+1)&amp;"年"&amp;AO$5)</f>
        <v>1</v>
      </c>
      <c r="AP223" s="312">
        <f>IF((AK$4+1)&amp;"年"&amp;AP$5&lt;&gt;'9.项目开发计划表'!$AG$14,1,(AK$4+1)&amp;"年"&amp;AP$5)</f>
        <v>1</v>
      </c>
      <c r="AQ223" s="312">
        <f>IF((AK$4+1)&amp;"年"&amp;AQ$5&lt;&gt;'9.项目开发计划表'!$AG$14,1,(AK$4+1)&amp;"年"&amp;AQ$5)</f>
        <v>1</v>
      </c>
      <c r="AR223" s="313">
        <f>IF((AK$4+1)&amp;"年"&amp;AR$5&lt;&gt;'9.项目开发计划表'!$AG$14,1,(AK$4+1)&amp;"年"&amp;AR$5)</f>
        <v>1</v>
      </c>
      <c r="AS223" s="311">
        <f>IF((AO$4+1)&amp;"年"&amp;AS$5&lt;&gt;'9.项目开发计划表'!$AG$14,1,(AO$4+1)&amp;"年"&amp;AS$5)</f>
        <v>1</v>
      </c>
      <c r="AT223" s="312">
        <f>IF((AO$4+1)&amp;"年"&amp;AT$5&lt;&gt;'9.项目开发计划表'!$AG$14,1,(AO$4+1)&amp;"年"&amp;AT$5)</f>
        <v>1</v>
      </c>
      <c r="AU223" s="312">
        <f>IF((AO$4+1)&amp;"年"&amp;AU$5&lt;&gt;'9.项目开发计划表'!$AG$14,1,(AO$4+1)&amp;"年"&amp;AU$5)</f>
        <v>1</v>
      </c>
      <c r="AV223" s="313">
        <f>IF((AO$4+1)&amp;"年"&amp;AV$5&lt;&gt;'9.项目开发计划表'!$AG$14,1,(AO$4+1)&amp;"年"&amp;AV$5)</f>
        <v>1</v>
      </c>
    </row>
    <row r="224" spans="2:48" s="256" customFormat="1" ht="15.75" customHeight="1" outlineLevel="1">
      <c r="B224" s="321"/>
      <c r="C224" s="1975"/>
      <c r="D224" s="1982"/>
      <c r="E224" s="280">
        <f t="shared" ref="E224:E228" si="47">IF(E223=1,0,1)</f>
        <v>0</v>
      </c>
      <c r="F224" s="281">
        <f t="shared" ref="F224:AV224" si="48">IF(F223=1,0,1)</f>
        <v>0</v>
      </c>
      <c r="G224" s="281">
        <f t="shared" si="48"/>
        <v>0</v>
      </c>
      <c r="H224" s="282">
        <f t="shared" si="48"/>
        <v>0</v>
      </c>
      <c r="I224" s="280">
        <f t="shared" si="48"/>
        <v>0</v>
      </c>
      <c r="J224" s="281">
        <f t="shared" si="48"/>
        <v>0</v>
      </c>
      <c r="K224" s="281">
        <f t="shared" si="48"/>
        <v>0</v>
      </c>
      <c r="L224" s="282">
        <f t="shared" si="48"/>
        <v>0</v>
      </c>
      <c r="M224" s="280">
        <f t="shared" si="48"/>
        <v>0</v>
      </c>
      <c r="N224" s="281">
        <f t="shared" si="48"/>
        <v>0</v>
      </c>
      <c r="O224" s="281">
        <f t="shared" si="48"/>
        <v>0</v>
      </c>
      <c r="P224" s="282">
        <f t="shared" si="48"/>
        <v>0</v>
      </c>
      <c r="Q224" s="280">
        <f t="shared" si="48"/>
        <v>0</v>
      </c>
      <c r="R224" s="281">
        <f t="shared" si="48"/>
        <v>0</v>
      </c>
      <c r="S224" s="281">
        <f t="shared" si="48"/>
        <v>0</v>
      </c>
      <c r="T224" s="282">
        <f t="shared" si="48"/>
        <v>0</v>
      </c>
      <c r="U224" s="280">
        <f t="shared" si="48"/>
        <v>0</v>
      </c>
      <c r="V224" s="281">
        <f t="shared" si="48"/>
        <v>0</v>
      </c>
      <c r="W224" s="281">
        <f t="shared" si="48"/>
        <v>0</v>
      </c>
      <c r="X224" s="282">
        <f t="shared" si="48"/>
        <v>0</v>
      </c>
      <c r="Y224" s="280">
        <f t="shared" si="48"/>
        <v>0</v>
      </c>
      <c r="Z224" s="281">
        <f t="shared" si="48"/>
        <v>0</v>
      </c>
      <c r="AA224" s="281">
        <f t="shared" si="48"/>
        <v>0</v>
      </c>
      <c r="AB224" s="282">
        <f t="shared" si="48"/>
        <v>0</v>
      </c>
      <c r="AC224" s="280">
        <f t="shared" si="48"/>
        <v>0</v>
      </c>
      <c r="AD224" s="281">
        <f t="shared" si="48"/>
        <v>0</v>
      </c>
      <c r="AE224" s="281">
        <f t="shared" si="48"/>
        <v>0</v>
      </c>
      <c r="AF224" s="282">
        <f t="shared" si="48"/>
        <v>0</v>
      </c>
      <c r="AG224" s="280">
        <f t="shared" si="48"/>
        <v>0</v>
      </c>
      <c r="AH224" s="281">
        <f t="shared" si="48"/>
        <v>0</v>
      </c>
      <c r="AI224" s="281">
        <f t="shared" si="48"/>
        <v>0</v>
      </c>
      <c r="AJ224" s="282">
        <f t="shared" si="48"/>
        <v>0</v>
      </c>
      <c r="AK224" s="280">
        <f t="shared" si="48"/>
        <v>0</v>
      </c>
      <c r="AL224" s="281">
        <f t="shared" si="48"/>
        <v>0</v>
      </c>
      <c r="AM224" s="281">
        <f t="shared" si="48"/>
        <v>0</v>
      </c>
      <c r="AN224" s="282">
        <f t="shared" si="48"/>
        <v>0</v>
      </c>
      <c r="AO224" s="280">
        <f t="shared" si="48"/>
        <v>0</v>
      </c>
      <c r="AP224" s="281">
        <f t="shared" si="48"/>
        <v>0</v>
      </c>
      <c r="AQ224" s="281">
        <f t="shared" si="48"/>
        <v>0</v>
      </c>
      <c r="AR224" s="282">
        <f t="shared" si="48"/>
        <v>0</v>
      </c>
      <c r="AS224" s="280">
        <f t="shared" si="48"/>
        <v>0</v>
      </c>
      <c r="AT224" s="281">
        <f t="shared" si="48"/>
        <v>0</v>
      </c>
      <c r="AU224" s="281">
        <f t="shared" si="48"/>
        <v>0</v>
      </c>
      <c r="AV224" s="282">
        <f t="shared" si="48"/>
        <v>0</v>
      </c>
    </row>
    <row r="225" spans="2:48" s="256" customFormat="1" ht="15.75" customHeight="1" outlineLevel="1">
      <c r="B225" s="321"/>
      <c r="C225" s="1975"/>
      <c r="D225" s="1981" t="str">
        <f>'8.项目规划指标表'!$B$18</f>
        <v>有产权车库(个)</v>
      </c>
      <c r="E225" s="311">
        <f>IF($E$4&amp;"年"&amp;E$5&lt;&gt;'9.项目开发计划表'!$AG$15,1,$E$4&amp;"年"&amp;E$5)</f>
        <v>1</v>
      </c>
      <c r="F225" s="312">
        <f>IF($E$4&amp;"年"&amp;F$5&lt;&gt;'9.项目开发计划表'!$AG$15,1,$E$4&amp;"年"&amp;F$5)</f>
        <v>1</v>
      </c>
      <c r="G225" s="312">
        <f>IF($E$4&amp;"年"&amp;G$5&lt;&gt;'9.项目开发计划表'!$AG$15,1,$E$4&amp;"年"&amp;G$5)</f>
        <v>1</v>
      </c>
      <c r="H225" s="313">
        <f>IF($E$4&amp;"年"&amp;H$5&lt;&gt;'9.项目开发计划表'!$AG$15,1,$E$4&amp;"年"&amp;H$5)</f>
        <v>1</v>
      </c>
      <c r="I225" s="311">
        <f>IF((E$4+1)&amp;"年"&amp;I$5&lt;&gt;'9.项目开发计划表'!$AG$15,1,(E$4+1)&amp;"年"&amp;I$5)</f>
        <v>1</v>
      </c>
      <c r="J225" s="312">
        <f>IF((E$4+1)&amp;"年"&amp;J$5&lt;&gt;'9.项目开发计划表'!$AG$15,1,(E$4+1)&amp;"年"&amp;J$5)</f>
        <v>1</v>
      </c>
      <c r="K225" s="312">
        <f>IF((E$4+1)&amp;"年"&amp;K$5&lt;&gt;'9.项目开发计划表'!$AG$15,1,(E$4+1)&amp;"年"&amp;K$5)</f>
        <v>1</v>
      </c>
      <c r="L225" s="313">
        <f>IF((E$4+1)&amp;"年"&amp;L$5&lt;&gt;'9.项目开发计划表'!$AG$15,1,(E$4+1)&amp;"年"&amp;L$5)</f>
        <v>1</v>
      </c>
      <c r="M225" s="311">
        <f>IF((I$4+1)&amp;"年"&amp;M$5&lt;&gt;'9.项目开发计划表'!$AG$15,1,(I$4+1)&amp;"年"&amp;M$5)</f>
        <v>1</v>
      </c>
      <c r="N225" s="312">
        <f>IF((I$4+1)&amp;"年"&amp;N$5&lt;&gt;'9.项目开发计划表'!$AG$15,1,(I$4+1)&amp;"年"&amp;N$5)</f>
        <v>1</v>
      </c>
      <c r="O225" s="312">
        <f>IF((I$4+1)&amp;"年"&amp;O$5&lt;&gt;'9.项目开发计划表'!$AG$15,1,(I$4+1)&amp;"年"&amp;O$5)</f>
        <v>1</v>
      </c>
      <c r="P225" s="313" t="str">
        <f>IF((I$4+1)&amp;"年"&amp;P$5&lt;&gt;'9.项目开发计划表'!$AG$15,1,(I$4+1)&amp;"年"&amp;P$5)</f>
        <v>2020年4季度</v>
      </c>
      <c r="Q225" s="311">
        <f>IF((M$4+1)&amp;"年"&amp;Q$5&lt;&gt;'9.项目开发计划表'!$AG$15,1,(M$4+1)&amp;"年"&amp;Q$5)</f>
        <v>1</v>
      </c>
      <c r="R225" s="312">
        <f>IF((M$4+1)&amp;"年"&amp;R$5&lt;&gt;'9.项目开发计划表'!$AG$15,1,(M$4+1)&amp;"年"&amp;R$5)</f>
        <v>1</v>
      </c>
      <c r="S225" s="312">
        <f>IF((M$4+1)&amp;"年"&amp;S$5&lt;&gt;'9.项目开发计划表'!$AG$15,1,(M$4+1)&amp;"年"&amp;S$5)</f>
        <v>1</v>
      </c>
      <c r="T225" s="313">
        <f>IF((M$4+1)&amp;"年"&amp;T$5&lt;&gt;'9.项目开发计划表'!$AG$15,1,(M$4+1)&amp;"年"&amp;T$5)</f>
        <v>1</v>
      </c>
      <c r="U225" s="311">
        <f>IF((Q$4+1)&amp;"年"&amp;U$5&lt;&gt;'9.项目开发计划表'!$AG$15,1,(Q$4+1)&amp;"年"&amp;U$5)</f>
        <v>1</v>
      </c>
      <c r="V225" s="312">
        <f>IF((Q$4+1)&amp;"年"&amp;V$5&lt;&gt;'9.项目开发计划表'!$AG$15,1,(Q$4+1)&amp;"年"&amp;V$5)</f>
        <v>1</v>
      </c>
      <c r="W225" s="312">
        <f>IF((Q$4+1)&amp;"年"&amp;W$5&lt;&gt;'9.项目开发计划表'!$AG$15,1,(Q$4+1)&amp;"年"&amp;W$5)</f>
        <v>1</v>
      </c>
      <c r="X225" s="313">
        <f>IF((Q$4+1)&amp;"年"&amp;X$5&lt;&gt;'9.项目开发计划表'!$AG$15,1,(Q$4+1)&amp;"年"&amp;X$5)</f>
        <v>1</v>
      </c>
      <c r="Y225" s="311">
        <f>IF((U$4+1)&amp;"年"&amp;Y$5&lt;&gt;'9.项目开发计划表'!$AG$15,1,(U$4+1)&amp;"年"&amp;Y$5)</f>
        <v>1</v>
      </c>
      <c r="Z225" s="312">
        <f>IF((U$4+1)&amp;"年"&amp;Z$5&lt;&gt;'9.项目开发计划表'!$AG$15,1,(U$4+1)&amp;"年"&amp;Z$5)</f>
        <v>1</v>
      </c>
      <c r="AA225" s="312">
        <f>IF((U$4+1)&amp;"年"&amp;AA$5&lt;&gt;'9.项目开发计划表'!$AG$15,1,(U$4+1)&amp;"年"&amp;AA$5)</f>
        <v>1</v>
      </c>
      <c r="AB225" s="313">
        <f>IF((U$4+1)&amp;"年"&amp;AB$5&lt;&gt;'9.项目开发计划表'!$AG$15,1,(U$4+1)&amp;"年"&amp;AB$5)</f>
        <v>1</v>
      </c>
      <c r="AC225" s="311">
        <f>IF((Y$4+1)&amp;"年"&amp;AC$5&lt;&gt;'9.项目开发计划表'!$AG$15,1,(Y$4+1)&amp;"年"&amp;AC$5)</f>
        <v>1</v>
      </c>
      <c r="AD225" s="312">
        <f>IF((Y$4+1)&amp;"年"&amp;AD$5&lt;&gt;'9.项目开发计划表'!$AG$15,1,(Y$4+1)&amp;"年"&amp;AD$5)</f>
        <v>1</v>
      </c>
      <c r="AE225" s="312">
        <f>IF((Y$4+1)&amp;"年"&amp;AE$5&lt;&gt;'9.项目开发计划表'!$AG$15,1,(Y$4+1)&amp;"年"&amp;AE$5)</f>
        <v>1</v>
      </c>
      <c r="AF225" s="313">
        <f>IF((Y$4+1)&amp;"年"&amp;AF$5&lt;&gt;'9.项目开发计划表'!$AG$15,1,(Y$4+1)&amp;"年"&amp;AF$5)</f>
        <v>1</v>
      </c>
      <c r="AG225" s="311">
        <f>IF((AC$4+1)&amp;"年"&amp;AG$5&lt;&gt;'9.项目开发计划表'!$AG$15,1,(AC$4+1)&amp;"年"&amp;AG$5)</f>
        <v>1</v>
      </c>
      <c r="AH225" s="312">
        <f>IF((AC$4+1)&amp;"年"&amp;AH$5&lt;&gt;'9.项目开发计划表'!$AG$15,1,(AC$4+1)&amp;"年"&amp;AH$5)</f>
        <v>1</v>
      </c>
      <c r="AI225" s="312">
        <f>IF((AC$4+1)&amp;"年"&amp;AI$5&lt;&gt;'9.项目开发计划表'!$AG$15,1,(AC$4+1)&amp;"年"&amp;AI$5)</f>
        <v>1</v>
      </c>
      <c r="AJ225" s="313">
        <f>IF((AC$4+1)&amp;"年"&amp;AJ$5&lt;&gt;'9.项目开发计划表'!$AG$15,1,(AC$4+1)&amp;"年"&amp;AJ$5)</f>
        <v>1</v>
      </c>
      <c r="AK225" s="311">
        <f>IF((AG$4+1)&amp;"年"&amp;AK$5&lt;&gt;'9.项目开发计划表'!$AG$15,1,(AG$4+1)&amp;"年"&amp;AK$5)</f>
        <v>1</v>
      </c>
      <c r="AL225" s="312">
        <f>IF((AG$4+1)&amp;"年"&amp;AL$5&lt;&gt;'9.项目开发计划表'!$AG$15,1,(AG$4+1)&amp;"年"&amp;AL$5)</f>
        <v>1</v>
      </c>
      <c r="AM225" s="312">
        <f>IF((AG$4+1)&amp;"年"&amp;AM$5&lt;&gt;'9.项目开发计划表'!$AG$15,1,(AG$4+1)&amp;"年"&amp;AM$5)</f>
        <v>1</v>
      </c>
      <c r="AN225" s="313">
        <f>IF((AG$4+1)&amp;"年"&amp;AN$5&lt;&gt;'9.项目开发计划表'!$AG$15,1,(AG$4+1)&amp;"年"&amp;AN$5)</f>
        <v>1</v>
      </c>
      <c r="AO225" s="311">
        <f>IF((AK$4+1)&amp;"年"&amp;AO$5&lt;&gt;'9.项目开发计划表'!$AG$15,1,(AK$4+1)&amp;"年"&amp;AO$5)</f>
        <v>1</v>
      </c>
      <c r="AP225" s="312">
        <f>IF((AK$4+1)&amp;"年"&amp;AP$5&lt;&gt;'9.项目开发计划表'!$AG$15,1,(AK$4+1)&amp;"年"&amp;AP$5)</f>
        <v>1</v>
      </c>
      <c r="AQ225" s="312">
        <f>IF((AK$4+1)&amp;"年"&amp;AQ$5&lt;&gt;'9.项目开发计划表'!$AG$15,1,(AK$4+1)&amp;"年"&amp;AQ$5)</f>
        <v>1</v>
      </c>
      <c r="AR225" s="313">
        <f>IF((AK$4+1)&amp;"年"&amp;AR$5&lt;&gt;'9.项目开发计划表'!$AG$15,1,(AK$4+1)&amp;"年"&amp;AR$5)</f>
        <v>1</v>
      </c>
      <c r="AS225" s="311">
        <f>IF((AO$4+1)&amp;"年"&amp;AS$5&lt;&gt;'9.项目开发计划表'!$AG$15,1,(AO$4+1)&amp;"年"&amp;AS$5)</f>
        <v>1</v>
      </c>
      <c r="AT225" s="312">
        <f>IF((AO$4+1)&amp;"年"&amp;AT$5&lt;&gt;'9.项目开发计划表'!$AG$15,1,(AO$4+1)&amp;"年"&amp;AT$5)</f>
        <v>1</v>
      </c>
      <c r="AU225" s="312">
        <f>IF((AO$4+1)&amp;"年"&amp;AU$5&lt;&gt;'9.项目开发计划表'!$AG$15,1,(AO$4+1)&amp;"年"&amp;AU$5)</f>
        <v>1</v>
      </c>
      <c r="AV225" s="313">
        <f>IF((AO$4+1)&amp;"年"&amp;AV$5&lt;&gt;'9.项目开发计划表'!$AG$15,1,(AO$4+1)&amp;"年"&amp;AV$5)</f>
        <v>1</v>
      </c>
    </row>
    <row r="226" spans="2:48" s="256" customFormat="1" ht="15.75" customHeight="1" outlineLevel="1">
      <c r="B226" s="321"/>
      <c r="C226" s="1975"/>
      <c r="D226" s="1982"/>
      <c r="E226" s="280">
        <f t="shared" si="47"/>
        <v>0</v>
      </c>
      <c r="F226" s="281">
        <f t="shared" ref="F226:AV226" si="49">IF(F225=1,0,1)</f>
        <v>0</v>
      </c>
      <c r="G226" s="281">
        <f t="shared" si="49"/>
        <v>0</v>
      </c>
      <c r="H226" s="282">
        <f t="shared" si="49"/>
        <v>0</v>
      </c>
      <c r="I226" s="280">
        <f t="shared" si="49"/>
        <v>0</v>
      </c>
      <c r="J226" s="281">
        <f t="shared" si="49"/>
        <v>0</v>
      </c>
      <c r="K226" s="281">
        <f t="shared" si="49"/>
        <v>0</v>
      </c>
      <c r="L226" s="282">
        <f t="shared" si="49"/>
        <v>0</v>
      </c>
      <c r="M226" s="280">
        <f t="shared" si="49"/>
        <v>0</v>
      </c>
      <c r="N226" s="281">
        <f t="shared" si="49"/>
        <v>0</v>
      </c>
      <c r="O226" s="281">
        <f t="shared" si="49"/>
        <v>0</v>
      </c>
      <c r="P226" s="282">
        <f t="shared" si="49"/>
        <v>1</v>
      </c>
      <c r="Q226" s="280">
        <f t="shared" si="49"/>
        <v>0</v>
      </c>
      <c r="R226" s="281">
        <f t="shared" si="49"/>
        <v>0</v>
      </c>
      <c r="S226" s="281">
        <f t="shared" si="49"/>
        <v>0</v>
      </c>
      <c r="T226" s="282">
        <f t="shared" si="49"/>
        <v>0</v>
      </c>
      <c r="U226" s="280">
        <f t="shared" si="49"/>
        <v>0</v>
      </c>
      <c r="V226" s="281">
        <f t="shared" si="49"/>
        <v>0</v>
      </c>
      <c r="W226" s="281">
        <f t="shared" si="49"/>
        <v>0</v>
      </c>
      <c r="X226" s="282">
        <f t="shared" si="49"/>
        <v>0</v>
      </c>
      <c r="Y226" s="280">
        <f t="shared" si="49"/>
        <v>0</v>
      </c>
      <c r="Z226" s="281">
        <f t="shared" si="49"/>
        <v>0</v>
      </c>
      <c r="AA226" s="281">
        <f t="shared" si="49"/>
        <v>0</v>
      </c>
      <c r="AB226" s="282">
        <f t="shared" si="49"/>
        <v>0</v>
      </c>
      <c r="AC226" s="280">
        <f t="shared" si="49"/>
        <v>0</v>
      </c>
      <c r="AD226" s="281">
        <f t="shared" si="49"/>
        <v>0</v>
      </c>
      <c r="AE226" s="281">
        <f t="shared" si="49"/>
        <v>0</v>
      </c>
      <c r="AF226" s="282">
        <f t="shared" si="49"/>
        <v>0</v>
      </c>
      <c r="AG226" s="280">
        <f t="shared" si="49"/>
        <v>0</v>
      </c>
      <c r="AH226" s="281">
        <f t="shared" si="49"/>
        <v>0</v>
      </c>
      <c r="AI226" s="281">
        <f t="shared" si="49"/>
        <v>0</v>
      </c>
      <c r="AJ226" s="282">
        <f t="shared" si="49"/>
        <v>0</v>
      </c>
      <c r="AK226" s="280">
        <f t="shared" si="49"/>
        <v>0</v>
      </c>
      <c r="AL226" s="281">
        <f t="shared" si="49"/>
        <v>0</v>
      </c>
      <c r="AM226" s="281">
        <f t="shared" si="49"/>
        <v>0</v>
      </c>
      <c r="AN226" s="282">
        <f t="shared" si="49"/>
        <v>0</v>
      </c>
      <c r="AO226" s="280">
        <f t="shared" si="49"/>
        <v>0</v>
      </c>
      <c r="AP226" s="281">
        <f t="shared" si="49"/>
        <v>0</v>
      </c>
      <c r="AQ226" s="281">
        <f t="shared" si="49"/>
        <v>0</v>
      </c>
      <c r="AR226" s="282">
        <f t="shared" si="49"/>
        <v>0</v>
      </c>
      <c r="AS226" s="280">
        <f t="shared" si="49"/>
        <v>0</v>
      </c>
      <c r="AT226" s="281">
        <f t="shared" si="49"/>
        <v>0</v>
      </c>
      <c r="AU226" s="281">
        <f t="shared" si="49"/>
        <v>0</v>
      </c>
      <c r="AV226" s="282">
        <f t="shared" si="49"/>
        <v>0</v>
      </c>
    </row>
    <row r="227" spans="2:48" s="256" customFormat="1" ht="15.75" customHeight="1" outlineLevel="1">
      <c r="B227" s="321"/>
      <c r="C227" s="1975"/>
      <c r="D227" s="1981" t="str">
        <f>'8.项目规划指标表'!$B$19</f>
        <v>无产权车库(个)</v>
      </c>
      <c r="E227" s="311">
        <f>IF($E$4&amp;"年"&amp;E$5&lt;&gt;'9.项目开发计划表'!$AG$16,1,$E$4&amp;"年"&amp;E$5)</f>
        <v>1</v>
      </c>
      <c r="F227" s="312">
        <f>IF($E$4&amp;"年"&amp;F$5&lt;&gt;'9.项目开发计划表'!$AG$16,1,$E$4&amp;"年"&amp;F$5)</f>
        <v>1</v>
      </c>
      <c r="G227" s="312">
        <f>IF($E$4&amp;"年"&amp;G$5&lt;&gt;'9.项目开发计划表'!$AG$16,1,$E$4&amp;"年"&amp;G$5)</f>
        <v>1</v>
      </c>
      <c r="H227" s="313">
        <f>IF($E$4&amp;"年"&amp;H$5&lt;&gt;'9.项目开发计划表'!$AG$16,1,$E$4&amp;"年"&amp;H$5)</f>
        <v>1</v>
      </c>
      <c r="I227" s="311">
        <f>IF((E$4+1)&amp;"年"&amp;I$5&lt;&gt;'9.项目开发计划表'!$AG$16,1,(E$4+1)&amp;"年"&amp;I$5)</f>
        <v>1</v>
      </c>
      <c r="J227" s="312">
        <f>IF((E$4+1)&amp;"年"&amp;J$5&lt;&gt;'9.项目开发计划表'!$AG$16,1,(E$4+1)&amp;"年"&amp;J$5)</f>
        <v>1</v>
      </c>
      <c r="K227" s="312">
        <f>IF((E$4+1)&amp;"年"&amp;K$5&lt;&gt;'9.项目开发计划表'!$AG$16,1,(E$4+1)&amp;"年"&amp;K$5)</f>
        <v>1</v>
      </c>
      <c r="L227" s="313">
        <f>IF((E$4+1)&amp;"年"&amp;L$5&lt;&gt;'9.项目开发计划表'!$AG$16,1,(E$4+1)&amp;"年"&amp;L$5)</f>
        <v>1</v>
      </c>
      <c r="M227" s="311">
        <f>IF((I$4+1)&amp;"年"&amp;M$5&lt;&gt;'9.项目开发计划表'!$AG$16,1,(I$4+1)&amp;"年"&amp;M$5)</f>
        <v>1</v>
      </c>
      <c r="N227" s="312">
        <f>IF((I$4+1)&amp;"年"&amp;N$5&lt;&gt;'9.项目开发计划表'!$AG$16,1,(I$4+1)&amp;"年"&amp;N$5)</f>
        <v>1</v>
      </c>
      <c r="O227" s="312">
        <f>IF((I$4+1)&amp;"年"&amp;O$5&lt;&gt;'9.项目开发计划表'!$AG$16,1,(I$4+1)&amp;"年"&amp;O$5)</f>
        <v>1</v>
      </c>
      <c r="P227" s="313" t="str">
        <f>IF((I$4+1)&amp;"年"&amp;P$5&lt;&gt;'9.项目开发计划表'!$AG$16,1,(I$4+1)&amp;"年"&amp;P$5)</f>
        <v>2020年4季度</v>
      </c>
      <c r="Q227" s="311">
        <f>IF((M$4+1)&amp;"年"&amp;Q$5&lt;&gt;'9.项目开发计划表'!$AG$16,1,(M$4+1)&amp;"年"&amp;Q$5)</f>
        <v>1</v>
      </c>
      <c r="R227" s="312">
        <f>IF((M$4+1)&amp;"年"&amp;R$5&lt;&gt;'9.项目开发计划表'!$AG$16,1,(M$4+1)&amp;"年"&amp;R$5)</f>
        <v>1</v>
      </c>
      <c r="S227" s="312">
        <f>IF((M$4+1)&amp;"年"&amp;S$5&lt;&gt;'9.项目开发计划表'!$AG$16,1,(M$4+1)&amp;"年"&amp;S$5)</f>
        <v>1</v>
      </c>
      <c r="T227" s="313">
        <f>IF((M$4+1)&amp;"年"&amp;T$5&lt;&gt;'9.项目开发计划表'!$AG$16,1,(M$4+1)&amp;"年"&amp;T$5)</f>
        <v>1</v>
      </c>
      <c r="U227" s="311">
        <f>IF((Q$4+1)&amp;"年"&amp;U$5&lt;&gt;'9.项目开发计划表'!$AG$16,1,(Q$4+1)&amp;"年"&amp;U$5)</f>
        <v>1</v>
      </c>
      <c r="V227" s="312">
        <f>IF((Q$4+1)&amp;"年"&amp;V$5&lt;&gt;'9.项目开发计划表'!$AG$16,1,(Q$4+1)&amp;"年"&amp;V$5)</f>
        <v>1</v>
      </c>
      <c r="W227" s="312">
        <f>IF((Q$4+1)&amp;"年"&amp;W$5&lt;&gt;'9.项目开发计划表'!$AG$16,1,(Q$4+1)&amp;"年"&amp;W$5)</f>
        <v>1</v>
      </c>
      <c r="X227" s="313">
        <f>IF((Q$4+1)&amp;"年"&amp;X$5&lt;&gt;'9.项目开发计划表'!$AG$16,1,(Q$4+1)&amp;"年"&amp;X$5)</f>
        <v>1</v>
      </c>
      <c r="Y227" s="311">
        <f>IF((U$4+1)&amp;"年"&amp;Y$5&lt;&gt;'9.项目开发计划表'!$AG$16,1,(U$4+1)&amp;"年"&amp;Y$5)</f>
        <v>1</v>
      </c>
      <c r="Z227" s="312">
        <f>IF((U$4+1)&amp;"年"&amp;Z$5&lt;&gt;'9.项目开发计划表'!$AG$16,1,(U$4+1)&amp;"年"&amp;Z$5)</f>
        <v>1</v>
      </c>
      <c r="AA227" s="312">
        <f>IF((U$4+1)&amp;"年"&amp;AA$5&lt;&gt;'9.项目开发计划表'!$AG$16,1,(U$4+1)&amp;"年"&amp;AA$5)</f>
        <v>1</v>
      </c>
      <c r="AB227" s="313">
        <f>IF((U$4+1)&amp;"年"&amp;AB$5&lt;&gt;'9.项目开发计划表'!$AG$16,1,(U$4+1)&amp;"年"&amp;AB$5)</f>
        <v>1</v>
      </c>
      <c r="AC227" s="311">
        <f>IF((Y$4+1)&amp;"年"&amp;AC$5&lt;&gt;'9.项目开发计划表'!$AG$16,1,(Y$4+1)&amp;"年"&amp;AC$5)</f>
        <v>1</v>
      </c>
      <c r="AD227" s="312">
        <f>IF((Y$4+1)&amp;"年"&amp;AD$5&lt;&gt;'9.项目开发计划表'!$AG$16,1,(Y$4+1)&amp;"年"&amp;AD$5)</f>
        <v>1</v>
      </c>
      <c r="AE227" s="312">
        <f>IF((Y$4+1)&amp;"年"&amp;AE$5&lt;&gt;'9.项目开发计划表'!$AG$16,1,(Y$4+1)&amp;"年"&amp;AE$5)</f>
        <v>1</v>
      </c>
      <c r="AF227" s="313">
        <f>IF((Y$4+1)&amp;"年"&amp;AF$5&lt;&gt;'9.项目开发计划表'!$AG$16,1,(Y$4+1)&amp;"年"&amp;AF$5)</f>
        <v>1</v>
      </c>
      <c r="AG227" s="311">
        <f>IF((AC$4+1)&amp;"年"&amp;AG$5&lt;&gt;'9.项目开发计划表'!$AG$16,1,(AC$4+1)&amp;"年"&amp;AG$5)</f>
        <v>1</v>
      </c>
      <c r="AH227" s="312">
        <f>IF((AC$4+1)&amp;"年"&amp;AH$5&lt;&gt;'9.项目开发计划表'!$AG$16,1,(AC$4+1)&amp;"年"&amp;AH$5)</f>
        <v>1</v>
      </c>
      <c r="AI227" s="312">
        <f>IF((AC$4+1)&amp;"年"&amp;AI$5&lt;&gt;'9.项目开发计划表'!$AG$16,1,(AC$4+1)&amp;"年"&amp;AI$5)</f>
        <v>1</v>
      </c>
      <c r="AJ227" s="313">
        <f>IF((AC$4+1)&amp;"年"&amp;AJ$5&lt;&gt;'9.项目开发计划表'!$AG$16,1,(AC$4+1)&amp;"年"&amp;AJ$5)</f>
        <v>1</v>
      </c>
      <c r="AK227" s="311">
        <f>IF((AG$4+1)&amp;"年"&amp;AK$5&lt;&gt;'9.项目开发计划表'!$AG$16,1,(AG$4+1)&amp;"年"&amp;AK$5)</f>
        <v>1</v>
      </c>
      <c r="AL227" s="312">
        <f>IF((AG$4+1)&amp;"年"&amp;AL$5&lt;&gt;'9.项目开发计划表'!$AG$16,1,(AG$4+1)&amp;"年"&amp;AL$5)</f>
        <v>1</v>
      </c>
      <c r="AM227" s="312">
        <f>IF((AG$4+1)&amp;"年"&amp;AM$5&lt;&gt;'9.项目开发计划表'!$AG$16,1,(AG$4+1)&amp;"年"&amp;AM$5)</f>
        <v>1</v>
      </c>
      <c r="AN227" s="313">
        <f>IF((AG$4+1)&amp;"年"&amp;AN$5&lt;&gt;'9.项目开发计划表'!$AG$16,1,(AG$4+1)&amp;"年"&amp;AN$5)</f>
        <v>1</v>
      </c>
      <c r="AO227" s="311">
        <f>IF((AK$4+1)&amp;"年"&amp;AO$5&lt;&gt;'9.项目开发计划表'!$AG$16,1,(AK$4+1)&amp;"年"&amp;AO$5)</f>
        <v>1</v>
      </c>
      <c r="AP227" s="312">
        <f>IF((AK$4+1)&amp;"年"&amp;AP$5&lt;&gt;'9.项目开发计划表'!$AG$16,1,(AK$4+1)&amp;"年"&amp;AP$5)</f>
        <v>1</v>
      </c>
      <c r="AQ227" s="312">
        <f>IF((AK$4+1)&amp;"年"&amp;AQ$5&lt;&gt;'9.项目开发计划表'!$AG$16,1,(AK$4+1)&amp;"年"&amp;AQ$5)</f>
        <v>1</v>
      </c>
      <c r="AR227" s="313">
        <f>IF((AK$4+1)&amp;"年"&amp;AR$5&lt;&gt;'9.项目开发计划表'!$AG$16,1,(AK$4+1)&amp;"年"&amp;AR$5)</f>
        <v>1</v>
      </c>
      <c r="AS227" s="311">
        <f>IF((AO$4+1)&amp;"年"&amp;AS$5&lt;&gt;'9.项目开发计划表'!$AG$16,1,(AO$4+1)&amp;"年"&amp;AS$5)</f>
        <v>1</v>
      </c>
      <c r="AT227" s="312">
        <f>IF((AO$4+1)&amp;"年"&amp;AT$5&lt;&gt;'9.项目开发计划表'!$AG$16,1,(AO$4+1)&amp;"年"&amp;AT$5)</f>
        <v>1</v>
      </c>
      <c r="AU227" s="312">
        <f>IF((AO$4+1)&amp;"年"&amp;AU$5&lt;&gt;'9.项目开发计划表'!$AG$16,1,(AO$4+1)&amp;"年"&amp;AU$5)</f>
        <v>1</v>
      </c>
      <c r="AV227" s="313">
        <f>IF((AO$4+1)&amp;"年"&amp;AV$5&lt;&gt;'9.项目开发计划表'!$AG$16,1,(AO$4+1)&amp;"年"&amp;AV$5)</f>
        <v>1</v>
      </c>
    </row>
    <row r="228" spans="2:48" s="256" customFormat="1" ht="15.75" customHeight="1" outlineLevel="1">
      <c r="B228" s="321"/>
      <c r="C228" s="1976"/>
      <c r="D228" s="1982"/>
      <c r="E228" s="280">
        <f t="shared" si="47"/>
        <v>0</v>
      </c>
      <c r="F228" s="281">
        <f t="shared" ref="F228:AV228" si="50">IF(F227=1,0,1)</f>
        <v>0</v>
      </c>
      <c r="G228" s="281">
        <f t="shared" si="50"/>
        <v>0</v>
      </c>
      <c r="H228" s="282">
        <f t="shared" si="50"/>
        <v>0</v>
      </c>
      <c r="I228" s="280">
        <f t="shared" si="50"/>
        <v>0</v>
      </c>
      <c r="J228" s="281">
        <f t="shared" si="50"/>
        <v>0</v>
      </c>
      <c r="K228" s="281">
        <f t="shared" si="50"/>
        <v>0</v>
      </c>
      <c r="L228" s="282">
        <f t="shared" si="50"/>
        <v>0</v>
      </c>
      <c r="M228" s="280">
        <f t="shared" si="50"/>
        <v>0</v>
      </c>
      <c r="N228" s="281">
        <f t="shared" si="50"/>
        <v>0</v>
      </c>
      <c r="O228" s="281">
        <f t="shared" si="50"/>
        <v>0</v>
      </c>
      <c r="P228" s="282">
        <f t="shared" si="50"/>
        <v>1</v>
      </c>
      <c r="Q228" s="280">
        <f t="shared" si="50"/>
        <v>0</v>
      </c>
      <c r="R228" s="281">
        <f t="shared" si="50"/>
        <v>0</v>
      </c>
      <c r="S228" s="281">
        <f t="shared" si="50"/>
        <v>0</v>
      </c>
      <c r="T228" s="282">
        <f t="shared" si="50"/>
        <v>0</v>
      </c>
      <c r="U228" s="280">
        <f t="shared" si="50"/>
        <v>0</v>
      </c>
      <c r="V228" s="281">
        <f t="shared" si="50"/>
        <v>0</v>
      </c>
      <c r="W228" s="281">
        <f t="shared" si="50"/>
        <v>0</v>
      </c>
      <c r="X228" s="282">
        <f t="shared" si="50"/>
        <v>0</v>
      </c>
      <c r="Y228" s="280">
        <f t="shared" si="50"/>
        <v>0</v>
      </c>
      <c r="Z228" s="281">
        <f t="shared" si="50"/>
        <v>0</v>
      </c>
      <c r="AA228" s="281">
        <f t="shared" si="50"/>
        <v>0</v>
      </c>
      <c r="AB228" s="282">
        <f t="shared" si="50"/>
        <v>0</v>
      </c>
      <c r="AC228" s="280">
        <f t="shared" si="50"/>
        <v>0</v>
      </c>
      <c r="AD228" s="281">
        <f t="shared" si="50"/>
        <v>0</v>
      </c>
      <c r="AE228" s="281">
        <f t="shared" si="50"/>
        <v>0</v>
      </c>
      <c r="AF228" s="282">
        <f t="shared" si="50"/>
        <v>0</v>
      </c>
      <c r="AG228" s="280">
        <f t="shared" si="50"/>
        <v>0</v>
      </c>
      <c r="AH228" s="281">
        <f t="shared" si="50"/>
        <v>0</v>
      </c>
      <c r="AI228" s="281">
        <f t="shared" si="50"/>
        <v>0</v>
      </c>
      <c r="AJ228" s="282">
        <f t="shared" si="50"/>
        <v>0</v>
      </c>
      <c r="AK228" s="280">
        <f t="shared" si="50"/>
        <v>0</v>
      </c>
      <c r="AL228" s="281">
        <f t="shared" si="50"/>
        <v>0</v>
      </c>
      <c r="AM228" s="281">
        <f t="shared" si="50"/>
        <v>0</v>
      </c>
      <c r="AN228" s="282">
        <f t="shared" si="50"/>
        <v>0</v>
      </c>
      <c r="AO228" s="280">
        <f t="shared" si="50"/>
        <v>0</v>
      </c>
      <c r="AP228" s="281">
        <f t="shared" si="50"/>
        <v>0</v>
      </c>
      <c r="AQ228" s="281">
        <f t="shared" si="50"/>
        <v>0</v>
      </c>
      <c r="AR228" s="282">
        <f t="shared" si="50"/>
        <v>0</v>
      </c>
      <c r="AS228" s="280">
        <f t="shared" si="50"/>
        <v>0</v>
      </c>
      <c r="AT228" s="281">
        <f t="shared" si="50"/>
        <v>0</v>
      </c>
      <c r="AU228" s="281">
        <f t="shared" si="50"/>
        <v>0</v>
      </c>
      <c r="AV228" s="282">
        <f t="shared" si="50"/>
        <v>0</v>
      </c>
    </row>
    <row r="229" spans="2:48" s="256" customFormat="1" ht="15.75" customHeight="1" outlineLevel="1">
      <c r="B229" s="321"/>
      <c r="C229" s="1980" t="s">
        <v>20</v>
      </c>
      <c r="D229" s="1981" t="str">
        <f>'8.项目规划指标表'!$B$5</f>
        <v>高层</v>
      </c>
      <c r="E229" s="311">
        <f>IF($E$4&amp;"年"&amp;E$5&lt;&gt;'9.项目开发计划表'!$AG$18,1,$E$4&amp;"年"&amp;E$5)</f>
        <v>1</v>
      </c>
      <c r="F229" s="312">
        <f>IF($E$4&amp;"年"&amp;F$5&lt;&gt;'9.项目开发计划表'!$AG$18,1,$E$4&amp;"年"&amp;F$5)</f>
        <v>1</v>
      </c>
      <c r="G229" s="312">
        <f>IF($E$4&amp;"年"&amp;G$5&lt;&gt;'9.项目开发计划表'!$AG$18,1,$E$4&amp;"年"&amp;G$5)</f>
        <v>1</v>
      </c>
      <c r="H229" s="313">
        <f>IF($E$4&amp;"年"&amp;H$5&lt;&gt;'9.项目开发计划表'!$AG$18,1,$E$4&amp;"年"&amp;H$5)</f>
        <v>1</v>
      </c>
      <c r="I229" s="322">
        <f>IF((E$4+1)&amp;"年"&amp;I$5&lt;&gt;'9.项目开发计划表'!$AG$18,1,(E$4+1)&amp;"年"&amp;I$5)</f>
        <v>1</v>
      </c>
      <c r="J229" s="312">
        <f>IF((E$4+1)&amp;"年"&amp;J$5&lt;&gt;'9.项目开发计划表'!$AG$18,1,(E$4+1)&amp;"年"&amp;J$5)</f>
        <v>1</v>
      </c>
      <c r="K229" s="312">
        <f>IF((E$4+1)&amp;"年"&amp;K$5&lt;&gt;'9.项目开发计划表'!$AG$18,1,(E$4+1)&amp;"年"&amp;K$5)</f>
        <v>1</v>
      </c>
      <c r="L229" s="313">
        <f>IF((E$4+1)&amp;"年"&amp;L$5&lt;&gt;'9.项目开发计划表'!$AG$18,1,(E$4+1)&amp;"年"&amp;L$5)</f>
        <v>1</v>
      </c>
      <c r="M229" s="322">
        <f>IF((I$4+1)&amp;"年"&amp;M$5&lt;&gt;'9.项目开发计划表'!$AG$18,1,(I$4+1)&amp;"年"&amp;M$5)</f>
        <v>1</v>
      </c>
      <c r="N229" s="312">
        <f>IF((I$4+1)&amp;"年"&amp;N$5&lt;&gt;'9.项目开发计划表'!$AG$18,1,(I$4+1)&amp;"年"&amp;N$5)</f>
        <v>1</v>
      </c>
      <c r="O229" s="312">
        <f>IF((I$4+1)&amp;"年"&amp;O$5&lt;&gt;'9.项目开发计划表'!$AG$18,1,(I$4+1)&amp;"年"&amp;O$5)</f>
        <v>1</v>
      </c>
      <c r="P229" s="313">
        <f>IF((I$4+1)&amp;"年"&amp;P$5&lt;&gt;'9.项目开发计划表'!$AG$18,1,(I$4+1)&amp;"年"&amp;P$5)</f>
        <v>1</v>
      </c>
      <c r="Q229" s="322">
        <f>IF((M$4+1)&amp;"年"&amp;Q$5&lt;&gt;'9.项目开发计划表'!$AG$18,1,(M$4+1)&amp;"年"&amp;Q$5)</f>
        <v>1</v>
      </c>
      <c r="R229" s="312">
        <f>IF((M$4+1)&amp;"年"&amp;R$5&lt;&gt;'9.项目开发计划表'!$AG$18,1,(M$4+1)&amp;"年"&amp;R$5)</f>
        <v>1</v>
      </c>
      <c r="S229" s="312">
        <f>IF((M$4+1)&amp;"年"&amp;S$5&lt;&gt;'9.项目开发计划表'!$AG$18,1,(M$4+1)&amp;"年"&amp;S$5)</f>
        <v>1</v>
      </c>
      <c r="T229" s="313">
        <f>IF((M$4+1)&amp;"年"&amp;T$5&lt;&gt;'9.项目开发计划表'!$AG$18,1,(M$4+1)&amp;"年"&amp;T$5)</f>
        <v>1</v>
      </c>
      <c r="U229" s="322">
        <f>IF((Q$4+1)&amp;"年"&amp;U$5&lt;&gt;'9.项目开发计划表'!$AG$18,1,(Q$4+1)&amp;"年"&amp;U$5)</f>
        <v>1</v>
      </c>
      <c r="V229" s="312">
        <f>IF((Q$4+1)&amp;"年"&amp;V$5&lt;&gt;'9.项目开发计划表'!$AG$18,1,(Q$4+1)&amp;"年"&amp;V$5)</f>
        <v>1</v>
      </c>
      <c r="W229" s="312">
        <f>IF((Q$4+1)&amp;"年"&amp;W$5&lt;&gt;'9.项目开发计划表'!$AG$18,1,(Q$4+1)&amp;"年"&amp;W$5)</f>
        <v>1</v>
      </c>
      <c r="X229" s="313">
        <f>IF((Q$4+1)&amp;"年"&amp;X$5&lt;&gt;'9.项目开发计划表'!$AG$18,1,(Q$4+1)&amp;"年"&amp;X$5)</f>
        <v>1</v>
      </c>
      <c r="Y229" s="322">
        <f>IF((U$4+1)&amp;"年"&amp;Y$5&lt;&gt;'9.项目开发计划表'!$AG$18,1,(U$4+1)&amp;"年"&amp;Y$5)</f>
        <v>1</v>
      </c>
      <c r="Z229" s="312">
        <f>IF((U$4+1)&amp;"年"&amp;Z$5&lt;&gt;'9.项目开发计划表'!$AG$18,1,(U$4+1)&amp;"年"&amp;Z$5)</f>
        <v>1</v>
      </c>
      <c r="AA229" s="312">
        <f>IF((U$4+1)&amp;"年"&amp;AA$5&lt;&gt;'9.项目开发计划表'!$AG$18,1,(U$4+1)&amp;"年"&amp;AA$5)</f>
        <v>1</v>
      </c>
      <c r="AB229" s="313">
        <f>IF((U$4+1)&amp;"年"&amp;AB$5&lt;&gt;'9.项目开发计划表'!$AG$18,1,(U$4+1)&amp;"年"&amp;AB$5)</f>
        <v>1</v>
      </c>
      <c r="AC229" s="322">
        <f>IF((Y$4+1)&amp;"年"&amp;AC$5&lt;&gt;'9.项目开发计划表'!$AG$18,1,(Y$4+1)&amp;"年"&amp;AC$5)</f>
        <v>1</v>
      </c>
      <c r="AD229" s="312">
        <f>IF((Y$4+1)&amp;"年"&amp;AD$5&lt;&gt;'9.项目开发计划表'!$AG$18,1,(Y$4+1)&amp;"年"&amp;AD$5)</f>
        <v>1</v>
      </c>
      <c r="AE229" s="312">
        <f>IF((Y$4+1)&amp;"年"&amp;AE$5&lt;&gt;'9.项目开发计划表'!$AG$18,1,(Y$4+1)&amp;"年"&amp;AE$5)</f>
        <v>1</v>
      </c>
      <c r="AF229" s="313">
        <f>IF((Y$4+1)&amp;"年"&amp;AF$5&lt;&gt;'9.项目开发计划表'!$AG$18,1,(Y$4+1)&amp;"年"&amp;AF$5)</f>
        <v>1</v>
      </c>
      <c r="AG229" s="322">
        <f>IF((AC$4+1)&amp;"年"&amp;AG$5&lt;&gt;'9.项目开发计划表'!$AG$18,1,(AC$4+1)&amp;"年"&amp;AG$5)</f>
        <v>1</v>
      </c>
      <c r="AH229" s="312">
        <f>IF((AC$4+1)&amp;"年"&amp;AH$5&lt;&gt;'9.项目开发计划表'!$AG$18,1,(AC$4+1)&amp;"年"&amp;AH$5)</f>
        <v>1</v>
      </c>
      <c r="AI229" s="312">
        <f>IF((AC$4+1)&amp;"年"&amp;AI$5&lt;&gt;'9.项目开发计划表'!$AG$18,1,(AC$4+1)&amp;"年"&amp;AI$5)</f>
        <v>1</v>
      </c>
      <c r="AJ229" s="313">
        <f>IF((AC$4+1)&amp;"年"&amp;AJ$5&lt;&gt;'9.项目开发计划表'!$AG$18,1,(AC$4+1)&amp;"年"&amp;AJ$5)</f>
        <v>1</v>
      </c>
      <c r="AK229" s="322">
        <f>IF((AG$4+1)&amp;"年"&amp;AK$5&lt;&gt;'9.项目开发计划表'!$AG$18,1,(AG$4+1)&amp;"年"&amp;AK$5)</f>
        <v>1</v>
      </c>
      <c r="AL229" s="312">
        <f>IF((AG$4+1)&amp;"年"&amp;AL$5&lt;&gt;'9.项目开发计划表'!$AG$18,1,(AG$4+1)&amp;"年"&amp;AL$5)</f>
        <v>1</v>
      </c>
      <c r="AM229" s="312">
        <f>IF((AG$4+1)&amp;"年"&amp;AM$5&lt;&gt;'9.项目开发计划表'!$AG$18,1,(AG$4+1)&amp;"年"&amp;AM$5)</f>
        <v>1</v>
      </c>
      <c r="AN229" s="313">
        <f>IF((AG$4+1)&amp;"年"&amp;AN$5&lt;&gt;'9.项目开发计划表'!$AG$18,1,(AG$4+1)&amp;"年"&amp;AN$5)</f>
        <v>1</v>
      </c>
      <c r="AO229" s="322">
        <f>IF((AK$4+1)&amp;"年"&amp;AO$5&lt;&gt;'9.项目开发计划表'!$AG$18,1,(AK$4+1)&amp;"年"&amp;AO$5)</f>
        <v>1</v>
      </c>
      <c r="AP229" s="312">
        <f>IF((AK$4+1)&amp;"年"&amp;AP$5&lt;&gt;'9.项目开发计划表'!$AG$18,1,(AK$4+1)&amp;"年"&amp;AP$5)</f>
        <v>1</v>
      </c>
      <c r="AQ229" s="312">
        <f>IF((AK$4+1)&amp;"年"&amp;AQ$5&lt;&gt;'9.项目开发计划表'!$AG$18,1,(AK$4+1)&amp;"年"&amp;AQ$5)</f>
        <v>1</v>
      </c>
      <c r="AR229" s="313">
        <f>IF((AK$4+1)&amp;"年"&amp;AR$5&lt;&gt;'9.项目开发计划表'!$AG$18,1,(AK$4+1)&amp;"年"&amp;AR$5)</f>
        <v>1</v>
      </c>
      <c r="AS229" s="322">
        <f>IF((AO$4+1)&amp;"年"&amp;AS$5&lt;&gt;'9.项目开发计划表'!$AG$18,1,(AO$4+1)&amp;"年"&amp;AS$5)</f>
        <v>1</v>
      </c>
      <c r="AT229" s="312">
        <f>IF((AO$4+1)&amp;"年"&amp;AT$5&lt;&gt;'9.项目开发计划表'!$AG$18,1,(AO$4+1)&amp;"年"&amp;AT$5)</f>
        <v>1</v>
      </c>
      <c r="AU229" s="312">
        <f>IF((AO$4+1)&amp;"年"&amp;AU$5&lt;&gt;'9.项目开发计划表'!$AG$18,1,(AO$4+1)&amp;"年"&amp;AU$5)</f>
        <v>1</v>
      </c>
      <c r="AV229" s="313">
        <f>IF((AO$4+1)&amp;"年"&amp;AV$5&lt;&gt;'9.项目开发计划表'!$AG$18,1,(AO$4+1)&amp;"年"&amp;AV$5)</f>
        <v>1</v>
      </c>
    </row>
    <row r="230" spans="2:48" s="256" customFormat="1" ht="15.75" customHeight="1" outlineLevel="1">
      <c r="B230" s="321"/>
      <c r="C230" s="1980"/>
      <c r="D230" s="1982"/>
      <c r="E230" s="280">
        <f t="shared" ref="E230:AV230" si="51">IF(E229=1,0,1)</f>
        <v>0</v>
      </c>
      <c r="F230" s="281">
        <f t="shared" si="51"/>
        <v>0</v>
      </c>
      <c r="G230" s="281">
        <f t="shared" si="51"/>
        <v>0</v>
      </c>
      <c r="H230" s="282">
        <f t="shared" si="51"/>
        <v>0</v>
      </c>
      <c r="I230" s="323">
        <f t="shared" si="51"/>
        <v>0</v>
      </c>
      <c r="J230" s="281">
        <f t="shared" si="51"/>
        <v>0</v>
      </c>
      <c r="K230" s="281">
        <f t="shared" si="51"/>
        <v>0</v>
      </c>
      <c r="L230" s="282">
        <f t="shared" si="51"/>
        <v>0</v>
      </c>
      <c r="M230" s="323">
        <f t="shared" si="51"/>
        <v>0</v>
      </c>
      <c r="N230" s="281">
        <f t="shared" si="51"/>
        <v>0</v>
      </c>
      <c r="O230" s="281">
        <f t="shared" si="51"/>
        <v>0</v>
      </c>
      <c r="P230" s="282">
        <f t="shared" si="51"/>
        <v>0</v>
      </c>
      <c r="Q230" s="323">
        <f t="shared" si="51"/>
        <v>0</v>
      </c>
      <c r="R230" s="281">
        <f t="shared" si="51"/>
        <v>0</v>
      </c>
      <c r="S230" s="281">
        <f t="shared" si="51"/>
        <v>0</v>
      </c>
      <c r="T230" s="282">
        <f t="shared" si="51"/>
        <v>0</v>
      </c>
      <c r="U230" s="323">
        <f t="shared" si="51"/>
        <v>0</v>
      </c>
      <c r="V230" s="281">
        <f t="shared" si="51"/>
        <v>0</v>
      </c>
      <c r="W230" s="281">
        <f t="shared" si="51"/>
        <v>0</v>
      </c>
      <c r="X230" s="282">
        <f t="shared" si="51"/>
        <v>0</v>
      </c>
      <c r="Y230" s="323">
        <f t="shared" si="51"/>
        <v>0</v>
      </c>
      <c r="Z230" s="281">
        <f t="shared" si="51"/>
        <v>0</v>
      </c>
      <c r="AA230" s="281">
        <f t="shared" si="51"/>
        <v>0</v>
      </c>
      <c r="AB230" s="282">
        <f t="shared" si="51"/>
        <v>0</v>
      </c>
      <c r="AC230" s="323">
        <f t="shared" si="51"/>
        <v>0</v>
      </c>
      <c r="AD230" s="281">
        <f t="shared" si="51"/>
        <v>0</v>
      </c>
      <c r="AE230" s="281">
        <f t="shared" si="51"/>
        <v>0</v>
      </c>
      <c r="AF230" s="282">
        <f t="shared" si="51"/>
        <v>0</v>
      </c>
      <c r="AG230" s="323">
        <f t="shared" si="51"/>
        <v>0</v>
      </c>
      <c r="AH230" s="281">
        <f t="shared" si="51"/>
        <v>0</v>
      </c>
      <c r="AI230" s="281">
        <f t="shared" si="51"/>
        <v>0</v>
      </c>
      <c r="AJ230" s="282">
        <f t="shared" si="51"/>
        <v>0</v>
      </c>
      <c r="AK230" s="323">
        <f t="shared" si="51"/>
        <v>0</v>
      </c>
      <c r="AL230" s="281">
        <f t="shared" si="51"/>
        <v>0</v>
      </c>
      <c r="AM230" s="281">
        <f t="shared" si="51"/>
        <v>0</v>
      </c>
      <c r="AN230" s="282">
        <f t="shared" si="51"/>
        <v>0</v>
      </c>
      <c r="AO230" s="323">
        <f t="shared" si="51"/>
        <v>0</v>
      </c>
      <c r="AP230" s="281">
        <f t="shared" si="51"/>
        <v>0</v>
      </c>
      <c r="AQ230" s="281">
        <f t="shared" si="51"/>
        <v>0</v>
      </c>
      <c r="AR230" s="282">
        <f t="shared" si="51"/>
        <v>0</v>
      </c>
      <c r="AS230" s="323">
        <f t="shared" si="51"/>
        <v>0</v>
      </c>
      <c r="AT230" s="281">
        <f t="shared" si="51"/>
        <v>0</v>
      </c>
      <c r="AU230" s="281">
        <f t="shared" si="51"/>
        <v>0</v>
      </c>
      <c r="AV230" s="282">
        <f t="shared" si="51"/>
        <v>0</v>
      </c>
    </row>
    <row r="231" spans="2:48" s="256" customFormat="1" ht="15.75" customHeight="1" outlineLevel="1">
      <c r="B231" s="321"/>
      <c r="C231" s="1980"/>
      <c r="D231" s="1981" t="str">
        <f>'8.项目规划指标表'!$B$6</f>
        <v>商铺</v>
      </c>
      <c r="E231" s="311">
        <f>IF($E$4&amp;"年"&amp;E$5&lt;&gt;'9.项目开发计划表'!$AG$19,1,$E$4&amp;"年"&amp;E$5)</f>
        <v>1</v>
      </c>
      <c r="F231" s="312">
        <f>IF($E$4&amp;"年"&amp;F$5&lt;&gt;'9.项目开发计划表'!$AG$19,1,$E$4&amp;"年"&amp;F$5)</f>
        <v>1</v>
      </c>
      <c r="G231" s="312">
        <f>IF($E$4&amp;"年"&amp;G$5&lt;&gt;'9.项目开发计划表'!$AG$19,1,$E$4&amp;"年"&amp;G$5)</f>
        <v>1</v>
      </c>
      <c r="H231" s="313">
        <f>IF($E$4&amp;"年"&amp;H$5&lt;&gt;'9.项目开发计划表'!$AG$19,1,$E$4&amp;"年"&amp;H$5)</f>
        <v>1</v>
      </c>
      <c r="I231" s="322">
        <f>IF((E$4+1)&amp;"年"&amp;I$5&lt;&gt;'9.项目开发计划表'!$AG$19,1,(E$4+1)&amp;"年"&amp;I$5)</f>
        <v>1</v>
      </c>
      <c r="J231" s="312">
        <f>IF((E$4+1)&amp;"年"&amp;J$5&lt;&gt;'9.项目开发计划表'!$AG$19,1,(E$4+1)&amp;"年"&amp;J$5)</f>
        <v>1</v>
      </c>
      <c r="K231" s="312">
        <f>IF((E$4+1)&amp;"年"&amp;K$5&lt;&gt;'9.项目开发计划表'!$AG$19,1,(E$4+1)&amp;"年"&amp;K$5)</f>
        <v>1</v>
      </c>
      <c r="L231" s="313">
        <f>IF((E$4+1)&amp;"年"&amp;L$5&lt;&gt;'9.项目开发计划表'!$AG$19,1,(E$4+1)&amp;"年"&amp;L$5)</f>
        <v>1</v>
      </c>
      <c r="M231" s="322">
        <f>IF((I$4+1)&amp;"年"&amp;M$5&lt;&gt;'9.项目开发计划表'!$AG$19,1,(I$4+1)&amp;"年"&amp;M$5)</f>
        <v>1</v>
      </c>
      <c r="N231" s="312">
        <f>IF((I$4+1)&amp;"年"&amp;N$5&lt;&gt;'9.项目开发计划表'!$AG$19,1,(I$4+1)&amp;"年"&amp;N$5)</f>
        <v>1</v>
      </c>
      <c r="O231" s="312">
        <f>IF((I$4+1)&amp;"年"&amp;O$5&lt;&gt;'9.项目开发计划表'!$AG$19,1,(I$4+1)&amp;"年"&amp;O$5)</f>
        <v>1</v>
      </c>
      <c r="P231" s="313">
        <f>IF((I$4+1)&amp;"年"&amp;P$5&lt;&gt;'9.项目开发计划表'!$AG$19,1,(I$4+1)&amp;"年"&amp;P$5)</f>
        <v>1</v>
      </c>
      <c r="Q231" s="322">
        <f>IF((M$4+1)&amp;"年"&amp;Q$5&lt;&gt;'9.项目开发计划表'!$AG$19,1,(M$4+1)&amp;"年"&amp;Q$5)</f>
        <v>1</v>
      </c>
      <c r="R231" s="312">
        <f>IF((M$4+1)&amp;"年"&amp;R$5&lt;&gt;'9.项目开发计划表'!$AG$19,1,(M$4+1)&amp;"年"&amp;R$5)</f>
        <v>1</v>
      </c>
      <c r="S231" s="312">
        <f>IF((M$4+1)&amp;"年"&amp;S$5&lt;&gt;'9.项目开发计划表'!$AG$19,1,(M$4+1)&amp;"年"&amp;S$5)</f>
        <v>1</v>
      </c>
      <c r="T231" s="313">
        <f>IF((M$4+1)&amp;"年"&amp;T$5&lt;&gt;'9.项目开发计划表'!$AG$19,1,(M$4+1)&amp;"年"&amp;T$5)</f>
        <v>1</v>
      </c>
      <c r="U231" s="322">
        <f>IF((Q$4+1)&amp;"年"&amp;U$5&lt;&gt;'9.项目开发计划表'!$AG$19,1,(Q$4+1)&amp;"年"&amp;U$5)</f>
        <v>1</v>
      </c>
      <c r="V231" s="312">
        <f>IF((Q$4+1)&amp;"年"&amp;V$5&lt;&gt;'9.项目开发计划表'!$AG$19,1,(Q$4+1)&amp;"年"&amp;V$5)</f>
        <v>1</v>
      </c>
      <c r="W231" s="312">
        <f>IF((Q$4+1)&amp;"年"&amp;W$5&lt;&gt;'9.项目开发计划表'!$AG$19,1,(Q$4+1)&amp;"年"&amp;W$5)</f>
        <v>1</v>
      </c>
      <c r="X231" s="313">
        <f>IF((Q$4+1)&amp;"年"&amp;X$5&lt;&gt;'9.项目开发计划表'!$AG$19,1,(Q$4+1)&amp;"年"&amp;X$5)</f>
        <v>1</v>
      </c>
      <c r="Y231" s="322">
        <f>IF((U$4+1)&amp;"年"&amp;Y$5&lt;&gt;'9.项目开发计划表'!$AG$19,1,(U$4+1)&amp;"年"&amp;Y$5)</f>
        <v>1</v>
      </c>
      <c r="Z231" s="312">
        <f>IF((U$4+1)&amp;"年"&amp;Z$5&lt;&gt;'9.项目开发计划表'!$AG$19,1,(U$4+1)&amp;"年"&amp;Z$5)</f>
        <v>1</v>
      </c>
      <c r="AA231" s="312">
        <f>IF((U$4+1)&amp;"年"&amp;AA$5&lt;&gt;'9.项目开发计划表'!$AG$19,1,(U$4+1)&amp;"年"&amp;AA$5)</f>
        <v>1</v>
      </c>
      <c r="AB231" s="313">
        <f>IF((U$4+1)&amp;"年"&amp;AB$5&lt;&gt;'9.项目开发计划表'!$AG$19,1,(U$4+1)&amp;"年"&amp;AB$5)</f>
        <v>1</v>
      </c>
      <c r="AC231" s="322">
        <f>IF((Y$4+1)&amp;"年"&amp;AC$5&lt;&gt;'9.项目开发计划表'!$AG$19,1,(Y$4+1)&amp;"年"&amp;AC$5)</f>
        <v>1</v>
      </c>
      <c r="AD231" s="312">
        <f>IF((Y$4+1)&amp;"年"&amp;AD$5&lt;&gt;'9.项目开发计划表'!$AG$19,1,(Y$4+1)&amp;"年"&amp;AD$5)</f>
        <v>1</v>
      </c>
      <c r="AE231" s="312">
        <f>IF((Y$4+1)&amp;"年"&amp;AE$5&lt;&gt;'9.项目开发计划表'!$AG$19,1,(Y$4+1)&amp;"年"&amp;AE$5)</f>
        <v>1</v>
      </c>
      <c r="AF231" s="313">
        <f>IF((Y$4+1)&amp;"年"&amp;AF$5&lt;&gt;'9.项目开发计划表'!$AG$19,1,(Y$4+1)&amp;"年"&amp;AF$5)</f>
        <v>1</v>
      </c>
      <c r="AG231" s="322">
        <f>IF((AC$4+1)&amp;"年"&amp;AG$5&lt;&gt;'9.项目开发计划表'!$AG$19,1,(AC$4+1)&amp;"年"&amp;AG$5)</f>
        <v>1</v>
      </c>
      <c r="AH231" s="312">
        <f>IF((AC$4+1)&amp;"年"&amp;AH$5&lt;&gt;'9.项目开发计划表'!$AG$19,1,(AC$4+1)&amp;"年"&amp;AH$5)</f>
        <v>1</v>
      </c>
      <c r="AI231" s="312">
        <f>IF((AC$4+1)&amp;"年"&amp;AI$5&lt;&gt;'9.项目开发计划表'!$AG$19,1,(AC$4+1)&amp;"年"&amp;AI$5)</f>
        <v>1</v>
      </c>
      <c r="AJ231" s="313">
        <f>IF((AC$4+1)&amp;"年"&amp;AJ$5&lt;&gt;'9.项目开发计划表'!$AG$19,1,(AC$4+1)&amp;"年"&amp;AJ$5)</f>
        <v>1</v>
      </c>
      <c r="AK231" s="322">
        <f>IF((AG$4+1)&amp;"年"&amp;AK$5&lt;&gt;'9.项目开发计划表'!$AG$19,1,(AG$4+1)&amp;"年"&amp;AK$5)</f>
        <v>1</v>
      </c>
      <c r="AL231" s="312">
        <f>IF((AG$4+1)&amp;"年"&amp;AL$5&lt;&gt;'9.项目开发计划表'!$AG$19,1,(AG$4+1)&amp;"年"&amp;AL$5)</f>
        <v>1</v>
      </c>
      <c r="AM231" s="312">
        <f>IF((AG$4+1)&amp;"年"&amp;AM$5&lt;&gt;'9.项目开发计划表'!$AG$19,1,(AG$4+1)&amp;"年"&amp;AM$5)</f>
        <v>1</v>
      </c>
      <c r="AN231" s="313">
        <f>IF((AG$4+1)&amp;"年"&amp;AN$5&lt;&gt;'9.项目开发计划表'!$AG$19,1,(AG$4+1)&amp;"年"&amp;AN$5)</f>
        <v>1</v>
      </c>
      <c r="AO231" s="322">
        <f>IF((AK$4+1)&amp;"年"&amp;AO$5&lt;&gt;'9.项目开发计划表'!$AG$19,1,(AK$4+1)&amp;"年"&amp;AO$5)</f>
        <v>1</v>
      </c>
      <c r="AP231" s="312">
        <f>IF((AK$4+1)&amp;"年"&amp;AP$5&lt;&gt;'9.项目开发计划表'!$AG$19,1,(AK$4+1)&amp;"年"&amp;AP$5)</f>
        <v>1</v>
      </c>
      <c r="AQ231" s="312">
        <f>IF((AK$4+1)&amp;"年"&amp;AQ$5&lt;&gt;'9.项目开发计划表'!$AG$19,1,(AK$4+1)&amp;"年"&amp;AQ$5)</f>
        <v>1</v>
      </c>
      <c r="AR231" s="313">
        <f>IF((AK$4+1)&amp;"年"&amp;AR$5&lt;&gt;'9.项目开发计划表'!$AG$19,1,(AK$4+1)&amp;"年"&amp;AR$5)</f>
        <v>1</v>
      </c>
      <c r="AS231" s="322">
        <f>IF((AO$4+1)&amp;"年"&amp;AS$5&lt;&gt;'9.项目开发计划表'!$AG$19,1,(AO$4+1)&amp;"年"&amp;AS$5)</f>
        <v>1</v>
      </c>
      <c r="AT231" s="312">
        <f>IF((AO$4+1)&amp;"年"&amp;AT$5&lt;&gt;'9.项目开发计划表'!$AG$19,1,(AO$4+1)&amp;"年"&amp;AT$5)</f>
        <v>1</v>
      </c>
      <c r="AU231" s="312">
        <f>IF((AO$4+1)&amp;"年"&amp;AU$5&lt;&gt;'9.项目开发计划表'!$AG$19,1,(AO$4+1)&amp;"年"&amp;AU$5)</f>
        <v>1</v>
      </c>
      <c r="AV231" s="313">
        <f>IF((AO$4+1)&amp;"年"&amp;AV$5&lt;&gt;'9.项目开发计划表'!$AG$19,1,(AO$4+1)&amp;"年"&amp;AV$5)</f>
        <v>1</v>
      </c>
    </row>
    <row r="232" spans="2:48" s="256" customFormat="1" ht="15.75" customHeight="1" outlineLevel="1">
      <c r="B232" s="321"/>
      <c r="C232" s="1980"/>
      <c r="D232" s="1982"/>
      <c r="E232" s="280">
        <f t="shared" ref="E232:E236" si="52">IF(E231=1,0,1)</f>
        <v>0</v>
      </c>
      <c r="F232" s="281">
        <f t="shared" ref="F232:H240" si="53">IF(F231=1,0,1)</f>
        <v>0</v>
      </c>
      <c r="G232" s="281">
        <f t="shared" si="53"/>
        <v>0</v>
      </c>
      <c r="H232" s="282">
        <f t="shared" si="53"/>
        <v>0</v>
      </c>
      <c r="I232" s="323">
        <f t="shared" ref="I232:AV232" si="54">IF(I231=1,0,1)</f>
        <v>0</v>
      </c>
      <c r="J232" s="281">
        <f t="shared" si="54"/>
        <v>0</v>
      </c>
      <c r="K232" s="281">
        <f t="shared" si="54"/>
        <v>0</v>
      </c>
      <c r="L232" s="282">
        <f t="shared" si="54"/>
        <v>0</v>
      </c>
      <c r="M232" s="323">
        <f t="shared" si="54"/>
        <v>0</v>
      </c>
      <c r="N232" s="281">
        <f t="shared" si="54"/>
        <v>0</v>
      </c>
      <c r="O232" s="281">
        <f t="shared" si="54"/>
        <v>0</v>
      </c>
      <c r="P232" s="282">
        <f t="shared" si="54"/>
        <v>0</v>
      </c>
      <c r="Q232" s="323">
        <f t="shared" si="54"/>
        <v>0</v>
      </c>
      <c r="R232" s="281">
        <f t="shared" si="54"/>
        <v>0</v>
      </c>
      <c r="S232" s="281">
        <f t="shared" si="54"/>
        <v>0</v>
      </c>
      <c r="T232" s="282">
        <f t="shared" si="54"/>
        <v>0</v>
      </c>
      <c r="U232" s="323">
        <f t="shared" si="54"/>
        <v>0</v>
      </c>
      <c r="V232" s="281">
        <f t="shared" si="54"/>
        <v>0</v>
      </c>
      <c r="W232" s="281">
        <f t="shared" si="54"/>
        <v>0</v>
      </c>
      <c r="X232" s="282">
        <f t="shared" si="54"/>
        <v>0</v>
      </c>
      <c r="Y232" s="323">
        <f t="shared" si="54"/>
        <v>0</v>
      </c>
      <c r="Z232" s="281">
        <f t="shared" si="54"/>
        <v>0</v>
      </c>
      <c r="AA232" s="281">
        <f t="shared" si="54"/>
        <v>0</v>
      </c>
      <c r="AB232" s="282">
        <f t="shared" si="54"/>
        <v>0</v>
      </c>
      <c r="AC232" s="323">
        <f t="shared" si="54"/>
        <v>0</v>
      </c>
      <c r="AD232" s="281">
        <f t="shared" si="54"/>
        <v>0</v>
      </c>
      <c r="AE232" s="281">
        <f t="shared" si="54"/>
        <v>0</v>
      </c>
      <c r="AF232" s="282">
        <f t="shared" si="54"/>
        <v>0</v>
      </c>
      <c r="AG232" s="323">
        <f t="shared" si="54"/>
        <v>0</v>
      </c>
      <c r="AH232" s="281">
        <f t="shared" si="54"/>
        <v>0</v>
      </c>
      <c r="AI232" s="281">
        <f t="shared" si="54"/>
        <v>0</v>
      </c>
      <c r="AJ232" s="282">
        <f t="shared" si="54"/>
        <v>0</v>
      </c>
      <c r="AK232" s="323">
        <f t="shared" si="54"/>
        <v>0</v>
      </c>
      <c r="AL232" s="281">
        <f t="shared" si="54"/>
        <v>0</v>
      </c>
      <c r="AM232" s="281">
        <f t="shared" si="54"/>
        <v>0</v>
      </c>
      <c r="AN232" s="282">
        <f t="shared" si="54"/>
        <v>0</v>
      </c>
      <c r="AO232" s="323">
        <f t="shared" si="54"/>
        <v>0</v>
      </c>
      <c r="AP232" s="281">
        <f t="shared" si="54"/>
        <v>0</v>
      </c>
      <c r="AQ232" s="281">
        <f t="shared" si="54"/>
        <v>0</v>
      </c>
      <c r="AR232" s="282">
        <f t="shared" si="54"/>
        <v>0</v>
      </c>
      <c r="AS232" s="323">
        <f t="shared" si="54"/>
        <v>0</v>
      </c>
      <c r="AT232" s="281">
        <f t="shared" si="54"/>
        <v>0</v>
      </c>
      <c r="AU232" s="281">
        <f t="shared" si="54"/>
        <v>0</v>
      </c>
      <c r="AV232" s="282">
        <f t="shared" si="54"/>
        <v>0</v>
      </c>
    </row>
    <row r="233" spans="2:48" s="256" customFormat="1" ht="15.75" customHeight="1" outlineLevel="1">
      <c r="B233" s="321"/>
      <c r="C233" s="1980"/>
      <c r="D233" s="1981" t="str">
        <f>'8.项目规划指标表'!$B$7</f>
        <v>回迁商业</v>
      </c>
      <c r="E233" s="311">
        <f>IF($E$4&amp;"年"&amp;E$5&lt;&gt;'9.项目开发计划表'!$AG$20,1,$E$4&amp;"年"&amp;E$5)</f>
        <v>1</v>
      </c>
      <c r="F233" s="312">
        <f>IF($E$4&amp;"年"&amp;F$5&lt;&gt;'9.项目开发计划表'!$AG$20,1,$E$4&amp;"年"&amp;F$5)</f>
        <v>1</v>
      </c>
      <c r="G233" s="312">
        <f>IF($E$4&amp;"年"&amp;G$5&lt;&gt;'9.项目开发计划表'!$AG$20,1,$E$4&amp;"年"&amp;G$5)</f>
        <v>1</v>
      </c>
      <c r="H233" s="313">
        <f>IF($E$4&amp;"年"&amp;H$5&lt;&gt;'9.项目开发计划表'!$AG$20,1,$E$4&amp;"年"&amp;H$5)</f>
        <v>1</v>
      </c>
      <c r="I233" s="322">
        <f>IF((E$4+1)&amp;"年"&amp;I$5&lt;&gt;'9.项目开发计划表'!$AG$20,1,(E$4+1)&amp;"年"&amp;I$5)</f>
        <v>1</v>
      </c>
      <c r="J233" s="312">
        <f>IF((E$4+1)&amp;"年"&amp;J$5&lt;&gt;'9.项目开发计划表'!$AG$20,1,(E$4+1)&amp;"年"&amp;J$5)</f>
        <v>1</v>
      </c>
      <c r="K233" s="312">
        <f>IF((E$4+1)&amp;"年"&amp;K$5&lt;&gt;'9.项目开发计划表'!$AG$20,1,(E$4+1)&amp;"年"&amp;K$5)</f>
        <v>1</v>
      </c>
      <c r="L233" s="313">
        <f>IF((E$4+1)&amp;"年"&amp;L$5&lt;&gt;'9.项目开发计划表'!$AG$20,1,(E$4+1)&amp;"年"&amp;L$5)</f>
        <v>1</v>
      </c>
      <c r="M233" s="322">
        <f>IF((I$4+1)&amp;"年"&amp;M$5&lt;&gt;'9.项目开发计划表'!$AG$20,1,(I$4+1)&amp;"年"&amp;M$5)</f>
        <v>1</v>
      </c>
      <c r="N233" s="312">
        <f>IF((I$4+1)&amp;"年"&amp;N$5&lt;&gt;'9.项目开发计划表'!$AG$20,1,(I$4+1)&amp;"年"&amp;N$5)</f>
        <v>1</v>
      </c>
      <c r="O233" s="312">
        <f>IF((I$4+1)&amp;"年"&amp;O$5&lt;&gt;'9.项目开发计划表'!$AG$20,1,(I$4+1)&amp;"年"&amp;O$5)</f>
        <v>1</v>
      </c>
      <c r="P233" s="313">
        <f>IF((I$4+1)&amp;"年"&amp;P$5&lt;&gt;'9.项目开发计划表'!$AG$20,1,(I$4+1)&amp;"年"&amp;P$5)</f>
        <v>1</v>
      </c>
      <c r="Q233" s="322">
        <f>IF((M$4+1)&amp;"年"&amp;Q$5&lt;&gt;'9.项目开发计划表'!$AG$20,1,(M$4+1)&amp;"年"&amp;Q$5)</f>
        <v>1</v>
      </c>
      <c r="R233" s="312">
        <f>IF((M$4+1)&amp;"年"&amp;R$5&lt;&gt;'9.项目开发计划表'!$AG$20,1,(M$4+1)&amp;"年"&amp;R$5)</f>
        <v>1</v>
      </c>
      <c r="S233" s="312">
        <f>IF((M$4+1)&amp;"年"&amp;S$5&lt;&gt;'9.项目开发计划表'!$AG$20,1,(M$4+1)&amp;"年"&amp;S$5)</f>
        <v>1</v>
      </c>
      <c r="T233" s="313">
        <f>IF((M$4+1)&amp;"年"&amp;T$5&lt;&gt;'9.项目开发计划表'!$AG$20,1,(M$4+1)&amp;"年"&amp;T$5)</f>
        <v>1</v>
      </c>
      <c r="U233" s="322">
        <f>IF((Q$4+1)&amp;"年"&amp;U$5&lt;&gt;'9.项目开发计划表'!$AG$20,1,(Q$4+1)&amp;"年"&amp;U$5)</f>
        <v>1</v>
      </c>
      <c r="V233" s="312">
        <f>IF((Q$4+1)&amp;"年"&amp;V$5&lt;&gt;'9.项目开发计划表'!$AG$20,1,(Q$4+1)&amp;"年"&amp;V$5)</f>
        <v>1</v>
      </c>
      <c r="W233" s="312">
        <f>IF((Q$4+1)&amp;"年"&amp;W$5&lt;&gt;'9.项目开发计划表'!$AG$20,1,(Q$4+1)&amp;"年"&amp;W$5)</f>
        <v>1</v>
      </c>
      <c r="X233" s="313">
        <f>IF((Q$4+1)&amp;"年"&amp;X$5&lt;&gt;'9.项目开发计划表'!$AG$20,1,(Q$4+1)&amp;"年"&amp;X$5)</f>
        <v>1</v>
      </c>
      <c r="Y233" s="322">
        <f>IF((U$4+1)&amp;"年"&amp;Y$5&lt;&gt;'9.项目开发计划表'!$AG$20,1,(U$4+1)&amp;"年"&amp;Y$5)</f>
        <v>1</v>
      </c>
      <c r="Z233" s="312">
        <f>IF((U$4+1)&amp;"年"&amp;Z$5&lt;&gt;'9.项目开发计划表'!$AG$20,1,(U$4+1)&amp;"年"&amp;Z$5)</f>
        <v>1</v>
      </c>
      <c r="AA233" s="312">
        <f>IF((U$4+1)&amp;"年"&amp;AA$5&lt;&gt;'9.项目开发计划表'!$AG$20,1,(U$4+1)&amp;"年"&amp;AA$5)</f>
        <v>1</v>
      </c>
      <c r="AB233" s="313">
        <f>IF((U$4+1)&amp;"年"&amp;AB$5&lt;&gt;'9.项目开发计划表'!$AG$20,1,(U$4+1)&amp;"年"&amp;AB$5)</f>
        <v>1</v>
      </c>
      <c r="AC233" s="322">
        <f>IF((Y$4+1)&amp;"年"&amp;AC$5&lt;&gt;'9.项目开发计划表'!$AG$20,1,(Y$4+1)&amp;"年"&amp;AC$5)</f>
        <v>1</v>
      </c>
      <c r="AD233" s="312">
        <f>IF((Y$4+1)&amp;"年"&amp;AD$5&lt;&gt;'9.项目开发计划表'!$AG$20,1,(Y$4+1)&amp;"年"&amp;AD$5)</f>
        <v>1</v>
      </c>
      <c r="AE233" s="312">
        <f>IF((Y$4+1)&amp;"年"&amp;AE$5&lt;&gt;'9.项目开发计划表'!$AG$20,1,(Y$4+1)&amp;"年"&amp;AE$5)</f>
        <v>1</v>
      </c>
      <c r="AF233" s="313">
        <f>IF((Y$4+1)&amp;"年"&amp;AF$5&lt;&gt;'9.项目开发计划表'!$AG$20,1,(Y$4+1)&amp;"年"&amp;AF$5)</f>
        <v>1</v>
      </c>
      <c r="AG233" s="322">
        <f>IF((AC$4+1)&amp;"年"&amp;AG$5&lt;&gt;'9.项目开发计划表'!$AG$20,1,(AC$4+1)&amp;"年"&amp;AG$5)</f>
        <v>1</v>
      </c>
      <c r="AH233" s="312">
        <f>IF((AC$4+1)&amp;"年"&amp;AH$5&lt;&gt;'9.项目开发计划表'!$AG$20,1,(AC$4+1)&amp;"年"&amp;AH$5)</f>
        <v>1</v>
      </c>
      <c r="AI233" s="312">
        <f>IF((AC$4+1)&amp;"年"&amp;AI$5&lt;&gt;'9.项目开发计划表'!$AG$20,1,(AC$4+1)&amp;"年"&amp;AI$5)</f>
        <v>1</v>
      </c>
      <c r="AJ233" s="313">
        <f>IF((AC$4+1)&amp;"年"&amp;AJ$5&lt;&gt;'9.项目开发计划表'!$AG$20,1,(AC$4+1)&amp;"年"&amp;AJ$5)</f>
        <v>1</v>
      </c>
      <c r="AK233" s="322">
        <f>IF((AG$4+1)&amp;"年"&amp;AK$5&lt;&gt;'9.项目开发计划表'!$AG$20,1,(AG$4+1)&amp;"年"&amp;AK$5)</f>
        <v>1</v>
      </c>
      <c r="AL233" s="312">
        <f>IF((AG$4+1)&amp;"年"&amp;AL$5&lt;&gt;'9.项目开发计划表'!$AG$20,1,(AG$4+1)&amp;"年"&amp;AL$5)</f>
        <v>1</v>
      </c>
      <c r="AM233" s="312">
        <f>IF((AG$4+1)&amp;"年"&amp;AM$5&lt;&gt;'9.项目开发计划表'!$AG$20,1,(AG$4+1)&amp;"年"&amp;AM$5)</f>
        <v>1</v>
      </c>
      <c r="AN233" s="313">
        <f>IF((AG$4+1)&amp;"年"&amp;AN$5&lt;&gt;'9.项目开发计划表'!$AG$20,1,(AG$4+1)&amp;"年"&amp;AN$5)</f>
        <v>1</v>
      </c>
      <c r="AO233" s="322">
        <f>IF((AK$4+1)&amp;"年"&amp;AO$5&lt;&gt;'9.项目开发计划表'!$AG$20,1,(AK$4+1)&amp;"年"&amp;AO$5)</f>
        <v>1</v>
      </c>
      <c r="AP233" s="312">
        <f>IF((AK$4+1)&amp;"年"&amp;AP$5&lt;&gt;'9.项目开发计划表'!$AG$20,1,(AK$4+1)&amp;"年"&amp;AP$5)</f>
        <v>1</v>
      </c>
      <c r="AQ233" s="312">
        <f>IF((AK$4+1)&amp;"年"&amp;AQ$5&lt;&gt;'9.项目开发计划表'!$AG$20,1,(AK$4+1)&amp;"年"&amp;AQ$5)</f>
        <v>1</v>
      </c>
      <c r="AR233" s="313">
        <f>IF((AK$4+1)&amp;"年"&amp;AR$5&lt;&gt;'9.项目开发计划表'!$AG$20,1,(AK$4+1)&amp;"年"&amp;AR$5)</f>
        <v>1</v>
      </c>
      <c r="AS233" s="322">
        <f>IF((AO$4+1)&amp;"年"&amp;AS$5&lt;&gt;'9.项目开发计划表'!$AG$20,1,(AO$4+1)&amp;"年"&amp;AS$5)</f>
        <v>1</v>
      </c>
      <c r="AT233" s="312">
        <f>IF((AO$4+1)&amp;"年"&amp;AT$5&lt;&gt;'9.项目开发计划表'!$AG$20,1,(AO$4+1)&amp;"年"&amp;AT$5)</f>
        <v>1</v>
      </c>
      <c r="AU233" s="312">
        <f>IF((AO$4+1)&amp;"年"&amp;AU$5&lt;&gt;'9.项目开发计划表'!$AG$20,1,(AO$4+1)&amp;"年"&amp;AU$5)</f>
        <v>1</v>
      </c>
      <c r="AV233" s="313">
        <f>IF((AO$4+1)&amp;"年"&amp;AV$5&lt;&gt;'9.项目开发计划表'!$AG$20,1,(AO$4+1)&amp;"年"&amp;AV$5)</f>
        <v>1</v>
      </c>
    </row>
    <row r="234" spans="2:48" s="256" customFormat="1" ht="15.75" customHeight="1" outlineLevel="1">
      <c r="B234" s="321"/>
      <c r="C234" s="1980"/>
      <c r="D234" s="1982"/>
      <c r="E234" s="280">
        <f t="shared" si="52"/>
        <v>0</v>
      </c>
      <c r="F234" s="281">
        <f t="shared" si="53"/>
        <v>0</v>
      </c>
      <c r="G234" s="281">
        <f t="shared" si="53"/>
        <v>0</v>
      </c>
      <c r="H234" s="282">
        <f t="shared" si="53"/>
        <v>0</v>
      </c>
      <c r="I234" s="323">
        <f t="shared" ref="I234:AV234" si="55">IF(I233=1,0,1)</f>
        <v>0</v>
      </c>
      <c r="J234" s="281">
        <f t="shared" si="55"/>
        <v>0</v>
      </c>
      <c r="K234" s="281">
        <f t="shared" si="55"/>
        <v>0</v>
      </c>
      <c r="L234" s="282">
        <f t="shared" si="55"/>
        <v>0</v>
      </c>
      <c r="M234" s="323">
        <f t="shared" si="55"/>
        <v>0</v>
      </c>
      <c r="N234" s="281">
        <f t="shared" si="55"/>
        <v>0</v>
      </c>
      <c r="O234" s="281">
        <f t="shared" si="55"/>
        <v>0</v>
      </c>
      <c r="P234" s="282">
        <f t="shared" si="55"/>
        <v>0</v>
      </c>
      <c r="Q234" s="323">
        <f t="shared" si="55"/>
        <v>0</v>
      </c>
      <c r="R234" s="281">
        <f t="shared" si="55"/>
        <v>0</v>
      </c>
      <c r="S234" s="281">
        <f t="shared" si="55"/>
        <v>0</v>
      </c>
      <c r="T234" s="282">
        <f t="shared" si="55"/>
        <v>0</v>
      </c>
      <c r="U234" s="323">
        <f t="shared" si="55"/>
        <v>0</v>
      </c>
      <c r="V234" s="281">
        <f t="shared" si="55"/>
        <v>0</v>
      </c>
      <c r="W234" s="281">
        <f t="shared" si="55"/>
        <v>0</v>
      </c>
      <c r="X234" s="282">
        <f t="shared" si="55"/>
        <v>0</v>
      </c>
      <c r="Y234" s="323">
        <f t="shared" si="55"/>
        <v>0</v>
      </c>
      <c r="Z234" s="281">
        <f t="shared" si="55"/>
        <v>0</v>
      </c>
      <c r="AA234" s="281">
        <f t="shared" si="55"/>
        <v>0</v>
      </c>
      <c r="AB234" s="282">
        <f t="shared" si="55"/>
        <v>0</v>
      </c>
      <c r="AC234" s="323">
        <f t="shared" si="55"/>
        <v>0</v>
      </c>
      <c r="AD234" s="281">
        <f t="shared" si="55"/>
        <v>0</v>
      </c>
      <c r="AE234" s="281">
        <f t="shared" si="55"/>
        <v>0</v>
      </c>
      <c r="AF234" s="282">
        <f t="shared" si="55"/>
        <v>0</v>
      </c>
      <c r="AG234" s="323">
        <f t="shared" si="55"/>
        <v>0</v>
      </c>
      <c r="AH234" s="281">
        <f t="shared" si="55"/>
        <v>0</v>
      </c>
      <c r="AI234" s="281">
        <f t="shared" si="55"/>
        <v>0</v>
      </c>
      <c r="AJ234" s="282">
        <f t="shared" si="55"/>
        <v>0</v>
      </c>
      <c r="AK234" s="323">
        <f t="shared" si="55"/>
        <v>0</v>
      </c>
      <c r="AL234" s="281">
        <f t="shared" si="55"/>
        <v>0</v>
      </c>
      <c r="AM234" s="281">
        <f t="shared" si="55"/>
        <v>0</v>
      </c>
      <c r="AN234" s="282">
        <f t="shared" si="55"/>
        <v>0</v>
      </c>
      <c r="AO234" s="323">
        <f t="shared" si="55"/>
        <v>0</v>
      </c>
      <c r="AP234" s="281">
        <f t="shared" si="55"/>
        <v>0</v>
      </c>
      <c r="AQ234" s="281">
        <f t="shared" si="55"/>
        <v>0</v>
      </c>
      <c r="AR234" s="282">
        <f t="shared" si="55"/>
        <v>0</v>
      </c>
      <c r="AS234" s="323">
        <f t="shared" si="55"/>
        <v>0</v>
      </c>
      <c r="AT234" s="281">
        <f t="shared" si="55"/>
        <v>0</v>
      </c>
      <c r="AU234" s="281">
        <f t="shared" si="55"/>
        <v>0</v>
      </c>
      <c r="AV234" s="282">
        <f t="shared" si="55"/>
        <v>0</v>
      </c>
    </row>
    <row r="235" spans="2:48" s="256" customFormat="1" ht="15.75" customHeight="1" outlineLevel="1">
      <c r="B235" s="321"/>
      <c r="C235" s="1980"/>
      <c r="D235" s="1981">
        <f>'8.项目规划指标表'!$B$8</f>
        <v>0</v>
      </c>
      <c r="E235" s="311">
        <f>IF($E$4&amp;"年"&amp;E$5&lt;&gt;'9.项目开发计划表'!$AG$21,1,$E$4&amp;"年"&amp;E$5)</f>
        <v>1</v>
      </c>
      <c r="F235" s="312">
        <f>IF($E$4&amp;"年"&amp;F$5&lt;&gt;'9.项目开发计划表'!$AG$21,1,$E$4&amp;"年"&amp;F$5)</f>
        <v>1</v>
      </c>
      <c r="G235" s="312">
        <f>IF($E$4&amp;"年"&amp;G$5&lt;&gt;'9.项目开发计划表'!$AG$21,1,$E$4&amp;"年"&amp;G$5)</f>
        <v>1</v>
      </c>
      <c r="H235" s="313">
        <f>IF($E$4&amp;"年"&amp;H$5&lt;&gt;'9.项目开发计划表'!$AG$21,1,$E$4&amp;"年"&amp;H$5)</f>
        <v>1</v>
      </c>
      <c r="I235" s="322">
        <f>IF((E$4+1)&amp;"年"&amp;I$5&lt;&gt;'9.项目开发计划表'!$AG$21,1,(E$4+1)&amp;"年"&amp;I$5)</f>
        <v>1</v>
      </c>
      <c r="J235" s="312">
        <f>IF((E$4+1)&amp;"年"&amp;J$5&lt;&gt;'9.项目开发计划表'!$AG$21,1,(E$4+1)&amp;"年"&amp;J$5)</f>
        <v>1</v>
      </c>
      <c r="K235" s="312">
        <f>IF((E$4+1)&amp;"年"&amp;K$5&lt;&gt;'9.项目开发计划表'!$AG$21,1,(E$4+1)&amp;"年"&amp;K$5)</f>
        <v>1</v>
      </c>
      <c r="L235" s="313">
        <f>IF((E$4+1)&amp;"年"&amp;L$5&lt;&gt;'9.项目开发计划表'!$AG$21,1,(E$4+1)&amp;"年"&amp;L$5)</f>
        <v>1</v>
      </c>
      <c r="M235" s="322">
        <f>IF((I$4+1)&amp;"年"&amp;M$5&lt;&gt;'9.项目开发计划表'!$AG$21,1,(I$4+1)&amp;"年"&amp;M$5)</f>
        <v>1</v>
      </c>
      <c r="N235" s="312">
        <f>IF((I$4+1)&amp;"年"&amp;N$5&lt;&gt;'9.项目开发计划表'!$AG$21,1,(I$4+1)&amp;"年"&amp;N$5)</f>
        <v>1</v>
      </c>
      <c r="O235" s="312">
        <f>IF((I$4+1)&amp;"年"&amp;O$5&lt;&gt;'9.项目开发计划表'!$AG$21,1,(I$4+1)&amp;"年"&amp;O$5)</f>
        <v>1</v>
      </c>
      <c r="P235" s="313">
        <f>IF((I$4+1)&amp;"年"&amp;P$5&lt;&gt;'9.项目开发计划表'!$AG$21,1,(I$4+1)&amp;"年"&amp;P$5)</f>
        <v>1</v>
      </c>
      <c r="Q235" s="322">
        <f>IF((M$4+1)&amp;"年"&amp;Q$5&lt;&gt;'9.项目开发计划表'!$AG$21,1,(M$4+1)&amp;"年"&amp;Q$5)</f>
        <v>1</v>
      </c>
      <c r="R235" s="312">
        <f>IF((M$4+1)&amp;"年"&amp;R$5&lt;&gt;'9.项目开发计划表'!$AG$21,1,(M$4+1)&amp;"年"&amp;R$5)</f>
        <v>1</v>
      </c>
      <c r="S235" s="312">
        <f>IF((M$4+1)&amp;"年"&amp;S$5&lt;&gt;'9.项目开发计划表'!$AG$21,1,(M$4+1)&amp;"年"&amp;S$5)</f>
        <v>1</v>
      </c>
      <c r="T235" s="313">
        <f>IF((M$4+1)&amp;"年"&amp;T$5&lt;&gt;'9.项目开发计划表'!$AG$21,1,(M$4+1)&amp;"年"&amp;T$5)</f>
        <v>1</v>
      </c>
      <c r="U235" s="322">
        <f>IF((Q$4+1)&amp;"年"&amp;U$5&lt;&gt;'9.项目开发计划表'!$AG$21,1,(Q$4+1)&amp;"年"&amp;U$5)</f>
        <v>1</v>
      </c>
      <c r="V235" s="312">
        <f>IF((Q$4+1)&amp;"年"&amp;V$5&lt;&gt;'9.项目开发计划表'!$AG$21,1,(Q$4+1)&amp;"年"&amp;V$5)</f>
        <v>1</v>
      </c>
      <c r="W235" s="312">
        <f>IF((Q$4+1)&amp;"年"&amp;W$5&lt;&gt;'9.项目开发计划表'!$AG$21,1,(Q$4+1)&amp;"年"&amp;W$5)</f>
        <v>1</v>
      </c>
      <c r="X235" s="313">
        <f>IF((Q$4+1)&amp;"年"&amp;X$5&lt;&gt;'9.项目开发计划表'!$AG$21,1,(Q$4+1)&amp;"年"&amp;X$5)</f>
        <v>1</v>
      </c>
      <c r="Y235" s="322">
        <f>IF((U$4+1)&amp;"年"&amp;Y$5&lt;&gt;'9.项目开发计划表'!$AG$21,1,(U$4+1)&amp;"年"&amp;Y$5)</f>
        <v>1</v>
      </c>
      <c r="Z235" s="312">
        <f>IF((U$4+1)&amp;"年"&amp;Z$5&lt;&gt;'9.项目开发计划表'!$AG$21,1,(U$4+1)&amp;"年"&amp;Z$5)</f>
        <v>1</v>
      </c>
      <c r="AA235" s="312">
        <f>IF((U$4+1)&amp;"年"&amp;AA$5&lt;&gt;'9.项目开发计划表'!$AG$21,1,(U$4+1)&amp;"年"&amp;AA$5)</f>
        <v>1</v>
      </c>
      <c r="AB235" s="313">
        <f>IF((U$4+1)&amp;"年"&amp;AB$5&lt;&gt;'9.项目开发计划表'!$AG$21,1,(U$4+1)&amp;"年"&amp;AB$5)</f>
        <v>1</v>
      </c>
      <c r="AC235" s="322">
        <f>IF((Y$4+1)&amp;"年"&amp;AC$5&lt;&gt;'9.项目开发计划表'!$AG$21,1,(Y$4+1)&amp;"年"&amp;AC$5)</f>
        <v>1</v>
      </c>
      <c r="AD235" s="312">
        <f>IF((Y$4+1)&amp;"年"&amp;AD$5&lt;&gt;'9.项目开发计划表'!$AG$21,1,(Y$4+1)&amp;"年"&amp;AD$5)</f>
        <v>1</v>
      </c>
      <c r="AE235" s="312">
        <f>IF((Y$4+1)&amp;"年"&amp;AE$5&lt;&gt;'9.项目开发计划表'!$AG$21,1,(Y$4+1)&amp;"年"&amp;AE$5)</f>
        <v>1</v>
      </c>
      <c r="AF235" s="313">
        <f>IF((Y$4+1)&amp;"年"&amp;AF$5&lt;&gt;'9.项目开发计划表'!$AG$21,1,(Y$4+1)&amp;"年"&amp;AF$5)</f>
        <v>1</v>
      </c>
      <c r="AG235" s="322">
        <f>IF((AC$4+1)&amp;"年"&amp;AG$5&lt;&gt;'9.项目开发计划表'!$AG$21,1,(AC$4+1)&amp;"年"&amp;AG$5)</f>
        <v>1</v>
      </c>
      <c r="AH235" s="312">
        <f>IF((AC$4+1)&amp;"年"&amp;AH$5&lt;&gt;'9.项目开发计划表'!$AG$21,1,(AC$4+1)&amp;"年"&amp;AH$5)</f>
        <v>1</v>
      </c>
      <c r="AI235" s="312">
        <f>IF((AC$4+1)&amp;"年"&amp;AI$5&lt;&gt;'9.项目开发计划表'!$AG$21,1,(AC$4+1)&amp;"年"&amp;AI$5)</f>
        <v>1</v>
      </c>
      <c r="AJ235" s="313">
        <f>IF((AC$4+1)&amp;"年"&amp;AJ$5&lt;&gt;'9.项目开发计划表'!$AG$21,1,(AC$4+1)&amp;"年"&amp;AJ$5)</f>
        <v>1</v>
      </c>
      <c r="AK235" s="322">
        <f>IF((AG$4+1)&amp;"年"&amp;AK$5&lt;&gt;'9.项目开发计划表'!$AG$21,1,(AG$4+1)&amp;"年"&amp;AK$5)</f>
        <v>1</v>
      </c>
      <c r="AL235" s="312">
        <f>IF((AG$4+1)&amp;"年"&amp;AL$5&lt;&gt;'9.项目开发计划表'!$AG$21,1,(AG$4+1)&amp;"年"&amp;AL$5)</f>
        <v>1</v>
      </c>
      <c r="AM235" s="312">
        <f>IF((AG$4+1)&amp;"年"&amp;AM$5&lt;&gt;'9.项目开发计划表'!$AG$21,1,(AG$4+1)&amp;"年"&amp;AM$5)</f>
        <v>1</v>
      </c>
      <c r="AN235" s="313">
        <f>IF((AG$4+1)&amp;"年"&amp;AN$5&lt;&gt;'9.项目开发计划表'!$AG$21,1,(AG$4+1)&amp;"年"&amp;AN$5)</f>
        <v>1</v>
      </c>
      <c r="AO235" s="322">
        <f>IF((AK$4+1)&amp;"年"&amp;AO$5&lt;&gt;'9.项目开发计划表'!$AG$21,1,(AK$4+1)&amp;"年"&amp;AO$5)</f>
        <v>1</v>
      </c>
      <c r="AP235" s="312">
        <f>IF((AK$4+1)&amp;"年"&amp;AP$5&lt;&gt;'9.项目开发计划表'!$AG$21,1,(AK$4+1)&amp;"年"&amp;AP$5)</f>
        <v>1</v>
      </c>
      <c r="AQ235" s="312">
        <f>IF((AK$4+1)&amp;"年"&amp;AQ$5&lt;&gt;'9.项目开发计划表'!$AG$21,1,(AK$4+1)&amp;"年"&amp;AQ$5)</f>
        <v>1</v>
      </c>
      <c r="AR235" s="313">
        <f>IF((AK$4+1)&amp;"年"&amp;AR$5&lt;&gt;'9.项目开发计划表'!$AG$21,1,(AK$4+1)&amp;"年"&amp;AR$5)</f>
        <v>1</v>
      </c>
      <c r="AS235" s="322">
        <f>IF((AO$4+1)&amp;"年"&amp;AS$5&lt;&gt;'9.项目开发计划表'!$AG$21,1,(AO$4+1)&amp;"年"&amp;AS$5)</f>
        <v>1</v>
      </c>
      <c r="AT235" s="312">
        <f>IF((AO$4+1)&amp;"年"&amp;AT$5&lt;&gt;'9.项目开发计划表'!$AG$21,1,(AO$4+1)&amp;"年"&amp;AT$5)</f>
        <v>1</v>
      </c>
      <c r="AU235" s="312">
        <f>IF((AO$4+1)&amp;"年"&amp;AU$5&lt;&gt;'9.项目开发计划表'!$AG$21,1,(AO$4+1)&amp;"年"&amp;AU$5)</f>
        <v>1</v>
      </c>
      <c r="AV235" s="313">
        <f>IF((AO$4+1)&amp;"年"&amp;AV$5&lt;&gt;'9.项目开发计划表'!$AG$21,1,(AO$4+1)&amp;"年"&amp;AV$5)</f>
        <v>1</v>
      </c>
    </row>
    <row r="236" spans="2:48" s="256" customFormat="1" ht="15.75" customHeight="1" outlineLevel="1">
      <c r="B236" s="321"/>
      <c r="C236" s="1980"/>
      <c r="D236" s="1982"/>
      <c r="E236" s="280">
        <f t="shared" si="52"/>
        <v>0</v>
      </c>
      <c r="F236" s="281">
        <f t="shared" si="53"/>
        <v>0</v>
      </c>
      <c r="G236" s="281">
        <f t="shared" si="53"/>
        <v>0</v>
      </c>
      <c r="H236" s="282">
        <f t="shared" si="53"/>
        <v>0</v>
      </c>
      <c r="I236" s="323">
        <f t="shared" ref="I236:AV236" si="56">IF(I235=1,0,1)</f>
        <v>0</v>
      </c>
      <c r="J236" s="281">
        <f t="shared" si="56"/>
        <v>0</v>
      </c>
      <c r="K236" s="281">
        <f t="shared" si="56"/>
        <v>0</v>
      </c>
      <c r="L236" s="282">
        <f t="shared" si="56"/>
        <v>0</v>
      </c>
      <c r="M236" s="323">
        <f t="shared" si="56"/>
        <v>0</v>
      </c>
      <c r="N236" s="281">
        <f t="shared" si="56"/>
        <v>0</v>
      </c>
      <c r="O236" s="281">
        <f t="shared" si="56"/>
        <v>0</v>
      </c>
      <c r="P236" s="282">
        <f t="shared" si="56"/>
        <v>0</v>
      </c>
      <c r="Q236" s="323">
        <f t="shared" si="56"/>
        <v>0</v>
      </c>
      <c r="R236" s="281">
        <f t="shared" si="56"/>
        <v>0</v>
      </c>
      <c r="S236" s="281">
        <f t="shared" si="56"/>
        <v>0</v>
      </c>
      <c r="T236" s="282">
        <f t="shared" si="56"/>
        <v>0</v>
      </c>
      <c r="U236" s="323">
        <f t="shared" si="56"/>
        <v>0</v>
      </c>
      <c r="V236" s="281">
        <f t="shared" si="56"/>
        <v>0</v>
      </c>
      <c r="W236" s="281">
        <f t="shared" si="56"/>
        <v>0</v>
      </c>
      <c r="X236" s="282">
        <f t="shared" si="56"/>
        <v>0</v>
      </c>
      <c r="Y236" s="323">
        <f t="shared" si="56"/>
        <v>0</v>
      </c>
      <c r="Z236" s="281">
        <f t="shared" si="56"/>
        <v>0</v>
      </c>
      <c r="AA236" s="281">
        <f t="shared" si="56"/>
        <v>0</v>
      </c>
      <c r="AB236" s="282">
        <f t="shared" si="56"/>
        <v>0</v>
      </c>
      <c r="AC236" s="323">
        <f t="shared" si="56"/>
        <v>0</v>
      </c>
      <c r="AD236" s="281">
        <f t="shared" si="56"/>
        <v>0</v>
      </c>
      <c r="AE236" s="281">
        <f t="shared" si="56"/>
        <v>0</v>
      </c>
      <c r="AF236" s="282">
        <f t="shared" si="56"/>
        <v>0</v>
      </c>
      <c r="AG236" s="323">
        <f t="shared" si="56"/>
        <v>0</v>
      </c>
      <c r="AH236" s="281">
        <f t="shared" si="56"/>
        <v>0</v>
      </c>
      <c r="AI236" s="281">
        <f t="shared" si="56"/>
        <v>0</v>
      </c>
      <c r="AJ236" s="282">
        <f t="shared" si="56"/>
        <v>0</v>
      </c>
      <c r="AK236" s="323">
        <f t="shared" si="56"/>
        <v>0</v>
      </c>
      <c r="AL236" s="281">
        <f t="shared" si="56"/>
        <v>0</v>
      </c>
      <c r="AM236" s="281">
        <f t="shared" si="56"/>
        <v>0</v>
      </c>
      <c r="AN236" s="282">
        <f t="shared" si="56"/>
        <v>0</v>
      </c>
      <c r="AO236" s="323">
        <f t="shared" si="56"/>
        <v>0</v>
      </c>
      <c r="AP236" s="281">
        <f t="shared" si="56"/>
        <v>0</v>
      </c>
      <c r="AQ236" s="281">
        <f t="shared" si="56"/>
        <v>0</v>
      </c>
      <c r="AR236" s="282">
        <f t="shared" si="56"/>
        <v>0</v>
      </c>
      <c r="AS236" s="323">
        <f t="shared" si="56"/>
        <v>0</v>
      </c>
      <c r="AT236" s="281">
        <f t="shared" si="56"/>
        <v>0</v>
      </c>
      <c r="AU236" s="281">
        <f t="shared" si="56"/>
        <v>0</v>
      </c>
      <c r="AV236" s="282">
        <f t="shared" si="56"/>
        <v>0</v>
      </c>
    </row>
    <row r="237" spans="2:48" s="256" customFormat="1" ht="15.75" customHeight="1" outlineLevel="1">
      <c r="B237" s="321"/>
      <c r="C237" s="1980"/>
      <c r="D237" s="1981">
        <f>'8.项目规划指标表'!$B$9</f>
        <v>0</v>
      </c>
      <c r="E237" s="311">
        <f>IF($E$4&amp;"年"&amp;E$5&lt;&gt;'9.项目开发计划表'!$AG$22,1,$E$4&amp;"年"&amp;E$5)</f>
        <v>1</v>
      </c>
      <c r="F237" s="312">
        <f>IF($E$4&amp;"年"&amp;F$5&lt;&gt;'9.项目开发计划表'!$AG$22,1,$E$4&amp;"年"&amp;F$5)</f>
        <v>1</v>
      </c>
      <c r="G237" s="312">
        <f>IF($E$4&amp;"年"&amp;G$5&lt;&gt;'9.项目开发计划表'!$AG$22,1,$E$4&amp;"年"&amp;G$5)</f>
        <v>1</v>
      </c>
      <c r="H237" s="313">
        <f>IF($E$4&amp;"年"&amp;H$5&lt;&gt;'9.项目开发计划表'!$AG$22,1,$E$4&amp;"年"&amp;H$5)</f>
        <v>1</v>
      </c>
      <c r="I237" s="322">
        <f>IF((E$4+1)&amp;"年"&amp;I$5&lt;&gt;'9.项目开发计划表'!$AG$22,1,(E$4+1)&amp;"年"&amp;I$5)</f>
        <v>1</v>
      </c>
      <c r="J237" s="312">
        <f>IF((E$4+1)&amp;"年"&amp;J$5&lt;&gt;'9.项目开发计划表'!$AG$22,1,(E$4+1)&amp;"年"&amp;J$5)</f>
        <v>1</v>
      </c>
      <c r="K237" s="312">
        <f>IF((E$4+1)&amp;"年"&amp;K$5&lt;&gt;'9.项目开发计划表'!$AG$22,1,(E$4+1)&amp;"年"&amp;K$5)</f>
        <v>1</v>
      </c>
      <c r="L237" s="313">
        <f>IF((E$4+1)&amp;"年"&amp;L$5&lt;&gt;'9.项目开发计划表'!$AG$22,1,(E$4+1)&amp;"年"&amp;L$5)</f>
        <v>1</v>
      </c>
      <c r="M237" s="322">
        <f>IF((I$4+1)&amp;"年"&amp;M$5&lt;&gt;'9.项目开发计划表'!$AG$22,1,(I$4+1)&amp;"年"&amp;M$5)</f>
        <v>1</v>
      </c>
      <c r="N237" s="312">
        <f>IF((I$4+1)&amp;"年"&amp;N$5&lt;&gt;'9.项目开发计划表'!$AG$22,1,(I$4+1)&amp;"年"&amp;N$5)</f>
        <v>1</v>
      </c>
      <c r="O237" s="312">
        <f>IF((I$4+1)&amp;"年"&amp;O$5&lt;&gt;'9.项目开发计划表'!$AG$22,1,(I$4+1)&amp;"年"&amp;O$5)</f>
        <v>1</v>
      </c>
      <c r="P237" s="313">
        <f>IF((I$4+1)&amp;"年"&amp;P$5&lt;&gt;'9.项目开发计划表'!$AG$22,1,(I$4+1)&amp;"年"&amp;P$5)</f>
        <v>1</v>
      </c>
      <c r="Q237" s="322">
        <f>IF((M$4+1)&amp;"年"&amp;Q$5&lt;&gt;'9.项目开发计划表'!$AG$22,1,(M$4+1)&amp;"年"&amp;Q$5)</f>
        <v>1</v>
      </c>
      <c r="R237" s="312">
        <f>IF((M$4+1)&amp;"年"&amp;R$5&lt;&gt;'9.项目开发计划表'!$AG$22,1,(M$4+1)&amp;"年"&amp;R$5)</f>
        <v>1</v>
      </c>
      <c r="S237" s="312">
        <f>IF((M$4+1)&amp;"年"&amp;S$5&lt;&gt;'9.项目开发计划表'!$AG$22,1,(M$4+1)&amp;"年"&amp;S$5)</f>
        <v>1</v>
      </c>
      <c r="T237" s="313">
        <f>IF((M$4+1)&amp;"年"&amp;T$5&lt;&gt;'9.项目开发计划表'!$AG$22,1,(M$4+1)&amp;"年"&amp;T$5)</f>
        <v>1</v>
      </c>
      <c r="U237" s="322">
        <f>IF((Q$4+1)&amp;"年"&amp;U$5&lt;&gt;'9.项目开发计划表'!$AG$22,1,(Q$4+1)&amp;"年"&amp;U$5)</f>
        <v>1</v>
      </c>
      <c r="V237" s="312">
        <f>IF((Q$4+1)&amp;"年"&amp;V$5&lt;&gt;'9.项目开发计划表'!$AG$22,1,(Q$4+1)&amp;"年"&amp;V$5)</f>
        <v>1</v>
      </c>
      <c r="W237" s="312">
        <f>IF((Q$4+1)&amp;"年"&amp;W$5&lt;&gt;'9.项目开发计划表'!$AG$22,1,(Q$4+1)&amp;"年"&amp;W$5)</f>
        <v>1</v>
      </c>
      <c r="X237" s="313">
        <f>IF((Q$4+1)&amp;"年"&amp;X$5&lt;&gt;'9.项目开发计划表'!$AG$22,1,(Q$4+1)&amp;"年"&amp;X$5)</f>
        <v>1</v>
      </c>
      <c r="Y237" s="322">
        <f>IF((U$4+1)&amp;"年"&amp;Y$5&lt;&gt;'9.项目开发计划表'!$AG$22,1,(U$4+1)&amp;"年"&amp;Y$5)</f>
        <v>1</v>
      </c>
      <c r="Z237" s="312">
        <f>IF((U$4+1)&amp;"年"&amp;Z$5&lt;&gt;'9.项目开发计划表'!$AG$22,1,(U$4+1)&amp;"年"&amp;Z$5)</f>
        <v>1</v>
      </c>
      <c r="AA237" s="312">
        <f>IF((U$4+1)&amp;"年"&amp;AA$5&lt;&gt;'9.项目开发计划表'!$AG$22,1,(U$4+1)&amp;"年"&amp;AA$5)</f>
        <v>1</v>
      </c>
      <c r="AB237" s="313">
        <f>IF((U$4+1)&amp;"年"&amp;AB$5&lt;&gt;'9.项目开发计划表'!$AG$22,1,(U$4+1)&amp;"年"&amp;AB$5)</f>
        <v>1</v>
      </c>
      <c r="AC237" s="322">
        <f>IF((Y$4+1)&amp;"年"&amp;AC$5&lt;&gt;'9.项目开发计划表'!$AG$22,1,(Y$4+1)&amp;"年"&amp;AC$5)</f>
        <v>1</v>
      </c>
      <c r="AD237" s="312">
        <f>IF((Y$4+1)&amp;"年"&amp;AD$5&lt;&gt;'9.项目开发计划表'!$AG$22,1,(Y$4+1)&amp;"年"&amp;AD$5)</f>
        <v>1</v>
      </c>
      <c r="AE237" s="312">
        <f>IF((Y$4+1)&amp;"年"&amp;AE$5&lt;&gt;'9.项目开发计划表'!$AG$22,1,(Y$4+1)&amp;"年"&amp;AE$5)</f>
        <v>1</v>
      </c>
      <c r="AF237" s="313">
        <f>IF((Y$4+1)&amp;"年"&amp;AF$5&lt;&gt;'9.项目开发计划表'!$AG$22,1,(Y$4+1)&amp;"年"&amp;AF$5)</f>
        <v>1</v>
      </c>
      <c r="AG237" s="322">
        <f>IF((AC$4+1)&amp;"年"&amp;AG$5&lt;&gt;'9.项目开发计划表'!$AG$22,1,(AC$4+1)&amp;"年"&amp;AG$5)</f>
        <v>1</v>
      </c>
      <c r="AH237" s="312">
        <f>IF((AC$4+1)&amp;"年"&amp;AH$5&lt;&gt;'9.项目开发计划表'!$AG$22,1,(AC$4+1)&amp;"年"&amp;AH$5)</f>
        <v>1</v>
      </c>
      <c r="AI237" s="312">
        <f>IF((AC$4+1)&amp;"年"&amp;AI$5&lt;&gt;'9.项目开发计划表'!$AG$22,1,(AC$4+1)&amp;"年"&amp;AI$5)</f>
        <v>1</v>
      </c>
      <c r="AJ237" s="313">
        <f>IF((AC$4+1)&amp;"年"&amp;AJ$5&lt;&gt;'9.项目开发计划表'!$AG$22,1,(AC$4+1)&amp;"年"&amp;AJ$5)</f>
        <v>1</v>
      </c>
      <c r="AK237" s="322">
        <f>IF((AG$4+1)&amp;"年"&amp;AK$5&lt;&gt;'9.项目开发计划表'!$AG$22,1,(AG$4+1)&amp;"年"&amp;AK$5)</f>
        <v>1</v>
      </c>
      <c r="AL237" s="312">
        <f>IF((AG$4+1)&amp;"年"&amp;AL$5&lt;&gt;'9.项目开发计划表'!$AG$22,1,(AG$4+1)&amp;"年"&amp;AL$5)</f>
        <v>1</v>
      </c>
      <c r="AM237" s="312">
        <f>IF((AG$4+1)&amp;"年"&amp;AM$5&lt;&gt;'9.项目开发计划表'!$AG$22,1,(AG$4+1)&amp;"年"&amp;AM$5)</f>
        <v>1</v>
      </c>
      <c r="AN237" s="313">
        <f>IF((AG$4+1)&amp;"年"&amp;AN$5&lt;&gt;'9.项目开发计划表'!$AG$22,1,(AG$4+1)&amp;"年"&amp;AN$5)</f>
        <v>1</v>
      </c>
      <c r="AO237" s="322">
        <f>IF((AK$4+1)&amp;"年"&amp;AO$5&lt;&gt;'9.项目开发计划表'!$AG$22,1,(AK$4+1)&amp;"年"&amp;AO$5)</f>
        <v>1</v>
      </c>
      <c r="AP237" s="312">
        <f>IF((AK$4+1)&amp;"年"&amp;AP$5&lt;&gt;'9.项目开发计划表'!$AG$22,1,(AK$4+1)&amp;"年"&amp;AP$5)</f>
        <v>1</v>
      </c>
      <c r="AQ237" s="312">
        <f>IF((AK$4+1)&amp;"年"&amp;AQ$5&lt;&gt;'9.项目开发计划表'!$AG$22,1,(AK$4+1)&amp;"年"&amp;AQ$5)</f>
        <v>1</v>
      </c>
      <c r="AR237" s="313">
        <f>IF((AK$4+1)&amp;"年"&amp;AR$5&lt;&gt;'9.项目开发计划表'!$AG$22,1,(AK$4+1)&amp;"年"&amp;AR$5)</f>
        <v>1</v>
      </c>
      <c r="AS237" s="322">
        <f>IF((AO$4+1)&amp;"年"&amp;AS$5&lt;&gt;'9.项目开发计划表'!$AG$22,1,(AO$4+1)&amp;"年"&amp;AS$5)</f>
        <v>1</v>
      </c>
      <c r="AT237" s="312">
        <f>IF((AO$4+1)&amp;"年"&amp;AT$5&lt;&gt;'9.项目开发计划表'!$AG$22,1,(AO$4+1)&amp;"年"&amp;AT$5)</f>
        <v>1</v>
      </c>
      <c r="AU237" s="312">
        <f>IF((AO$4+1)&amp;"年"&amp;AU$5&lt;&gt;'9.项目开发计划表'!$AG$22,1,(AO$4+1)&amp;"年"&amp;AU$5)</f>
        <v>1</v>
      </c>
      <c r="AV237" s="313">
        <f>IF((AO$4+1)&amp;"年"&amp;AV$5&lt;&gt;'9.项目开发计划表'!$AG$22,1,(AO$4+1)&amp;"年"&amp;AV$5)</f>
        <v>1</v>
      </c>
    </row>
    <row r="238" spans="2:48" s="256" customFormat="1" ht="15.75" customHeight="1" outlineLevel="1">
      <c r="B238" s="321"/>
      <c r="C238" s="1980"/>
      <c r="D238" s="1982"/>
      <c r="E238" s="280">
        <f>IF(E237=1,0,1)</f>
        <v>0</v>
      </c>
      <c r="F238" s="281">
        <f t="shared" si="53"/>
        <v>0</v>
      </c>
      <c r="G238" s="281">
        <f t="shared" si="53"/>
        <v>0</v>
      </c>
      <c r="H238" s="282">
        <f t="shared" si="53"/>
        <v>0</v>
      </c>
      <c r="I238" s="323">
        <f t="shared" ref="I238:AV238" si="57">IF(I237=1,0,1)</f>
        <v>0</v>
      </c>
      <c r="J238" s="281">
        <f t="shared" si="57"/>
        <v>0</v>
      </c>
      <c r="K238" s="281">
        <f t="shared" si="57"/>
        <v>0</v>
      </c>
      <c r="L238" s="282">
        <f t="shared" si="57"/>
        <v>0</v>
      </c>
      <c r="M238" s="323">
        <f t="shared" si="57"/>
        <v>0</v>
      </c>
      <c r="N238" s="281">
        <f t="shared" si="57"/>
        <v>0</v>
      </c>
      <c r="O238" s="281">
        <f t="shared" si="57"/>
        <v>0</v>
      </c>
      <c r="P238" s="282">
        <f t="shared" si="57"/>
        <v>0</v>
      </c>
      <c r="Q238" s="323">
        <f t="shared" si="57"/>
        <v>0</v>
      </c>
      <c r="R238" s="281">
        <f t="shared" si="57"/>
        <v>0</v>
      </c>
      <c r="S238" s="281">
        <f t="shared" si="57"/>
        <v>0</v>
      </c>
      <c r="T238" s="282">
        <f t="shared" si="57"/>
        <v>0</v>
      </c>
      <c r="U238" s="323">
        <f t="shared" si="57"/>
        <v>0</v>
      </c>
      <c r="V238" s="281">
        <f t="shared" si="57"/>
        <v>0</v>
      </c>
      <c r="W238" s="281">
        <f t="shared" si="57"/>
        <v>0</v>
      </c>
      <c r="X238" s="282">
        <f t="shared" si="57"/>
        <v>0</v>
      </c>
      <c r="Y238" s="323">
        <f t="shared" si="57"/>
        <v>0</v>
      </c>
      <c r="Z238" s="281">
        <f t="shared" si="57"/>
        <v>0</v>
      </c>
      <c r="AA238" s="281">
        <f t="shared" si="57"/>
        <v>0</v>
      </c>
      <c r="AB238" s="282">
        <f t="shared" si="57"/>
        <v>0</v>
      </c>
      <c r="AC238" s="323">
        <f t="shared" si="57"/>
        <v>0</v>
      </c>
      <c r="AD238" s="281">
        <f t="shared" si="57"/>
        <v>0</v>
      </c>
      <c r="AE238" s="281">
        <f t="shared" si="57"/>
        <v>0</v>
      </c>
      <c r="AF238" s="282">
        <f t="shared" si="57"/>
        <v>0</v>
      </c>
      <c r="AG238" s="323">
        <f t="shared" si="57"/>
        <v>0</v>
      </c>
      <c r="AH238" s="281">
        <f t="shared" si="57"/>
        <v>0</v>
      </c>
      <c r="AI238" s="281">
        <f t="shared" si="57"/>
        <v>0</v>
      </c>
      <c r="AJ238" s="282">
        <f t="shared" si="57"/>
        <v>0</v>
      </c>
      <c r="AK238" s="323">
        <f t="shared" si="57"/>
        <v>0</v>
      </c>
      <c r="AL238" s="281">
        <f t="shared" si="57"/>
        <v>0</v>
      </c>
      <c r="AM238" s="281">
        <f t="shared" si="57"/>
        <v>0</v>
      </c>
      <c r="AN238" s="282">
        <f t="shared" si="57"/>
        <v>0</v>
      </c>
      <c r="AO238" s="323">
        <f t="shared" si="57"/>
        <v>0</v>
      </c>
      <c r="AP238" s="281">
        <f t="shared" si="57"/>
        <v>0</v>
      </c>
      <c r="AQ238" s="281">
        <f t="shared" si="57"/>
        <v>0</v>
      </c>
      <c r="AR238" s="282">
        <f t="shared" si="57"/>
        <v>0</v>
      </c>
      <c r="AS238" s="323">
        <f t="shared" si="57"/>
        <v>0</v>
      </c>
      <c r="AT238" s="281">
        <f t="shared" si="57"/>
        <v>0</v>
      </c>
      <c r="AU238" s="281">
        <f t="shared" si="57"/>
        <v>0</v>
      </c>
      <c r="AV238" s="282">
        <f t="shared" si="57"/>
        <v>0</v>
      </c>
    </row>
    <row r="239" spans="2:48" outlineLevel="1">
      <c r="C239" s="1980"/>
      <c r="D239" s="1981">
        <f>'8.项目规划指标表'!$B$10</f>
        <v>0</v>
      </c>
      <c r="E239" s="311">
        <f>IF($E$4&amp;"年"&amp;E$5&lt;&gt;'9.项目开发计划表'!$AG$23,1,$E$4&amp;"年"&amp;E$5)</f>
        <v>1</v>
      </c>
      <c r="F239" s="312">
        <f>IF($E$4&amp;"年"&amp;F$5&lt;&gt;'9.项目开发计划表'!$AG$23,1,$E$4&amp;"年"&amp;F$5)</f>
        <v>1</v>
      </c>
      <c r="G239" s="312">
        <f>IF($E$4&amp;"年"&amp;G$5&lt;&gt;'9.项目开发计划表'!$AG$23,1,$E$4&amp;"年"&amp;G$5)</f>
        <v>1</v>
      </c>
      <c r="H239" s="313">
        <f>IF($E$4&amp;"年"&amp;H$5&lt;&gt;'9.项目开发计划表'!$AG$23,1,$E$4&amp;"年"&amp;H$5)</f>
        <v>1</v>
      </c>
      <c r="I239" s="322">
        <f>IF((E$4+1)&amp;"年"&amp;I$5&lt;&gt;'9.项目开发计划表'!$AG$23,1,(E$4+1)&amp;"年"&amp;I$5)</f>
        <v>1</v>
      </c>
      <c r="J239" s="312">
        <f>IF((E$4+1)&amp;"年"&amp;J$5&lt;&gt;'9.项目开发计划表'!$AG$23,1,(E$4+1)&amp;"年"&amp;J$5)</f>
        <v>1</v>
      </c>
      <c r="K239" s="312">
        <f>IF((E$4+1)&amp;"年"&amp;K$5&lt;&gt;'9.项目开发计划表'!$AG$23,1,(E$4+1)&amp;"年"&amp;K$5)</f>
        <v>1</v>
      </c>
      <c r="L239" s="313">
        <f>IF((E$4+1)&amp;"年"&amp;L$5&lt;&gt;'9.项目开发计划表'!$AG$23,1,(E$4+1)&amp;"年"&amp;L$5)</f>
        <v>1</v>
      </c>
      <c r="M239" s="322">
        <f>IF((I$4+1)&amp;"年"&amp;M$5&lt;&gt;'9.项目开发计划表'!$AG$23,1,(I$4+1)&amp;"年"&amp;M$5)</f>
        <v>1</v>
      </c>
      <c r="N239" s="312">
        <f>IF((I$4+1)&amp;"年"&amp;N$5&lt;&gt;'9.项目开发计划表'!$AG$23,1,(I$4+1)&amp;"年"&amp;N$5)</f>
        <v>1</v>
      </c>
      <c r="O239" s="312">
        <f>IF((I$4+1)&amp;"年"&amp;O$5&lt;&gt;'9.项目开发计划表'!$AG$23,1,(I$4+1)&amp;"年"&amp;O$5)</f>
        <v>1</v>
      </c>
      <c r="P239" s="313">
        <f>IF((I$4+1)&amp;"年"&amp;P$5&lt;&gt;'9.项目开发计划表'!$AG$23,1,(I$4+1)&amp;"年"&amp;P$5)</f>
        <v>1</v>
      </c>
      <c r="Q239" s="322">
        <f>IF((M$4+1)&amp;"年"&amp;Q$5&lt;&gt;'9.项目开发计划表'!$AG$23,1,(M$4+1)&amp;"年"&amp;Q$5)</f>
        <v>1</v>
      </c>
      <c r="R239" s="312">
        <f>IF((M$4+1)&amp;"年"&amp;R$5&lt;&gt;'9.项目开发计划表'!$AG$23,1,(M$4+1)&amp;"年"&amp;R$5)</f>
        <v>1</v>
      </c>
      <c r="S239" s="312">
        <f>IF((M$4+1)&amp;"年"&amp;S$5&lt;&gt;'9.项目开发计划表'!$AG$23,1,(M$4+1)&amp;"年"&amp;S$5)</f>
        <v>1</v>
      </c>
      <c r="T239" s="313">
        <f>IF((M$4+1)&amp;"年"&amp;T$5&lt;&gt;'9.项目开发计划表'!$AG$23,1,(M$4+1)&amp;"年"&amp;T$5)</f>
        <v>1</v>
      </c>
      <c r="U239" s="322">
        <f>IF((Q$4+1)&amp;"年"&amp;U$5&lt;&gt;'9.项目开发计划表'!$AG$23,1,(Q$4+1)&amp;"年"&amp;U$5)</f>
        <v>1</v>
      </c>
      <c r="V239" s="312">
        <f>IF((Q$4+1)&amp;"年"&amp;V$5&lt;&gt;'9.项目开发计划表'!$AG$23,1,(Q$4+1)&amp;"年"&amp;V$5)</f>
        <v>1</v>
      </c>
      <c r="W239" s="312">
        <f>IF((Q$4+1)&amp;"年"&amp;W$5&lt;&gt;'9.项目开发计划表'!$AG$23,1,(Q$4+1)&amp;"年"&amp;W$5)</f>
        <v>1</v>
      </c>
      <c r="X239" s="313">
        <f>IF((Q$4+1)&amp;"年"&amp;X$5&lt;&gt;'9.项目开发计划表'!$AG$23,1,(Q$4+1)&amp;"年"&amp;X$5)</f>
        <v>1</v>
      </c>
      <c r="Y239" s="322">
        <f>IF((U$4+1)&amp;"年"&amp;Y$5&lt;&gt;'9.项目开发计划表'!$AG$23,1,(U$4+1)&amp;"年"&amp;Y$5)</f>
        <v>1</v>
      </c>
      <c r="Z239" s="312">
        <f>IF((U$4+1)&amp;"年"&amp;Z$5&lt;&gt;'9.项目开发计划表'!$AG$23,1,(U$4+1)&amp;"年"&amp;Z$5)</f>
        <v>1</v>
      </c>
      <c r="AA239" s="312">
        <f>IF((U$4+1)&amp;"年"&amp;AA$5&lt;&gt;'9.项目开发计划表'!$AG$23,1,(U$4+1)&amp;"年"&amp;AA$5)</f>
        <v>1</v>
      </c>
      <c r="AB239" s="313">
        <f>IF((U$4+1)&amp;"年"&amp;AB$5&lt;&gt;'9.项目开发计划表'!$AG$23,1,(U$4+1)&amp;"年"&amp;AB$5)</f>
        <v>1</v>
      </c>
      <c r="AC239" s="322">
        <f>IF((Y$4+1)&amp;"年"&amp;AC$5&lt;&gt;'9.项目开发计划表'!$AG$23,1,(Y$4+1)&amp;"年"&amp;AC$5)</f>
        <v>1</v>
      </c>
      <c r="AD239" s="312">
        <f>IF((Y$4+1)&amp;"年"&amp;AD$5&lt;&gt;'9.项目开发计划表'!$AG$23,1,(Y$4+1)&amp;"年"&amp;AD$5)</f>
        <v>1</v>
      </c>
      <c r="AE239" s="312">
        <f>IF((Y$4+1)&amp;"年"&amp;AE$5&lt;&gt;'9.项目开发计划表'!$AG$23,1,(Y$4+1)&amp;"年"&amp;AE$5)</f>
        <v>1</v>
      </c>
      <c r="AF239" s="313">
        <f>IF((Y$4+1)&amp;"年"&amp;AF$5&lt;&gt;'9.项目开发计划表'!$AG$23,1,(Y$4+1)&amp;"年"&amp;AF$5)</f>
        <v>1</v>
      </c>
      <c r="AG239" s="322">
        <f>IF((AC$4+1)&amp;"年"&amp;AG$5&lt;&gt;'9.项目开发计划表'!$AG$23,1,(AC$4+1)&amp;"年"&amp;AG$5)</f>
        <v>1</v>
      </c>
      <c r="AH239" s="312">
        <f>IF((AC$4+1)&amp;"年"&amp;AH$5&lt;&gt;'9.项目开发计划表'!$AG$23,1,(AC$4+1)&amp;"年"&amp;AH$5)</f>
        <v>1</v>
      </c>
      <c r="AI239" s="312">
        <f>IF((AC$4+1)&amp;"年"&amp;AI$5&lt;&gt;'9.项目开发计划表'!$AG$23,1,(AC$4+1)&amp;"年"&amp;AI$5)</f>
        <v>1</v>
      </c>
      <c r="AJ239" s="313">
        <f>IF((AC$4+1)&amp;"年"&amp;AJ$5&lt;&gt;'9.项目开发计划表'!$AG$23,1,(AC$4+1)&amp;"年"&amp;AJ$5)</f>
        <v>1</v>
      </c>
      <c r="AK239" s="322">
        <f>IF((AG$4+1)&amp;"年"&amp;AK$5&lt;&gt;'9.项目开发计划表'!$AG$23,1,(AG$4+1)&amp;"年"&amp;AK$5)</f>
        <v>1</v>
      </c>
      <c r="AL239" s="312">
        <f>IF((AG$4+1)&amp;"年"&amp;AL$5&lt;&gt;'9.项目开发计划表'!$AG$23,1,(AG$4+1)&amp;"年"&amp;AL$5)</f>
        <v>1</v>
      </c>
      <c r="AM239" s="312">
        <f>IF((AG$4+1)&amp;"年"&amp;AM$5&lt;&gt;'9.项目开发计划表'!$AG$23,1,(AG$4+1)&amp;"年"&amp;AM$5)</f>
        <v>1</v>
      </c>
      <c r="AN239" s="313">
        <f>IF((AG$4+1)&amp;"年"&amp;AN$5&lt;&gt;'9.项目开发计划表'!$AG$23,1,(AG$4+1)&amp;"年"&amp;AN$5)</f>
        <v>1</v>
      </c>
      <c r="AO239" s="322">
        <f>IF((AK$4+1)&amp;"年"&amp;AO$5&lt;&gt;'9.项目开发计划表'!$AG$23,1,(AK$4+1)&amp;"年"&amp;AO$5)</f>
        <v>1</v>
      </c>
      <c r="AP239" s="312">
        <f>IF((AK$4+1)&amp;"年"&amp;AP$5&lt;&gt;'9.项目开发计划表'!$AG$23,1,(AK$4+1)&amp;"年"&amp;AP$5)</f>
        <v>1</v>
      </c>
      <c r="AQ239" s="312">
        <f>IF((AK$4+1)&amp;"年"&amp;AQ$5&lt;&gt;'9.项目开发计划表'!$AG$23,1,(AK$4+1)&amp;"年"&amp;AQ$5)</f>
        <v>1</v>
      </c>
      <c r="AR239" s="313">
        <f>IF((AK$4+1)&amp;"年"&amp;AR$5&lt;&gt;'9.项目开发计划表'!$AG$23,1,(AK$4+1)&amp;"年"&amp;AR$5)</f>
        <v>1</v>
      </c>
      <c r="AS239" s="322">
        <f>IF((AO$4+1)&amp;"年"&amp;AS$5&lt;&gt;'9.项目开发计划表'!$AG$23,1,(AO$4+1)&amp;"年"&amp;AS$5)</f>
        <v>1</v>
      </c>
      <c r="AT239" s="312">
        <f>IF((AO$4+1)&amp;"年"&amp;AT$5&lt;&gt;'9.项目开发计划表'!$AG$23,1,(AO$4+1)&amp;"年"&amp;AT$5)</f>
        <v>1</v>
      </c>
      <c r="AU239" s="312">
        <f>IF((AO$4+1)&amp;"年"&amp;AU$5&lt;&gt;'9.项目开发计划表'!$AG$23,1,(AO$4+1)&amp;"年"&amp;AU$5)</f>
        <v>1</v>
      </c>
      <c r="AV239" s="313">
        <f>IF((AO$4+1)&amp;"年"&amp;AV$5&lt;&gt;'9.项目开发计划表'!$AG$23,1,(AO$4+1)&amp;"年"&amp;AV$5)</f>
        <v>1</v>
      </c>
    </row>
    <row r="240" spans="2:48" outlineLevel="1">
      <c r="C240" s="1980"/>
      <c r="D240" s="1982"/>
      <c r="E240" s="280">
        <f>IF(E239=1,0,1)</f>
        <v>0</v>
      </c>
      <c r="F240" s="281">
        <f t="shared" si="53"/>
        <v>0</v>
      </c>
      <c r="G240" s="281">
        <f t="shared" si="53"/>
        <v>0</v>
      </c>
      <c r="H240" s="282">
        <f t="shared" si="53"/>
        <v>0</v>
      </c>
      <c r="I240" s="323">
        <f t="shared" ref="I240:AV240" si="58">IF(I239=1,0,1)</f>
        <v>0</v>
      </c>
      <c r="J240" s="281">
        <f t="shared" si="58"/>
        <v>0</v>
      </c>
      <c r="K240" s="281">
        <f t="shared" si="58"/>
        <v>0</v>
      </c>
      <c r="L240" s="282">
        <f t="shared" si="58"/>
        <v>0</v>
      </c>
      <c r="M240" s="323">
        <f t="shared" si="58"/>
        <v>0</v>
      </c>
      <c r="N240" s="281">
        <f t="shared" si="58"/>
        <v>0</v>
      </c>
      <c r="O240" s="281">
        <f t="shared" si="58"/>
        <v>0</v>
      </c>
      <c r="P240" s="282">
        <f t="shared" si="58"/>
        <v>0</v>
      </c>
      <c r="Q240" s="323">
        <f t="shared" si="58"/>
        <v>0</v>
      </c>
      <c r="R240" s="281">
        <f t="shared" si="58"/>
        <v>0</v>
      </c>
      <c r="S240" s="281">
        <f t="shared" si="58"/>
        <v>0</v>
      </c>
      <c r="T240" s="282">
        <f t="shared" si="58"/>
        <v>0</v>
      </c>
      <c r="U240" s="323">
        <f t="shared" si="58"/>
        <v>0</v>
      </c>
      <c r="V240" s="281">
        <f t="shared" si="58"/>
        <v>0</v>
      </c>
      <c r="W240" s="281">
        <f t="shared" si="58"/>
        <v>0</v>
      </c>
      <c r="X240" s="282">
        <f t="shared" si="58"/>
        <v>0</v>
      </c>
      <c r="Y240" s="323">
        <f t="shared" si="58"/>
        <v>0</v>
      </c>
      <c r="Z240" s="281">
        <f t="shared" si="58"/>
        <v>0</v>
      </c>
      <c r="AA240" s="281">
        <f t="shared" si="58"/>
        <v>0</v>
      </c>
      <c r="AB240" s="282">
        <f t="shared" si="58"/>
        <v>0</v>
      </c>
      <c r="AC240" s="323">
        <f t="shared" si="58"/>
        <v>0</v>
      </c>
      <c r="AD240" s="281">
        <f t="shared" si="58"/>
        <v>0</v>
      </c>
      <c r="AE240" s="281">
        <f t="shared" si="58"/>
        <v>0</v>
      </c>
      <c r="AF240" s="282">
        <f t="shared" si="58"/>
        <v>0</v>
      </c>
      <c r="AG240" s="323">
        <f t="shared" si="58"/>
        <v>0</v>
      </c>
      <c r="AH240" s="281">
        <f t="shared" si="58"/>
        <v>0</v>
      </c>
      <c r="AI240" s="281">
        <f t="shared" si="58"/>
        <v>0</v>
      </c>
      <c r="AJ240" s="282">
        <f t="shared" si="58"/>
        <v>0</v>
      </c>
      <c r="AK240" s="323">
        <f t="shared" si="58"/>
        <v>0</v>
      </c>
      <c r="AL240" s="281">
        <f t="shared" si="58"/>
        <v>0</v>
      </c>
      <c r="AM240" s="281">
        <f t="shared" si="58"/>
        <v>0</v>
      </c>
      <c r="AN240" s="282">
        <f t="shared" si="58"/>
        <v>0</v>
      </c>
      <c r="AO240" s="323">
        <f t="shared" si="58"/>
        <v>0</v>
      </c>
      <c r="AP240" s="281">
        <f t="shared" si="58"/>
        <v>0</v>
      </c>
      <c r="AQ240" s="281">
        <f t="shared" si="58"/>
        <v>0</v>
      </c>
      <c r="AR240" s="282">
        <f t="shared" si="58"/>
        <v>0</v>
      </c>
      <c r="AS240" s="323">
        <f t="shared" si="58"/>
        <v>0</v>
      </c>
      <c r="AT240" s="281">
        <f t="shared" si="58"/>
        <v>0</v>
      </c>
      <c r="AU240" s="281">
        <f t="shared" si="58"/>
        <v>0</v>
      </c>
      <c r="AV240" s="282">
        <f t="shared" si="58"/>
        <v>0</v>
      </c>
    </row>
    <row r="241" spans="2:48" outlineLevel="1">
      <c r="C241" s="1980"/>
      <c r="D241" s="1981">
        <f>'8.项目规划指标表'!$B$11</f>
        <v>0</v>
      </c>
      <c r="E241" s="311">
        <f>IF($E$4&amp;"年"&amp;E$5&lt;&gt;'9.项目开发计划表'!$AG$24,1,$E$4&amp;"年"&amp;E$5)</f>
        <v>1</v>
      </c>
      <c r="F241" s="312">
        <f>IF($E$4&amp;"年"&amp;F$5&lt;&gt;'9.项目开发计划表'!$AG$24,1,$E$4&amp;"年"&amp;F$5)</f>
        <v>1</v>
      </c>
      <c r="G241" s="312">
        <f>IF($E$4&amp;"年"&amp;G$5&lt;&gt;'9.项目开发计划表'!$AG$24,1,$E$4&amp;"年"&amp;G$5)</f>
        <v>1</v>
      </c>
      <c r="H241" s="313">
        <f>IF($E$4&amp;"年"&amp;H$5&lt;&gt;'9.项目开发计划表'!$AG$24,1,$E$4&amp;"年"&amp;H$5)</f>
        <v>1</v>
      </c>
      <c r="I241" s="322">
        <f>IF((E$4+1)&amp;"年"&amp;I$5&lt;&gt;'9.项目开发计划表'!$AG$24,1,(E$4+1)&amp;"年"&amp;I$5)</f>
        <v>1</v>
      </c>
      <c r="J241" s="312">
        <f>IF((E$4+1)&amp;"年"&amp;J$5&lt;&gt;'9.项目开发计划表'!$AG$24,1,(E$4+1)&amp;"年"&amp;J$5)</f>
        <v>1</v>
      </c>
      <c r="K241" s="312">
        <f>IF((E$4+1)&amp;"年"&amp;K$5&lt;&gt;'9.项目开发计划表'!$AG$24,1,(E$4+1)&amp;"年"&amp;K$5)</f>
        <v>1</v>
      </c>
      <c r="L241" s="313">
        <f>IF((E$4+1)&amp;"年"&amp;L$5&lt;&gt;'9.项目开发计划表'!$AG$24,1,(E$4+1)&amp;"年"&amp;L$5)</f>
        <v>1</v>
      </c>
      <c r="M241" s="322">
        <f>IF((I$4+1)&amp;"年"&amp;M$5&lt;&gt;'9.项目开发计划表'!$AG$24,1,(I$4+1)&amp;"年"&amp;M$5)</f>
        <v>1</v>
      </c>
      <c r="N241" s="312">
        <f>IF((I$4+1)&amp;"年"&amp;N$5&lt;&gt;'9.项目开发计划表'!$AG$24,1,(I$4+1)&amp;"年"&amp;N$5)</f>
        <v>1</v>
      </c>
      <c r="O241" s="312">
        <f>IF((I$4+1)&amp;"年"&amp;O$5&lt;&gt;'9.项目开发计划表'!$AG$24,1,(I$4+1)&amp;"年"&amp;O$5)</f>
        <v>1</v>
      </c>
      <c r="P241" s="313">
        <f>IF((I$4+1)&amp;"年"&amp;P$5&lt;&gt;'9.项目开发计划表'!$AG$24,1,(I$4+1)&amp;"年"&amp;P$5)</f>
        <v>1</v>
      </c>
      <c r="Q241" s="322">
        <f>IF((M$4+1)&amp;"年"&amp;Q$5&lt;&gt;'9.项目开发计划表'!$AG$24,1,(M$4+1)&amp;"年"&amp;Q$5)</f>
        <v>1</v>
      </c>
      <c r="R241" s="312">
        <f>IF((M$4+1)&amp;"年"&amp;R$5&lt;&gt;'9.项目开发计划表'!$AG$24,1,(M$4+1)&amp;"年"&amp;R$5)</f>
        <v>1</v>
      </c>
      <c r="S241" s="312">
        <f>IF((M$4+1)&amp;"年"&amp;S$5&lt;&gt;'9.项目开发计划表'!$AG$24,1,(M$4+1)&amp;"年"&amp;S$5)</f>
        <v>1</v>
      </c>
      <c r="T241" s="313">
        <f>IF((M$4+1)&amp;"年"&amp;T$5&lt;&gt;'9.项目开发计划表'!$AG$24,1,(M$4+1)&amp;"年"&amp;T$5)</f>
        <v>1</v>
      </c>
      <c r="U241" s="322">
        <f>IF((Q$4+1)&amp;"年"&amp;U$5&lt;&gt;'9.项目开发计划表'!$AG$24,1,(Q$4+1)&amp;"年"&amp;U$5)</f>
        <v>1</v>
      </c>
      <c r="V241" s="312">
        <f>IF((Q$4+1)&amp;"年"&amp;V$5&lt;&gt;'9.项目开发计划表'!$AG$24,1,(Q$4+1)&amp;"年"&amp;V$5)</f>
        <v>1</v>
      </c>
      <c r="W241" s="312">
        <f>IF((Q$4+1)&amp;"年"&amp;W$5&lt;&gt;'9.项目开发计划表'!$AG$24,1,(Q$4+1)&amp;"年"&amp;W$5)</f>
        <v>1</v>
      </c>
      <c r="X241" s="313">
        <f>IF((Q$4+1)&amp;"年"&amp;X$5&lt;&gt;'9.项目开发计划表'!$AG$24,1,(Q$4+1)&amp;"年"&amp;X$5)</f>
        <v>1</v>
      </c>
      <c r="Y241" s="322">
        <f>IF((U$4+1)&amp;"年"&amp;Y$5&lt;&gt;'9.项目开发计划表'!$AG$24,1,(U$4+1)&amp;"年"&amp;Y$5)</f>
        <v>1</v>
      </c>
      <c r="Z241" s="312">
        <f>IF((U$4+1)&amp;"年"&amp;Z$5&lt;&gt;'9.项目开发计划表'!$AG$24,1,(U$4+1)&amp;"年"&amp;Z$5)</f>
        <v>1</v>
      </c>
      <c r="AA241" s="312">
        <f>IF((U$4+1)&amp;"年"&amp;AA$5&lt;&gt;'9.项目开发计划表'!$AG$24,1,(U$4+1)&amp;"年"&amp;AA$5)</f>
        <v>1</v>
      </c>
      <c r="AB241" s="313">
        <f>IF((U$4+1)&amp;"年"&amp;AB$5&lt;&gt;'9.项目开发计划表'!$AG$24,1,(U$4+1)&amp;"年"&amp;AB$5)</f>
        <v>1</v>
      </c>
      <c r="AC241" s="322">
        <f>IF((Y$4+1)&amp;"年"&amp;AC$5&lt;&gt;'9.项目开发计划表'!$AG$24,1,(Y$4+1)&amp;"年"&amp;AC$5)</f>
        <v>1</v>
      </c>
      <c r="AD241" s="312">
        <f>IF((Y$4+1)&amp;"年"&amp;AD$5&lt;&gt;'9.项目开发计划表'!$AG$24,1,(Y$4+1)&amp;"年"&amp;AD$5)</f>
        <v>1</v>
      </c>
      <c r="AE241" s="312">
        <f>IF((Y$4+1)&amp;"年"&amp;AE$5&lt;&gt;'9.项目开发计划表'!$AG$24,1,(Y$4+1)&amp;"年"&amp;AE$5)</f>
        <v>1</v>
      </c>
      <c r="AF241" s="313">
        <f>IF((Y$4+1)&amp;"年"&amp;AF$5&lt;&gt;'9.项目开发计划表'!$AG$24,1,(Y$4+1)&amp;"年"&amp;AF$5)</f>
        <v>1</v>
      </c>
      <c r="AG241" s="322">
        <f>IF((AC$4+1)&amp;"年"&amp;AG$5&lt;&gt;'9.项目开发计划表'!$AG$24,1,(AC$4+1)&amp;"年"&amp;AG$5)</f>
        <v>1</v>
      </c>
      <c r="AH241" s="312">
        <f>IF((AC$4+1)&amp;"年"&amp;AH$5&lt;&gt;'9.项目开发计划表'!$AG$24,1,(AC$4+1)&amp;"年"&amp;AH$5)</f>
        <v>1</v>
      </c>
      <c r="AI241" s="312">
        <f>IF((AC$4+1)&amp;"年"&amp;AI$5&lt;&gt;'9.项目开发计划表'!$AG$24,1,(AC$4+1)&amp;"年"&amp;AI$5)</f>
        <v>1</v>
      </c>
      <c r="AJ241" s="313">
        <f>IF((AC$4+1)&amp;"年"&amp;AJ$5&lt;&gt;'9.项目开发计划表'!$AG$24,1,(AC$4+1)&amp;"年"&amp;AJ$5)</f>
        <v>1</v>
      </c>
      <c r="AK241" s="322">
        <f>IF((AG$4+1)&amp;"年"&amp;AK$5&lt;&gt;'9.项目开发计划表'!$AG$24,1,(AG$4+1)&amp;"年"&amp;AK$5)</f>
        <v>1</v>
      </c>
      <c r="AL241" s="312">
        <f>IF((AG$4+1)&amp;"年"&amp;AL$5&lt;&gt;'9.项目开发计划表'!$AG$24,1,(AG$4+1)&amp;"年"&amp;AL$5)</f>
        <v>1</v>
      </c>
      <c r="AM241" s="312">
        <f>IF((AG$4+1)&amp;"年"&amp;AM$5&lt;&gt;'9.项目开发计划表'!$AG$24,1,(AG$4+1)&amp;"年"&amp;AM$5)</f>
        <v>1</v>
      </c>
      <c r="AN241" s="313">
        <f>IF((AG$4+1)&amp;"年"&amp;AN$5&lt;&gt;'9.项目开发计划表'!$AG$24,1,(AG$4+1)&amp;"年"&amp;AN$5)</f>
        <v>1</v>
      </c>
      <c r="AO241" s="322">
        <f>IF((AK$4+1)&amp;"年"&amp;AO$5&lt;&gt;'9.项目开发计划表'!$AG$24,1,(AK$4+1)&amp;"年"&amp;AO$5)</f>
        <v>1</v>
      </c>
      <c r="AP241" s="312">
        <f>IF((AK$4+1)&amp;"年"&amp;AP$5&lt;&gt;'9.项目开发计划表'!$AG$24,1,(AK$4+1)&amp;"年"&amp;AP$5)</f>
        <v>1</v>
      </c>
      <c r="AQ241" s="312">
        <f>IF((AK$4+1)&amp;"年"&amp;AQ$5&lt;&gt;'9.项目开发计划表'!$AG$24,1,(AK$4+1)&amp;"年"&amp;AQ$5)</f>
        <v>1</v>
      </c>
      <c r="AR241" s="313">
        <f>IF((AK$4+1)&amp;"年"&amp;AR$5&lt;&gt;'9.项目开发计划表'!$AG$24,1,(AK$4+1)&amp;"年"&amp;AR$5)</f>
        <v>1</v>
      </c>
      <c r="AS241" s="322">
        <f>IF((AO$4+1)&amp;"年"&amp;AS$5&lt;&gt;'9.项目开发计划表'!$AG$24,1,(AO$4+1)&amp;"年"&amp;AS$5)</f>
        <v>1</v>
      </c>
      <c r="AT241" s="312">
        <f>IF((AO$4+1)&amp;"年"&amp;AT$5&lt;&gt;'9.项目开发计划表'!$AG$24,1,(AO$4+1)&amp;"年"&amp;AT$5)</f>
        <v>1</v>
      </c>
      <c r="AU241" s="312">
        <f>IF((AO$4+1)&amp;"年"&amp;AU$5&lt;&gt;'9.项目开发计划表'!$AG$24,1,(AO$4+1)&amp;"年"&amp;AU$5)</f>
        <v>1</v>
      </c>
      <c r="AV241" s="313">
        <f>IF((AO$4+1)&amp;"年"&amp;AV$5&lt;&gt;'9.项目开发计划表'!$AG$24,1,(AO$4+1)&amp;"年"&amp;AV$5)</f>
        <v>1</v>
      </c>
    </row>
    <row r="242" spans="2:48" outlineLevel="1">
      <c r="C242" s="1980"/>
      <c r="D242" s="1982"/>
      <c r="E242" s="280">
        <f t="shared" ref="E242:M242" si="59">IF(E241=1,0,1)</f>
        <v>0</v>
      </c>
      <c r="F242" s="281">
        <f t="shared" si="59"/>
        <v>0</v>
      </c>
      <c r="G242" s="281">
        <f t="shared" si="59"/>
        <v>0</v>
      </c>
      <c r="H242" s="282">
        <f t="shared" si="59"/>
        <v>0</v>
      </c>
      <c r="I242" s="323">
        <f t="shared" si="59"/>
        <v>0</v>
      </c>
      <c r="J242" s="281">
        <f t="shared" si="59"/>
        <v>0</v>
      </c>
      <c r="K242" s="281">
        <f t="shared" si="59"/>
        <v>0</v>
      </c>
      <c r="L242" s="282">
        <f t="shared" si="59"/>
        <v>0</v>
      </c>
      <c r="M242" s="323">
        <f t="shared" si="59"/>
        <v>0</v>
      </c>
      <c r="N242" s="281">
        <f t="shared" ref="N242:AV242" si="60">IF(N241=1,0,1)</f>
        <v>0</v>
      </c>
      <c r="O242" s="281">
        <f t="shared" si="60"/>
        <v>0</v>
      </c>
      <c r="P242" s="282">
        <f t="shared" si="60"/>
        <v>0</v>
      </c>
      <c r="Q242" s="323">
        <f t="shared" si="60"/>
        <v>0</v>
      </c>
      <c r="R242" s="281">
        <f t="shared" si="60"/>
        <v>0</v>
      </c>
      <c r="S242" s="281">
        <f t="shared" si="60"/>
        <v>0</v>
      </c>
      <c r="T242" s="282">
        <f t="shared" si="60"/>
        <v>0</v>
      </c>
      <c r="U242" s="323">
        <f t="shared" si="60"/>
        <v>0</v>
      </c>
      <c r="V242" s="281">
        <f t="shared" si="60"/>
        <v>0</v>
      </c>
      <c r="W242" s="281">
        <f t="shared" si="60"/>
        <v>0</v>
      </c>
      <c r="X242" s="282">
        <f t="shared" si="60"/>
        <v>0</v>
      </c>
      <c r="Y242" s="323">
        <f t="shared" si="60"/>
        <v>0</v>
      </c>
      <c r="Z242" s="281">
        <f t="shared" si="60"/>
        <v>0</v>
      </c>
      <c r="AA242" s="281">
        <f t="shared" si="60"/>
        <v>0</v>
      </c>
      <c r="AB242" s="282">
        <f t="shared" si="60"/>
        <v>0</v>
      </c>
      <c r="AC242" s="323">
        <f t="shared" si="60"/>
        <v>0</v>
      </c>
      <c r="AD242" s="281">
        <f t="shared" si="60"/>
        <v>0</v>
      </c>
      <c r="AE242" s="281">
        <f t="shared" si="60"/>
        <v>0</v>
      </c>
      <c r="AF242" s="282">
        <f t="shared" si="60"/>
        <v>0</v>
      </c>
      <c r="AG242" s="323">
        <f t="shared" si="60"/>
        <v>0</v>
      </c>
      <c r="AH242" s="281">
        <f t="shared" si="60"/>
        <v>0</v>
      </c>
      <c r="AI242" s="281">
        <f t="shared" si="60"/>
        <v>0</v>
      </c>
      <c r="AJ242" s="282">
        <f t="shared" si="60"/>
        <v>0</v>
      </c>
      <c r="AK242" s="323">
        <f t="shared" si="60"/>
        <v>0</v>
      </c>
      <c r="AL242" s="281">
        <f t="shared" si="60"/>
        <v>0</v>
      </c>
      <c r="AM242" s="281">
        <f t="shared" si="60"/>
        <v>0</v>
      </c>
      <c r="AN242" s="282">
        <f t="shared" si="60"/>
        <v>0</v>
      </c>
      <c r="AO242" s="323">
        <f t="shared" si="60"/>
        <v>0</v>
      </c>
      <c r="AP242" s="281">
        <f t="shared" si="60"/>
        <v>0</v>
      </c>
      <c r="AQ242" s="281">
        <f t="shared" si="60"/>
        <v>0</v>
      </c>
      <c r="AR242" s="282">
        <f t="shared" si="60"/>
        <v>0</v>
      </c>
      <c r="AS242" s="323">
        <f t="shared" si="60"/>
        <v>0</v>
      </c>
      <c r="AT242" s="281">
        <f t="shared" si="60"/>
        <v>0</v>
      </c>
      <c r="AU242" s="281">
        <f t="shared" si="60"/>
        <v>0</v>
      </c>
      <c r="AV242" s="282">
        <f t="shared" si="60"/>
        <v>0</v>
      </c>
    </row>
    <row r="243" spans="2:48" outlineLevel="1">
      <c r="C243" s="1980"/>
      <c r="D243" s="1981">
        <f>'8.项目规划指标表'!$B$12</f>
        <v>0</v>
      </c>
      <c r="E243" s="311">
        <f>IF($E$4&amp;"年"&amp;E$5&lt;&gt;'9.项目开发计划表'!$AG$25,1,$E$4&amp;"年"&amp;E$5)</f>
        <v>1</v>
      </c>
      <c r="F243" s="312">
        <f>IF($E$4&amp;"年"&amp;F$5&lt;&gt;'9.项目开发计划表'!$AG$25,1,$E$4&amp;"年"&amp;F$5)</f>
        <v>1</v>
      </c>
      <c r="G243" s="312">
        <f>IF($E$4&amp;"年"&amp;G$5&lt;&gt;'9.项目开发计划表'!$AG$25,1,$E$4&amp;"年"&amp;G$5)</f>
        <v>1</v>
      </c>
      <c r="H243" s="313">
        <f>IF($E$4&amp;"年"&amp;H$5&lt;&gt;'9.项目开发计划表'!$AG$25,1,$E$4&amp;"年"&amp;H$5)</f>
        <v>1</v>
      </c>
      <c r="I243" s="322">
        <f>IF((E$4+1)&amp;"年"&amp;I$5&lt;&gt;'9.项目开发计划表'!$AG$25,1,(E$4+1)&amp;"年"&amp;I$5)</f>
        <v>1</v>
      </c>
      <c r="J243" s="312">
        <f>IF((E$4+1)&amp;"年"&amp;J$5&lt;&gt;'9.项目开发计划表'!$AG$25,1,(E$4+1)&amp;"年"&amp;J$5)</f>
        <v>1</v>
      </c>
      <c r="K243" s="312">
        <f>IF((E$4+1)&amp;"年"&amp;K$5&lt;&gt;'9.项目开发计划表'!$AG$25,1,(E$4+1)&amp;"年"&amp;K$5)</f>
        <v>1</v>
      </c>
      <c r="L243" s="313">
        <f>IF((E$4+1)&amp;"年"&amp;L$5&lt;&gt;'9.项目开发计划表'!$AG$25,1,(E$4+1)&amp;"年"&amp;L$5)</f>
        <v>1</v>
      </c>
      <c r="M243" s="322">
        <f>IF((I$4+1)&amp;"年"&amp;M$5&lt;&gt;'9.项目开发计划表'!$AG$25,1,(I$4+1)&amp;"年"&amp;M$5)</f>
        <v>1</v>
      </c>
      <c r="N243" s="312">
        <f>IF((I$4+1)&amp;"年"&amp;N$5&lt;&gt;'9.项目开发计划表'!$AG$25,1,(I$4+1)&amp;"年"&amp;N$5)</f>
        <v>1</v>
      </c>
      <c r="O243" s="312">
        <f>IF((I$4+1)&amp;"年"&amp;O$5&lt;&gt;'9.项目开发计划表'!$AG$25,1,(I$4+1)&amp;"年"&amp;O$5)</f>
        <v>1</v>
      </c>
      <c r="P243" s="313">
        <f>IF((I$4+1)&amp;"年"&amp;P$5&lt;&gt;'9.项目开发计划表'!$AG$25,1,(I$4+1)&amp;"年"&amp;P$5)</f>
        <v>1</v>
      </c>
      <c r="Q243" s="322">
        <f>IF((M$4+1)&amp;"年"&amp;Q$5&lt;&gt;'9.项目开发计划表'!$AG$25,1,(M$4+1)&amp;"年"&amp;Q$5)</f>
        <v>1</v>
      </c>
      <c r="R243" s="312">
        <f>IF((M$4+1)&amp;"年"&amp;R$5&lt;&gt;'9.项目开发计划表'!$AG$25,1,(M$4+1)&amp;"年"&amp;R$5)</f>
        <v>1</v>
      </c>
      <c r="S243" s="312">
        <f>IF((M$4+1)&amp;"年"&amp;S$5&lt;&gt;'9.项目开发计划表'!$AG$25,1,(M$4+1)&amp;"年"&amp;S$5)</f>
        <v>1</v>
      </c>
      <c r="T243" s="313">
        <f>IF((M$4+1)&amp;"年"&amp;T$5&lt;&gt;'9.项目开发计划表'!$AG$25,1,(M$4+1)&amp;"年"&amp;T$5)</f>
        <v>1</v>
      </c>
      <c r="U243" s="322">
        <f>IF((Q$4+1)&amp;"年"&amp;U$5&lt;&gt;'9.项目开发计划表'!$AG$25,1,(Q$4+1)&amp;"年"&amp;U$5)</f>
        <v>1</v>
      </c>
      <c r="V243" s="312">
        <f>IF((Q$4+1)&amp;"年"&amp;V$5&lt;&gt;'9.项目开发计划表'!$AG$25,1,(Q$4+1)&amp;"年"&amp;V$5)</f>
        <v>1</v>
      </c>
      <c r="W243" s="312">
        <f>IF((Q$4+1)&amp;"年"&amp;W$5&lt;&gt;'9.项目开发计划表'!$AG$25,1,(Q$4+1)&amp;"年"&amp;W$5)</f>
        <v>1</v>
      </c>
      <c r="X243" s="313">
        <f>IF((Q$4+1)&amp;"年"&amp;X$5&lt;&gt;'9.项目开发计划表'!$AG$25,1,(Q$4+1)&amp;"年"&amp;X$5)</f>
        <v>1</v>
      </c>
      <c r="Y243" s="322">
        <f>IF((U$4+1)&amp;"年"&amp;Y$5&lt;&gt;'9.项目开发计划表'!$AG$25,1,(U$4+1)&amp;"年"&amp;Y$5)</f>
        <v>1</v>
      </c>
      <c r="Z243" s="312">
        <f>IF((U$4+1)&amp;"年"&amp;Z$5&lt;&gt;'9.项目开发计划表'!$AG$25,1,(U$4+1)&amp;"年"&amp;Z$5)</f>
        <v>1</v>
      </c>
      <c r="AA243" s="312">
        <f>IF((U$4+1)&amp;"年"&amp;AA$5&lt;&gt;'9.项目开发计划表'!$AG$25,1,(U$4+1)&amp;"年"&amp;AA$5)</f>
        <v>1</v>
      </c>
      <c r="AB243" s="313">
        <f>IF((U$4+1)&amp;"年"&amp;AB$5&lt;&gt;'9.项目开发计划表'!$AG$25,1,(U$4+1)&amp;"年"&amp;AB$5)</f>
        <v>1</v>
      </c>
      <c r="AC243" s="322">
        <f>IF((Y$4+1)&amp;"年"&amp;AC$5&lt;&gt;'9.项目开发计划表'!$AG$25,1,(Y$4+1)&amp;"年"&amp;AC$5)</f>
        <v>1</v>
      </c>
      <c r="AD243" s="312">
        <f>IF((Y$4+1)&amp;"年"&amp;AD$5&lt;&gt;'9.项目开发计划表'!$AG$25,1,(Y$4+1)&amp;"年"&amp;AD$5)</f>
        <v>1</v>
      </c>
      <c r="AE243" s="312">
        <f>IF((Y$4+1)&amp;"年"&amp;AE$5&lt;&gt;'9.项目开发计划表'!$AG$25,1,(Y$4+1)&amp;"年"&amp;AE$5)</f>
        <v>1</v>
      </c>
      <c r="AF243" s="313">
        <f>IF((Y$4+1)&amp;"年"&amp;AF$5&lt;&gt;'9.项目开发计划表'!$AG$25,1,(Y$4+1)&amp;"年"&amp;AF$5)</f>
        <v>1</v>
      </c>
      <c r="AG243" s="322">
        <f>IF((AC$4+1)&amp;"年"&amp;AG$5&lt;&gt;'9.项目开发计划表'!$AG$25,1,(AC$4+1)&amp;"年"&amp;AG$5)</f>
        <v>1</v>
      </c>
      <c r="AH243" s="312">
        <f>IF((AC$4+1)&amp;"年"&amp;AH$5&lt;&gt;'9.项目开发计划表'!$AG$25,1,(AC$4+1)&amp;"年"&amp;AH$5)</f>
        <v>1</v>
      </c>
      <c r="AI243" s="312">
        <f>IF((AC$4+1)&amp;"年"&amp;AI$5&lt;&gt;'9.项目开发计划表'!$AG$25,1,(AC$4+1)&amp;"年"&amp;AI$5)</f>
        <v>1</v>
      </c>
      <c r="AJ243" s="313">
        <f>IF((AC$4+1)&amp;"年"&amp;AJ$5&lt;&gt;'9.项目开发计划表'!$AG$25,1,(AC$4+1)&amp;"年"&amp;AJ$5)</f>
        <v>1</v>
      </c>
      <c r="AK243" s="322">
        <f>IF((AG$4+1)&amp;"年"&amp;AK$5&lt;&gt;'9.项目开发计划表'!$AG$25,1,(AG$4+1)&amp;"年"&amp;AK$5)</f>
        <v>1</v>
      </c>
      <c r="AL243" s="312">
        <f>IF((AG$4+1)&amp;"年"&amp;AL$5&lt;&gt;'9.项目开发计划表'!$AG$25,1,(AG$4+1)&amp;"年"&amp;AL$5)</f>
        <v>1</v>
      </c>
      <c r="AM243" s="312">
        <f>IF((AG$4+1)&amp;"年"&amp;AM$5&lt;&gt;'9.项目开发计划表'!$AG$25,1,(AG$4+1)&amp;"年"&amp;AM$5)</f>
        <v>1</v>
      </c>
      <c r="AN243" s="313">
        <f>IF((AG$4+1)&amp;"年"&amp;AN$5&lt;&gt;'9.项目开发计划表'!$AG$25,1,(AG$4+1)&amp;"年"&amp;AN$5)</f>
        <v>1</v>
      </c>
      <c r="AO243" s="322">
        <f>IF((AK$4+1)&amp;"年"&amp;AO$5&lt;&gt;'9.项目开发计划表'!$AG$25,1,(AK$4+1)&amp;"年"&amp;AO$5)</f>
        <v>1</v>
      </c>
      <c r="AP243" s="312">
        <f>IF((AK$4+1)&amp;"年"&amp;AP$5&lt;&gt;'9.项目开发计划表'!$AG$25,1,(AK$4+1)&amp;"年"&amp;AP$5)</f>
        <v>1</v>
      </c>
      <c r="AQ243" s="312">
        <f>IF((AK$4+1)&amp;"年"&amp;AQ$5&lt;&gt;'9.项目开发计划表'!$AG$25,1,(AK$4+1)&amp;"年"&amp;AQ$5)</f>
        <v>1</v>
      </c>
      <c r="AR243" s="313">
        <f>IF((AK$4+1)&amp;"年"&amp;AR$5&lt;&gt;'9.项目开发计划表'!$AG$25,1,(AK$4+1)&amp;"年"&amp;AR$5)</f>
        <v>1</v>
      </c>
      <c r="AS243" s="322">
        <f>IF((AO$4+1)&amp;"年"&amp;AS$5&lt;&gt;'9.项目开发计划表'!$AG$25,1,(AO$4+1)&amp;"年"&amp;AS$5)</f>
        <v>1</v>
      </c>
      <c r="AT243" s="312">
        <f>IF((AO$4+1)&amp;"年"&amp;AT$5&lt;&gt;'9.项目开发计划表'!$AG$25,1,(AO$4+1)&amp;"年"&amp;AT$5)</f>
        <v>1</v>
      </c>
      <c r="AU243" s="312">
        <f>IF((AO$4+1)&amp;"年"&amp;AU$5&lt;&gt;'9.项目开发计划表'!$AG$25,1,(AO$4+1)&amp;"年"&amp;AU$5)</f>
        <v>1</v>
      </c>
      <c r="AV243" s="313">
        <f>IF((AO$4+1)&amp;"年"&amp;AV$5&lt;&gt;'9.项目开发计划表'!$AG$25,1,(AO$4+1)&amp;"年"&amp;AV$5)</f>
        <v>1</v>
      </c>
    </row>
    <row r="244" spans="2:48" outlineLevel="1">
      <c r="C244" s="1980"/>
      <c r="D244" s="1982"/>
      <c r="E244" s="280">
        <f t="shared" ref="E244:M244" si="61">IF(E243=1,0,1)</f>
        <v>0</v>
      </c>
      <c r="F244" s="281">
        <f t="shared" si="61"/>
        <v>0</v>
      </c>
      <c r="G244" s="281">
        <f t="shared" si="61"/>
        <v>0</v>
      </c>
      <c r="H244" s="282">
        <f t="shared" si="61"/>
        <v>0</v>
      </c>
      <c r="I244" s="323">
        <f t="shared" si="61"/>
        <v>0</v>
      </c>
      <c r="J244" s="281">
        <f t="shared" si="61"/>
        <v>0</v>
      </c>
      <c r="K244" s="281">
        <f t="shared" si="61"/>
        <v>0</v>
      </c>
      <c r="L244" s="282">
        <f t="shared" si="61"/>
        <v>0</v>
      </c>
      <c r="M244" s="323">
        <f t="shared" si="61"/>
        <v>0</v>
      </c>
      <c r="N244" s="281">
        <f t="shared" ref="N244:AV244" si="62">IF(N243=1,0,1)</f>
        <v>0</v>
      </c>
      <c r="O244" s="281">
        <f t="shared" si="62"/>
        <v>0</v>
      </c>
      <c r="P244" s="282">
        <f t="shared" si="62"/>
        <v>0</v>
      </c>
      <c r="Q244" s="323">
        <f t="shared" si="62"/>
        <v>0</v>
      </c>
      <c r="R244" s="281">
        <f t="shared" si="62"/>
        <v>0</v>
      </c>
      <c r="S244" s="281">
        <f t="shared" si="62"/>
        <v>0</v>
      </c>
      <c r="T244" s="282">
        <f t="shared" si="62"/>
        <v>0</v>
      </c>
      <c r="U244" s="323">
        <f t="shared" si="62"/>
        <v>0</v>
      </c>
      <c r="V244" s="281">
        <f t="shared" si="62"/>
        <v>0</v>
      </c>
      <c r="W244" s="281">
        <f t="shared" si="62"/>
        <v>0</v>
      </c>
      <c r="X244" s="282">
        <f t="shared" si="62"/>
        <v>0</v>
      </c>
      <c r="Y244" s="323">
        <f t="shared" si="62"/>
        <v>0</v>
      </c>
      <c r="Z244" s="281">
        <f t="shared" si="62"/>
        <v>0</v>
      </c>
      <c r="AA244" s="281">
        <f t="shared" si="62"/>
        <v>0</v>
      </c>
      <c r="AB244" s="282">
        <f t="shared" si="62"/>
        <v>0</v>
      </c>
      <c r="AC244" s="323">
        <f t="shared" si="62"/>
        <v>0</v>
      </c>
      <c r="AD244" s="281">
        <f t="shared" si="62"/>
        <v>0</v>
      </c>
      <c r="AE244" s="281">
        <f t="shared" si="62"/>
        <v>0</v>
      </c>
      <c r="AF244" s="282">
        <f t="shared" si="62"/>
        <v>0</v>
      </c>
      <c r="AG244" s="323">
        <f t="shared" si="62"/>
        <v>0</v>
      </c>
      <c r="AH244" s="281">
        <f t="shared" si="62"/>
        <v>0</v>
      </c>
      <c r="AI244" s="281">
        <f t="shared" si="62"/>
        <v>0</v>
      </c>
      <c r="AJ244" s="282">
        <f t="shared" si="62"/>
        <v>0</v>
      </c>
      <c r="AK244" s="323">
        <f t="shared" si="62"/>
        <v>0</v>
      </c>
      <c r="AL244" s="281">
        <f t="shared" si="62"/>
        <v>0</v>
      </c>
      <c r="AM244" s="281">
        <f t="shared" si="62"/>
        <v>0</v>
      </c>
      <c r="AN244" s="282">
        <f t="shared" si="62"/>
        <v>0</v>
      </c>
      <c r="AO244" s="323">
        <f t="shared" si="62"/>
        <v>0</v>
      </c>
      <c r="AP244" s="281">
        <f t="shared" si="62"/>
        <v>0</v>
      </c>
      <c r="AQ244" s="281">
        <f t="shared" si="62"/>
        <v>0</v>
      </c>
      <c r="AR244" s="282">
        <f t="shared" si="62"/>
        <v>0</v>
      </c>
      <c r="AS244" s="323">
        <f t="shared" si="62"/>
        <v>0</v>
      </c>
      <c r="AT244" s="281">
        <f t="shared" si="62"/>
        <v>0</v>
      </c>
      <c r="AU244" s="281">
        <f t="shared" si="62"/>
        <v>0</v>
      </c>
      <c r="AV244" s="282">
        <f t="shared" si="62"/>
        <v>0</v>
      </c>
    </row>
    <row r="245" spans="2:48" outlineLevel="1">
      <c r="C245" s="1980"/>
      <c r="D245" s="1981">
        <f>'8.项目规划指标表'!$B$13</f>
        <v>0</v>
      </c>
      <c r="E245" s="311">
        <f>IF($E$4&amp;"年"&amp;E$5&lt;&gt;'9.项目开发计划表'!$AG$26,1,$E$4&amp;"年"&amp;E$5)</f>
        <v>1</v>
      </c>
      <c r="F245" s="312">
        <f>IF($E$4&amp;"年"&amp;F$5&lt;&gt;'9.项目开发计划表'!$AG$26,1,$E$4&amp;"年"&amp;F$5)</f>
        <v>1</v>
      </c>
      <c r="G245" s="312">
        <f>IF($E$4&amp;"年"&amp;G$5&lt;&gt;'9.项目开发计划表'!$AG$26,1,$E$4&amp;"年"&amp;G$5)</f>
        <v>1</v>
      </c>
      <c r="H245" s="313">
        <f>IF($E$4&amp;"年"&amp;H$5&lt;&gt;'9.项目开发计划表'!$AG$26,1,$E$4&amp;"年"&amp;H$5)</f>
        <v>1</v>
      </c>
      <c r="I245" s="322">
        <f>IF((E$4+1)&amp;"年"&amp;I$5&lt;&gt;'9.项目开发计划表'!$AG$26,1,(E$4+1)&amp;"年"&amp;I$5)</f>
        <v>1</v>
      </c>
      <c r="J245" s="312">
        <f>IF((E$4+1)&amp;"年"&amp;J$5&lt;&gt;'9.项目开发计划表'!$AG$26,1,(E$4+1)&amp;"年"&amp;J$5)</f>
        <v>1</v>
      </c>
      <c r="K245" s="312">
        <f>IF((E$4+1)&amp;"年"&amp;K$5&lt;&gt;'9.项目开发计划表'!$AG$26,1,(E$4+1)&amp;"年"&amp;K$5)</f>
        <v>1</v>
      </c>
      <c r="L245" s="313">
        <f>IF((E$4+1)&amp;"年"&amp;L$5&lt;&gt;'9.项目开发计划表'!$AG$26,1,(E$4+1)&amp;"年"&amp;L$5)</f>
        <v>1</v>
      </c>
      <c r="M245" s="322">
        <f>IF((I$4+1)&amp;"年"&amp;M$5&lt;&gt;'9.项目开发计划表'!$AG$26,1,(I$4+1)&amp;"年"&amp;M$5)</f>
        <v>1</v>
      </c>
      <c r="N245" s="312">
        <f>IF((I$4+1)&amp;"年"&amp;N$5&lt;&gt;'9.项目开发计划表'!$AG$26,1,(I$4+1)&amp;"年"&amp;N$5)</f>
        <v>1</v>
      </c>
      <c r="O245" s="312">
        <f>IF((I$4+1)&amp;"年"&amp;O$5&lt;&gt;'9.项目开发计划表'!$AG$26,1,(I$4+1)&amp;"年"&amp;O$5)</f>
        <v>1</v>
      </c>
      <c r="P245" s="313">
        <f>IF((I$4+1)&amp;"年"&amp;P$5&lt;&gt;'9.项目开发计划表'!$AG$26,1,(I$4+1)&amp;"年"&amp;P$5)</f>
        <v>1</v>
      </c>
      <c r="Q245" s="322">
        <f>IF((M$4+1)&amp;"年"&amp;Q$5&lt;&gt;'9.项目开发计划表'!$AG$26,1,(M$4+1)&amp;"年"&amp;Q$5)</f>
        <v>1</v>
      </c>
      <c r="R245" s="312">
        <f>IF((M$4+1)&amp;"年"&amp;R$5&lt;&gt;'9.项目开发计划表'!$AG$26,1,(M$4+1)&amp;"年"&amp;R$5)</f>
        <v>1</v>
      </c>
      <c r="S245" s="312">
        <f>IF((M$4+1)&amp;"年"&amp;S$5&lt;&gt;'9.项目开发计划表'!$AG$26,1,(M$4+1)&amp;"年"&amp;S$5)</f>
        <v>1</v>
      </c>
      <c r="T245" s="313">
        <f>IF((M$4+1)&amp;"年"&amp;T$5&lt;&gt;'9.项目开发计划表'!$AG$26,1,(M$4+1)&amp;"年"&amp;T$5)</f>
        <v>1</v>
      </c>
      <c r="U245" s="322">
        <f>IF((Q$4+1)&amp;"年"&amp;U$5&lt;&gt;'9.项目开发计划表'!$AG$26,1,(Q$4+1)&amp;"年"&amp;U$5)</f>
        <v>1</v>
      </c>
      <c r="V245" s="312">
        <f>IF((Q$4+1)&amp;"年"&amp;V$5&lt;&gt;'9.项目开发计划表'!$AG$26,1,(Q$4+1)&amp;"年"&amp;V$5)</f>
        <v>1</v>
      </c>
      <c r="W245" s="312">
        <f>IF((Q$4+1)&amp;"年"&amp;W$5&lt;&gt;'9.项目开发计划表'!$AG$26,1,(Q$4+1)&amp;"年"&amp;W$5)</f>
        <v>1</v>
      </c>
      <c r="X245" s="313">
        <f>IF((Q$4+1)&amp;"年"&amp;X$5&lt;&gt;'9.项目开发计划表'!$AG$26,1,(Q$4+1)&amp;"年"&amp;X$5)</f>
        <v>1</v>
      </c>
      <c r="Y245" s="322">
        <f>IF((U$4+1)&amp;"年"&amp;Y$5&lt;&gt;'9.项目开发计划表'!$AG$26,1,(U$4+1)&amp;"年"&amp;Y$5)</f>
        <v>1</v>
      </c>
      <c r="Z245" s="312">
        <f>IF((U$4+1)&amp;"年"&amp;Z$5&lt;&gt;'9.项目开发计划表'!$AG$26,1,(U$4+1)&amp;"年"&amp;Z$5)</f>
        <v>1</v>
      </c>
      <c r="AA245" s="312">
        <f>IF((U$4+1)&amp;"年"&amp;AA$5&lt;&gt;'9.项目开发计划表'!$AG$26,1,(U$4+1)&amp;"年"&amp;AA$5)</f>
        <v>1</v>
      </c>
      <c r="AB245" s="313">
        <f>IF((U$4+1)&amp;"年"&amp;AB$5&lt;&gt;'9.项目开发计划表'!$AG$26,1,(U$4+1)&amp;"年"&amp;AB$5)</f>
        <v>1</v>
      </c>
      <c r="AC245" s="322">
        <f>IF((Y$4+1)&amp;"年"&amp;AC$5&lt;&gt;'9.项目开发计划表'!$AG$26,1,(Y$4+1)&amp;"年"&amp;AC$5)</f>
        <v>1</v>
      </c>
      <c r="AD245" s="312">
        <f>IF((Y$4+1)&amp;"年"&amp;AD$5&lt;&gt;'9.项目开发计划表'!$AG$26,1,(Y$4+1)&amp;"年"&amp;AD$5)</f>
        <v>1</v>
      </c>
      <c r="AE245" s="312">
        <f>IF((Y$4+1)&amp;"年"&amp;AE$5&lt;&gt;'9.项目开发计划表'!$AG$26,1,(Y$4+1)&amp;"年"&amp;AE$5)</f>
        <v>1</v>
      </c>
      <c r="AF245" s="313">
        <f>IF((Y$4+1)&amp;"年"&amp;AF$5&lt;&gt;'9.项目开发计划表'!$AG$26,1,(Y$4+1)&amp;"年"&amp;AF$5)</f>
        <v>1</v>
      </c>
      <c r="AG245" s="322">
        <f>IF((AC$4+1)&amp;"年"&amp;AG$5&lt;&gt;'9.项目开发计划表'!$AG$26,1,(AC$4+1)&amp;"年"&amp;AG$5)</f>
        <v>1</v>
      </c>
      <c r="AH245" s="312">
        <f>IF((AC$4+1)&amp;"年"&amp;AH$5&lt;&gt;'9.项目开发计划表'!$AG$26,1,(AC$4+1)&amp;"年"&amp;AH$5)</f>
        <v>1</v>
      </c>
      <c r="AI245" s="312">
        <f>IF((AC$4+1)&amp;"年"&amp;AI$5&lt;&gt;'9.项目开发计划表'!$AG$26,1,(AC$4+1)&amp;"年"&amp;AI$5)</f>
        <v>1</v>
      </c>
      <c r="AJ245" s="313">
        <f>IF((AC$4+1)&amp;"年"&amp;AJ$5&lt;&gt;'9.项目开发计划表'!$AG$26,1,(AC$4+1)&amp;"年"&amp;AJ$5)</f>
        <v>1</v>
      </c>
      <c r="AK245" s="322">
        <f>IF((AG$4+1)&amp;"年"&amp;AK$5&lt;&gt;'9.项目开发计划表'!$AG$26,1,(AG$4+1)&amp;"年"&amp;AK$5)</f>
        <v>1</v>
      </c>
      <c r="AL245" s="312">
        <f>IF((AG$4+1)&amp;"年"&amp;AL$5&lt;&gt;'9.项目开发计划表'!$AG$26,1,(AG$4+1)&amp;"年"&amp;AL$5)</f>
        <v>1</v>
      </c>
      <c r="AM245" s="312">
        <f>IF((AG$4+1)&amp;"年"&amp;AM$5&lt;&gt;'9.项目开发计划表'!$AG$26,1,(AG$4+1)&amp;"年"&amp;AM$5)</f>
        <v>1</v>
      </c>
      <c r="AN245" s="313">
        <f>IF((AG$4+1)&amp;"年"&amp;AN$5&lt;&gt;'9.项目开发计划表'!$AG$26,1,(AG$4+1)&amp;"年"&amp;AN$5)</f>
        <v>1</v>
      </c>
      <c r="AO245" s="322">
        <f>IF((AK$4+1)&amp;"年"&amp;AO$5&lt;&gt;'9.项目开发计划表'!$AG$26,1,(AK$4+1)&amp;"年"&amp;AO$5)</f>
        <v>1</v>
      </c>
      <c r="AP245" s="312">
        <f>IF((AK$4+1)&amp;"年"&amp;AP$5&lt;&gt;'9.项目开发计划表'!$AG$26,1,(AK$4+1)&amp;"年"&amp;AP$5)</f>
        <v>1</v>
      </c>
      <c r="AQ245" s="312">
        <f>IF((AK$4+1)&amp;"年"&amp;AQ$5&lt;&gt;'9.项目开发计划表'!$AG$26,1,(AK$4+1)&amp;"年"&amp;AQ$5)</f>
        <v>1</v>
      </c>
      <c r="AR245" s="313">
        <f>IF((AK$4+1)&amp;"年"&amp;AR$5&lt;&gt;'9.项目开发计划表'!$AG$26,1,(AK$4+1)&amp;"年"&amp;AR$5)</f>
        <v>1</v>
      </c>
      <c r="AS245" s="322">
        <f>IF((AO$4+1)&amp;"年"&amp;AS$5&lt;&gt;'9.项目开发计划表'!$AG$26,1,(AO$4+1)&amp;"年"&amp;AS$5)</f>
        <v>1</v>
      </c>
      <c r="AT245" s="312">
        <f>IF((AO$4+1)&amp;"年"&amp;AT$5&lt;&gt;'9.项目开发计划表'!$AG$26,1,(AO$4+1)&amp;"年"&amp;AT$5)</f>
        <v>1</v>
      </c>
      <c r="AU245" s="312">
        <f>IF((AO$4+1)&amp;"年"&amp;AU$5&lt;&gt;'9.项目开发计划表'!$AG$26,1,(AO$4+1)&amp;"年"&amp;AU$5)</f>
        <v>1</v>
      </c>
      <c r="AV245" s="313">
        <f>IF((AO$4+1)&amp;"年"&amp;AV$5&lt;&gt;'9.项目开发计划表'!$AG$26,1,(AO$4+1)&amp;"年"&amp;AV$5)</f>
        <v>1</v>
      </c>
    </row>
    <row r="246" spans="2:48" outlineLevel="1">
      <c r="C246" s="1980"/>
      <c r="D246" s="1982"/>
      <c r="E246" s="280">
        <f t="shared" ref="E246:M246" si="63">IF(E245=1,0,1)</f>
        <v>0</v>
      </c>
      <c r="F246" s="281">
        <f t="shared" si="63"/>
        <v>0</v>
      </c>
      <c r="G246" s="281">
        <f t="shared" si="63"/>
        <v>0</v>
      </c>
      <c r="H246" s="282">
        <f t="shared" si="63"/>
        <v>0</v>
      </c>
      <c r="I246" s="323">
        <f t="shared" si="63"/>
        <v>0</v>
      </c>
      <c r="J246" s="281">
        <f t="shared" si="63"/>
        <v>0</v>
      </c>
      <c r="K246" s="281">
        <f t="shared" si="63"/>
        <v>0</v>
      </c>
      <c r="L246" s="282">
        <f t="shared" si="63"/>
        <v>0</v>
      </c>
      <c r="M246" s="323">
        <f t="shared" si="63"/>
        <v>0</v>
      </c>
      <c r="N246" s="281">
        <f t="shared" ref="N246:AV246" si="64">IF(N245=1,0,1)</f>
        <v>0</v>
      </c>
      <c r="O246" s="281">
        <f t="shared" si="64"/>
        <v>0</v>
      </c>
      <c r="P246" s="282">
        <f t="shared" si="64"/>
        <v>0</v>
      </c>
      <c r="Q246" s="323">
        <f t="shared" si="64"/>
        <v>0</v>
      </c>
      <c r="R246" s="281">
        <f t="shared" si="64"/>
        <v>0</v>
      </c>
      <c r="S246" s="281">
        <f t="shared" si="64"/>
        <v>0</v>
      </c>
      <c r="T246" s="282">
        <f t="shared" si="64"/>
        <v>0</v>
      </c>
      <c r="U246" s="323">
        <f t="shared" si="64"/>
        <v>0</v>
      </c>
      <c r="V246" s="281">
        <f t="shared" si="64"/>
        <v>0</v>
      </c>
      <c r="W246" s="281">
        <f t="shared" si="64"/>
        <v>0</v>
      </c>
      <c r="X246" s="282">
        <f t="shared" si="64"/>
        <v>0</v>
      </c>
      <c r="Y246" s="323">
        <f t="shared" si="64"/>
        <v>0</v>
      </c>
      <c r="Z246" s="281">
        <f t="shared" si="64"/>
        <v>0</v>
      </c>
      <c r="AA246" s="281">
        <f t="shared" si="64"/>
        <v>0</v>
      </c>
      <c r="AB246" s="282">
        <f t="shared" si="64"/>
        <v>0</v>
      </c>
      <c r="AC246" s="323">
        <f t="shared" si="64"/>
        <v>0</v>
      </c>
      <c r="AD246" s="281">
        <f t="shared" si="64"/>
        <v>0</v>
      </c>
      <c r="AE246" s="281">
        <f t="shared" si="64"/>
        <v>0</v>
      </c>
      <c r="AF246" s="282">
        <f t="shared" si="64"/>
        <v>0</v>
      </c>
      <c r="AG246" s="323">
        <f t="shared" si="64"/>
        <v>0</v>
      </c>
      <c r="AH246" s="281">
        <f t="shared" si="64"/>
        <v>0</v>
      </c>
      <c r="AI246" s="281">
        <f t="shared" si="64"/>
        <v>0</v>
      </c>
      <c r="AJ246" s="282">
        <f t="shared" si="64"/>
        <v>0</v>
      </c>
      <c r="AK246" s="323">
        <f t="shared" si="64"/>
        <v>0</v>
      </c>
      <c r="AL246" s="281">
        <f t="shared" si="64"/>
        <v>0</v>
      </c>
      <c r="AM246" s="281">
        <f t="shared" si="64"/>
        <v>0</v>
      </c>
      <c r="AN246" s="282">
        <f t="shared" si="64"/>
        <v>0</v>
      </c>
      <c r="AO246" s="323">
        <f t="shared" si="64"/>
        <v>0</v>
      </c>
      <c r="AP246" s="281">
        <f t="shared" si="64"/>
        <v>0</v>
      </c>
      <c r="AQ246" s="281">
        <f t="shared" si="64"/>
        <v>0</v>
      </c>
      <c r="AR246" s="282">
        <f t="shared" si="64"/>
        <v>0</v>
      </c>
      <c r="AS246" s="323">
        <f t="shared" si="64"/>
        <v>0</v>
      </c>
      <c r="AT246" s="281">
        <f t="shared" si="64"/>
        <v>0</v>
      </c>
      <c r="AU246" s="281">
        <f t="shared" si="64"/>
        <v>0</v>
      </c>
      <c r="AV246" s="282">
        <f t="shared" si="64"/>
        <v>0</v>
      </c>
    </row>
    <row r="247" spans="2:48" outlineLevel="1">
      <c r="C247" s="1980"/>
      <c r="D247" s="1981" t="str">
        <f>'8.项目规划指标表'!$B$14</f>
        <v>自持物业</v>
      </c>
      <c r="E247" s="311">
        <f>IF($E$4&amp;"年"&amp;E$5&lt;&gt;'9.项目开发计划表'!$AG$27,1,$E$4&amp;"年"&amp;E$5)</f>
        <v>1</v>
      </c>
      <c r="F247" s="312">
        <f>IF($E$4&amp;"年"&amp;F$5&lt;&gt;'9.项目开发计划表'!$AG$27,1,$E$4&amp;"年"&amp;F$5)</f>
        <v>1</v>
      </c>
      <c r="G247" s="312">
        <f>IF($E$4&amp;"年"&amp;G$5&lt;&gt;'9.项目开发计划表'!$AG$27,1,$E$4&amp;"年"&amp;G$5)</f>
        <v>1</v>
      </c>
      <c r="H247" s="313">
        <f>IF($E$4&amp;"年"&amp;H$5&lt;&gt;'9.项目开发计划表'!$AG$27,1,$E$4&amp;"年"&amp;H$5)</f>
        <v>1</v>
      </c>
      <c r="I247" s="322">
        <f>IF((E$4+1)&amp;"年"&amp;I$5&lt;&gt;'9.项目开发计划表'!$AG$27,1,(E$4+1)&amp;"年"&amp;I$5)</f>
        <v>1</v>
      </c>
      <c r="J247" s="312">
        <f>IF((E$4+1)&amp;"年"&amp;J$5&lt;&gt;'9.项目开发计划表'!$AG$27,1,(E$4+1)&amp;"年"&amp;J$5)</f>
        <v>1</v>
      </c>
      <c r="K247" s="312">
        <f>IF((E$4+1)&amp;"年"&amp;K$5&lt;&gt;'9.项目开发计划表'!$AG$27,1,(E$4+1)&amp;"年"&amp;K$5)</f>
        <v>1</v>
      </c>
      <c r="L247" s="313">
        <f>IF((E$4+1)&amp;"年"&amp;L$5&lt;&gt;'9.项目开发计划表'!$AG$27,1,(E$4+1)&amp;"年"&amp;L$5)</f>
        <v>1</v>
      </c>
      <c r="M247" s="322">
        <f>IF((I$4+1)&amp;"年"&amp;M$5&lt;&gt;'9.项目开发计划表'!$AG$27,1,(I$4+1)&amp;"年"&amp;M$5)</f>
        <v>1</v>
      </c>
      <c r="N247" s="312">
        <f>IF((I$4+1)&amp;"年"&amp;N$5&lt;&gt;'9.项目开发计划表'!$AG$27,1,(I$4+1)&amp;"年"&amp;N$5)</f>
        <v>1</v>
      </c>
      <c r="O247" s="312">
        <f>IF((I$4+1)&amp;"年"&amp;O$5&lt;&gt;'9.项目开发计划表'!$AG$27,1,(I$4+1)&amp;"年"&amp;O$5)</f>
        <v>1</v>
      </c>
      <c r="P247" s="313">
        <f>IF((I$4+1)&amp;"年"&amp;P$5&lt;&gt;'9.项目开发计划表'!$AG$27,1,(I$4+1)&amp;"年"&amp;P$5)</f>
        <v>1</v>
      </c>
      <c r="Q247" s="322">
        <f>IF((M$4+1)&amp;"年"&amp;Q$5&lt;&gt;'9.项目开发计划表'!$AG$27,1,(M$4+1)&amp;"年"&amp;Q$5)</f>
        <v>1</v>
      </c>
      <c r="R247" s="312">
        <f>IF((M$4+1)&amp;"年"&amp;R$5&lt;&gt;'9.项目开发计划表'!$AG$27,1,(M$4+1)&amp;"年"&amp;R$5)</f>
        <v>1</v>
      </c>
      <c r="S247" s="312">
        <f>IF((M$4+1)&amp;"年"&amp;S$5&lt;&gt;'9.项目开发计划表'!$AG$27,1,(M$4+1)&amp;"年"&amp;S$5)</f>
        <v>1</v>
      </c>
      <c r="T247" s="313">
        <f>IF((M$4+1)&amp;"年"&amp;T$5&lt;&gt;'9.项目开发计划表'!$AG$27,1,(M$4+1)&amp;"年"&amp;T$5)</f>
        <v>1</v>
      </c>
      <c r="U247" s="322">
        <f>IF((Q$4+1)&amp;"年"&amp;U$5&lt;&gt;'9.项目开发计划表'!$AG$27,1,(Q$4+1)&amp;"年"&amp;U$5)</f>
        <v>1</v>
      </c>
      <c r="V247" s="312">
        <f>IF((Q$4+1)&amp;"年"&amp;V$5&lt;&gt;'9.项目开发计划表'!$AG$27,1,(Q$4+1)&amp;"年"&amp;V$5)</f>
        <v>1</v>
      </c>
      <c r="W247" s="312">
        <f>IF((Q$4+1)&amp;"年"&amp;W$5&lt;&gt;'9.项目开发计划表'!$AG$27,1,(Q$4+1)&amp;"年"&amp;W$5)</f>
        <v>1</v>
      </c>
      <c r="X247" s="313">
        <f>IF((Q$4+1)&amp;"年"&amp;X$5&lt;&gt;'9.项目开发计划表'!$AG$27,1,(Q$4+1)&amp;"年"&amp;X$5)</f>
        <v>1</v>
      </c>
      <c r="Y247" s="322">
        <f>IF((U$4+1)&amp;"年"&amp;Y$5&lt;&gt;'9.项目开发计划表'!$AG$27,1,(U$4+1)&amp;"年"&amp;Y$5)</f>
        <v>1</v>
      </c>
      <c r="Z247" s="312">
        <f>IF((U$4+1)&amp;"年"&amp;Z$5&lt;&gt;'9.项目开发计划表'!$AG$27,1,(U$4+1)&amp;"年"&amp;Z$5)</f>
        <v>1</v>
      </c>
      <c r="AA247" s="312">
        <f>IF((U$4+1)&amp;"年"&amp;AA$5&lt;&gt;'9.项目开发计划表'!$AG$27,1,(U$4+1)&amp;"年"&amp;AA$5)</f>
        <v>1</v>
      </c>
      <c r="AB247" s="313">
        <f>IF((U$4+1)&amp;"年"&amp;AB$5&lt;&gt;'9.项目开发计划表'!$AG$27,1,(U$4+1)&amp;"年"&amp;AB$5)</f>
        <v>1</v>
      </c>
      <c r="AC247" s="322">
        <f>IF((Y$4+1)&amp;"年"&amp;AC$5&lt;&gt;'9.项目开发计划表'!$AG$27,1,(Y$4+1)&amp;"年"&amp;AC$5)</f>
        <v>1</v>
      </c>
      <c r="AD247" s="312">
        <f>IF((Y$4+1)&amp;"年"&amp;AD$5&lt;&gt;'9.项目开发计划表'!$AG$27,1,(Y$4+1)&amp;"年"&amp;AD$5)</f>
        <v>1</v>
      </c>
      <c r="AE247" s="312">
        <f>IF((Y$4+1)&amp;"年"&amp;AE$5&lt;&gt;'9.项目开发计划表'!$AG$27,1,(Y$4+1)&amp;"年"&amp;AE$5)</f>
        <v>1</v>
      </c>
      <c r="AF247" s="313">
        <f>IF((Y$4+1)&amp;"年"&amp;AF$5&lt;&gt;'9.项目开发计划表'!$AG$27,1,(Y$4+1)&amp;"年"&amp;AF$5)</f>
        <v>1</v>
      </c>
      <c r="AG247" s="322">
        <f>IF((AC$4+1)&amp;"年"&amp;AG$5&lt;&gt;'9.项目开发计划表'!$AG$27,1,(AC$4+1)&amp;"年"&amp;AG$5)</f>
        <v>1</v>
      </c>
      <c r="AH247" s="312">
        <f>IF((AC$4+1)&amp;"年"&amp;AH$5&lt;&gt;'9.项目开发计划表'!$AG$27,1,(AC$4+1)&amp;"年"&amp;AH$5)</f>
        <v>1</v>
      </c>
      <c r="AI247" s="312">
        <f>IF((AC$4+1)&amp;"年"&amp;AI$5&lt;&gt;'9.项目开发计划表'!$AG$27,1,(AC$4+1)&amp;"年"&amp;AI$5)</f>
        <v>1</v>
      </c>
      <c r="AJ247" s="313">
        <f>IF((AC$4+1)&amp;"年"&amp;AJ$5&lt;&gt;'9.项目开发计划表'!$AG$27,1,(AC$4+1)&amp;"年"&amp;AJ$5)</f>
        <v>1</v>
      </c>
      <c r="AK247" s="322">
        <f>IF((AG$4+1)&amp;"年"&amp;AK$5&lt;&gt;'9.项目开发计划表'!$AG$27,1,(AG$4+1)&amp;"年"&amp;AK$5)</f>
        <v>1</v>
      </c>
      <c r="AL247" s="312">
        <f>IF((AG$4+1)&amp;"年"&amp;AL$5&lt;&gt;'9.项目开发计划表'!$AG$27,1,(AG$4+1)&amp;"年"&amp;AL$5)</f>
        <v>1</v>
      </c>
      <c r="AM247" s="312">
        <f>IF((AG$4+1)&amp;"年"&amp;AM$5&lt;&gt;'9.项目开发计划表'!$AG$27,1,(AG$4+1)&amp;"年"&amp;AM$5)</f>
        <v>1</v>
      </c>
      <c r="AN247" s="313">
        <f>IF((AG$4+1)&amp;"年"&amp;AN$5&lt;&gt;'9.项目开发计划表'!$AG$27,1,(AG$4+1)&amp;"年"&amp;AN$5)</f>
        <v>1</v>
      </c>
      <c r="AO247" s="322">
        <f>IF((AK$4+1)&amp;"年"&amp;AO$5&lt;&gt;'9.项目开发计划表'!$AG$27,1,(AK$4+1)&amp;"年"&amp;AO$5)</f>
        <v>1</v>
      </c>
      <c r="AP247" s="312">
        <f>IF((AK$4+1)&amp;"年"&amp;AP$5&lt;&gt;'9.项目开发计划表'!$AG$27,1,(AK$4+1)&amp;"年"&amp;AP$5)</f>
        <v>1</v>
      </c>
      <c r="AQ247" s="312">
        <f>IF((AK$4+1)&amp;"年"&amp;AQ$5&lt;&gt;'9.项目开发计划表'!$AG$27,1,(AK$4+1)&amp;"年"&amp;AQ$5)</f>
        <v>1</v>
      </c>
      <c r="AR247" s="313">
        <f>IF((AK$4+1)&amp;"年"&amp;AR$5&lt;&gt;'9.项目开发计划表'!$AG$27,1,(AK$4+1)&amp;"年"&amp;AR$5)</f>
        <v>1</v>
      </c>
      <c r="AS247" s="322">
        <f>IF((AO$4+1)&amp;"年"&amp;AS$5&lt;&gt;'9.项目开发计划表'!$AG$27,1,(AO$4+1)&amp;"年"&amp;AS$5)</f>
        <v>1</v>
      </c>
      <c r="AT247" s="312">
        <f>IF((AO$4+1)&amp;"年"&amp;AT$5&lt;&gt;'9.项目开发计划表'!$AG$27,1,(AO$4+1)&amp;"年"&amp;AT$5)</f>
        <v>1</v>
      </c>
      <c r="AU247" s="312">
        <f>IF((AO$4+1)&amp;"年"&amp;AU$5&lt;&gt;'9.项目开发计划表'!$AG$27,1,(AO$4+1)&amp;"年"&amp;AU$5)</f>
        <v>1</v>
      </c>
      <c r="AV247" s="313">
        <f>IF((AO$4+1)&amp;"年"&amp;AV$5&lt;&gt;'9.项目开发计划表'!$AG$27,1,(AO$4+1)&amp;"年"&amp;AV$5)</f>
        <v>1</v>
      </c>
    </row>
    <row r="248" spans="2:48" outlineLevel="1">
      <c r="C248" s="1980"/>
      <c r="D248" s="1982"/>
      <c r="E248" s="280">
        <f t="shared" ref="E248:M248" si="65">IF(E247=1,0,1)</f>
        <v>0</v>
      </c>
      <c r="F248" s="281">
        <f t="shared" si="65"/>
        <v>0</v>
      </c>
      <c r="G248" s="281">
        <f t="shared" si="65"/>
        <v>0</v>
      </c>
      <c r="H248" s="282">
        <f t="shared" si="65"/>
        <v>0</v>
      </c>
      <c r="I248" s="323">
        <f t="shared" si="65"/>
        <v>0</v>
      </c>
      <c r="J248" s="281">
        <f t="shared" si="65"/>
        <v>0</v>
      </c>
      <c r="K248" s="281">
        <f t="shared" si="65"/>
        <v>0</v>
      </c>
      <c r="L248" s="282">
        <f t="shared" si="65"/>
        <v>0</v>
      </c>
      <c r="M248" s="323">
        <f t="shared" si="65"/>
        <v>0</v>
      </c>
      <c r="N248" s="281">
        <f t="shared" ref="N248:AV248" si="66">IF(N247=1,0,1)</f>
        <v>0</v>
      </c>
      <c r="O248" s="281">
        <f t="shared" si="66"/>
        <v>0</v>
      </c>
      <c r="P248" s="282">
        <f t="shared" si="66"/>
        <v>0</v>
      </c>
      <c r="Q248" s="323">
        <f t="shared" si="66"/>
        <v>0</v>
      </c>
      <c r="R248" s="281">
        <f t="shared" si="66"/>
        <v>0</v>
      </c>
      <c r="S248" s="281">
        <f t="shared" si="66"/>
        <v>0</v>
      </c>
      <c r="T248" s="282">
        <f t="shared" si="66"/>
        <v>0</v>
      </c>
      <c r="U248" s="323">
        <f t="shared" si="66"/>
        <v>0</v>
      </c>
      <c r="V248" s="281">
        <f t="shared" si="66"/>
        <v>0</v>
      </c>
      <c r="W248" s="281">
        <f t="shared" si="66"/>
        <v>0</v>
      </c>
      <c r="X248" s="282">
        <f t="shared" si="66"/>
        <v>0</v>
      </c>
      <c r="Y248" s="323">
        <f t="shared" si="66"/>
        <v>0</v>
      </c>
      <c r="Z248" s="281">
        <f t="shared" si="66"/>
        <v>0</v>
      </c>
      <c r="AA248" s="281">
        <f t="shared" si="66"/>
        <v>0</v>
      </c>
      <c r="AB248" s="282">
        <f t="shared" si="66"/>
        <v>0</v>
      </c>
      <c r="AC248" s="323">
        <f t="shared" si="66"/>
        <v>0</v>
      </c>
      <c r="AD248" s="281">
        <f t="shared" si="66"/>
        <v>0</v>
      </c>
      <c r="AE248" s="281">
        <f t="shared" si="66"/>
        <v>0</v>
      </c>
      <c r="AF248" s="282">
        <f t="shared" si="66"/>
        <v>0</v>
      </c>
      <c r="AG248" s="323">
        <f t="shared" si="66"/>
        <v>0</v>
      </c>
      <c r="AH248" s="281">
        <f t="shared" si="66"/>
        <v>0</v>
      </c>
      <c r="AI248" s="281">
        <f t="shared" si="66"/>
        <v>0</v>
      </c>
      <c r="AJ248" s="282">
        <f t="shared" si="66"/>
        <v>0</v>
      </c>
      <c r="AK248" s="323">
        <f t="shared" si="66"/>
        <v>0</v>
      </c>
      <c r="AL248" s="281">
        <f t="shared" si="66"/>
        <v>0</v>
      </c>
      <c r="AM248" s="281">
        <f t="shared" si="66"/>
        <v>0</v>
      </c>
      <c r="AN248" s="282">
        <f t="shared" si="66"/>
        <v>0</v>
      </c>
      <c r="AO248" s="323">
        <f t="shared" si="66"/>
        <v>0</v>
      </c>
      <c r="AP248" s="281">
        <f t="shared" si="66"/>
        <v>0</v>
      </c>
      <c r="AQ248" s="281">
        <f t="shared" si="66"/>
        <v>0</v>
      </c>
      <c r="AR248" s="282">
        <f t="shared" si="66"/>
        <v>0</v>
      </c>
      <c r="AS248" s="323">
        <f t="shared" si="66"/>
        <v>0</v>
      </c>
      <c r="AT248" s="281">
        <f t="shared" si="66"/>
        <v>0</v>
      </c>
      <c r="AU248" s="281">
        <f t="shared" si="66"/>
        <v>0</v>
      </c>
      <c r="AV248" s="282">
        <f t="shared" si="66"/>
        <v>0</v>
      </c>
    </row>
    <row r="249" spans="2:48" outlineLevel="1">
      <c r="C249" s="1980"/>
      <c r="D249" s="1981" t="str">
        <f>'8.项目规划指标表'!$B$18</f>
        <v>有产权车库(个)</v>
      </c>
      <c r="E249" s="311">
        <f>IF($E$4&amp;"年"&amp;E$5&lt;&gt;'9.项目开发计划表'!$AG$28,1,$E$4&amp;"年"&amp;E$5)</f>
        <v>1</v>
      </c>
      <c r="F249" s="312">
        <f>IF($E$4&amp;"年"&amp;F$5&lt;&gt;'9.项目开发计划表'!$AG$28,1,$E$4&amp;"年"&amp;F$5)</f>
        <v>1</v>
      </c>
      <c r="G249" s="312">
        <f>IF($E$4&amp;"年"&amp;G$5&lt;&gt;'9.项目开发计划表'!$AG$28,1,$E$4&amp;"年"&amp;G$5)</f>
        <v>1</v>
      </c>
      <c r="H249" s="313">
        <f>IF($E$4&amp;"年"&amp;H$5&lt;&gt;'9.项目开发计划表'!$AG$28,1,$E$4&amp;"年"&amp;H$5)</f>
        <v>1</v>
      </c>
      <c r="I249" s="322">
        <f>IF((E$4+1)&amp;"年"&amp;I$5&lt;&gt;'9.项目开发计划表'!$AG$28,1,(E$4+1)&amp;"年"&amp;I$5)</f>
        <v>1</v>
      </c>
      <c r="J249" s="312">
        <f>IF((E$4+1)&amp;"年"&amp;J$5&lt;&gt;'9.项目开发计划表'!$AG$28,1,(E$4+1)&amp;"年"&amp;J$5)</f>
        <v>1</v>
      </c>
      <c r="K249" s="312">
        <f>IF((E$4+1)&amp;"年"&amp;K$5&lt;&gt;'9.项目开发计划表'!$AG$28,1,(E$4+1)&amp;"年"&amp;K$5)</f>
        <v>1</v>
      </c>
      <c r="L249" s="313">
        <f>IF((E$4+1)&amp;"年"&amp;L$5&lt;&gt;'9.项目开发计划表'!$AG$28,1,(E$4+1)&amp;"年"&amp;L$5)</f>
        <v>1</v>
      </c>
      <c r="M249" s="322">
        <f>IF((I$4+1)&amp;"年"&amp;M$5&lt;&gt;'9.项目开发计划表'!$AG$28,1,(I$4+1)&amp;"年"&amp;M$5)</f>
        <v>1</v>
      </c>
      <c r="N249" s="312">
        <f>IF((I$4+1)&amp;"年"&amp;N$5&lt;&gt;'9.项目开发计划表'!$AG$28,1,(I$4+1)&amp;"年"&amp;N$5)</f>
        <v>1</v>
      </c>
      <c r="O249" s="312">
        <f>IF((I$4+1)&amp;"年"&amp;O$5&lt;&gt;'9.项目开发计划表'!$AG$28,1,(I$4+1)&amp;"年"&amp;O$5)</f>
        <v>1</v>
      </c>
      <c r="P249" s="313">
        <f>IF((I$4+1)&amp;"年"&amp;P$5&lt;&gt;'9.项目开发计划表'!$AG$28,1,(I$4+1)&amp;"年"&amp;P$5)</f>
        <v>1</v>
      </c>
      <c r="Q249" s="322">
        <f>IF((M$4+1)&amp;"年"&amp;Q$5&lt;&gt;'9.项目开发计划表'!$AG$28,1,(M$4+1)&amp;"年"&amp;Q$5)</f>
        <v>1</v>
      </c>
      <c r="R249" s="312">
        <f>IF((M$4+1)&amp;"年"&amp;R$5&lt;&gt;'9.项目开发计划表'!$AG$28,1,(M$4+1)&amp;"年"&amp;R$5)</f>
        <v>1</v>
      </c>
      <c r="S249" s="312">
        <f>IF((M$4+1)&amp;"年"&amp;S$5&lt;&gt;'9.项目开发计划表'!$AG$28,1,(M$4+1)&amp;"年"&amp;S$5)</f>
        <v>1</v>
      </c>
      <c r="T249" s="313">
        <f>IF((M$4+1)&amp;"年"&amp;T$5&lt;&gt;'9.项目开发计划表'!$AG$28,1,(M$4+1)&amp;"年"&amp;T$5)</f>
        <v>1</v>
      </c>
      <c r="U249" s="322">
        <f>IF((Q$4+1)&amp;"年"&amp;U$5&lt;&gt;'9.项目开发计划表'!$AG$28,1,(Q$4+1)&amp;"年"&amp;U$5)</f>
        <v>1</v>
      </c>
      <c r="V249" s="312">
        <f>IF((Q$4+1)&amp;"年"&amp;V$5&lt;&gt;'9.项目开发计划表'!$AG$28,1,(Q$4+1)&amp;"年"&amp;V$5)</f>
        <v>1</v>
      </c>
      <c r="W249" s="312">
        <f>IF((Q$4+1)&amp;"年"&amp;W$5&lt;&gt;'9.项目开发计划表'!$AG$28,1,(Q$4+1)&amp;"年"&amp;W$5)</f>
        <v>1</v>
      </c>
      <c r="X249" s="313">
        <f>IF((Q$4+1)&amp;"年"&amp;X$5&lt;&gt;'9.项目开发计划表'!$AG$28,1,(Q$4+1)&amp;"年"&amp;X$5)</f>
        <v>1</v>
      </c>
      <c r="Y249" s="322">
        <f>IF((U$4+1)&amp;"年"&amp;Y$5&lt;&gt;'9.项目开发计划表'!$AG$28,1,(U$4+1)&amp;"年"&amp;Y$5)</f>
        <v>1</v>
      </c>
      <c r="Z249" s="312">
        <f>IF((U$4+1)&amp;"年"&amp;Z$5&lt;&gt;'9.项目开发计划表'!$AG$28,1,(U$4+1)&amp;"年"&amp;Z$5)</f>
        <v>1</v>
      </c>
      <c r="AA249" s="312">
        <f>IF((U$4+1)&amp;"年"&amp;AA$5&lt;&gt;'9.项目开发计划表'!$AG$28,1,(U$4+1)&amp;"年"&amp;AA$5)</f>
        <v>1</v>
      </c>
      <c r="AB249" s="313">
        <f>IF((U$4+1)&amp;"年"&amp;AB$5&lt;&gt;'9.项目开发计划表'!$AG$28,1,(U$4+1)&amp;"年"&amp;AB$5)</f>
        <v>1</v>
      </c>
      <c r="AC249" s="322">
        <f>IF((Y$4+1)&amp;"年"&amp;AC$5&lt;&gt;'9.项目开发计划表'!$AG$28,1,(Y$4+1)&amp;"年"&amp;AC$5)</f>
        <v>1</v>
      </c>
      <c r="AD249" s="312">
        <f>IF((Y$4+1)&amp;"年"&amp;AD$5&lt;&gt;'9.项目开发计划表'!$AG$28,1,(Y$4+1)&amp;"年"&amp;AD$5)</f>
        <v>1</v>
      </c>
      <c r="AE249" s="312">
        <f>IF((Y$4+1)&amp;"年"&amp;AE$5&lt;&gt;'9.项目开发计划表'!$AG$28,1,(Y$4+1)&amp;"年"&amp;AE$5)</f>
        <v>1</v>
      </c>
      <c r="AF249" s="313">
        <f>IF((Y$4+1)&amp;"年"&amp;AF$5&lt;&gt;'9.项目开发计划表'!$AG$28,1,(Y$4+1)&amp;"年"&amp;AF$5)</f>
        <v>1</v>
      </c>
      <c r="AG249" s="322">
        <f>IF((AC$4+1)&amp;"年"&amp;AG$5&lt;&gt;'9.项目开发计划表'!$AG$28,1,(AC$4+1)&amp;"年"&amp;AG$5)</f>
        <v>1</v>
      </c>
      <c r="AH249" s="312">
        <f>IF((AC$4+1)&amp;"年"&amp;AH$5&lt;&gt;'9.项目开发计划表'!$AG$28,1,(AC$4+1)&amp;"年"&amp;AH$5)</f>
        <v>1</v>
      </c>
      <c r="AI249" s="312">
        <f>IF((AC$4+1)&amp;"年"&amp;AI$5&lt;&gt;'9.项目开发计划表'!$AG$28,1,(AC$4+1)&amp;"年"&amp;AI$5)</f>
        <v>1</v>
      </c>
      <c r="AJ249" s="313">
        <f>IF((AC$4+1)&amp;"年"&amp;AJ$5&lt;&gt;'9.项目开发计划表'!$AG$28,1,(AC$4+1)&amp;"年"&amp;AJ$5)</f>
        <v>1</v>
      </c>
      <c r="AK249" s="322">
        <f>IF((AG$4+1)&amp;"年"&amp;AK$5&lt;&gt;'9.项目开发计划表'!$AG$28,1,(AG$4+1)&amp;"年"&amp;AK$5)</f>
        <v>1</v>
      </c>
      <c r="AL249" s="312">
        <f>IF((AG$4+1)&amp;"年"&amp;AL$5&lt;&gt;'9.项目开发计划表'!$AG$28,1,(AG$4+1)&amp;"年"&amp;AL$5)</f>
        <v>1</v>
      </c>
      <c r="AM249" s="312">
        <f>IF((AG$4+1)&amp;"年"&amp;AM$5&lt;&gt;'9.项目开发计划表'!$AG$28,1,(AG$4+1)&amp;"年"&amp;AM$5)</f>
        <v>1</v>
      </c>
      <c r="AN249" s="313">
        <f>IF((AG$4+1)&amp;"年"&amp;AN$5&lt;&gt;'9.项目开发计划表'!$AG$28,1,(AG$4+1)&amp;"年"&amp;AN$5)</f>
        <v>1</v>
      </c>
      <c r="AO249" s="322">
        <f>IF((AK$4+1)&amp;"年"&amp;AO$5&lt;&gt;'9.项目开发计划表'!$AG$28,1,(AK$4+1)&amp;"年"&amp;AO$5)</f>
        <v>1</v>
      </c>
      <c r="AP249" s="312">
        <f>IF((AK$4+1)&amp;"年"&amp;AP$5&lt;&gt;'9.项目开发计划表'!$AG$28,1,(AK$4+1)&amp;"年"&amp;AP$5)</f>
        <v>1</v>
      </c>
      <c r="AQ249" s="312">
        <f>IF((AK$4+1)&amp;"年"&amp;AQ$5&lt;&gt;'9.项目开发计划表'!$AG$28,1,(AK$4+1)&amp;"年"&amp;AQ$5)</f>
        <v>1</v>
      </c>
      <c r="AR249" s="313">
        <f>IF((AK$4+1)&amp;"年"&amp;AR$5&lt;&gt;'9.项目开发计划表'!$AG$28,1,(AK$4+1)&amp;"年"&amp;AR$5)</f>
        <v>1</v>
      </c>
      <c r="AS249" s="322">
        <f>IF((AO$4+1)&amp;"年"&amp;AS$5&lt;&gt;'9.项目开发计划表'!$AG$28,1,(AO$4+1)&amp;"年"&amp;AS$5)</f>
        <v>1</v>
      </c>
      <c r="AT249" s="312">
        <f>IF((AO$4+1)&amp;"年"&amp;AT$5&lt;&gt;'9.项目开发计划表'!$AG$28,1,(AO$4+1)&amp;"年"&amp;AT$5)</f>
        <v>1</v>
      </c>
      <c r="AU249" s="312">
        <f>IF((AO$4+1)&amp;"年"&amp;AU$5&lt;&gt;'9.项目开发计划表'!$AG$28,1,(AO$4+1)&amp;"年"&amp;AU$5)</f>
        <v>1</v>
      </c>
      <c r="AV249" s="313">
        <f>IF((AO$4+1)&amp;"年"&amp;AV$5&lt;&gt;'9.项目开发计划表'!$AG$28,1,(AO$4+1)&amp;"年"&amp;AV$5)</f>
        <v>1</v>
      </c>
    </row>
    <row r="250" spans="2:48" outlineLevel="1">
      <c r="C250" s="1980"/>
      <c r="D250" s="1982"/>
      <c r="E250" s="280">
        <f t="shared" ref="E250:M250" si="67">IF(E249=1,0,1)</f>
        <v>0</v>
      </c>
      <c r="F250" s="281">
        <f t="shared" si="67"/>
        <v>0</v>
      </c>
      <c r="G250" s="281">
        <f t="shared" si="67"/>
        <v>0</v>
      </c>
      <c r="H250" s="282">
        <f t="shared" si="67"/>
        <v>0</v>
      </c>
      <c r="I250" s="323">
        <f t="shared" si="67"/>
        <v>0</v>
      </c>
      <c r="J250" s="281">
        <f t="shared" si="67"/>
        <v>0</v>
      </c>
      <c r="K250" s="281">
        <f t="shared" si="67"/>
        <v>0</v>
      </c>
      <c r="L250" s="282">
        <f t="shared" si="67"/>
        <v>0</v>
      </c>
      <c r="M250" s="323">
        <f t="shared" si="67"/>
        <v>0</v>
      </c>
      <c r="N250" s="281">
        <f t="shared" ref="N250:AV250" si="68">IF(N249=1,0,1)</f>
        <v>0</v>
      </c>
      <c r="O250" s="281">
        <f t="shared" si="68"/>
        <v>0</v>
      </c>
      <c r="P250" s="282">
        <f t="shared" si="68"/>
        <v>0</v>
      </c>
      <c r="Q250" s="323">
        <f t="shared" si="68"/>
        <v>0</v>
      </c>
      <c r="R250" s="281">
        <f t="shared" si="68"/>
        <v>0</v>
      </c>
      <c r="S250" s="281">
        <f t="shared" si="68"/>
        <v>0</v>
      </c>
      <c r="T250" s="282">
        <f t="shared" si="68"/>
        <v>0</v>
      </c>
      <c r="U250" s="323">
        <f t="shared" si="68"/>
        <v>0</v>
      </c>
      <c r="V250" s="281">
        <f t="shared" si="68"/>
        <v>0</v>
      </c>
      <c r="W250" s="281">
        <f t="shared" si="68"/>
        <v>0</v>
      </c>
      <c r="X250" s="282">
        <f t="shared" si="68"/>
        <v>0</v>
      </c>
      <c r="Y250" s="323">
        <f t="shared" si="68"/>
        <v>0</v>
      </c>
      <c r="Z250" s="281">
        <f t="shared" si="68"/>
        <v>0</v>
      </c>
      <c r="AA250" s="281">
        <f t="shared" si="68"/>
        <v>0</v>
      </c>
      <c r="AB250" s="282">
        <f t="shared" si="68"/>
        <v>0</v>
      </c>
      <c r="AC250" s="323">
        <f t="shared" si="68"/>
        <v>0</v>
      </c>
      <c r="AD250" s="281">
        <f t="shared" si="68"/>
        <v>0</v>
      </c>
      <c r="AE250" s="281">
        <f t="shared" si="68"/>
        <v>0</v>
      </c>
      <c r="AF250" s="282">
        <f t="shared" si="68"/>
        <v>0</v>
      </c>
      <c r="AG250" s="323">
        <f t="shared" si="68"/>
        <v>0</v>
      </c>
      <c r="AH250" s="281">
        <f t="shared" si="68"/>
        <v>0</v>
      </c>
      <c r="AI250" s="281">
        <f t="shared" si="68"/>
        <v>0</v>
      </c>
      <c r="AJ250" s="282">
        <f t="shared" si="68"/>
        <v>0</v>
      </c>
      <c r="AK250" s="323">
        <f t="shared" si="68"/>
        <v>0</v>
      </c>
      <c r="AL250" s="281">
        <f t="shared" si="68"/>
        <v>0</v>
      </c>
      <c r="AM250" s="281">
        <f t="shared" si="68"/>
        <v>0</v>
      </c>
      <c r="AN250" s="282">
        <f t="shared" si="68"/>
        <v>0</v>
      </c>
      <c r="AO250" s="323">
        <f t="shared" si="68"/>
        <v>0</v>
      </c>
      <c r="AP250" s="281">
        <f t="shared" si="68"/>
        <v>0</v>
      </c>
      <c r="AQ250" s="281">
        <f t="shared" si="68"/>
        <v>0</v>
      </c>
      <c r="AR250" s="282">
        <f t="shared" si="68"/>
        <v>0</v>
      </c>
      <c r="AS250" s="323">
        <f t="shared" si="68"/>
        <v>0</v>
      </c>
      <c r="AT250" s="281">
        <f t="shared" si="68"/>
        <v>0</v>
      </c>
      <c r="AU250" s="281">
        <f t="shared" si="68"/>
        <v>0</v>
      </c>
      <c r="AV250" s="282">
        <f t="shared" si="68"/>
        <v>0</v>
      </c>
    </row>
    <row r="251" spans="2:48" outlineLevel="1">
      <c r="C251" s="1980"/>
      <c r="D251" s="1981" t="str">
        <f>'8.项目规划指标表'!$B$19</f>
        <v>无产权车库(个)</v>
      </c>
      <c r="E251" s="311">
        <f>IF($E$4&amp;"年"&amp;E$5&lt;&gt;'9.项目开发计划表'!$AG$29,1,$E$4&amp;"年"&amp;E$5)</f>
        <v>1</v>
      </c>
      <c r="F251" s="312">
        <f>IF($E$4&amp;"年"&amp;F$5&lt;&gt;'9.项目开发计划表'!$AG$29,1,$E$4&amp;"年"&amp;F$5)</f>
        <v>1</v>
      </c>
      <c r="G251" s="312">
        <f>IF($E$4&amp;"年"&amp;G$5&lt;&gt;'9.项目开发计划表'!$AG$29,1,$E$4&amp;"年"&amp;G$5)</f>
        <v>1</v>
      </c>
      <c r="H251" s="313">
        <f>IF($E$4&amp;"年"&amp;H$5&lt;&gt;'9.项目开发计划表'!$AG$29,1,$E$4&amp;"年"&amp;H$5)</f>
        <v>1</v>
      </c>
      <c r="I251" s="322">
        <f>IF((E$4+1)&amp;"年"&amp;I$5&lt;&gt;'9.项目开发计划表'!$AG$29,1,(E$4+1)&amp;"年"&amp;I$5)</f>
        <v>1</v>
      </c>
      <c r="J251" s="312">
        <f>IF((E$4+1)&amp;"年"&amp;J$5&lt;&gt;'9.项目开发计划表'!$AG$29,1,(E$4+1)&amp;"年"&amp;J$5)</f>
        <v>1</v>
      </c>
      <c r="K251" s="312">
        <f>IF((E$4+1)&amp;"年"&amp;K$5&lt;&gt;'9.项目开发计划表'!$AG$29,1,(E$4+1)&amp;"年"&amp;K$5)</f>
        <v>1</v>
      </c>
      <c r="L251" s="313">
        <f>IF((E$4+1)&amp;"年"&amp;L$5&lt;&gt;'9.项目开发计划表'!$AG$29,1,(E$4+1)&amp;"年"&amp;L$5)</f>
        <v>1</v>
      </c>
      <c r="M251" s="322">
        <f>IF((I$4+1)&amp;"年"&amp;M$5&lt;&gt;'9.项目开发计划表'!$AG$29,1,(I$4+1)&amp;"年"&amp;M$5)</f>
        <v>1</v>
      </c>
      <c r="N251" s="312">
        <f>IF((I$4+1)&amp;"年"&amp;N$5&lt;&gt;'9.项目开发计划表'!$AG$29,1,(I$4+1)&amp;"年"&amp;N$5)</f>
        <v>1</v>
      </c>
      <c r="O251" s="312">
        <f>IF((I$4+1)&amp;"年"&amp;O$5&lt;&gt;'9.项目开发计划表'!$AG$29,1,(I$4+1)&amp;"年"&amp;O$5)</f>
        <v>1</v>
      </c>
      <c r="P251" s="313">
        <f>IF((I$4+1)&amp;"年"&amp;P$5&lt;&gt;'9.项目开发计划表'!$AG$29,1,(I$4+1)&amp;"年"&amp;P$5)</f>
        <v>1</v>
      </c>
      <c r="Q251" s="322">
        <f>IF((M$4+1)&amp;"年"&amp;Q$5&lt;&gt;'9.项目开发计划表'!$AG$29,1,(M$4+1)&amp;"年"&amp;Q$5)</f>
        <v>1</v>
      </c>
      <c r="R251" s="312">
        <f>IF((M$4+1)&amp;"年"&amp;R$5&lt;&gt;'9.项目开发计划表'!$AG$29,1,(M$4+1)&amp;"年"&amp;R$5)</f>
        <v>1</v>
      </c>
      <c r="S251" s="312">
        <f>IF((M$4+1)&amp;"年"&amp;S$5&lt;&gt;'9.项目开发计划表'!$AG$29,1,(M$4+1)&amp;"年"&amp;S$5)</f>
        <v>1</v>
      </c>
      <c r="T251" s="313">
        <f>IF((M$4+1)&amp;"年"&amp;T$5&lt;&gt;'9.项目开发计划表'!$AG$29,1,(M$4+1)&amp;"年"&amp;T$5)</f>
        <v>1</v>
      </c>
      <c r="U251" s="322">
        <f>IF((Q$4+1)&amp;"年"&amp;U$5&lt;&gt;'9.项目开发计划表'!$AG$29,1,(Q$4+1)&amp;"年"&amp;U$5)</f>
        <v>1</v>
      </c>
      <c r="V251" s="312">
        <f>IF((Q$4+1)&amp;"年"&amp;V$5&lt;&gt;'9.项目开发计划表'!$AG$29,1,(Q$4+1)&amp;"年"&amp;V$5)</f>
        <v>1</v>
      </c>
      <c r="W251" s="312">
        <f>IF((Q$4+1)&amp;"年"&amp;W$5&lt;&gt;'9.项目开发计划表'!$AG$29,1,(Q$4+1)&amp;"年"&amp;W$5)</f>
        <v>1</v>
      </c>
      <c r="X251" s="313">
        <f>IF((Q$4+1)&amp;"年"&amp;X$5&lt;&gt;'9.项目开发计划表'!$AG$29,1,(Q$4+1)&amp;"年"&amp;X$5)</f>
        <v>1</v>
      </c>
      <c r="Y251" s="322">
        <f>IF((U$4+1)&amp;"年"&amp;Y$5&lt;&gt;'9.项目开发计划表'!$AG$29,1,(U$4+1)&amp;"年"&amp;Y$5)</f>
        <v>1</v>
      </c>
      <c r="Z251" s="312">
        <f>IF((U$4+1)&amp;"年"&amp;Z$5&lt;&gt;'9.项目开发计划表'!$AG$29,1,(U$4+1)&amp;"年"&amp;Z$5)</f>
        <v>1</v>
      </c>
      <c r="AA251" s="312">
        <f>IF((U$4+1)&amp;"年"&amp;AA$5&lt;&gt;'9.项目开发计划表'!$AG$29,1,(U$4+1)&amp;"年"&amp;AA$5)</f>
        <v>1</v>
      </c>
      <c r="AB251" s="313">
        <f>IF((U$4+1)&amp;"年"&amp;AB$5&lt;&gt;'9.项目开发计划表'!$AG$29,1,(U$4+1)&amp;"年"&amp;AB$5)</f>
        <v>1</v>
      </c>
      <c r="AC251" s="322">
        <f>IF((Y$4+1)&amp;"年"&amp;AC$5&lt;&gt;'9.项目开发计划表'!$AG$29,1,(Y$4+1)&amp;"年"&amp;AC$5)</f>
        <v>1</v>
      </c>
      <c r="AD251" s="312">
        <f>IF((Y$4+1)&amp;"年"&amp;AD$5&lt;&gt;'9.项目开发计划表'!$AG$29,1,(Y$4+1)&amp;"年"&amp;AD$5)</f>
        <v>1</v>
      </c>
      <c r="AE251" s="312">
        <f>IF((Y$4+1)&amp;"年"&amp;AE$5&lt;&gt;'9.项目开发计划表'!$AG$29,1,(Y$4+1)&amp;"年"&amp;AE$5)</f>
        <v>1</v>
      </c>
      <c r="AF251" s="313">
        <f>IF((Y$4+1)&amp;"年"&amp;AF$5&lt;&gt;'9.项目开发计划表'!$AG$29,1,(Y$4+1)&amp;"年"&amp;AF$5)</f>
        <v>1</v>
      </c>
      <c r="AG251" s="322">
        <f>IF((AC$4+1)&amp;"年"&amp;AG$5&lt;&gt;'9.项目开发计划表'!$AG$29,1,(AC$4+1)&amp;"年"&amp;AG$5)</f>
        <v>1</v>
      </c>
      <c r="AH251" s="312">
        <f>IF((AC$4+1)&amp;"年"&amp;AH$5&lt;&gt;'9.项目开发计划表'!$AG$29,1,(AC$4+1)&amp;"年"&amp;AH$5)</f>
        <v>1</v>
      </c>
      <c r="AI251" s="312">
        <f>IF((AC$4+1)&amp;"年"&amp;AI$5&lt;&gt;'9.项目开发计划表'!$AG$29,1,(AC$4+1)&amp;"年"&amp;AI$5)</f>
        <v>1</v>
      </c>
      <c r="AJ251" s="313">
        <f>IF((AC$4+1)&amp;"年"&amp;AJ$5&lt;&gt;'9.项目开发计划表'!$AG$29,1,(AC$4+1)&amp;"年"&amp;AJ$5)</f>
        <v>1</v>
      </c>
      <c r="AK251" s="322">
        <f>IF((AG$4+1)&amp;"年"&amp;AK$5&lt;&gt;'9.项目开发计划表'!$AG$29,1,(AG$4+1)&amp;"年"&amp;AK$5)</f>
        <v>1</v>
      </c>
      <c r="AL251" s="312">
        <f>IF((AG$4+1)&amp;"年"&amp;AL$5&lt;&gt;'9.项目开发计划表'!$AG$29,1,(AG$4+1)&amp;"年"&amp;AL$5)</f>
        <v>1</v>
      </c>
      <c r="AM251" s="312">
        <f>IF((AG$4+1)&amp;"年"&amp;AM$5&lt;&gt;'9.项目开发计划表'!$AG$29,1,(AG$4+1)&amp;"年"&amp;AM$5)</f>
        <v>1</v>
      </c>
      <c r="AN251" s="313">
        <f>IF((AG$4+1)&amp;"年"&amp;AN$5&lt;&gt;'9.项目开发计划表'!$AG$29,1,(AG$4+1)&amp;"年"&amp;AN$5)</f>
        <v>1</v>
      </c>
      <c r="AO251" s="322">
        <f>IF((AK$4+1)&amp;"年"&amp;AO$5&lt;&gt;'9.项目开发计划表'!$AG$29,1,(AK$4+1)&amp;"年"&amp;AO$5)</f>
        <v>1</v>
      </c>
      <c r="AP251" s="312">
        <f>IF((AK$4+1)&amp;"年"&amp;AP$5&lt;&gt;'9.项目开发计划表'!$AG$29,1,(AK$4+1)&amp;"年"&amp;AP$5)</f>
        <v>1</v>
      </c>
      <c r="AQ251" s="312">
        <f>IF((AK$4+1)&amp;"年"&amp;AQ$5&lt;&gt;'9.项目开发计划表'!$AG$29,1,(AK$4+1)&amp;"年"&amp;AQ$5)</f>
        <v>1</v>
      </c>
      <c r="AR251" s="313">
        <f>IF((AK$4+1)&amp;"年"&amp;AR$5&lt;&gt;'9.项目开发计划表'!$AG$29,1,(AK$4+1)&amp;"年"&amp;AR$5)</f>
        <v>1</v>
      </c>
      <c r="AS251" s="322">
        <f>IF((AO$4+1)&amp;"年"&amp;AS$5&lt;&gt;'9.项目开发计划表'!$AG$29,1,(AO$4+1)&amp;"年"&amp;AS$5)</f>
        <v>1</v>
      </c>
      <c r="AT251" s="312">
        <f>IF((AO$4+1)&amp;"年"&amp;AT$5&lt;&gt;'9.项目开发计划表'!$AG$29,1,(AO$4+1)&amp;"年"&amp;AT$5)</f>
        <v>1</v>
      </c>
      <c r="AU251" s="312">
        <f>IF((AO$4+1)&amp;"年"&amp;AU$5&lt;&gt;'9.项目开发计划表'!$AG$29,1,(AO$4+1)&amp;"年"&amp;AU$5)</f>
        <v>1</v>
      </c>
      <c r="AV251" s="313">
        <f>IF((AO$4+1)&amp;"年"&amp;AV$5&lt;&gt;'9.项目开发计划表'!$AG$29,1,(AO$4+1)&amp;"年"&amp;AV$5)</f>
        <v>1</v>
      </c>
    </row>
    <row r="252" spans="2:48" outlineLevel="1">
      <c r="C252" s="1980"/>
      <c r="D252" s="1982"/>
      <c r="E252" s="280">
        <f t="shared" ref="E252:M252" si="69">IF(E251=1,0,1)</f>
        <v>0</v>
      </c>
      <c r="F252" s="281">
        <f t="shared" si="69"/>
        <v>0</v>
      </c>
      <c r="G252" s="281">
        <f t="shared" si="69"/>
        <v>0</v>
      </c>
      <c r="H252" s="282">
        <f t="shared" si="69"/>
        <v>0</v>
      </c>
      <c r="I252" s="323">
        <f t="shared" si="69"/>
        <v>0</v>
      </c>
      <c r="J252" s="281">
        <f t="shared" si="69"/>
        <v>0</v>
      </c>
      <c r="K252" s="281">
        <f t="shared" si="69"/>
        <v>0</v>
      </c>
      <c r="L252" s="282">
        <f t="shared" si="69"/>
        <v>0</v>
      </c>
      <c r="M252" s="323">
        <f t="shared" si="69"/>
        <v>0</v>
      </c>
      <c r="N252" s="281">
        <f t="shared" ref="N252:AV252" si="70">IF(N251=1,0,1)</f>
        <v>0</v>
      </c>
      <c r="O252" s="281">
        <f t="shared" si="70"/>
        <v>0</v>
      </c>
      <c r="P252" s="282">
        <f t="shared" si="70"/>
        <v>0</v>
      </c>
      <c r="Q252" s="323">
        <f t="shared" si="70"/>
        <v>0</v>
      </c>
      <c r="R252" s="281">
        <f t="shared" si="70"/>
        <v>0</v>
      </c>
      <c r="S252" s="281">
        <f t="shared" si="70"/>
        <v>0</v>
      </c>
      <c r="T252" s="282">
        <f t="shared" si="70"/>
        <v>0</v>
      </c>
      <c r="U252" s="323">
        <f t="shared" si="70"/>
        <v>0</v>
      </c>
      <c r="V252" s="281">
        <f t="shared" si="70"/>
        <v>0</v>
      </c>
      <c r="W252" s="281">
        <f t="shared" si="70"/>
        <v>0</v>
      </c>
      <c r="X252" s="282">
        <f t="shared" si="70"/>
        <v>0</v>
      </c>
      <c r="Y252" s="323">
        <f t="shared" si="70"/>
        <v>0</v>
      </c>
      <c r="Z252" s="281">
        <f t="shared" si="70"/>
        <v>0</v>
      </c>
      <c r="AA252" s="281">
        <f t="shared" si="70"/>
        <v>0</v>
      </c>
      <c r="AB252" s="282">
        <f t="shared" si="70"/>
        <v>0</v>
      </c>
      <c r="AC252" s="323">
        <f t="shared" si="70"/>
        <v>0</v>
      </c>
      <c r="AD252" s="281">
        <f t="shared" si="70"/>
        <v>0</v>
      </c>
      <c r="AE252" s="281">
        <f t="shared" si="70"/>
        <v>0</v>
      </c>
      <c r="AF252" s="282">
        <f t="shared" si="70"/>
        <v>0</v>
      </c>
      <c r="AG252" s="323">
        <f t="shared" si="70"/>
        <v>0</v>
      </c>
      <c r="AH252" s="281">
        <f t="shared" si="70"/>
        <v>0</v>
      </c>
      <c r="AI252" s="281">
        <f t="shared" si="70"/>
        <v>0</v>
      </c>
      <c r="AJ252" s="282">
        <f t="shared" si="70"/>
        <v>0</v>
      </c>
      <c r="AK252" s="323">
        <f t="shared" si="70"/>
        <v>0</v>
      </c>
      <c r="AL252" s="281">
        <f t="shared" si="70"/>
        <v>0</v>
      </c>
      <c r="AM252" s="281">
        <f t="shared" si="70"/>
        <v>0</v>
      </c>
      <c r="AN252" s="282">
        <f t="shared" si="70"/>
        <v>0</v>
      </c>
      <c r="AO252" s="323">
        <f t="shared" si="70"/>
        <v>0</v>
      </c>
      <c r="AP252" s="281">
        <f t="shared" si="70"/>
        <v>0</v>
      </c>
      <c r="AQ252" s="281">
        <f t="shared" si="70"/>
        <v>0</v>
      </c>
      <c r="AR252" s="282">
        <f t="shared" si="70"/>
        <v>0</v>
      </c>
      <c r="AS252" s="323">
        <f t="shared" si="70"/>
        <v>0</v>
      </c>
      <c r="AT252" s="281">
        <f t="shared" si="70"/>
        <v>0</v>
      </c>
      <c r="AU252" s="281">
        <f t="shared" si="70"/>
        <v>0</v>
      </c>
      <c r="AV252" s="282">
        <f t="shared" si="70"/>
        <v>0</v>
      </c>
    </row>
    <row r="253" spans="2:48" s="256" customFormat="1" ht="15.75" customHeight="1" outlineLevel="1">
      <c r="B253" s="321"/>
      <c r="C253" s="1980" t="s">
        <v>21</v>
      </c>
      <c r="D253" s="1981" t="str">
        <f>'8.项目规划指标表'!$B$5</f>
        <v>高层</v>
      </c>
      <c r="E253" s="311">
        <f>IF($E$4&amp;"年"&amp;E$5&lt;&gt;'9.项目开发计划表'!$AG$31,1,$E$4&amp;"年"&amp;E$5)</f>
        <v>1</v>
      </c>
      <c r="F253" s="312">
        <f>IF($E$4&amp;"年"&amp;F$5&lt;&gt;'9.项目开发计划表'!$AG$31,1,$E$4&amp;"年"&amp;F$5)</f>
        <v>1</v>
      </c>
      <c r="G253" s="312">
        <f>IF($E$4&amp;"年"&amp;G$5&lt;&gt;'9.项目开发计划表'!$AG$31,1,$E$4&amp;"年"&amp;G$5)</f>
        <v>1</v>
      </c>
      <c r="H253" s="313">
        <f>IF($E$4&amp;"年"&amp;H$5&lt;&gt;'9.项目开发计划表'!$AG$31,1,$E$4&amp;"年"&amp;H$5)</f>
        <v>1</v>
      </c>
      <c r="I253" s="322">
        <f>IF((E$4+1)&amp;"年"&amp;I$5&lt;&gt;'9.项目开发计划表'!$AG$31,1,(E$4+1)&amp;"年"&amp;I$5)</f>
        <v>1</v>
      </c>
      <c r="J253" s="312">
        <f>IF((E$4+1)&amp;"年"&amp;J$5&lt;&gt;'9.项目开发计划表'!$AG$31,1,(E$4+1)&amp;"年"&amp;J$5)</f>
        <v>1</v>
      </c>
      <c r="K253" s="312">
        <f>IF((E$4+1)&amp;"年"&amp;K$5&lt;&gt;'9.项目开发计划表'!$AG$31,1,(E$4+1)&amp;"年"&amp;K$5)</f>
        <v>1</v>
      </c>
      <c r="L253" s="313">
        <f>IF((E$4+1)&amp;"年"&amp;L$5&lt;&gt;'9.项目开发计划表'!$AG$31,1,(E$4+1)&amp;"年"&amp;L$5)</f>
        <v>1</v>
      </c>
      <c r="M253" s="311">
        <f>IF((I$4+1)&amp;"年"&amp;M$5&lt;&gt;'9.项目开发计划表'!$AG$31,1,(I$4+1)&amp;"年"&amp;M$5)</f>
        <v>1</v>
      </c>
      <c r="N253" s="312">
        <f>IF((I$4+1)&amp;"年"&amp;N$5&lt;&gt;'9.项目开发计划表'!$AG$31,1,(I$4+1)&amp;"年"&amp;N$5)</f>
        <v>1</v>
      </c>
      <c r="O253" s="312">
        <f>IF((I$4+1)&amp;"年"&amp;O$5&lt;&gt;'9.项目开发计划表'!$AG$31,1,(I$4+1)&amp;"年"&amp;O$5)</f>
        <v>1</v>
      </c>
      <c r="P253" s="313">
        <f>IF((I$4+1)&amp;"年"&amp;P$5&lt;&gt;'9.项目开发计划表'!$AG$31,1,(I$4+1)&amp;"年"&amp;P$5)</f>
        <v>1</v>
      </c>
      <c r="Q253" s="311">
        <f>IF((M$4+1)&amp;"年"&amp;Q$5&lt;&gt;'9.项目开发计划表'!$AG$31,1,(M$4+1)&amp;"年"&amp;Q$5)</f>
        <v>1</v>
      </c>
      <c r="R253" s="312">
        <f>IF((M$4+1)&amp;"年"&amp;R$5&lt;&gt;'9.项目开发计划表'!$AG$31,1,(M$4+1)&amp;"年"&amp;R$5)</f>
        <v>1</v>
      </c>
      <c r="S253" s="312">
        <f>IF((M$4+1)&amp;"年"&amp;S$5&lt;&gt;'9.项目开发计划表'!$AG$31,1,(M$4+1)&amp;"年"&amp;S$5)</f>
        <v>1</v>
      </c>
      <c r="T253" s="313">
        <f>IF((M$4+1)&amp;"年"&amp;T$5&lt;&gt;'9.项目开发计划表'!$AG$31,1,(M$4+1)&amp;"年"&amp;T$5)</f>
        <v>1</v>
      </c>
      <c r="U253" s="311">
        <f>IF((Q$4+1)&amp;"年"&amp;U$5&lt;&gt;'9.项目开发计划表'!$AG$31,1,(Q$4+1)&amp;"年"&amp;U$5)</f>
        <v>1</v>
      </c>
      <c r="V253" s="312">
        <f>IF((Q$4+1)&amp;"年"&amp;V$5&lt;&gt;'9.项目开发计划表'!$AG$31,1,(Q$4+1)&amp;"年"&amp;V$5)</f>
        <v>1</v>
      </c>
      <c r="W253" s="312">
        <f>IF((Q$4+1)&amp;"年"&amp;W$5&lt;&gt;'9.项目开发计划表'!$AG$31,1,(Q$4+1)&amp;"年"&amp;W$5)</f>
        <v>1</v>
      </c>
      <c r="X253" s="313">
        <f>IF((Q$4+1)&amp;"年"&amp;X$5&lt;&gt;'9.项目开发计划表'!$AG$31,1,(Q$4+1)&amp;"年"&amp;X$5)</f>
        <v>1</v>
      </c>
      <c r="Y253" s="311">
        <f>IF((U$4+1)&amp;"年"&amp;Y$5&lt;&gt;'9.项目开发计划表'!$AG$31,1,(U$4+1)&amp;"年"&amp;Y$5)</f>
        <v>1</v>
      </c>
      <c r="Z253" s="312">
        <f>IF((U$4+1)&amp;"年"&amp;Z$5&lt;&gt;'9.项目开发计划表'!$AG$31,1,(U$4+1)&amp;"年"&amp;Z$5)</f>
        <v>1</v>
      </c>
      <c r="AA253" s="312">
        <f>IF((U$4+1)&amp;"年"&amp;AA$5&lt;&gt;'9.项目开发计划表'!$AG$31,1,(U$4+1)&amp;"年"&amp;AA$5)</f>
        <v>1</v>
      </c>
      <c r="AB253" s="313">
        <f>IF((U$4+1)&amp;"年"&amp;AB$5&lt;&gt;'9.项目开发计划表'!$AG$31,1,(U$4+1)&amp;"年"&amp;AB$5)</f>
        <v>1</v>
      </c>
      <c r="AC253" s="311">
        <f>IF((Y$4+1)&amp;"年"&amp;AC$5&lt;&gt;'9.项目开发计划表'!$AG$31,1,(Y$4+1)&amp;"年"&amp;AC$5)</f>
        <v>1</v>
      </c>
      <c r="AD253" s="312">
        <f>IF((Y$4+1)&amp;"年"&amp;AD$5&lt;&gt;'9.项目开发计划表'!$AG$31,1,(Y$4+1)&amp;"年"&amp;AD$5)</f>
        <v>1</v>
      </c>
      <c r="AE253" s="312">
        <f>IF((Y$4+1)&amp;"年"&amp;AE$5&lt;&gt;'9.项目开发计划表'!$AG$31,1,(Y$4+1)&amp;"年"&amp;AE$5)</f>
        <v>1</v>
      </c>
      <c r="AF253" s="313">
        <f>IF((Y$4+1)&amp;"年"&amp;AF$5&lt;&gt;'9.项目开发计划表'!$AG$31,1,(Y$4+1)&amp;"年"&amp;AF$5)</f>
        <v>1</v>
      </c>
      <c r="AG253" s="311">
        <f>IF((AC$4+1)&amp;"年"&amp;AG$5&lt;&gt;'9.项目开发计划表'!$AG$31,1,(AC$4+1)&amp;"年"&amp;AG$5)</f>
        <v>1</v>
      </c>
      <c r="AH253" s="312">
        <f>IF((AC$4+1)&amp;"年"&amp;AH$5&lt;&gt;'9.项目开发计划表'!$AG$31,1,(AC$4+1)&amp;"年"&amp;AH$5)</f>
        <v>1</v>
      </c>
      <c r="AI253" s="312">
        <f>IF((AC$4+1)&amp;"年"&amp;AI$5&lt;&gt;'9.项目开发计划表'!$AG$31,1,(AC$4+1)&amp;"年"&amp;AI$5)</f>
        <v>1</v>
      </c>
      <c r="AJ253" s="313">
        <f>IF((AC$4+1)&amp;"年"&amp;AJ$5&lt;&gt;'9.项目开发计划表'!$AG$31,1,(AC$4+1)&amp;"年"&amp;AJ$5)</f>
        <v>1</v>
      </c>
      <c r="AK253" s="311">
        <f>IF((AG$4+1)&amp;"年"&amp;AK$5&lt;&gt;'9.项目开发计划表'!$AG$31,1,(AG$4+1)&amp;"年"&amp;AK$5)</f>
        <v>1</v>
      </c>
      <c r="AL253" s="312">
        <f>IF((AG$4+1)&amp;"年"&amp;AL$5&lt;&gt;'9.项目开发计划表'!$AG$31,1,(AG$4+1)&amp;"年"&amp;AL$5)</f>
        <v>1</v>
      </c>
      <c r="AM253" s="312">
        <f>IF((AG$4+1)&amp;"年"&amp;AM$5&lt;&gt;'9.项目开发计划表'!$AG$31,1,(AG$4+1)&amp;"年"&amp;AM$5)</f>
        <v>1</v>
      </c>
      <c r="AN253" s="313">
        <f>IF((AG$4+1)&amp;"年"&amp;AN$5&lt;&gt;'9.项目开发计划表'!$AG$31,1,(AG$4+1)&amp;"年"&amp;AN$5)</f>
        <v>1</v>
      </c>
      <c r="AO253" s="311">
        <f>IF((AK$4+1)&amp;"年"&amp;AO$5&lt;&gt;'9.项目开发计划表'!$AG$31,1,(AK$4+1)&amp;"年"&amp;AO$5)</f>
        <v>1</v>
      </c>
      <c r="AP253" s="312">
        <f>IF((AK$4+1)&amp;"年"&amp;AP$5&lt;&gt;'9.项目开发计划表'!$AG$31,1,(AK$4+1)&amp;"年"&amp;AP$5)</f>
        <v>1</v>
      </c>
      <c r="AQ253" s="312">
        <f>IF((AK$4+1)&amp;"年"&amp;AQ$5&lt;&gt;'9.项目开发计划表'!$AG$31,1,(AK$4+1)&amp;"年"&amp;AQ$5)</f>
        <v>1</v>
      </c>
      <c r="AR253" s="313">
        <f>IF((AK$4+1)&amp;"年"&amp;AR$5&lt;&gt;'9.项目开发计划表'!$AG$31,1,(AK$4+1)&amp;"年"&amp;AR$5)</f>
        <v>1</v>
      </c>
      <c r="AS253" s="311">
        <f>IF((AO$4+1)&amp;"年"&amp;AS$5&lt;&gt;'9.项目开发计划表'!$AG$31,1,(AO$4+1)&amp;"年"&amp;AS$5)</f>
        <v>1</v>
      </c>
      <c r="AT253" s="312">
        <f>IF((AO$4+1)&amp;"年"&amp;AT$5&lt;&gt;'9.项目开发计划表'!$AG$31,1,(AO$4+1)&amp;"年"&amp;AT$5)</f>
        <v>1</v>
      </c>
      <c r="AU253" s="312">
        <f>IF((AO$4+1)&amp;"年"&amp;AU$5&lt;&gt;'9.项目开发计划表'!$AG$31,1,(AO$4+1)&amp;"年"&amp;AU$5)</f>
        <v>1</v>
      </c>
      <c r="AV253" s="313">
        <f>IF((AO$4+1)&amp;"年"&amp;AV$5&lt;&gt;'9.项目开发计划表'!$AG$31,1,(AO$4+1)&amp;"年"&amp;AV$5)</f>
        <v>1</v>
      </c>
    </row>
    <row r="254" spans="2:48" s="256" customFormat="1" ht="15.75" customHeight="1" outlineLevel="1">
      <c r="B254" s="321"/>
      <c r="C254" s="1980"/>
      <c r="D254" s="1982"/>
      <c r="E254" s="280">
        <f t="shared" ref="E254:AV254" si="71">IF(E253=1,0,1)</f>
        <v>0</v>
      </c>
      <c r="F254" s="281">
        <f t="shared" si="71"/>
        <v>0</v>
      </c>
      <c r="G254" s="281">
        <f t="shared" si="71"/>
        <v>0</v>
      </c>
      <c r="H254" s="282">
        <f t="shared" si="71"/>
        <v>0</v>
      </c>
      <c r="I254" s="323">
        <f t="shared" si="71"/>
        <v>0</v>
      </c>
      <c r="J254" s="281">
        <f t="shared" si="71"/>
        <v>0</v>
      </c>
      <c r="K254" s="281">
        <f t="shared" si="71"/>
        <v>0</v>
      </c>
      <c r="L254" s="282">
        <f t="shared" si="71"/>
        <v>0</v>
      </c>
      <c r="M254" s="280">
        <f t="shared" si="71"/>
        <v>0</v>
      </c>
      <c r="N254" s="281">
        <f t="shared" si="71"/>
        <v>0</v>
      </c>
      <c r="O254" s="281">
        <f t="shared" si="71"/>
        <v>0</v>
      </c>
      <c r="P254" s="282">
        <f t="shared" si="71"/>
        <v>0</v>
      </c>
      <c r="Q254" s="280">
        <f t="shared" si="71"/>
        <v>0</v>
      </c>
      <c r="R254" s="281">
        <f t="shared" si="71"/>
        <v>0</v>
      </c>
      <c r="S254" s="281">
        <f t="shared" si="71"/>
        <v>0</v>
      </c>
      <c r="T254" s="282">
        <f t="shared" si="71"/>
        <v>0</v>
      </c>
      <c r="U254" s="280">
        <f t="shared" si="71"/>
        <v>0</v>
      </c>
      <c r="V254" s="281">
        <f t="shared" si="71"/>
        <v>0</v>
      </c>
      <c r="W254" s="281">
        <f t="shared" si="71"/>
        <v>0</v>
      </c>
      <c r="X254" s="282">
        <f t="shared" si="71"/>
        <v>0</v>
      </c>
      <c r="Y254" s="280">
        <f t="shared" si="71"/>
        <v>0</v>
      </c>
      <c r="Z254" s="281">
        <f t="shared" si="71"/>
        <v>0</v>
      </c>
      <c r="AA254" s="281">
        <f t="shared" si="71"/>
        <v>0</v>
      </c>
      <c r="AB254" s="282">
        <f t="shared" si="71"/>
        <v>0</v>
      </c>
      <c r="AC254" s="280">
        <f t="shared" si="71"/>
        <v>0</v>
      </c>
      <c r="AD254" s="281">
        <f t="shared" si="71"/>
        <v>0</v>
      </c>
      <c r="AE254" s="281">
        <f t="shared" si="71"/>
        <v>0</v>
      </c>
      <c r="AF254" s="282">
        <f t="shared" si="71"/>
        <v>0</v>
      </c>
      <c r="AG254" s="280">
        <f t="shared" si="71"/>
        <v>0</v>
      </c>
      <c r="AH254" s="281">
        <f t="shared" si="71"/>
        <v>0</v>
      </c>
      <c r="AI254" s="281">
        <f t="shared" si="71"/>
        <v>0</v>
      </c>
      <c r="AJ254" s="282">
        <f t="shared" si="71"/>
        <v>0</v>
      </c>
      <c r="AK254" s="280">
        <f t="shared" si="71"/>
        <v>0</v>
      </c>
      <c r="AL254" s="281">
        <f t="shared" si="71"/>
        <v>0</v>
      </c>
      <c r="AM254" s="281">
        <f t="shared" si="71"/>
        <v>0</v>
      </c>
      <c r="AN254" s="282">
        <f t="shared" si="71"/>
        <v>0</v>
      </c>
      <c r="AO254" s="280">
        <f t="shared" si="71"/>
        <v>0</v>
      </c>
      <c r="AP254" s="281">
        <f t="shared" si="71"/>
        <v>0</v>
      </c>
      <c r="AQ254" s="281">
        <f t="shared" si="71"/>
        <v>0</v>
      </c>
      <c r="AR254" s="282">
        <f t="shared" si="71"/>
        <v>0</v>
      </c>
      <c r="AS254" s="280">
        <f t="shared" si="71"/>
        <v>0</v>
      </c>
      <c r="AT254" s="281">
        <f t="shared" si="71"/>
        <v>0</v>
      </c>
      <c r="AU254" s="281">
        <f t="shared" si="71"/>
        <v>0</v>
      </c>
      <c r="AV254" s="282">
        <f t="shared" si="71"/>
        <v>0</v>
      </c>
    </row>
    <row r="255" spans="2:48" s="256" customFormat="1" ht="15.75" customHeight="1" outlineLevel="1">
      <c r="B255" s="321"/>
      <c r="C255" s="1980"/>
      <c r="D255" s="1981" t="str">
        <f>'8.项目规划指标表'!$B$6</f>
        <v>商铺</v>
      </c>
      <c r="E255" s="311">
        <f>IF($E$4&amp;"年"&amp;E$5&lt;&gt;'9.项目开发计划表'!$AG$32,1,$E$4&amp;"年"&amp;E$5)</f>
        <v>1</v>
      </c>
      <c r="F255" s="312">
        <f>IF($E$4&amp;"年"&amp;F$5&lt;&gt;'9.项目开发计划表'!$AG$32,1,$E$4&amp;"年"&amp;F$5)</f>
        <v>1</v>
      </c>
      <c r="G255" s="312">
        <f>IF($E$4&amp;"年"&amp;G$5&lt;&gt;'9.项目开发计划表'!$AG$32,1,$E$4&amp;"年"&amp;G$5)</f>
        <v>1</v>
      </c>
      <c r="H255" s="313">
        <f>IF($E$4&amp;"年"&amp;H$5&lt;&gt;'9.项目开发计划表'!$AG$32,1,$E$4&amp;"年"&amp;H$5)</f>
        <v>1</v>
      </c>
      <c r="I255" s="322">
        <f>IF((E$4+1)&amp;"年"&amp;I$5&lt;&gt;'9.项目开发计划表'!$AG$32,1,(E$4+1)&amp;"年"&amp;I$5)</f>
        <v>1</v>
      </c>
      <c r="J255" s="312">
        <f>IF((E$4+1)&amp;"年"&amp;J$5&lt;&gt;'9.项目开发计划表'!$AG$32,1,(E$4+1)&amp;"年"&amp;J$5)</f>
        <v>1</v>
      </c>
      <c r="K255" s="312">
        <f>IF((E$4+1)&amp;"年"&amp;K$5&lt;&gt;'9.项目开发计划表'!$AG$32,1,(E$4+1)&amp;"年"&amp;K$5)</f>
        <v>1</v>
      </c>
      <c r="L255" s="313">
        <f>IF((E$4+1)&amp;"年"&amp;L$5&lt;&gt;'9.项目开发计划表'!$AG$32,1,(E$4+1)&amp;"年"&amp;L$5)</f>
        <v>1</v>
      </c>
      <c r="M255" s="311">
        <f>IF((I$4+1)&amp;"年"&amp;M$5&lt;&gt;'9.项目开发计划表'!$AG$32,1,(I$4+1)&amp;"年"&amp;M$5)</f>
        <v>1</v>
      </c>
      <c r="N255" s="312">
        <f>IF((I$4+1)&amp;"年"&amp;N$5&lt;&gt;'9.项目开发计划表'!$AG$32,1,(I$4+1)&amp;"年"&amp;N$5)</f>
        <v>1</v>
      </c>
      <c r="O255" s="312">
        <f>IF((I$4+1)&amp;"年"&amp;O$5&lt;&gt;'9.项目开发计划表'!$AG$32,1,(I$4+1)&amp;"年"&amp;O$5)</f>
        <v>1</v>
      </c>
      <c r="P255" s="313">
        <f>IF((I$4+1)&amp;"年"&amp;P$5&lt;&gt;'9.项目开发计划表'!$AG$32,1,(I$4+1)&amp;"年"&amp;P$5)</f>
        <v>1</v>
      </c>
      <c r="Q255" s="311">
        <f>IF((M$4+1)&amp;"年"&amp;Q$5&lt;&gt;'9.项目开发计划表'!$AG$32,1,(M$4+1)&amp;"年"&amp;Q$5)</f>
        <v>1</v>
      </c>
      <c r="R255" s="312">
        <f>IF((M$4+1)&amp;"年"&amp;R$5&lt;&gt;'9.项目开发计划表'!$AG$32,1,(M$4+1)&amp;"年"&amp;R$5)</f>
        <v>1</v>
      </c>
      <c r="S255" s="312">
        <f>IF((M$4+1)&amp;"年"&amp;S$5&lt;&gt;'9.项目开发计划表'!$AG$32,1,(M$4+1)&amp;"年"&amp;S$5)</f>
        <v>1</v>
      </c>
      <c r="T255" s="313">
        <f>IF((M$4+1)&amp;"年"&amp;T$5&lt;&gt;'9.项目开发计划表'!$AG$32,1,(M$4+1)&amp;"年"&amp;T$5)</f>
        <v>1</v>
      </c>
      <c r="U255" s="311">
        <f>IF((Q$4+1)&amp;"年"&amp;U$5&lt;&gt;'9.项目开发计划表'!$AG$32,1,(Q$4+1)&amp;"年"&amp;U$5)</f>
        <v>1</v>
      </c>
      <c r="V255" s="312">
        <f>IF((Q$4+1)&amp;"年"&amp;V$5&lt;&gt;'9.项目开发计划表'!$AG$32,1,(Q$4+1)&amp;"年"&amp;V$5)</f>
        <v>1</v>
      </c>
      <c r="W255" s="312">
        <f>IF((Q$4+1)&amp;"年"&amp;W$5&lt;&gt;'9.项目开发计划表'!$AG$32,1,(Q$4+1)&amp;"年"&amp;W$5)</f>
        <v>1</v>
      </c>
      <c r="X255" s="313">
        <f>IF((Q$4+1)&amp;"年"&amp;X$5&lt;&gt;'9.项目开发计划表'!$AG$32,1,(Q$4+1)&amp;"年"&amp;X$5)</f>
        <v>1</v>
      </c>
      <c r="Y255" s="311">
        <f>IF((U$4+1)&amp;"年"&amp;Y$5&lt;&gt;'9.项目开发计划表'!$AG$32,1,(U$4+1)&amp;"年"&amp;Y$5)</f>
        <v>1</v>
      </c>
      <c r="Z255" s="312">
        <f>IF((U$4+1)&amp;"年"&amp;Z$5&lt;&gt;'9.项目开发计划表'!$AG$32,1,(U$4+1)&amp;"年"&amp;Z$5)</f>
        <v>1</v>
      </c>
      <c r="AA255" s="312">
        <f>IF((U$4+1)&amp;"年"&amp;AA$5&lt;&gt;'9.项目开发计划表'!$AG$32,1,(U$4+1)&amp;"年"&amp;AA$5)</f>
        <v>1</v>
      </c>
      <c r="AB255" s="313">
        <f>IF((U$4+1)&amp;"年"&amp;AB$5&lt;&gt;'9.项目开发计划表'!$AG$32,1,(U$4+1)&amp;"年"&amp;AB$5)</f>
        <v>1</v>
      </c>
      <c r="AC255" s="311">
        <f>IF((Y$4+1)&amp;"年"&amp;AC$5&lt;&gt;'9.项目开发计划表'!$AG$32,1,(Y$4+1)&amp;"年"&amp;AC$5)</f>
        <v>1</v>
      </c>
      <c r="AD255" s="312">
        <f>IF((Y$4+1)&amp;"年"&amp;AD$5&lt;&gt;'9.项目开发计划表'!$AG$32,1,(Y$4+1)&amp;"年"&amp;AD$5)</f>
        <v>1</v>
      </c>
      <c r="AE255" s="312">
        <f>IF((Y$4+1)&amp;"年"&amp;AE$5&lt;&gt;'9.项目开发计划表'!$AG$32,1,(Y$4+1)&amp;"年"&amp;AE$5)</f>
        <v>1</v>
      </c>
      <c r="AF255" s="313">
        <f>IF((Y$4+1)&amp;"年"&amp;AF$5&lt;&gt;'9.项目开发计划表'!$AG$32,1,(Y$4+1)&amp;"年"&amp;AF$5)</f>
        <v>1</v>
      </c>
      <c r="AG255" s="311">
        <f>IF((AC$4+1)&amp;"年"&amp;AG$5&lt;&gt;'9.项目开发计划表'!$AG$32,1,(AC$4+1)&amp;"年"&amp;AG$5)</f>
        <v>1</v>
      </c>
      <c r="AH255" s="312">
        <f>IF((AC$4+1)&amp;"年"&amp;AH$5&lt;&gt;'9.项目开发计划表'!$AG$32,1,(AC$4+1)&amp;"年"&amp;AH$5)</f>
        <v>1</v>
      </c>
      <c r="AI255" s="312">
        <f>IF((AC$4+1)&amp;"年"&amp;AI$5&lt;&gt;'9.项目开发计划表'!$AG$32,1,(AC$4+1)&amp;"年"&amp;AI$5)</f>
        <v>1</v>
      </c>
      <c r="AJ255" s="313">
        <f>IF((AC$4+1)&amp;"年"&amp;AJ$5&lt;&gt;'9.项目开发计划表'!$AG$32,1,(AC$4+1)&amp;"年"&amp;AJ$5)</f>
        <v>1</v>
      </c>
      <c r="AK255" s="311">
        <f>IF((AG$4+1)&amp;"年"&amp;AK$5&lt;&gt;'9.项目开发计划表'!$AG$32,1,(AG$4+1)&amp;"年"&amp;AK$5)</f>
        <v>1</v>
      </c>
      <c r="AL255" s="312">
        <f>IF((AG$4+1)&amp;"年"&amp;AL$5&lt;&gt;'9.项目开发计划表'!$AG$32,1,(AG$4+1)&amp;"年"&amp;AL$5)</f>
        <v>1</v>
      </c>
      <c r="AM255" s="312">
        <f>IF((AG$4+1)&amp;"年"&amp;AM$5&lt;&gt;'9.项目开发计划表'!$AG$32,1,(AG$4+1)&amp;"年"&amp;AM$5)</f>
        <v>1</v>
      </c>
      <c r="AN255" s="313">
        <f>IF((AG$4+1)&amp;"年"&amp;AN$5&lt;&gt;'9.项目开发计划表'!$AG$32,1,(AG$4+1)&amp;"年"&amp;AN$5)</f>
        <v>1</v>
      </c>
      <c r="AO255" s="311">
        <f>IF((AK$4+1)&amp;"年"&amp;AO$5&lt;&gt;'9.项目开发计划表'!$AG$32,1,(AK$4+1)&amp;"年"&amp;AO$5)</f>
        <v>1</v>
      </c>
      <c r="AP255" s="312">
        <f>IF((AK$4+1)&amp;"年"&amp;AP$5&lt;&gt;'9.项目开发计划表'!$AG$32,1,(AK$4+1)&amp;"年"&amp;AP$5)</f>
        <v>1</v>
      </c>
      <c r="AQ255" s="312">
        <f>IF((AK$4+1)&amp;"年"&amp;AQ$5&lt;&gt;'9.项目开发计划表'!$AG$32,1,(AK$4+1)&amp;"年"&amp;AQ$5)</f>
        <v>1</v>
      </c>
      <c r="AR255" s="313">
        <f>IF((AK$4+1)&amp;"年"&amp;AR$5&lt;&gt;'9.项目开发计划表'!$AG$32,1,(AK$4+1)&amp;"年"&amp;AR$5)</f>
        <v>1</v>
      </c>
      <c r="AS255" s="311">
        <f>IF((AO$4+1)&amp;"年"&amp;AS$5&lt;&gt;'9.项目开发计划表'!$AG$32,1,(AO$4+1)&amp;"年"&amp;AS$5)</f>
        <v>1</v>
      </c>
      <c r="AT255" s="312">
        <f>IF((AO$4+1)&amp;"年"&amp;AT$5&lt;&gt;'9.项目开发计划表'!$AG$32,1,(AO$4+1)&amp;"年"&amp;AT$5)</f>
        <v>1</v>
      </c>
      <c r="AU255" s="312">
        <f>IF((AO$4+1)&amp;"年"&amp;AU$5&lt;&gt;'9.项目开发计划表'!$AG$32,1,(AO$4+1)&amp;"年"&amp;AU$5)</f>
        <v>1</v>
      </c>
      <c r="AV255" s="313">
        <f>IF((AO$4+1)&amp;"年"&amp;AV$5&lt;&gt;'9.项目开发计划表'!$AG$32,1,(AO$4+1)&amp;"年"&amp;AV$5)</f>
        <v>1</v>
      </c>
    </row>
    <row r="256" spans="2:48" s="256" customFormat="1" ht="15.75" customHeight="1" outlineLevel="1">
      <c r="B256" s="321"/>
      <c r="C256" s="1980"/>
      <c r="D256" s="1982"/>
      <c r="E256" s="280">
        <f t="shared" ref="E256:AV256" si="72">IF(E255=1,0,1)</f>
        <v>0</v>
      </c>
      <c r="F256" s="281">
        <f t="shared" si="72"/>
        <v>0</v>
      </c>
      <c r="G256" s="281">
        <f t="shared" si="72"/>
        <v>0</v>
      </c>
      <c r="H256" s="282">
        <f t="shared" si="72"/>
        <v>0</v>
      </c>
      <c r="I256" s="323">
        <f t="shared" si="72"/>
        <v>0</v>
      </c>
      <c r="J256" s="281">
        <f t="shared" si="72"/>
        <v>0</v>
      </c>
      <c r="K256" s="281">
        <f t="shared" si="72"/>
        <v>0</v>
      </c>
      <c r="L256" s="282">
        <f t="shared" si="72"/>
        <v>0</v>
      </c>
      <c r="M256" s="280">
        <f t="shared" si="72"/>
        <v>0</v>
      </c>
      <c r="N256" s="281">
        <f t="shared" si="72"/>
        <v>0</v>
      </c>
      <c r="O256" s="281">
        <f t="shared" si="72"/>
        <v>0</v>
      </c>
      <c r="P256" s="282">
        <f t="shared" si="72"/>
        <v>0</v>
      </c>
      <c r="Q256" s="280">
        <f t="shared" si="72"/>
        <v>0</v>
      </c>
      <c r="R256" s="281">
        <f t="shared" si="72"/>
        <v>0</v>
      </c>
      <c r="S256" s="281">
        <f t="shared" si="72"/>
        <v>0</v>
      </c>
      <c r="T256" s="282">
        <f t="shared" si="72"/>
        <v>0</v>
      </c>
      <c r="U256" s="280">
        <f t="shared" si="72"/>
        <v>0</v>
      </c>
      <c r="V256" s="281">
        <f t="shared" si="72"/>
        <v>0</v>
      </c>
      <c r="W256" s="281">
        <f t="shared" si="72"/>
        <v>0</v>
      </c>
      <c r="X256" s="282">
        <f t="shared" si="72"/>
        <v>0</v>
      </c>
      <c r="Y256" s="280">
        <f t="shared" si="72"/>
        <v>0</v>
      </c>
      <c r="Z256" s="281">
        <f t="shared" si="72"/>
        <v>0</v>
      </c>
      <c r="AA256" s="281">
        <f t="shared" si="72"/>
        <v>0</v>
      </c>
      <c r="AB256" s="282">
        <f t="shared" si="72"/>
        <v>0</v>
      </c>
      <c r="AC256" s="280">
        <f t="shared" si="72"/>
        <v>0</v>
      </c>
      <c r="AD256" s="281">
        <f t="shared" si="72"/>
        <v>0</v>
      </c>
      <c r="AE256" s="281">
        <f t="shared" si="72"/>
        <v>0</v>
      </c>
      <c r="AF256" s="282">
        <f t="shared" si="72"/>
        <v>0</v>
      </c>
      <c r="AG256" s="280">
        <f t="shared" si="72"/>
        <v>0</v>
      </c>
      <c r="AH256" s="281">
        <f t="shared" si="72"/>
        <v>0</v>
      </c>
      <c r="AI256" s="281">
        <f t="shared" si="72"/>
        <v>0</v>
      </c>
      <c r="AJ256" s="282">
        <f t="shared" si="72"/>
        <v>0</v>
      </c>
      <c r="AK256" s="280">
        <f t="shared" si="72"/>
        <v>0</v>
      </c>
      <c r="AL256" s="281">
        <f t="shared" si="72"/>
        <v>0</v>
      </c>
      <c r="AM256" s="281">
        <f t="shared" si="72"/>
        <v>0</v>
      </c>
      <c r="AN256" s="282">
        <f t="shared" si="72"/>
        <v>0</v>
      </c>
      <c r="AO256" s="280">
        <f t="shared" si="72"/>
        <v>0</v>
      </c>
      <c r="AP256" s="281">
        <f t="shared" si="72"/>
        <v>0</v>
      </c>
      <c r="AQ256" s="281">
        <f t="shared" si="72"/>
        <v>0</v>
      </c>
      <c r="AR256" s="282">
        <f t="shared" si="72"/>
        <v>0</v>
      </c>
      <c r="AS256" s="280">
        <f t="shared" si="72"/>
        <v>0</v>
      </c>
      <c r="AT256" s="281">
        <f t="shared" si="72"/>
        <v>0</v>
      </c>
      <c r="AU256" s="281">
        <f t="shared" si="72"/>
        <v>0</v>
      </c>
      <c r="AV256" s="282">
        <f t="shared" si="72"/>
        <v>0</v>
      </c>
    </row>
    <row r="257" spans="2:48" s="256" customFormat="1" ht="15.75" customHeight="1" outlineLevel="1">
      <c r="B257" s="321"/>
      <c r="C257" s="1980"/>
      <c r="D257" s="1981" t="str">
        <f>'8.项目规划指标表'!$B$7</f>
        <v>回迁商业</v>
      </c>
      <c r="E257" s="311">
        <f>IF($E$4&amp;"年"&amp;E$5&lt;&gt;'9.项目开发计划表'!$AG$33,1,$E$4&amp;"年"&amp;E$5)</f>
        <v>1</v>
      </c>
      <c r="F257" s="312">
        <f>IF($E$4&amp;"年"&amp;F$5&lt;&gt;'9.项目开发计划表'!$AG$33,1,$E$4&amp;"年"&amp;F$5)</f>
        <v>1</v>
      </c>
      <c r="G257" s="312">
        <f>IF($E$4&amp;"年"&amp;G$5&lt;&gt;'9.项目开发计划表'!$AG$33,1,$E$4&amp;"年"&amp;G$5)</f>
        <v>1</v>
      </c>
      <c r="H257" s="313">
        <f>IF($E$4&amp;"年"&amp;H$5&lt;&gt;'9.项目开发计划表'!$AG$33,1,$E$4&amp;"年"&amp;H$5)</f>
        <v>1</v>
      </c>
      <c r="I257" s="322">
        <f>IF((E$4+1)&amp;"年"&amp;I$5&lt;&gt;'9.项目开发计划表'!$AG$33,1,(E$4+1)&amp;"年"&amp;I$5)</f>
        <v>1</v>
      </c>
      <c r="J257" s="312">
        <f>IF((E$4+1)&amp;"年"&amp;J$5&lt;&gt;'9.项目开发计划表'!$AG$33,1,(E$4+1)&amp;"年"&amp;J$5)</f>
        <v>1</v>
      </c>
      <c r="K257" s="312">
        <f>IF((E$4+1)&amp;"年"&amp;K$5&lt;&gt;'9.项目开发计划表'!$AG$33,1,(E$4+1)&amp;"年"&amp;K$5)</f>
        <v>1</v>
      </c>
      <c r="L257" s="313">
        <f>IF((E$4+1)&amp;"年"&amp;L$5&lt;&gt;'9.项目开发计划表'!$AG$33,1,(E$4+1)&amp;"年"&amp;L$5)</f>
        <v>1</v>
      </c>
      <c r="M257" s="311">
        <f>IF((I$4+1)&amp;"年"&amp;M$5&lt;&gt;'9.项目开发计划表'!$AG$33,1,(I$4+1)&amp;"年"&amp;M$5)</f>
        <v>1</v>
      </c>
      <c r="N257" s="312">
        <f>IF((I$4+1)&amp;"年"&amp;N$5&lt;&gt;'9.项目开发计划表'!$AG$33,1,(I$4+1)&amp;"年"&amp;N$5)</f>
        <v>1</v>
      </c>
      <c r="O257" s="312">
        <f>IF((I$4+1)&amp;"年"&amp;O$5&lt;&gt;'9.项目开发计划表'!$AG$33,1,(I$4+1)&amp;"年"&amp;O$5)</f>
        <v>1</v>
      </c>
      <c r="P257" s="313">
        <f>IF((I$4+1)&amp;"年"&amp;P$5&lt;&gt;'9.项目开发计划表'!$AG$33,1,(I$4+1)&amp;"年"&amp;P$5)</f>
        <v>1</v>
      </c>
      <c r="Q257" s="311">
        <f>IF((M$4+1)&amp;"年"&amp;Q$5&lt;&gt;'9.项目开发计划表'!$AG$33,1,(M$4+1)&amp;"年"&amp;Q$5)</f>
        <v>1</v>
      </c>
      <c r="R257" s="312">
        <f>IF((M$4+1)&amp;"年"&amp;R$5&lt;&gt;'9.项目开发计划表'!$AG$33,1,(M$4+1)&amp;"年"&amp;R$5)</f>
        <v>1</v>
      </c>
      <c r="S257" s="312">
        <f>IF((M$4+1)&amp;"年"&amp;S$5&lt;&gt;'9.项目开发计划表'!$AG$33,1,(M$4+1)&amp;"年"&amp;S$5)</f>
        <v>1</v>
      </c>
      <c r="T257" s="313">
        <f>IF((M$4+1)&amp;"年"&amp;T$5&lt;&gt;'9.项目开发计划表'!$AG$33,1,(M$4+1)&amp;"年"&amp;T$5)</f>
        <v>1</v>
      </c>
      <c r="U257" s="311">
        <f>IF((Q$4+1)&amp;"年"&amp;U$5&lt;&gt;'9.项目开发计划表'!$AG$33,1,(Q$4+1)&amp;"年"&amp;U$5)</f>
        <v>1</v>
      </c>
      <c r="V257" s="312">
        <f>IF((Q$4+1)&amp;"年"&amp;V$5&lt;&gt;'9.项目开发计划表'!$AG$33,1,(Q$4+1)&amp;"年"&amp;V$5)</f>
        <v>1</v>
      </c>
      <c r="W257" s="312">
        <f>IF((Q$4+1)&amp;"年"&amp;W$5&lt;&gt;'9.项目开发计划表'!$AG$33,1,(Q$4+1)&amp;"年"&amp;W$5)</f>
        <v>1</v>
      </c>
      <c r="X257" s="313">
        <f>IF((Q$4+1)&amp;"年"&amp;X$5&lt;&gt;'9.项目开发计划表'!$AG$33,1,(Q$4+1)&amp;"年"&amp;X$5)</f>
        <v>1</v>
      </c>
      <c r="Y257" s="311">
        <f>IF((U$4+1)&amp;"年"&amp;Y$5&lt;&gt;'9.项目开发计划表'!$AG$33,1,(U$4+1)&amp;"年"&amp;Y$5)</f>
        <v>1</v>
      </c>
      <c r="Z257" s="312">
        <f>IF((U$4+1)&amp;"年"&amp;Z$5&lt;&gt;'9.项目开发计划表'!$AG$33,1,(U$4+1)&amp;"年"&amp;Z$5)</f>
        <v>1</v>
      </c>
      <c r="AA257" s="312">
        <f>IF((U$4+1)&amp;"年"&amp;AA$5&lt;&gt;'9.项目开发计划表'!$AG$33,1,(U$4+1)&amp;"年"&amp;AA$5)</f>
        <v>1</v>
      </c>
      <c r="AB257" s="313">
        <f>IF((U$4+1)&amp;"年"&amp;AB$5&lt;&gt;'9.项目开发计划表'!$AG$33,1,(U$4+1)&amp;"年"&amp;AB$5)</f>
        <v>1</v>
      </c>
      <c r="AC257" s="311">
        <f>IF((Y$4+1)&amp;"年"&amp;AC$5&lt;&gt;'9.项目开发计划表'!$AG$33,1,(Y$4+1)&amp;"年"&amp;AC$5)</f>
        <v>1</v>
      </c>
      <c r="AD257" s="312">
        <f>IF((Y$4+1)&amp;"年"&amp;AD$5&lt;&gt;'9.项目开发计划表'!$AG$33,1,(Y$4+1)&amp;"年"&amp;AD$5)</f>
        <v>1</v>
      </c>
      <c r="AE257" s="312">
        <f>IF((Y$4+1)&amp;"年"&amp;AE$5&lt;&gt;'9.项目开发计划表'!$AG$33,1,(Y$4+1)&amp;"年"&amp;AE$5)</f>
        <v>1</v>
      </c>
      <c r="AF257" s="313">
        <f>IF((Y$4+1)&amp;"年"&amp;AF$5&lt;&gt;'9.项目开发计划表'!$AG$33,1,(Y$4+1)&amp;"年"&amp;AF$5)</f>
        <v>1</v>
      </c>
      <c r="AG257" s="311">
        <f>IF((AC$4+1)&amp;"年"&amp;AG$5&lt;&gt;'9.项目开发计划表'!$AG$33,1,(AC$4+1)&amp;"年"&amp;AG$5)</f>
        <v>1</v>
      </c>
      <c r="AH257" s="312">
        <f>IF((AC$4+1)&amp;"年"&amp;AH$5&lt;&gt;'9.项目开发计划表'!$AG$33,1,(AC$4+1)&amp;"年"&amp;AH$5)</f>
        <v>1</v>
      </c>
      <c r="AI257" s="312">
        <f>IF((AC$4+1)&amp;"年"&amp;AI$5&lt;&gt;'9.项目开发计划表'!$AG$33,1,(AC$4+1)&amp;"年"&amp;AI$5)</f>
        <v>1</v>
      </c>
      <c r="AJ257" s="313">
        <f>IF((AC$4+1)&amp;"年"&amp;AJ$5&lt;&gt;'9.项目开发计划表'!$AG$33,1,(AC$4+1)&amp;"年"&amp;AJ$5)</f>
        <v>1</v>
      </c>
      <c r="AK257" s="311">
        <f>IF((AG$4+1)&amp;"年"&amp;AK$5&lt;&gt;'9.项目开发计划表'!$AG$33,1,(AG$4+1)&amp;"年"&amp;AK$5)</f>
        <v>1</v>
      </c>
      <c r="AL257" s="312">
        <f>IF((AG$4+1)&amp;"年"&amp;AL$5&lt;&gt;'9.项目开发计划表'!$AG$33,1,(AG$4+1)&amp;"年"&amp;AL$5)</f>
        <v>1</v>
      </c>
      <c r="AM257" s="312">
        <f>IF((AG$4+1)&amp;"年"&amp;AM$5&lt;&gt;'9.项目开发计划表'!$AG$33,1,(AG$4+1)&amp;"年"&amp;AM$5)</f>
        <v>1</v>
      </c>
      <c r="AN257" s="313">
        <f>IF((AG$4+1)&amp;"年"&amp;AN$5&lt;&gt;'9.项目开发计划表'!$AG$33,1,(AG$4+1)&amp;"年"&amp;AN$5)</f>
        <v>1</v>
      </c>
      <c r="AO257" s="311">
        <f>IF((AK$4+1)&amp;"年"&amp;AO$5&lt;&gt;'9.项目开发计划表'!$AG$33,1,(AK$4+1)&amp;"年"&amp;AO$5)</f>
        <v>1</v>
      </c>
      <c r="AP257" s="312">
        <f>IF((AK$4+1)&amp;"年"&amp;AP$5&lt;&gt;'9.项目开发计划表'!$AG$33,1,(AK$4+1)&amp;"年"&amp;AP$5)</f>
        <v>1</v>
      </c>
      <c r="AQ257" s="312">
        <f>IF((AK$4+1)&amp;"年"&amp;AQ$5&lt;&gt;'9.项目开发计划表'!$AG$33,1,(AK$4+1)&amp;"年"&amp;AQ$5)</f>
        <v>1</v>
      </c>
      <c r="AR257" s="313">
        <f>IF((AK$4+1)&amp;"年"&amp;AR$5&lt;&gt;'9.项目开发计划表'!$AG$33,1,(AK$4+1)&amp;"年"&amp;AR$5)</f>
        <v>1</v>
      </c>
      <c r="AS257" s="311">
        <f>IF((AO$4+1)&amp;"年"&amp;AS$5&lt;&gt;'9.项目开发计划表'!$AG$33,1,(AO$4+1)&amp;"年"&amp;AS$5)</f>
        <v>1</v>
      </c>
      <c r="AT257" s="312">
        <f>IF((AO$4+1)&amp;"年"&amp;AT$5&lt;&gt;'9.项目开发计划表'!$AG$33,1,(AO$4+1)&amp;"年"&amp;AT$5)</f>
        <v>1</v>
      </c>
      <c r="AU257" s="312">
        <f>IF((AO$4+1)&amp;"年"&amp;AU$5&lt;&gt;'9.项目开发计划表'!$AG$33,1,(AO$4+1)&amp;"年"&amp;AU$5)</f>
        <v>1</v>
      </c>
      <c r="AV257" s="313">
        <f>IF((AO$4+1)&amp;"年"&amp;AV$5&lt;&gt;'9.项目开发计划表'!$AG$33,1,(AO$4+1)&amp;"年"&amp;AV$5)</f>
        <v>1</v>
      </c>
    </row>
    <row r="258" spans="2:48" s="256" customFormat="1" ht="15.75" customHeight="1" outlineLevel="1">
      <c r="B258" s="321"/>
      <c r="C258" s="1980"/>
      <c r="D258" s="1982"/>
      <c r="E258" s="280">
        <f t="shared" ref="E258:AV258" si="73">IF(E257=1,0,1)</f>
        <v>0</v>
      </c>
      <c r="F258" s="281">
        <f t="shared" si="73"/>
        <v>0</v>
      </c>
      <c r="G258" s="281">
        <f t="shared" si="73"/>
        <v>0</v>
      </c>
      <c r="H258" s="282">
        <f t="shared" si="73"/>
        <v>0</v>
      </c>
      <c r="I258" s="323">
        <f t="shared" si="73"/>
        <v>0</v>
      </c>
      <c r="J258" s="281">
        <f t="shared" si="73"/>
        <v>0</v>
      </c>
      <c r="K258" s="281">
        <f t="shared" si="73"/>
        <v>0</v>
      </c>
      <c r="L258" s="282">
        <f t="shared" si="73"/>
        <v>0</v>
      </c>
      <c r="M258" s="280">
        <f t="shared" si="73"/>
        <v>0</v>
      </c>
      <c r="N258" s="281">
        <f t="shared" si="73"/>
        <v>0</v>
      </c>
      <c r="O258" s="281">
        <f t="shared" si="73"/>
        <v>0</v>
      </c>
      <c r="P258" s="282">
        <f t="shared" si="73"/>
        <v>0</v>
      </c>
      <c r="Q258" s="280">
        <f t="shared" si="73"/>
        <v>0</v>
      </c>
      <c r="R258" s="281">
        <f t="shared" si="73"/>
        <v>0</v>
      </c>
      <c r="S258" s="281">
        <f t="shared" si="73"/>
        <v>0</v>
      </c>
      <c r="T258" s="282">
        <f t="shared" si="73"/>
        <v>0</v>
      </c>
      <c r="U258" s="280">
        <f t="shared" si="73"/>
        <v>0</v>
      </c>
      <c r="V258" s="281">
        <f t="shared" si="73"/>
        <v>0</v>
      </c>
      <c r="W258" s="281">
        <f t="shared" si="73"/>
        <v>0</v>
      </c>
      <c r="X258" s="282">
        <f t="shared" si="73"/>
        <v>0</v>
      </c>
      <c r="Y258" s="280">
        <f t="shared" si="73"/>
        <v>0</v>
      </c>
      <c r="Z258" s="281">
        <f t="shared" si="73"/>
        <v>0</v>
      </c>
      <c r="AA258" s="281">
        <f t="shared" si="73"/>
        <v>0</v>
      </c>
      <c r="AB258" s="282">
        <f t="shared" si="73"/>
        <v>0</v>
      </c>
      <c r="AC258" s="280">
        <f t="shared" si="73"/>
        <v>0</v>
      </c>
      <c r="AD258" s="281">
        <f t="shared" si="73"/>
        <v>0</v>
      </c>
      <c r="AE258" s="281">
        <f t="shared" si="73"/>
        <v>0</v>
      </c>
      <c r="AF258" s="282">
        <f t="shared" si="73"/>
        <v>0</v>
      </c>
      <c r="AG258" s="280">
        <f t="shared" si="73"/>
        <v>0</v>
      </c>
      <c r="AH258" s="281">
        <f t="shared" si="73"/>
        <v>0</v>
      </c>
      <c r="AI258" s="281">
        <f t="shared" si="73"/>
        <v>0</v>
      </c>
      <c r="AJ258" s="282">
        <f t="shared" si="73"/>
        <v>0</v>
      </c>
      <c r="AK258" s="280">
        <f t="shared" si="73"/>
        <v>0</v>
      </c>
      <c r="AL258" s="281">
        <f t="shared" si="73"/>
        <v>0</v>
      </c>
      <c r="AM258" s="281">
        <f t="shared" si="73"/>
        <v>0</v>
      </c>
      <c r="AN258" s="282">
        <f t="shared" si="73"/>
        <v>0</v>
      </c>
      <c r="AO258" s="280">
        <f t="shared" si="73"/>
        <v>0</v>
      </c>
      <c r="AP258" s="281">
        <f t="shared" si="73"/>
        <v>0</v>
      </c>
      <c r="AQ258" s="281">
        <f t="shared" si="73"/>
        <v>0</v>
      </c>
      <c r="AR258" s="282">
        <f t="shared" si="73"/>
        <v>0</v>
      </c>
      <c r="AS258" s="280">
        <f t="shared" si="73"/>
        <v>0</v>
      </c>
      <c r="AT258" s="281">
        <f t="shared" si="73"/>
        <v>0</v>
      </c>
      <c r="AU258" s="281">
        <f t="shared" si="73"/>
        <v>0</v>
      </c>
      <c r="AV258" s="282">
        <f t="shared" si="73"/>
        <v>0</v>
      </c>
    </row>
    <row r="259" spans="2:48" s="256" customFormat="1" ht="15.75" customHeight="1" outlineLevel="1">
      <c r="B259" s="321"/>
      <c r="C259" s="1980"/>
      <c r="D259" s="1981">
        <f>'8.项目规划指标表'!$B$8</f>
        <v>0</v>
      </c>
      <c r="E259" s="311">
        <f>IF($E$4&amp;"年"&amp;E$5&lt;&gt;'9.项目开发计划表'!$AG$34,1,$E$4&amp;"年"&amp;E$5)</f>
        <v>1</v>
      </c>
      <c r="F259" s="312">
        <f>IF($E$4&amp;"年"&amp;F$5&lt;&gt;'9.项目开发计划表'!$AG$34,1,$E$4&amp;"年"&amp;F$5)</f>
        <v>1</v>
      </c>
      <c r="G259" s="312">
        <f>IF($E$4&amp;"年"&amp;G$5&lt;&gt;'9.项目开发计划表'!$AG$34,1,$E$4&amp;"年"&amp;G$5)</f>
        <v>1</v>
      </c>
      <c r="H259" s="313">
        <f>IF($E$4&amp;"年"&amp;H$5&lt;&gt;'9.项目开发计划表'!$AG$34,1,$E$4&amp;"年"&amp;H$5)</f>
        <v>1</v>
      </c>
      <c r="I259" s="322">
        <f>IF((E$4+1)&amp;"年"&amp;I$5&lt;&gt;'9.项目开发计划表'!$AG$34,1,(E$4+1)&amp;"年"&amp;I$5)</f>
        <v>1</v>
      </c>
      <c r="J259" s="312">
        <f>IF((E$4+1)&amp;"年"&amp;J$5&lt;&gt;'9.项目开发计划表'!$AG$34,1,(E$4+1)&amp;"年"&amp;J$5)</f>
        <v>1</v>
      </c>
      <c r="K259" s="312">
        <f>IF((E$4+1)&amp;"年"&amp;K$5&lt;&gt;'9.项目开发计划表'!$AG$34,1,(E$4+1)&amp;"年"&amp;K$5)</f>
        <v>1</v>
      </c>
      <c r="L259" s="313">
        <f>IF((E$4+1)&amp;"年"&amp;L$5&lt;&gt;'9.项目开发计划表'!$AG$34,1,(E$4+1)&amp;"年"&amp;L$5)</f>
        <v>1</v>
      </c>
      <c r="M259" s="311">
        <f>IF((I$4+1)&amp;"年"&amp;M$5&lt;&gt;'9.项目开发计划表'!$AG$34,1,(I$4+1)&amp;"年"&amp;M$5)</f>
        <v>1</v>
      </c>
      <c r="N259" s="312">
        <f>IF((I$4+1)&amp;"年"&amp;N$5&lt;&gt;'9.项目开发计划表'!$AG$34,1,(I$4+1)&amp;"年"&amp;N$5)</f>
        <v>1</v>
      </c>
      <c r="O259" s="312">
        <f>IF((I$4+1)&amp;"年"&amp;O$5&lt;&gt;'9.项目开发计划表'!$AG$34,1,(I$4+1)&amp;"年"&amp;O$5)</f>
        <v>1</v>
      </c>
      <c r="P259" s="313">
        <f>IF((I$4+1)&amp;"年"&amp;P$5&lt;&gt;'9.项目开发计划表'!$AG$34,1,(I$4+1)&amp;"年"&amp;P$5)</f>
        <v>1</v>
      </c>
      <c r="Q259" s="311">
        <f>IF((M$4+1)&amp;"年"&amp;Q$5&lt;&gt;'9.项目开发计划表'!$AG$34,1,(M$4+1)&amp;"年"&amp;Q$5)</f>
        <v>1</v>
      </c>
      <c r="R259" s="312">
        <f>IF((M$4+1)&amp;"年"&amp;R$5&lt;&gt;'9.项目开发计划表'!$AG$34,1,(M$4+1)&amp;"年"&amp;R$5)</f>
        <v>1</v>
      </c>
      <c r="S259" s="312">
        <f>IF((M$4+1)&amp;"年"&amp;S$5&lt;&gt;'9.项目开发计划表'!$AG$34,1,(M$4+1)&amp;"年"&amp;S$5)</f>
        <v>1</v>
      </c>
      <c r="T259" s="313">
        <f>IF((M$4+1)&amp;"年"&amp;T$5&lt;&gt;'9.项目开发计划表'!$AG$34,1,(M$4+1)&amp;"年"&amp;T$5)</f>
        <v>1</v>
      </c>
      <c r="U259" s="311">
        <f>IF((Q$4+1)&amp;"年"&amp;U$5&lt;&gt;'9.项目开发计划表'!$AG$34,1,(Q$4+1)&amp;"年"&amp;U$5)</f>
        <v>1</v>
      </c>
      <c r="V259" s="312">
        <f>IF((Q$4+1)&amp;"年"&amp;V$5&lt;&gt;'9.项目开发计划表'!$AG$34,1,(Q$4+1)&amp;"年"&amp;V$5)</f>
        <v>1</v>
      </c>
      <c r="W259" s="312">
        <f>IF((Q$4+1)&amp;"年"&amp;W$5&lt;&gt;'9.项目开发计划表'!$AG$34,1,(Q$4+1)&amp;"年"&amp;W$5)</f>
        <v>1</v>
      </c>
      <c r="X259" s="313">
        <f>IF((Q$4+1)&amp;"年"&amp;X$5&lt;&gt;'9.项目开发计划表'!$AG$34,1,(Q$4+1)&amp;"年"&amp;X$5)</f>
        <v>1</v>
      </c>
      <c r="Y259" s="311">
        <f>IF((U$4+1)&amp;"年"&amp;Y$5&lt;&gt;'9.项目开发计划表'!$AG$34,1,(U$4+1)&amp;"年"&amp;Y$5)</f>
        <v>1</v>
      </c>
      <c r="Z259" s="312">
        <f>IF((U$4+1)&amp;"年"&amp;Z$5&lt;&gt;'9.项目开发计划表'!$AG$34,1,(U$4+1)&amp;"年"&amp;Z$5)</f>
        <v>1</v>
      </c>
      <c r="AA259" s="312">
        <f>IF((U$4+1)&amp;"年"&amp;AA$5&lt;&gt;'9.项目开发计划表'!$AG$34,1,(U$4+1)&amp;"年"&amp;AA$5)</f>
        <v>1</v>
      </c>
      <c r="AB259" s="313">
        <f>IF((U$4+1)&amp;"年"&amp;AB$5&lt;&gt;'9.项目开发计划表'!$AG$34,1,(U$4+1)&amp;"年"&amp;AB$5)</f>
        <v>1</v>
      </c>
      <c r="AC259" s="311">
        <f>IF((Y$4+1)&amp;"年"&amp;AC$5&lt;&gt;'9.项目开发计划表'!$AG$34,1,(Y$4+1)&amp;"年"&amp;AC$5)</f>
        <v>1</v>
      </c>
      <c r="AD259" s="312">
        <f>IF((Y$4+1)&amp;"年"&amp;AD$5&lt;&gt;'9.项目开发计划表'!$AG$34,1,(Y$4+1)&amp;"年"&amp;AD$5)</f>
        <v>1</v>
      </c>
      <c r="AE259" s="312">
        <f>IF((Y$4+1)&amp;"年"&amp;AE$5&lt;&gt;'9.项目开发计划表'!$AG$34,1,(Y$4+1)&amp;"年"&amp;AE$5)</f>
        <v>1</v>
      </c>
      <c r="AF259" s="313">
        <f>IF((Y$4+1)&amp;"年"&amp;AF$5&lt;&gt;'9.项目开发计划表'!$AG$34,1,(Y$4+1)&amp;"年"&amp;AF$5)</f>
        <v>1</v>
      </c>
      <c r="AG259" s="311">
        <f>IF((AC$4+1)&amp;"年"&amp;AG$5&lt;&gt;'9.项目开发计划表'!$AG$34,1,(AC$4+1)&amp;"年"&amp;AG$5)</f>
        <v>1</v>
      </c>
      <c r="AH259" s="312">
        <f>IF((AC$4+1)&amp;"年"&amp;AH$5&lt;&gt;'9.项目开发计划表'!$AG$34,1,(AC$4+1)&amp;"年"&amp;AH$5)</f>
        <v>1</v>
      </c>
      <c r="AI259" s="312">
        <f>IF((AC$4+1)&amp;"年"&amp;AI$5&lt;&gt;'9.项目开发计划表'!$AG$34,1,(AC$4+1)&amp;"年"&amp;AI$5)</f>
        <v>1</v>
      </c>
      <c r="AJ259" s="313">
        <f>IF((AC$4+1)&amp;"年"&amp;AJ$5&lt;&gt;'9.项目开发计划表'!$AG$34,1,(AC$4+1)&amp;"年"&amp;AJ$5)</f>
        <v>1</v>
      </c>
      <c r="AK259" s="311">
        <f>IF((AG$4+1)&amp;"年"&amp;AK$5&lt;&gt;'9.项目开发计划表'!$AG$34,1,(AG$4+1)&amp;"年"&amp;AK$5)</f>
        <v>1</v>
      </c>
      <c r="AL259" s="312">
        <f>IF((AG$4+1)&amp;"年"&amp;AL$5&lt;&gt;'9.项目开发计划表'!$AG$34,1,(AG$4+1)&amp;"年"&amp;AL$5)</f>
        <v>1</v>
      </c>
      <c r="AM259" s="312">
        <f>IF((AG$4+1)&amp;"年"&amp;AM$5&lt;&gt;'9.项目开发计划表'!$AG$34,1,(AG$4+1)&amp;"年"&amp;AM$5)</f>
        <v>1</v>
      </c>
      <c r="AN259" s="313">
        <f>IF((AG$4+1)&amp;"年"&amp;AN$5&lt;&gt;'9.项目开发计划表'!$AG$34,1,(AG$4+1)&amp;"年"&amp;AN$5)</f>
        <v>1</v>
      </c>
      <c r="AO259" s="311">
        <f>IF((AK$4+1)&amp;"年"&amp;AO$5&lt;&gt;'9.项目开发计划表'!$AG$34,1,(AK$4+1)&amp;"年"&amp;AO$5)</f>
        <v>1</v>
      </c>
      <c r="AP259" s="312">
        <f>IF((AK$4+1)&amp;"年"&amp;AP$5&lt;&gt;'9.项目开发计划表'!$AG$34,1,(AK$4+1)&amp;"年"&amp;AP$5)</f>
        <v>1</v>
      </c>
      <c r="AQ259" s="312">
        <f>IF((AK$4+1)&amp;"年"&amp;AQ$5&lt;&gt;'9.项目开发计划表'!$AG$34,1,(AK$4+1)&amp;"年"&amp;AQ$5)</f>
        <v>1</v>
      </c>
      <c r="AR259" s="313">
        <f>IF((AK$4+1)&amp;"年"&amp;AR$5&lt;&gt;'9.项目开发计划表'!$AG$34,1,(AK$4+1)&amp;"年"&amp;AR$5)</f>
        <v>1</v>
      </c>
      <c r="AS259" s="311">
        <f>IF((AO$4+1)&amp;"年"&amp;AS$5&lt;&gt;'9.项目开发计划表'!$AG$34,1,(AO$4+1)&amp;"年"&amp;AS$5)</f>
        <v>1</v>
      </c>
      <c r="AT259" s="312">
        <f>IF((AO$4+1)&amp;"年"&amp;AT$5&lt;&gt;'9.项目开发计划表'!$AG$34,1,(AO$4+1)&amp;"年"&amp;AT$5)</f>
        <v>1</v>
      </c>
      <c r="AU259" s="312">
        <f>IF((AO$4+1)&amp;"年"&amp;AU$5&lt;&gt;'9.项目开发计划表'!$AG$34,1,(AO$4+1)&amp;"年"&amp;AU$5)</f>
        <v>1</v>
      </c>
      <c r="AV259" s="313">
        <f>IF((AO$4+1)&amp;"年"&amp;AV$5&lt;&gt;'9.项目开发计划表'!$AG$34,1,(AO$4+1)&amp;"年"&amp;AV$5)</f>
        <v>1</v>
      </c>
    </row>
    <row r="260" spans="2:48" s="256" customFormat="1" ht="15.75" customHeight="1" outlineLevel="1">
      <c r="B260" s="321"/>
      <c r="C260" s="1980"/>
      <c r="D260" s="1982"/>
      <c r="E260" s="280">
        <f t="shared" ref="E260:AV260" si="74">IF(E259=1,0,1)</f>
        <v>0</v>
      </c>
      <c r="F260" s="281">
        <f t="shared" si="74"/>
        <v>0</v>
      </c>
      <c r="G260" s="281">
        <f t="shared" si="74"/>
        <v>0</v>
      </c>
      <c r="H260" s="282">
        <f t="shared" si="74"/>
        <v>0</v>
      </c>
      <c r="I260" s="323">
        <f t="shared" si="74"/>
        <v>0</v>
      </c>
      <c r="J260" s="281">
        <f t="shared" si="74"/>
        <v>0</v>
      </c>
      <c r="K260" s="281">
        <f t="shared" si="74"/>
        <v>0</v>
      </c>
      <c r="L260" s="282">
        <f t="shared" si="74"/>
        <v>0</v>
      </c>
      <c r="M260" s="280">
        <f t="shared" si="74"/>
        <v>0</v>
      </c>
      <c r="N260" s="281">
        <f t="shared" si="74"/>
        <v>0</v>
      </c>
      <c r="O260" s="281">
        <f t="shared" si="74"/>
        <v>0</v>
      </c>
      <c r="P260" s="282">
        <f t="shared" si="74"/>
        <v>0</v>
      </c>
      <c r="Q260" s="280">
        <f t="shared" si="74"/>
        <v>0</v>
      </c>
      <c r="R260" s="281">
        <f t="shared" si="74"/>
        <v>0</v>
      </c>
      <c r="S260" s="281">
        <f t="shared" si="74"/>
        <v>0</v>
      </c>
      <c r="T260" s="282">
        <f t="shared" si="74"/>
        <v>0</v>
      </c>
      <c r="U260" s="280">
        <f t="shared" si="74"/>
        <v>0</v>
      </c>
      <c r="V260" s="281">
        <f t="shared" si="74"/>
        <v>0</v>
      </c>
      <c r="W260" s="281">
        <f t="shared" si="74"/>
        <v>0</v>
      </c>
      <c r="X260" s="282">
        <f t="shared" si="74"/>
        <v>0</v>
      </c>
      <c r="Y260" s="280">
        <f t="shared" si="74"/>
        <v>0</v>
      </c>
      <c r="Z260" s="281">
        <f t="shared" si="74"/>
        <v>0</v>
      </c>
      <c r="AA260" s="281">
        <f t="shared" si="74"/>
        <v>0</v>
      </c>
      <c r="AB260" s="282">
        <f t="shared" si="74"/>
        <v>0</v>
      </c>
      <c r="AC260" s="280">
        <f t="shared" si="74"/>
        <v>0</v>
      </c>
      <c r="AD260" s="281">
        <f t="shared" si="74"/>
        <v>0</v>
      </c>
      <c r="AE260" s="281">
        <f t="shared" si="74"/>
        <v>0</v>
      </c>
      <c r="AF260" s="282">
        <f t="shared" si="74"/>
        <v>0</v>
      </c>
      <c r="AG260" s="280">
        <f t="shared" si="74"/>
        <v>0</v>
      </c>
      <c r="AH260" s="281">
        <f t="shared" si="74"/>
        <v>0</v>
      </c>
      <c r="AI260" s="281">
        <f t="shared" si="74"/>
        <v>0</v>
      </c>
      <c r="AJ260" s="282">
        <f t="shared" si="74"/>
        <v>0</v>
      </c>
      <c r="AK260" s="280">
        <f t="shared" si="74"/>
        <v>0</v>
      </c>
      <c r="AL260" s="281">
        <f t="shared" si="74"/>
        <v>0</v>
      </c>
      <c r="AM260" s="281">
        <f t="shared" si="74"/>
        <v>0</v>
      </c>
      <c r="AN260" s="282">
        <f t="shared" si="74"/>
        <v>0</v>
      </c>
      <c r="AO260" s="280">
        <f t="shared" si="74"/>
        <v>0</v>
      </c>
      <c r="AP260" s="281">
        <f t="shared" si="74"/>
        <v>0</v>
      </c>
      <c r="AQ260" s="281">
        <f t="shared" si="74"/>
        <v>0</v>
      </c>
      <c r="AR260" s="282">
        <f t="shared" si="74"/>
        <v>0</v>
      </c>
      <c r="AS260" s="280">
        <f t="shared" si="74"/>
        <v>0</v>
      </c>
      <c r="AT260" s="281">
        <f t="shared" si="74"/>
        <v>0</v>
      </c>
      <c r="AU260" s="281">
        <f t="shared" si="74"/>
        <v>0</v>
      </c>
      <c r="AV260" s="282">
        <f t="shared" si="74"/>
        <v>0</v>
      </c>
    </row>
    <row r="261" spans="2:48" s="256" customFormat="1" ht="15.75" customHeight="1" outlineLevel="1">
      <c r="B261" s="321"/>
      <c r="C261" s="1980"/>
      <c r="D261" s="1981">
        <f>'8.项目规划指标表'!$B$9</f>
        <v>0</v>
      </c>
      <c r="E261" s="311">
        <f>IF($E$4&amp;"年"&amp;E$5&lt;&gt;'9.项目开发计划表'!$AG$35,1,$E$4&amp;"年"&amp;E$5)</f>
        <v>1</v>
      </c>
      <c r="F261" s="312">
        <f>IF($E$4&amp;"年"&amp;F$5&lt;&gt;'9.项目开发计划表'!$AG$35,1,$E$4&amp;"年"&amp;F$5)</f>
        <v>1</v>
      </c>
      <c r="G261" s="312">
        <f>IF($E$4&amp;"年"&amp;G$5&lt;&gt;'9.项目开发计划表'!$AG$35,1,$E$4&amp;"年"&amp;G$5)</f>
        <v>1</v>
      </c>
      <c r="H261" s="313">
        <f>IF($E$4&amp;"年"&amp;H$5&lt;&gt;'9.项目开发计划表'!$AG$35,1,$E$4&amp;"年"&amp;H$5)</f>
        <v>1</v>
      </c>
      <c r="I261" s="322">
        <f>IF((E$4+1)&amp;"年"&amp;I$5&lt;&gt;'9.项目开发计划表'!$AG$35,1,(E$4+1)&amp;"年"&amp;I$5)</f>
        <v>1</v>
      </c>
      <c r="J261" s="312">
        <f>IF((E$4+1)&amp;"年"&amp;J$5&lt;&gt;'9.项目开发计划表'!$AG$35,1,(E$4+1)&amp;"年"&amp;J$5)</f>
        <v>1</v>
      </c>
      <c r="K261" s="312">
        <f>IF((E$4+1)&amp;"年"&amp;K$5&lt;&gt;'9.项目开发计划表'!$AG$35,1,(E$4+1)&amp;"年"&amp;K$5)</f>
        <v>1</v>
      </c>
      <c r="L261" s="313">
        <f>IF((E$4+1)&amp;"年"&amp;L$5&lt;&gt;'9.项目开发计划表'!$AG$35,1,(E$4+1)&amp;"年"&amp;L$5)</f>
        <v>1</v>
      </c>
      <c r="M261" s="311">
        <f>IF((I$4+1)&amp;"年"&amp;M$5&lt;&gt;'9.项目开发计划表'!$AG$35,1,(I$4+1)&amp;"年"&amp;M$5)</f>
        <v>1</v>
      </c>
      <c r="N261" s="312">
        <f>IF((I$4+1)&amp;"年"&amp;N$5&lt;&gt;'9.项目开发计划表'!$AG$35,1,(I$4+1)&amp;"年"&amp;N$5)</f>
        <v>1</v>
      </c>
      <c r="O261" s="312">
        <f>IF((I$4+1)&amp;"年"&amp;O$5&lt;&gt;'9.项目开发计划表'!$AG$35,1,(I$4+1)&amp;"年"&amp;O$5)</f>
        <v>1</v>
      </c>
      <c r="P261" s="313">
        <f>IF((I$4+1)&amp;"年"&amp;P$5&lt;&gt;'9.项目开发计划表'!$AG$35,1,(I$4+1)&amp;"年"&amp;P$5)</f>
        <v>1</v>
      </c>
      <c r="Q261" s="311">
        <f>IF((M$4+1)&amp;"年"&amp;Q$5&lt;&gt;'9.项目开发计划表'!$AG$35,1,(M$4+1)&amp;"年"&amp;Q$5)</f>
        <v>1</v>
      </c>
      <c r="R261" s="312">
        <f>IF((M$4+1)&amp;"年"&amp;R$5&lt;&gt;'9.项目开发计划表'!$AG$35,1,(M$4+1)&amp;"年"&amp;R$5)</f>
        <v>1</v>
      </c>
      <c r="S261" s="312">
        <f>IF((M$4+1)&amp;"年"&amp;S$5&lt;&gt;'9.项目开发计划表'!$AG$35,1,(M$4+1)&amp;"年"&amp;S$5)</f>
        <v>1</v>
      </c>
      <c r="T261" s="313">
        <f>IF((M$4+1)&amp;"年"&amp;T$5&lt;&gt;'9.项目开发计划表'!$AG$35,1,(M$4+1)&amp;"年"&amp;T$5)</f>
        <v>1</v>
      </c>
      <c r="U261" s="311">
        <f>IF((Q$4+1)&amp;"年"&amp;U$5&lt;&gt;'9.项目开发计划表'!$AG$35,1,(Q$4+1)&amp;"年"&amp;U$5)</f>
        <v>1</v>
      </c>
      <c r="V261" s="312">
        <f>IF((Q$4+1)&amp;"年"&amp;V$5&lt;&gt;'9.项目开发计划表'!$AG$35,1,(Q$4+1)&amp;"年"&amp;V$5)</f>
        <v>1</v>
      </c>
      <c r="W261" s="312">
        <f>IF((Q$4+1)&amp;"年"&amp;W$5&lt;&gt;'9.项目开发计划表'!$AG$35,1,(Q$4+1)&amp;"年"&amp;W$5)</f>
        <v>1</v>
      </c>
      <c r="X261" s="313">
        <f>IF((Q$4+1)&amp;"年"&amp;X$5&lt;&gt;'9.项目开发计划表'!$AG$35,1,(Q$4+1)&amp;"年"&amp;X$5)</f>
        <v>1</v>
      </c>
      <c r="Y261" s="311">
        <f>IF((U$4+1)&amp;"年"&amp;Y$5&lt;&gt;'9.项目开发计划表'!$AG$35,1,(U$4+1)&amp;"年"&amp;Y$5)</f>
        <v>1</v>
      </c>
      <c r="Z261" s="312">
        <f>IF((U$4+1)&amp;"年"&amp;Z$5&lt;&gt;'9.项目开发计划表'!$AG$35,1,(U$4+1)&amp;"年"&amp;Z$5)</f>
        <v>1</v>
      </c>
      <c r="AA261" s="312">
        <f>IF((U$4+1)&amp;"年"&amp;AA$5&lt;&gt;'9.项目开发计划表'!$AG$35,1,(U$4+1)&amp;"年"&amp;AA$5)</f>
        <v>1</v>
      </c>
      <c r="AB261" s="313">
        <f>IF((U$4+1)&amp;"年"&amp;AB$5&lt;&gt;'9.项目开发计划表'!$AG$35,1,(U$4+1)&amp;"年"&amp;AB$5)</f>
        <v>1</v>
      </c>
      <c r="AC261" s="311">
        <f>IF((Y$4+1)&amp;"年"&amp;AC$5&lt;&gt;'9.项目开发计划表'!$AG$35,1,(Y$4+1)&amp;"年"&amp;AC$5)</f>
        <v>1</v>
      </c>
      <c r="AD261" s="312">
        <f>IF((Y$4+1)&amp;"年"&amp;AD$5&lt;&gt;'9.项目开发计划表'!$AG$35,1,(Y$4+1)&amp;"年"&amp;AD$5)</f>
        <v>1</v>
      </c>
      <c r="AE261" s="312">
        <f>IF((Y$4+1)&amp;"年"&amp;AE$5&lt;&gt;'9.项目开发计划表'!$AG$35,1,(Y$4+1)&amp;"年"&amp;AE$5)</f>
        <v>1</v>
      </c>
      <c r="AF261" s="313">
        <f>IF((Y$4+1)&amp;"年"&amp;AF$5&lt;&gt;'9.项目开发计划表'!$AG$35,1,(Y$4+1)&amp;"年"&amp;AF$5)</f>
        <v>1</v>
      </c>
      <c r="AG261" s="311">
        <f>IF((AC$4+1)&amp;"年"&amp;AG$5&lt;&gt;'9.项目开发计划表'!$AG$35,1,(AC$4+1)&amp;"年"&amp;AG$5)</f>
        <v>1</v>
      </c>
      <c r="AH261" s="312">
        <f>IF((AC$4+1)&amp;"年"&amp;AH$5&lt;&gt;'9.项目开发计划表'!$AG$35,1,(AC$4+1)&amp;"年"&amp;AH$5)</f>
        <v>1</v>
      </c>
      <c r="AI261" s="312">
        <f>IF((AC$4+1)&amp;"年"&amp;AI$5&lt;&gt;'9.项目开发计划表'!$AG$35,1,(AC$4+1)&amp;"年"&amp;AI$5)</f>
        <v>1</v>
      </c>
      <c r="AJ261" s="313">
        <f>IF((AC$4+1)&amp;"年"&amp;AJ$5&lt;&gt;'9.项目开发计划表'!$AG$35,1,(AC$4+1)&amp;"年"&amp;AJ$5)</f>
        <v>1</v>
      </c>
      <c r="AK261" s="311">
        <f>IF((AG$4+1)&amp;"年"&amp;AK$5&lt;&gt;'9.项目开发计划表'!$AG$35,1,(AG$4+1)&amp;"年"&amp;AK$5)</f>
        <v>1</v>
      </c>
      <c r="AL261" s="312">
        <f>IF((AG$4+1)&amp;"年"&amp;AL$5&lt;&gt;'9.项目开发计划表'!$AG$35,1,(AG$4+1)&amp;"年"&amp;AL$5)</f>
        <v>1</v>
      </c>
      <c r="AM261" s="312">
        <f>IF((AG$4+1)&amp;"年"&amp;AM$5&lt;&gt;'9.项目开发计划表'!$AG$35,1,(AG$4+1)&amp;"年"&amp;AM$5)</f>
        <v>1</v>
      </c>
      <c r="AN261" s="313">
        <f>IF((AG$4+1)&amp;"年"&amp;AN$5&lt;&gt;'9.项目开发计划表'!$AG$35,1,(AG$4+1)&amp;"年"&amp;AN$5)</f>
        <v>1</v>
      </c>
      <c r="AO261" s="311">
        <f>IF((AK$4+1)&amp;"年"&amp;AO$5&lt;&gt;'9.项目开发计划表'!$AG$35,1,(AK$4+1)&amp;"年"&amp;AO$5)</f>
        <v>1</v>
      </c>
      <c r="AP261" s="312">
        <f>IF((AK$4+1)&amp;"年"&amp;AP$5&lt;&gt;'9.项目开发计划表'!$AG$35,1,(AK$4+1)&amp;"年"&amp;AP$5)</f>
        <v>1</v>
      </c>
      <c r="AQ261" s="312">
        <f>IF((AK$4+1)&amp;"年"&amp;AQ$5&lt;&gt;'9.项目开发计划表'!$AG$35,1,(AK$4+1)&amp;"年"&amp;AQ$5)</f>
        <v>1</v>
      </c>
      <c r="AR261" s="313">
        <f>IF((AK$4+1)&amp;"年"&amp;AR$5&lt;&gt;'9.项目开发计划表'!$AG$35,1,(AK$4+1)&amp;"年"&amp;AR$5)</f>
        <v>1</v>
      </c>
      <c r="AS261" s="311">
        <f>IF((AO$4+1)&amp;"年"&amp;AS$5&lt;&gt;'9.项目开发计划表'!$AG$35,1,(AO$4+1)&amp;"年"&amp;AS$5)</f>
        <v>1</v>
      </c>
      <c r="AT261" s="312">
        <f>IF((AO$4+1)&amp;"年"&amp;AT$5&lt;&gt;'9.项目开发计划表'!$AG$35,1,(AO$4+1)&amp;"年"&amp;AT$5)</f>
        <v>1</v>
      </c>
      <c r="AU261" s="312">
        <f>IF((AO$4+1)&amp;"年"&amp;AU$5&lt;&gt;'9.项目开发计划表'!$AG$35,1,(AO$4+1)&amp;"年"&amp;AU$5)</f>
        <v>1</v>
      </c>
      <c r="AV261" s="313">
        <f>IF((AO$4+1)&amp;"年"&amp;AV$5&lt;&gt;'9.项目开发计划表'!$AG$35,1,(AO$4+1)&amp;"年"&amp;AV$5)</f>
        <v>1</v>
      </c>
    </row>
    <row r="262" spans="2:48" s="256" customFormat="1" ht="15.75" customHeight="1" outlineLevel="1">
      <c r="B262" s="321"/>
      <c r="C262" s="1980"/>
      <c r="D262" s="1982"/>
      <c r="E262" s="280">
        <f t="shared" ref="E262:AV262" si="75">IF(E261=1,0,1)</f>
        <v>0</v>
      </c>
      <c r="F262" s="281">
        <f t="shared" si="75"/>
        <v>0</v>
      </c>
      <c r="G262" s="281">
        <f t="shared" si="75"/>
        <v>0</v>
      </c>
      <c r="H262" s="282">
        <f t="shared" si="75"/>
        <v>0</v>
      </c>
      <c r="I262" s="323">
        <f t="shared" si="75"/>
        <v>0</v>
      </c>
      <c r="J262" s="281">
        <f t="shared" si="75"/>
        <v>0</v>
      </c>
      <c r="K262" s="281">
        <f t="shared" si="75"/>
        <v>0</v>
      </c>
      <c r="L262" s="282">
        <f t="shared" si="75"/>
        <v>0</v>
      </c>
      <c r="M262" s="280">
        <f t="shared" si="75"/>
        <v>0</v>
      </c>
      <c r="N262" s="281">
        <f t="shared" si="75"/>
        <v>0</v>
      </c>
      <c r="O262" s="281">
        <f t="shared" si="75"/>
        <v>0</v>
      </c>
      <c r="P262" s="282">
        <f t="shared" si="75"/>
        <v>0</v>
      </c>
      <c r="Q262" s="280">
        <f t="shared" si="75"/>
        <v>0</v>
      </c>
      <c r="R262" s="281">
        <f t="shared" si="75"/>
        <v>0</v>
      </c>
      <c r="S262" s="281">
        <f t="shared" si="75"/>
        <v>0</v>
      </c>
      <c r="T262" s="282">
        <f t="shared" si="75"/>
        <v>0</v>
      </c>
      <c r="U262" s="280">
        <f t="shared" si="75"/>
        <v>0</v>
      </c>
      <c r="V262" s="281">
        <f t="shared" si="75"/>
        <v>0</v>
      </c>
      <c r="W262" s="281">
        <f t="shared" si="75"/>
        <v>0</v>
      </c>
      <c r="X262" s="282">
        <f t="shared" si="75"/>
        <v>0</v>
      </c>
      <c r="Y262" s="280">
        <f t="shared" si="75"/>
        <v>0</v>
      </c>
      <c r="Z262" s="281">
        <f t="shared" si="75"/>
        <v>0</v>
      </c>
      <c r="AA262" s="281">
        <f t="shared" si="75"/>
        <v>0</v>
      </c>
      <c r="AB262" s="282">
        <f t="shared" si="75"/>
        <v>0</v>
      </c>
      <c r="AC262" s="280">
        <f t="shared" si="75"/>
        <v>0</v>
      </c>
      <c r="AD262" s="281">
        <f t="shared" si="75"/>
        <v>0</v>
      </c>
      <c r="AE262" s="281">
        <f t="shared" si="75"/>
        <v>0</v>
      </c>
      <c r="AF262" s="282">
        <f t="shared" si="75"/>
        <v>0</v>
      </c>
      <c r="AG262" s="280">
        <f t="shared" si="75"/>
        <v>0</v>
      </c>
      <c r="AH262" s="281">
        <f t="shared" si="75"/>
        <v>0</v>
      </c>
      <c r="AI262" s="281">
        <f t="shared" si="75"/>
        <v>0</v>
      </c>
      <c r="AJ262" s="282">
        <f t="shared" si="75"/>
        <v>0</v>
      </c>
      <c r="AK262" s="280">
        <f t="shared" si="75"/>
        <v>0</v>
      </c>
      <c r="AL262" s="281">
        <f t="shared" si="75"/>
        <v>0</v>
      </c>
      <c r="AM262" s="281">
        <f t="shared" si="75"/>
        <v>0</v>
      </c>
      <c r="AN262" s="282">
        <f t="shared" si="75"/>
        <v>0</v>
      </c>
      <c r="AO262" s="280">
        <f t="shared" si="75"/>
        <v>0</v>
      </c>
      <c r="AP262" s="281">
        <f t="shared" si="75"/>
        <v>0</v>
      </c>
      <c r="AQ262" s="281">
        <f t="shared" si="75"/>
        <v>0</v>
      </c>
      <c r="AR262" s="282">
        <f t="shared" si="75"/>
        <v>0</v>
      </c>
      <c r="AS262" s="280">
        <f t="shared" si="75"/>
        <v>0</v>
      </c>
      <c r="AT262" s="281">
        <f t="shared" si="75"/>
        <v>0</v>
      </c>
      <c r="AU262" s="281">
        <f t="shared" si="75"/>
        <v>0</v>
      </c>
      <c r="AV262" s="282">
        <f t="shared" si="75"/>
        <v>0</v>
      </c>
    </row>
    <row r="263" spans="2:48" outlineLevel="1">
      <c r="C263" s="1980"/>
      <c r="D263" s="1981">
        <f>'8.项目规划指标表'!$B$10</f>
        <v>0</v>
      </c>
      <c r="E263" s="311">
        <f>IF($E$4&amp;"年"&amp;E$5&lt;&gt;'9.项目开发计划表'!$AG$36,1,$E$4&amp;"年"&amp;E$5)</f>
        <v>1</v>
      </c>
      <c r="F263" s="312">
        <f>IF($E$4&amp;"年"&amp;F$5&lt;&gt;'9.项目开发计划表'!$AG$36,1,$E$4&amp;"年"&amp;F$5)</f>
        <v>1</v>
      </c>
      <c r="G263" s="312">
        <f>IF($E$4&amp;"年"&amp;G$5&lt;&gt;'9.项目开发计划表'!$AG$36,1,$E$4&amp;"年"&amp;G$5)</f>
        <v>1</v>
      </c>
      <c r="H263" s="313">
        <f>IF($E$4&amp;"年"&amp;H$5&lt;&gt;'9.项目开发计划表'!$AG$36,1,$E$4&amp;"年"&amp;H$5)</f>
        <v>1</v>
      </c>
      <c r="I263" s="322">
        <f>IF((E$4+1)&amp;"年"&amp;I$5&lt;&gt;'9.项目开发计划表'!$AG$36,1,(E$4+1)&amp;"年"&amp;I$5)</f>
        <v>1</v>
      </c>
      <c r="J263" s="312">
        <f>IF((E$4+1)&amp;"年"&amp;J$5&lt;&gt;'9.项目开发计划表'!$AG$36,1,(E$4+1)&amp;"年"&amp;J$5)</f>
        <v>1</v>
      </c>
      <c r="K263" s="312">
        <f>IF((E$4+1)&amp;"年"&amp;K$5&lt;&gt;'9.项目开发计划表'!$AG$36,1,(E$4+1)&amp;"年"&amp;K$5)</f>
        <v>1</v>
      </c>
      <c r="L263" s="313">
        <f>IF((E$4+1)&amp;"年"&amp;L$5&lt;&gt;'9.项目开发计划表'!$AG$36,1,(E$4+1)&amp;"年"&amp;L$5)</f>
        <v>1</v>
      </c>
      <c r="M263" s="311">
        <f>IF((I$4+1)&amp;"年"&amp;M$5&lt;&gt;'9.项目开发计划表'!$AG$36,1,(I$4+1)&amp;"年"&amp;M$5)</f>
        <v>1</v>
      </c>
      <c r="N263" s="312">
        <f>IF((I$4+1)&amp;"年"&amp;N$5&lt;&gt;'9.项目开发计划表'!$AG$36,1,(I$4+1)&amp;"年"&amp;N$5)</f>
        <v>1</v>
      </c>
      <c r="O263" s="312">
        <f>IF((I$4+1)&amp;"年"&amp;O$5&lt;&gt;'9.项目开发计划表'!$AG$36,1,(I$4+1)&amp;"年"&amp;O$5)</f>
        <v>1</v>
      </c>
      <c r="P263" s="313">
        <f>IF((I$4+1)&amp;"年"&amp;P$5&lt;&gt;'9.项目开发计划表'!$AG$36,1,(I$4+1)&amp;"年"&amp;P$5)</f>
        <v>1</v>
      </c>
      <c r="Q263" s="311">
        <f>IF((M$4+1)&amp;"年"&amp;Q$5&lt;&gt;'9.项目开发计划表'!$AG$36,1,(M$4+1)&amp;"年"&amp;Q$5)</f>
        <v>1</v>
      </c>
      <c r="R263" s="312">
        <f>IF((M$4+1)&amp;"年"&amp;R$5&lt;&gt;'9.项目开发计划表'!$AG$36,1,(M$4+1)&amp;"年"&amp;R$5)</f>
        <v>1</v>
      </c>
      <c r="S263" s="312">
        <f>IF((M$4+1)&amp;"年"&amp;S$5&lt;&gt;'9.项目开发计划表'!$AG$36,1,(M$4+1)&amp;"年"&amp;S$5)</f>
        <v>1</v>
      </c>
      <c r="T263" s="313">
        <f>IF((M$4+1)&amp;"年"&amp;T$5&lt;&gt;'9.项目开发计划表'!$AG$36,1,(M$4+1)&amp;"年"&amp;T$5)</f>
        <v>1</v>
      </c>
      <c r="U263" s="311">
        <f>IF((Q$4+1)&amp;"年"&amp;U$5&lt;&gt;'9.项目开发计划表'!$AG$36,1,(Q$4+1)&amp;"年"&amp;U$5)</f>
        <v>1</v>
      </c>
      <c r="V263" s="312">
        <f>IF((Q$4+1)&amp;"年"&amp;V$5&lt;&gt;'9.项目开发计划表'!$AG$36,1,(Q$4+1)&amp;"年"&amp;V$5)</f>
        <v>1</v>
      </c>
      <c r="W263" s="312">
        <f>IF((Q$4+1)&amp;"年"&amp;W$5&lt;&gt;'9.项目开发计划表'!$AG$36,1,(Q$4+1)&amp;"年"&amp;W$5)</f>
        <v>1</v>
      </c>
      <c r="X263" s="313">
        <f>IF((Q$4+1)&amp;"年"&amp;X$5&lt;&gt;'9.项目开发计划表'!$AG$36,1,(Q$4+1)&amp;"年"&amp;X$5)</f>
        <v>1</v>
      </c>
      <c r="Y263" s="311">
        <f>IF((U$4+1)&amp;"年"&amp;Y$5&lt;&gt;'9.项目开发计划表'!$AG$36,1,(U$4+1)&amp;"年"&amp;Y$5)</f>
        <v>1</v>
      </c>
      <c r="Z263" s="312">
        <f>IF((U$4+1)&amp;"年"&amp;Z$5&lt;&gt;'9.项目开发计划表'!$AG$36,1,(U$4+1)&amp;"年"&amp;Z$5)</f>
        <v>1</v>
      </c>
      <c r="AA263" s="312">
        <f>IF((U$4+1)&amp;"年"&amp;AA$5&lt;&gt;'9.项目开发计划表'!$AG$36,1,(U$4+1)&amp;"年"&amp;AA$5)</f>
        <v>1</v>
      </c>
      <c r="AB263" s="313">
        <f>IF((U$4+1)&amp;"年"&amp;AB$5&lt;&gt;'9.项目开发计划表'!$AG$36,1,(U$4+1)&amp;"年"&amp;AB$5)</f>
        <v>1</v>
      </c>
      <c r="AC263" s="311">
        <f>IF((Y$4+1)&amp;"年"&amp;AC$5&lt;&gt;'9.项目开发计划表'!$AG$36,1,(Y$4+1)&amp;"年"&amp;AC$5)</f>
        <v>1</v>
      </c>
      <c r="AD263" s="312">
        <f>IF((Y$4+1)&amp;"年"&amp;AD$5&lt;&gt;'9.项目开发计划表'!$AG$36,1,(Y$4+1)&amp;"年"&amp;AD$5)</f>
        <v>1</v>
      </c>
      <c r="AE263" s="312">
        <f>IF((Y$4+1)&amp;"年"&amp;AE$5&lt;&gt;'9.项目开发计划表'!$AG$36,1,(Y$4+1)&amp;"年"&amp;AE$5)</f>
        <v>1</v>
      </c>
      <c r="AF263" s="313">
        <f>IF((Y$4+1)&amp;"年"&amp;AF$5&lt;&gt;'9.项目开发计划表'!$AG$36,1,(Y$4+1)&amp;"年"&amp;AF$5)</f>
        <v>1</v>
      </c>
      <c r="AG263" s="311">
        <f>IF((AC$4+1)&amp;"年"&amp;AG$5&lt;&gt;'9.项目开发计划表'!$AG$36,1,(AC$4+1)&amp;"年"&amp;AG$5)</f>
        <v>1</v>
      </c>
      <c r="AH263" s="312">
        <f>IF((AC$4+1)&amp;"年"&amp;AH$5&lt;&gt;'9.项目开发计划表'!$AG$36,1,(AC$4+1)&amp;"年"&amp;AH$5)</f>
        <v>1</v>
      </c>
      <c r="AI263" s="312">
        <f>IF((AC$4+1)&amp;"年"&amp;AI$5&lt;&gt;'9.项目开发计划表'!$AG$36,1,(AC$4+1)&amp;"年"&amp;AI$5)</f>
        <v>1</v>
      </c>
      <c r="AJ263" s="313">
        <f>IF((AC$4+1)&amp;"年"&amp;AJ$5&lt;&gt;'9.项目开发计划表'!$AG$36,1,(AC$4+1)&amp;"年"&amp;AJ$5)</f>
        <v>1</v>
      </c>
      <c r="AK263" s="311">
        <f>IF((AG$4+1)&amp;"年"&amp;AK$5&lt;&gt;'9.项目开发计划表'!$AG$36,1,(AG$4+1)&amp;"年"&amp;AK$5)</f>
        <v>1</v>
      </c>
      <c r="AL263" s="312">
        <f>IF((AG$4+1)&amp;"年"&amp;AL$5&lt;&gt;'9.项目开发计划表'!$AG$36,1,(AG$4+1)&amp;"年"&amp;AL$5)</f>
        <v>1</v>
      </c>
      <c r="AM263" s="312">
        <f>IF((AG$4+1)&amp;"年"&amp;AM$5&lt;&gt;'9.项目开发计划表'!$AG$36,1,(AG$4+1)&amp;"年"&amp;AM$5)</f>
        <v>1</v>
      </c>
      <c r="AN263" s="313">
        <f>IF((AG$4+1)&amp;"年"&amp;AN$5&lt;&gt;'9.项目开发计划表'!$AG$36,1,(AG$4+1)&amp;"年"&amp;AN$5)</f>
        <v>1</v>
      </c>
      <c r="AO263" s="311">
        <f>IF((AK$4+1)&amp;"年"&amp;AO$5&lt;&gt;'9.项目开发计划表'!$AG$36,1,(AK$4+1)&amp;"年"&amp;AO$5)</f>
        <v>1</v>
      </c>
      <c r="AP263" s="312">
        <f>IF((AK$4+1)&amp;"年"&amp;AP$5&lt;&gt;'9.项目开发计划表'!$AG$36,1,(AK$4+1)&amp;"年"&amp;AP$5)</f>
        <v>1</v>
      </c>
      <c r="AQ263" s="312">
        <f>IF((AK$4+1)&amp;"年"&amp;AQ$5&lt;&gt;'9.项目开发计划表'!$AG$36,1,(AK$4+1)&amp;"年"&amp;AQ$5)</f>
        <v>1</v>
      </c>
      <c r="AR263" s="313">
        <f>IF((AK$4+1)&amp;"年"&amp;AR$5&lt;&gt;'9.项目开发计划表'!$AG$36,1,(AK$4+1)&amp;"年"&amp;AR$5)</f>
        <v>1</v>
      </c>
      <c r="AS263" s="311">
        <f>IF((AO$4+1)&amp;"年"&amp;AS$5&lt;&gt;'9.项目开发计划表'!$AG$36,1,(AO$4+1)&amp;"年"&amp;AS$5)</f>
        <v>1</v>
      </c>
      <c r="AT263" s="312">
        <f>IF((AO$4+1)&amp;"年"&amp;AT$5&lt;&gt;'9.项目开发计划表'!$AG$36,1,(AO$4+1)&amp;"年"&amp;AT$5)</f>
        <v>1</v>
      </c>
      <c r="AU263" s="312">
        <f>IF((AO$4+1)&amp;"年"&amp;AU$5&lt;&gt;'9.项目开发计划表'!$AG$36,1,(AO$4+1)&amp;"年"&amp;AU$5)</f>
        <v>1</v>
      </c>
      <c r="AV263" s="313">
        <f>IF((AO$4+1)&amp;"年"&amp;AV$5&lt;&gt;'9.项目开发计划表'!$AG$36,1,(AO$4+1)&amp;"年"&amp;AV$5)</f>
        <v>1</v>
      </c>
    </row>
    <row r="264" spans="2:48" outlineLevel="1">
      <c r="C264" s="1980"/>
      <c r="D264" s="1982"/>
      <c r="E264" s="280">
        <f t="shared" ref="E264:AV264" si="76">IF(E263=1,0,1)</f>
        <v>0</v>
      </c>
      <c r="F264" s="281">
        <f t="shared" si="76"/>
        <v>0</v>
      </c>
      <c r="G264" s="281">
        <f t="shared" si="76"/>
        <v>0</v>
      </c>
      <c r="H264" s="282">
        <f t="shared" si="76"/>
        <v>0</v>
      </c>
      <c r="I264" s="323">
        <f t="shared" si="76"/>
        <v>0</v>
      </c>
      <c r="J264" s="281">
        <f t="shared" si="76"/>
        <v>0</v>
      </c>
      <c r="K264" s="281">
        <f t="shared" si="76"/>
        <v>0</v>
      </c>
      <c r="L264" s="282">
        <f t="shared" si="76"/>
        <v>0</v>
      </c>
      <c r="M264" s="280">
        <f t="shared" si="76"/>
        <v>0</v>
      </c>
      <c r="N264" s="281">
        <f t="shared" si="76"/>
        <v>0</v>
      </c>
      <c r="O264" s="281">
        <f t="shared" si="76"/>
        <v>0</v>
      </c>
      <c r="P264" s="282">
        <f t="shared" si="76"/>
        <v>0</v>
      </c>
      <c r="Q264" s="280">
        <f t="shared" si="76"/>
        <v>0</v>
      </c>
      <c r="R264" s="281">
        <f t="shared" si="76"/>
        <v>0</v>
      </c>
      <c r="S264" s="281">
        <f t="shared" si="76"/>
        <v>0</v>
      </c>
      <c r="T264" s="282">
        <f t="shared" si="76"/>
        <v>0</v>
      </c>
      <c r="U264" s="280">
        <f t="shared" si="76"/>
        <v>0</v>
      </c>
      <c r="V264" s="281">
        <f t="shared" si="76"/>
        <v>0</v>
      </c>
      <c r="W264" s="281">
        <f t="shared" si="76"/>
        <v>0</v>
      </c>
      <c r="X264" s="282">
        <f t="shared" si="76"/>
        <v>0</v>
      </c>
      <c r="Y264" s="280">
        <f t="shared" si="76"/>
        <v>0</v>
      </c>
      <c r="Z264" s="281">
        <f t="shared" si="76"/>
        <v>0</v>
      </c>
      <c r="AA264" s="281">
        <f t="shared" si="76"/>
        <v>0</v>
      </c>
      <c r="AB264" s="282">
        <f t="shared" si="76"/>
        <v>0</v>
      </c>
      <c r="AC264" s="280">
        <f t="shared" si="76"/>
        <v>0</v>
      </c>
      <c r="AD264" s="281">
        <f t="shared" si="76"/>
        <v>0</v>
      </c>
      <c r="AE264" s="281">
        <f t="shared" si="76"/>
        <v>0</v>
      </c>
      <c r="AF264" s="282">
        <f t="shared" si="76"/>
        <v>0</v>
      </c>
      <c r="AG264" s="280">
        <f t="shared" si="76"/>
        <v>0</v>
      </c>
      <c r="AH264" s="281">
        <f t="shared" si="76"/>
        <v>0</v>
      </c>
      <c r="AI264" s="281">
        <f t="shared" si="76"/>
        <v>0</v>
      </c>
      <c r="AJ264" s="282">
        <f t="shared" si="76"/>
        <v>0</v>
      </c>
      <c r="AK264" s="280">
        <f t="shared" si="76"/>
        <v>0</v>
      </c>
      <c r="AL264" s="281">
        <f t="shared" si="76"/>
        <v>0</v>
      </c>
      <c r="AM264" s="281">
        <f t="shared" si="76"/>
        <v>0</v>
      </c>
      <c r="AN264" s="282">
        <f t="shared" si="76"/>
        <v>0</v>
      </c>
      <c r="AO264" s="280">
        <f t="shared" si="76"/>
        <v>0</v>
      </c>
      <c r="AP264" s="281">
        <f t="shared" si="76"/>
        <v>0</v>
      </c>
      <c r="AQ264" s="281">
        <f t="shared" si="76"/>
        <v>0</v>
      </c>
      <c r="AR264" s="282">
        <f t="shared" si="76"/>
        <v>0</v>
      </c>
      <c r="AS264" s="280">
        <f t="shared" si="76"/>
        <v>0</v>
      </c>
      <c r="AT264" s="281">
        <f t="shared" si="76"/>
        <v>0</v>
      </c>
      <c r="AU264" s="281">
        <f t="shared" si="76"/>
        <v>0</v>
      </c>
      <c r="AV264" s="282">
        <f t="shared" si="76"/>
        <v>0</v>
      </c>
    </row>
    <row r="265" spans="2:48" outlineLevel="1">
      <c r="C265" s="1980"/>
      <c r="D265" s="1981">
        <f>'8.项目规划指标表'!$B$11</f>
        <v>0</v>
      </c>
      <c r="E265" s="311">
        <f>IF($E$4&amp;"年"&amp;E$5&lt;&gt;'9.项目开发计划表'!$AG$37,1,$E$4&amp;"年"&amp;E$5)</f>
        <v>1</v>
      </c>
      <c r="F265" s="312">
        <f>IF($E$4&amp;"年"&amp;F$5&lt;&gt;'9.项目开发计划表'!$AG$37,1,$E$4&amp;"年"&amp;F$5)</f>
        <v>1</v>
      </c>
      <c r="G265" s="312">
        <f>IF($E$4&amp;"年"&amp;G$5&lt;&gt;'9.项目开发计划表'!$AG$37,1,$E$4&amp;"年"&amp;G$5)</f>
        <v>1</v>
      </c>
      <c r="H265" s="313">
        <f>IF($E$4&amp;"年"&amp;H$5&lt;&gt;'9.项目开发计划表'!$AG$37,1,$E$4&amp;"年"&amp;H$5)</f>
        <v>1</v>
      </c>
      <c r="I265" s="322">
        <f>IF((E$4+1)&amp;"年"&amp;I$5&lt;&gt;'9.项目开发计划表'!$AG$37,1,(E$4+1)&amp;"年"&amp;I$5)</f>
        <v>1</v>
      </c>
      <c r="J265" s="312">
        <f>IF((E$4+1)&amp;"年"&amp;J$5&lt;&gt;'9.项目开发计划表'!$AG$37,1,(E$4+1)&amp;"年"&amp;J$5)</f>
        <v>1</v>
      </c>
      <c r="K265" s="312">
        <f>IF((E$4+1)&amp;"年"&amp;K$5&lt;&gt;'9.项目开发计划表'!$AG$37,1,(E$4+1)&amp;"年"&amp;K$5)</f>
        <v>1</v>
      </c>
      <c r="L265" s="313">
        <f>IF((E$4+1)&amp;"年"&amp;L$5&lt;&gt;'9.项目开发计划表'!$AG$37,1,(E$4+1)&amp;"年"&amp;L$5)</f>
        <v>1</v>
      </c>
      <c r="M265" s="311">
        <f>IF((I$4+1)&amp;"年"&amp;M$5&lt;&gt;'9.项目开发计划表'!$AG$37,1,(I$4+1)&amp;"年"&amp;M$5)</f>
        <v>1</v>
      </c>
      <c r="N265" s="312">
        <f>IF((I$4+1)&amp;"年"&amp;N$5&lt;&gt;'9.项目开发计划表'!$AG$37,1,(I$4+1)&amp;"年"&amp;N$5)</f>
        <v>1</v>
      </c>
      <c r="O265" s="312">
        <f>IF((I$4+1)&amp;"年"&amp;O$5&lt;&gt;'9.项目开发计划表'!$AG$37,1,(I$4+1)&amp;"年"&amp;O$5)</f>
        <v>1</v>
      </c>
      <c r="P265" s="313">
        <f>IF((I$4+1)&amp;"年"&amp;P$5&lt;&gt;'9.项目开发计划表'!$AG$37,1,(I$4+1)&amp;"年"&amp;P$5)</f>
        <v>1</v>
      </c>
      <c r="Q265" s="311">
        <f>IF((M$4+1)&amp;"年"&amp;Q$5&lt;&gt;'9.项目开发计划表'!$AG$37,1,(M$4+1)&amp;"年"&amp;Q$5)</f>
        <v>1</v>
      </c>
      <c r="R265" s="312">
        <f>IF((M$4+1)&amp;"年"&amp;R$5&lt;&gt;'9.项目开发计划表'!$AG$37,1,(M$4+1)&amp;"年"&amp;R$5)</f>
        <v>1</v>
      </c>
      <c r="S265" s="312">
        <f>IF((M$4+1)&amp;"年"&amp;S$5&lt;&gt;'9.项目开发计划表'!$AG$37,1,(M$4+1)&amp;"年"&amp;S$5)</f>
        <v>1</v>
      </c>
      <c r="T265" s="313">
        <f>IF((M$4+1)&amp;"年"&amp;T$5&lt;&gt;'9.项目开发计划表'!$AG$37,1,(M$4+1)&amp;"年"&amp;T$5)</f>
        <v>1</v>
      </c>
      <c r="U265" s="311">
        <f>IF((Q$4+1)&amp;"年"&amp;U$5&lt;&gt;'9.项目开发计划表'!$AG$37,1,(Q$4+1)&amp;"年"&amp;U$5)</f>
        <v>1</v>
      </c>
      <c r="V265" s="312">
        <f>IF((Q$4+1)&amp;"年"&amp;V$5&lt;&gt;'9.项目开发计划表'!$AG$37,1,(Q$4+1)&amp;"年"&amp;V$5)</f>
        <v>1</v>
      </c>
      <c r="W265" s="312">
        <f>IF((Q$4+1)&amp;"年"&amp;W$5&lt;&gt;'9.项目开发计划表'!$AG$37,1,(Q$4+1)&amp;"年"&amp;W$5)</f>
        <v>1</v>
      </c>
      <c r="X265" s="313">
        <f>IF((Q$4+1)&amp;"年"&amp;X$5&lt;&gt;'9.项目开发计划表'!$AG$37,1,(Q$4+1)&amp;"年"&amp;X$5)</f>
        <v>1</v>
      </c>
      <c r="Y265" s="311">
        <f>IF((U$4+1)&amp;"年"&amp;Y$5&lt;&gt;'9.项目开发计划表'!$AG$37,1,(U$4+1)&amp;"年"&amp;Y$5)</f>
        <v>1</v>
      </c>
      <c r="Z265" s="312">
        <f>IF((U$4+1)&amp;"年"&amp;Z$5&lt;&gt;'9.项目开发计划表'!$AG$37,1,(U$4+1)&amp;"年"&amp;Z$5)</f>
        <v>1</v>
      </c>
      <c r="AA265" s="312">
        <f>IF((U$4+1)&amp;"年"&amp;AA$5&lt;&gt;'9.项目开发计划表'!$AG$37,1,(U$4+1)&amp;"年"&amp;AA$5)</f>
        <v>1</v>
      </c>
      <c r="AB265" s="313">
        <f>IF((U$4+1)&amp;"年"&amp;AB$5&lt;&gt;'9.项目开发计划表'!$AG$37,1,(U$4+1)&amp;"年"&amp;AB$5)</f>
        <v>1</v>
      </c>
      <c r="AC265" s="311">
        <f>IF((Y$4+1)&amp;"年"&amp;AC$5&lt;&gt;'9.项目开发计划表'!$AG$37,1,(Y$4+1)&amp;"年"&amp;AC$5)</f>
        <v>1</v>
      </c>
      <c r="AD265" s="312">
        <f>IF((Y$4+1)&amp;"年"&amp;AD$5&lt;&gt;'9.项目开发计划表'!$AG$37,1,(Y$4+1)&amp;"年"&amp;AD$5)</f>
        <v>1</v>
      </c>
      <c r="AE265" s="312">
        <f>IF((Y$4+1)&amp;"年"&amp;AE$5&lt;&gt;'9.项目开发计划表'!$AG$37,1,(Y$4+1)&amp;"年"&amp;AE$5)</f>
        <v>1</v>
      </c>
      <c r="AF265" s="313">
        <f>IF((Y$4+1)&amp;"年"&amp;AF$5&lt;&gt;'9.项目开发计划表'!$AG$37,1,(Y$4+1)&amp;"年"&amp;AF$5)</f>
        <v>1</v>
      </c>
      <c r="AG265" s="311">
        <f>IF((AC$4+1)&amp;"年"&amp;AG$5&lt;&gt;'9.项目开发计划表'!$AG$37,1,(AC$4+1)&amp;"年"&amp;AG$5)</f>
        <v>1</v>
      </c>
      <c r="AH265" s="312">
        <f>IF((AC$4+1)&amp;"年"&amp;AH$5&lt;&gt;'9.项目开发计划表'!$AG$37,1,(AC$4+1)&amp;"年"&amp;AH$5)</f>
        <v>1</v>
      </c>
      <c r="AI265" s="312">
        <f>IF((AC$4+1)&amp;"年"&amp;AI$5&lt;&gt;'9.项目开发计划表'!$AG$37,1,(AC$4+1)&amp;"年"&amp;AI$5)</f>
        <v>1</v>
      </c>
      <c r="AJ265" s="313">
        <f>IF((AC$4+1)&amp;"年"&amp;AJ$5&lt;&gt;'9.项目开发计划表'!$AG$37,1,(AC$4+1)&amp;"年"&amp;AJ$5)</f>
        <v>1</v>
      </c>
      <c r="AK265" s="311">
        <f>IF((AG$4+1)&amp;"年"&amp;AK$5&lt;&gt;'9.项目开发计划表'!$AG$37,1,(AG$4+1)&amp;"年"&amp;AK$5)</f>
        <v>1</v>
      </c>
      <c r="AL265" s="312">
        <f>IF((AG$4+1)&amp;"年"&amp;AL$5&lt;&gt;'9.项目开发计划表'!$AG$37,1,(AG$4+1)&amp;"年"&amp;AL$5)</f>
        <v>1</v>
      </c>
      <c r="AM265" s="312">
        <f>IF((AG$4+1)&amp;"年"&amp;AM$5&lt;&gt;'9.项目开发计划表'!$AG$37,1,(AG$4+1)&amp;"年"&amp;AM$5)</f>
        <v>1</v>
      </c>
      <c r="AN265" s="313">
        <f>IF((AG$4+1)&amp;"年"&amp;AN$5&lt;&gt;'9.项目开发计划表'!$AG$37,1,(AG$4+1)&amp;"年"&amp;AN$5)</f>
        <v>1</v>
      </c>
      <c r="AO265" s="311">
        <f>IF((AK$4+1)&amp;"年"&amp;AO$5&lt;&gt;'9.项目开发计划表'!$AG$37,1,(AK$4+1)&amp;"年"&amp;AO$5)</f>
        <v>1</v>
      </c>
      <c r="AP265" s="312">
        <f>IF((AK$4+1)&amp;"年"&amp;AP$5&lt;&gt;'9.项目开发计划表'!$AG$37,1,(AK$4+1)&amp;"年"&amp;AP$5)</f>
        <v>1</v>
      </c>
      <c r="AQ265" s="312">
        <f>IF((AK$4+1)&amp;"年"&amp;AQ$5&lt;&gt;'9.项目开发计划表'!$AG$37,1,(AK$4+1)&amp;"年"&amp;AQ$5)</f>
        <v>1</v>
      </c>
      <c r="AR265" s="313">
        <f>IF((AK$4+1)&amp;"年"&amp;AR$5&lt;&gt;'9.项目开发计划表'!$AG$37,1,(AK$4+1)&amp;"年"&amp;AR$5)</f>
        <v>1</v>
      </c>
      <c r="AS265" s="311">
        <f>IF((AO$4+1)&amp;"年"&amp;AS$5&lt;&gt;'9.项目开发计划表'!$AG$37,1,(AO$4+1)&amp;"年"&amp;AS$5)</f>
        <v>1</v>
      </c>
      <c r="AT265" s="312">
        <f>IF((AO$4+1)&amp;"年"&amp;AT$5&lt;&gt;'9.项目开发计划表'!$AG$37,1,(AO$4+1)&amp;"年"&amp;AT$5)</f>
        <v>1</v>
      </c>
      <c r="AU265" s="312">
        <f>IF((AO$4+1)&amp;"年"&amp;AU$5&lt;&gt;'9.项目开发计划表'!$AG$37,1,(AO$4+1)&amp;"年"&amp;AU$5)</f>
        <v>1</v>
      </c>
      <c r="AV265" s="313">
        <f>IF((AO$4+1)&amp;"年"&amp;AV$5&lt;&gt;'9.项目开发计划表'!$AG$37,1,(AO$4+1)&amp;"年"&amp;AV$5)</f>
        <v>1</v>
      </c>
    </row>
    <row r="266" spans="2:48" outlineLevel="1">
      <c r="C266" s="1980"/>
      <c r="D266" s="1982"/>
      <c r="E266" s="280">
        <f t="shared" ref="E266:E270" si="77">IF(E265=1,0,1)</f>
        <v>0</v>
      </c>
      <c r="F266" s="281">
        <f t="shared" ref="F266:L266" si="78">IF(F265=1,0,1)</f>
        <v>0</v>
      </c>
      <c r="G266" s="281">
        <f t="shared" si="78"/>
        <v>0</v>
      </c>
      <c r="H266" s="282">
        <f t="shared" si="78"/>
        <v>0</v>
      </c>
      <c r="I266" s="323">
        <f t="shared" si="78"/>
        <v>0</v>
      </c>
      <c r="J266" s="281">
        <f t="shared" si="78"/>
        <v>0</v>
      </c>
      <c r="K266" s="281">
        <f t="shared" si="78"/>
        <v>0</v>
      </c>
      <c r="L266" s="282">
        <f t="shared" si="78"/>
        <v>0</v>
      </c>
      <c r="M266" s="280">
        <f t="shared" ref="M266:AV266" si="79">IF(M265=1,0,1)</f>
        <v>0</v>
      </c>
      <c r="N266" s="281">
        <f t="shared" si="79"/>
        <v>0</v>
      </c>
      <c r="O266" s="281">
        <f t="shared" si="79"/>
        <v>0</v>
      </c>
      <c r="P266" s="282">
        <f t="shared" si="79"/>
        <v>0</v>
      </c>
      <c r="Q266" s="280">
        <f t="shared" si="79"/>
        <v>0</v>
      </c>
      <c r="R266" s="281">
        <f t="shared" si="79"/>
        <v>0</v>
      </c>
      <c r="S266" s="281">
        <f t="shared" si="79"/>
        <v>0</v>
      </c>
      <c r="T266" s="282">
        <f t="shared" si="79"/>
        <v>0</v>
      </c>
      <c r="U266" s="280">
        <f t="shared" si="79"/>
        <v>0</v>
      </c>
      <c r="V266" s="281">
        <f t="shared" si="79"/>
        <v>0</v>
      </c>
      <c r="W266" s="281">
        <f t="shared" si="79"/>
        <v>0</v>
      </c>
      <c r="X266" s="282">
        <f t="shared" si="79"/>
        <v>0</v>
      </c>
      <c r="Y266" s="280">
        <f t="shared" si="79"/>
        <v>0</v>
      </c>
      <c r="Z266" s="281">
        <f t="shared" si="79"/>
        <v>0</v>
      </c>
      <c r="AA266" s="281">
        <f t="shared" si="79"/>
        <v>0</v>
      </c>
      <c r="AB266" s="282">
        <f t="shared" si="79"/>
        <v>0</v>
      </c>
      <c r="AC266" s="280">
        <f t="shared" si="79"/>
        <v>0</v>
      </c>
      <c r="AD266" s="281">
        <f t="shared" si="79"/>
        <v>0</v>
      </c>
      <c r="AE266" s="281">
        <f t="shared" si="79"/>
        <v>0</v>
      </c>
      <c r="AF266" s="282">
        <f t="shared" si="79"/>
        <v>0</v>
      </c>
      <c r="AG266" s="280">
        <f t="shared" si="79"/>
        <v>0</v>
      </c>
      <c r="AH266" s="281">
        <f t="shared" si="79"/>
        <v>0</v>
      </c>
      <c r="AI266" s="281">
        <f t="shared" si="79"/>
        <v>0</v>
      </c>
      <c r="AJ266" s="282">
        <f t="shared" si="79"/>
        <v>0</v>
      </c>
      <c r="AK266" s="280">
        <f t="shared" si="79"/>
        <v>0</v>
      </c>
      <c r="AL266" s="281">
        <f t="shared" si="79"/>
        <v>0</v>
      </c>
      <c r="AM266" s="281">
        <f t="shared" si="79"/>
        <v>0</v>
      </c>
      <c r="AN266" s="282">
        <f t="shared" si="79"/>
        <v>0</v>
      </c>
      <c r="AO266" s="280">
        <f t="shared" si="79"/>
        <v>0</v>
      </c>
      <c r="AP266" s="281">
        <f t="shared" si="79"/>
        <v>0</v>
      </c>
      <c r="AQ266" s="281">
        <f t="shared" si="79"/>
        <v>0</v>
      </c>
      <c r="AR266" s="282">
        <f t="shared" si="79"/>
        <v>0</v>
      </c>
      <c r="AS266" s="280">
        <f t="shared" si="79"/>
        <v>0</v>
      </c>
      <c r="AT266" s="281">
        <f t="shared" si="79"/>
        <v>0</v>
      </c>
      <c r="AU266" s="281">
        <f t="shared" si="79"/>
        <v>0</v>
      </c>
      <c r="AV266" s="282">
        <f t="shared" si="79"/>
        <v>0</v>
      </c>
    </row>
    <row r="267" spans="2:48" outlineLevel="1">
      <c r="C267" s="1980"/>
      <c r="D267" s="1981">
        <f>'8.项目规划指标表'!$B$12</f>
        <v>0</v>
      </c>
      <c r="E267" s="311">
        <f>IF($E$4&amp;"年"&amp;E$5&lt;&gt;'9.项目开发计划表'!$AG$38,1,$E$4&amp;"年"&amp;E$5)</f>
        <v>1</v>
      </c>
      <c r="F267" s="312">
        <f>IF($E$4&amp;"年"&amp;F$5&lt;&gt;'9.项目开发计划表'!$AG$38,1,$E$4&amp;"年"&amp;F$5)</f>
        <v>1</v>
      </c>
      <c r="G267" s="312">
        <f>IF($E$4&amp;"年"&amp;G$5&lt;&gt;'9.项目开发计划表'!$AG$38,1,$E$4&amp;"年"&amp;G$5)</f>
        <v>1</v>
      </c>
      <c r="H267" s="313">
        <f>IF($E$4&amp;"年"&amp;H$5&lt;&gt;'9.项目开发计划表'!$AG$38,1,$E$4&amp;"年"&amp;H$5)</f>
        <v>1</v>
      </c>
      <c r="I267" s="322">
        <f>IF((E$4+1)&amp;"年"&amp;I$5&lt;&gt;'9.项目开发计划表'!$AG$38,1,(E$4+1)&amp;"年"&amp;I$5)</f>
        <v>1</v>
      </c>
      <c r="J267" s="312">
        <f>IF((E$4+1)&amp;"年"&amp;J$5&lt;&gt;'9.项目开发计划表'!$AG$38,1,(E$4+1)&amp;"年"&amp;J$5)</f>
        <v>1</v>
      </c>
      <c r="K267" s="312">
        <f>IF((E$4+1)&amp;"年"&amp;K$5&lt;&gt;'9.项目开发计划表'!$AG$38,1,(E$4+1)&amp;"年"&amp;K$5)</f>
        <v>1</v>
      </c>
      <c r="L267" s="313">
        <f>IF((E$4+1)&amp;"年"&amp;L$5&lt;&gt;'9.项目开发计划表'!$AG$38,1,(E$4+1)&amp;"年"&amp;L$5)</f>
        <v>1</v>
      </c>
      <c r="M267" s="311">
        <f>IF((I$4+1)&amp;"年"&amp;M$5&lt;&gt;'9.项目开发计划表'!$AG$38,1,(I$4+1)&amp;"年"&amp;M$5)</f>
        <v>1</v>
      </c>
      <c r="N267" s="312">
        <f>IF((I$4+1)&amp;"年"&amp;N$5&lt;&gt;'9.项目开发计划表'!$AG$38,1,(I$4+1)&amp;"年"&amp;N$5)</f>
        <v>1</v>
      </c>
      <c r="O267" s="312">
        <f>IF((I$4+1)&amp;"年"&amp;O$5&lt;&gt;'9.项目开发计划表'!$AG$38,1,(I$4+1)&amp;"年"&amp;O$5)</f>
        <v>1</v>
      </c>
      <c r="P267" s="313">
        <f>IF((I$4+1)&amp;"年"&amp;P$5&lt;&gt;'9.项目开发计划表'!$AG$38,1,(I$4+1)&amp;"年"&amp;P$5)</f>
        <v>1</v>
      </c>
      <c r="Q267" s="311">
        <f>IF((M$4+1)&amp;"年"&amp;Q$5&lt;&gt;'9.项目开发计划表'!$AG$38,1,(M$4+1)&amp;"年"&amp;Q$5)</f>
        <v>1</v>
      </c>
      <c r="R267" s="312">
        <f>IF((M$4+1)&amp;"年"&amp;R$5&lt;&gt;'9.项目开发计划表'!$AG$38,1,(M$4+1)&amp;"年"&amp;R$5)</f>
        <v>1</v>
      </c>
      <c r="S267" s="312">
        <f>IF((M$4+1)&amp;"年"&amp;S$5&lt;&gt;'9.项目开发计划表'!$AG$38,1,(M$4+1)&amp;"年"&amp;S$5)</f>
        <v>1</v>
      </c>
      <c r="T267" s="313">
        <f>IF((M$4+1)&amp;"年"&amp;T$5&lt;&gt;'9.项目开发计划表'!$AG$38,1,(M$4+1)&amp;"年"&amp;T$5)</f>
        <v>1</v>
      </c>
      <c r="U267" s="311">
        <f>IF((Q$4+1)&amp;"年"&amp;U$5&lt;&gt;'9.项目开发计划表'!$AG$38,1,(Q$4+1)&amp;"年"&amp;U$5)</f>
        <v>1</v>
      </c>
      <c r="V267" s="312">
        <f>IF((Q$4+1)&amp;"年"&amp;V$5&lt;&gt;'9.项目开发计划表'!$AG$38,1,(Q$4+1)&amp;"年"&amp;V$5)</f>
        <v>1</v>
      </c>
      <c r="W267" s="312">
        <f>IF((Q$4+1)&amp;"年"&amp;W$5&lt;&gt;'9.项目开发计划表'!$AG$38,1,(Q$4+1)&amp;"年"&amp;W$5)</f>
        <v>1</v>
      </c>
      <c r="X267" s="313">
        <f>IF((Q$4+1)&amp;"年"&amp;X$5&lt;&gt;'9.项目开发计划表'!$AG$38,1,(Q$4+1)&amp;"年"&amp;X$5)</f>
        <v>1</v>
      </c>
      <c r="Y267" s="311">
        <f>IF((U$4+1)&amp;"年"&amp;Y$5&lt;&gt;'9.项目开发计划表'!$AG$38,1,(U$4+1)&amp;"年"&amp;Y$5)</f>
        <v>1</v>
      </c>
      <c r="Z267" s="312">
        <f>IF((U$4+1)&amp;"年"&amp;Z$5&lt;&gt;'9.项目开发计划表'!$AG$38,1,(U$4+1)&amp;"年"&amp;Z$5)</f>
        <v>1</v>
      </c>
      <c r="AA267" s="312">
        <f>IF((U$4+1)&amp;"年"&amp;AA$5&lt;&gt;'9.项目开发计划表'!$AG$38,1,(U$4+1)&amp;"年"&amp;AA$5)</f>
        <v>1</v>
      </c>
      <c r="AB267" s="313">
        <f>IF((U$4+1)&amp;"年"&amp;AB$5&lt;&gt;'9.项目开发计划表'!$AG$38,1,(U$4+1)&amp;"年"&amp;AB$5)</f>
        <v>1</v>
      </c>
      <c r="AC267" s="311">
        <f>IF((Y$4+1)&amp;"年"&amp;AC$5&lt;&gt;'9.项目开发计划表'!$AG$38,1,(Y$4+1)&amp;"年"&amp;AC$5)</f>
        <v>1</v>
      </c>
      <c r="AD267" s="312">
        <f>IF((Y$4+1)&amp;"年"&amp;AD$5&lt;&gt;'9.项目开发计划表'!$AG$38,1,(Y$4+1)&amp;"年"&amp;AD$5)</f>
        <v>1</v>
      </c>
      <c r="AE267" s="312">
        <f>IF((Y$4+1)&amp;"年"&amp;AE$5&lt;&gt;'9.项目开发计划表'!$AG$38,1,(Y$4+1)&amp;"年"&amp;AE$5)</f>
        <v>1</v>
      </c>
      <c r="AF267" s="313">
        <f>IF((Y$4+1)&amp;"年"&amp;AF$5&lt;&gt;'9.项目开发计划表'!$AG$38,1,(Y$4+1)&amp;"年"&amp;AF$5)</f>
        <v>1</v>
      </c>
      <c r="AG267" s="311">
        <f>IF((AC$4+1)&amp;"年"&amp;AG$5&lt;&gt;'9.项目开发计划表'!$AG$38,1,(AC$4+1)&amp;"年"&amp;AG$5)</f>
        <v>1</v>
      </c>
      <c r="AH267" s="312">
        <f>IF((AC$4+1)&amp;"年"&amp;AH$5&lt;&gt;'9.项目开发计划表'!$AG$38,1,(AC$4+1)&amp;"年"&amp;AH$5)</f>
        <v>1</v>
      </c>
      <c r="AI267" s="312">
        <f>IF((AC$4+1)&amp;"年"&amp;AI$5&lt;&gt;'9.项目开发计划表'!$AG$38,1,(AC$4+1)&amp;"年"&amp;AI$5)</f>
        <v>1</v>
      </c>
      <c r="AJ267" s="313">
        <f>IF((AC$4+1)&amp;"年"&amp;AJ$5&lt;&gt;'9.项目开发计划表'!$AG$38,1,(AC$4+1)&amp;"年"&amp;AJ$5)</f>
        <v>1</v>
      </c>
      <c r="AK267" s="311">
        <f>IF((AG$4+1)&amp;"年"&amp;AK$5&lt;&gt;'9.项目开发计划表'!$AG$38,1,(AG$4+1)&amp;"年"&amp;AK$5)</f>
        <v>1</v>
      </c>
      <c r="AL267" s="312">
        <f>IF((AG$4+1)&amp;"年"&amp;AL$5&lt;&gt;'9.项目开发计划表'!$AG$38,1,(AG$4+1)&amp;"年"&amp;AL$5)</f>
        <v>1</v>
      </c>
      <c r="AM267" s="312">
        <f>IF((AG$4+1)&amp;"年"&amp;AM$5&lt;&gt;'9.项目开发计划表'!$AG$38,1,(AG$4+1)&amp;"年"&amp;AM$5)</f>
        <v>1</v>
      </c>
      <c r="AN267" s="313">
        <f>IF((AG$4+1)&amp;"年"&amp;AN$5&lt;&gt;'9.项目开发计划表'!$AG$38,1,(AG$4+1)&amp;"年"&amp;AN$5)</f>
        <v>1</v>
      </c>
      <c r="AO267" s="311">
        <f>IF((AK$4+1)&amp;"年"&amp;AO$5&lt;&gt;'9.项目开发计划表'!$AG$38,1,(AK$4+1)&amp;"年"&amp;AO$5)</f>
        <v>1</v>
      </c>
      <c r="AP267" s="312">
        <f>IF((AK$4+1)&amp;"年"&amp;AP$5&lt;&gt;'9.项目开发计划表'!$AG$38,1,(AK$4+1)&amp;"年"&amp;AP$5)</f>
        <v>1</v>
      </c>
      <c r="AQ267" s="312">
        <f>IF((AK$4+1)&amp;"年"&amp;AQ$5&lt;&gt;'9.项目开发计划表'!$AG$38,1,(AK$4+1)&amp;"年"&amp;AQ$5)</f>
        <v>1</v>
      </c>
      <c r="AR267" s="313">
        <f>IF((AK$4+1)&amp;"年"&amp;AR$5&lt;&gt;'9.项目开发计划表'!$AG$38,1,(AK$4+1)&amp;"年"&amp;AR$5)</f>
        <v>1</v>
      </c>
      <c r="AS267" s="311">
        <f>IF((AO$4+1)&amp;"年"&amp;AS$5&lt;&gt;'9.项目开发计划表'!$AG$38,1,(AO$4+1)&amp;"年"&amp;AS$5)</f>
        <v>1</v>
      </c>
      <c r="AT267" s="312">
        <f>IF((AO$4+1)&amp;"年"&amp;AT$5&lt;&gt;'9.项目开发计划表'!$AG$38,1,(AO$4+1)&amp;"年"&amp;AT$5)</f>
        <v>1</v>
      </c>
      <c r="AU267" s="312">
        <f>IF((AO$4+1)&amp;"年"&amp;AU$5&lt;&gt;'9.项目开发计划表'!$AG$38,1,(AO$4+1)&amp;"年"&amp;AU$5)</f>
        <v>1</v>
      </c>
      <c r="AV267" s="313">
        <f>IF((AO$4+1)&amp;"年"&amp;AV$5&lt;&gt;'9.项目开发计划表'!$AG$38,1,(AO$4+1)&amp;"年"&amp;AV$5)</f>
        <v>1</v>
      </c>
    </row>
    <row r="268" spans="2:48" outlineLevel="1">
      <c r="C268" s="1980"/>
      <c r="D268" s="1982"/>
      <c r="E268" s="280">
        <f t="shared" si="77"/>
        <v>0</v>
      </c>
      <c r="F268" s="281">
        <f t="shared" ref="F268:L268" si="80">IF(F267=1,0,1)</f>
        <v>0</v>
      </c>
      <c r="G268" s="281">
        <f t="shared" si="80"/>
        <v>0</v>
      </c>
      <c r="H268" s="282">
        <f t="shared" si="80"/>
        <v>0</v>
      </c>
      <c r="I268" s="323">
        <f t="shared" si="80"/>
        <v>0</v>
      </c>
      <c r="J268" s="281">
        <f t="shared" si="80"/>
        <v>0</v>
      </c>
      <c r="K268" s="281">
        <f t="shared" si="80"/>
        <v>0</v>
      </c>
      <c r="L268" s="282">
        <f t="shared" si="80"/>
        <v>0</v>
      </c>
      <c r="M268" s="280">
        <f t="shared" ref="M268:AV268" si="81">IF(M267=1,0,1)</f>
        <v>0</v>
      </c>
      <c r="N268" s="281">
        <f t="shared" si="81"/>
        <v>0</v>
      </c>
      <c r="O268" s="281">
        <f t="shared" si="81"/>
        <v>0</v>
      </c>
      <c r="P268" s="282">
        <f t="shared" si="81"/>
        <v>0</v>
      </c>
      <c r="Q268" s="280">
        <f t="shared" si="81"/>
        <v>0</v>
      </c>
      <c r="R268" s="281">
        <f t="shared" si="81"/>
        <v>0</v>
      </c>
      <c r="S268" s="281">
        <f t="shared" si="81"/>
        <v>0</v>
      </c>
      <c r="T268" s="282">
        <f t="shared" si="81"/>
        <v>0</v>
      </c>
      <c r="U268" s="280">
        <f t="shared" si="81"/>
        <v>0</v>
      </c>
      <c r="V268" s="281">
        <f t="shared" si="81"/>
        <v>0</v>
      </c>
      <c r="W268" s="281">
        <f t="shared" si="81"/>
        <v>0</v>
      </c>
      <c r="X268" s="282">
        <f t="shared" si="81"/>
        <v>0</v>
      </c>
      <c r="Y268" s="280">
        <f t="shared" si="81"/>
        <v>0</v>
      </c>
      <c r="Z268" s="281">
        <f t="shared" si="81"/>
        <v>0</v>
      </c>
      <c r="AA268" s="281">
        <f t="shared" si="81"/>
        <v>0</v>
      </c>
      <c r="AB268" s="282">
        <f t="shared" si="81"/>
        <v>0</v>
      </c>
      <c r="AC268" s="280">
        <f t="shared" si="81"/>
        <v>0</v>
      </c>
      <c r="AD268" s="281">
        <f t="shared" si="81"/>
        <v>0</v>
      </c>
      <c r="AE268" s="281">
        <f t="shared" si="81"/>
        <v>0</v>
      </c>
      <c r="AF268" s="282">
        <f t="shared" si="81"/>
        <v>0</v>
      </c>
      <c r="AG268" s="280">
        <f t="shared" si="81"/>
        <v>0</v>
      </c>
      <c r="AH268" s="281">
        <f t="shared" si="81"/>
        <v>0</v>
      </c>
      <c r="AI268" s="281">
        <f t="shared" si="81"/>
        <v>0</v>
      </c>
      <c r="AJ268" s="282">
        <f t="shared" si="81"/>
        <v>0</v>
      </c>
      <c r="AK268" s="280">
        <f t="shared" si="81"/>
        <v>0</v>
      </c>
      <c r="AL268" s="281">
        <f t="shared" si="81"/>
        <v>0</v>
      </c>
      <c r="AM268" s="281">
        <f t="shared" si="81"/>
        <v>0</v>
      </c>
      <c r="AN268" s="282">
        <f t="shared" si="81"/>
        <v>0</v>
      </c>
      <c r="AO268" s="280">
        <f t="shared" si="81"/>
        <v>0</v>
      </c>
      <c r="AP268" s="281">
        <f t="shared" si="81"/>
        <v>0</v>
      </c>
      <c r="AQ268" s="281">
        <f t="shared" si="81"/>
        <v>0</v>
      </c>
      <c r="AR268" s="282">
        <f t="shared" si="81"/>
        <v>0</v>
      </c>
      <c r="AS268" s="280">
        <f t="shared" si="81"/>
        <v>0</v>
      </c>
      <c r="AT268" s="281">
        <f t="shared" si="81"/>
        <v>0</v>
      </c>
      <c r="AU268" s="281">
        <f t="shared" si="81"/>
        <v>0</v>
      </c>
      <c r="AV268" s="282">
        <f t="shared" si="81"/>
        <v>0</v>
      </c>
    </row>
    <row r="269" spans="2:48" outlineLevel="1">
      <c r="C269" s="1980"/>
      <c r="D269" s="1981">
        <f>'8.项目规划指标表'!$B$13</f>
        <v>0</v>
      </c>
      <c r="E269" s="311">
        <f>IF($E$4&amp;"年"&amp;E$5&lt;&gt;'9.项目开发计划表'!$AG$39,1,$E$4&amp;"年"&amp;E$5)</f>
        <v>1</v>
      </c>
      <c r="F269" s="312">
        <f>IF($E$4&amp;"年"&amp;F$5&lt;&gt;'9.项目开发计划表'!$AG$39,1,$E$4&amp;"年"&amp;F$5)</f>
        <v>1</v>
      </c>
      <c r="G269" s="312">
        <f>IF($E$4&amp;"年"&amp;G$5&lt;&gt;'9.项目开发计划表'!$AG$39,1,$E$4&amp;"年"&amp;G$5)</f>
        <v>1</v>
      </c>
      <c r="H269" s="313">
        <f>IF($E$4&amp;"年"&amp;H$5&lt;&gt;'9.项目开发计划表'!$AG$39,1,$E$4&amp;"年"&amp;H$5)</f>
        <v>1</v>
      </c>
      <c r="I269" s="322">
        <f>IF((E$4+1)&amp;"年"&amp;I$5&lt;&gt;'9.项目开发计划表'!$AG$39,1,(E$4+1)&amp;"年"&amp;I$5)</f>
        <v>1</v>
      </c>
      <c r="J269" s="312">
        <f>IF((E$4+1)&amp;"年"&amp;J$5&lt;&gt;'9.项目开发计划表'!$AG$39,1,(E$4+1)&amp;"年"&amp;J$5)</f>
        <v>1</v>
      </c>
      <c r="K269" s="312">
        <f>IF((E$4+1)&amp;"年"&amp;K$5&lt;&gt;'9.项目开发计划表'!$AG$39,1,(E$4+1)&amp;"年"&amp;K$5)</f>
        <v>1</v>
      </c>
      <c r="L269" s="313">
        <f>IF((E$4+1)&amp;"年"&amp;L$5&lt;&gt;'9.项目开发计划表'!$AG$39,1,(E$4+1)&amp;"年"&amp;L$5)</f>
        <v>1</v>
      </c>
      <c r="M269" s="311">
        <f>IF((I$4+1)&amp;"年"&amp;M$5&lt;&gt;'9.项目开发计划表'!$AG$39,1,(I$4+1)&amp;"年"&amp;M$5)</f>
        <v>1</v>
      </c>
      <c r="N269" s="312">
        <f>IF((I$4+1)&amp;"年"&amp;N$5&lt;&gt;'9.项目开发计划表'!$AG$39,1,(I$4+1)&amp;"年"&amp;N$5)</f>
        <v>1</v>
      </c>
      <c r="O269" s="312">
        <f>IF((I$4+1)&amp;"年"&amp;O$5&lt;&gt;'9.项目开发计划表'!$AG$39,1,(I$4+1)&amp;"年"&amp;O$5)</f>
        <v>1</v>
      </c>
      <c r="P269" s="313">
        <f>IF((I$4+1)&amp;"年"&amp;P$5&lt;&gt;'9.项目开发计划表'!$AG$39,1,(I$4+1)&amp;"年"&amp;P$5)</f>
        <v>1</v>
      </c>
      <c r="Q269" s="311">
        <f>IF((M$4+1)&amp;"年"&amp;Q$5&lt;&gt;'9.项目开发计划表'!$AG$39,1,(M$4+1)&amp;"年"&amp;Q$5)</f>
        <v>1</v>
      </c>
      <c r="R269" s="312">
        <f>IF((M$4+1)&amp;"年"&amp;R$5&lt;&gt;'9.项目开发计划表'!$AG$39,1,(M$4+1)&amp;"年"&amp;R$5)</f>
        <v>1</v>
      </c>
      <c r="S269" s="312">
        <f>IF((M$4+1)&amp;"年"&amp;S$5&lt;&gt;'9.项目开发计划表'!$AG$39,1,(M$4+1)&amp;"年"&amp;S$5)</f>
        <v>1</v>
      </c>
      <c r="T269" s="313">
        <f>IF((M$4+1)&amp;"年"&amp;T$5&lt;&gt;'9.项目开发计划表'!$AG$39,1,(M$4+1)&amp;"年"&amp;T$5)</f>
        <v>1</v>
      </c>
      <c r="U269" s="311">
        <f>IF((Q$4+1)&amp;"年"&amp;U$5&lt;&gt;'9.项目开发计划表'!$AG$39,1,(Q$4+1)&amp;"年"&amp;U$5)</f>
        <v>1</v>
      </c>
      <c r="V269" s="312">
        <f>IF((Q$4+1)&amp;"年"&amp;V$5&lt;&gt;'9.项目开发计划表'!$AG$39,1,(Q$4+1)&amp;"年"&amp;V$5)</f>
        <v>1</v>
      </c>
      <c r="W269" s="312">
        <f>IF((Q$4+1)&amp;"年"&amp;W$5&lt;&gt;'9.项目开发计划表'!$AG$39,1,(Q$4+1)&amp;"年"&amp;W$5)</f>
        <v>1</v>
      </c>
      <c r="X269" s="313">
        <f>IF((Q$4+1)&amp;"年"&amp;X$5&lt;&gt;'9.项目开发计划表'!$AG$39,1,(Q$4+1)&amp;"年"&amp;X$5)</f>
        <v>1</v>
      </c>
      <c r="Y269" s="311">
        <f>IF((U$4+1)&amp;"年"&amp;Y$5&lt;&gt;'9.项目开发计划表'!$AG$39,1,(U$4+1)&amp;"年"&amp;Y$5)</f>
        <v>1</v>
      </c>
      <c r="Z269" s="312">
        <f>IF((U$4+1)&amp;"年"&amp;Z$5&lt;&gt;'9.项目开发计划表'!$AG$39,1,(U$4+1)&amp;"年"&amp;Z$5)</f>
        <v>1</v>
      </c>
      <c r="AA269" s="312">
        <f>IF((U$4+1)&amp;"年"&amp;AA$5&lt;&gt;'9.项目开发计划表'!$AG$39,1,(U$4+1)&amp;"年"&amp;AA$5)</f>
        <v>1</v>
      </c>
      <c r="AB269" s="313">
        <f>IF((U$4+1)&amp;"年"&amp;AB$5&lt;&gt;'9.项目开发计划表'!$AG$39,1,(U$4+1)&amp;"年"&amp;AB$5)</f>
        <v>1</v>
      </c>
      <c r="AC269" s="311">
        <f>IF((Y$4+1)&amp;"年"&amp;AC$5&lt;&gt;'9.项目开发计划表'!$AG$39,1,(Y$4+1)&amp;"年"&amp;AC$5)</f>
        <v>1</v>
      </c>
      <c r="AD269" s="312">
        <f>IF((Y$4+1)&amp;"年"&amp;AD$5&lt;&gt;'9.项目开发计划表'!$AG$39,1,(Y$4+1)&amp;"年"&amp;AD$5)</f>
        <v>1</v>
      </c>
      <c r="AE269" s="312">
        <f>IF((Y$4+1)&amp;"年"&amp;AE$5&lt;&gt;'9.项目开发计划表'!$AG$39,1,(Y$4+1)&amp;"年"&amp;AE$5)</f>
        <v>1</v>
      </c>
      <c r="AF269" s="313">
        <f>IF((Y$4+1)&amp;"年"&amp;AF$5&lt;&gt;'9.项目开发计划表'!$AG$39,1,(Y$4+1)&amp;"年"&amp;AF$5)</f>
        <v>1</v>
      </c>
      <c r="AG269" s="311">
        <f>IF((AC$4+1)&amp;"年"&amp;AG$5&lt;&gt;'9.项目开发计划表'!$AG$39,1,(AC$4+1)&amp;"年"&amp;AG$5)</f>
        <v>1</v>
      </c>
      <c r="AH269" s="312">
        <f>IF((AC$4+1)&amp;"年"&amp;AH$5&lt;&gt;'9.项目开发计划表'!$AG$39,1,(AC$4+1)&amp;"年"&amp;AH$5)</f>
        <v>1</v>
      </c>
      <c r="AI269" s="312">
        <f>IF((AC$4+1)&amp;"年"&amp;AI$5&lt;&gt;'9.项目开发计划表'!$AG$39,1,(AC$4+1)&amp;"年"&amp;AI$5)</f>
        <v>1</v>
      </c>
      <c r="AJ269" s="313">
        <f>IF((AC$4+1)&amp;"年"&amp;AJ$5&lt;&gt;'9.项目开发计划表'!$AG$39,1,(AC$4+1)&amp;"年"&amp;AJ$5)</f>
        <v>1</v>
      </c>
      <c r="AK269" s="311">
        <f>IF((AG$4+1)&amp;"年"&amp;AK$5&lt;&gt;'9.项目开发计划表'!$AG$39,1,(AG$4+1)&amp;"年"&amp;AK$5)</f>
        <v>1</v>
      </c>
      <c r="AL269" s="312">
        <f>IF((AG$4+1)&amp;"年"&amp;AL$5&lt;&gt;'9.项目开发计划表'!$AG$39,1,(AG$4+1)&amp;"年"&amp;AL$5)</f>
        <v>1</v>
      </c>
      <c r="AM269" s="312">
        <f>IF((AG$4+1)&amp;"年"&amp;AM$5&lt;&gt;'9.项目开发计划表'!$AG$39,1,(AG$4+1)&amp;"年"&amp;AM$5)</f>
        <v>1</v>
      </c>
      <c r="AN269" s="313">
        <f>IF((AG$4+1)&amp;"年"&amp;AN$5&lt;&gt;'9.项目开发计划表'!$AG$39,1,(AG$4+1)&amp;"年"&amp;AN$5)</f>
        <v>1</v>
      </c>
      <c r="AO269" s="311">
        <f>IF((AK$4+1)&amp;"年"&amp;AO$5&lt;&gt;'9.项目开发计划表'!$AG$39,1,(AK$4+1)&amp;"年"&amp;AO$5)</f>
        <v>1</v>
      </c>
      <c r="AP269" s="312">
        <f>IF((AK$4+1)&amp;"年"&amp;AP$5&lt;&gt;'9.项目开发计划表'!$AG$39,1,(AK$4+1)&amp;"年"&amp;AP$5)</f>
        <v>1</v>
      </c>
      <c r="AQ269" s="312">
        <f>IF((AK$4+1)&amp;"年"&amp;AQ$5&lt;&gt;'9.项目开发计划表'!$AG$39,1,(AK$4+1)&amp;"年"&amp;AQ$5)</f>
        <v>1</v>
      </c>
      <c r="AR269" s="313">
        <f>IF((AK$4+1)&amp;"年"&amp;AR$5&lt;&gt;'9.项目开发计划表'!$AG$39,1,(AK$4+1)&amp;"年"&amp;AR$5)</f>
        <v>1</v>
      </c>
      <c r="AS269" s="311">
        <f>IF((AO$4+1)&amp;"年"&amp;AS$5&lt;&gt;'9.项目开发计划表'!$AG$39,1,(AO$4+1)&amp;"年"&amp;AS$5)</f>
        <v>1</v>
      </c>
      <c r="AT269" s="312">
        <f>IF((AO$4+1)&amp;"年"&amp;AT$5&lt;&gt;'9.项目开发计划表'!$AG$39,1,(AO$4+1)&amp;"年"&amp;AT$5)</f>
        <v>1</v>
      </c>
      <c r="AU269" s="312">
        <f>IF((AO$4+1)&amp;"年"&amp;AU$5&lt;&gt;'9.项目开发计划表'!$AG$39,1,(AO$4+1)&amp;"年"&amp;AU$5)</f>
        <v>1</v>
      </c>
      <c r="AV269" s="313">
        <f>IF((AO$4+1)&amp;"年"&amp;AV$5&lt;&gt;'9.项目开发计划表'!$AG$39,1,(AO$4+1)&amp;"年"&amp;AV$5)</f>
        <v>1</v>
      </c>
    </row>
    <row r="270" spans="2:48" outlineLevel="1">
      <c r="C270" s="1980"/>
      <c r="D270" s="1982"/>
      <c r="E270" s="280">
        <f t="shared" si="77"/>
        <v>0</v>
      </c>
      <c r="F270" s="281">
        <f t="shared" ref="F270:L270" si="82">IF(F269=1,0,1)</f>
        <v>0</v>
      </c>
      <c r="G270" s="281">
        <f t="shared" si="82"/>
        <v>0</v>
      </c>
      <c r="H270" s="282">
        <f t="shared" si="82"/>
        <v>0</v>
      </c>
      <c r="I270" s="323">
        <f t="shared" si="82"/>
        <v>0</v>
      </c>
      <c r="J270" s="281">
        <f t="shared" si="82"/>
        <v>0</v>
      </c>
      <c r="K270" s="281">
        <f t="shared" si="82"/>
        <v>0</v>
      </c>
      <c r="L270" s="282">
        <f t="shared" si="82"/>
        <v>0</v>
      </c>
      <c r="M270" s="280">
        <f t="shared" ref="M270:AV270" si="83">IF(M269=1,0,1)</f>
        <v>0</v>
      </c>
      <c r="N270" s="281">
        <f t="shared" si="83"/>
        <v>0</v>
      </c>
      <c r="O270" s="281">
        <f t="shared" si="83"/>
        <v>0</v>
      </c>
      <c r="P270" s="282">
        <f t="shared" si="83"/>
        <v>0</v>
      </c>
      <c r="Q270" s="280">
        <f t="shared" si="83"/>
        <v>0</v>
      </c>
      <c r="R270" s="281">
        <f t="shared" si="83"/>
        <v>0</v>
      </c>
      <c r="S270" s="281">
        <f t="shared" si="83"/>
        <v>0</v>
      </c>
      <c r="T270" s="282">
        <f t="shared" si="83"/>
        <v>0</v>
      </c>
      <c r="U270" s="280">
        <f t="shared" si="83"/>
        <v>0</v>
      </c>
      <c r="V270" s="281">
        <f t="shared" si="83"/>
        <v>0</v>
      </c>
      <c r="W270" s="281">
        <f t="shared" si="83"/>
        <v>0</v>
      </c>
      <c r="X270" s="282">
        <f t="shared" si="83"/>
        <v>0</v>
      </c>
      <c r="Y270" s="280">
        <f t="shared" si="83"/>
        <v>0</v>
      </c>
      <c r="Z270" s="281">
        <f t="shared" si="83"/>
        <v>0</v>
      </c>
      <c r="AA270" s="281">
        <f t="shared" si="83"/>
        <v>0</v>
      </c>
      <c r="AB270" s="282">
        <f t="shared" si="83"/>
        <v>0</v>
      </c>
      <c r="AC270" s="280">
        <f t="shared" si="83"/>
        <v>0</v>
      </c>
      <c r="AD270" s="281">
        <f t="shared" si="83"/>
        <v>0</v>
      </c>
      <c r="AE270" s="281">
        <f t="shared" si="83"/>
        <v>0</v>
      </c>
      <c r="AF270" s="282">
        <f t="shared" si="83"/>
        <v>0</v>
      </c>
      <c r="AG270" s="280">
        <f t="shared" si="83"/>
        <v>0</v>
      </c>
      <c r="AH270" s="281">
        <f t="shared" si="83"/>
        <v>0</v>
      </c>
      <c r="AI270" s="281">
        <f t="shared" si="83"/>
        <v>0</v>
      </c>
      <c r="AJ270" s="282">
        <f t="shared" si="83"/>
        <v>0</v>
      </c>
      <c r="AK270" s="280">
        <f t="shared" si="83"/>
        <v>0</v>
      </c>
      <c r="AL270" s="281">
        <f t="shared" si="83"/>
        <v>0</v>
      </c>
      <c r="AM270" s="281">
        <f t="shared" si="83"/>
        <v>0</v>
      </c>
      <c r="AN270" s="282">
        <f t="shared" si="83"/>
        <v>0</v>
      </c>
      <c r="AO270" s="280">
        <f t="shared" si="83"/>
        <v>0</v>
      </c>
      <c r="AP270" s="281">
        <f t="shared" si="83"/>
        <v>0</v>
      </c>
      <c r="AQ270" s="281">
        <f t="shared" si="83"/>
        <v>0</v>
      </c>
      <c r="AR270" s="282">
        <f t="shared" si="83"/>
        <v>0</v>
      </c>
      <c r="AS270" s="280">
        <f t="shared" si="83"/>
        <v>0</v>
      </c>
      <c r="AT270" s="281">
        <f t="shared" si="83"/>
        <v>0</v>
      </c>
      <c r="AU270" s="281">
        <f t="shared" si="83"/>
        <v>0</v>
      </c>
      <c r="AV270" s="282">
        <f t="shared" si="83"/>
        <v>0</v>
      </c>
    </row>
    <row r="271" spans="2:48" outlineLevel="1">
      <c r="C271" s="1980"/>
      <c r="D271" s="1981" t="str">
        <f>'8.项目规划指标表'!$B$14</f>
        <v>自持物业</v>
      </c>
      <c r="E271" s="311">
        <f>IF($E$4&amp;"年"&amp;E$5&lt;&gt;'9.项目开发计划表'!$AG$40,1,$E$4&amp;"年"&amp;E$5)</f>
        <v>1</v>
      </c>
      <c r="F271" s="312">
        <f>IF($E$4&amp;"年"&amp;F$5&lt;&gt;'9.项目开发计划表'!$AG$40,1,$E$4&amp;"年"&amp;F$5)</f>
        <v>1</v>
      </c>
      <c r="G271" s="312">
        <f>IF($E$4&amp;"年"&amp;G$5&lt;&gt;'9.项目开发计划表'!$AG$40,1,$E$4&amp;"年"&amp;G$5)</f>
        <v>1</v>
      </c>
      <c r="H271" s="313">
        <f>IF($E$4&amp;"年"&amp;H$5&lt;&gt;'9.项目开发计划表'!$AG$40,1,$E$4&amp;"年"&amp;H$5)</f>
        <v>1</v>
      </c>
      <c r="I271" s="322">
        <f>IF((E$4+1)&amp;"年"&amp;I$5&lt;&gt;'9.项目开发计划表'!$AG$40,1,(E$4+1)&amp;"年"&amp;I$5)</f>
        <v>1</v>
      </c>
      <c r="J271" s="312">
        <f>IF((E$4+1)&amp;"年"&amp;J$5&lt;&gt;'9.项目开发计划表'!$AG$40,1,(E$4+1)&amp;"年"&amp;J$5)</f>
        <v>1</v>
      </c>
      <c r="K271" s="312">
        <f>IF((E$4+1)&amp;"年"&amp;K$5&lt;&gt;'9.项目开发计划表'!$AG$40,1,(E$4+1)&amp;"年"&amp;K$5)</f>
        <v>1</v>
      </c>
      <c r="L271" s="313">
        <f>IF((E$4+1)&amp;"年"&amp;L$5&lt;&gt;'9.项目开发计划表'!$AG$40,1,(E$4+1)&amp;"年"&amp;L$5)</f>
        <v>1</v>
      </c>
      <c r="M271" s="311">
        <f>IF((I$4+1)&amp;"年"&amp;M$5&lt;&gt;'9.项目开发计划表'!$AG$40,1,(I$4+1)&amp;"年"&amp;M$5)</f>
        <v>1</v>
      </c>
      <c r="N271" s="312">
        <f>IF((I$4+1)&amp;"年"&amp;N$5&lt;&gt;'9.项目开发计划表'!$AG$40,1,(I$4+1)&amp;"年"&amp;N$5)</f>
        <v>1</v>
      </c>
      <c r="O271" s="312">
        <f>IF((I$4+1)&amp;"年"&amp;O$5&lt;&gt;'9.项目开发计划表'!$AG$40,1,(I$4+1)&amp;"年"&amp;O$5)</f>
        <v>1</v>
      </c>
      <c r="P271" s="313">
        <f>IF((I$4+1)&amp;"年"&amp;P$5&lt;&gt;'9.项目开发计划表'!$AG$40,1,(I$4+1)&amp;"年"&amp;P$5)</f>
        <v>1</v>
      </c>
      <c r="Q271" s="311">
        <f>IF((M$4+1)&amp;"年"&amp;Q$5&lt;&gt;'9.项目开发计划表'!$AG$40,1,(M$4+1)&amp;"年"&amp;Q$5)</f>
        <v>1</v>
      </c>
      <c r="R271" s="312">
        <f>IF((M$4+1)&amp;"年"&amp;R$5&lt;&gt;'9.项目开发计划表'!$AG$40,1,(M$4+1)&amp;"年"&amp;R$5)</f>
        <v>1</v>
      </c>
      <c r="S271" s="312">
        <f>IF((M$4+1)&amp;"年"&amp;S$5&lt;&gt;'9.项目开发计划表'!$AG$40,1,(M$4+1)&amp;"年"&amp;S$5)</f>
        <v>1</v>
      </c>
      <c r="T271" s="313">
        <f>IF((M$4+1)&amp;"年"&amp;T$5&lt;&gt;'9.项目开发计划表'!$AG$40,1,(M$4+1)&amp;"年"&amp;T$5)</f>
        <v>1</v>
      </c>
      <c r="U271" s="311">
        <f>IF((Q$4+1)&amp;"年"&amp;U$5&lt;&gt;'9.项目开发计划表'!$AG$40,1,(Q$4+1)&amp;"年"&amp;U$5)</f>
        <v>1</v>
      </c>
      <c r="V271" s="312">
        <f>IF((Q$4+1)&amp;"年"&amp;V$5&lt;&gt;'9.项目开发计划表'!$AG$40,1,(Q$4+1)&amp;"年"&amp;V$5)</f>
        <v>1</v>
      </c>
      <c r="W271" s="312">
        <f>IF((Q$4+1)&amp;"年"&amp;W$5&lt;&gt;'9.项目开发计划表'!$AG$40,1,(Q$4+1)&amp;"年"&amp;W$5)</f>
        <v>1</v>
      </c>
      <c r="X271" s="313">
        <f>IF((Q$4+1)&amp;"年"&amp;X$5&lt;&gt;'9.项目开发计划表'!$AG$40,1,(Q$4+1)&amp;"年"&amp;X$5)</f>
        <v>1</v>
      </c>
      <c r="Y271" s="311">
        <f>IF((U$4+1)&amp;"年"&amp;Y$5&lt;&gt;'9.项目开发计划表'!$AG$40,1,(U$4+1)&amp;"年"&amp;Y$5)</f>
        <v>1</v>
      </c>
      <c r="Z271" s="312">
        <f>IF((U$4+1)&amp;"年"&amp;Z$5&lt;&gt;'9.项目开发计划表'!$AG$40,1,(U$4+1)&amp;"年"&amp;Z$5)</f>
        <v>1</v>
      </c>
      <c r="AA271" s="312">
        <f>IF((U$4+1)&amp;"年"&amp;AA$5&lt;&gt;'9.项目开发计划表'!$AG$40,1,(U$4+1)&amp;"年"&amp;AA$5)</f>
        <v>1</v>
      </c>
      <c r="AB271" s="313">
        <f>IF((U$4+1)&amp;"年"&amp;AB$5&lt;&gt;'9.项目开发计划表'!$AG$40,1,(U$4+1)&amp;"年"&amp;AB$5)</f>
        <v>1</v>
      </c>
      <c r="AC271" s="311">
        <f>IF((Y$4+1)&amp;"年"&amp;AC$5&lt;&gt;'9.项目开发计划表'!$AG$40,1,(Y$4+1)&amp;"年"&amp;AC$5)</f>
        <v>1</v>
      </c>
      <c r="AD271" s="312">
        <f>IF((Y$4+1)&amp;"年"&amp;AD$5&lt;&gt;'9.项目开发计划表'!$AG$40,1,(Y$4+1)&amp;"年"&amp;AD$5)</f>
        <v>1</v>
      </c>
      <c r="AE271" s="312">
        <f>IF((Y$4+1)&amp;"年"&amp;AE$5&lt;&gt;'9.项目开发计划表'!$AG$40,1,(Y$4+1)&amp;"年"&amp;AE$5)</f>
        <v>1</v>
      </c>
      <c r="AF271" s="313">
        <f>IF((Y$4+1)&amp;"年"&amp;AF$5&lt;&gt;'9.项目开发计划表'!$AG$40,1,(Y$4+1)&amp;"年"&amp;AF$5)</f>
        <v>1</v>
      </c>
      <c r="AG271" s="311">
        <f>IF((AC$4+1)&amp;"年"&amp;AG$5&lt;&gt;'9.项目开发计划表'!$AG$40,1,(AC$4+1)&amp;"年"&amp;AG$5)</f>
        <v>1</v>
      </c>
      <c r="AH271" s="312">
        <f>IF((AC$4+1)&amp;"年"&amp;AH$5&lt;&gt;'9.项目开发计划表'!$AG$40,1,(AC$4+1)&amp;"年"&amp;AH$5)</f>
        <v>1</v>
      </c>
      <c r="AI271" s="312">
        <f>IF((AC$4+1)&amp;"年"&amp;AI$5&lt;&gt;'9.项目开发计划表'!$AG$40,1,(AC$4+1)&amp;"年"&amp;AI$5)</f>
        <v>1</v>
      </c>
      <c r="AJ271" s="313">
        <f>IF((AC$4+1)&amp;"年"&amp;AJ$5&lt;&gt;'9.项目开发计划表'!$AG$40,1,(AC$4+1)&amp;"年"&amp;AJ$5)</f>
        <v>1</v>
      </c>
      <c r="AK271" s="311">
        <f>IF((AG$4+1)&amp;"年"&amp;AK$5&lt;&gt;'9.项目开发计划表'!$AG$40,1,(AG$4+1)&amp;"年"&amp;AK$5)</f>
        <v>1</v>
      </c>
      <c r="AL271" s="312">
        <f>IF((AG$4+1)&amp;"年"&amp;AL$5&lt;&gt;'9.项目开发计划表'!$AG$40,1,(AG$4+1)&amp;"年"&amp;AL$5)</f>
        <v>1</v>
      </c>
      <c r="AM271" s="312">
        <f>IF((AG$4+1)&amp;"年"&amp;AM$5&lt;&gt;'9.项目开发计划表'!$AG$40,1,(AG$4+1)&amp;"年"&amp;AM$5)</f>
        <v>1</v>
      </c>
      <c r="AN271" s="313">
        <f>IF((AG$4+1)&amp;"年"&amp;AN$5&lt;&gt;'9.项目开发计划表'!$AG$40,1,(AG$4+1)&amp;"年"&amp;AN$5)</f>
        <v>1</v>
      </c>
      <c r="AO271" s="311">
        <f>IF((AK$4+1)&amp;"年"&amp;AO$5&lt;&gt;'9.项目开发计划表'!$AG$40,1,(AK$4+1)&amp;"年"&amp;AO$5)</f>
        <v>1</v>
      </c>
      <c r="AP271" s="312">
        <f>IF((AK$4+1)&amp;"年"&amp;AP$5&lt;&gt;'9.项目开发计划表'!$AG$40,1,(AK$4+1)&amp;"年"&amp;AP$5)</f>
        <v>1</v>
      </c>
      <c r="AQ271" s="312">
        <f>IF((AK$4+1)&amp;"年"&amp;AQ$5&lt;&gt;'9.项目开发计划表'!$AG$40,1,(AK$4+1)&amp;"年"&amp;AQ$5)</f>
        <v>1</v>
      </c>
      <c r="AR271" s="313">
        <f>IF((AK$4+1)&amp;"年"&amp;AR$5&lt;&gt;'9.项目开发计划表'!$AG$40,1,(AK$4+1)&amp;"年"&amp;AR$5)</f>
        <v>1</v>
      </c>
      <c r="AS271" s="311">
        <f>IF((AO$4+1)&amp;"年"&amp;AS$5&lt;&gt;'9.项目开发计划表'!$AG$40,1,(AO$4+1)&amp;"年"&amp;AS$5)</f>
        <v>1</v>
      </c>
      <c r="AT271" s="312">
        <f>IF((AO$4+1)&amp;"年"&amp;AT$5&lt;&gt;'9.项目开发计划表'!$AG$40,1,(AO$4+1)&amp;"年"&amp;AT$5)</f>
        <v>1</v>
      </c>
      <c r="AU271" s="312">
        <f>IF((AO$4+1)&amp;"年"&amp;AU$5&lt;&gt;'9.项目开发计划表'!$AG$40,1,(AO$4+1)&amp;"年"&amp;AU$5)</f>
        <v>1</v>
      </c>
      <c r="AV271" s="313">
        <f>IF((AO$4+1)&amp;"年"&amp;AV$5&lt;&gt;'9.项目开发计划表'!$AG$40,1,(AO$4+1)&amp;"年"&amp;AV$5)</f>
        <v>1</v>
      </c>
    </row>
    <row r="272" spans="2:48" outlineLevel="1">
      <c r="C272" s="1980"/>
      <c r="D272" s="1982"/>
      <c r="E272" s="280">
        <f t="shared" ref="E272:E276" si="84">IF(E271=1,0,1)</f>
        <v>0</v>
      </c>
      <c r="F272" s="281">
        <f t="shared" ref="F272:L272" si="85">IF(F271=1,0,1)</f>
        <v>0</v>
      </c>
      <c r="G272" s="281">
        <f t="shared" si="85"/>
        <v>0</v>
      </c>
      <c r="H272" s="282">
        <f t="shared" si="85"/>
        <v>0</v>
      </c>
      <c r="I272" s="323">
        <f t="shared" si="85"/>
        <v>0</v>
      </c>
      <c r="J272" s="281">
        <f t="shared" si="85"/>
        <v>0</v>
      </c>
      <c r="K272" s="281">
        <f t="shared" si="85"/>
        <v>0</v>
      </c>
      <c r="L272" s="282">
        <f t="shared" si="85"/>
        <v>0</v>
      </c>
      <c r="M272" s="280">
        <f t="shared" ref="M272:AV272" si="86">IF(M271=1,0,1)</f>
        <v>0</v>
      </c>
      <c r="N272" s="281">
        <f t="shared" si="86"/>
        <v>0</v>
      </c>
      <c r="O272" s="281">
        <f t="shared" si="86"/>
        <v>0</v>
      </c>
      <c r="P272" s="282">
        <f t="shared" si="86"/>
        <v>0</v>
      </c>
      <c r="Q272" s="280">
        <f t="shared" si="86"/>
        <v>0</v>
      </c>
      <c r="R272" s="281">
        <f t="shared" si="86"/>
        <v>0</v>
      </c>
      <c r="S272" s="281">
        <f t="shared" si="86"/>
        <v>0</v>
      </c>
      <c r="T272" s="282">
        <f t="shared" si="86"/>
        <v>0</v>
      </c>
      <c r="U272" s="280">
        <f t="shared" si="86"/>
        <v>0</v>
      </c>
      <c r="V272" s="281">
        <f t="shared" si="86"/>
        <v>0</v>
      </c>
      <c r="W272" s="281">
        <f t="shared" si="86"/>
        <v>0</v>
      </c>
      <c r="X272" s="282">
        <f t="shared" si="86"/>
        <v>0</v>
      </c>
      <c r="Y272" s="280">
        <f t="shared" si="86"/>
        <v>0</v>
      </c>
      <c r="Z272" s="281">
        <f t="shared" si="86"/>
        <v>0</v>
      </c>
      <c r="AA272" s="281">
        <f t="shared" si="86"/>
        <v>0</v>
      </c>
      <c r="AB272" s="282">
        <f t="shared" si="86"/>
        <v>0</v>
      </c>
      <c r="AC272" s="280">
        <f t="shared" si="86"/>
        <v>0</v>
      </c>
      <c r="AD272" s="281">
        <f t="shared" si="86"/>
        <v>0</v>
      </c>
      <c r="AE272" s="281">
        <f t="shared" si="86"/>
        <v>0</v>
      </c>
      <c r="AF272" s="282">
        <f t="shared" si="86"/>
        <v>0</v>
      </c>
      <c r="AG272" s="280">
        <f t="shared" si="86"/>
        <v>0</v>
      </c>
      <c r="AH272" s="281">
        <f t="shared" si="86"/>
        <v>0</v>
      </c>
      <c r="AI272" s="281">
        <f t="shared" si="86"/>
        <v>0</v>
      </c>
      <c r="AJ272" s="282">
        <f t="shared" si="86"/>
        <v>0</v>
      </c>
      <c r="AK272" s="280">
        <f t="shared" si="86"/>
        <v>0</v>
      </c>
      <c r="AL272" s="281">
        <f t="shared" si="86"/>
        <v>0</v>
      </c>
      <c r="AM272" s="281">
        <f t="shared" si="86"/>
        <v>0</v>
      </c>
      <c r="AN272" s="282">
        <f t="shared" si="86"/>
        <v>0</v>
      </c>
      <c r="AO272" s="280">
        <f t="shared" si="86"/>
        <v>0</v>
      </c>
      <c r="AP272" s="281">
        <f t="shared" si="86"/>
        <v>0</v>
      </c>
      <c r="AQ272" s="281">
        <f t="shared" si="86"/>
        <v>0</v>
      </c>
      <c r="AR272" s="282">
        <f t="shared" si="86"/>
        <v>0</v>
      </c>
      <c r="AS272" s="280">
        <f t="shared" si="86"/>
        <v>0</v>
      </c>
      <c r="AT272" s="281">
        <f t="shared" si="86"/>
        <v>0</v>
      </c>
      <c r="AU272" s="281">
        <f t="shared" si="86"/>
        <v>0</v>
      </c>
      <c r="AV272" s="282">
        <f t="shared" si="86"/>
        <v>0</v>
      </c>
    </row>
    <row r="273" spans="2:48" outlineLevel="1">
      <c r="C273" s="1980"/>
      <c r="D273" s="1981" t="str">
        <f>'8.项目规划指标表'!$B$18</f>
        <v>有产权车库(个)</v>
      </c>
      <c r="E273" s="311">
        <f>IF($E$4&amp;"年"&amp;E$5&lt;&gt;'9.项目开发计划表'!$AG$41,1,$E$4&amp;"年"&amp;E$5)</f>
        <v>1</v>
      </c>
      <c r="F273" s="312">
        <f>IF($E$4&amp;"年"&amp;F$5&lt;&gt;'9.项目开发计划表'!$AG$41,1,$E$4&amp;"年"&amp;F$5)</f>
        <v>1</v>
      </c>
      <c r="G273" s="312">
        <f>IF($E$4&amp;"年"&amp;G$5&lt;&gt;'9.项目开发计划表'!$AG$41,1,$E$4&amp;"年"&amp;G$5)</f>
        <v>1</v>
      </c>
      <c r="H273" s="313">
        <f>IF($E$4&amp;"年"&amp;H$5&lt;&gt;'9.项目开发计划表'!$AG$41,1,$E$4&amp;"年"&amp;H$5)</f>
        <v>1</v>
      </c>
      <c r="I273" s="322">
        <f>IF((E$4+1)&amp;"年"&amp;I$5&lt;&gt;'9.项目开发计划表'!$AG$41,1,(E$4+1)&amp;"年"&amp;I$5)</f>
        <v>1</v>
      </c>
      <c r="J273" s="312">
        <f>IF((E$4+1)&amp;"年"&amp;J$5&lt;&gt;'9.项目开发计划表'!$AG$41,1,(E$4+1)&amp;"年"&amp;J$5)</f>
        <v>1</v>
      </c>
      <c r="K273" s="312">
        <f>IF((E$4+1)&amp;"年"&amp;K$5&lt;&gt;'9.项目开发计划表'!$AG$41,1,(E$4+1)&amp;"年"&amp;K$5)</f>
        <v>1</v>
      </c>
      <c r="L273" s="313">
        <f>IF((E$4+1)&amp;"年"&amp;L$5&lt;&gt;'9.项目开发计划表'!$AG$41,1,(E$4+1)&amp;"年"&amp;L$5)</f>
        <v>1</v>
      </c>
      <c r="M273" s="311">
        <f>IF((I$4+1)&amp;"年"&amp;M$5&lt;&gt;'9.项目开发计划表'!$AG$41,1,(I$4+1)&amp;"年"&amp;M$5)</f>
        <v>1</v>
      </c>
      <c r="N273" s="312">
        <f>IF((I$4+1)&amp;"年"&amp;N$5&lt;&gt;'9.项目开发计划表'!$AG$41,1,(I$4+1)&amp;"年"&amp;N$5)</f>
        <v>1</v>
      </c>
      <c r="O273" s="312">
        <f>IF((I$4+1)&amp;"年"&amp;O$5&lt;&gt;'9.项目开发计划表'!$AG$41,1,(I$4+1)&amp;"年"&amp;O$5)</f>
        <v>1</v>
      </c>
      <c r="P273" s="313">
        <f>IF((I$4+1)&amp;"年"&amp;P$5&lt;&gt;'9.项目开发计划表'!$AG$41,1,(I$4+1)&amp;"年"&amp;P$5)</f>
        <v>1</v>
      </c>
      <c r="Q273" s="311">
        <f>IF((M$4+1)&amp;"年"&amp;Q$5&lt;&gt;'9.项目开发计划表'!$AG$41,1,(M$4+1)&amp;"年"&amp;Q$5)</f>
        <v>1</v>
      </c>
      <c r="R273" s="312">
        <f>IF((M$4+1)&amp;"年"&amp;R$5&lt;&gt;'9.项目开发计划表'!$AG$41,1,(M$4+1)&amp;"年"&amp;R$5)</f>
        <v>1</v>
      </c>
      <c r="S273" s="312">
        <f>IF((M$4+1)&amp;"年"&amp;S$5&lt;&gt;'9.项目开发计划表'!$AG$41,1,(M$4+1)&amp;"年"&amp;S$5)</f>
        <v>1</v>
      </c>
      <c r="T273" s="313">
        <f>IF((M$4+1)&amp;"年"&amp;T$5&lt;&gt;'9.项目开发计划表'!$AG$41,1,(M$4+1)&amp;"年"&amp;T$5)</f>
        <v>1</v>
      </c>
      <c r="U273" s="311">
        <f>IF((Q$4+1)&amp;"年"&amp;U$5&lt;&gt;'9.项目开发计划表'!$AG$41,1,(Q$4+1)&amp;"年"&amp;U$5)</f>
        <v>1</v>
      </c>
      <c r="V273" s="312">
        <f>IF((Q$4+1)&amp;"年"&amp;V$5&lt;&gt;'9.项目开发计划表'!$AG$41,1,(Q$4+1)&amp;"年"&amp;V$5)</f>
        <v>1</v>
      </c>
      <c r="W273" s="312">
        <f>IF((Q$4+1)&amp;"年"&amp;W$5&lt;&gt;'9.项目开发计划表'!$AG$41,1,(Q$4+1)&amp;"年"&amp;W$5)</f>
        <v>1</v>
      </c>
      <c r="X273" s="313">
        <f>IF((Q$4+1)&amp;"年"&amp;X$5&lt;&gt;'9.项目开发计划表'!$AG$41,1,(Q$4+1)&amp;"年"&amp;X$5)</f>
        <v>1</v>
      </c>
      <c r="Y273" s="311">
        <f>IF((U$4+1)&amp;"年"&amp;Y$5&lt;&gt;'9.项目开发计划表'!$AG$41,1,(U$4+1)&amp;"年"&amp;Y$5)</f>
        <v>1</v>
      </c>
      <c r="Z273" s="312">
        <f>IF((U$4+1)&amp;"年"&amp;Z$5&lt;&gt;'9.项目开发计划表'!$AG$41,1,(U$4+1)&amp;"年"&amp;Z$5)</f>
        <v>1</v>
      </c>
      <c r="AA273" s="312">
        <f>IF((U$4+1)&amp;"年"&amp;AA$5&lt;&gt;'9.项目开发计划表'!$AG$41,1,(U$4+1)&amp;"年"&amp;AA$5)</f>
        <v>1</v>
      </c>
      <c r="AB273" s="313">
        <f>IF((U$4+1)&amp;"年"&amp;AB$5&lt;&gt;'9.项目开发计划表'!$AG$41,1,(U$4+1)&amp;"年"&amp;AB$5)</f>
        <v>1</v>
      </c>
      <c r="AC273" s="311">
        <f>IF((Y$4+1)&amp;"年"&amp;AC$5&lt;&gt;'9.项目开发计划表'!$AG$41,1,(Y$4+1)&amp;"年"&amp;AC$5)</f>
        <v>1</v>
      </c>
      <c r="AD273" s="312">
        <f>IF((Y$4+1)&amp;"年"&amp;AD$5&lt;&gt;'9.项目开发计划表'!$AG$41,1,(Y$4+1)&amp;"年"&amp;AD$5)</f>
        <v>1</v>
      </c>
      <c r="AE273" s="312">
        <f>IF((Y$4+1)&amp;"年"&amp;AE$5&lt;&gt;'9.项目开发计划表'!$AG$41,1,(Y$4+1)&amp;"年"&amp;AE$5)</f>
        <v>1</v>
      </c>
      <c r="AF273" s="313">
        <f>IF((Y$4+1)&amp;"年"&amp;AF$5&lt;&gt;'9.项目开发计划表'!$AG$41,1,(Y$4+1)&amp;"年"&amp;AF$5)</f>
        <v>1</v>
      </c>
      <c r="AG273" s="311">
        <f>IF((AC$4+1)&amp;"年"&amp;AG$5&lt;&gt;'9.项目开发计划表'!$AG$41,1,(AC$4+1)&amp;"年"&amp;AG$5)</f>
        <v>1</v>
      </c>
      <c r="AH273" s="312">
        <f>IF((AC$4+1)&amp;"年"&amp;AH$5&lt;&gt;'9.项目开发计划表'!$AG$41,1,(AC$4+1)&amp;"年"&amp;AH$5)</f>
        <v>1</v>
      </c>
      <c r="AI273" s="312">
        <f>IF((AC$4+1)&amp;"年"&amp;AI$5&lt;&gt;'9.项目开发计划表'!$AG$41,1,(AC$4+1)&amp;"年"&amp;AI$5)</f>
        <v>1</v>
      </c>
      <c r="AJ273" s="313">
        <f>IF((AC$4+1)&amp;"年"&amp;AJ$5&lt;&gt;'9.项目开发计划表'!$AG$41,1,(AC$4+1)&amp;"年"&amp;AJ$5)</f>
        <v>1</v>
      </c>
      <c r="AK273" s="311">
        <f>IF((AG$4+1)&amp;"年"&amp;AK$5&lt;&gt;'9.项目开发计划表'!$AG$41,1,(AG$4+1)&amp;"年"&amp;AK$5)</f>
        <v>1</v>
      </c>
      <c r="AL273" s="312">
        <f>IF((AG$4+1)&amp;"年"&amp;AL$5&lt;&gt;'9.项目开发计划表'!$AG$41,1,(AG$4+1)&amp;"年"&amp;AL$5)</f>
        <v>1</v>
      </c>
      <c r="AM273" s="312">
        <f>IF((AG$4+1)&amp;"年"&amp;AM$5&lt;&gt;'9.项目开发计划表'!$AG$41,1,(AG$4+1)&amp;"年"&amp;AM$5)</f>
        <v>1</v>
      </c>
      <c r="AN273" s="313">
        <f>IF((AG$4+1)&amp;"年"&amp;AN$5&lt;&gt;'9.项目开发计划表'!$AG$41,1,(AG$4+1)&amp;"年"&amp;AN$5)</f>
        <v>1</v>
      </c>
      <c r="AO273" s="311">
        <f>IF((AK$4+1)&amp;"年"&amp;AO$5&lt;&gt;'9.项目开发计划表'!$AG$41,1,(AK$4+1)&amp;"年"&amp;AO$5)</f>
        <v>1</v>
      </c>
      <c r="AP273" s="312">
        <f>IF((AK$4+1)&amp;"年"&amp;AP$5&lt;&gt;'9.项目开发计划表'!$AG$41,1,(AK$4+1)&amp;"年"&amp;AP$5)</f>
        <v>1</v>
      </c>
      <c r="AQ273" s="312">
        <f>IF((AK$4+1)&amp;"年"&amp;AQ$5&lt;&gt;'9.项目开发计划表'!$AG$41,1,(AK$4+1)&amp;"年"&amp;AQ$5)</f>
        <v>1</v>
      </c>
      <c r="AR273" s="313">
        <f>IF((AK$4+1)&amp;"年"&amp;AR$5&lt;&gt;'9.项目开发计划表'!$AG$41,1,(AK$4+1)&amp;"年"&amp;AR$5)</f>
        <v>1</v>
      </c>
      <c r="AS273" s="311">
        <f>IF((AO$4+1)&amp;"年"&amp;AS$5&lt;&gt;'9.项目开发计划表'!$AG$41,1,(AO$4+1)&amp;"年"&amp;AS$5)</f>
        <v>1</v>
      </c>
      <c r="AT273" s="312">
        <f>IF((AO$4+1)&amp;"年"&amp;AT$5&lt;&gt;'9.项目开发计划表'!$AG$41,1,(AO$4+1)&amp;"年"&amp;AT$5)</f>
        <v>1</v>
      </c>
      <c r="AU273" s="312">
        <f>IF((AO$4+1)&amp;"年"&amp;AU$5&lt;&gt;'9.项目开发计划表'!$AG$41,1,(AO$4+1)&amp;"年"&amp;AU$5)</f>
        <v>1</v>
      </c>
      <c r="AV273" s="313">
        <f>IF((AO$4+1)&amp;"年"&amp;AV$5&lt;&gt;'9.项目开发计划表'!$AG$41,1,(AO$4+1)&amp;"年"&amp;AV$5)</f>
        <v>1</v>
      </c>
    </row>
    <row r="274" spans="2:48" outlineLevel="1">
      <c r="C274" s="1980"/>
      <c r="D274" s="1982"/>
      <c r="E274" s="280">
        <f t="shared" si="84"/>
        <v>0</v>
      </c>
      <c r="F274" s="281">
        <f t="shared" ref="F274:L274" si="87">IF(F273=1,0,1)</f>
        <v>0</v>
      </c>
      <c r="G274" s="281">
        <f t="shared" si="87"/>
        <v>0</v>
      </c>
      <c r="H274" s="282">
        <f t="shared" si="87"/>
        <v>0</v>
      </c>
      <c r="I274" s="323">
        <f t="shared" si="87"/>
        <v>0</v>
      </c>
      <c r="J274" s="281">
        <f t="shared" si="87"/>
        <v>0</v>
      </c>
      <c r="K274" s="281">
        <f t="shared" si="87"/>
        <v>0</v>
      </c>
      <c r="L274" s="282">
        <f t="shared" si="87"/>
        <v>0</v>
      </c>
      <c r="M274" s="280">
        <f t="shared" ref="M274:AV274" si="88">IF(M273=1,0,1)</f>
        <v>0</v>
      </c>
      <c r="N274" s="281">
        <f t="shared" si="88"/>
        <v>0</v>
      </c>
      <c r="O274" s="281">
        <f t="shared" si="88"/>
        <v>0</v>
      </c>
      <c r="P274" s="282">
        <f t="shared" si="88"/>
        <v>0</v>
      </c>
      <c r="Q274" s="280">
        <f t="shared" si="88"/>
        <v>0</v>
      </c>
      <c r="R274" s="281">
        <f t="shared" si="88"/>
        <v>0</v>
      </c>
      <c r="S274" s="281">
        <f t="shared" si="88"/>
        <v>0</v>
      </c>
      <c r="T274" s="282">
        <f t="shared" si="88"/>
        <v>0</v>
      </c>
      <c r="U274" s="280">
        <f t="shared" si="88"/>
        <v>0</v>
      </c>
      <c r="V274" s="281">
        <f t="shared" si="88"/>
        <v>0</v>
      </c>
      <c r="W274" s="281">
        <f t="shared" si="88"/>
        <v>0</v>
      </c>
      <c r="X274" s="282">
        <f t="shared" si="88"/>
        <v>0</v>
      </c>
      <c r="Y274" s="280">
        <f t="shared" si="88"/>
        <v>0</v>
      </c>
      <c r="Z274" s="281">
        <f t="shared" si="88"/>
        <v>0</v>
      </c>
      <c r="AA274" s="281">
        <f t="shared" si="88"/>
        <v>0</v>
      </c>
      <c r="AB274" s="282">
        <f t="shared" si="88"/>
        <v>0</v>
      </c>
      <c r="AC274" s="280">
        <f t="shared" si="88"/>
        <v>0</v>
      </c>
      <c r="AD274" s="281">
        <f t="shared" si="88"/>
        <v>0</v>
      </c>
      <c r="AE274" s="281">
        <f t="shared" si="88"/>
        <v>0</v>
      </c>
      <c r="AF274" s="282">
        <f t="shared" si="88"/>
        <v>0</v>
      </c>
      <c r="AG274" s="280">
        <f t="shared" si="88"/>
        <v>0</v>
      </c>
      <c r="AH274" s="281">
        <f t="shared" si="88"/>
        <v>0</v>
      </c>
      <c r="AI274" s="281">
        <f t="shared" si="88"/>
        <v>0</v>
      </c>
      <c r="AJ274" s="282">
        <f t="shared" si="88"/>
        <v>0</v>
      </c>
      <c r="AK274" s="280">
        <f t="shared" si="88"/>
        <v>0</v>
      </c>
      <c r="AL274" s="281">
        <f t="shared" si="88"/>
        <v>0</v>
      </c>
      <c r="AM274" s="281">
        <f t="shared" si="88"/>
        <v>0</v>
      </c>
      <c r="AN274" s="282">
        <f t="shared" si="88"/>
        <v>0</v>
      </c>
      <c r="AO274" s="280">
        <f t="shared" si="88"/>
        <v>0</v>
      </c>
      <c r="AP274" s="281">
        <f t="shared" si="88"/>
        <v>0</v>
      </c>
      <c r="AQ274" s="281">
        <f t="shared" si="88"/>
        <v>0</v>
      </c>
      <c r="AR274" s="282">
        <f t="shared" si="88"/>
        <v>0</v>
      </c>
      <c r="AS274" s="280">
        <f t="shared" si="88"/>
        <v>0</v>
      </c>
      <c r="AT274" s="281">
        <f t="shared" si="88"/>
        <v>0</v>
      </c>
      <c r="AU274" s="281">
        <f t="shared" si="88"/>
        <v>0</v>
      </c>
      <c r="AV274" s="282">
        <f t="shared" si="88"/>
        <v>0</v>
      </c>
    </row>
    <row r="275" spans="2:48" outlineLevel="1">
      <c r="C275" s="1980"/>
      <c r="D275" s="1981" t="str">
        <f>'8.项目规划指标表'!$B$19</f>
        <v>无产权车库(个)</v>
      </c>
      <c r="E275" s="311">
        <f>IF($E$4&amp;"年"&amp;E$5&lt;&gt;'9.项目开发计划表'!$AG$42,1,$E$4&amp;"年"&amp;E$5)</f>
        <v>1</v>
      </c>
      <c r="F275" s="312">
        <f>IF($E$4&amp;"年"&amp;F$5&lt;&gt;'9.项目开发计划表'!$AG$42,1,$E$4&amp;"年"&amp;F$5)</f>
        <v>1</v>
      </c>
      <c r="G275" s="312">
        <f>IF($E$4&amp;"年"&amp;G$5&lt;&gt;'9.项目开发计划表'!$AG$42,1,$E$4&amp;"年"&amp;G$5)</f>
        <v>1</v>
      </c>
      <c r="H275" s="313">
        <f>IF($E$4&amp;"年"&amp;H$5&lt;&gt;'9.项目开发计划表'!$AG$42,1,$E$4&amp;"年"&amp;H$5)</f>
        <v>1</v>
      </c>
      <c r="I275" s="322">
        <f>IF((E$4+1)&amp;"年"&amp;I$5&lt;&gt;'9.项目开发计划表'!$AG$42,1,(E$4+1)&amp;"年"&amp;I$5)</f>
        <v>1</v>
      </c>
      <c r="J275" s="312">
        <f>IF((E$4+1)&amp;"年"&amp;J$5&lt;&gt;'9.项目开发计划表'!$AG$42,1,(E$4+1)&amp;"年"&amp;J$5)</f>
        <v>1</v>
      </c>
      <c r="K275" s="312">
        <f>IF((E$4+1)&amp;"年"&amp;K$5&lt;&gt;'9.项目开发计划表'!$AG$42,1,(E$4+1)&amp;"年"&amp;K$5)</f>
        <v>1</v>
      </c>
      <c r="L275" s="313">
        <f>IF((E$4+1)&amp;"年"&amp;L$5&lt;&gt;'9.项目开发计划表'!$AG$42,1,(E$4+1)&amp;"年"&amp;L$5)</f>
        <v>1</v>
      </c>
      <c r="M275" s="311">
        <f>IF((I$4+1)&amp;"年"&amp;M$5&lt;&gt;'9.项目开发计划表'!$AG$42,1,(I$4+1)&amp;"年"&amp;M$5)</f>
        <v>1</v>
      </c>
      <c r="N275" s="312">
        <f>IF((I$4+1)&amp;"年"&amp;N$5&lt;&gt;'9.项目开发计划表'!$AG$42,1,(I$4+1)&amp;"年"&amp;N$5)</f>
        <v>1</v>
      </c>
      <c r="O275" s="312">
        <f>IF((I$4+1)&amp;"年"&amp;O$5&lt;&gt;'9.项目开发计划表'!$AG$42,1,(I$4+1)&amp;"年"&amp;O$5)</f>
        <v>1</v>
      </c>
      <c r="P275" s="313">
        <f>IF((I$4+1)&amp;"年"&amp;P$5&lt;&gt;'9.项目开发计划表'!$AG$42,1,(I$4+1)&amp;"年"&amp;P$5)</f>
        <v>1</v>
      </c>
      <c r="Q275" s="311">
        <f>IF((M$4+1)&amp;"年"&amp;Q$5&lt;&gt;'9.项目开发计划表'!$AG$42,1,(M$4+1)&amp;"年"&amp;Q$5)</f>
        <v>1</v>
      </c>
      <c r="R275" s="312">
        <f>IF((M$4+1)&amp;"年"&amp;R$5&lt;&gt;'9.项目开发计划表'!$AG$42,1,(M$4+1)&amp;"年"&amp;R$5)</f>
        <v>1</v>
      </c>
      <c r="S275" s="312">
        <f>IF((M$4+1)&amp;"年"&amp;S$5&lt;&gt;'9.项目开发计划表'!$AG$42,1,(M$4+1)&amp;"年"&amp;S$5)</f>
        <v>1</v>
      </c>
      <c r="T275" s="313">
        <f>IF((M$4+1)&amp;"年"&amp;T$5&lt;&gt;'9.项目开发计划表'!$AG$42,1,(M$4+1)&amp;"年"&amp;T$5)</f>
        <v>1</v>
      </c>
      <c r="U275" s="311">
        <f>IF((Q$4+1)&amp;"年"&amp;U$5&lt;&gt;'9.项目开发计划表'!$AG$42,1,(Q$4+1)&amp;"年"&amp;U$5)</f>
        <v>1</v>
      </c>
      <c r="V275" s="312">
        <f>IF((Q$4+1)&amp;"年"&amp;V$5&lt;&gt;'9.项目开发计划表'!$AG$42,1,(Q$4+1)&amp;"年"&amp;V$5)</f>
        <v>1</v>
      </c>
      <c r="W275" s="312">
        <f>IF((Q$4+1)&amp;"年"&amp;W$5&lt;&gt;'9.项目开发计划表'!$AG$42,1,(Q$4+1)&amp;"年"&amp;W$5)</f>
        <v>1</v>
      </c>
      <c r="X275" s="313">
        <f>IF((Q$4+1)&amp;"年"&amp;X$5&lt;&gt;'9.项目开发计划表'!$AG$42,1,(Q$4+1)&amp;"年"&amp;X$5)</f>
        <v>1</v>
      </c>
      <c r="Y275" s="311">
        <f>IF((U$4+1)&amp;"年"&amp;Y$5&lt;&gt;'9.项目开发计划表'!$AG$42,1,(U$4+1)&amp;"年"&amp;Y$5)</f>
        <v>1</v>
      </c>
      <c r="Z275" s="312">
        <f>IF((U$4+1)&amp;"年"&amp;Z$5&lt;&gt;'9.项目开发计划表'!$AG$42,1,(U$4+1)&amp;"年"&amp;Z$5)</f>
        <v>1</v>
      </c>
      <c r="AA275" s="312">
        <f>IF((U$4+1)&amp;"年"&amp;AA$5&lt;&gt;'9.项目开发计划表'!$AG$42,1,(U$4+1)&amp;"年"&amp;AA$5)</f>
        <v>1</v>
      </c>
      <c r="AB275" s="313">
        <f>IF((U$4+1)&amp;"年"&amp;AB$5&lt;&gt;'9.项目开发计划表'!$AG$42,1,(U$4+1)&amp;"年"&amp;AB$5)</f>
        <v>1</v>
      </c>
      <c r="AC275" s="311">
        <f>IF((Y$4+1)&amp;"年"&amp;AC$5&lt;&gt;'9.项目开发计划表'!$AG$42,1,(Y$4+1)&amp;"年"&amp;AC$5)</f>
        <v>1</v>
      </c>
      <c r="AD275" s="312">
        <f>IF((Y$4+1)&amp;"年"&amp;AD$5&lt;&gt;'9.项目开发计划表'!$AG$42,1,(Y$4+1)&amp;"年"&amp;AD$5)</f>
        <v>1</v>
      </c>
      <c r="AE275" s="312">
        <f>IF((Y$4+1)&amp;"年"&amp;AE$5&lt;&gt;'9.项目开发计划表'!$AG$42,1,(Y$4+1)&amp;"年"&amp;AE$5)</f>
        <v>1</v>
      </c>
      <c r="AF275" s="313">
        <f>IF((Y$4+1)&amp;"年"&amp;AF$5&lt;&gt;'9.项目开发计划表'!$AG$42,1,(Y$4+1)&amp;"年"&amp;AF$5)</f>
        <v>1</v>
      </c>
      <c r="AG275" s="311">
        <f>IF((AC$4+1)&amp;"年"&amp;AG$5&lt;&gt;'9.项目开发计划表'!$AG$42,1,(AC$4+1)&amp;"年"&amp;AG$5)</f>
        <v>1</v>
      </c>
      <c r="AH275" s="312">
        <f>IF((AC$4+1)&amp;"年"&amp;AH$5&lt;&gt;'9.项目开发计划表'!$AG$42,1,(AC$4+1)&amp;"年"&amp;AH$5)</f>
        <v>1</v>
      </c>
      <c r="AI275" s="312">
        <f>IF((AC$4+1)&amp;"年"&amp;AI$5&lt;&gt;'9.项目开发计划表'!$AG$42,1,(AC$4+1)&amp;"年"&amp;AI$5)</f>
        <v>1</v>
      </c>
      <c r="AJ275" s="313">
        <f>IF((AC$4+1)&amp;"年"&amp;AJ$5&lt;&gt;'9.项目开发计划表'!$AG$42,1,(AC$4+1)&amp;"年"&amp;AJ$5)</f>
        <v>1</v>
      </c>
      <c r="AK275" s="311">
        <f>IF((AG$4+1)&amp;"年"&amp;AK$5&lt;&gt;'9.项目开发计划表'!$AG$42,1,(AG$4+1)&amp;"年"&amp;AK$5)</f>
        <v>1</v>
      </c>
      <c r="AL275" s="312">
        <f>IF((AG$4+1)&amp;"年"&amp;AL$5&lt;&gt;'9.项目开发计划表'!$AG$42,1,(AG$4+1)&amp;"年"&amp;AL$5)</f>
        <v>1</v>
      </c>
      <c r="AM275" s="312">
        <f>IF((AG$4+1)&amp;"年"&amp;AM$5&lt;&gt;'9.项目开发计划表'!$AG$42,1,(AG$4+1)&amp;"年"&amp;AM$5)</f>
        <v>1</v>
      </c>
      <c r="AN275" s="313">
        <f>IF((AG$4+1)&amp;"年"&amp;AN$5&lt;&gt;'9.项目开发计划表'!$AG$42,1,(AG$4+1)&amp;"年"&amp;AN$5)</f>
        <v>1</v>
      </c>
      <c r="AO275" s="311">
        <f>IF((AK$4+1)&amp;"年"&amp;AO$5&lt;&gt;'9.项目开发计划表'!$AG$42,1,(AK$4+1)&amp;"年"&amp;AO$5)</f>
        <v>1</v>
      </c>
      <c r="AP275" s="312">
        <f>IF((AK$4+1)&amp;"年"&amp;AP$5&lt;&gt;'9.项目开发计划表'!$AG$42,1,(AK$4+1)&amp;"年"&amp;AP$5)</f>
        <v>1</v>
      </c>
      <c r="AQ275" s="312">
        <f>IF((AK$4+1)&amp;"年"&amp;AQ$5&lt;&gt;'9.项目开发计划表'!$AG$42,1,(AK$4+1)&amp;"年"&amp;AQ$5)</f>
        <v>1</v>
      </c>
      <c r="AR275" s="313">
        <f>IF((AK$4+1)&amp;"年"&amp;AR$5&lt;&gt;'9.项目开发计划表'!$AG$42,1,(AK$4+1)&amp;"年"&amp;AR$5)</f>
        <v>1</v>
      </c>
      <c r="AS275" s="311">
        <f>IF((AO$4+1)&amp;"年"&amp;AS$5&lt;&gt;'9.项目开发计划表'!$AG$42,1,(AO$4+1)&amp;"年"&amp;AS$5)</f>
        <v>1</v>
      </c>
      <c r="AT275" s="312">
        <f>IF((AO$4+1)&amp;"年"&amp;AT$5&lt;&gt;'9.项目开发计划表'!$AG$42,1,(AO$4+1)&amp;"年"&amp;AT$5)</f>
        <v>1</v>
      </c>
      <c r="AU275" s="312">
        <f>IF((AO$4+1)&amp;"年"&amp;AU$5&lt;&gt;'9.项目开发计划表'!$AG$42,1,(AO$4+1)&amp;"年"&amp;AU$5)</f>
        <v>1</v>
      </c>
      <c r="AV275" s="313">
        <f>IF((AO$4+1)&amp;"年"&amp;AV$5&lt;&gt;'9.项目开发计划表'!$AG$42,1,(AO$4+1)&amp;"年"&amp;AV$5)</f>
        <v>1</v>
      </c>
    </row>
    <row r="276" spans="2:48" outlineLevel="1">
      <c r="C276" s="1980"/>
      <c r="D276" s="1982"/>
      <c r="E276" s="280">
        <f t="shared" si="84"/>
        <v>0</v>
      </c>
      <c r="F276" s="281">
        <f t="shared" ref="F276:L276" si="89">IF(F275=1,0,1)</f>
        <v>0</v>
      </c>
      <c r="G276" s="281">
        <f t="shared" si="89"/>
        <v>0</v>
      </c>
      <c r="H276" s="282">
        <f t="shared" si="89"/>
        <v>0</v>
      </c>
      <c r="I276" s="323">
        <f t="shared" si="89"/>
        <v>0</v>
      </c>
      <c r="J276" s="281">
        <f t="shared" si="89"/>
        <v>0</v>
      </c>
      <c r="K276" s="281">
        <f t="shared" si="89"/>
        <v>0</v>
      </c>
      <c r="L276" s="282">
        <f t="shared" si="89"/>
        <v>0</v>
      </c>
      <c r="M276" s="280">
        <f t="shared" ref="M276:AV276" si="90">IF(M275=1,0,1)</f>
        <v>0</v>
      </c>
      <c r="N276" s="281">
        <f t="shared" si="90"/>
        <v>0</v>
      </c>
      <c r="O276" s="281">
        <f t="shared" si="90"/>
        <v>0</v>
      </c>
      <c r="P276" s="282">
        <f t="shared" si="90"/>
        <v>0</v>
      </c>
      <c r="Q276" s="280">
        <f t="shared" si="90"/>
        <v>0</v>
      </c>
      <c r="R276" s="281">
        <f t="shared" si="90"/>
        <v>0</v>
      </c>
      <c r="S276" s="281">
        <f t="shared" si="90"/>
        <v>0</v>
      </c>
      <c r="T276" s="282">
        <f t="shared" si="90"/>
        <v>0</v>
      </c>
      <c r="U276" s="280">
        <f t="shared" si="90"/>
        <v>0</v>
      </c>
      <c r="V276" s="281">
        <f t="shared" si="90"/>
        <v>0</v>
      </c>
      <c r="W276" s="281">
        <f t="shared" si="90"/>
        <v>0</v>
      </c>
      <c r="X276" s="282">
        <f t="shared" si="90"/>
        <v>0</v>
      </c>
      <c r="Y276" s="280">
        <f t="shared" si="90"/>
        <v>0</v>
      </c>
      <c r="Z276" s="281">
        <f t="shared" si="90"/>
        <v>0</v>
      </c>
      <c r="AA276" s="281">
        <f t="shared" si="90"/>
        <v>0</v>
      </c>
      <c r="AB276" s="282">
        <f t="shared" si="90"/>
        <v>0</v>
      </c>
      <c r="AC276" s="280">
        <f t="shared" si="90"/>
        <v>0</v>
      </c>
      <c r="AD276" s="281">
        <f t="shared" si="90"/>
        <v>0</v>
      </c>
      <c r="AE276" s="281">
        <f t="shared" si="90"/>
        <v>0</v>
      </c>
      <c r="AF276" s="282">
        <f t="shared" si="90"/>
        <v>0</v>
      </c>
      <c r="AG276" s="280">
        <f t="shared" si="90"/>
        <v>0</v>
      </c>
      <c r="AH276" s="281">
        <f t="shared" si="90"/>
        <v>0</v>
      </c>
      <c r="AI276" s="281">
        <f t="shared" si="90"/>
        <v>0</v>
      </c>
      <c r="AJ276" s="282">
        <f t="shared" si="90"/>
        <v>0</v>
      </c>
      <c r="AK276" s="280">
        <f t="shared" si="90"/>
        <v>0</v>
      </c>
      <c r="AL276" s="281">
        <f t="shared" si="90"/>
        <v>0</v>
      </c>
      <c r="AM276" s="281">
        <f t="shared" si="90"/>
        <v>0</v>
      </c>
      <c r="AN276" s="282">
        <f t="shared" si="90"/>
        <v>0</v>
      </c>
      <c r="AO276" s="280">
        <f t="shared" si="90"/>
        <v>0</v>
      </c>
      <c r="AP276" s="281">
        <f t="shared" si="90"/>
        <v>0</v>
      </c>
      <c r="AQ276" s="281">
        <f t="shared" si="90"/>
        <v>0</v>
      </c>
      <c r="AR276" s="282">
        <f t="shared" si="90"/>
        <v>0</v>
      </c>
      <c r="AS276" s="280">
        <f t="shared" si="90"/>
        <v>0</v>
      </c>
      <c r="AT276" s="281">
        <f t="shared" si="90"/>
        <v>0</v>
      </c>
      <c r="AU276" s="281">
        <f t="shared" si="90"/>
        <v>0</v>
      </c>
      <c r="AV276" s="282">
        <f t="shared" si="90"/>
        <v>0</v>
      </c>
    </row>
    <row r="277" spans="2:48" s="256" customFormat="1" ht="15.75" customHeight="1" outlineLevel="1">
      <c r="B277" s="321"/>
      <c r="C277" s="1980" t="s">
        <v>22</v>
      </c>
      <c r="D277" s="1981" t="str">
        <f>'8.项目规划指标表'!$B$5</f>
        <v>高层</v>
      </c>
      <c r="E277" s="311">
        <f>IF($E$4&amp;"年"&amp;E$5&lt;&gt;'9.项目开发计划表'!$AG$44,1,$E$4&amp;"年"&amp;E$5)</f>
        <v>1</v>
      </c>
      <c r="F277" s="312">
        <f>IF($E$4&amp;"年"&amp;F$5&lt;&gt;'9.项目开发计划表'!$AG$44,1,$E$4&amp;"年"&amp;F$5)</f>
        <v>1</v>
      </c>
      <c r="G277" s="312">
        <f>IF($E$4&amp;"年"&amp;G$5&lt;&gt;'9.项目开发计划表'!$AG$44,1,$E$4&amp;"年"&amp;G$5)</f>
        <v>1</v>
      </c>
      <c r="H277" s="313">
        <f>IF($E$4&amp;"年"&amp;H$5&lt;&gt;'9.项目开发计划表'!$AG$44,1,$E$4&amp;"年"&amp;H$5)</f>
        <v>1</v>
      </c>
      <c r="I277" s="322">
        <f>IF((E$4+1)&amp;"年"&amp;I$5&lt;&gt;'9.项目开发计划表'!$AG$44,1,(E$4+1)&amp;"年"&amp;I$5)</f>
        <v>1</v>
      </c>
      <c r="J277" s="312">
        <f>IF((E$4+1)&amp;"年"&amp;J$5&lt;&gt;'9.项目开发计划表'!$AG$44,1,(E$4+1)&amp;"年"&amp;J$5)</f>
        <v>1</v>
      </c>
      <c r="K277" s="312">
        <f>IF((E$4+1)&amp;"年"&amp;K$5&lt;&gt;'9.项目开发计划表'!$AG$44,1,(E$4+1)&amp;"年"&amp;K$5)</f>
        <v>1</v>
      </c>
      <c r="L277" s="313">
        <f>IF((E$4+1)&amp;"年"&amp;L$5&lt;&gt;'9.项目开发计划表'!$AG$44,1,(E$4+1)&amp;"年"&amp;L$5)</f>
        <v>1</v>
      </c>
      <c r="M277" s="322">
        <f>IF((I$4+1)&amp;"年"&amp;M$5&lt;&gt;'9.项目开发计划表'!$AG$44,1,(I$4+1)&amp;"年"&amp;M$5)</f>
        <v>1</v>
      </c>
      <c r="N277" s="312">
        <f>IF((I$4+1)&amp;"年"&amp;N$5&lt;&gt;'9.项目开发计划表'!$AG$44,1,(I$4+1)&amp;"年"&amp;N$5)</f>
        <v>1</v>
      </c>
      <c r="O277" s="312">
        <f>IF((I$4+1)&amp;"年"&amp;O$5&lt;&gt;'9.项目开发计划表'!$AG$44,1,(I$4+1)&amp;"年"&amp;O$5)</f>
        <v>1</v>
      </c>
      <c r="P277" s="313">
        <f>IF((I$4+1)&amp;"年"&amp;P$5&lt;&gt;'9.项目开发计划表'!$AG$44,1,(I$4+1)&amp;"年"&amp;P$5)</f>
        <v>1</v>
      </c>
      <c r="Q277" s="322">
        <f>IF((M$4+1)&amp;"年"&amp;Q$5&lt;&gt;'9.项目开发计划表'!$AG$44,1,(M$4+1)&amp;"年"&amp;Q$5)</f>
        <v>1</v>
      </c>
      <c r="R277" s="312">
        <f>IF((M$4+1)&amp;"年"&amp;R$5&lt;&gt;'9.项目开发计划表'!$AG$44,1,(M$4+1)&amp;"年"&amp;R$5)</f>
        <v>1</v>
      </c>
      <c r="S277" s="312">
        <f>IF((M$4+1)&amp;"年"&amp;S$5&lt;&gt;'9.项目开发计划表'!$AG$44,1,(M$4+1)&amp;"年"&amp;S$5)</f>
        <v>1</v>
      </c>
      <c r="T277" s="313">
        <f>IF((M$4+1)&amp;"年"&amp;T$5&lt;&gt;'9.项目开发计划表'!$AG$44,1,(M$4+1)&amp;"年"&amp;T$5)</f>
        <v>1</v>
      </c>
      <c r="U277" s="322">
        <f>IF((Q$4+1)&amp;"年"&amp;U$5&lt;&gt;'9.项目开发计划表'!$AG$44,1,(Q$4+1)&amp;"年"&amp;U$5)</f>
        <v>1</v>
      </c>
      <c r="V277" s="312">
        <f>IF((Q$4+1)&amp;"年"&amp;V$5&lt;&gt;'9.项目开发计划表'!$AG$44,1,(Q$4+1)&amp;"年"&amp;V$5)</f>
        <v>1</v>
      </c>
      <c r="W277" s="312">
        <f>IF((Q$4+1)&amp;"年"&amp;W$5&lt;&gt;'9.项目开发计划表'!$AG$44,1,(Q$4+1)&amp;"年"&amp;W$5)</f>
        <v>1</v>
      </c>
      <c r="X277" s="313">
        <f>IF((Q$4+1)&amp;"年"&amp;X$5&lt;&gt;'9.项目开发计划表'!$AG$44,1,(Q$4+1)&amp;"年"&amp;X$5)</f>
        <v>1</v>
      </c>
      <c r="Y277" s="322">
        <f>IF((U$4+1)&amp;"年"&amp;Y$5&lt;&gt;'9.项目开发计划表'!$AG$44,1,(U$4+1)&amp;"年"&amp;Y$5)</f>
        <v>1</v>
      </c>
      <c r="Z277" s="312">
        <f>IF((U$4+1)&amp;"年"&amp;Z$5&lt;&gt;'9.项目开发计划表'!$AG$44,1,(U$4+1)&amp;"年"&amp;Z$5)</f>
        <v>1</v>
      </c>
      <c r="AA277" s="312">
        <f>IF((U$4+1)&amp;"年"&amp;AA$5&lt;&gt;'9.项目开发计划表'!$AG$44,1,(U$4+1)&amp;"年"&amp;AA$5)</f>
        <v>1</v>
      </c>
      <c r="AB277" s="313">
        <f>IF((U$4+1)&amp;"年"&amp;AB$5&lt;&gt;'9.项目开发计划表'!$AG$44,1,(U$4+1)&amp;"年"&amp;AB$5)</f>
        <v>1</v>
      </c>
      <c r="AC277" s="322">
        <f>IF((Y$4+1)&amp;"年"&amp;AC$5&lt;&gt;'9.项目开发计划表'!$AG$44,1,(Y$4+1)&amp;"年"&amp;AC$5)</f>
        <v>1</v>
      </c>
      <c r="AD277" s="312">
        <f>IF((Y$4+1)&amp;"年"&amp;AD$5&lt;&gt;'9.项目开发计划表'!$AG$44,1,(Y$4+1)&amp;"年"&amp;AD$5)</f>
        <v>1</v>
      </c>
      <c r="AE277" s="312">
        <f>IF((Y$4+1)&amp;"年"&amp;AE$5&lt;&gt;'9.项目开发计划表'!$AG$44,1,(Y$4+1)&amp;"年"&amp;AE$5)</f>
        <v>1</v>
      </c>
      <c r="AF277" s="313">
        <f>IF((Y$4+1)&amp;"年"&amp;AF$5&lt;&gt;'9.项目开发计划表'!$AG$44,1,(Y$4+1)&amp;"年"&amp;AF$5)</f>
        <v>1</v>
      </c>
      <c r="AG277" s="322">
        <f>IF((AC$4+1)&amp;"年"&amp;AG$5&lt;&gt;'9.项目开发计划表'!$AG$44,1,(AC$4+1)&amp;"年"&amp;AG$5)</f>
        <v>1</v>
      </c>
      <c r="AH277" s="312">
        <f>IF((AC$4+1)&amp;"年"&amp;AH$5&lt;&gt;'9.项目开发计划表'!$AG$44,1,(AC$4+1)&amp;"年"&amp;AH$5)</f>
        <v>1</v>
      </c>
      <c r="AI277" s="312">
        <f>IF((AC$4+1)&amp;"年"&amp;AI$5&lt;&gt;'9.项目开发计划表'!$AG$44,1,(AC$4+1)&amp;"年"&amp;AI$5)</f>
        <v>1</v>
      </c>
      <c r="AJ277" s="313">
        <f>IF((AC$4+1)&amp;"年"&amp;AJ$5&lt;&gt;'9.项目开发计划表'!$AG$44,1,(AC$4+1)&amp;"年"&amp;AJ$5)</f>
        <v>1</v>
      </c>
      <c r="AK277" s="322">
        <f>IF((AG$4+1)&amp;"年"&amp;AK$5&lt;&gt;'9.项目开发计划表'!$AG$44,1,(AG$4+1)&amp;"年"&amp;AK$5)</f>
        <v>1</v>
      </c>
      <c r="AL277" s="312">
        <f>IF((AG$4+1)&amp;"年"&amp;AL$5&lt;&gt;'9.项目开发计划表'!$AG$44,1,(AG$4+1)&amp;"年"&amp;AL$5)</f>
        <v>1</v>
      </c>
      <c r="AM277" s="312">
        <f>IF((AG$4+1)&amp;"年"&amp;AM$5&lt;&gt;'9.项目开发计划表'!$AG$44,1,(AG$4+1)&amp;"年"&amp;AM$5)</f>
        <v>1</v>
      </c>
      <c r="AN277" s="313">
        <f>IF((AG$4+1)&amp;"年"&amp;AN$5&lt;&gt;'9.项目开发计划表'!$AG$44,1,(AG$4+1)&amp;"年"&amp;AN$5)</f>
        <v>1</v>
      </c>
      <c r="AO277" s="322">
        <f>IF((AK$4+1)&amp;"年"&amp;AO$5&lt;&gt;'9.项目开发计划表'!$AG$44,1,(AK$4+1)&amp;"年"&amp;AO$5)</f>
        <v>1</v>
      </c>
      <c r="AP277" s="312">
        <f>IF((AK$4+1)&amp;"年"&amp;AP$5&lt;&gt;'9.项目开发计划表'!$AG$44,1,(AK$4+1)&amp;"年"&amp;AP$5)</f>
        <v>1</v>
      </c>
      <c r="AQ277" s="312">
        <f>IF((AK$4+1)&amp;"年"&amp;AQ$5&lt;&gt;'9.项目开发计划表'!$AG$44,1,(AK$4+1)&amp;"年"&amp;AQ$5)</f>
        <v>1</v>
      </c>
      <c r="AR277" s="313">
        <f>IF((AK$4+1)&amp;"年"&amp;AR$5&lt;&gt;'9.项目开发计划表'!$AG$44,1,(AK$4+1)&amp;"年"&amp;AR$5)</f>
        <v>1</v>
      </c>
      <c r="AS277" s="322">
        <f>IF((AO$4+1)&amp;"年"&amp;AS$5&lt;&gt;'9.项目开发计划表'!$AG$44,1,(AO$4+1)&amp;"年"&amp;AS$5)</f>
        <v>1</v>
      </c>
      <c r="AT277" s="312">
        <f>IF((AO$4+1)&amp;"年"&amp;AT$5&lt;&gt;'9.项目开发计划表'!$AG$44,1,(AO$4+1)&amp;"年"&amp;AT$5)</f>
        <v>1</v>
      </c>
      <c r="AU277" s="312">
        <f>IF((AO$4+1)&amp;"年"&amp;AU$5&lt;&gt;'9.项目开发计划表'!$AG$44,1,(AO$4+1)&amp;"年"&amp;AU$5)</f>
        <v>1</v>
      </c>
      <c r="AV277" s="313">
        <f>IF((AO$4+1)&amp;"年"&amp;AV$5&lt;&gt;'9.项目开发计划表'!$AG$44,1,(AO$4+1)&amp;"年"&amp;AV$5)</f>
        <v>1</v>
      </c>
    </row>
    <row r="278" spans="2:48" s="256" customFormat="1" ht="15.75" customHeight="1" outlineLevel="1">
      <c r="B278" s="321"/>
      <c r="C278" s="1980"/>
      <c r="D278" s="1982"/>
      <c r="E278" s="280">
        <f t="shared" ref="E278:AV278" si="91">IF(E277=1,0,1)</f>
        <v>0</v>
      </c>
      <c r="F278" s="281">
        <f t="shared" si="91"/>
        <v>0</v>
      </c>
      <c r="G278" s="281">
        <f t="shared" si="91"/>
        <v>0</v>
      </c>
      <c r="H278" s="282">
        <f t="shared" si="91"/>
        <v>0</v>
      </c>
      <c r="I278" s="323">
        <f t="shared" si="91"/>
        <v>0</v>
      </c>
      <c r="J278" s="281">
        <f t="shared" si="91"/>
        <v>0</v>
      </c>
      <c r="K278" s="281">
        <f t="shared" si="91"/>
        <v>0</v>
      </c>
      <c r="L278" s="282">
        <f t="shared" si="91"/>
        <v>0</v>
      </c>
      <c r="M278" s="323">
        <f t="shared" si="91"/>
        <v>0</v>
      </c>
      <c r="N278" s="281">
        <f t="shared" si="91"/>
        <v>0</v>
      </c>
      <c r="O278" s="281">
        <f t="shared" si="91"/>
        <v>0</v>
      </c>
      <c r="P278" s="282">
        <f t="shared" si="91"/>
        <v>0</v>
      </c>
      <c r="Q278" s="323">
        <f t="shared" si="91"/>
        <v>0</v>
      </c>
      <c r="R278" s="281">
        <f t="shared" si="91"/>
        <v>0</v>
      </c>
      <c r="S278" s="281">
        <f t="shared" si="91"/>
        <v>0</v>
      </c>
      <c r="T278" s="282">
        <f t="shared" si="91"/>
        <v>0</v>
      </c>
      <c r="U278" s="323">
        <f t="shared" si="91"/>
        <v>0</v>
      </c>
      <c r="V278" s="281">
        <f t="shared" si="91"/>
        <v>0</v>
      </c>
      <c r="W278" s="281">
        <f t="shared" si="91"/>
        <v>0</v>
      </c>
      <c r="X278" s="282">
        <f t="shared" si="91"/>
        <v>0</v>
      </c>
      <c r="Y278" s="323">
        <f t="shared" si="91"/>
        <v>0</v>
      </c>
      <c r="Z278" s="281">
        <f t="shared" si="91"/>
        <v>0</v>
      </c>
      <c r="AA278" s="281">
        <f t="shared" si="91"/>
        <v>0</v>
      </c>
      <c r="AB278" s="282">
        <f t="shared" si="91"/>
        <v>0</v>
      </c>
      <c r="AC278" s="323">
        <f t="shared" si="91"/>
        <v>0</v>
      </c>
      <c r="AD278" s="281">
        <f t="shared" si="91"/>
        <v>0</v>
      </c>
      <c r="AE278" s="281">
        <f t="shared" si="91"/>
        <v>0</v>
      </c>
      <c r="AF278" s="282">
        <f t="shared" si="91"/>
        <v>0</v>
      </c>
      <c r="AG278" s="323">
        <f t="shared" si="91"/>
        <v>0</v>
      </c>
      <c r="AH278" s="281">
        <f t="shared" si="91"/>
        <v>0</v>
      </c>
      <c r="AI278" s="281">
        <f t="shared" si="91"/>
        <v>0</v>
      </c>
      <c r="AJ278" s="282">
        <f t="shared" si="91"/>
        <v>0</v>
      </c>
      <c r="AK278" s="323">
        <f t="shared" si="91"/>
        <v>0</v>
      </c>
      <c r="AL278" s="281">
        <f t="shared" si="91"/>
        <v>0</v>
      </c>
      <c r="AM278" s="281">
        <f t="shared" si="91"/>
        <v>0</v>
      </c>
      <c r="AN278" s="282">
        <f t="shared" si="91"/>
        <v>0</v>
      </c>
      <c r="AO278" s="323">
        <f t="shared" si="91"/>
        <v>0</v>
      </c>
      <c r="AP278" s="281">
        <f t="shared" si="91"/>
        <v>0</v>
      </c>
      <c r="AQ278" s="281">
        <f t="shared" si="91"/>
        <v>0</v>
      </c>
      <c r="AR278" s="282">
        <f t="shared" si="91"/>
        <v>0</v>
      </c>
      <c r="AS278" s="323">
        <f t="shared" si="91"/>
        <v>0</v>
      </c>
      <c r="AT278" s="281">
        <f t="shared" si="91"/>
        <v>0</v>
      </c>
      <c r="AU278" s="281">
        <f t="shared" si="91"/>
        <v>0</v>
      </c>
      <c r="AV278" s="282">
        <f t="shared" si="91"/>
        <v>0</v>
      </c>
    </row>
    <row r="279" spans="2:48" s="256" customFormat="1" ht="15.75" customHeight="1" outlineLevel="1">
      <c r="B279" s="321"/>
      <c r="C279" s="1980"/>
      <c r="D279" s="1981" t="str">
        <f>'8.项目规划指标表'!$B$6</f>
        <v>商铺</v>
      </c>
      <c r="E279" s="311">
        <f>IF($E$4&amp;"年"&amp;E$5&lt;&gt;'9.项目开发计划表'!$AG$45,1,$E$4&amp;"年"&amp;E$5)</f>
        <v>1</v>
      </c>
      <c r="F279" s="312">
        <f>IF($E$4&amp;"年"&amp;F$5&lt;&gt;'9.项目开发计划表'!$AG$45,1,$E$4&amp;"年"&amp;F$5)</f>
        <v>1</v>
      </c>
      <c r="G279" s="312">
        <f>IF($E$4&amp;"年"&amp;G$5&lt;&gt;'9.项目开发计划表'!$AG$45,1,$E$4&amp;"年"&amp;G$5)</f>
        <v>1</v>
      </c>
      <c r="H279" s="313">
        <f>IF($E$4&amp;"年"&amp;H$5&lt;&gt;'9.项目开发计划表'!$AG$45,1,$E$4&amp;"年"&amp;H$5)</f>
        <v>1</v>
      </c>
      <c r="I279" s="322">
        <f>IF((E$4+1)&amp;"年"&amp;I$5&lt;&gt;'9.项目开发计划表'!$AG$45,1,(E$4+1)&amp;"年"&amp;I$5)</f>
        <v>1</v>
      </c>
      <c r="J279" s="312">
        <f>IF((E$4+1)&amp;"年"&amp;J$5&lt;&gt;'9.项目开发计划表'!$AG$45,1,(E$4+1)&amp;"年"&amp;J$5)</f>
        <v>1</v>
      </c>
      <c r="K279" s="312">
        <f>IF((E$4+1)&amp;"年"&amp;K$5&lt;&gt;'9.项目开发计划表'!$AG$45,1,(E$4+1)&amp;"年"&amp;K$5)</f>
        <v>1</v>
      </c>
      <c r="L279" s="313">
        <f>IF((E$4+1)&amp;"年"&amp;L$5&lt;&gt;'9.项目开发计划表'!$AG$45,1,(E$4+1)&amp;"年"&amp;L$5)</f>
        <v>1</v>
      </c>
      <c r="M279" s="322">
        <f>IF((I$4+1)&amp;"年"&amp;M$5&lt;&gt;'9.项目开发计划表'!$AG$45,1,(I$4+1)&amp;"年"&amp;M$5)</f>
        <v>1</v>
      </c>
      <c r="N279" s="312">
        <f>IF((I$4+1)&amp;"年"&amp;N$5&lt;&gt;'9.项目开发计划表'!$AG$45,1,(I$4+1)&amp;"年"&amp;N$5)</f>
        <v>1</v>
      </c>
      <c r="O279" s="312">
        <f>IF((I$4+1)&amp;"年"&amp;O$5&lt;&gt;'9.项目开发计划表'!$AG$45,1,(I$4+1)&amp;"年"&amp;O$5)</f>
        <v>1</v>
      </c>
      <c r="P279" s="313">
        <f>IF((I$4+1)&amp;"年"&amp;P$5&lt;&gt;'9.项目开发计划表'!$AG$45,1,(I$4+1)&amp;"年"&amp;P$5)</f>
        <v>1</v>
      </c>
      <c r="Q279" s="322">
        <f>IF((M$4+1)&amp;"年"&amp;Q$5&lt;&gt;'9.项目开发计划表'!$AG$45,1,(M$4+1)&amp;"年"&amp;Q$5)</f>
        <v>1</v>
      </c>
      <c r="R279" s="312">
        <f>IF((M$4+1)&amp;"年"&amp;R$5&lt;&gt;'9.项目开发计划表'!$AG$45,1,(M$4+1)&amp;"年"&amp;R$5)</f>
        <v>1</v>
      </c>
      <c r="S279" s="312">
        <f>IF((M$4+1)&amp;"年"&amp;S$5&lt;&gt;'9.项目开发计划表'!$AG$45,1,(M$4+1)&amp;"年"&amp;S$5)</f>
        <v>1</v>
      </c>
      <c r="T279" s="313">
        <f>IF((M$4+1)&amp;"年"&amp;T$5&lt;&gt;'9.项目开发计划表'!$AG$45,1,(M$4+1)&amp;"年"&amp;T$5)</f>
        <v>1</v>
      </c>
      <c r="U279" s="322">
        <f>IF((Q$4+1)&amp;"年"&amp;U$5&lt;&gt;'9.项目开发计划表'!$AG$45,1,(Q$4+1)&amp;"年"&amp;U$5)</f>
        <v>1</v>
      </c>
      <c r="V279" s="312">
        <f>IF((Q$4+1)&amp;"年"&amp;V$5&lt;&gt;'9.项目开发计划表'!$AG$45,1,(Q$4+1)&amp;"年"&amp;V$5)</f>
        <v>1</v>
      </c>
      <c r="W279" s="312">
        <f>IF((Q$4+1)&amp;"年"&amp;W$5&lt;&gt;'9.项目开发计划表'!$AG$45,1,(Q$4+1)&amp;"年"&amp;W$5)</f>
        <v>1</v>
      </c>
      <c r="X279" s="313">
        <f>IF((Q$4+1)&amp;"年"&amp;X$5&lt;&gt;'9.项目开发计划表'!$AG$45,1,(Q$4+1)&amp;"年"&amp;X$5)</f>
        <v>1</v>
      </c>
      <c r="Y279" s="322">
        <f>IF((U$4+1)&amp;"年"&amp;Y$5&lt;&gt;'9.项目开发计划表'!$AG$45,1,(U$4+1)&amp;"年"&amp;Y$5)</f>
        <v>1</v>
      </c>
      <c r="Z279" s="312">
        <f>IF((U$4+1)&amp;"年"&amp;Z$5&lt;&gt;'9.项目开发计划表'!$AG$45,1,(U$4+1)&amp;"年"&amp;Z$5)</f>
        <v>1</v>
      </c>
      <c r="AA279" s="312">
        <f>IF((U$4+1)&amp;"年"&amp;AA$5&lt;&gt;'9.项目开发计划表'!$AG$45,1,(U$4+1)&amp;"年"&amp;AA$5)</f>
        <v>1</v>
      </c>
      <c r="AB279" s="313">
        <f>IF((U$4+1)&amp;"年"&amp;AB$5&lt;&gt;'9.项目开发计划表'!$AG$45,1,(U$4+1)&amp;"年"&amp;AB$5)</f>
        <v>1</v>
      </c>
      <c r="AC279" s="322">
        <f>IF((Y$4+1)&amp;"年"&amp;AC$5&lt;&gt;'9.项目开发计划表'!$AG$45,1,(Y$4+1)&amp;"年"&amp;AC$5)</f>
        <v>1</v>
      </c>
      <c r="AD279" s="312">
        <f>IF((Y$4+1)&amp;"年"&amp;AD$5&lt;&gt;'9.项目开发计划表'!$AG$45,1,(Y$4+1)&amp;"年"&amp;AD$5)</f>
        <v>1</v>
      </c>
      <c r="AE279" s="312">
        <f>IF((Y$4+1)&amp;"年"&amp;AE$5&lt;&gt;'9.项目开发计划表'!$AG$45,1,(Y$4+1)&amp;"年"&amp;AE$5)</f>
        <v>1</v>
      </c>
      <c r="AF279" s="313">
        <f>IF((Y$4+1)&amp;"年"&amp;AF$5&lt;&gt;'9.项目开发计划表'!$AG$45,1,(Y$4+1)&amp;"年"&amp;AF$5)</f>
        <v>1</v>
      </c>
      <c r="AG279" s="322">
        <f>IF((AC$4+1)&amp;"年"&amp;AG$5&lt;&gt;'9.项目开发计划表'!$AG$45,1,(AC$4+1)&amp;"年"&amp;AG$5)</f>
        <v>1</v>
      </c>
      <c r="AH279" s="312">
        <f>IF((AC$4+1)&amp;"年"&amp;AH$5&lt;&gt;'9.项目开发计划表'!$AG$45,1,(AC$4+1)&amp;"年"&amp;AH$5)</f>
        <v>1</v>
      </c>
      <c r="AI279" s="312">
        <f>IF((AC$4+1)&amp;"年"&amp;AI$5&lt;&gt;'9.项目开发计划表'!$AG$45,1,(AC$4+1)&amp;"年"&amp;AI$5)</f>
        <v>1</v>
      </c>
      <c r="AJ279" s="313">
        <f>IF((AC$4+1)&amp;"年"&amp;AJ$5&lt;&gt;'9.项目开发计划表'!$AG$45,1,(AC$4+1)&amp;"年"&amp;AJ$5)</f>
        <v>1</v>
      </c>
      <c r="AK279" s="322">
        <f>IF((AG$4+1)&amp;"年"&amp;AK$5&lt;&gt;'9.项目开发计划表'!$AG$45,1,(AG$4+1)&amp;"年"&amp;AK$5)</f>
        <v>1</v>
      </c>
      <c r="AL279" s="312">
        <f>IF((AG$4+1)&amp;"年"&amp;AL$5&lt;&gt;'9.项目开发计划表'!$AG$45,1,(AG$4+1)&amp;"年"&amp;AL$5)</f>
        <v>1</v>
      </c>
      <c r="AM279" s="312">
        <f>IF((AG$4+1)&amp;"年"&amp;AM$5&lt;&gt;'9.项目开发计划表'!$AG$45,1,(AG$4+1)&amp;"年"&amp;AM$5)</f>
        <v>1</v>
      </c>
      <c r="AN279" s="313">
        <f>IF((AG$4+1)&amp;"年"&amp;AN$5&lt;&gt;'9.项目开发计划表'!$AG$45,1,(AG$4+1)&amp;"年"&amp;AN$5)</f>
        <v>1</v>
      </c>
      <c r="AO279" s="322">
        <f>IF((AK$4+1)&amp;"年"&amp;AO$5&lt;&gt;'9.项目开发计划表'!$AG$45,1,(AK$4+1)&amp;"年"&amp;AO$5)</f>
        <v>1</v>
      </c>
      <c r="AP279" s="312">
        <f>IF((AK$4+1)&amp;"年"&amp;AP$5&lt;&gt;'9.项目开发计划表'!$AG$45,1,(AK$4+1)&amp;"年"&amp;AP$5)</f>
        <v>1</v>
      </c>
      <c r="AQ279" s="312">
        <f>IF((AK$4+1)&amp;"年"&amp;AQ$5&lt;&gt;'9.项目开发计划表'!$AG$45,1,(AK$4+1)&amp;"年"&amp;AQ$5)</f>
        <v>1</v>
      </c>
      <c r="AR279" s="313">
        <f>IF((AK$4+1)&amp;"年"&amp;AR$5&lt;&gt;'9.项目开发计划表'!$AG$45,1,(AK$4+1)&amp;"年"&amp;AR$5)</f>
        <v>1</v>
      </c>
      <c r="AS279" s="322">
        <f>IF((AO$4+1)&amp;"年"&amp;AS$5&lt;&gt;'9.项目开发计划表'!$AG$45,1,(AO$4+1)&amp;"年"&amp;AS$5)</f>
        <v>1</v>
      </c>
      <c r="AT279" s="312">
        <f>IF((AO$4+1)&amp;"年"&amp;AT$5&lt;&gt;'9.项目开发计划表'!$AG$45,1,(AO$4+1)&amp;"年"&amp;AT$5)</f>
        <v>1</v>
      </c>
      <c r="AU279" s="312">
        <f>IF((AO$4+1)&amp;"年"&amp;AU$5&lt;&gt;'9.项目开发计划表'!$AG$45,1,(AO$4+1)&amp;"年"&amp;AU$5)</f>
        <v>1</v>
      </c>
      <c r="AV279" s="313">
        <f>IF((AO$4+1)&amp;"年"&amp;AV$5&lt;&gt;'9.项目开发计划表'!$AG$45,1,(AO$4+1)&amp;"年"&amp;AV$5)</f>
        <v>1</v>
      </c>
    </row>
    <row r="280" spans="2:48" s="256" customFormat="1" ht="15.75" customHeight="1" outlineLevel="1">
      <c r="B280" s="321"/>
      <c r="C280" s="1980"/>
      <c r="D280" s="1982"/>
      <c r="E280" s="280">
        <f t="shared" ref="E280:AV280" si="92">IF(E279=1,0,1)</f>
        <v>0</v>
      </c>
      <c r="F280" s="281">
        <f t="shared" si="92"/>
        <v>0</v>
      </c>
      <c r="G280" s="281">
        <f t="shared" si="92"/>
        <v>0</v>
      </c>
      <c r="H280" s="282">
        <f t="shared" si="92"/>
        <v>0</v>
      </c>
      <c r="I280" s="323">
        <f t="shared" si="92"/>
        <v>0</v>
      </c>
      <c r="J280" s="281">
        <f t="shared" si="92"/>
        <v>0</v>
      </c>
      <c r="K280" s="281">
        <f t="shared" si="92"/>
        <v>0</v>
      </c>
      <c r="L280" s="282">
        <f t="shared" si="92"/>
        <v>0</v>
      </c>
      <c r="M280" s="323">
        <f t="shared" si="92"/>
        <v>0</v>
      </c>
      <c r="N280" s="281">
        <f t="shared" si="92"/>
        <v>0</v>
      </c>
      <c r="O280" s="281">
        <f t="shared" si="92"/>
        <v>0</v>
      </c>
      <c r="P280" s="282">
        <f t="shared" si="92"/>
        <v>0</v>
      </c>
      <c r="Q280" s="323">
        <f t="shared" si="92"/>
        <v>0</v>
      </c>
      <c r="R280" s="281">
        <f t="shared" si="92"/>
        <v>0</v>
      </c>
      <c r="S280" s="281">
        <f t="shared" si="92"/>
        <v>0</v>
      </c>
      <c r="T280" s="282">
        <f t="shared" si="92"/>
        <v>0</v>
      </c>
      <c r="U280" s="323">
        <f t="shared" si="92"/>
        <v>0</v>
      </c>
      <c r="V280" s="281">
        <f t="shared" si="92"/>
        <v>0</v>
      </c>
      <c r="W280" s="281">
        <f t="shared" si="92"/>
        <v>0</v>
      </c>
      <c r="X280" s="282">
        <f t="shared" si="92"/>
        <v>0</v>
      </c>
      <c r="Y280" s="323">
        <f t="shared" si="92"/>
        <v>0</v>
      </c>
      <c r="Z280" s="281">
        <f t="shared" si="92"/>
        <v>0</v>
      </c>
      <c r="AA280" s="281">
        <f t="shared" si="92"/>
        <v>0</v>
      </c>
      <c r="AB280" s="282">
        <f t="shared" si="92"/>
        <v>0</v>
      </c>
      <c r="AC280" s="323">
        <f t="shared" si="92"/>
        <v>0</v>
      </c>
      <c r="AD280" s="281">
        <f t="shared" si="92"/>
        <v>0</v>
      </c>
      <c r="AE280" s="281">
        <f t="shared" si="92"/>
        <v>0</v>
      </c>
      <c r="AF280" s="282">
        <f t="shared" si="92"/>
        <v>0</v>
      </c>
      <c r="AG280" s="323">
        <f t="shared" si="92"/>
        <v>0</v>
      </c>
      <c r="AH280" s="281">
        <f t="shared" si="92"/>
        <v>0</v>
      </c>
      <c r="AI280" s="281">
        <f t="shared" si="92"/>
        <v>0</v>
      </c>
      <c r="AJ280" s="282">
        <f t="shared" si="92"/>
        <v>0</v>
      </c>
      <c r="AK280" s="323">
        <f t="shared" si="92"/>
        <v>0</v>
      </c>
      <c r="AL280" s="281">
        <f t="shared" si="92"/>
        <v>0</v>
      </c>
      <c r="AM280" s="281">
        <f t="shared" si="92"/>
        <v>0</v>
      </c>
      <c r="AN280" s="282">
        <f t="shared" si="92"/>
        <v>0</v>
      </c>
      <c r="AO280" s="323">
        <f t="shared" si="92"/>
        <v>0</v>
      </c>
      <c r="AP280" s="281">
        <f t="shared" si="92"/>
        <v>0</v>
      </c>
      <c r="AQ280" s="281">
        <f t="shared" si="92"/>
        <v>0</v>
      </c>
      <c r="AR280" s="282">
        <f t="shared" si="92"/>
        <v>0</v>
      </c>
      <c r="AS280" s="323">
        <f t="shared" si="92"/>
        <v>0</v>
      </c>
      <c r="AT280" s="281">
        <f t="shared" si="92"/>
        <v>0</v>
      </c>
      <c r="AU280" s="281">
        <f t="shared" si="92"/>
        <v>0</v>
      </c>
      <c r="AV280" s="282">
        <f t="shared" si="92"/>
        <v>0</v>
      </c>
    </row>
    <row r="281" spans="2:48" s="256" customFormat="1" ht="15.75" customHeight="1" outlineLevel="1">
      <c r="B281" s="321"/>
      <c r="C281" s="1980"/>
      <c r="D281" s="1981" t="str">
        <f>'8.项目规划指标表'!$B$7</f>
        <v>回迁商业</v>
      </c>
      <c r="E281" s="311">
        <f>IF($E$4&amp;"年"&amp;E$5&lt;&gt;'9.项目开发计划表'!$AG$46,1,$E$4&amp;"年"&amp;E$5)</f>
        <v>1</v>
      </c>
      <c r="F281" s="312">
        <f>IF($E$4&amp;"年"&amp;F$5&lt;&gt;'9.项目开发计划表'!$AG$46,1,$E$4&amp;"年"&amp;F$5)</f>
        <v>1</v>
      </c>
      <c r="G281" s="312">
        <f>IF($E$4&amp;"年"&amp;G$5&lt;&gt;'9.项目开发计划表'!$AG$46,1,$E$4&amp;"年"&amp;G$5)</f>
        <v>1</v>
      </c>
      <c r="H281" s="313">
        <f>IF($E$4&amp;"年"&amp;H$5&lt;&gt;'9.项目开发计划表'!$AG$46,1,$E$4&amp;"年"&amp;H$5)</f>
        <v>1</v>
      </c>
      <c r="I281" s="322">
        <f>IF((E$4+1)&amp;"年"&amp;I$5&lt;&gt;'9.项目开发计划表'!$AG$46,1,(E$4+1)&amp;"年"&amp;I$5)</f>
        <v>1</v>
      </c>
      <c r="J281" s="312">
        <f>IF((E$4+1)&amp;"年"&amp;J$5&lt;&gt;'9.项目开发计划表'!$AG$46,1,(E$4+1)&amp;"年"&amp;J$5)</f>
        <v>1</v>
      </c>
      <c r="K281" s="312">
        <f>IF((E$4+1)&amp;"年"&amp;K$5&lt;&gt;'9.项目开发计划表'!$AG$46,1,(E$4+1)&amp;"年"&amp;K$5)</f>
        <v>1</v>
      </c>
      <c r="L281" s="313">
        <f>IF((E$4+1)&amp;"年"&amp;L$5&lt;&gt;'9.项目开发计划表'!$AG$46,1,(E$4+1)&amp;"年"&amp;L$5)</f>
        <v>1</v>
      </c>
      <c r="M281" s="322">
        <f>IF((I$4+1)&amp;"年"&amp;M$5&lt;&gt;'9.项目开发计划表'!$AG$46,1,(I$4+1)&amp;"年"&amp;M$5)</f>
        <v>1</v>
      </c>
      <c r="N281" s="312">
        <f>IF((I$4+1)&amp;"年"&amp;N$5&lt;&gt;'9.项目开发计划表'!$AG$46,1,(I$4+1)&amp;"年"&amp;N$5)</f>
        <v>1</v>
      </c>
      <c r="O281" s="312">
        <f>IF((I$4+1)&amp;"年"&amp;O$5&lt;&gt;'9.项目开发计划表'!$AG$46,1,(I$4+1)&amp;"年"&amp;O$5)</f>
        <v>1</v>
      </c>
      <c r="P281" s="313">
        <f>IF((I$4+1)&amp;"年"&amp;P$5&lt;&gt;'9.项目开发计划表'!$AG$46,1,(I$4+1)&amp;"年"&amp;P$5)</f>
        <v>1</v>
      </c>
      <c r="Q281" s="322">
        <f>IF((M$4+1)&amp;"年"&amp;Q$5&lt;&gt;'9.项目开发计划表'!$AG$46,1,(M$4+1)&amp;"年"&amp;Q$5)</f>
        <v>1</v>
      </c>
      <c r="R281" s="312">
        <f>IF((M$4+1)&amp;"年"&amp;R$5&lt;&gt;'9.项目开发计划表'!$AG$46,1,(M$4+1)&amp;"年"&amp;R$5)</f>
        <v>1</v>
      </c>
      <c r="S281" s="312">
        <f>IF((M$4+1)&amp;"年"&amp;S$5&lt;&gt;'9.项目开发计划表'!$AG$46,1,(M$4+1)&amp;"年"&amp;S$5)</f>
        <v>1</v>
      </c>
      <c r="T281" s="313">
        <f>IF((M$4+1)&amp;"年"&amp;T$5&lt;&gt;'9.项目开发计划表'!$AG$46,1,(M$4+1)&amp;"年"&amp;T$5)</f>
        <v>1</v>
      </c>
      <c r="U281" s="322">
        <f>IF((Q$4+1)&amp;"年"&amp;U$5&lt;&gt;'9.项目开发计划表'!$AG$46,1,(Q$4+1)&amp;"年"&amp;U$5)</f>
        <v>1</v>
      </c>
      <c r="V281" s="312">
        <f>IF((Q$4+1)&amp;"年"&amp;V$5&lt;&gt;'9.项目开发计划表'!$AG$46,1,(Q$4+1)&amp;"年"&amp;V$5)</f>
        <v>1</v>
      </c>
      <c r="W281" s="312">
        <f>IF((Q$4+1)&amp;"年"&amp;W$5&lt;&gt;'9.项目开发计划表'!$AG$46,1,(Q$4+1)&amp;"年"&amp;W$5)</f>
        <v>1</v>
      </c>
      <c r="X281" s="313">
        <f>IF((Q$4+1)&amp;"年"&amp;X$5&lt;&gt;'9.项目开发计划表'!$AG$46,1,(Q$4+1)&amp;"年"&amp;X$5)</f>
        <v>1</v>
      </c>
      <c r="Y281" s="322">
        <f>IF((U$4+1)&amp;"年"&amp;Y$5&lt;&gt;'9.项目开发计划表'!$AG$46,1,(U$4+1)&amp;"年"&amp;Y$5)</f>
        <v>1</v>
      </c>
      <c r="Z281" s="312">
        <f>IF((U$4+1)&amp;"年"&amp;Z$5&lt;&gt;'9.项目开发计划表'!$AG$46,1,(U$4+1)&amp;"年"&amp;Z$5)</f>
        <v>1</v>
      </c>
      <c r="AA281" s="312">
        <f>IF((U$4+1)&amp;"年"&amp;AA$5&lt;&gt;'9.项目开发计划表'!$AG$46,1,(U$4+1)&amp;"年"&amp;AA$5)</f>
        <v>1</v>
      </c>
      <c r="AB281" s="313">
        <f>IF((U$4+1)&amp;"年"&amp;AB$5&lt;&gt;'9.项目开发计划表'!$AG$46,1,(U$4+1)&amp;"年"&amp;AB$5)</f>
        <v>1</v>
      </c>
      <c r="AC281" s="322">
        <f>IF((Y$4+1)&amp;"年"&amp;AC$5&lt;&gt;'9.项目开发计划表'!$AG$46,1,(Y$4+1)&amp;"年"&amp;AC$5)</f>
        <v>1</v>
      </c>
      <c r="AD281" s="312">
        <f>IF((Y$4+1)&amp;"年"&amp;AD$5&lt;&gt;'9.项目开发计划表'!$AG$46,1,(Y$4+1)&amp;"年"&amp;AD$5)</f>
        <v>1</v>
      </c>
      <c r="AE281" s="312">
        <f>IF((Y$4+1)&amp;"年"&amp;AE$5&lt;&gt;'9.项目开发计划表'!$AG$46,1,(Y$4+1)&amp;"年"&amp;AE$5)</f>
        <v>1</v>
      </c>
      <c r="AF281" s="313">
        <f>IF((Y$4+1)&amp;"年"&amp;AF$5&lt;&gt;'9.项目开发计划表'!$AG$46,1,(Y$4+1)&amp;"年"&amp;AF$5)</f>
        <v>1</v>
      </c>
      <c r="AG281" s="322">
        <f>IF((AC$4+1)&amp;"年"&amp;AG$5&lt;&gt;'9.项目开发计划表'!$AG$46,1,(AC$4+1)&amp;"年"&amp;AG$5)</f>
        <v>1</v>
      </c>
      <c r="AH281" s="312">
        <f>IF((AC$4+1)&amp;"年"&amp;AH$5&lt;&gt;'9.项目开发计划表'!$AG$46,1,(AC$4+1)&amp;"年"&amp;AH$5)</f>
        <v>1</v>
      </c>
      <c r="AI281" s="312">
        <f>IF((AC$4+1)&amp;"年"&amp;AI$5&lt;&gt;'9.项目开发计划表'!$AG$46,1,(AC$4+1)&amp;"年"&amp;AI$5)</f>
        <v>1</v>
      </c>
      <c r="AJ281" s="313">
        <f>IF((AC$4+1)&amp;"年"&amp;AJ$5&lt;&gt;'9.项目开发计划表'!$AG$46,1,(AC$4+1)&amp;"年"&amp;AJ$5)</f>
        <v>1</v>
      </c>
      <c r="AK281" s="322">
        <f>IF((AG$4+1)&amp;"年"&amp;AK$5&lt;&gt;'9.项目开发计划表'!$AG$46,1,(AG$4+1)&amp;"年"&amp;AK$5)</f>
        <v>1</v>
      </c>
      <c r="AL281" s="312">
        <f>IF((AG$4+1)&amp;"年"&amp;AL$5&lt;&gt;'9.项目开发计划表'!$AG$46,1,(AG$4+1)&amp;"年"&amp;AL$5)</f>
        <v>1</v>
      </c>
      <c r="AM281" s="312">
        <f>IF((AG$4+1)&amp;"年"&amp;AM$5&lt;&gt;'9.项目开发计划表'!$AG$46,1,(AG$4+1)&amp;"年"&amp;AM$5)</f>
        <v>1</v>
      </c>
      <c r="AN281" s="313">
        <f>IF((AG$4+1)&amp;"年"&amp;AN$5&lt;&gt;'9.项目开发计划表'!$AG$46,1,(AG$4+1)&amp;"年"&amp;AN$5)</f>
        <v>1</v>
      </c>
      <c r="AO281" s="322">
        <f>IF((AK$4+1)&amp;"年"&amp;AO$5&lt;&gt;'9.项目开发计划表'!$AG$46,1,(AK$4+1)&amp;"年"&amp;AO$5)</f>
        <v>1</v>
      </c>
      <c r="AP281" s="312">
        <f>IF((AK$4+1)&amp;"年"&amp;AP$5&lt;&gt;'9.项目开发计划表'!$AG$46,1,(AK$4+1)&amp;"年"&amp;AP$5)</f>
        <v>1</v>
      </c>
      <c r="AQ281" s="312">
        <f>IF((AK$4+1)&amp;"年"&amp;AQ$5&lt;&gt;'9.项目开发计划表'!$AG$46,1,(AK$4+1)&amp;"年"&amp;AQ$5)</f>
        <v>1</v>
      </c>
      <c r="AR281" s="313">
        <f>IF((AK$4+1)&amp;"年"&amp;AR$5&lt;&gt;'9.项目开发计划表'!$AG$46,1,(AK$4+1)&amp;"年"&amp;AR$5)</f>
        <v>1</v>
      </c>
      <c r="AS281" s="322">
        <f>IF((AO$4+1)&amp;"年"&amp;AS$5&lt;&gt;'9.项目开发计划表'!$AG$46,1,(AO$4+1)&amp;"年"&amp;AS$5)</f>
        <v>1</v>
      </c>
      <c r="AT281" s="312">
        <f>IF((AO$4+1)&amp;"年"&amp;AT$5&lt;&gt;'9.项目开发计划表'!$AG$46,1,(AO$4+1)&amp;"年"&amp;AT$5)</f>
        <v>1</v>
      </c>
      <c r="AU281" s="312">
        <f>IF((AO$4+1)&amp;"年"&amp;AU$5&lt;&gt;'9.项目开发计划表'!$AG$46,1,(AO$4+1)&amp;"年"&amp;AU$5)</f>
        <v>1</v>
      </c>
      <c r="AV281" s="313">
        <f>IF((AO$4+1)&amp;"年"&amp;AV$5&lt;&gt;'9.项目开发计划表'!$AG$46,1,(AO$4+1)&amp;"年"&amp;AV$5)</f>
        <v>1</v>
      </c>
    </row>
    <row r="282" spans="2:48" s="256" customFormat="1" ht="15.75" customHeight="1" outlineLevel="1">
      <c r="B282" s="321"/>
      <c r="C282" s="1980"/>
      <c r="D282" s="1982"/>
      <c r="E282" s="280">
        <f t="shared" ref="E282:AV282" si="93">IF(E281=1,0,1)</f>
        <v>0</v>
      </c>
      <c r="F282" s="281">
        <f t="shared" si="93"/>
        <v>0</v>
      </c>
      <c r="G282" s="281">
        <f t="shared" si="93"/>
        <v>0</v>
      </c>
      <c r="H282" s="282">
        <f t="shared" si="93"/>
        <v>0</v>
      </c>
      <c r="I282" s="323">
        <f t="shared" si="93"/>
        <v>0</v>
      </c>
      <c r="J282" s="281">
        <f t="shared" si="93"/>
        <v>0</v>
      </c>
      <c r="K282" s="281">
        <f t="shared" si="93"/>
        <v>0</v>
      </c>
      <c r="L282" s="282">
        <f t="shared" si="93"/>
        <v>0</v>
      </c>
      <c r="M282" s="323">
        <f t="shared" si="93"/>
        <v>0</v>
      </c>
      <c r="N282" s="281">
        <f t="shared" si="93"/>
        <v>0</v>
      </c>
      <c r="O282" s="281">
        <f t="shared" si="93"/>
        <v>0</v>
      </c>
      <c r="P282" s="282">
        <f t="shared" si="93"/>
        <v>0</v>
      </c>
      <c r="Q282" s="323">
        <f t="shared" si="93"/>
        <v>0</v>
      </c>
      <c r="R282" s="281">
        <f t="shared" si="93"/>
        <v>0</v>
      </c>
      <c r="S282" s="281">
        <f t="shared" si="93"/>
        <v>0</v>
      </c>
      <c r="T282" s="282">
        <f t="shared" si="93"/>
        <v>0</v>
      </c>
      <c r="U282" s="323">
        <f t="shared" si="93"/>
        <v>0</v>
      </c>
      <c r="V282" s="281">
        <f t="shared" si="93"/>
        <v>0</v>
      </c>
      <c r="W282" s="281">
        <f t="shared" si="93"/>
        <v>0</v>
      </c>
      <c r="X282" s="282">
        <f t="shared" si="93"/>
        <v>0</v>
      </c>
      <c r="Y282" s="323">
        <f t="shared" si="93"/>
        <v>0</v>
      </c>
      <c r="Z282" s="281">
        <f t="shared" si="93"/>
        <v>0</v>
      </c>
      <c r="AA282" s="281">
        <f t="shared" si="93"/>
        <v>0</v>
      </c>
      <c r="AB282" s="282">
        <f t="shared" si="93"/>
        <v>0</v>
      </c>
      <c r="AC282" s="323">
        <f t="shared" si="93"/>
        <v>0</v>
      </c>
      <c r="AD282" s="281">
        <f t="shared" si="93"/>
        <v>0</v>
      </c>
      <c r="AE282" s="281">
        <f t="shared" si="93"/>
        <v>0</v>
      </c>
      <c r="AF282" s="282">
        <f t="shared" si="93"/>
        <v>0</v>
      </c>
      <c r="AG282" s="323">
        <f t="shared" si="93"/>
        <v>0</v>
      </c>
      <c r="AH282" s="281">
        <f t="shared" si="93"/>
        <v>0</v>
      </c>
      <c r="AI282" s="281">
        <f t="shared" si="93"/>
        <v>0</v>
      </c>
      <c r="AJ282" s="282">
        <f t="shared" si="93"/>
        <v>0</v>
      </c>
      <c r="AK282" s="323">
        <f t="shared" si="93"/>
        <v>0</v>
      </c>
      <c r="AL282" s="281">
        <f t="shared" si="93"/>
        <v>0</v>
      </c>
      <c r="AM282" s="281">
        <f t="shared" si="93"/>
        <v>0</v>
      </c>
      <c r="AN282" s="282">
        <f t="shared" si="93"/>
        <v>0</v>
      </c>
      <c r="AO282" s="323">
        <f t="shared" si="93"/>
        <v>0</v>
      </c>
      <c r="AP282" s="281">
        <f t="shared" si="93"/>
        <v>0</v>
      </c>
      <c r="AQ282" s="281">
        <f t="shared" si="93"/>
        <v>0</v>
      </c>
      <c r="AR282" s="282">
        <f t="shared" si="93"/>
        <v>0</v>
      </c>
      <c r="AS282" s="323">
        <f t="shared" si="93"/>
        <v>0</v>
      </c>
      <c r="AT282" s="281">
        <f t="shared" si="93"/>
        <v>0</v>
      </c>
      <c r="AU282" s="281">
        <f t="shared" si="93"/>
        <v>0</v>
      </c>
      <c r="AV282" s="282">
        <f t="shared" si="93"/>
        <v>0</v>
      </c>
    </row>
    <row r="283" spans="2:48" s="256" customFormat="1" ht="15.75" customHeight="1" outlineLevel="1">
      <c r="B283" s="321"/>
      <c r="C283" s="1980"/>
      <c r="D283" s="1981">
        <f>'8.项目规划指标表'!$B$8</f>
        <v>0</v>
      </c>
      <c r="E283" s="311">
        <f>IF($E$4&amp;"年"&amp;E$5&lt;&gt;'9.项目开发计划表'!$AG$47,1,$E$4&amp;"年"&amp;E$5)</f>
        <v>1</v>
      </c>
      <c r="F283" s="312">
        <f>IF($E$4&amp;"年"&amp;F$5&lt;&gt;'9.项目开发计划表'!$AG$47,1,$E$4&amp;"年"&amp;F$5)</f>
        <v>1</v>
      </c>
      <c r="G283" s="312">
        <f>IF($E$4&amp;"年"&amp;G$5&lt;&gt;'9.项目开发计划表'!$AG$47,1,$E$4&amp;"年"&amp;G$5)</f>
        <v>1</v>
      </c>
      <c r="H283" s="313">
        <f>IF($E$4&amp;"年"&amp;H$5&lt;&gt;'9.项目开发计划表'!$AG$47,1,$E$4&amp;"年"&amp;H$5)</f>
        <v>1</v>
      </c>
      <c r="I283" s="322">
        <f>IF((E$4+1)&amp;"年"&amp;I$5&lt;&gt;'9.项目开发计划表'!$AG$47,1,(E$4+1)&amp;"年"&amp;I$5)</f>
        <v>1</v>
      </c>
      <c r="J283" s="312">
        <f>IF((E$4+1)&amp;"年"&amp;J$5&lt;&gt;'9.项目开发计划表'!$AG$47,1,(E$4+1)&amp;"年"&amp;J$5)</f>
        <v>1</v>
      </c>
      <c r="K283" s="312">
        <f>IF((E$4+1)&amp;"年"&amp;K$5&lt;&gt;'9.项目开发计划表'!$AG$47,1,(E$4+1)&amp;"年"&amp;K$5)</f>
        <v>1</v>
      </c>
      <c r="L283" s="313">
        <f>IF((E$4+1)&amp;"年"&amp;L$5&lt;&gt;'9.项目开发计划表'!$AG$47,1,(E$4+1)&amp;"年"&amp;L$5)</f>
        <v>1</v>
      </c>
      <c r="M283" s="322">
        <f>IF((I$4+1)&amp;"年"&amp;M$5&lt;&gt;'9.项目开发计划表'!$AG$47,1,(I$4+1)&amp;"年"&amp;M$5)</f>
        <v>1</v>
      </c>
      <c r="N283" s="312">
        <f>IF((I$4+1)&amp;"年"&amp;N$5&lt;&gt;'9.项目开发计划表'!$AG$47,1,(I$4+1)&amp;"年"&amp;N$5)</f>
        <v>1</v>
      </c>
      <c r="O283" s="312">
        <f>IF((I$4+1)&amp;"年"&amp;O$5&lt;&gt;'9.项目开发计划表'!$AG$47,1,(I$4+1)&amp;"年"&amp;O$5)</f>
        <v>1</v>
      </c>
      <c r="P283" s="313">
        <f>IF((I$4+1)&amp;"年"&amp;P$5&lt;&gt;'9.项目开发计划表'!$AG$47,1,(I$4+1)&amp;"年"&amp;P$5)</f>
        <v>1</v>
      </c>
      <c r="Q283" s="322">
        <f>IF((M$4+1)&amp;"年"&amp;Q$5&lt;&gt;'9.项目开发计划表'!$AG$47,1,(M$4+1)&amp;"年"&amp;Q$5)</f>
        <v>1</v>
      </c>
      <c r="R283" s="312">
        <f>IF((M$4+1)&amp;"年"&amp;R$5&lt;&gt;'9.项目开发计划表'!$AG$47,1,(M$4+1)&amp;"年"&amp;R$5)</f>
        <v>1</v>
      </c>
      <c r="S283" s="312">
        <f>IF((M$4+1)&amp;"年"&amp;S$5&lt;&gt;'9.项目开发计划表'!$AG$47,1,(M$4+1)&amp;"年"&amp;S$5)</f>
        <v>1</v>
      </c>
      <c r="T283" s="313">
        <f>IF((M$4+1)&amp;"年"&amp;T$5&lt;&gt;'9.项目开发计划表'!$AG$47,1,(M$4+1)&amp;"年"&amp;T$5)</f>
        <v>1</v>
      </c>
      <c r="U283" s="322">
        <f>IF((Q$4+1)&amp;"年"&amp;U$5&lt;&gt;'9.项目开发计划表'!$AG$47,1,(Q$4+1)&amp;"年"&amp;U$5)</f>
        <v>1</v>
      </c>
      <c r="V283" s="312">
        <f>IF((Q$4+1)&amp;"年"&amp;V$5&lt;&gt;'9.项目开发计划表'!$AG$47,1,(Q$4+1)&amp;"年"&amp;V$5)</f>
        <v>1</v>
      </c>
      <c r="W283" s="312">
        <f>IF((Q$4+1)&amp;"年"&amp;W$5&lt;&gt;'9.项目开发计划表'!$AG$47,1,(Q$4+1)&amp;"年"&amp;W$5)</f>
        <v>1</v>
      </c>
      <c r="X283" s="313">
        <f>IF((Q$4+1)&amp;"年"&amp;X$5&lt;&gt;'9.项目开发计划表'!$AG$47,1,(Q$4+1)&amp;"年"&amp;X$5)</f>
        <v>1</v>
      </c>
      <c r="Y283" s="322">
        <f>IF((U$4+1)&amp;"年"&amp;Y$5&lt;&gt;'9.项目开发计划表'!$AG$47,1,(U$4+1)&amp;"年"&amp;Y$5)</f>
        <v>1</v>
      </c>
      <c r="Z283" s="312">
        <f>IF((U$4+1)&amp;"年"&amp;Z$5&lt;&gt;'9.项目开发计划表'!$AG$47,1,(U$4+1)&amp;"年"&amp;Z$5)</f>
        <v>1</v>
      </c>
      <c r="AA283" s="312">
        <f>IF((U$4+1)&amp;"年"&amp;AA$5&lt;&gt;'9.项目开发计划表'!$AG$47,1,(U$4+1)&amp;"年"&amp;AA$5)</f>
        <v>1</v>
      </c>
      <c r="AB283" s="313">
        <f>IF((U$4+1)&amp;"年"&amp;AB$5&lt;&gt;'9.项目开发计划表'!$AG$47,1,(U$4+1)&amp;"年"&amp;AB$5)</f>
        <v>1</v>
      </c>
      <c r="AC283" s="322">
        <f>IF((Y$4+1)&amp;"年"&amp;AC$5&lt;&gt;'9.项目开发计划表'!$AG$47,1,(Y$4+1)&amp;"年"&amp;AC$5)</f>
        <v>1</v>
      </c>
      <c r="AD283" s="312">
        <f>IF((Y$4+1)&amp;"年"&amp;AD$5&lt;&gt;'9.项目开发计划表'!$AG$47,1,(Y$4+1)&amp;"年"&amp;AD$5)</f>
        <v>1</v>
      </c>
      <c r="AE283" s="312">
        <f>IF((Y$4+1)&amp;"年"&amp;AE$5&lt;&gt;'9.项目开发计划表'!$AG$47,1,(Y$4+1)&amp;"年"&amp;AE$5)</f>
        <v>1</v>
      </c>
      <c r="AF283" s="313">
        <f>IF((Y$4+1)&amp;"年"&amp;AF$5&lt;&gt;'9.项目开发计划表'!$AG$47,1,(Y$4+1)&amp;"年"&amp;AF$5)</f>
        <v>1</v>
      </c>
      <c r="AG283" s="322">
        <f>IF((AC$4+1)&amp;"年"&amp;AG$5&lt;&gt;'9.项目开发计划表'!$AG$47,1,(AC$4+1)&amp;"年"&amp;AG$5)</f>
        <v>1</v>
      </c>
      <c r="AH283" s="312">
        <f>IF((AC$4+1)&amp;"年"&amp;AH$5&lt;&gt;'9.项目开发计划表'!$AG$47,1,(AC$4+1)&amp;"年"&amp;AH$5)</f>
        <v>1</v>
      </c>
      <c r="AI283" s="312">
        <f>IF((AC$4+1)&amp;"年"&amp;AI$5&lt;&gt;'9.项目开发计划表'!$AG$47,1,(AC$4+1)&amp;"年"&amp;AI$5)</f>
        <v>1</v>
      </c>
      <c r="AJ283" s="313">
        <f>IF((AC$4+1)&amp;"年"&amp;AJ$5&lt;&gt;'9.项目开发计划表'!$AG$47,1,(AC$4+1)&amp;"年"&amp;AJ$5)</f>
        <v>1</v>
      </c>
      <c r="AK283" s="322">
        <f>IF((AG$4+1)&amp;"年"&amp;AK$5&lt;&gt;'9.项目开发计划表'!$AG$47,1,(AG$4+1)&amp;"年"&amp;AK$5)</f>
        <v>1</v>
      </c>
      <c r="AL283" s="312">
        <f>IF((AG$4+1)&amp;"年"&amp;AL$5&lt;&gt;'9.项目开发计划表'!$AG$47,1,(AG$4+1)&amp;"年"&amp;AL$5)</f>
        <v>1</v>
      </c>
      <c r="AM283" s="312">
        <f>IF((AG$4+1)&amp;"年"&amp;AM$5&lt;&gt;'9.项目开发计划表'!$AG$47,1,(AG$4+1)&amp;"年"&amp;AM$5)</f>
        <v>1</v>
      </c>
      <c r="AN283" s="313">
        <f>IF((AG$4+1)&amp;"年"&amp;AN$5&lt;&gt;'9.项目开发计划表'!$AG$47,1,(AG$4+1)&amp;"年"&amp;AN$5)</f>
        <v>1</v>
      </c>
      <c r="AO283" s="322">
        <f>IF((AK$4+1)&amp;"年"&amp;AO$5&lt;&gt;'9.项目开发计划表'!$AG$47,1,(AK$4+1)&amp;"年"&amp;AO$5)</f>
        <v>1</v>
      </c>
      <c r="AP283" s="312">
        <f>IF((AK$4+1)&amp;"年"&amp;AP$5&lt;&gt;'9.项目开发计划表'!$AG$47,1,(AK$4+1)&amp;"年"&amp;AP$5)</f>
        <v>1</v>
      </c>
      <c r="AQ283" s="312">
        <f>IF((AK$4+1)&amp;"年"&amp;AQ$5&lt;&gt;'9.项目开发计划表'!$AG$47,1,(AK$4+1)&amp;"年"&amp;AQ$5)</f>
        <v>1</v>
      </c>
      <c r="AR283" s="313">
        <f>IF((AK$4+1)&amp;"年"&amp;AR$5&lt;&gt;'9.项目开发计划表'!$AG$47,1,(AK$4+1)&amp;"年"&amp;AR$5)</f>
        <v>1</v>
      </c>
      <c r="AS283" s="322">
        <f>IF((AO$4+1)&amp;"年"&amp;AS$5&lt;&gt;'9.项目开发计划表'!$AG$47,1,(AO$4+1)&amp;"年"&amp;AS$5)</f>
        <v>1</v>
      </c>
      <c r="AT283" s="312">
        <f>IF((AO$4+1)&amp;"年"&amp;AT$5&lt;&gt;'9.项目开发计划表'!$AG$47,1,(AO$4+1)&amp;"年"&amp;AT$5)</f>
        <v>1</v>
      </c>
      <c r="AU283" s="312">
        <f>IF((AO$4+1)&amp;"年"&amp;AU$5&lt;&gt;'9.项目开发计划表'!$AG$47,1,(AO$4+1)&amp;"年"&amp;AU$5)</f>
        <v>1</v>
      </c>
      <c r="AV283" s="313">
        <f>IF((AO$4+1)&amp;"年"&amp;AV$5&lt;&gt;'9.项目开发计划表'!$AG$47,1,(AO$4+1)&amp;"年"&amp;AV$5)</f>
        <v>1</v>
      </c>
    </row>
    <row r="284" spans="2:48" s="256" customFormat="1" ht="15.75" customHeight="1" outlineLevel="1">
      <c r="B284" s="321"/>
      <c r="C284" s="1980"/>
      <c r="D284" s="1982"/>
      <c r="E284" s="280">
        <f t="shared" ref="E284:AV284" si="94">IF(E283=1,0,1)</f>
        <v>0</v>
      </c>
      <c r="F284" s="281">
        <f t="shared" si="94"/>
        <v>0</v>
      </c>
      <c r="G284" s="281">
        <f t="shared" si="94"/>
        <v>0</v>
      </c>
      <c r="H284" s="282">
        <f t="shared" si="94"/>
        <v>0</v>
      </c>
      <c r="I284" s="323">
        <f t="shared" si="94"/>
        <v>0</v>
      </c>
      <c r="J284" s="281">
        <f t="shared" si="94"/>
        <v>0</v>
      </c>
      <c r="K284" s="281">
        <f t="shared" si="94"/>
        <v>0</v>
      </c>
      <c r="L284" s="282">
        <f t="shared" si="94"/>
        <v>0</v>
      </c>
      <c r="M284" s="323">
        <f t="shared" si="94"/>
        <v>0</v>
      </c>
      <c r="N284" s="281">
        <f t="shared" si="94"/>
        <v>0</v>
      </c>
      <c r="O284" s="281">
        <f t="shared" si="94"/>
        <v>0</v>
      </c>
      <c r="P284" s="282">
        <f t="shared" si="94"/>
        <v>0</v>
      </c>
      <c r="Q284" s="323">
        <f t="shared" si="94"/>
        <v>0</v>
      </c>
      <c r="R284" s="281">
        <f t="shared" si="94"/>
        <v>0</v>
      </c>
      <c r="S284" s="281">
        <f t="shared" si="94"/>
        <v>0</v>
      </c>
      <c r="T284" s="282">
        <f t="shared" si="94"/>
        <v>0</v>
      </c>
      <c r="U284" s="323">
        <f t="shared" si="94"/>
        <v>0</v>
      </c>
      <c r="V284" s="281">
        <f t="shared" si="94"/>
        <v>0</v>
      </c>
      <c r="W284" s="281">
        <f t="shared" si="94"/>
        <v>0</v>
      </c>
      <c r="X284" s="282">
        <f t="shared" si="94"/>
        <v>0</v>
      </c>
      <c r="Y284" s="323">
        <f t="shared" si="94"/>
        <v>0</v>
      </c>
      <c r="Z284" s="281">
        <f t="shared" si="94"/>
        <v>0</v>
      </c>
      <c r="AA284" s="281">
        <f t="shared" si="94"/>
        <v>0</v>
      </c>
      <c r="AB284" s="282">
        <f t="shared" si="94"/>
        <v>0</v>
      </c>
      <c r="AC284" s="323">
        <f t="shared" si="94"/>
        <v>0</v>
      </c>
      <c r="AD284" s="281">
        <f t="shared" si="94"/>
        <v>0</v>
      </c>
      <c r="AE284" s="281">
        <f t="shared" si="94"/>
        <v>0</v>
      </c>
      <c r="AF284" s="282">
        <f t="shared" si="94"/>
        <v>0</v>
      </c>
      <c r="AG284" s="323">
        <f t="shared" si="94"/>
        <v>0</v>
      </c>
      <c r="AH284" s="281">
        <f t="shared" si="94"/>
        <v>0</v>
      </c>
      <c r="AI284" s="281">
        <f t="shared" si="94"/>
        <v>0</v>
      </c>
      <c r="AJ284" s="282">
        <f t="shared" si="94"/>
        <v>0</v>
      </c>
      <c r="AK284" s="323">
        <f t="shared" si="94"/>
        <v>0</v>
      </c>
      <c r="AL284" s="281">
        <f t="shared" si="94"/>
        <v>0</v>
      </c>
      <c r="AM284" s="281">
        <f t="shared" si="94"/>
        <v>0</v>
      </c>
      <c r="AN284" s="282">
        <f t="shared" si="94"/>
        <v>0</v>
      </c>
      <c r="AO284" s="323">
        <f t="shared" si="94"/>
        <v>0</v>
      </c>
      <c r="AP284" s="281">
        <f t="shared" si="94"/>
        <v>0</v>
      </c>
      <c r="AQ284" s="281">
        <f t="shared" si="94"/>
        <v>0</v>
      </c>
      <c r="AR284" s="282">
        <f t="shared" si="94"/>
        <v>0</v>
      </c>
      <c r="AS284" s="323">
        <f t="shared" si="94"/>
        <v>0</v>
      </c>
      <c r="AT284" s="281">
        <f t="shared" si="94"/>
        <v>0</v>
      </c>
      <c r="AU284" s="281">
        <f t="shared" si="94"/>
        <v>0</v>
      </c>
      <c r="AV284" s="282">
        <f t="shared" si="94"/>
        <v>0</v>
      </c>
    </row>
    <row r="285" spans="2:48" s="256" customFormat="1" ht="15.75" customHeight="1" outlineLevel="1">
      <c r="B285" s="321"/>
      <c r="C285" s="1980"/>
      <c r="D285" s="1981">
        <f>'8.项目规划指标表'!$B$9</f>
        <v>0</v>
      </c>
      <c r="E285" s="311">
        <f>IF($E$4&amp;"年"&amp;E$5&lt;&gt;'9.项目开发计划表'!$AG$48,1,$E$4&amp;"年"&amp;E$5)</f>
        <v>1</v>
      </c>
      <c r="F285" s="312">
        <f>IF($E$4&amp;"年"&amp;F$5&lt;&gt;'9.项目开发计划表'!$AG$48,1,$E$4&amp;"年"&amp;F$5)</f>
        <v>1</v>
      </c>
      <c r="G285" s="312">
        <f>IF($E$4&amp;"年"&amp;G$5&lt;&gt;'9.项目开发计划表'!$AG$48,1,$E$4&amp;"年"&amp;G$5)</f>
        <v>1</v>
      </c>
      <c r="H285" s="313">
        <f>IF($E$4&amp;"年"&amp;H$5&lt;&gt;'9.项目开发计划表'!$AG$48,1,$E$4&amp;"年"&amp;H$5)</f>
        <v>1</v>
      </c>
      <c r="I285" s="322">
        <f>IF((E$4+1)&amp;"年"&amp;I$5&lt;&gt;'9.项目开发计划表'!$AG$48,1,(E$4+1)&amp;"年"&amp;I$5)</f>
        <v>1</v>
      </c>
      <c r="J285" s="312">
        <f>IF((E$4+1)&amp;"年"&amp;J$5&lt;&gt;'9.项目开发计划表'!$AG$48,1,(E$4+1)&amp;"年"&amp;J$5)</f>
        <v>1</v>
      </c>
      <c r="K285" s="312">
        <f>IF((E$4+1)&amp;"年"&amp;K$5&lt;&gt;'9.项目开发计划表'!$AG$48,1,(E$4+1)&amp;"年"&amp;K$5)</f>
        <v>1</v>
      </c>
      <c r="L285" s="313">
        <f>IF((E$4+1)&amp;"年"&amp;L$5&lt;&gt;'9.项目开发计划表'!$AG$48,1,(E$4+1)&amp;"年"&amp;L$5)</f>
        <v>1</v>
      </c>
      <c r="M285" s="322">
        <f>IF((I$4+1)&amp;"年"&amp;M$5&lt;&gt;'9.项目开发计划表'!$AG$48,1,(I$4+1)&amp;"年"&amp;M$5)</f>
        <v>1</v>
      </c>
      <c r="N285" s="312">
        <f>IF((I$4+1)&amp;"年"&amp;N$5&lt;&gt;'9.项目开发计划表'!$AG$48,1,(I$4+1)&amp;"年"&amp;N$5)</f>
        <v>1</v>
      </c>
      <c r="O285" s="312">
        <f>IF((I$4+1)&amp;"年"&amp;O$5&lt;&gt;'9.项目开发计划表'!$AG$48,1,(I$4+1)&amp;"年"&amp;O$5)</f>
        <v>1</v>
      </c>
      <c r="P285" s="313">
        <f>IF((I$4+1)&amp;"年"&amp;P$5&lt;&gt;'9.项目开发计划表'!$AG$48,1,(I$4+1)&amp;"年"&amp;P$5)</f>
        <v>1</v>
      </c>
      <c r="Q285" s="322">
        <f>IF((M$4+1)&amp;"年"&amp;Q$5&lt;&gt;'9.项目开发计划表'!$AG$48,1,(M$4+1)&amp;"年"&amp;Q$5)</f>
        <v>1</v>
      </c>
      <c r="R285" s="312">
        <f>IF((M$4+1)&amp;"年"&amp;R$5&lt;&gt;'9.项目开发计划表'!$AG$48,1,(M$4+1)&amp;"年"&amp;R$5)</f>
        <v>1</v>
      </c>
      <c r="S285" s="312">
        <f>IF((M$4+1)&amp;"年"&amp;S$5&lt;&gt;'9.项目开发计划表'!$AG$48,1,(M$4+1)&amp;"年"&amp;S$5)</f>
        <v>1</v>
      </c>
      <c r="T285" s="313">
        <f>IF((M$4+1)&amp;"年"&amp;T$5&lt;&gt;'9.项目开发计划表'!$AG$48,1,(M$4+1)&amp;"年"&amp;T$5)</f>
        <v>1</v>
      </c>
      <c r="U285" s="322">
        <f>IF((Q$4+1)&amp;"年"&amp;U$5&lt;&gt;'9.项目开发计划表'!$AG$48,1,(Q$4+1)&amp;"年"&amp;U$5)</f>
        <v>1</v>
      </c>
      <c r="V285" s="312">
        <f>IF((Q$4+1)&amp;"年"&amp;V$5&lt;&gt;'9.项目开发计划表'!$AG$48,1,(Q$4+1)&amp;"年"&amp;V$5)</f>
        <v>1</v>
      </c>
      <c r="W285" s="312">
        <f>IF((Q$4+1)&amp;"年"&amp;W$5&lt;&gt;'9.项目开发计划表'!$AG$48,1,(Q$4+1)&amp;"年"&amp;W$5)</f>
        <v>1</v>
      </c>
      <c r="X285" s="313">
        <f>IF((Q$4+1)&amp;"年"&amp;X$5&lt;&gt;'9.项目开发计划表'!$AG$48,1,(Q$4+1)&amp;"年"&amp;X$5)</f>
        <v>1</v>
      </c>
      <c r="Y285" s="322">
        <f>IF((U$4+1)&amp;"年"&amp;Y$5&lt;&gt;'9.项目开发计划表'!$AG$48,1,(U$4+1)&amp;"年"&amp;Y$5)</f>
        <v>1</v>
      </c>
      <c r="Z285" s="312">
        <f>IF((U$4+1)&amp;"年"&amp;Z$5&lt;&gt;'9.项目开发计划表'!$AG$48,1,(U$4+1)&amp;"年"&amp;Z$5)</f>
        <v>1</v>
      </c>
      <c r="AA285" s="312">
        <f>IF((U$4+1)&amp;"年"&amp;AA$5&lt;&gt;'9.项目开发计划表'!$AG$48,1,(U$4+1)&amp;"年"&amp;AA$5)</f>
        <v>1</v>
      </c>
      <c r="AB285" s="313">
        <f>IF((U$4+1)&amp;"年"&amp;AB$5&lt;&gt;'9.项目开发计划表'!$AG$48,1,(U$4+1)&amp;"年"&amp;AB$5)</f>
        <v>1</v>
      </c>
      <c r="AC285" s="322">
        <f>IF((Y$4+1)&amp;"年"&amp;AC$5&lt;&gt;'9.项目开发计划表'!$AG$48,1,(Y$4+1)&amp;"年"&amp;AC$5)</f>
        <v>1</v>
      </c>
      <c r="AD285" s="312">
        <f>IF((Y$4+1)&amp;"年"&amp;AD$5&lt;&gt;'9.项目开发计划表'!$AG$48,1,(Y$4+1)&amp;"年"&amp;AD$5)</f>
        <v>1</v>
      </c>
      <c r="AE285" s="312">
        <f>IF((Y$4+1)&amp;"年"&amp;AE$5&lt;&gt;'9.项目开发计划表'!$AG$48,1,(Y$4+1)&amp;"年"&amp;AE$5)</f>
        <v>1</v>
      </c>
      <c r="AF285" s="313">
        <f>IF((Y$4+1)&amp;"年"&amp;AF$5&lt;&gt;'9.项目开发计划表'!$AG$48,1,(Y$4+1)&amp;"年"&amp;AF$5)</f>
        <v>1</v>
      </c>
      <c r="AG285" s="322">
        <f>IF((AC$4+1)&amp;"年"&amp;AG$5&lt;&gt;'9.项目开发计划表'!$AG$48,1,(AC$4+1)&amp;"年"&amp;AG$5)</f>
        <v>1</v>
      </c>
      <c r="AH285" s="312">
        <f>IF((AC$4+1)&amp;"年"&amp;AH$5&lt;&gt;'9.项目开发计划表'!$AG$48,1,(AC$4+1)&amp;"年"&amp;AH$5)</f>
        <v>1</v>
      </c>
      <c r="AI285" s="312">
        <f>IF((AC$4+1)&amp;"年"&amp;AI$5&lt;&gt;'9.项目开发计划表'!$AG$48,1,(AC$4+1)&amp;"年"&amp;AI$5)</f>
        <v>1</v>
      </c>
      <c r="AJ285" s="313">
        <f>IF((AC$4+1)&amp;"年"&amp;AJ$5&lt;&gt;'9.项目开发计划表'!$AG$48,1,(AC$4+1)&amp;"年"&amp;AJ$5)</f>
        <v>1</v>
      </c>
      <c r="AK285" s="322">
        <f>IF((AG$4+1)&amp;"年"&amp;AK$5&lt;&gt;'9.项目开发计划表'!$AG$48,1,(AG$4+1)&amp;"年"&amp;AK$5)</f>
        <v>1</v>
      </c>
      <c r="AL285" s="312">
        <f>IF((AG$4+1)&amp;"年"&amp;AL$5&lt;&gt;'9.项目开发计划表'!$AG$48,1,(AG$4+1)&amp;"年"&amp;AL$5)</f>
        <v>1</v>
      </c>
      <c r="AM285" s="312">
        <f>IF((AG$4+1)&amp;"年"&amp;AM$5&lt;&gt;'9.项目开发计划表'!$AG$48,1,(AG$4+1)&amp;"年"&amp;AM$5)</f>
        <v>1</v>
      </c>
      <c r="AN285" s="313">
        <f>IF((AG$4+1)&amp;"年"&amp;AN$5&lt;&gt;'9.项目开发计划表'!$AG$48,1,(AG$4+1)&amp;"年"&amp;AN$5)</f>
        <v>1</v>
      </c>
      <c r="AO285" s="322">
        <f>IF((AK$4+1)&amp;"年"&amp;AO$5&lt;&gt;'9.项目开发计划表'!$AG$48,1,(AK$4+1)&amp;"年"&amp;AO$5)</f>
        <v>1</v>
      </c>
      <c r="AP285" s="312">
        <f>IF((AK$4+1)&amp;"年"&amp;AP$5&lt;&gt;'9.项目开发计划表'!$AG$48,1,(AK$4+1)&amp;"年"&amp;AP$5)</f>
        <v>1</v>
      </c>
      <c r="AQ285" s="312">
        <f>IF((AK$4+1)&amp;"年"&amp;AQ$5&lt;&gt;'9.项目开发计划表'!$AG$48,1,(AK$4+1)&amp;"年"&amp;AQ$5)</f>
        <v>1</v>
      </c>
      <c r="AR285" s="313">
        <f>IF((AK$4+1)&amp;"年"&amp;AR$5&lt;&gt;'9.项目开发计划表'!$AG$48,1,(AK$4+1)&amp;"年"&amp;AR$5)</f>
        <v>1</v>
      </c>
      <c r="AS285" s="322">
        <f>IF((AO$4+1)&amp;"年"&amp;AS$5&lt;&gt;'9.项目开发计划表'!$AG$48,1,(AO$4+1)&amp;"年"&amp;AS$5)</f>
        <v>1</v>
      </c>
      <c r="AT285" s="312">
        <f>IF((AO$4+1)&amp;"年"&amp;AT$5&lt;&gt;'9.项目开发计划表'!$AG$48,1,(AO$4+1)&amp;"年"&amp;AT$5)</f>
        <v>1</v>
      </c>
      <c r="AU285" s="312">
        <f>IF((AO$4+1)&amp;"年"&amp;AU$5&lt;&gt;'9.项目开发计划表'!$AG$48,1,(AO$4+1)&amp;"年"&amp;AU$5)</f>
        <v>1</v>
      </c>
      <c r="AV285" s="313">
        <f>IF((AO$4+1)&amp;"年"&amp;AV$5&lt;&gt;'9.项目开发计划表'!$AG$48,1,(AO$4+1)&amp;"年"&amp;AV$5)</f>
        <v>1</v>
      </c>
    </row>
    <row r="286" spans="2:48" s="256" customFormat="1" ht="15.75" customHeight="1" outlineLevel="1">
      <c r="B286" s="321"/>
      <c r="C286" s="1980"/>
      <c r="D286" s="1982"/>
      <c r="E286" s="280">
        <f t="shared" ref="E286:AV286" si="95">IF(E285=1,0,1)</f>
        <v>0</v>
      </c>
      <c r="F286" s="281">
        <f t="shared" si="95"/>
        <v>0</v>
      </c>
      <c r="G286" s="281">
        <f t="shared" si="95"/>
        <v>0</v>
      </c>
      <c r="H286" s="282">
        <f t="shared" si="95"/>
        <v>0</v>
      </c>
      <c r="I286" s="323">
        <f t="shared" si="95"/>
        <v>0</v>
      </c>
      <c r="J286" s="281">
        <f t="shared" si="95"/>
        <v>0</v>
      </c>
      <c r="K286" s="281">
        <f t="shared" si="95"/>
        <v>0</v>
      </c>
      <c r="L286" s="282">
        <f t="shared" si="95"/>
        <v>0</v>
      </c>
      <c r="M286" s="323">
        <f t="shared" si="95"/>
        <v>0</v>
      </c>
      <c r="N286" s="281">
        <f t="shared" si="95"/>
        <v>0</v>
      </c>
      <c r="O286" s="281">
        <f t="shared" si="95"/>
        <v>0</v>
      </c>
      <c r="P286" s="282">
        <f t="shared" si="95"/>
        <v>0</v>
      </c>
      <c r="Q286" s="323">
        <f t="shared" si="95"/>
        <v>0</v>
      </c>
      <c r="R286" s="281">
        <f t="shared" si="95"/>
        <v>0</v>
      </c>
      <c r="S286" s="281">
        <f t="shared" si="95"/>
        <v>0</v>
      </c>
      <c r="T286" s="282">
        <f t="shared" si="95"/>
        <v>0</v>
      </c>
      <c r="U286" s="323">
        <f t="shared" si="95"/>
        <v>0</v>
      </c>
      <c r="V286" s="281">
        <f t="shared" si="95"/>
        <v>0</v>
      </c>
      <c r="W286" s="281">
        <f t="shared" si="95"/>
        <v>0</v>
      </c>
      <c r="X286" s="282">
        <f t="shared" si="95"/>
        <v>0</v>
      </c>
      <c r="Y286" s="323">
        <f t="shared" si="95"/>
        <v>0</v>
      </c>
      <c r="Z286" s="281">
        <f t="shared" si="95"/>
        <v>0</v>
      </c>
      <c r="AA286" s="281">
        <f t="shared" si="95"/>
        <v>0</v>
      </c>
      <c r="AB286" s="282">
        <f t="shared" si="95"/>
        <v>0</v>
      </c>
      <c r="AC286" s="323">
        <f t="shared" si="95"/>
        <v>0</v>
      </c>
      <c r="AD286" s="281">
        <f t="shared" si="95"/>
        <v>0</v>
      </c>
      <c r="AE286" s="281">
        <f t="shared" si="95"/>
        <v>0</v>
      </c>
      <c r="AF286" s="282">
        <f t="shared" si="95"/>
        <v>0</v>
      </c>
      <c r="AG286" s="323">
        <f t="shared" si="95"/>
        <v>0</v>
      </c>
      <c r="AH286" s="281">
        <f t="shared" si="95"/>
        <v>0</v>
      </c>
      <c r="AI286" s="281">
        <f t="shared" si="95"/>
        <v>0</v>
      </c>
      <c r="AJ286" s="282">
        <f t="shared" si="95"/>
        <v>0</v>
      </c>
      <c r="AK286" s="323">
        <f t="shared" si="95"/>
        <v>0</v>
      </c>
      <c r="AL286" s="281">
        <f t="shared" si="95"/>
        <v>0</v>
      </c>
      <c r="AM286" s="281">
        <f t="shared" si="95"/>
        <v>0</v>
      </c>
      <c r="AN286" s="282">
        <f t="shared" si="95"/>
        <v>0</v>
      </c>
      <c r="AO286" s="323">
        <f t="shared" si="95"/>
        <v>0</v>
      </c>
      <c r="AP286" s="281">
        <f t="shared" si="95"/>
        <v>0</v>
      </c>
      <c r="AQ286" s="281">
        <f t="shared" si="95"/>
        <v>0</v>
      </c>
      <c r="AR286" s="282">
        <f t="shared" si="95"/>
        <v>0</v>
      </c>
      <c r="AS286" s="323">
        <f t="shared" si="95"/>
        <v>0</v>
      </c>
      <c r="AT286" s="281">
        <f t="shared" si="95"/>
        <v>0</v>
      </c>
      <c r="AU286" s="281">
        <f t="shared" si="95"/>
        <v>0</v>
      </c>
      <c r="AV286" s="282">
        <f t="shared" si="95"/>
        <v>0</v>
      </c>
    </row>
    <row r="287" spans="2:48" outlineLevel="1">
      <c r="C287" s="1980"/>
      <c r="D287" s="1981">
        <f>'8.项目规划指标表'!$B$10</f>
        <v>0</v>
      </c>
      <c r="E287" s="311">
        <f>IF($E$4&amp;"年"&amp;E$5&lt;&gt;'9.项目开发计划表'!$AG$49,1,$E$4&amp;"年"&amp;E$5)</f>
        <v>1</v>
      </c>
      <c r="F287" s="312">
        <f>IF($E$4&amp;"年"&amp;F$5&lt;&gt;'9.项目开发计划表'!$AG$49,1,$E$4&amp;"年"&amp;F$5)</f>
        <v>1</v>
      </c>
      <c r="G287" s="312">
        <f>IF($E$4&amp;"年"&amp;G$5&lt;&gt;'9.项目开发计划表'!$AG$49,1,$E$4&amp;"年"&amp;G$5)</f>
        <v>1</v>
      </c>
      <c r="H287" s="313">
        <f>IF($E$4&amp;"年"&amp;H$5&lt;&gt;'9.项目开发计划表'!$AG$49,1,$E$4&amp;"年"&amp;H$5)</f>
        <v>1</v>
      </c>
      <c r="I287" s="322">
        <f>IF((E$4+1)&amp;"年"&amp;I$5&lt;&gt;'9.项目开发计划表'!$AG$49,1,(E$4+1)&amp;"年"&amp;I$5)</f>
        <v>1</v>
      </c>
      <c r="J287" s="312">
        <f>IF((E$4+1)&amp;"年"&amp;J$5&lt;&gt;'9.项目开发计划表'!$AG$49,1,(E$4+1)&amp;"年"&amp;J$5)</f>
        <v>1</v>
      </c>
      <c r="K287" s="312">
        <f>IF((E$4+1)&amp;"年"&amp;K$5&lt;&gt;'9.项目开发计划表'!$AG$49,1,(E$4+1)&amp;"年"&amp;K$5)</f>
        <v>1</v>
      </c>
      <c r="L287" s="313">
        <f>IF((E$4+1)&amp;"年"&amp;L$5&lt;&gt;'9.项目开发计划表'!$AG$49,1,(E$4+1)&amp;"年"&amp;L$5)</f>
        <v>1</v>
      </c>
      <c r="M287" s="322">
        <f>IF((I$4+1)&amp;"年"&amp;M$5&lt;&gt;'9.项目开发计划表'!$AG$49,1,(I$4+1)&amp;"年"&amp;M$5)</f>
        <v>1</v>
      </c>
      <c r="N287" s="312">
        <f>IF((I$4+1)&amp;"年"&amp;N$5&lt;&gt;'9.项目开发计划表'!$AG$49,1,(I$4+1)&amp;"年"&amp;N$5)</f>
        <v>1</v>
      </c>
      <c r="O287" s="312">
        <f>IF((I$4+1)&amp;"年"&amp;O$5&lt;&gt;'9.项目开发计划表'!$AG$49,1,(I$4+1)&amp;"年"&amp;O$5)</f>
        <v>1</v>
      </c>
      <c r="P287" s="313">
        <f>IF((I$4+1)&amp;"年"&amp;P$5&lt;&gt;'9.项目开发计划表'!$AG$49,1,(I$4+1)&amp;"年"&amp;P$5)</f>
        <v>1</v>
      </c>
      <c r="Q287" s="322">
        <f>IF((M$4+1)&amp;"年"&amp;Q$5&lt;&gt;'9.项目开发计划表'!$AG$49,1,(M$4+1)&amp;"年"&amp;Q$5)</f>
        <v>1</v>
      </c>
      <c r="R287" s="312">
        <f>IF((M$4+1)&amp;"年"&amp;R$5&lt;&gt;'9.项目开发计划表'!$AG$49,1,(M$4+1)&amp;"年"&amp;R$5)</f>
        <v>1</v>
      </c>
      <c r="S287" s="312">
        <f>IF((M$4+1)&amp;"年"&amp;S$5&lt;&gt;'9.项目开发计划表'!$AG$49,1,(M$4+1)&amp;"年"&amp;S$5)</f>
        <v>1</v>
      </c>
      <c r="T287" s="313">
        <f>IF((M$4+1)&amp;"年"&amp;T$5&lt;&gt;'9.项目开发计划表'!$AG$49,1,(M$4+1)&amp;"年"&amp;T$5)</f>
        <v>1</v>
      </c>
      <c r="U287" s="322">
        <f>IF((Q$4+1)&amp;"年"&amp;U$5&lt;&gt;'9.项目开发计划表'!$AG$49,1,(Q$4+1)&amp;"年"&amp;U$5)</f>
        <v>1</v>
      </c>
      <c r="V287" s="312">
        <f>IF((Q$4+1)&amp;"年"&amp;V$5&lt;&gt;'9.项目开发计划表'!$AG$49,1,(Q$4+1)&amp;"年"&amp;V$5)</f>
        <v>1</v>
      </c>
      <c r="W287" s="312">
        <f>IF((Q$4+1)&amp;"年"&amp;W$5&lt;&gt;'9.项目开发计划表'!$AG$49,1,(Q$4+1)&amp;"年"&amp;W$5)</f>
        <v>1</v>
      </c>
      <c r="X287" s="313">
        <f>IF((Q$4+1)&amp;"年"&amp;X$5&lt;&gt;'9.项目开发计划表'!$AG$49,1,(Q$4+1)&amp;"年"&amp;X$5)</f>
        <v>1</v>
      </c>
      <c r="Y287" s="322">
        <f>IF((U$4+1)&amp;"年"&amp;Y$5&lt;&gt;'9.项目开发计划表'!$AG$49,1,(U$4+1)&amp;"年"&amp;Y$5)</f>
        <v>1</v>
      </c>
      <c r="Z287" s="312">
        <f>IF((U$4+1)&amp;"年"&amp;Z$5&lt;&gt;'9.项目开发计划表'!$AG$49,1,(U$4+1)&amp;"年"&amp;Z$5)</f>
        <v>1</v>
      </c>
      <c r="AA287" s="312">
        <f>IF((U$4+1)&amp;"年"&amp;AA$5&lt;&gt;'9.项目开发计划表'!$AG$49,1,(U$4+1)&amp;"年"&amp;AA$5)</f>
        <v>1</v>
      </c>
      <c r="AB287" s="313">
        <f>IF((U$4+1)&amp;"年"&amp;AB$5&lt;&gt;'9.项目开发计划表'!$AG$49,1,(U$4+1)&amp;"年"&amp;AB$5)</f>
        <v>1</v>
      </c>
      <c r="AC287" s="322">
        <f>IF((Y$4+1)&amp;"年"&amp;AC$5&lt;&gt;'9.项目开发计划表'!$AG$49,1,(Y$4+1)&amp;"年"&amp;AC$5)</f>
        <v>1</v>
      </c>
      <c r="AD287" s="312">
        <f>IF((Y$4+1)&amp;"年"&amp;AD$5&lt;&gt;'9.项目开发计划表'!$AG$49,1,(Y$4+1)&amp;"年"&amp;AD$5)</f>
        <v>1</v>
      </c>
      <c r="AE287" s="312">
        <f>IF((Y$4+1)&amp;"年"&amp;AE$5&lt;&gt;'9.项目开发计划表'!$AG$49,1,(Y$4+1)&amp;"年"&amp;AE$5)</f>
        <v>1</v>
      </c>
      <c r="AF287" s="313">
        <f>IF((Y$4+1)&amp;"年"&amp;AF$5&lt;&gt;'9.项目开发计划表'!$AG$49,1,(Y$4+1)&amp;"年"&amp;AF$5)</f>
        <v>1</v>
      </c>
      <c r="AG287" s="322">
        <f>IF((AC$4+1)&amp;"年"&amp;AG$5&lt;&gt;'9.项目开发计划表'!$AG$49,1,(AC$4+1)&amp;"年"&amp;AG$5)</f>
        <v>1</v>
      </c>
      <c r="AH287" s="312">
        <f>IF((AC$4+1)&amp;"年"&amp;AH$5&lt;&gt;'9.项目开发计划表'!$AG$49,1,(AC$4+1)&amp;"年"&amp;AH$5)</f>
        <v>1</v>
      </c>
      <c r="AI287" s="312">
        <f>IF((AC$4+1)&amp;"年"&amp;AI$5&lt;&gt;'9.项目开发计划表'!$AG$49,1,(AC$4+1)&amp;"年"&amp;AI$5)</f>
        <v>1</v>
      </c>
      <c r="AJ287" s="313">
        <f>IF((AC$4+1)&amp;"年"&amp;AJ$5&lt;&gt;'9.项目开发计划表'!$AG$49,1,(AC$4+1)&amp;"年"&amp;AJ$5)</f>
        <v>1</v>
      </c>
      <c r="AK287" s="322">
        <f>IF((AG$4+1)&amp;"年"&amp;AK$5&lt;&gt;'9.项目开发计划表'!$AG$49,1,(AG$4+1)&amp;"年"&amp;AK$5)</f>
        <v>1</v>
      </c>
      <c r="AL287" s="312">
        <f>IF((AG$4+1)&amp;"年"&amp;AL$5&lt;&gt;'9.项目开发计划表'!$AG$49,1,(AG$4+1)&amp;"年"&amp;AL$5)</f>
        <v>1</v>
      </c>
      <c r="AM287" s="312">
        <f>IF((AG$4+1)&amp;"年"&amp;AM$5&lt;&gt;'9.项目开发计划表'!$AG$49,1,(AG$4+1)&amp;"年"&amp;AM$5)</f>
        <v>1</v>
      </c>
      <c r="AN287" s="313">
        <f>IF((AG$4+1)&amp;"年"&amp;AN$5&lt;&gt;'9.项目开发计划表'!$AG$49,1,(AG$4+1)&amp;"年"&amp;AN$5)</f>
        <v>1</v>
      </c>
      <c r="AO287" s="322">
        <f>IF((AK$4+1)&amp;"年"&amp;AO$5&lt;&gt;'9.项目开发计划表'!$AG$49,1,(AK$4+1)&amp;"年"&amp;AO$5)</f>
        <v>1</v>
      </c>
      <c r="AP287" s="312">
        <f>IF((AK$4+1)&amp;"年"&amp;AP$5&lt;&gt;'9.项目开发计划表'!$AG$49,1,(AK$4+1)&amp;"年"&amp;AP$5)</f>
        <v>1</v>
      </c>
      <c r="AQ287" s="312">
        <f>IF((AK$4+1)&amp;"年"&amp;AQ$5&lt;&gt;'9.项目开发计划表'!$AG$49,1,(AK$4+1)&amp;"年"&amp;AQ$5)</f>
        <v>1</v>
      </c>
      <c r="AR287" s="313">
        <f>IF((AK$4+1)&amp;"年"&amp;AR$5&lt;&gt;'9.项目开发计划表'!$AG$49,1,(AK$4+1)&amp;"年"&amp;AR$5)</f>
        <v>1</v>
      </c>
      <c r="AS287" s="322">
        <f>IF((AO$4+1)&amp;"年"&amp;AS$5&lt;&gt;'9.项目开发计划表'!$AG$49,1,(AO$4+1)&amp;"年"&amp;AS$5)</f>
        <v>1</v>
      </c>
      <c r="AT287" s="312">
        <f>IF((AO$4+1)&amp;"年"&amp;AT$5&lt;&gt;'9.项目开发计划表'!$AG$49,1,(AO$4+1)&amp;"年"&amp;AT$5)</f>
        <v>1</v>
      </c>
      <c r="AU287" s="312">
        <f>IF((AO$4+1)&amp;"年"&amp;AU$5&lt;&gt;'9.项目开发计划表'!$AG$49,1,(AO$4+1)&amp;"年"&amp;AU$5)</f>
        <v>1</v>
      </c>
      <c r="AV287" s="313">
        <f>IF((AO$4+1)&amp;"年"&amp;AV$5&lt;&gt;'9.项目开发计划表'!$AG$49,1,(AO$4+1)&amp;"年"&amp;AV$5)</f>
        <v>1</v>
      </c>
    </row>
    <row r="288" spans="2:48" outlineLevel="1">
      <c r="C288" s="1980"/>
      <c r="D288" s="1982"/>
      <c r="E288" s="280">
        <f t="shared" ref="E288:AV288" si="96">IF(E287=1,0,1)</f>
        <v>0</v>
      </c>
      <c r="F288" s="281">
        <f t="shared" si="96"/>
        <v>0</v>
      </c>
      <c r="G288" s="281">
        <f t="shared" si="96"/>
        <v>0</v>
      </c>
      <c r="H288" s="282">
        <f t="shared" si="96"/>
        <v>0</v>
      </c>
      <c r="I288" s="323">
        <f t="shared" si="96"/>
        <v>0</v>
      </c>
      <c r="J288" s="281">
        <f t="shared" si="96"/>
        <v>0</v>
      </c>
      <c r="K288" s="281">
        <f t="shared" si="96"/>
        <v>0</v>
      </c>
      <c r="L288" s="282">
        <f t="shared" si="96"/>
        <v>0</v>
      </c>
      <c r="M288" s="323">
        <f t="shared" si="96"/>
        <v>0</v>
      </c>
      <c r="N288" s="281">
        <f t="shared" si="96"/>
        <v>0</v>
      </c>
      <c r="O288" s="281">
        <f t="shared" si="96"/>
        <v>0</v>
      </c>
      <c r="P288" s="282">
        <f t="shared" si="96"/>
        <v>0</v>
      </c>
      <c r="Q288" s="323">
        <f t="shared" si="96"/>
        <v>0</v>
      </c>
      <c r="R288" s="281">
        <f t="shared" si="96"/>
        <v>0</v>
      </c>
      <c r="S288" s="281">
        <f t="shared" si="96"/>
        <v>0</v>
      </c>
      <c r="T288" s="282">
        <f t="shared" si="96"/>
        <v>0</v>
      </c>
      <c r="U288" s="323">
        <f t="shared" si="96"/>
        <v>0</v>
      </c>
      <c r="V288" s="281">
        <f t="shared" si="96"/>
        <v>0</v>
      </c>
      <c r="W288" s="281">
        <f t="shared" si="96"/>
        <v>0</v>
      </c>
      <c r="X288" s="282">
        <f t="shared" si="96"/>
        <v>0</v>
      </c>
      <c r="Y288" s="323">
        <f t="shared" si="96"/>
        <v>0</v>
      </c>
      <c r="Z288" s="281">
        <f t="shared" si="96"/>
        <v>0</v>
      </c>
      <c r="AA288" s="281">
        <f t="shared" si="96"/>
        <v>0</v>
      </c>
      <c r="AB288" s="282">
        <f t="shared" si="96"/>
        <v>0</v>
      </c>
      <c r="AC288" s="323">
        <f t="shared" si="96"/>
        <v>0</v>
      </c>
      <c r="AD288" s="281">
        <f t="shared" si="96"/>
        <v>0</v>
      </c>
      <c r="AE288" s="281">
        <f t="shared" si="96"/>
        <v>0</v>
      </c>
      <c r="AF288" s="282">
        <f t="shared" si="96"/>
        <v>0</v>
      </c>
      <c r="AG288" s="323">
        <f t="shared" si="96"/>
        <v>0</v>
      </c>
      <c r="AH288" s="281">
        <f t="shared" si="96"/>
        <v>0</v>
      </c>
      <c r="AI288" s="281">
        <f t="shared" si="96"/>
        <v>0</v>
      </c>
      <c r="AJ288" s="282">
        <f t="shared" si="96"/>
        <v>0</v>
      </c>
      <c r="AK288" s="323">
        <f t="shared" si="96"/>
        <v>0</v>
      </c>
      <c r="AL288" s="281">
        <f t="shared" si="96"/>
        <v>0</v>
      </c>
      <c r="AM288" s="281">
        <f t="shared" si="96"/>
        <v>0</v>
      </c>
      <c r="AN288" s="282">
        <f t="shared" si="96"/>
        <v>0</v>
      </c>
      <c r="AO288" s="323">
        <f t="shared" si="96"/>
        <v>0</v>
      </c>
      <c r="AP288" s="281">
        <f t="shared" si="96"/>
        <v>0</v>
      </c>
      <c r="AQ288" s="281">
        <f t="shared" si="96"/>
        <v>0</v>
      </c>
      <c r="AR288" s="282">
        <f t="shared" si="96"/>
        <v>0</v>
      </c>
      <c r="AS288" s="323">
        <f t="shared" si="96"/>
        <v>0</v>
      </c>
      <c r="AT288" s="281">
        <f t="shared" si="96"/>
        <v>0</v>
      </c>
      <c r="AU288" s="281">
        <f t="shared" si="96"/>
        <v>0</v>
      </c>
      <c r="AV288" s="282">
        <f t="shared" si="96"/>
        <v>0</v>
      </c>
    </row>
    <row r="289" spans="2:48" outlineLevel="1">
      <c r="C289" s="1980"/>
      <c r="D289" s="1981">
        <f>'8.项目规划指标表'!$B$11</f>
        <v>0</v>
      </c>
      <c r="E289" s="311">
        <f>IF($E$4&amp;"年"&amp;E$5&lt;&gt;'9.项目开发计划表'!$AG$50,1,$E$4&amp;"年"&amp;E$5)</f>
        <v>1</v>
      </c>
      <c r="F289" s="312">
        <f>IF($E$4&amp;"年"&amp;F$5&lt;&gt;'9.项目开发计划表'!$AG$50,1,$E$4&amp;"年"&amp;F$5)</f>
        <v>1</v>
      </c>
      <c r="G289" s="312">
        <f>IF($E$4&amp;"年"&amp;G$5&lt;&gt;'9.项目开发计划表'!$AG$50,1,$E$4&amp;"年"&amp;G$5)</f>
        <v>1</v>
      </c>
      <c r="H289" s="313">
        <f>IF($E$4&amp;"年"&amp;H$5&lt;&gt;'9.项目开发计划表'!$AG$50,1,$E$4&amp;"年"&amp;H$5)</f>
        <v>1</v>
      </c>
      <c r="I289" s="322">
        <f>IF((E$4+1)&amp;"年"&amp;I$5&lt;&gt;'9.项目开发计划表'!$AG$50,1,(E$4+1)&amp;"年"&amp;I$5)</f>
        <v>1</v>
      </c>
      <c r="J289" s="312">
        <f>IF((E$4+1)&amp;"年"&amp;J$5&lt;&gt;'9.项目开发计划表'!$AG$50,1,(E$4+1)&amp;"年"&amp;J$5)</f>
        <v>1</v>
      </c>
      <c r="K289" s="312">
        <f>IF((E$4+1)&amp;"年"&amp;K$5&lt;&gt;'9.项目开发计划表'!$AG$50,1,(E$4+1)&amp;"年"&amp;K$5)</f>
        <v>1</v>
      </c>
      <c r="L289" s="313">
        <f>IF((E$4+1)&amp;"年"&amp;L$5&lt;&gt;'9.项目开发计划表'!$AG$50,1,(E$4+1)&amp;"年"&amp;L$5)</f>
        <v>1</v>
      </c>
      <c r="M289" s="322">
        <f>IF((I$4+1)&amp;"年"&amp;M$5&lt;&gt;'9.项目开发计划表'!$AG$50,1,(I$4+1)&amp;"年"&amp;M$5)</f>
        <v>1</v>
      </c>
      <c r="N289" s="312">
        <f>IF((I$4+1)&amp;"年"&amp;N$5&lt;&gt;'9.项目开发计划表'!$AG$50,1,(I$4+1)&amp;"年"&amp;N$5)</f>
        <v>1</v>
      </c>
      <c r="O289" s="312">
        <f>IF((I$4+1)&amp;"年"&amp;O$5&lt;&gt;'9.项目开发计划表'!$AG$50,1,(I$4+1)&amp;"年"&amp;O$5)</f>
        <v>1</v>
      </c>
      <c r="P289" s="313">
        <f>IF((I$4+1)&amp;"年"&amp;P$5&lt;&gt;'9.项目开发计划表'!$AG$50,1,(I$4+1)&amp;"年"&amp;P$5)</f>
        <v>1</v>
      </c>
      <c r="Q289" s="322">
        <f>IF((M$4+1)&amp;"年"&amp;Q$5&lt;&gt;'9.项目开发计划表'!$AG$50,1,(M$4+1)&amp;"年"&amp;Q$5)</f>
        <v>1</v>
      </c>
      <c r="R289" s="312">
        <f>IF((M$4+1)&amp;"年"&amp;R$5&lt;&gt;'9.项目开发计划表'!$AG$50,1,(M$4+1)&amp;"年"&amp;R$5)</f>
        <v>1</v>
      </c>
      <c r="S289" s="312">
        <f>IF((M$4+1)&amp;"年"&amp;S$5&lt;&gt;'9.项目开发计划表'!$AG$50,1,(M$4+1)&amp;"年"&amp;S$5)</f>
        <v>1</v>
      </c>
      <c r="T289" s="313">
        <f>IF((M$4+1)&amp;"年"&amp;T$5&lt;&gt;'9.项目开发计划表'!$AG$50,1,(M$4+1)&amp;"年"&amp;T$5)</f>
        <v>1</v>
      </c>
      <c r="U289" s="322">
        <f>IF((Q$4+1)&amp;"年"&amp;U$5&lt;&gt;'9.项目开发计划表'!$AG$50,1,(Q$4+1)&amp;"年"&amp;U$5)</f>
        <v>1</v>
      </c>
      <c r="V289" s="312">
        <f>IF((Q$4+1)&amp;"年"&amp;V$5&lt;&gt;'9.项目开发计划表'!$AG$50,1,(Q$4+1)&amp;"年"&amp;V$5)</f>
        <v>1</v>
      </c>
      <c r="W289" s="312">
        <f>IF((Q$4+1)&amp;"年"&amp;W$5&lt;&gt;'9.项目开发计划表'!$AG$50,1,(Q$4+1)&amp;"年"&amp;W$5)</f>
        <v>1</v>
      </c>
      <c r="X289" s="313">
        <f>IF((Q$4+1)&amp;"年"&amp;X$5&lt;&gt;'9.项目开发计划表'!$AG$50,1,(Q$4+1)&amp;"年"&amp;X$5)</f>
        <v>1</v>
      </c>
      <c r="Y289" s="322">
        <f>IF((U$4+1)&amp;"年"&amp;Y$5&lt;&gt;'9.项目开发计划表'!$AG$50,1,(U$4+1)&amp;"年"&amp;Y$5)</f>
        <v>1</v>
      </c>
      <c r="Z289" s="312">
        <f>IF((U$4+1)&amp;"年"&amp;Z$5&lt;&gt;'9.项目开发计划表'!$AG$50,1,(U$4+1)&amp;"年"&amp;Z$5)</f>
        <v>1</v>
      </c>
      <c r="AA289" s="312">
        <f>IF((U$4+1)&amp;"年"&amp;AA$5&lt;&gt;'9.项目开发计划表'!$AG$50,1,(U$4+1)&amp;"年"&amp;AA$5)</f>
        <v>1</v>
      </c>
      <c r="AB289" s="313">
        <f>IF((U$4+1)&amp;"年"&amp;AB$5&lt;&gt;'9.项目开发计划表'!$AG$50,1,(U$4+1)&amp;"年"&amp;AB$5)</f>
        <v>1</v>
      </c>
      <c r="AC289" s="322">
        <f>IF((Y$4+1)&amp;"年"&amp;AC$5&lt;&gt;'9.项目开发计划表'!$AG$50,1,(Y$4+1)&amp;"年"&amp;AC$5)</f>
        <v>1</v>
      </c>
      <c r="AD289" s="312">
        <f>IF((Y$4+1)&amp;"年"&amp;AD$5&lt;&gt;'9.项目开发计划表'!$AG$50,1,(Y$4+1)&amp;"年"&amp;AD$5)</f>
        <v>1</v>
      </c>
      <c r="AE289" s="312">
        <f>IF((Y$4+1)&amp;"年"&amp;AE$5&lt;&gt;'9.项目开发计划表'!$AG$50,1,(Y$4+1)&amp;"年"&amp;AE$5)</f>
        <v>1</v>
      </c>
      <c r="AF289" s="313">
        <f>IF((Y$4+1)&amp;"年"&amp;AF$5&lt;&gt;'9.项目开发计划表'!$AG$50,1,(Y$4+1)&amp;"年"&amp;AF$5)</f>
        <v>1</v>
      </c>
      <c r="AG289" s="322">
        <f>IF((AC$4+1)&amp;"年"&amp;AG$5&lt;&gt;'9.项目开发计划表'!$AG$50,1,(AC$4+1)&amp;"年"&amp;AG$5)</f>
        <v>1</v>
      </c>
      <c r="AH289" s="312">
        <f>IF((AC$4+1)&amp;"年"&amp;AH$5&lt;&gt;'9.项目开发计划表'!$AG$50,1,(AC$4+1)&amp;"年"&amp;AH$5)</f>
        <v>1</v>
      </c>
      <c r="AI289" s="312">
        <f>IF((AC$4+1)&amp;"年"&amp;AI$5&lt;&gt;'9.项目开发计划表'!$AG$50,1,(AC$4+1)&amp;"年"&amp;AI$5)</f>
        <v>1</v>
      </c>
      <c r="AJ289" s="313">
        <f>IF((AC$4+1)&amp;"年"&amp;AJ$5&lt;&gt;'9.项目开发计划表'!$AG$50,1,(AC$4+1)&amp;"年"&amp;AJ$5)</f>
        <v>1</v>
      </c>
      <c r="AK289" s="322">
        <f>IF((AG$4+1)&amp;"年"&amp;AK$5&lt;&gt;'9.项目开发计划表'!$AG$50,1,(AG$4+1)&amp;"年"&amp;AK$5)</f>
        <v>1</v>
      </c>
      <c r="AL289" s="312">
        <f>IF((AG$4+1)&amp;"年"&amp;AL$5&lt;&gt;'9.项目开发计划表'!$AG$50,1,(AG$4+1)&amp;"年"&amp;AL$5)</f>
        <v>1</v>
      </c>
      <c r="AM289" s="312">
        <f>IF((AG$4+1)&amp;"年"&amp;AM$5&lt;&gt;'9.项目开发计划表'!$AG$50,1,(AG$4+1)&amp;"年"&amp;AM$5)</f>
        <v>1</v>
      </c>
      <c r="AN289" s="313">
        <f>IF((AG$4+1)&amp;"年"&amp;AN$5&lt;&gt;'9.项目开发计划表'!$AG$50,1,(AG$4+1)&amp;"年"&amp;AN$5)</f>
        <v>1</v>
      </c>
      <c r="AO289" s="322">
        <f>IF((AK$4+1)&amp;"年"&amp;AO$5&lt;&gt;'9.项目开发计划表'!$AG$50,1,(AK$4+1)&amp;"年"&amp;AO$5)</f>
        <v>1</v>
      </c>
      <c r="AP289" s="312">
        <f>IF((AK$4+1)&amp;"年"&amp;AP$5&lt;&gt;'9.项目开发计划表'!$AG$50,1,(AK$4+1)&amp;"年"&amp;AP$5)</f>
        <v>1</v>
      </c>
      <c r="AQ289" s="312">
        <f>IF((AK$4+1)&amp;"年"&amp;AQ$5&lt;&gt;'9.项目开发计划表'!$AG$50,1,(AK$4+1)&amp;"年"&amp;AQ$5)</f>
        <v>1</v>
      </c>
      <c r="AR289" s="313">
        <f>IF((AK$4+1)&amp;"年"&amp;AR$5&lt;&gt;'9.项目开发计划表'!$AG$50,1,(AK$4+1)&amp;"年"&amp;AR$5)</f>
        <v>1</v>
      </c>
      <c r="AS289" s="322">
        <f>IF((AO$4+1)&amp;"年"&amp;AS$5&lt;&gt;'9.项目开发计划表'!$AG$50,1,(AO$4+1)&amp;"年"&amp;AS$5)</f>
        <v>1</v>
      </c>
      <c r="AT289" s="312">
        <f>IF((AO$4+1)&amp;"年"&amp;AT$5&lt;&gt;'9.项目开发计划表'!$AG$50,1,(AO$4+1)&amp;"年"&amp;AT$5)</f>
        <v>1</v>
      </c>
      <c r="AU289" s="312">
        <f>IF((AO$4+1)&amp;"年"&amp;AU$5&lt;&gt;'9.项目开发计划表'!$AG$50,1,(AO$4+1)&amp;"年"&amp;AU$5)</f>
        <v>1</v>
      </c>
      <c r="AV289" s="313">
        <f>IF((AO$4+1)&amp;"年"&amp;AV$5&lt;&gt;'9.项目开发计划表'!$AG$50,1,(AO$4+1)&amp;"年"&amp;AV$5)</f>
        <v>1</v>
      </c>
    </row>
    <row r="290" spans="2:48" outlineLevel="1">
      <c r="C290" s="1980"/>
      <c r="D290" s="1982"/>
      <c r="E290" s="280">
        <f t="shared" ref="E290:AV290" si="97">IF(E289=1,0,1)</f>
        <v>0</v>
      </c>
      <c r="F290" s="281">
        <f t="shared" si="97"/>
        <v>0</v>
      </c>
      <c r="G290" s="281">
        <f t="shared" si="97"/>
        <v>0</v>
      </c>
      <c r="H290" s="282">
        <f t="shared" si="97"/>
        <v>0</v>
      </c>
      <c r="I290" s="323">
        <f t="shared" si="97"/>
        <v>0</v>
      </c>
      <c r="J290" s="281">
        <f t="shared" si="97"/>
        <v>0</v>
      </c>
      <c r="K290" s="281">
        <f t="shared" si="97"/>
        <v>0</v>
      </c>
      <c r="L290" s="282">
        <f t="shared" si="97"/>
        <v>0</v>
      </c>
      <c r="M290" s="323">
        <f t="shared" si="97"/>
        <v>0</v>
      </c>
      <c r="N290" s="281">
        <f t="shared" si="97"/>
        <v>0</v>
      </c>
      <c r="O290" s="281">
        <f t="shared" si="97"/>
        <v>0</v>
      </c>
      <c r="P290" s="282">
        <f t="shared" si="97"/>
        <v>0</v>
      </c>
      <c r="Q290" s="323">
        <f t="shared" si="97"/>
        <v>0</v>
      </c>
      <c r="R290" s="281">
        <f t="shared" si="97"/>
        <v>0</v>
      </c>
      <c r="S290" s="281">
        <f t="shared" si="97"/>
        <v>0</v>
      </c>
      <c r="T290" s="282">
        <f t="shared" si="97"/>
        <v>0</v>
      </c>
      <c r="U290" s="323">
        <f t="shared" si="97"/>
        <v>0</v>
      </c>
      <c r="V290" s="281">
        <f t="shared" si="97"/>
        <v>0</v>
      </c>
      <c r="W290" s="281">
        <f t="shared" si="97"/>
        <v>0</v>
      </c>
      <c r="X290" s="282">
        <f t="shared" si="97"/>
        <v>0</v>
      </c>
      <c r="Y290" s="323">
        <f t="shared" si="97"/>
        <v>0</v>
      </c>
      <c r="Z290" s="281">
        <f t="shared" si="97"/>
        <v>0</v>
      </c>
      <c r="AA290" s="281">
        <f t="shared" si="97"/>
        <v>0</v>
      </c>
      <c r="AB290" s="282">
        <f t="shared" si="97"/>
        <v>0</v>
      </c>
      <c r="AC290" s="323">
        <f t="shared" si="97"/>
        <v>0</v>
      </c>
      <c r="AD290" s="281">
        <f t="shared" si="97"/>
        <v>0</v>
      </c>
      <c r="AE290" s="281">
        <f t="shared" si="97"/>
        <v>0</v>
      </c>
      <c r="AF290" s="282">
        <f t="shared" si="97"/>
        <v>0</v>
      </c>
      <c r="AG290" s="323">
        <f t="shared" si="97"/>
        <v>0</v>
      </c>
      <c r="AH290" s="281">
        <f t="shared" si="97"/>
        <v>0</v>
      </c>
      <c r="AI290" s="281">
        <f t="shared" si="97"/>
        <v>0</v>
      </c>
      <c r="AJ290" s="282">
        <f t="shared" si="97"/>
        <v>0</v>
      </c>
      <c r="AK290" s="323">
        <f t="shared" si="97"/>
        <v>0</v>
      </c>
      <c r="AL290" s="281">
        <f t="shared" si="97"/>
        <v>0</v>
      </c>
      <c r="AM290" s="281">
        <f t="shared" si="97"/>
        <v>0</v>
      </c>
      <c r="AN290" s="282">
        <f t="shared" si="97"/>
        <v>0</v>
      </c>
      <c r="AO290" s="323">
        <f t="shared" si="97"/>
        <v>0</v>
      </c>
      <c r="AP290" s="281">
        <f t="shared" si="97"/>
        <v>0</v>
      </c>
      <c r="AQ290" s="281">
        <f t="shared" si="97"/>
        <v>0</v>
      </c>
      <c r="AR290" s="282">
        <f t="shared" si="97"/>
        <v>0</v>
      </c>
      <c r="AS290" s="323">
        <f t="shared" si="97"/>
        <v>0</v>
      </c>
      <c r="AT290" s="281">
        <f t="shared" si="97"/>
        <v>0</v>
      </c>
      <c r="AU290" s="281">
        <f t="shared" si="97"/>
        <v>0</v>
      </c>
      <c r="AV290" s="282">
        <f t="shared" si="97"/>
        <v>0</v>
      </c>
    </row>
    <row r="291" spans="2:48" outlineLevel="1">
      <c r="C291" s="1980"/>
      <c r="D291" s="1981">
        <f>'8.项目规划指标表'!$B$12</f>
        <v>0</v>
      </c>
      <c r="E291" s="311">
        <f>IF($E$4&amp;"年"&amp;E$5&lt;&gt;'9.项目开发计划表'!$AG$51,1,$E$4&amp;"年"&amp;E$5)</f>
        <v>1</v>
      </c>
      <c r="F291" s="312">
        <f>IF($E$4&amp;"年"&amp;F$5&lt;&gt;'9.项目开发计划表'!$AG$51,1,$E$4&amp;"年"&amp;F$5)</f>
        <v>1</v>
      </c>
      <c r="G291" s="312">
        <f>IF($E$4&amp;"年"&amp;G$5&lt;&gt;'9.项目开发计划表'!$AG$51,1,$E$4&amp;"年"&amp;G$5)</f>
        <v>1</v>
      </c>
      <c r="H291" s="313">
        <f>IF($E$4&amp;"年"&amp;H$5&lt;&gt;'9.项目开发计划表'!$AG$51,1,$E$4&amp;"年"&amp;H$5)</f>
        <v>1</v>
      </c>
      <c r="I291" s="322">
        <f>IF((E$4+1)&amp;"年"&amp;I$5&lt;&gt;'9.项目开发计划表'!$AG$51,1,(E$4+1)&amp;"年"&amp;I$5)</f>
        <v>1</v>
      </c>
      <c r="J291" s="312">
        <f>IF((E$4+1)&amp;"年"&amp;J$5&lt;&gt;'9.项目开发计划表'!$AG$51,1,(E$4+1)&amp;"年"&amp;J$5)</f>
        <v>1</v>
      </c>
      <c r="K291" s="312">
        <f>IF((E$4+1)&amp;"年"&amp;K$5&lt;&gt;'9.项目开发计划表'!$AG$51,1,(E$4+1)&amp;"年"&amp;K$5)</f>
        <v>1</v>
      </c>
      <c r="L291" s="313">
        <f>IF((E$4+1)&amp;"年"&amp;L$5&lt;&gt;'9.项目开发计划表'!$AG$51,1,(E$4+1)&amp;"年"&amp;L$5)</f>
        <v>1</v>
      </c>
      <c r="M291" s="322">
        <f>IF((I$4+1)&amp;"年"&amp;M$5&lt;&gt;'9.项目开发计划表'!$AG$51,1,(I$4+1)&amp;"年"&amp;M$5)</f>
        <v>1</v>
      </c>
      <c r="N291" s="312">
        <f>IF((I$4+1)&amp;"年"&amp;N$5&lt;&gt;'9.项目开发计划表'!$AG$51,1,(I$4+1)&amp;"年"&amp;N$5)</f>
        <v>1</v>
      </c>
      <c r="O291" s="312">
        <f>IF((I$4+1)&amp;"年"&amp;O$5&lt;&gt;'9.项目开发计划表'!$AG$51,1,(I$4+1)&amp;"年"&amp;O$5)</f>
        <v>1</v>
      </c>
      <c r="P291" s="313">
        <f>IF((I$4+1)&amp;"年"&amp;P$5&lt;&gt;'9.项目开发计划表'!$AG$51,1,(I$4+1)&amp;"年"&amp;P$5)</f>
        <v>1</v>
      </c>
      <c r="Q291" s="322">
        <f>IF((M$4+1)&amp;"年"&amp;Q$5&lt;&gt;'9.项目开发计划表'!$AG$51,1,(M$4+1)&amp;"年"&amp;Q$5)</f>
        <v>1</v>
      </c>
      <c r="R291" s="312">
        <f>IF((M$4+1)&amp;"年"&amp;R$5&lt;&gt;'9.项目开发计划表'!$AG$51,1,(M$4+1)&amp;"年"&amp;R$5)</f>
        <v>1</v>
      </c>
      <c r="S291" s="312">
        <f>IF((M$4+1)&amp;"年"&amp;S$5&lt;&gt;'9.项目开发计划表'!$AG$51,1,(M$4+1)&amp;"年"&amp;S$5)</f>
        <v>1</v>
      </c>
      <c r="T291" s="313">
        <f>IF((M$4+1)&amp;"年"&amp;T$5&lt;&gt;'9.项目开发计划表'!$AG$51,1,(M$4+1)&amp;"年"&amp;T$5)</f>
        <v>1</v>
      </c>
      <c r="U291" s="322">
        <f>IF((Q$4+1)&amp;"年"&amp;U$5&lt;&gt;'9.项目开发计划表'!$AG$51,1,(Q$4+1)&amp;"年"&amp;U$5)</f>
        <v>1</v>
      </c>
      <c r="V291" s="312">
        <f>IF((Q$4+1)&amp;"年"&amp;V$5&lt;&gt;'9.项目开发计划表'!$AG$51,1,(Q$4+1)&amp;"年"&amp;V$5)</f>
        <v>1</v>
      </c>
      <c r="W291" s="312">
        <f>IF((Q$4+1)&amp;"年"&amp;W$5&lt;&gt;'9.项目开发计划表'!$AG$51,1,(Q$4+1)&amp;"年"&amp;W$5)</f>
        <v>1</v>
      </c>
      <c r="X291" s="313">
        <f>IF((Q$4+1)&amp;"年"&amp;X$5&lt;&gt;'9.项目开发计划表'!$AG$51,1,(Q$4+1)&amp;"年"&amp;X$5)</f>
        <v>1</v>
      </c>
      <c r="Y291" s="322">
        <f>IF((U$4+1)&amp;"年"&amp;Y$5&lt;&gt;'9.项目开发计划表'!$AG$51,1,(U$4+1)&amp;"年"&amp;Y$5)</f>
        <v>1</v>
      </c>
      <c r="Z291" s="312">
        <f>IF((U$4+1)&amp;"年"&amp;Z$5&lt;&gt;'9.项目开发计划表'!$AG$51,1,(U$4+1)&amp;"年"&amp;Z$5)</f>
        <v>1</v>
      </c>
      <c r="AA291" s="312">
        <f>IF((U$4+1)&amp;"年"&amp;AA$5&lt;&gt;'9.项目开发计划表'!$AG$51,1,(U$4+1)&amp;"年"&amp;AA$5)</f>
        <v>1</v>
      </c>
      <c r="AB291" s="313">
        <f>IF((U$4+1)&amp;"年"&amp;AB$5&lt;&gt;'9.项目开发计划表'!$AG$51,1,(U$4+1)&amp;"年"&amp;AB$5)</f>
        <v>1</v>
      </c>
      <c r="AC291" s="322">
        <f>IF((Y$4+1)&amp;"年"&amp;AC$5&lt;&gt;'9.项目开发计划表'!$AG$51,1,(Y$4+1)&amp;"年"&amp;AC$5)</f>
        <v>1</v>
      </c>
      <c r="AD291" s="312">
        <f>IF((Y$4+1)&amp;"年"&amp;AD$5&lt;&gt;'9.项目开发计划表'!$AG$51,1,(Y$4+1)&amp;"年"&amp;AD$5)</f>
        <v>1</v>
      </c>
      <c r="AE291" s="312">
        <f>IF((Y$4+1)&amp;"年"&amp;AE$5&lt;&gt;'9.项目开发计划表'!$AG$51,1,(Y$4+1)&amp;"年"&amp;AE$5)</f>
        <v>1</v>
      </c>
      <c r="AF291" s="313">
        <f>IF((Y$4+1)&amp;"年"&amp;AF$5&lt;&gt;'9.项目开发计划表'!$AG$51,1,(Y$4+1)&amp;"年"&amp;AF$5)</f>
        <v>1</v>
      </c>
      <c r="AG291" s="322">
        <f>IF((AC$4+1)&amp;"年"&amp;AG$5&lt;&gt;'9.项目开发计划表'!$AG$51,1,(AC$4+1)&amp;"年"&amp;AG$5)</f>
        <v>1</v>
      </c>
      <c r="AH291" s="312">
        <f>IF((AC$4+1)&amp;"年"&amp;AH$5&lt;&gt;'9.项目开发计划表'!$AG$51,1,(AC$4+1)&amp;"年"&amp;AH$5)</f>
        <v>1</v>
      </c>
      <c r="AI291" s="312">
        <f>IF((AC$4+1)&amp;"年"&amp;AI$5&lt;&gt;'9.项目开发计划表'!$AG$51,1,(AC$4+1)&amp;"年"&amp;AI$5)</f>
        <v>1</v>
      </c>
      <c r="AJ291" s="313">
        <f>IF((AC$4+1)&amp;"年"&amp;AJ$5&lt;&gt;'9.项目开发计划表'!$AG$51,1,(AC$4+1)&amp;"年"&amp;AJ$5)</f>
        <v>1</v>
      </c>
      <c r="AK291" s="322">
        <f>IF((AG$4+1)&amp;"年"&amp;AK$5&lt;&gt;'9.项目开发计划表'!$AG$51,1,(AG$4+1)&amp;"年"&amp;AK$5)</f>
        <v>1</v>
      </c>
      <c r="AL291" s="312">
        <f>IF((AG$4+1)&amp;"年"&amp;AL$5&lt;&gt;'9.项目开发计划表'!$AG$51,1,(AG$4+1)&amp;"年"&amp;AL$5)</f>
        <v>1</v>
      </c>
      <c r="AM291" s="312">
        <f>IF((AG$4+1)&amp;"年"&amp;AM$5&lt;&gt;'9.项目开发计划表'!$AG$51,1,(AG$4+1)&amp;"年"&amp;AM$5)</f>
        <v>1</v>
      </c>
      <c r="AN291" s="313">
        <f>IF((AG$4+1)&amp;"年"&amp;AN$5&lt;&gt;'9.项目开发计划表'!$AG$51,1,(AG$4+1)&amp;"年"&amp;AN$5)</f>
        <v>1</v>
      </c>
      <c r="AO291" s="322">
        <f>IF((AK$4+1)&amp;"年"&amp;AO$5&lt;&gt;'9.项目开发计划表'!$AG$51,1,(AK$4+1)&amp;"年"&amp;AO$5)</f>
        <v>1</v>
      </c>
      <c r="AP291" s="312">
        <f>IF((AK$4+1)&amp;"年"&amp;AP$5&lt;&gt;'9.项目开发计划表'!$AG$51,1,(AK$4+1)&amp;"年"&amp;AP$5)</f>
        <v>1</v>
      </c>
      <c r="AQ291" s="312">
        <f>IF((AK$4+1)&amp;"年"&amp;AQ$5&lt;&gt;'9.项目开发计划表'!$AG$51,1,(AK$4+1)&amp;"年"&amp;AQ$5)</f>
        <v>1</v>
      </c>
      <c r="AR291" s="313">
        <f>IF((AK$4+1)&amp;"年"&amp;AR$5&lt;&gt;'9.项目开发计划表'!$AG$51,1,(AK$4+1)&amp;"年"&amp;AR$5)</f>
        <v>1</v>
      </c>
      <c r="AS291" s="322">
        <f>IF((AO$4+1)&amp;"年"&amp;AS$5&lt;&gt;'9.项目开发计划表'!$AG$51,1,(AO$4+1)&amp;"年"&amp;AS$5)</f>
        <v>1</v>
      </c>
      <c r="AT291" s="312">
        <f>IF((AO$4+1)&amp;"年"&amp;AT$5&lt;&gt;'9.项目开发计划表'!$AG$51,1,(AO$4+1)&amp;"年"&amp;AT$5)</f>
        <v>1</v>
      </c>
      <c r="AU291" s="312">
        <f>IF((AO$4+1)&amp;"年"&amp;AU$5&lt;&gt;'9.项目开发计划表'!$AG$51,1,(AO$4+1)&amp;"年"&amp;AU$5)</f>
        <v>1</v>
      </c>
      <c r="AV291" s="313">
        <f>IF((AO$4+1)&amp;"年"&amp;AV$5&lt;&gt;'9.项目开发计划表'!$AG$51,1,(AO$4+1)&amp;"年"&amp;AV$5)</f>
        <v>1</v>
      </c>
    </row>
    <row r="292" spans="2:48" outlineLevel="1">
      <c r="C292" s="1980"/>
      <c r="D292" s="1982"/>
      <c r="E292" s="280">
        <f t="shared" ref="E292:AV292" si="98">IF(E291=1,0,1)</f>
        <v>0</v>
      </c>
      <c r="F292" s="281">
        <f t="shared" si="98"/>
        <v>0</v>
      </c>
      <c r="G292" s="281">
        <f t="shared" si="98"/>
        <v>0</v>
      </c>
      <c r="H292" s="282">
        <f t="shared" si="98"/>
        <v>0</v>
      </c>
      <c r="I292" s="323">
        <f t="shared" si="98"/>
        <v>0</v>
      </c>
      <c r="J292" s="281">
        <f t="shared" si="98"/>
        <v>0</v>
      </c>
      <c r="K292" s="281">
        <f t="shared" si="98"/>
        <v>0</v>
      </c>
      <c r="L292" s="282">
        <f t="shared" si="98"/>
        <v>0</v>
      </c>
      <c r="M292" s="323">
        <f t="shared" si="98"/>
        <v>0</v>
      </c>
      <c r="N292" s="281">
        <f t="shared" si="98"/>
        <v>0</v>
      </c>
      <c r="O292" s="281">
        <f t="shared" si="98"/>
        <v>0</v>
      </c>
      <c r="P292" s="282">
        <f t="shared" si="98"/>
        <v>0</v>
      </c>
      <c r="Q292" s="323">
        <f t="shared" si="98"/>
        <v>0</v>
      </c>
      <c r="R292" s="281">
        <f t="shared" si="98"/>
        <v>0</v>
      </c>
      <c r="S292" s="281">
        <f t="shared" si="98"/>
        <v>0</v>
      </c>
      <c r="T292" s="282">
        <f t="shared" si="98"/>
        <v>0</v>
      </c>
      <c r="U292" s="323">
        <f t="shared" si="98"/>
        <v>0</v>
      </c>
      <c r="V292" s="281">
        <f t="shared" si="98"/>
        <v>0</v>
      </c>
      <c r="W292" s="281">
        <f t="shared" si="98"/>
        <v>0</v>
      </c>
      <c r="X292" s="282">
        <f t="shared" si="98"/>
        <v>0</v>
      </c>
      <c r="Y292" s="323">
        <f t="shared" si="98"/>
        <v>0</v>
      </c>
      <c r="Z292" s="281">
        <f t="shared" si="98"/>
        <v>0</v>
      </c>
      <c r="AA292" s="281">
        <f t="shared" si="98"/>
        <v>0</v>
      </c>
      <c r="AB292" s="282">
        <f t="shared" si="98"/>
        <v>0</v>
      </c>
      <c r="AC292" s="323">
        <f t="shared" si="98"/>
        <v>0</v>
      </c>
      <c r="AD292" s="281">
        <f t="shared" si="98"/>
        <v>0</v>
      </c>
      <c r="AE292" s="281">
        <f t="shared" si="98"/>
        <v>0</v>
      </c>
      <c r="AF292" s="282">
        <f t="shared" si="98"/>
        <v>0</v>
      </c>
      <c r="AG292" s="323">
        <f t="shared" si="98"/>
        <v>0</v>
      </c>
      <c r="AH292" s="281">
        <f t="shared" si="98"/>
        <v>0</v>
      </c>
      <c r="AI292" s="281">
        <f t="shared" si="98"/>
        <v>0</v>
      </c>
      <c r="AJ292" s="282">
        <f t="shared" si="98"/>
        <v>0</v>
      </c>
      <c r="AK292" s="323">
        <f t="shared" si="98"/>
        <v>0</v>
      </c>
      <c r="AL292" s="281">
        <f t="shared" si="98"/>
        <v>0</v>
      </c>
      <c r="AM292" s="281">
        <f t="shared" si="98"/>
        <v>0</v>
      </c>
      <c r="AN292" s="282">
        <f t="shared" si="98"/>
        <v>0</v>
      </c>
      <c r="AO292" s="323">
        <f t="shared" si="98"/>
        <v>0</v>
      </c>
      <c r="AP292" s="281">
        <f t="shared" si="98"/>
        <v>0</v>
      </c>
      <c r="AQ292" s="281">
        <f t="shared" si="98"/>
        <v>0</v>
      </c>
      <c r="AR292" s="282">
        <f t="shared" si="98"/>
        <v>0</v>
      </c>
      <c r="AS292" s="323">
        <f t="shared" si="98"/>
        <v>0</v>
      </c>
      <c r="AT292" s="281">
        <f t="shared" si="98"/>
        <v>0</v>
      </c>
      <c r="AU292" s="281">
        <f t="shared" si="98"/>
        <v>0</v>
      </c>
      <c r="AV292" s="282">
        <f t="shared" si="98"/>
        <v>0</v>
      </c>
    </row>
    <row r="293" spans="2:48" outlineLevel="1">
      <c r="C293" s="1980"/>
      <c r="D293" s="1981">
        <f>'8.项目规划指标表'!$B$13</f>
        <v>0</v>
      </c>
      <c r="E293" s="311">
        <f>IF($E$4&amp;"年"&amp;E$5&lt;&gt;'9.项目开发计划表'!$AG$52,1,$E$4&amp;"年"&amp;E$5)</f>
        <v>1</v>
      </c>
      <c r="F293" s="312">
        <f>IF($E$4&amp;"年"&amp;F$5&lt;&gt;'9.项目开发计划表'!$AG$52,1,$E$4&amp;"年"&amp;F$5)</f>
        <v>1</v>
      </c>
      <c r="G293" s="312">
        <f>IF($E$4&amp;"年"&amp;G$5&lt;&gt;'9.项目开发计划表'!$AG$52,1,$E$4&amp;"年"&amp;G$5)</f>
        <v>1</v>
      </c>
      <c r="H293" s="313">
        <f>IF($E$4&amp;"年"&amp;H$5&lt;&gt;'9.项目开发计划表'!$AG$52,1,$E$4&amp;"年"&amp;H$5)</f>
        <v>1</v>
      </c>
      <c r="I293" s="322">
        <f>IF((E$4+1)&amp;"年"&amp;I$5&lt;&gt;'9.项目开发计划表'!$AG$52,1,(E$4+1)&amp;"年"&amp;I$5)</f>
        <v>1</v>
      </c>
      <c r="J293" s="312">
        <f>IF((E$4+1)&amp;"年"&amp;J$5&lt;&gt;'9.项目开发计划表'!$AG$52,1,(E$4+1)&amp;"年"&amp;J$5)</f>
        <v>1</v>
      </c>
      <c r="K293" s="312">
        <f>IF((E$4+1)&amp;"年"&amp;K$5&lt;&gt;'9.项目开发计划表'!$AG$52,1,(E$4+1)&amp;"年"&amp;K$5)</f>
        <v>1</v>
      </c>
      <c r="L293" s="313">
        <f>IF((E$4+1)&amp;"年"&amp;L$5&lt;&gt;'9.项目开发计划表'!$AG$52,1,(E$4+1)&amp;"年"&amp;L$5)</f>
        <v>1</v>
      </c>
      <c r="M293" s="322">
        <f>IF((I$4+1)&amp;"年"&amp;M$5&lt;&gt;'9.项目开发计划表'!$AG$52,1,(I$4+1)&amp;"年"&amp;M$5)</f>
        <v>1</v>
      </c>
      <c r="N293" s="312">
        <f>IF((I$4+1)&amp;"年"&amp;N$5&lt;&gt;'9.项目开发计划表'!$AG$52,1,(I$4+1)&amp;"年"&amp;N$5)</f>
        <v>1</v>
      </c>
      <c r="O293" s="312">
        <f>IF((I$4+1)&amp;"年"&amp;O$5&lt;&gt;'9.项目开发计划表'!$AG$52,1,(I$4+1)&amp;"年"&amp;O$5)</f>
        <v>1</v>
      </c>
      <c r="P293" s="313">
        <f>IF((I$4+1)&amp;"年"&amp;P$5&lt;&gt;'9.项目开发计划表'!$AG$52,1,(I$4+1)&amp;"年"&amp;P$5)</f>
        <v>1</v>
      </c>
      <c r="Q293" s="322">
        <f>IF((M$4+1)&amp;"年"&amp;Q$5&lt;&gt;'9.项目开发计划表'!$AG$52,1,(M$4+1)&amp;"年"&amp;Q$5)</f>
        <v>1</v>
      </c>
      <c r="R293" s="312">
        <f>IF((M$4+1)&amp;"年"&amp;R$5&lt;&gt;'9.项目开发计划表'!$AG$52,1,(M$4+1)&amp;"年"&amp;R$5)</f>
        <v>1</v>
      </c>
      <c r="S293" s="312">
        <f>IF((M$4+1)&amp;"年"&amp;S$5&lt;&gt;'9.项目开发计划表'!$AG$52,1,(M$4+1)&amp;"年"&amp;S$5)</f>
        <v>1</v>
      </c>
      <c r="T293" s="313">
        <f>IF((M$4+1)&amp;"年"&amp;T$5&lt;&gt;'9.项目开发计划表'!$AG$52,1,(M$4+1)&amp;"年"&amp;T$5)</f>
        <v>1</v>
      </c>
      <c r="U293" s="322">
        <f>IF((Q$4+1)&amp;"年"&amp;U$5&lt;&gt;'9.项目开发计划表'!$AG$52,1,(Q$4+1)&amp;"年"&amp;U$5)</f>
        <v>1</v>
      </c>
      <c r="V293" s="312">
        <f>IF((Q$4+1)&amp;"年"&amp;V$5&lt;&gt;'9.项目开发计划表'!$AG$52,1,(Q$4+1)&amp;"年"&amp;V$5)</f>
        <v>1</v>
      </c>
      <c r="W293" s="312">
        <f>IF((Q$4+1)&amp;"年"&amp;W$5&lt;&gt;'9.项目开发计划表'!$AG$52,1,(Q$4+1)&amp;"年"&amp;W$5)</f>
        <v>1</v>
      </c>
      <c r="X293" s="313">
        <f>IF((Q$4+1)&amp;"年"&amp;X$5&lt;&gt;'9.项目开发计划表'!$AG$52,1,(Q$4+1)&amp;"年"&amp;X$5)</f>
        <v>1</v>
      </c>
      <c r="Y293" s="322">
        <f>IF((U$4+1)&amp;"年"&amp;Y$5&lt;&gt;'9.项目开发计划表'!$AG$52,1,(U$4+1)&amp;"年"&amp;Y$5)</f>
        <v>1</v>
      </c>
      <c r="Z293" s="312">
        <f>IF((U$4+1)&amp;"年"&amp;Z$5&lt;&gt;'9.项目开发计划表'!$AG$52,1,(U$4+1)&amp;"年"&amp;Z$5)</f>
        <v>1</v>
      </c>
      <c r="AA293" s="312">
        <f>IF((U$4+1)&amp;"年"&amp;AA$5&lt;&gt;'9.项目开发计划表'!$AG$52,1,(U$4+1)&amp;"年"&amp;AA$5)</f>
        <v>1</v>
      </c>
      <c r="AB293" s="313">
        <f>IF((U$4+1)&amp;"年"&amp;AB$5&lt;&gt;'9.项目开发计划表'!$AG$52,1,(U$4+1)&amp;"年"&amp;AB$5)</f>
        <v>1</v>
      </c>
      <c r="AC293" s="322">
        <f>IF((Y$4+1)&amp;"年"&amp;AC$5&lt;&gt;'9.项目开发计划表'!$AG$52,1,(Y$4+1)&amp;"年"&amp;AC$5)</f>
        <v>1</v>
      </c>
      <c r="AD293" s="312">
        <f>IF((Y$4+1)&amp;"年"&amp;AD$5&lt;&gt;'9.项目开发计划表'!$AG$52,1,(Y$4+1)&amp;"年"&amp;AD$5)</f>
        <v>1</v>
      </c>
      <c r="AE293" s="312">
        <f>IF((Y$4+1)&amp;"年"&amp;AE$5&lt;&gt;'9.项目开发计划表'!$AG$52,1,(Y$4+1)&amp;"年"&amp;AE$5)</f>
        <v>1</v>
      </c>
      <c r="AF293" s="313">
        <f>IF((Y$4+1)&amp;"年"&amp;AF$5&lt;&gt;'9.项目开发计划表'!$AG$52,1,(Y$4+1)&amp;"年"&amp;AF$5)</f>
        <v>1</v>
      </c>
      <c r="AG293" s="322">
        <f>IF((AC$4+1)&amp;"年"&amp;AG$5&lt;&gt;'9.项目开发计划表'!$AG$52,1,(AC$4+1)&amp;"年"&amp;AG$5)</f>
        <v>1</v>
      </c>
      <c r="AH293" s="312">
        <f>IF((AC$4+1)&amp;"年"&amp;AH$5&lt;&gt;'9.项目开发计划表'!$AG$52,1,(AC$4+1)&amp;"年"&amp;AH$5)</f>
        <v>1</v>
      </c>
      <c r="AI293" s="312">
        <f>IF((AC$4+1)&amp;"年"&amp;AI$5&lt;&gt;'9.项目开发计划表'!$AG$52,1,(AC$4+1)&amp;"年"&amp;AI$5)</f>
        <v>1</v>
      </c>
      <c r="AJ293" s="313">
        <f>IF((AC$4+1)&amp;"年"&amp;AJ$5&lt;&gt;'9.项目开发计划表'!$AG$52,1,(AC$4+1)&amp;"年"&amp;AJ$5)</f>
        <v>1</v>
      </c>
      <c r="AK293" s="322">
        <f>IF((AG$4+1)&amp;"年"&amp;AK$5&lt;&gt;'9.项目开发计划表'!$AG$52,1,(AG$4+1)&amp;"年"&amp;AK$5)</f>
        <v>1</v>
      </c>
      <c r="AL293" s="312">
        <f>IF((AG$4+1)&amp;"年"&amp;AL$5&lt;&gt;'9.项目开发计划表'!$AG$52,1,(AG$4+1)&amp;"年"&amp;AL$5)</f>
        <v>1</v>
      </c>
      <c r="AM293" s="312">
        <f>IF((AG$4+1)&amp;"年"&amp;AM$5&lt;&gt;'9.项目开发计划表'!$AG$52,1,(AG$4+1)&amp;"年"&amp;AM$5)</f>
        <v>1</v>
      </c>
      <c r="AN293" s="313">
        <f>IF((AG$4+1)&amp;"年"&amp;AN$5&lt;&gt;'9.项目开发计划表'!$AG$52,1,(AG$4+1)&amp;"年"&amp;AN$5)</f>
        <v>1</v>
      </c>
      <c r="AO293" s="322">
        <f>IF((AK$4+1)&amp;"年"&amp;AO$5&lt;&gt;'9.项目开发计划表'!$AG$52,1,(AK$4+1)&amp;"年"&amp;AO$5)</f>
        <v>1</v>
      </c>
      <c r="AP293" s="312">
        <f>IF((AK$4+1)&amp;"年"&amp;AP$5&lt;&gt;'9.项目开发计划表'!$AG$52,1,(AK$4+1)&amp;"年"&amp;AP$5)</f>
        <v>1</v>
      </c>
      <c r="AQ293" s="312">
        <f>IF((AK$4+1)&amp;"年"&amp;AQ$5&lt;&gt;'9.项目开发计划表'!$AG$52,1,(AK$4+1)&amp;"年"&amp;AQ$5)</f>
        <v>1</v>
      </c>
      <c r="AR293" s="313">
        <f>IF((AK$4+1)&amp;"年"&amp;AR$5&lt;&gt;'9.项目开发计划表'!$AG$52,1,(AK$4+1)&amp;"年"&amp;AR$5)</f>
        <v>1</v>
      </c>
      <c r="AS293" s="322">
        <f>IF((AO$4+1)&amp;"年"&amp;AS$5&lt;&gt;'9.项目开发计划表'!$AG$52,1,(AO$4+1)&amp;"年"&amp;AS$5)</f>
        <v>1</v>
      </c>
      <c r="AT293" s="312">
        <f>IF((AO$4+1)&amp;"年"&amp;AT$5&lt;&gt;'9.项目开发计划表'!$AG$52,1,(AO$4+1)&amp;"年"&amp;AT$5)</f>
        <v>1</v>
      </c>
      <c r="AU293" s="312">
        <f>IF((AO$4+1)&amp;"年"&amp;AU$5&lt;&gt;'9.项目开发计划表'!$AG$52,1,(AO$4+1)&amp;"年"&amp;AU$5)</f>
        <v>1</v>
      </c>
      <c r="AV293" s="313">
        <f>IF((AO$4+1)&amp;"年"&amp;AV$5&lt;&gt;'9.项目开发计划表'!$AG$52,1,(AO$4+1)&amp;"年"&amp;AV$5)</f>
        <v>1</v>
      </c>
    </row>
    <row r="294" spans="2:48" outlineLevel="1">
      <c r="C294" s="1980"/>
      <c r="D294" s="1982"/>
      <c r="E294" s="280">
        <f t="shared" ref="E294:AV294" si="99">IF(E293=1,0,1)</f>
        <v>0</v>
      </c>
      <c r="F294" s="281">
        <f t="shared" si="99"/>
        <v>0</v>
      </c>
      <c r="G294" s="281">
        <f t="shared" si="99"/>
        <v>0</v>
      </c>
      <c r="H294" s="282">
        <f t="shared" si="99"/>
        <v>0</v>
      </c>
      <c r="I294" s="323">
        <f t="shared" si="99"/>
        <v>0</v>
      </c>
      <c r="J294" s="281">
        <f t="shared" si="99"/>
        <v>0</v>
      </c>
      <c r="K294" s="281">
        <f t="shared" si="99"/>
        <v>0</v>
      </c>
      <c r="L294" s="282">
        <f t="shared" si="99"/>
        <v>0</v>
      </c>
      <c r="M294" s="323">
        <f t="shared" si="99"/>
        <v>0</v>
      </c>
      <c r="N294" s="281">
        <f t="shared" si="99"/>
        <v>0</v>
      </c>
      <c r="O294" s="281">
        <f t="shared" si="99"/>
        <v>0</v>
      </c>
      <c r="P294" s="282">
        <f t="shared" si="99"/>
        <v>0</v>
      </c>
      <c r="Q294" s="323">
        <f t="shared" si="99"/>
        <v>0</v>
      </c>
      <c r="R294" s="281">
        <f t="shared" si="99"/>
        <v>0</v>
      </c>
      <c r="S294" s="281">
        <f t="shared" si="99"/>
        <v>0</v>
      </c>
      <c r="T294" s="282">
        <f t="shared" si="99"/>
        <v>0</v>
      </c>
      <c r="U294" s="323">
        <f t="shared" si="99"/>
        <v>0</v>
      </c>
      <c r="V294" s="281">
        <f t="shared" si="99"/>
        <v>0</v>
      </c>
      <c r="W294" s="281">
        <f t="shared" si="99"/>
        <v>0</v>
      </c>
      <c r="X294" s="282">
        <f t="shared" si="99"/>
        <v>0</v>
      </c>
      <c r="Y294" s="323">
        <f t="shared" si="99"/>
        <v>0</v>
      </c>
      <c r="Z294" s="281">
        <f t="shared" si="99"/>
        <v>0</v>
      </c>
      <c r="AA294" s="281">
        <f t="shared" si="99"/>
        <v>0</v>
      </c>
      <c r="AB294" s="282">
        <f t="shared" si="99"/>
        <v>0</v>
      </c>
      <c r="AC294" s="323">
        <f t="shared" si="99"/>
        <v>0</v>
      </c>
      <c r="AD294" s="281">
        <f t="shared" si="99"/>
        <v>0</v>
      </c>
      <c r="AE294" s="281">
        <f t="shared" si="99"/>
        <v>0</v>
      </c>
      <c r="AF294" s="282">
        <f t="shared" si="99"/>
        <v>0</v>
      </c>
      <c r="AG294" s="323">
        <f t="shared" si="99"/>
        <v>0</v>
      </c>
      <c r="AH294" s="281">
        <f t="shared" si="99"/>
        <v>0</v>
      </c>
      <c r="AI294" s="281">
        <f t="shared" si="99"/>
        <v>0</v>
      </c>
      <c r="AJ294" s="282">
        <f t="shared" si="99"/>
        <v>0</v>
      </c>
      <c r="AK294" s="323">
        <f t="shared" si="99"/>
        <v>0</v>
      </c>
      <c r="AL294" s="281">
        <f t="shared" si="99"/>
        <v>0</v>
      </c>
      <c r="AM294" s="281">
        <f t="shared" si="99"/>
        <v>0</v>
      </c>
      <c r="AN294" s="282">
        <f t="shared" si="99"/>
        <v>0</v>
      </c>
      <c r="AO294" s="323">
        <f t="shared" si="99"/>
        <v>0</v>
      </c>
      <c r="AP294" s="281">
        <f t="shared" si="99"/>
        <v>0</v>
      </c>
      <c r="AQ294" s="281">
        <f t="shared" si="99"/>
        <v>0</v>
      </c>
      <c r="AR294" s="282">
        <f t="shared" si="99"/>
        <v>0</v>
      </c>
      <c r="AS294" s="323">
        <f t="shared" si="99"/>
        <v>0</v>
      </c>
      <c r="AT294" s="281">
        <f t="shared" si="99"/>
        <v>0</v>
      </c>
      <c r="AU294" s="281">
        <f t="shared" si="99"/>
        <v>0</v>
      </c>
      <c r="AV294" s="282">
        <f t="shared" si="99"/>
        <v>0</v>
      </c>
    </row>
    <row r="295" spans="2:48" outlineLevel="1">
      <c r="C295" s="1980"/>
      <c r="D295" s="1981" t="str">
        <f>'8.项目规划指标表'!$B$14</f>
        <v>自持物业</v>
      </c>
      <c r="E295" s="311">
        <f>IF($E$4&amp;"年"&amp;E$5&lt;&gt;'9.项目开发计划表'!$AG$53,1,$E$4&amp;"年"&amp;E$5)</f>
        <v>1</v>
      </c>
      <c r="F295" s="312">
        <f>IF($E$4&amp;"年"&amp;F$5&lt;&gt;'9.项目开发计划表'!$AG$53,1,$E$4&amp;"年"&amp;F$5)</f>
        <v>1</v>
      </c>
      <c r="G295" s="312">
        <f>IF($E$4&amp;"年"&amp;G$5&lt;&gt;'9.项目开发计划表'!$AG$53,1,$E$4&amp;"年"&amp;G$5)</f>
        <v>1</v>
      </c>
      <c r="H295" s="313">
        <f>IF($E$4&amp;"年"&amp;H$5&lt;&gt;'9.项目开发计划表'!$AG$53,1,$E$4&amp;"年"&amp;H$5)</f>
        <v>1</v>
      </c>
      <c r="I295" s="322">
        <f>IF((E$4+1)&amp;"年"&amp;I$5&lt;&gt;'9.项目开发计划表'!$AG$53,1,(E$4+1)&amp;"年"&amp;I$5)</f>
        <v>1</v>
      </c>
      <c r="J295" s="312">
        <f>IF((E$4+1)&amp;"年"&amp;J$5&lt;&gt;'9.项目开发计划表'!$AG$53,1,(E$4+1)&amp;"年"&amp;J$5)</f>
        <v>1</v>
      </c>
      <c r="K295" s="312">
        <f>IF((E$4+1)&amp;"年"&amp;K$5&lt;&gt;'9.项目开发计划表'!$AG$53,1,(E$4+1)&amp;"年"&amp;K$5)</f>
        <v>1</v>
      </c>
      <c r="L295" s="313">
        <f>IF((E$4+1)&amp;"年"&amp;L$5&lt;&gt;'9.项目开发计划表'!$AG$53,1,(E$4+1)&amp;"年"&amp;L$5)</f>
        <v>1</v>
      </c>
      <c r="M295" s="322">
        <f>IF((I$4+1)&amp;"年"&amp;M$5&lt;&gt;'9.项目开发计划表'!$AG$53,1,(I$4+1)&amp;"年"&amp;M$5)</f>
        <v>1</v>
      </c>
      <c r="N295" s="312">
        <f>IF((I$4+1)&amp;"年"&amp;N$5&lt;&gt;'9.项目开发计划表'!$AG$53,1,(I$4+1)&amp;"年"&amp;N$5)</f>
        <v>1</v>
      </c>
      <c r="O295" s="312">
        <f>IF((I$4+1)&amp;"年"&amp;O$5&lt;&gt;'9.项目开发计划表'!$AG$53,1,(I$4+1)&amp;"年"&amp;O$5)</f>
        <v>1</v>
      </c>
      <c r="P295" s="313">
        <f>IF((I$4+1)&amp;"年"&amp;P$5&lt;&gt;'9.项目开发计划表'!$AG$53,1,(I$4+1)&amp;"年"&amp;P$5)</f>
        <v>1</v>
      </c>
      <c r="Q295" s="322">
        <f>IF((M$4+1)&amp;"年"&amp;Q$5&lt;&gt;'9.项目开发计划表'!$AG$53,1,(M$4+1)&amp;"年"&amp;Q$5)</f>
        <v>1</v>
      </c>
      <c r="R295" s="312">
        <f>IF((M$4+1)&amp;"年"&amp;R$5&lt;&gt;'9.项目开发计划表'!$AG$53,1,(M$4+1)&amp;"年"&amp;R$5)</f>
        <v>1</v>
      </c>
      <c r="S295" s="312">
        <f>IF((M$4+1)&amp;"年"&amp;S$5&lt;&gt;'9.项目开发计划表'!$AG$53,1,(M$4+1)&amp;"年"&amp;S$5)</f>
        <v>1</v>
      </c>
      <c r="T295" s="313">
        <f>IF((M$4+1)&amp;"年"&amp;T$5&lt;&gt;'9.项目开发计划表'!$AG$53,1,(M$4+1)&amp;"年"&amp;T$5)</f>
        <v>1</v>
      </c>
      <c r="U295" s="322">
        <f>IF((Q$4+1)&amp;"年"&amp;U$5&lt;&gt;'9.项目开发计划表'!$AG$53,1,(Q$4+1)&amp;"年"&amp;U$5)</f>
        <v>1</v>
      </c>
      <c r="V295" s="312">
        <f>IF((Q$4+1)&amp;"年"&amp;V$5&lt;&gt;'9.项目开发计划表'!$AG$53,1,(Q$4+1)&amp;"年"&amp;V$5)</f>
        <v>1</v>
      </c>
      <c r="W295" s="312">
        <f>IF((Q$4+1)&amp;"年"&amp;W$5&lt;&gt;'9.项目开发计划表'!$AG$53,1,(Q$4+1)&amp;"年"&amp;W$5)</f>
        <v>1</v>
      </c>
      <c r="X295" s="313">
        <f>IF((Q$4+1)&amp;"年"&amp;X$5&lt;&gt;'9.项目开发计划表'!$AG$53,1,(Q$4+1)&amp;"年"&amp;X$5)</f>
        <v>1</v>
      </c>
      <c r="Y295" s="322">
        <f>IF((U$4+1)&amp;"年"&amp;Y$5&lt;&gt;'9.项目开发计划表'!$AG$53,1,(U$4+1)&amp;"年"&amp;Y$5)</f>
        <v>1</v>
      </c>
      <c r="Z295" s="312">
        <f>IF((U$4+1)&amp;"年"&amp;Z$5&lt;&gt;'9.项目开发计划表'!$AG$53,1,(U$4+1)&amp;"年"&amp;Z$5)</f>
        <v>1</v>
      </c>
      <c r="AA295" s="312">
        <f>IF((U$4+1)&amp;"年"&amp;AA$5&lt;&gt;'9.项目开发计划表'!$AG$53,1,(U$4+1)&amp;"年"&amp;AA$5)</f>
        <v>1</v>
      </c>
      <c r="AB295" s="313">
        <f>IF((U$4+1)&amp;"年"&amp;AB$5&lt;&gt;'9.项目开发计划表'!$AG$53,1,(U$4+1)&amp;"年"&amp;AB$5)</f>
        <v>1</v>
      </c>
      <c r="AC295" s="322">
        <f>IF((Y$4+1)&amp;"年"&amp;AC$5&lt;&gt;'9.项目开发计划表'!$AG$53,1,(Y$4+1)&amp;"年"&amp;AC$5)</f>
        <v>1</v>
      </c>
      <c r="AD295" s="312">
        <f>IF((Y$4+1)&amp;"年"&amp;AD$5&lt;&gt;'9.项目开发计划表'!$AG$53,1,(Y$4+1)&amp;"年"&amp;AD$5)</f>
        <v>1</v>
      </c>
      <c r="AE295" s="312">
        <f>IF((Y$4+1)&amp;"年"&amp;AE$5&lt;&gt;'9.项目开发计划表'!$AG$53,1,(Y$4+1)&amp;"年"&amp;AE$5)</f>
        <v>1</v>
      </c>
      <c r="AF295" s="313">
        <f>IF((Y$4+1)&amp;"年"&amp;AF$5&lt;&gt;'9.项目开发计划表'!$AG$53,1,(Y$4+1)&amp;"年"&amp;AF$5)</f>
        <v>1</v>
      </c>
      <c r="AG295" s="322">
        <f>IF((AC$4+1)&amp;"年"&amp;AG$5&lt;&gt;'9.项目开发计划表'!$AG$53,1,(AC$4+1)&amp;"年"&amp;AG$5)</f>
        <v>1</v>
      </c>
      <c r="AH295" s="312">
        <f>IF((AC$4+1)&amp;"年"&amp;AH$5&lt;&gt;'9.项目开发计划表'!$AG$53,1,(AC$4+1)&amp;"年"&amp;AH$5)</f>
        <v>1</v>
      </c>
      <c r="AI295" s="312">
        <f>IF((AC$4+1)&amp;"年"&amp;AI$5&lt;&gt;'9.项目开发计划表'!$AG$53,1,(AC$4+1)&amp;"年"&amp;AI$5)</f>
        <v>1</v>
      </c>
      <c r="AJ295" s="313">
        <f>IF((AC$4+1)&amp;"年"&amp;AJ$5&lt;&gt;'9.项目开发计划表'!$AG$53,1,(AC$4+1)&amp;"年"&amp;AJ$5)</f>
        <v>1</v>
      </c>
      <c r="AK295" s="322">
        <f>IF((AG$4+1)&amp;"年"&amp;AK$5&lt;&gt;'9.项目开发计划表'!$AG$53,1,(AG$4+1)&amp;"年"&amp;AK$5)</f>
        <v>1</v>
      </c>
      <c r="AL295" s="312">
        <f>IF((AG$4+1)&amp;"年"&amp;AL$5&lt;&gt;'9.项目开发计划表'!$AG$53,1,(AG$4+1)&amp;"年"&amp;AL$5)</f>
        <v>1</v>
      </c>
      <c r="AM295" s="312">
        <f>IF((AG$4+1)&amp;"年"&amp;AM$5&lt;&gt;'9.项目开发计划表'!$AG$53,1,(AG$4+1)&amp;"年"&amp;AM$5)</f>
        <v>1</v>
      </c>
      <c r="AN295" s="313">
        <f>IF((AG$4+1)&amp;"年"&amp;AN$5&lt;&gt;'9.项目开发计划表'!$AG$53,1,(AG$4+1)&amp;"年"&amp;AN$5)</f>
        <v>1</v>
      </c>
      <c r="AO295" s="322">
        <f>IF((AK$4+1)&amp;"年"&amp;AO$5&lt;&gt;'9.项目开发计划表'!$AG$53,1,(AK$4+1)&amp;"年"&amp;AO$5)</f>
        <v>1</v>
      </c>
      <c r="AP295" s="312">
        <f>IF((AK$4+1)&amp;"年"&amp;AP$5&lt;&gt;'9.项目开发计划表'!$AG$53,1,(AK$4+1)&amp;"年"&amp;AP$5)</f>
        <v>1</v>
      </c>
      <c r="AQ295" s="312">
        <f>IF((AK$4+1)&amp;"年"&amp;AQ$5&lt;&gt;'9.项目开发计划表'!$AG$53,1,(AK$4+1)&amp;"年"&amp;AQ$5)</f>
        <v>1</v>
      </c>
      <c r="AR295" s="313">
        <f>IF((AK$4+1)&amp;"年"&amp;AR$5&lt;&gt;'9.项目开发计划表'!$AG$53,1,(AK$4+1)&amp;"年"&amp;AR$5)</f>
        <v>1</v>
      </c>
      <c r="AS295" s="322">
        <f>IF((AO$4+1)&amp;"年"&amp;AS$5&lt;&gt;'9.项目开发计划表'!$AG$53,1,(AO$4+1)&amp;"年"&amp;AS$5)</f>
        <v>1</v>
      </c>
      <c r="AT295" s="312">
        <f>IF((AO$4+1)&amp;"年"&amp;AT$5&lt;&gt;'9.项目开发计划表'!$AG$53,1,(AO$4+1)&amp;"年"&amp;AT$5)</f>
        <v>1</v>
      </c>
      <c r="AU295" s="312">
        <f>IF((AO$4+1)&amp;"年"&amp;AU$5&lt;&gt;'9.项目开发计划表'!$AG$53,1,(AO$4+1)&amp;"年"&amp;AU$5)</f>
        <v>1</v>
      </c>
      <c r="AV295" s="313">
        <f>IF((AO$4+1)&amp;"年"&amp;AV$5&lt;&gt;'9.项目开发计划表'!$AG$53,1,(AO$4+1)&amp;"年"&amp;AV$5)</f>
        <v>1</v>
      </c>
    </row>
    <row r="296" spans="2:48" outlineLevel="1">
      <c r="C296" s="1980"/>
      <c r="D296" s="1982"/>
      <c r="E296" s="280">
        <f t="shared" ref="E296:AV296" si="100">IF(E295=1,0,1)</f>
        <v>0</v>
      </c>
      <c r="F296" s="281">
        <f t="shared" si="100"/>
        <v>0</v>
      </c>
      <c r="G296" s="281">
        <f t="shared" si="100"/>
        <v>0</v>
      </c>
      <c r="H296" s="282">
        <f t="shared" si="100"/>
        <v>0</v>
      </c>
      <c r="I296" s="323">
        <f t="shared" si="100"/>
        <v>0</v>
      </c>
      <c r="J296" s="281">
        <f t="shared" si="100"/>
        <v>0</v>
      </c>
      <c r="K296" s="281">
        <f t="shared" si="100"/>
        <v>0</v>
      </c>
      <c r="L296" s="282">
        <f t="shared" si="100"/>
        <v>0</v>
      </c>
      <c r="M296" s="323">
        <f t="shared" si="100"/>
        <v>0</v>
      </c>
      <c r="N296" s="281">
        <f t="shared" si="100"/>
        <v>0</v>
      </c>
      <c r="O296" s="281">
        <f t="shared" si="100"/>
        <v>0</v>
      </c>
      <c r="P296" s="282">
        <f t="shared" si="100"/>
        <v>0</v>
      </c>
      <c r="Q296" s="323">
        <f t="shared" si="100"/>
        <v>0</v>
      </c>
      <c r="R296" s="281">
        <f t="shared" si="100"/>
        <v>0</v>
      </c>
      <c r="S296" s="281">
        <f t="shared" si="100"/>
        <v>0</v>
      </c>
      <c r="T296" s="282">
        <f t="shared" si="100"/>
        <v>0</v>
      </c>
      <c r="U296" s="323">
        <f t="shared" si="100"/>
        <v>0</v>
      </c>
      <c r="V296" s="281">
        <f t="shared" si="100"/>
        <v>0</v>
      </c>
      <c r="W296" s="281">
        <f t="shared" si="100"/>
        <v>0</v>
      </c>
      <c r="X296" s="282">
        <f t="shared" si="100"/>
        <v>0</v>
      </c>
      <c r="Y296" s="323">
        <f t="shared" si="100"/>
        <v>0</v>
      </c>
      <c r="Z296" s="281">
        <f t="shared" si="100"/>
        <v>0</v>
      </c>
      <c r="AA296" s="281">
        <f t="shared" si="100"/>
        <v>0</v>
      </c>
      <c r="AB296" s="282">
        <f t="shared" si="100"/>
        <v>0</v>
      </c>
      <c r="AC296" s="323">
        <f t="shared" si="100"/>
        <v>0</v>
      </c>
      <c r="AD296" s="281">
        <f t="shared" si="100"/>
        <v>0</v>
      </c>
      <c r="AE296" s="281">
        <f t="shared" si="100"/>
        <v>0</v>
      </c>
      <c r="AF296" s="282">
        <f t="shared" si="100"/>
        <v>0</v>
      </c>
      <c r="AG296" s="323">
        <f t="shared" si="100"/>
        <v>0</v>
      </c>
      <c r="AH296" s="281">
        <f t="shared" si="100"/>
        <v>0</v>
      </c>
      <c r="AI296" s="281">
        <f t="shared" si="100"/>
        <v>0</v>
      </c>
      <c r="AJ296" s="282">
        <f t="shared" si="100"/>
        <v>0</v>
      </c>
      <c r="AK296" s="323">
        <f t="shared" si="100"/>
        <v>0</v>
      </c>
      <c r="AL296" s="281">
        <f t="shared" si="100"/>
        <v>0</v>
      </c>
      <c r="AM296" s="281">
        <f t="shared" si="100"/>
        <v>0</v>
      </c>
      <c r="AN296" s="282">
        <f t="shared" si="100"/>
        <v>0</v>
      </c>
      <c r="AO296" s="323">
        <f t="shared" si="100"/>
        <v>0</v>
      </c>
      <c r="AP296" s="281">
        <f t="shared" si="100"/>
        <v>0</v>
      </c>
      <c r="AQ296" s="281">
        <f t="shared" si="100"/>
        <v>0</v>
      </c>
      <c r="AR296" s="282">
        <f t="shared" si="100"/>
        <v>0</v>
      </c>
      <c r="AS296" s="323">
        <f t="shared" si="100"/>
        <v>0</v>
      </c>
      <c r="AT296" s="281">
        <f t="shared" si="100"/>
        <v>0</v>
      </c>
      <c r="AU296" s="281">
        <f t="shared" si="100"/>
        <v>0</v>
      </c>
      <c r="AV296" s="282">
        <f t="shared" si="100"/>
        <v>0</v>
      </c>
    </row>
    <row r="297" spans="2:48" outlineLevel="1">
      <c r="C297" s="1980"/>
      <c r="D297" s="1981" t="str">
        <f>'8.项目规划指标表'!$B$18</f>
        <v>有产权车库(个)</v>
      </c>
      <c r="E297" s="311">
        <f>IF($E$4&amp;"年"&amp;E$5&lt;&gt;'9.项目开发计划表'!$AG$54,1,$E$4&amp;"年"&amp;E$5)</f>
        <v>1</v>
      </c>
      <c r="F297" s="312">
        <f>IF($E$4&amp;"年"&amp;F$5&lt;&gt;'9.项目开发计划表'!$AG$54,1,$E$4&amp;"年"&amp;F$5)</f>
        <v>1</v>
      </c>
      <c r="G297" s="312">
        <f>IF($E$4&amp;"年"&amp;G$5&lt;&gt;'9.项目开发计划表'!$AG$54,1,$E$4&amp;"年"&amp;G$5)</f>
        <v>1</v>
      </c>
      <c r="H297" s="313">
        <f>IF($E$4&amp;"年"&amp;H$5&lt;&gt;'9.项目开发计划表'!$AG$54,1,$E$4&amp;"年"&amp;H$5)</f>
        <v>1</v>
      </c>
      <c r="I297" s="322">
        <f>IF((E$4+1)&amp;"年"&amp;I$5&lt;&gt;'9.项目开发计划表'!$AG$54,1,(E$4+1)&amp;"年"&amp;I$5)</f>
        <v>1</v>
      </c>
      <c r="J297" s="312">
        <f>IF((E$4+1)&amp;"年"&amp;J$5&lt;&gt;'9.项目开发计划表'!$AG$54,1,(E$4+1)&amp;"年"&amp;J$5)</f>
        <v>1</v>
      </c>
      <c r="K297" s="312">
        <f>IF((E$4+1)&amp;"年"&amp;K$5&lt;&gt;'9.项目开发计划表'!$AG$54,1,(E$4+1)&amp;"年"&amp;K$5)</f>
        <v>1</v>
      </c>
      <c r="L297" s="313">
        <f>IF((E$4+1)&amp;"年"&amp;L$5&lt;&gt;'9.项目开发计划表'!$AG$54,1,(E$4+1)&amp;"年"&amp;L$5)</f>
        <v>1</v>
      </c>
      <c r="M297" s="322">
        <f>IF((I$4+1)&amp;"年"&amp;M$5&lt;&gt;'9.项目开发计划表'!$AG$54,1,(I$4+1)&amp;"年"&amp;M$5)</f>
        <v>1</v>
      </c>
      <c r="N297" s="312">
        <f>IF((I$4+1)&amp;"年"&amp;N$5&lt;&gt;'9.项目开发计划表'!$AG$54,1,(I$4+1)&amp;"年"&amp;N$5)</f>
        <v>1</v>
      </c>
      <c r="O297" s="312">
        <f>IF((I$4+1)&amp;"年"&amp;O$5&lt;&gt;'9.项目开发计划表'!$AG$54,1,(I$4+1)&amp;"年"&amp;O$5)</f>
        <v>1</v>
      </c>
      <c r="P297" s="313">
        <f>IF((I$4+1)&amp;"年"&amp;P$5&lt;&gt;'9.项目开发计划表'!$AG$54,1,(I$4+1)&amp;"年"&amp;P$5)</f>
        <v>1</v>
      </c>
      <c r="Q297" s="322">
        <f>IF((M$4+1)&amp;"年"&amp;Q$5&lt;&gt;'9.项目开发计划表'!$AG$54,1,(M$4+1)&amp;"年"&amp;Q$5)</f>
        <v>1</v>
      </c>
      <c r="R297" s="312">
        <f>IF((M$4+1)&amp;"年"&amp;R$5&lt;&gt;'9.项目开发计划表'!$AG$54,1,(M$4+1)&amp;"年"&amp;R$5)</f>
        <v>1</v>
      </c>
      <c r="S297" s="312">
        <f>IF((M$4+1)&amp;"年"&amp;S$5&lt;&gt;'9.项目开发计划表'!$AG$54,1,(M$4+1)&amp;"年"&amp;S$5)</f>
        <v>1</v>
      </c>
      <c r="T297" s="313">
        <f>IF((M$4+1)&amp;"年"&amp;T$5&lt;&gt;'9.项目开发计划表'!$AG$54,1,(M$4+1)&amp;"年"&amp;T$5)</f>
        <v>1</v>
      </c>
      <c r="U297" s="322">
        <f>IF((Q$4+1)&amp;"年"&amp;U$5&lt;&gt;'9.项目开发计划表'!$AG$54,1,(Q$4+1)&amp;"年"&amp;U$5)</f>
        <v>1</v>
      </c>
      <c r="V297" s="312">
        <f>IF((Q$4+1)&amp;"年"&amp;V$5&lt;&gt;'9.项目开发计划表'!$AG$54,1,(Q$4+1)&amp;"年"&amp;V$5)</f>
        <v>1</v>
      </c>
      <c r="W297" s="312">
        <f>IF((Q$4+1)&amp;"年"&amp;W$5&lt;&gt;'9.项目开发计划表'!$AG$54,1,(Q$4+1)&amp;"年"&amp;W$5)</f>
        <v>1</v>
      </c>
      <c r="X297" s="313">
        <f>IF((Q$4+1)&amp;"年"&amp;X$5&lt;&gt;'9.项目开发计划表'!$AG$54,1,(Q$4+1)&amp;"年"&amp;X$5)</f>
        <v>1</v>
      </c>
      <c r="Y297" s="322">
        <f>IF((U$4+1)&amp;"年"&amp;Y$5&lt;&gt;'9.项目开发计划表'!$AG$54,1,(U$4+1)&amp;"年"&amp;Y$5)</f>
        <v>1</v>
      </c>
      <c r="Z297" s="312">
        <f>IF((U$4+1)&amp;"年"&amp;Z$5&lt;&gt;'9.项目开发计划表'!$AG$54,1,(U$4+1)&amp;"年"&amp;Z$5)</f>
        <v>1</v>
      </c>
      <c r="AA297" s="312">
        <f>IF((U$4+1)&amp;"年"&amp;AA$5&lt;&gt;'9.项目开发计划表'!$AG$54,1,(U$4+1)&amp;"年"&amp;AA$5)</f>
        <v>1</v>
      </c>
      <c r="AB297" s="313">
        <f>IF((U$4+1)&amp;"年"&amp;AB$5&lt;&gt;'9.项目开发计划表'!$AG$54,1,(U$4+1)&amp;"年"&amp;AB$5)</f>
        <v>1</v>
      </c>
      <c r="AC297" s="322">
        <f>IF((Y$4+1)&amp;"年"&amp;AC$5&lt;&gt;'9.项目开发计划表'!$AG$54,1,(Y$4+1)&amp;"年"&amp;AC$5)</f>
        <v>1</v>
      </c>
      <c r="AD297" s="312">
        <f>IF((Y$4+1)&amp;"年"&amp;AD$5&lt;&gt;'9.项目开发计划表'!$AG$54,1,(Y$4+1)&amp;"年"&amp;AD$5)</f>
        <v>1</v>
      </c>
      <c r="AE297" s="312">
        <f>IF((Y$4+1)&amp;"年"&amp;AE$5&lt;&gt;'9.项目开发计划表'!$AG$54,1,(Y$4+1)&amp;"年"&amp;AE$5)</f>
        <v>1</v>
      </c>
      <c r="AF297" s="313">
        <f>IF((Y$4+1)&amp;"年"&amp;AF$5&lt;&gt;'9.项目开发计划表'!$AG$54,1,(Y$4+1)&amp;"年"&amp;AF$5)</f>
        <v>1</v>
      </c>
      <c r="AG297" s="322">
        <f>IF((AC$4+1)&amp;"年"&amp;AG$5&lt;&gt;'9.项目开发计划表'!$AG$54,1,(AC$4+1)&amp;"年"&amp;AG$5)</f>
        <v>1</v>
      </c>
      <c r="AH297" s="312">
        <f>IF((AC$4+1)&amp;"年"&amp;AH$5&lt;&gt;'9.项目开发计划表'!$AG$54,1,(AC$4+1)&amp;"年"&amp;AH$5)</f>
        <v>1</v>
      </c>
      <c r="AI297" s="312">
        <f>IF((AC$4+1)&amp;"年"&amp;AI$5&lt;&gt;'9.项目开发计划表'!$AG$54,1,(AC$4+1)&amp;"年"&amp;AI$5)</f>
        <v>1</v>
      </c>
      <c r="AJ297" s="313">
        <f>IF((AC$4+1)&amp;"年"&amp;AJ$5&lt;&gt;'9.项目开发计划表'!$AG$54,1,(AC$4+1)&amp;"年"&amp;AJ$5)</f>
        <v>1</v>
      </c>
      <c r="AK297" s="322">
        <f>IF((AG$4+1)&amp;"年"&amp;AK$5&lt;&gt;'9.项目开发计划表'!$AG$54,1,(AG$4+1)&amp;"年"&amp;AK$5)</f>
        <v>1</v>
      </c>
      <c r="AL297" s="312">
        <f>IF((AG$4+1)&amp;"年"&amp;AL$5&lt;&gt;'9.项目开发计划表'!$AG$54,1,(AG$4+1)&amp;"年"&amp;AL$5)</f>
        <v>1</v>
      </c>
      <c r="AM297" s="312">
        <f>IF((AG$4+1)&amp;"年"&amp;AM$5&lt;&gt;'9.项目开发计划表'!$AG$54,1,(AG$4+1)&amp;"年"&amp;AM$5)</f>
        <v>1</v>
      </c>
      <c r="AN297" s="313">
        <f>IF((AG$4+1)&amp;"年"&amp;AN$5&lt;&gt;'9.项目开发计划表'!$AG$54,1,(AG$4+1)&amp;"年"&amp;AN$5)</f>
        <v>1</v>
      </c>
      <c r="AO297" s="322">
        <f>IF((AK$4+1)&amp;"年"&amp;AO$5&lt;&gt;'9.项目开发计划表'!$AG$54,1,(AK$4+1)&amp;"年"&amp;AO$5)</f>
        <v>1</v>
      </c>
      <c r="AP297" s="312">
        <f>IF((AK$4+1)&amp;"年"&amp;AP$5&lt;&gt;'9.项目开发计划表'!$AG$54,1,(AK$4+1)&amp;"年"&amp;AP$5)</f>
        <v>1</v>
      </c>
      <c r="AQ297" s="312">
        <f>IF((AK$4+1)&amp;"年"&amp;AQ$5&lt;&gt;'9.项目开发计划表'!$AG$54,1,(AK$4+1)&amp;"年"&amp;AQ$5)</f>
        <v>1</v>
      </c>
      <c r="AR297" s="313">
        <f>IF((AK$4+1)&amp;"年"&amp;AR$5&lt;&gt;'9.项目开发计划表'!$AG$54,1,(AK$4+1)&amp;"年"&amp;AR$5)</f>
        <v>1</v>
      </c>
      <c r="AS297" s="322">
        <f>IF((AO$4+1)&amp;"年"&amp;AS$5&lt;&gt;'9.项目开发计划表'!$AG$54,1,(AO$4+1)&amp;"年"&amp;AS$5)</f>
        <v>1</v>
      </c>
      <c r="AT297" s="312">
        <f>IF((AO$4+1)&amp;"年"&amp;AT$5&lt;&gt;'9.项目开发计划表'!$AG$54,1,(AO$4+1)&amp;"年"&amp;AT$5)</f>
        <v>1</v>
      </c>
      <c r="AU297" s="312">
        <f>IF((AO$4+1)&amp;"年"&amp;AU$5&lt;&gt;'9.项目开发计划表'!$AG$54,1,(AO$4+1)&amp;"年"&amp;AU$5)</f>
        <v>1</v>
      </c>
      <c r="AV297" s="313">
        <f>IF((AO$4+1)&amp;"年"&amp;AV$5&lt;&gt;'9.项目开发计划表'!$AG$54,1,(AO$4+1)&amp;"年"&amp;AV$5)</f>
        <v>1</v>
      </c>
    </row>
    <row r="298" spans="2:48" outlineLevel="1">
      <c r="C298" s="1980"/>
      <c r="D298" s="1982"/>
      <c r="E298" s="280">
        <f t="shared" ref="E298:AV298" si="101">IF(E297=1,0,1)</f>
        <v>0</v>
      </c>
      <c r="F298" s="281">
        <f t="shared" si="101"/>
        <v>0</v>
      </c>
      <c r="G298" s="281">
        <f t="shared" si="101"/>
        <v>0</v>
      </c>
      <c r="H298" s="282">
        <f t="shared" si="101"/>
        <v>0</v>
      </c>
      <c r="I298" s="323">
        <f t="shared" si="101"/>
        <v>0</v>
      </c>
      <c r="J298" s="281">
        <f t="shared" si="101"/>
        <v>0</v>
      </c>
      <c r="K298" s="281">
        <f t="shared" si="101"/>
        <v>0</v>
      </c>
      <c r="L298" s="282">
        <f t="shared" si="101"/>
        <v>0</v>
      </c>
      <c r="M298" s="323">
        <f t="shared" si="101"/>
        <v>0</v>
      </c>
      <c r="N298" s="281">
        <f t="shared" si="101"/>
        <v>0</v>
      </c>
      <c r="O298" s="281">
        <f t="shared" si="101"/>
        <v>0</v>
      </c>
      <c r="P298" s="282">
        <f t="shared" si="101"/>
        <v>0</v>
      </c>
      <c r="Q298" s="323">
        <f t="shared" si="101"/>
        <v>0</v>
      </c>
      <c r="R298" s="281">
        <f t="shared" si="101"/>
        <v>0</v>
      </c>
      <c r="S298" s="281">
        <f t="shared" si="101"/>
        <v>0</v>
      </c>
      <c r="T298" s="282">
        <f t="shared" si="101"/>
        <v>0</v>
      </c>
      <c r="U298" s="323">
        <f t="shared" si="101"/>
        <v>0</v>
      </c>
      <c r="V298" s="281">
        <f t="shared" si="101"/>
        <v>0</v>
      </c>
      <c r="W298" s="281">
        <f t="shared" si="101"/>
        <v>0</v>
      </c>
      <c r="X298" s="282">
        <f t="shared" si="101"/>
        <v>0</v>
      </c>
      <c r="Y298" s="323">
        <f t="shared" si="101"/>
        <v>0</v>
      </c>
      <c r="Z298" s="281">
        <f t="shared" si="101"/>
        <v>0</v>
      </c>
      <c r="AA298" s="281">
        <f t="shared" si="101"/>
        <v>0</v>
      </c>
      <c r="AB298" s="282">
        <f t="shared" si="101"/>
        <v>0</v>
      </c>
      <c r="AC298" s="323">
        <f t="shared" si="101"/>
        <v>0</v>
      </c>
      <c r="AD298" s="281">
        <f t="shared" si="101"/>
        <v>0</v>
      </c>
      <c r="AE298" s="281">
        <f t="shared" si="101"/>
        <v>0</v>
      </c>
      <c r="AF298" s="282">
        <f t="shared" si="101"/>
        <v>0</v>
      </c>
      <c r="AG298" s="323">
        <f t="shared" si="101"/>
        <v>0</v>
      </c>
      <c r="AH298" s="281">
        <f t="shared" si="101"/>
        <v>0</v>
      </c>
      <c r="AI298" s="281">
        <f t="shared" si="101"/>
        <v>0</v>
      </c>
      <c r="AJ298" s="282">
        <f t="shared" si="101"/>
        <v>0</v>
      </c>
      <c r="AK298" s="323">
        <f t="shared" si="101"/>
        <v>0</v>
      </c>
      <c r="AL298" s="281">
        <f t="shared" si="101"/>
        <v>0</v>
      </c>
      <c r="AM298" s="281">
        <f t="shared" si="101"/>
        <v>0</v>
      </c>
      <c r="AN298" s="282">
        <f t="shared" si="101"/>
        <v>0</v>
      </c>
      <c r="AO298" s="323">
        <f t="shared" si="101"/>
        <v>0</v>
      </c>
      <c r="AP298" s="281">
        <f t="shared" si="101"/>
        <v>0</v>
      </c>
      <c r="AQ298" s="281">
        <f t="shared" si="101"/>
        <v>0</v>
      </c>
      <c r="AR298" s="282">
        <f t="shared" si="101"/>
        <v>0</v>
      </c>
      <c r="AS298" s="323">
        <f t="shared" si="101"/>
        <v>0</v>
      </c>
      <c r="AT298" s="281">
        <f t="shared" si="101"/>
        <v>0</v>
      </c>
      <c r="AU298" s="281">
        <f t="shared" si="101"/>
        <v>0</v>
      </c>
      <c r="AV298" s="282">
        <f t="shared" si="101"/>
        <v>0</v>
      </c>
    </row>
    <row r="299" spans="2:48" outlineLevel="1">
      <c r="C299" s="1980"/>
      <c r="D299" s="1981" t="str">
        <f>'8.项目规划指标表'!$B$19</f>
        <v>无产权车库(个)</v>
      </c>
      <c r="E299" s="311">
        <f>IF($E$4&amp;"年"&amp;E$5&lt;&gt;'9.项目开发计划表'!$AG$55,1,$E$4&amp;"年"&amp;E$5)</f>
        <v>1</v>
      </c>
      <c r="F299" s="312">
        <f>IF($E$4&amp;"年"&amp;F$5&lt;&gt;'9.项目开发计划表'!$AG$55,1,$E$4&amp;"年"&amp;F$5)</f>
        <v>1</v>
      </c>
      <c r="G299" s="312">
        <f>IF($E$4&amp;"年"&amp;G$5&lt;&gt;'9.项目开发计划表'!$AG$55,1,$E$4&amp;"年"&amp;G$5)</f>
        <v>1</v>
      </c>
      <c r="H299" s="313">
        <f>IF($E$4&amp;"年"&amp;H$5&lt;&gt;'9.项目开发计划表'!$AG$55,1,$E$4&amp;"年"&amp;H$5)</f>
        <v>1</v>
      </c>
      <c r="I299" s="322">
        <f>IF((E$4+1)&amp;"年"&amp;I$5&lt;&gt;'9.项目开发计划表'!$AG$55,1,(E$4+1)&amp;"年"&amp;I$5)</f>
        <v>1</v>
      </c>
      <c r="J299" s="312">
        <f>IF((E$4+1)&amp;"年"&amp;J$5&lt;&gt;'9.项目开发计划表'!$AG$55,1,(E$4+1)&amp;"年"&amp;J$5)</f>
        <v>1</v>
      </c>
      <c r="K299" s="312">
        <f>IF((E$4+1)&amp;"年"&amp;K$5&lt;&gt;'9.项目开发计划表'!$AG$55,1,(E$4+1)&amp;"年"&amp;K$5)</f>
        <v>1</v>
      </c>
      <c r="L299" s="313">
        <f>IF((E$4+1)&amp;"年"&amp;L$5&lt;&gt;'9.项目开发计划表'!$AG$55,1,(E$4+1)&amp;"年"&amp;L$5)</f>
        <v>1</v>
      </c>
      <c r="M299" s="322">
        <f>IF((I$4+1)&amp;"年"&amp;M$5&lt;&gt;'9.项目开发计划表'!$AG$55,1,(I$4+1)&amp;"年"&amp;M$5)</f>
        <v>1</v>
      </c>
      <c r="N299" s="312">
        <f>IF((I$4+1)&amp;"年"&amp;N$5&lt;&gt;'9.项目开发计划表'!$AG$55,1,(I$4+1)&amp;"年"&amp;N$5)</f>
        <v>1</v>
      </c>
      <c r="O299" s="312">
        <f>IF((I$4+1)&amp;"年"&amp;O$5&lt;&gt;'9.项目开发计划表'!$AG$55,1,(I$4+1)&amp;"年"&amp;O$5)</f>
        <v>1</v>
      </c>
      <c r="P299" s="313">
        <f>IF((I$4+1)&amp;"年"&amp;P$5&lt;&gt;'9.项目开发计划表'!$AG$55,1,(I$4+1)&amp;"年"&amp;P$5)</f>
        <v>1</v>
      </c>
      <c r="Q299" s="322">
        <f>IF((M$4+1)&amp;"年"&amp;Q$5&lt;&gt;'9.项目开发计划表'!$AG$55,1,(M$4+1)&amp;"年"&amp;Q$5)</f>
        <v>1</v>
      </c>
      <c r="R299" s="312">
        <f>IF((M$4+1)&amp;"年"&amp;R$5&lt;&gt;'9.项目开发计划表'!$AG$55,1,(M$4+1)&amp;"年"&amp;R$5)</f>
        <v>1</v>
      </c>
      <c r="S299" s="312">
        <f>IF((M$4+1)&amp;"年"&amp;S$5&lt;&gt;'9.项目开发计划表'!$AG$55,1,(M$4+1)&amp;"年"&amp;S$5)</f>
        <v>1</v>
      </c>
      <c r="T299" s="313">
        <f>IF((M$4+1)&amp;"年"&amp;T$5&lt;&gt;'9.项目开发计划表'!$AG$55,1,(M$4+1)&amp;"年"&amp;T$5)</f>
        <v>1</v>
      </c>
      <c r="U299" s="322">
        <f>IF((Q$4+1)&amp;"年"&amp;U$5&lt;&gt;'9.项目开发计划表'!$AG$55,1,(Q$4+1)&amp;"年"&amp;U$5)</f>
        <v>1</v>
      </c>
      <c r="V299" s="312">
        <f>IF((Q$4+1)&amp;"年"&amp;V$5&lt;&gt;'9.项目开发计划表'!$AG$55,1,(Q$4+1)&amp;"年"&amp;V$5)</f>
        <v>1</v>
      </c>
      <c r="W299" s="312">
        <f>IF((Q$4+1)&amp;"年"&amp;W$5&lt;&gt;'9.项目开发计划表'!$AG$55,1,(Q$4+1)&amp;"年"&amp;W$5)</f>
        <v>1</v>
      </c>
      <c r="X299" s="313">
        <f>IF((Q$4+1)&amp;"年"&amp;X$5&lt;&gt;'9.项目开发计划表'!$AG$55,1,(Q$4+1)&amp;"年"&amp;X$5)</f>
        <v>1</v>
      </c>
      <c r="Y299" s="322">
        <f>IF((U$4+1)&amp;"年"&amp;Y$5&lt;&gt;'9.项目开发计划表'!$AG$55,1,(U$4+1)&amp;"年"&amp;Y$5)</f>
        <v>1</v>
      </c>
      <c r="Z299" s="312">
        <f>IF((U$4+1)&amp;"年"&amp;Z$5&lt;&gt;'9.项目开发计划表'!$AG$55,1,(U$4+1)&amp;"年"&amp;Z$5)</f>
        <v>1</v>
      </c>
      <c r="AA299" s="312">
        <f>IF((U$4+1)&amp;"年"&amp;AA$5&lt;&gt;'9.项目开发计划表'!$AG$55,1,(U$4+1)&amp;"年"&amp;AA$5)</f>
        <v>1</v>
      </c>
      <c r="AB299" s="313">
        <f>IF((U$4+1)&amp;"年"&amp;AB$5&lt;&gt;'9.项目开发计划表'!$AG$55,1,(U$4+1)&amp;"年"&amp;AB$5)</f>
        <v>1</v>
      </c>
      <c r="AC299" s="322">
        <f>IF((Y$4+1)&amp;"年"&amp;AC$5&lt;&gt;'9.项目开发计划表'!$AG$55,1,(Y$4+1)&amp;"年"&amp;AC$5)</f>
        <v>1</v>
      </c>
      <c r="AD299" s="312">
        <f>IF((Y$4+1)&amp;"年"&amp;AD$5&lt;&gt;'9.项目开发计划表'!$AG$55,1,(Y$4+1)&amp;"年"&amp;AD$5)</f>
        <v>1</v>
      </c>
      <c r="AE299" s="312">
        <f>IF((Y$4+1)&amp;"年"&amp;AE$5&lt;&gt;'9.项目开发计划表'!$AG$55,1,(Y$4+1)&amp;"年"&amp;AE$5)</f>
        <v>1</v>
      </c>
      <c r="AF299" s="313">
        <f>IF((Y$4+1)&amp;"年"&amp;AF$5&lt;&gt;'9.项目开发计划表'!$AG$55,1,(Y$4+1)&amp;"年"&amp;AF$5)</f>
        <v>1</v>
      </c>
      <c r="AG299" s="322">
        <f>IF((AC$4+1)&amp;"年"&amp;AG$5&lt;&gt;'9.项目开发计划表'!$AG$55,1,(AC$4+1)&amp;"年"&amp;AG$5)</f>
        <v>1</v>
      </c>
      <c r="AH299" s="312">
        <f>IF((AC$4+1)&amp;"年"&amp;AH$5&lt;&gt;'9.项目开发计划表'!$AG$55,1,(AC$4+1)&amp;"年"&amp;AH$5)</f>
        <v>1</v>
      </c>
      <c r="AI299" s="312">
        <f>IF((AC$4+1)&amp;"年"&amp;AI$5&lt;&gt;'9.项目开发计划表'!$AG$55,1,(AC$4+1)&amp;"年"&amp;AI$5)</f>
        <v>1</v>
      </c>
      <c r="AJ299" s="313">
        <f>IF((AC$4+1)&amp;"年"&amp;AJ$5&lt;&gt;'9.项目开发计划表'!$AG$55,1,(AC$4+1)&amp;"年"&amp;AJ$5)</f>
        <v>1</v>
      </c>
      <c r="AK299" s="322">
        <f>IF((AG$4+1)&amp;"年"&amp;AK$5&lt;&gt;'9.项目开发计划表'!$AG$55,1,(AG$4+1)&amp;"年"&amp;AK$5)</f>
        <v>1</v>
      </c>
      <c r="AL299" s="312">
        <f>IF((AG$4+1)&amp;"年"&amp;AL$5&lt;&gt;'9.项目开发计划表'!$AG$55,1,(AG$4+1)&amp;"年"&amp;AL$5)</f>
        <v>1</v>
      </c>
      <c r="AM299" s="312">
        <f>IF((AG$4+1)&amp;"年"&amp;AM$5&lt;&gt;'9.项目开发计划表'!$AG$55,1,(AG$4+1)&amp;"年"&amp;AM$5)</f>
        <v>1</v>
      </c>
      <c r="AN299" s="313">
        <f>IF((AG$4+1)&amp;"年"&amp;AN$5&lt;&gt;'9.项目开发计划表'!$AG$55,1,(AG$4+1)&amp;"年"&amp;AN$5)</f>
        <v>1</v>
      </c>
      <c r="AO299" s="322">
        <f>IF((AK$4+1)&amp;"年"&amp;AO$5&lt;&gt;'9.项目开发计划表'!$AG$55,1,(AK$4+1)&amp;"年"&amp;AO$5)</f>
        <v>1</v>
      </c>
      <c r="AP299" s="312">
        <f>IF((AK$4+1)&amp;"年"&amp;AP$5&lt;&gt;'9.项目开发计划表'!$AG$55,1,(AK$4+1)&amp;"年"&amp;AP$5)</f>
        <v>1</v>
      </c>
      <c r="AQ299" s="312">
        <f>IF((AK$4+1)&amp;"年"&amp;AQ$5&lt;&gt;'9.项目开发计划表'!$AG$55,1,(AK$4+1)&amp;"年"&amp;AQ$5)</f>
        <v>1</v>
      </c>
      <c r="AR299" s="313">
        <f>IF((AK$4+1)&amp;"年"&amp;AR$5&lt;&gt;'9.项目开发计划表'!$AG$55,1,(AK$4+1)&amp;"年"&amp;AR$5)</f>
        <v>1</v>
      </c>
      <c r="AS299" s="322">
        <f>IF((AO$4+1)&amp;"年"&amp;AS$5&lt;&gt;'9.项目开发计划表'!$AG$55,1,(AO$4+1)&amp;"年"&amp;AS$5)</f>
        <v>1</v>
      </c>
      <c r="AT299" s="312">
        <f>IF((AO$4+1)&amp;"年"&amp;AT$5&lt;&gt;'9.项目开发计划表'!$AG$55,1,(AO$4+1)&amp;"年"&amp;AT$5)</f>
        <v>1</v>
      </c>
      <c r="AU299" s="312">
        <f>IF((AO$4+1)&amp;"年"&amp;AU$5&lt;&gt;'9.项目开发计划表'!$AG$55,1,(AO$4+1)&amp;"年"&amp;AU$5)</f>
        <v>1</v>
      </c>
      <c r="AV299" s="313">
        <f>IF((AO$4+1)&amp;"年"&amp;AV$5&lt;&gt;'9.项目开发计划表'!$AG$55,1,(AO$4+1)&amp;"年"&amp;AV$5)</f>
        <v>1</v>
      </c>
    </row>
    <row r="300" spans="2:48" outlineLevel="1">
      <c r="C300" s="1980"/>
      <c r="D300" s="1982"/>
      <c r="E300" s="280">
        <f t="shared" ref="E300:AV300" si="102">IF(E299=1,0,1)</f>
        <v>0</v>
      </c>
      <c r="F300" s="281">
        <f t="shared" si="102"/>
        <v>0</v>
      </c>
      <c r="G300" s="281">
        <f t="shared" si="102"/>
        <v>0</v>
      </c>
      <c r="H300" s="282">
        <f t="shared" si="102"/>
        <v>0</v>
      </c>
      <c r="I300" s="323">
        <f t="shared" si="102"/>
        <v>0</v>
      </c>
      <c r="J300" s="281">
        <f t="shared" si="102"/>
        <v>0</v>
      </c>
      <c r="K300" s="281">
        <f t="shared" si="102"/>
        <v>0</v>
      </c>
      <c r="L300" s="282">
        <f t="shared" si="102"/>
        <v>0</v>
      </c>
      <c r="M300" s="323">
        <f t="shared" si="102"/>
        <v>0</v>
      </c>
      <c r="N300" s="281">
        <f t="shared" si="102"/>
        <v>0</v>
      </c>
      <c r="O300" s="281">
        <f t="shared" si="102"/>
        <v>0</v>
      </c>
      <c r="P300" s="282">
        <f t="shared" si="102"/>
        <v>0</v>
      </c>
      <c r="Q300" s="323">
        <f t="shared" si="102"/>
        <v>0</v>
      </c>
      <c r="R300" s="281">
        <f t="shared" si="102"/>
        <v>0</v>
      </c>
      <c r="S300" s="281">
        <f t="shared" si="102"/>
        <v>0</v>
      </c>
      <c r="T300" s="282">
        <f t="shared" si="102"/>
        <v>0</v>
      </c>
      <c r="U300" s="323">
        <f t="shared" si="102"/>
        <v>0</v>
      </c>
      <c r="V300" s="281">
        <f t="shared" si="102"/>
        <v>0</v>
      </c>
      <c r="W300" s="281">
        <f t="shared" si="102"/>
        <v>0</v>
      </c>
      <c r="X300" s="282">
        <f t="shared" si="102"/>
        <v>0</v>
      </c>
      <c r="Y300" s="323">
        <f t="shared" si="102"/>
        <v>0</v>
      </c>
      <c r="Z300" s="281">
        <f t="shared" si="102"/>
        <v>0</v>
      </c>
      <c r="AA300" s="281">
        <f t="shared" si="102"/>
        <v>0</v>
      </c>
      <c r="AB300" s="282">
        <f t="shared" si="102"/>
        <v>0</v>
      </c>
      <c r="AC300" s="323">
        <f t="shared" si="102"/>
        <v>0</v>
      </c>
      <c r="AD300" s="281">
        <f t="shared" si="102"/>
        <v>0</v>
      </c>
      <c r="AE300" s="281">
        <f t="shared" si="102"/>
        <v>0</v>
      </c>
      <c r="AF300" s="282">
        <f t="shared" si="102"/>
        <v>0</v>
      </c>
      <c r="AG300" s="323">
        <f t="shared" si="102"/>
        <v>0</v>
      </c>
      <c r="AH300" s="281">
        <f t="shared" si="102"/>
        <v>0</v>
      </c>
      <c r="AI300" s="281">
        <f t="shared" si="102"/>
        <v>0</v>
      </c>
      <c r="AJ300" s="282">
        <f t="shared" si="102"/>
        <v>0</v>
      </c>
      <c r="AK300" s="323">
        <f t="shared" si="102"/>
        <v>0</v>
      </c>
      <c r="AL300" s="281">
        <f t="shared" si="102"/>
        <v>0</v>
      </c>
      <c r="AM300" s="281">
        <f t="shared" si="102"/>
        <v>0</v>
      </c>
      <c r="AN300" s="282">
        <f t="shared" si="102"/>
        <v>0</v>
      </c>
      <c r="AO300" s="323">
        <f t="shared" si="102"/>
        <v>0</v>
      </c>
      <c r="AP300" s="281">
        <f t="shared" si="102"/>
        <v>0</v>
      </c>
      <c r="AQ300" s="281">
        <f t="shared" si="102"/>
        <v>0</v>
      </c>
      <c r="AR300" s="282">
        <f t="shared" si="102"/>
        <v>0</v>
      </c>
      <c r="AS300" s="323">
        <f t="shared" si="102"/>
        <v>0</v>
      </c>
      <c r="AT300" s="281">
        <f t="shared" si="102"/>
        <v>0</v>
      </c>
      <c r="AU300" s="281">
        <f t="shared" si="102"/>
        <v>0</v>
      </c>
      <c r="AV300" s="282">
        <f t="shared" si="102"/>
        <v>0</v>
      </c>
    </row>
    <row r="301" spans="2:48" s="256" customFormat="1" ht="15.75" customHeight="1" outlineLevel="1">
      <c r="B301" s="321"/>
      <c r="C301" s="1980" t="s">
        <v>23</v>
      </c>
      <c r="D301" s="1981" t="str">
        <f>'8.项目规划指标表'!$B$5</f>
        <v>高层</v>
      </c>
      <c r="E301" s="311">
        <f>IF($E$4&amp;"年"&amp;E$5&lt;&gt;'9.项目开发计划表'!$AG$57,1,$E$4&amp;"年"&amp;E$5)</f>
        <v>1</v>
      </c>
      <c r="F301" s="312">
        <f>IF($E$4&amp;"年"&amp;F$5&lt;&gt;'9.项目开发计划表'!$AG$57,1,$E$4&amp;"年"&amp;F$5)</f>
        <v>1</v>
      </c>
      <c r="G301" s="312">
        <f>IF($E$4&amp;"年"&amp;G$5&lt;&gt;'9.项目开发计划表'!$AG$57,1,$E$4&amp;"年"&amp;G$5)</f>
        <v>1</v>
      </c>
      <c r="H301" s="313">
        <f>IF($E$4&amp;"年"&amp;H$5&lt;&gt;'9.项目开发计划表'!$AG$57,1,$E$4&amp;"年"&amp;H$5)</f>
        <v>1</v>
      </c>
      <c r="I301" s="322">
        <f>IF((E$4+1)&amp;"年"&amp;I$5&lt;&gt;'9.项目开发计划表'!$AG$57,1,(E$4+1)&amp;"年"&amp;I$5)</f>
        <v>1</v>
      </c>
      <c r="J301" s="312">
        <f>IF((E$4+1)&amp;"年"&amp;J$5&lt;&gt;'9.项目开发计划表'!$AG$57,1,(E$4+1)&amp;"年"&amp;J$5)</f>
        <v>1</v>
      </c>
      <c r="K301" s="312">
        <f>IF((E$4+1)&amp;"年"&amp;K$5&lt;&gt;'9.项目开发计划表'!$AG$57,1,(E$4+1)&amp;"年"&amp;K$5)</f>
        <v>1</v>
      </c>
      <c r="L301" s="313">
        <f>IF((E$4+1)&amp;"年"&amp;L$5&lt;&gt;'9.项目开发计划表'!$AG$57,1,(E$4+1)&amp;"年"&amp;L$5)</f>
        <v>1</v>
      </c>
      <c r="M301" s="322">
        <f>IF((I$4+1)&amp;"年"&amp;M$5&lt;&gt;'9.项目开发计划表'!$AG$57,1,(I$4+1)&amp;"年"&amp;M$5)</f>
        <v>1</v>
      </c>
      <c r="N301" s="312">
        <f>IF((I$4+1)&amp;"年"&amp;N$5&lt;&gt;'9.项目开发计划表'!$AG$57,1,(I$4+1)&amp;"年"&amp;N$5)</f>
        <v>1</v>
      </c>
      <c r="O301" s="312">
        <f>IF((I$4+1)&amp;"年"&amp;O$5&lt;&gt;'9.项目开发计划表'!$AG$57,1,(I$4+1)&amp;"年"&amp;O$5)</f>
        <v>1</v>
      </c>
      <c r="P301" s="313">
        <f>IF((I$4+1)&amp;"年"&amp;P$5&lt;&gt;'9.项目开发计划表'!$AG$57,1,(I$4+1)&amp;"年"&amp;P$5)</f>
        <v>1</v>
      </c>
      <c r="Q301" s="322">
        <f>IF((M$4+1)&amp;"年"&amp;Q$5&lt;&gt;'9.项目开发计划表'!$AG$57,1,(M$4+1)&amp;"年"&amp;Q$5)</f>
        <v>1</v>
      </c>
      <c r="R301" s="312">
        <f>IF((M$4+1)&amp;"年"&amp;R$5&lt;&gt;'9.项目开发计划表'!$AG$57,1,(M$4+1)&amp;"年"&amp;R$5)</f>
        <v>1</v>
      </c>
      <c r="S301" s="312">
        <f>IF((M$4+1)&amp;"年"&amp;S$5&lt;&gt;'9.项目开发计划表'!$AG$57,1,(M$4+1)&amp;"年"&amp;S$5)</f>
        <v>1</v>
      </c>
      <c r="T301" s="313">
        <f>IF((M$4+1)&amp;"年"&amp;T$5&lt;&gt;'9.项目开发计划表'!$AG$57,1,(M$4+1)&amp;"年"&amp;T$5)</f>
        <v>1</v>
      </c>
      <c r="U301" s="322">
        <f>IF((Q$4+1)&amp;"年"&amp;U$5&lt;&gt;'9.项目开发计划表'!$AG$57,1,(Q$4+1)&amp;"年"&amp;U$5)</f>
        <v>1</v>
      </c>
      <c r="V301" s="312">
        <f>IF((Q$4+1)&amp;"年"&amp;V$5&lt;&gt;'9.项目开发计划表'!$AG$57,1,(Q$4+1)&amp;"年"&amp;V$5)</f>
        <v>1</v>
      </c>
      <c r="W301" s="312">
        <f>IF((Q$4+1)&amp;"年"&amp;W$5&lt;&gt;'9.项目开发计划表'!$AG$57,1,(Q$4+1)&amp;"年"&amp;W$5)</f>
        <v>1</v>
      </c>
      <c r="X301" s="313">
        <f>IF((Q$4+1)&amp;"年"&amp;X$5&lt;&gt;'9.项目开发计划表'!$AG$57,1,(Q$4+1)&amp;"年"&amp;X$5)</f>
        <v>1</v>
      </c>
      <c r="Y301" s="322">
        <f>IF((U$4+1)&amp;"年"&amp;Y$5&lt;&gt;'9.项目开发计划表'!$AG$57,1,(U$4+1)&amp;"年"&amp;Y$5)</f>
        <v>1</v>
      </c>
      <c r="Z301" s="312">
        <f>IF((U$4+1)&amp;"年"&amp;Z$5&lt;&gt;'9.项目开发计划表'!$AG$57,1,(U$4+1)&amp;"年"&amp;Z$5)</f>
        <v>1</v>
      </c>
      <c r="AA301" s="312">
        <f>IF((U$4+1)&amp;"年"&amp;AA$5&lt;&gt;'9.项目开发计划表'!$AG$57,1,(U$4+1)&amp;"年"&amp;AA$5)</f>
        <v>1</v>
      </c>
      <c r="AB301" s="313">
        <f>IF((U$4+1)&amp;"年"&amp;AB$5&lt;&gt;'9.项目开发计划表'!$AG$57,1,(U$4+1)&amp;"年"&amp;AB$5)</f>
        <v>1</v>
      </c>
      <c r="AC301" s="322">
        <f>IF((Y$4+1)&amp;"年"&amp;AC$5&lt;&gt;'9.项目开发计划表'!$AG$57,1,(Y$4+1)&amp;"年"&amp;AC$5)</f>
        <v>1</v>
      </c>
      <c r="AD301" s="312">
        <f>IF((Y$4+1)&amp;"年"&amp;AD$5&lt;&gt;'9.项目开发计划表'!$AG$57,1,(Y$4+1)&amp;"年"&amp;AD$5)</f>
        <v>1</v>
      </c>
      <c r="AE301" s="312">
        <f>IF((Y$4+1)&amp;"年"&amp;AE$5&lt;&gt;'9.项目开发计划表'!$AG$57,1,(Y$4+1)&amp;"年"&amp;AE$5)</f>
        <v>1</v>
      </c>
      <c r="AF301" s="313">
        <f>IF((Y$4+1)&amp;"年"&amp;AF$5&lt;&gt;'9.项目开发计划表'!$AG$57,1,(Y$4+1)&amp;"年"&amp;AF$5)</f>
        <v>1</v>
      </c>
      <c r="AG301" s="322">
        <f>IF((AC$4+1)&amp;"年"&amp;AG$5&lt;&gt;'9.项目开发计划表'!$AG$57,1,(AC$4+1)&amp;"年"&amp;AG$5)</f>
        <v>1</v>
      </c>
      <c r="AH301" s="312">
        <f>IF((AC$4+1)&amp;"年"&amp;AH$5&lt;&gt;'9.项目开发计划表'!$AG$57,1,(AC$4+1)&amp;"年"&amp;AH$5)</f>
        <v>1</v>
      </c>
      <c r="AI301" s="312">
        <f>IF((AC$4+1)&amp;"年"&amp;AI$5&lt;&gt;'9.项目开发计划表'!$AG$57,1,(AC$4+1)&amp;"年"&amp;AI$5)</f>
        <v>1</v>
      </c>
      <c r="AJ301" s="313">
        <f>IF((AC$4+1)&amp;"年"&amp;AJ$5&lt;&gt;'9.项目开发计划表'!$AG$57,1,(AC$4+1)&amp;"年"&amp;AJ$5)</f>
        <v>1</v>
      </c>
      <c r="AK301" s="322">
        <f>IF((AG$4+1)&amp;"年"&amp;AK$5&lt;&gt;'9.项目开发计划表'!$AG$57,1,(AG$4+1)&amp;"年"&amp;AK$5)</f>
        <v>1</v>
      </c>
      <c r="AL301" s="312">
        <f>IF((AG$4+1)&amp;"年"&amp;AL$5&lt;&gt;'9.项目开发计划表'!$AG$57,1,(AG$4+1)&amp;"年"&amp;AL$5)</f>
        <v>1</v>
      </c>
      <c r="AM301" s="312">
        <f>IF((AG$4+1)&amp;"年"&amp;AM$5&lt;&gt;'9.项目开发计划表'!$AG$57,1,(AG$4+1)&amp;"年"&amp;AM$5)</f>
        <v>1</v>
      </c>
      <c r="AN301" s="313">
        <f>IF((AG$4+1)&amp;"年"&amp;AN$5&lt;&gt;'9.项目开发计划表'!$AG$57,1,(AG$4+1)&amp;"年"&amp;AN$5)</f>
        <v>1</v>
      </c>
      <c r="AO301" s="322">
        <f>IF((AK$4+1)&amp;"年"&amp;AO$5&lt;&gt;'9.项目开发计划表'!$AG$57,1,(AK$4+1)&amp;"年"&amp;AO$5)</f>
        <v>1</v>
      </c>
      <c r="AP301" s="312">
        <f>IF((AK$4+1)&amp;"年"&amp;AP$5&lt;&gt;'9.项目开发计划表'!$AG$57,1,(AK$4+1)&amp;"年"&amp;AP$5)</f>
        <v>1</v>
      </c>
      <c r="AQ301" s="312">
        <f>IF((AK$4+1)&amp;"年"&amp;AQ$5&lt;&gt;'9.项目开发计划表'!$AG$57,1,(AK$4+1)&amp;"年"&amp;AQ$5)</f>
        <v>1</v>
      </c>
      <c r="AR301" s="313">
        <f>IF((AK$4+1)&amp;"年"&amp;AR$5&lt;&gt;'9.项目开发计划表'!$AG$57,1,(AK$4+1)&amp;"年"&amp;AR$5)</f>
        <v>1</v>
      </c>
      <c r="AS301" s="322">
        <f>IF((AO$4+1)&amp;"年"&amp;AS$5&lt;&gt;'9.项目开发计划表'!$AG$57,1,(AO$4+1)&amp;"年"&amp;AS$5)</f>
        <v>1</v>
      </c>
      <c r="AT301" s="312">
        <f>IF((AO$4+1)&amp;"年"&amp;AT$5&lt;&gt;'9.项目开发计划表'!$AG$57,1,(AO$4+1)&amp;"年"&amp;AT$5)</f>
        <v>1</v>
      </c>
      <c r="AU301" s="312">
        <f>IF((AO$4+1)&amp;"年"&amp;AU$5&lt;&gt;'9.项目开发计划表'!$AG$57,1,(AO$4+1)&amp;"年"&amp;AU$5)</f>
        <v>1</v>
      </c>
      <c r="AV301" s="313">
        <f>IF((AO$4+1)&amp;"年"&amp;AV$5&lt;&gt;'9.项目开发计划表'!$AG$57,1,(AO$4+1)&amp;"年"&amp;AV$5)</f>
        <v>1</v>
      </c>
    </row>
    <row r="302" spans="2:48" s="256" customFormat="1" ht="15.75" customHeight="1" outlineLevel="1">
      <c r="B302" s="321"/>
      <c r="C302" s="1980"/>
      <c r="D302" s="1982"/>
      <c r="E302" s="280">
        <f t="shared" ref="E302:AV302" si="103">IF(E301=1,0,1)</f>
        <v>0</v>
      </c>
      <c r="F302" s="281">
        <f t="shared" si="103"/>
        <v>0</v>
      </c>
      <c r="G302" s="281">
        <f t="shared" si="103"/>
        <v>0</v>
      </c>
      <c r="H302" s="282">
        <f t="shared" si="103"/>
        <v>0</v>
      </c>
      <c r="I302" s="323">
        <f t="shared" si="103"/>
        <v>0</v>
      </c>
      <c r="J302" s="281">
        <f t="shared" si="103"/>
        <v>0</v>
      </c>
      <c r="K302" s="281">
        <f t="shared" si="103"/>
        <v>0</v>
      </c>
      <c r="L302" s="282">
        <f t="shared" si="103"/>
        <v>0</v>
      </c>
      <c r="M302" s="323">
        <f t="shared" si="103"/>
        <v>0</v>
      </c>
      <c r="N302" s="281">
        <f t="shared" si="103"/>
        <v>0</v>
      </c>
      <c r="O302" s="281">
        <f t="shared" si="103"/>
        <v>0</v>
      </c>
      <c r="P302" s="282">
        <f t="shared" si="103"/>
        <v>0</v>
      </c>
      <c r="Q302" s="323">
        <f t="shared" si="103"/>
        <v>0</v>
      </c>
      <c r="R302" s="281">
        <f t="shared" si="103"/>
        <v>0</v>
      </c>
      <c r="S302" s="281">
        <f t="shared" si="103"/>
        <v>0</v>
      </c>
      <c r="T302" s="282">
        <f t="shared" si="103"/>
        <v>0</v>
      </c>
      <c r="U302" s="323">
        <f t="shared" si="103"/>
        <v>0</v>
      </c>
      <c r="V302" s="281">
        <f t="shared" si="103"/>
        <v>0</v>
      </c>
      <c r="W302" s="281">
        <f t="shared" si="103"/>
        <v>0</v>
      </c>
      <c r="X302" s="282">
        <f t="shared" si="103"/>
        <v>0</v>
      </c>
      <c r="Y302" s="323">
        <f t="shared" si="103"/>
        <v>0</v>
      </c>
      <c r="Z302" s="281">
        <f t="shared" si="103"/>
        <v>0</v>
      </c>
      <c r="AA302" s="281">
        <f t="shared" si="103"/>
        <v>0</v>
      </c>
      <c r="AB302" s="282">
        <f t="shared" si="103"/>
        <v>0</v>
      </c>
      <c r="AC302" s="323">
        <f t="shared" si="103"/>
        <v>0</v>
      </c>
      <c r="AD302" s="281">
        <f t="shared" si="103"/>
        <v>0</v>
      </c>
      <c r="AE302" s="281">
        <f t="shared" si="103"/>
        <v>0</v>
      </c>
      <c r="AF302" s="282">
        <f t="shared" si="103"/>
        <v>0</v>
      </c>
      <c r="AG302" s="323">
        <f t="shared" si="103"/>
        <v>0</v>
      </c>
      <c r="AH302" s="281">
        <f t="shared" si="103"/>
        <v>0</v>
      </c>
      <c r="AI302" s="281">
        <f t="shared" si="103"/>
        <v>0</v>
      </c>
      <c r="AJ302" s="282">
        <f t="shared" si="103"/>
        <v>0</v>
      </c>
      <c r="AK302" s="323">
        <f t="shared" si="103"/>
        <v>0</v>
      </c>
      <c r="AL302" s="281">
        <f t="shared" si="103"/>
        <v>0</v>
      </c>
      <c r="AM302" s="281">
        <f t="shared" si="103"/>
        <v>0</v>
      </c>
      <c r="AN302" s="282">
        <f t="shared" si="103"/>
        <v>0</v>
      </c>
      <c r="AO302" s="323">
        <f t="shared" si="103"/>
        <v>0</v>
      </c>
      <c r="AP302" s="281">
        <f t="shared" si="103"/>
        <v>0</v>
      </c>
      <c r="AQ302" s="281">
        <f t="shared" si="103"/>
        <v>0</v>
      </c>
      <c r="AR302" s="282">
        <f t="shared" si="103"/>
        <v>0</v>
      </c>
      <c r="AS302" s="323">
        <f t="shared" si="103"/>
        <v>0</v>
      </c>
      <c r="AT302" s="281">
        <f t="shared" si="103"/>
        <v>0</v>
      </c>
      <c r="AU302" s="281">
        <f t="shared" si="103"/>
        <v>0</v>
      </c>
      <c r="AV302" s="282">
        <f t="shared" si="103"/>
        <v>0</v>
      </c>
    </row>
    <row r="303" spans="2:48" s="256" customFormat="1" ht="15.75" customHeight="1" outlineLevel="1">
      <c r="B303" s="321"/>
      <c r="C303" s="1980"/>
      <c r="D303" s="1981" t="str">
        <f>'8.项目规划指标表'!$B$6</f>
        <v>商铺</v>
      </c>
      <c r="E303" s="311">
        <f>IF($E$4&amp;"年"&amp;E$5&lt;&gt;'9.项目开发计划表'!$AG$58,1,$E$4&amp;"年"&amp;E$5)</f>
        <v>1</v>
      </c>
      <c r="F303" s="312">
        <f>IF($E$4&amp;"年"&amp;F$5&lt;&gt;'9.项目开发计划表'!$AG$58,1,$E$4&amp;"年"&amp;F$5)</f>
        <v>1</v>
      </c>
      <c r="G303" s="312">
        <f>IF($E$4&amp;"年"&amp;G$5&lt;&gt;'9.项目开发计划表'!$AG$58,1,$E$4&amp;"年"&amp;G$5)</f>
        <v>1</v>
      </c>
      <c r="H303" s="313">
        <f>IF($E$4&amp;"年"&amp;H$5&lt;&gt;'9.项目开发计划表'!$AG$58,1,$E$4&amp;"年"&amp;H$5)</f>
        <v>1</v>
      </c>
      <c r="I303" s="322">
        <f>IF((E$4+1)&amp;"年"&amp;I$5&lt;&gt;'9.项目开发计划表'!$AG$58,1,(E$4+1)&amp;"年"&amp;I$5)</f>
        <v>1</v>
      </c>
      <c r="J303" s="312">
        <f>IF((E$4+1)&amp;"年"&amp;J$5&lt;&gt;'9.项目开发计划表'!$AG$58,1,(E$4+1)&amp;"年"&amp;J$5)</f>
        <v>1</v>
      </c>
      <c r="K303" s="312">
        <f>IF((E$4+1)&amp;"年"&amp;K$5&lt;&gt;'9.项目开发计划表'!$AG$58,1,(E$4+1)&amp;"年"&amp;K$5)</f>
        <v>1</v>
      </c>
      <c r="L303" s="313">
        <f>IF((E$4+1)&amp;"年"&amp;L$5&lt;&gt;'9.项目开发计划表'!$AG$58,1,(E$4+1)&amp;"年"&amp;L$5)</f>
        <v>1</v>
      </c>
      <c r="M303" s="322">
        <f>IF((I$4+1)&amp;"年"&amp;M$5&lt;&gt;'9.项目开发计划表'!$AG$58,1,(I$4+1)&amp;"年"&amp;M$5)</f>
        <v>1</v>
      </c>
      <c r="N303" s="312">
        <f>IF((I$4+1)&amp;"年"&amp;N$5&lt;&gt;'9.项目开发计划表'!$AG$58,1,(I$4+1)&amp;"年"&amp;N$5)</f>
        <v>1</v>
      </c>
      <c r="O303" s="312">
        <f>IF((I$4+1)&amp;"年"&amp;O$5&lt;&gt;'9.项目开发计划表'!$AG$58,1,(I$4+1)&amp;"年"&amp;O$5)</f>
        <v>1</v>
      </c>
      <c r="P303" s="313">
        <f>IF((I$4+1)&amp;"年"&amp;P$5&lt;&gt;'9.项目开发计划表'!$AG$58,1,(I$4+1)&amp;"年"&amp;P$5)</f>
        <v>1</v>
      </c>
      <c r="Q303" s="322">
        <f>IF((M$4+1)&amp;"年"&amp;Q$5&lt;&gt;'9.项目开发计划表'!$AG$58,1,(M$4+1)&amp;"年"&amp;Q$5)</f>
        <v>1</v>
      </c>
      <c r="R303" s="312">
        <f>IF((M$4+1)&amp;"年"&amp;R$5&lt;&gt;'9.项目开发计划表'!$AG$58,1,(M$4+1)&amp;"年"&amp;R$5)</f>
        <v>1</v>
      </c>
      <c r="S303" s="312">
        <f>IF((M$4+1)&amp;"年"&amp;S$5&lt;&gt;'9.项目开发计划表'!$AG$58,1,(M$4+1)&amp;"年"&amp;S$5)</f>
        <v>1</v>
      </c>
      <c r="T303" s="313">
        <f>IF((M$4+1)&amp;"年"&amp;T$5&lt;&gt;'9.项目开发计划表'!$AG$58,1,(M$4+1)&amp;"年"&amp;T$5)</f>
        <v>1</v>
      </c>
      <c r="U303" s="322">
        <f>IF((Q$4+1)&amp;"年"&amp;U$5&lt;&gt;'9.项目开发计划表'!$AG$58,1,(Q$4+1)&amp;"年"&amp;U$5)</f>
        <v>1</v>
      </c>
      <c r="V303" s="312">
        <f>IF((Q$4+1)&amp;"年"&amp;V$5&lt;&gt;'9.项目开发计划表'!$AG$58,1,(Q$4+1)&amp;"年"&amp;V$5)</f>
        <v>1</v>
      </c>
      <c r="W303" s="312">
        <f>IF((Q$4+1)&amp;"年"&amp;W$5&lt;&gt;'9.项目开发计划表'!$AG$58,1,(Q$4+1)&amp;"年"&amp;W$5)</f>
        <v>1</v>
      </c>
      <c r="X303" s="313">
        <f>IF((Q$4+1)&amp;"年"&amp;X$5&lt;&gt;'9.项目开发计划表'!$AG$58,1,(Q$4+1)&amp;"年"&amp;X$5)</f>
        <v>1</v>
      </c>
      <c r="Y303" s="322">
        <f>IF((U$4+1)&amp;"年"&amp;Y$5&lt;&gt;'9.项目开发计划表'!$AG$58,1,(U$4+1)&amp;"年"&amp;Y$5)</f>
        <v>1</v>
      </c>
      <c r="Z303" s="312">
        <f>IF((U$4+1)&amp;"年"&amp;Z$5&lt;&gt;'9.项目开发计划表'!$AG$58,1,(U$4+1)&amp;"年"&amp;Z$5)</f>
        <v>1</v>
      </c>
      <c r="AA303" s="312">
        <f>IF((U$4+1)&amp;"年"&amp;AA$5&lt;&gt;'9.项目开发计划表'!$AG$58,1,(U$4+1)&amp;"年"&amp;AA$5)</f>
        <v>1</v>
      </c>
      <c r="AB303" s="313">
        <f>IF((U$4+1)&amp;"年"&amp;AB$5&lt;&gt;'9.项目开发计划表'!$AG$58,1,(U$4+1)&amp;"年"&amp;AB$5)</f>
        <v>1</v>
      </c>
      <c r="AC303" s="322">
        <f>IF((Y$4+1)&amp;"年"&amp;AC$5&lt;&gt;'9.项目开发计划表'!$AG$58,1,(Y$4+1)&amp;"年"&amp;AC$5)</f>
        <v>1</v>
      </c>
      <c r="AD303" s="312">
        <f>IF((Y$4+1)&amp;"年"&amp;AD$5&lt;&gt;'9.项目开发计划表'!$AG$58,1,(Y$4+1)&amp;"年"&amp;AD$5)</f>
        <v>1</v>
      </c>
      <c r="AE303" s="312">
        <f>IF((Y$4+1)&amp;"年"&amp;AE$5&lt;&gt;'9.项目开发计划表'!$AG$58,1,(Y$4+1)&amp;"年"&amp;AE$5)</f>
        <v>1</v>
      </c>
      <c r="AF303" s="313">
        <f>IF((Y$4+1)&amp;"年"&amp;AF$5&lt;&gt;'9.项目开发计划表'!$AG$58,1,(Y$4+1)&amp;"年"&amp;AF$5)</f>
        <v>1</v>
      </c>
      <c r="AG303" s="322">
        <f>IF((AC$4+1)&amp;"年"&amp;AG$5&lt;&gt;'9.项目开发计划表'!$AG$58,1,(AC$4+1)&amp;"年"&amp;AG$5)</f>
        <v>1</v>
      </c>
      <c r="AH303" s="312">
        <f>IF((AC$4+1)&amp;"年"&amp;AH$5&lt;&gt;'9.项目开发计划表'!$AG$58,1,(AC$4+1)&amp;"年"&amp;AH$5)</f>
        <v>1</v>
      </c>
      <c r="AI303" s="312">
        <f>IF((AC$4+1)&amp;"年"&amp;AI$5&lt;&gt;'9.项目开发计划表'!$AG$58,1,(AC$4+1)&amp;"年"&amp;AI$5)</f>
        <v>1</v>
      </c>
      <c r="AJ303" s="313">
        <f>IF((AC$4+1)&amp;"年"&amp;AJ$5&lt;&gt;'9.项目开发计划表'!$AG$58,1,(AC$4+1)&amp;"年"&amp;AJ$5)</f>
        <v>1</v>
      </c>
      <c r="AK303" s="322">
        <f>IF((AG$4+1)&amp;"年"&amp;AK$5&lt;&gt;'9.项目开发计划表'!$AG$58,1,(AG$4+1)&amp;"年"&amp;AK$5)</f>
        <v>1</v>
      </c>
      <c r="AL303" s="312">
        <f>IF((AG$4+1)&amp;"年"&amp;AL$5&lt;&gt;'9.项目开发计划表'!$AG$58,1,(AG$4+1)&amp;"年"&amp;AL$5)</f>
        <v>1</v>
      </c>
      <c r="AM303" s="312">
        <f>IF((AG$4+1)&amp;"年"&amp;AM$5&lt;&gt;'9.项目开发计划表'!$AG$58,1,(AG$4+1)&amp;"年"&amp;AM$5)</f>
        <v>1</v>
      </c>
      <c r="AN303" s="313">
        <f>IF((AG$4+1)&amp;"年"&amp;AN$5&lt;&gt;'9.项目开发计划表'!$AG$58,1,(AG$4+1)&amp;"年"&amp;AN$5)</f>
        <v>1</v>
      </c>
      <c r="AO303" s="322">
        <f>IF((AK$4+1)&amp;"年"&amp;AO$5&lt;&gt;'9.项目开发计划表'!$AG$58,1,(AK$4+1)&amp;"年"&amp;AO$5)</f>
        <v>1</v>
      </c>
      <c r="AP303" s="312">
        <f>IF((AK$4+1)&amp;"年"&amp;AP$5&lt;&gt;'9.项目开发计划表'!$AG$58,1,(AK$4+1)&amp;"年"&amp;AP$5)</f>
        <v>1</v>
      </c>
      <c r="AQ303" s="312">
        <f>IF((AK$4+1)&amp;"年"&amp;AQ$5&lt;&gt;'9.项目开发计划表'!$AG$58,1,(AK$4+1)&amp;"年"&amp;AQ$5)</f>
        <v>1</v>
      </c>
      <c r="AR303" s="313">
        <f>IF((AK$4+1)&amp;"年"&amp;AR$5&lt;&gt;'9.项目开发计划表'!$AG$58,1,(AK$4+1)&amp;"年"&amp;AR$5)</f>
        <v>1</v>
      </c>
      <c r="AS303" s="322">
        <f>IF((AO$4+1)&amp;"年"&amp;AS$5&lt;&gt;'9.项目开发计划表'!$AG$58,1,(AO$4+1)&amp;"年"&amp;AS$5)</f>
        <v>1</v>
      </c>
      <c r="AT303" s="312">
        <f>IF((AO$4+1)&amp;"年"&amp;AT$5&lt;&gt;'9.项目开发计划表'!$AG$58,1,(AO$4+1)&amp;"年"&amp;AT$5)</f>
        <v>1</v>
      </c>
      <c r="AU303" s="312">
        <f>IF((AO$4+1)&amp;"年"&amp;AU$5&lt;&gt;'9.项目开发计划表'!$AG$58,1,(AO$4+1)&amp;"年"&amp;AU$5)</f>
        <v>1</v>
      </c>
      <c r="AV303" s="313">
        <f>IF((AO$4+1)&amp;"年"&amp;AV$5&lt;&gt;'9.项目开发计划表'!$AG$58,1,(AO$4+1)&amp;"年"&amp;AV$5)</f>
        <v>1</v>
      </c>
    </row>
    <row r="304" spans="2:48" s="256" customFormat="1" ht="15.75" customHeight="1" outlineLevel="1">
      <c r="B304" s="321"/>
      <c r="C304" s="1980"/>
      <c r="D304" s="1982"/>
      <c r="E304" s="280">
        <f t="shared" ref="E304:AV304" si="104">IF(E303=1,0,1)</f>
        <v>0</v>
      </c>
      <c r="F304" s="281">
        <f t="shared" si="104"/>
        <v>0</v>
      </c>
      <c r="G304" s="281">
        <f t="shared" si="104"/>
        <v>0</v>
      </c>
      <c r="H304" s="282">
        <f t="shared" si="104"/>
        <v>0</v>
      </c>
      <c r="I304" s="323">
        <f t="shared" si="104"/>
        <v>0</v>
      </c>
      <c r="J304" s="281">
        <f t="shared" si="104"/>
        <v>0</v>
      </c>
      <c r="K304" s="281">
        <f t="shared" si="104"/>
        <v>0</v>
      </c>
      <c r="L304" s="282">
        <f t="shared" si="104"/>
        <v>0</v>
      </c>
      <c r="M304" s="323">
        <f t="shared" si="104"/>
        <v>0</v>
      </c>
      <c r="N304" s="281">
        <f t="shared" si="104"/>
        <v>0</v>
      </c>
      <c r="O304" s="281">
        <f t="shared" si="104"/>
        <v>0</v>
      </c>
      <c r="P304" s="282">
        <f t="shared" si="104"/>
        <v>0</v>
      </c>
      <c r="Q304" s="323">
        <f t="shared" si="104"/>
        <v>0</v>
      </c>
      <c r="R304" s="281">
        <f t="shared" si="104"/>
        <v>0</v>
      </c>
      <c r="S304" s="281">
        <f t="shared" si="104"/>
        <v>0</v>
      </c>
      <c r="T304" s="282">
        <f t="shared" si="104"/>
        <v>0</v>
      </c>
      <c r="U304" s="323">
        <f t="shared" si="104"/>
        <v>0</v>
      </c>
      <c r="V304" s="281">
        <f t="shared" si="104"/>
        <v>0</v>
      </c>
      <c r="W304" s="281">
        <f t="shared" si="104"/>
        <v>0</v>
      </c>
      <c r="X304" s="282">
        <f t="shared" si="104"/>
        <v>0</v>
      </c>
      <c r="Y304" s="323">
        <f t="shared" si="104"/>
        <v>0</v>
      </c>
      <c r="Z304" s="281">
        <f t="shared" si="104"/>
        <v>0</v>
      </c>
      <c r="AA304" s="281">
        <f t="shared" si="104"/>
        <v>0</v>
      </c>
      <c r="AB304" s="282">
        <f t="shared" si="104"/>
        <v>0</v>
      </c>
      <c r="AC304" s="323">
        <f t="shared" si="104"/>
        <v>0</v>
      </c>
      <c r="AD304" s="281">
        <f t="shared" si="104"/>
        <v>0</v>
      </c>
      <c r="AE304" s="281">
        <f t="shared" si="104"/>
        <v>0</v>
      </c>
      <c r="AF304" s="282">
        <f t="shared" si="104"/>
        <v>0</v>
      </c>
      <c r="AG304" s="323">
        <f t="shared" si="104"/>
        <v>0</v>
      </c>
      <c r="AH304" s="281">
        <f t="shared" si="104"/>
        <v>0</v>
      </c>
      <c r="AI304" s="281">
        <f t="shared" si="104"/>
        <v>0</v>
      </c>
      <c r="AJ304" s="282">
        <f t="shared" si="104"/>
        <v>0</v>
      </c>
      <c r="AK304" s="323">
        <f t="shared" si="104"/>
        <v>0</v>
      </c>
      <c r="AL304" s="281">
        <f t="shared" si="104"/>
        <v>0</v>
      </c>
      <c r="AM304" s="281">
        <f t="shared" si="104"/>
        <v>0</v>
      </c>
      <c r="AN304" s="282">
        <f t="shared" si="104"/>
        <v>0</v>
      </c>
      <c r="AO304" s="323">
        <f t="shared" si="104"/>
        <v>0</v>
      </c>
      <c r="AP304" s="281">
        <f t="shared" si="104"/>
        <v>0</v>
      </c>
      <c r="AQ304" s="281">
        <f t="shared" si="104"/>
        <v>0</v>
      </c>
      <c r="AR304" s="282">
        <f t="shared" si="104"/>
        <v>0</v>
      </c>
      <c r="AS304" s="323">
        <f t="shared" si="104"/>
        <v>0</v>
      </c>
      <c r="AT304" s="281">
        <f t="shared" si="104"/>
        <v>0</v>
      </c>
      <c r="AU304" s="281">
        <f t="shared" si="104"/>
        <v>0</v>
      </c>
      <c r="AV304" s="282">
        <f t="shared" si="104"/>
        <v>0</v>
      </c>
    </row>
    <row r="305" spans="2:48" s="256" customFormat="1" ht="15.75" customHeight="1" outlineLevel="1">
      <c r="B305" s="321"/>
      <c r="C305" s="1980"/>
      <c r="D305" s="1981" t="str">
        <f>'8.项目规划指标表'!$B$7</f>
        <v>回迁商业</v>
      </c>
      <c r="E305" s="311">
        <f>IF($E$4&amp;"年"&amp;E$5&lt;&gt;'9.项目开发计划表'!$AG$59,1,$E$4&amp;"年"&amp;E$5)</f>
        <v>1</v>
      </c>
      <c r="F305" s="312">
        <f>IF($E$4&amp;"年"&amp;F$5&lt;&gt;'9.项目开发计划表'!$AG$59,1,$E$4&amp;"年"&amp;F$5)</f>
        <v>1</v>
      </c>
      <c r="G305" s="312">
        <f>IF($E$4&amp;"年"&amp;G$5&lt;&gt;'9.项目开发计划表'!$AG$59,1,$E$4&amp;"年"&amp;G$5)</f>
        <v>1</v>
      </c>
      <c r="H305" s="313">
        <f>IF($E$4&amp;"年"&amp;H$5&lt;&gt;'9.项目开发计划表'!$AG$59,1,$E$4&amp;"年"&amp;H$5)</f>
        <v>1</v>
      </c>
      <c r="I305" s="322">
        <f>IF((E$4+1)&amp;"年"&amp;I$5&lt;&gt;'9.项目开发计划表'!$AG$59,1,(E$4+1)&amp;"年"&amp;I$5)</f>
        <v>1</v>
      </c>
      <c r="J305" s="312">
        <f>IF((E$4+1)&amp;"年"&amp;J$5&lt;&gt;'9.项目开发计划表'!$AG$59,1,(E$4+1)&amp;"年"&amp;J$5)</f>
        <v>1</v>
      </c>
      <c r="K305" s="312">
        <f>IF((E$4+1)&amp;"年"&amp;K$5&lt;&gt;'9.项目开发计划表'!$AG$59,1,(E$4+1)&amp;"年"&amp;K$5)</f>
        <v>1</v>
      </c>
      <c r="L305" s="313">
        <f>IF((E$4+1)&amp;"年"&amp;L$5&lt;&gt;'9.项目开发计划表'!$AG$59,1,(E$4+1)&amp;"年"&amp;L$5)</f>
        <v>1</v>
      </c>
      <c r="M305" s="322">
        <f>IF((I$4+1)&amp;"年"&amp;M$5&lt;&gt;'9.项目开发计划表'!$AG$59,1,(I$4+1)&amp;"年"&amp;M$5)</f>
        <v>1</v>
      </c>
      <c r="N305" s="312">
        <f>IF((I$4+1)&amp;"年"&amp;N$5&lt;&gt;'9.项目开发计划表'!$AG$59,1,(I$4+1)&amp;"年"&amp;N$5)</f>
        <v>1</v>
      </c>
      <c r="O305" s="312">
        <f>IF((I$4+1)&amp;"年"&amp;O$5&lt;&gt;'9.项目开发计划表'!$AG$59,1,(I$4+1)&amp;"年"&amp;O$5)</f>
        <v>1</v>
      </c>
      <c r="P305" s="313">
        <f>IF((I$4+1)&amp;"年"&amp;P$5&lt;&gt;'9.项目开发计划表'!$AG$59,1,(I$4+1)&amp;"年"&amp;P$5)</f>
        <v>1</v>
      </c>
      <c r="Q305" s="322">
        <f>IF((M$4+1)&amp;"年"&amp;Q$5&lt;&gt;'9.项目开发计划表'!$AG$59,1,(M$4+1)&amp;"年"&amp;Q$5)</f>
        <v>1</v>
      </c>
      <c r="R305" s="312">
        <f>IF((M$4+1)&amp;"年"&amp;R$5&lt;&gt;'9.项目开发计划表'!$AG$59,1,(M$4+1)&amp;"年"&amp;R$5)</f>
        <v>1</v>
      </c>
      <c r="S305" s="312">
        <f>IF((M$4+1)&amp;"年"&amp;S$5&lt;&gt;'9.项目开发计划表'!$AG$59,1,(M$4+1)&amp;"年"&amp;S$5)</f>
        <v>1</v>
      </c>
      <c r="T305" s="313">
        <f>IF((M$4+1)&amp;"年"&amp;T$5&lt;&gt;'9.项目开发计划表'!$AG$59,1,(M$4+1)&amp;"年"&amp;T$5)</f>
        <v>1</v>
      </c>
      <c r="U305" s="322">
        <f>IF((Q$4+1)&amp;"年"&amp;U$5&lt;&gt;'9.项目开发计划表'!$AG$59,1,(Q$4+1)&amp;"年"&amp;U$5)</f>
        <v>1</v>
      </c>
      <c r="V305" s="312">
        <f>IF((Q$4+1)&amp;"年"&amp;V$5&lt;&gt;'9.项目开发计划表'!$AG$59,1,(Q$4+1)&amp;"年"&amp;V$5)</f>
        <v>1</v>
      </c>
      <c r="W305" s="312">
        <f>IF((Q$4+1)&amp;"年"&amp;W$5&lt;&gt;'9.项目开发计划表'!$AG$59,1,(Q$4+1)&amp;"年"&amp;W$5)</f>
        <v>1</v>
      </c>
      <c r="X305" s="313">
        <f>IF((Q$4+1)&amp;"年"&amp;X$5&lt;&gt;'9.项目开发计划表'!$AG$59,1,(Q$4+1)&amp;"年"&amp;X$5)</f>
        <v>1</v>
      </c>
      <c r="Y305" s="322">
        <f>IF((U$4+1)&amp;"年"&amp;Y$5&lt;&gt;'9.项目开发计划表'!$AG$59,1,(U$4+1)&amp;"年"&amp;Y$5)</f>
        <v>1</v>
      </c>
      <c r="Z305" s="312">
        <f>IF((U$4+1)&amp;"年"&amp;Z$5&lt;&gt;'9.项目开发计划表'!$AG$59,1,(U$4+1)&amp;"年"&amp;Z$5)</f>
        <v>1</v>
      </c>
      <c r="AA305" s="312">
        <f>IF((U$4+1)&amp;"年"&amp;AA$5&lt;&gt;'9.项目开发计划表'!$AG$59,1,(U$4+1)&amp;"年"&amp;AA$5)</f>
        <v>1</v>
      </c>
      <c r="AB305" s="313">
        <f>IF((U$4+1)&amp;"年"&amp;AB$5&lt;&gt;'9.项目开发计划表'!$AG$59,1,(U$4+1)&amp;"年"&amp;AB$5)</f>
        <v>1</v>
      </c>
      <c r="AC305" s="322">
        <f>IF((Y$4+1)&amp;"年"&amp;AC$5&lt;&gt;'9.项目开发计划表'!$AG$59,1,(Y$4+1)&amp;"年"&amp;AC$5)</f>
        <v>1</v>
      </c>
      <c r="AD305" s="312">
        <f>IF((Y$4+1)&amp;"年"&amp;AD$5&lt;&gt;'9.项目开发计划表'!$AG$59,1,(Y$4+1)&amp;"年"&amp;AD$5)</f>
        <v>1</v>
      </c>
      <c r="AE305" s="312">
        <f>IF((Y$4+1)&amp;"年"&amp;AE$5&lt;&gt;'9.项目开发计划表'!$AG$59,1,(Y$4+1)&amp;"年"&amp;AE$5)</f>
        <v>1</v>
      </c>
      <c r="AF305" s="313">
        <f>IF((Y$4+1)&amp;"年"&amp;AF$5&lt;&gt;'9.项目开发计划表'!$AG$59,1,(Y$4+1)&amp;"年"&amp;AF$5)</f>
        <v>1</v>
      </c>
      <c r="AG305" s="322">
        <f>IF((AC$4+1)&amp;"年"&amp;AG$5&lt;&gt;'9.项目开发计划表'!$AG$59,1,(AC$4+1)&amp;"年"&amp;AG$5)</f>
        <v>1</v>
      </c>
      <c r="AH305" s="312">
        <f>IF((AC$4+1)&amp;"年"&amp;AH$5&lt;&gt;'9.项目开发计划表'!$AG$59,1,(AC$4+1)&amp;"年"&amp;AH$5)</f>
        <v>1</v>
      </c>
      <c r="AI305" s="312">
        <f>IF((AC$4+1)&amp;"年"&amp;AI$5&lt;&gt;'9.项目开发计划表'!$AG$59,1,(AC$4+1)&amp;"年"&amp;AI$5)</f>
        <v>1</v>
      </c>
      <c r="AJ305" s="313">
        <f>IF((AC$4+1)&amp;"年"&amp;AJ$5&lt;&gt;'9.项目开发计划表'!$AG$59,1,(AC$4+1)&amp;"年"&amp;AJ$5)</f>
        <v>1</v>
      </c>
      <c r="AK305" s="322">
        <f>IF((AG$4+1)&amp;"年"&amp;AK$5&lt;&gt;'9.项目开发计划表'!$AG$59,1,(AG$4+1)&amp;"年"&amp;AK$5)</f>
        <v>1</v>
      </c>
      <c r="AL305" s="312">
        <f>IF((AG$4+1)&amp;"年"&amp;AL$5&lt;&gt;'9.项目开发计划表'!$AG$59,1,(AG$4+1)&amp;"年"&amp;AL$5)</f>
        <v>1</v>
      </c>
      <c r="AM305" s="312">
        <f>IF((AG$4+1)&amp;"年"&amp;AM$5&lt;&gt;'9.项目开发计划表'!$AG$59,1,(AG$4+1)&amp;"年"&amp;AM$5)</f>
        <v>1</v>
      </c>
      <c r="AN305" s="313">
        <f>IF((AG$4+1)&amp;"年"&amp;AN$5&lt;&gt;'9.项目开发计划表'!$AG$59,1,(AG$4+1)&amp;"年"&amp;AN$5)</f>
        <v>1</v>
      </c>
      <c r="AO305" s="322">
        <f>IF((AK$4+1)&amp;"年"&amp;AO$5&lt;&gt;'9.项目开发计划表'!$AG$59,1,(AK$4+1)&amp;"年"&amp;AO$5)</f>
        <v>1</v>
      </c>
      <c r="AP305" s="312">
        <f>IF((AK$4+1)&amp;"年"&amp;AP$5&lt;&gt;'9.项目开发计划表'!$AG$59,1,(AK$4+1)&amp;"年"&amp;AP$5)</f>
        <v>1</v>
      </c>
      <c r="AQ305" s="312">
        <f>IF((AK$4+1)&amp;"年"&amp;AQ$5&lt;&gt;'9.项目开发计划表'!$AG$59,1,(AK$4+1)&amp;"年"&amp;AQ$5)</f>
        <v>1</v>
      </c>
      <c r="AR305" s="313">
        <f>IF((AK$4+1)&amp;"年"&amp;AR$5&lt;&gt;'9.项目开发计划表'!$AG$59,1,(AK$4+1)&amp;"年"&amp;AR$5)</f>
        <v>1</v>
      </c>
      <c r="AS305" s="322">
        <f>IF((AO$4+1)&amp;"年"&amp;AS$5&lt;&gt;'9.项目开发计划表'!$AG$59,1,(AO$4+1)&amp;"年"&amp;AS$5)</f>
        <v>1</v>
      </c>
      <c r="AT305" s="312">
        <f>IF((AO$4+1)&amp;"年"&amp;AT$5&lt;&gt;'9.项目开发计划表'!$AG$59,1,(AO$4+1)&amp;"年"&amp;AT$5)</f>
        <v>1</v>
      </c>
      <c r="AU305" s="312">
        <f>IF((AO$4+1)&amp;"年"&amp;AU$5&lt;&gt;'9.项目开发计划表'!$AG$59,1,(AO$4+1)&amp;"年"&amp;AU$5)</f>
        <v>1</v>
      </c>
      <c r="AV305" s="313">
        <f>IF((AO$4+1)&amp;"年"&amp;AV$5&lt;&gt;'9.项目开发计划表'!$AG$59,1,(AO$4+1)&amp;"年"&amp;AV$5)</f>
        <v>1</v>
      </c>
    </row>
    <row r="306" spans="2:48" s="256" customFormat="1" ht="15.75" customHeight="1" outlineLevel="1">
      <c r="B306" s="321"/>
      <c r="C306" s="1980"/>
      <c r="D306" s="1982"/>
      <c r="E306" s="280">
        <f t="shared" ref="E306:AV306" si="105">IF(E305=1,0,1)</f>
        <v>0</v>
      </c>
      <c r="F306" s="281">
        <f t="shared" si="105"/>
        <v>0</v>
      </c>
      <c r="G306" s="281">
        <f t="shared" si="105"/>
        <v>0</v>
      </c>
      <c r="H306" s="282">
        <f t="shared" si="105"/>
        <v>0</v>
      </c>
      <c r="I306" s="323">
        <f t="shared" si="105"/>
        <v>0</v>
      </c>
      <c r="J306" s="281">
        <f t="shared" si="105"/>
        <v>0</v>
      </c>
      <c r="K306" s="281">
        <f t="shared" si="105"/>
        <v>0</v>
      </c>
      <c r="L306" s="282">
        <f t="shared" si="105"/>
        <v>0</v>
      </c>
      <c r="M306" s="323">
        <f t="shared" si="105"/>
        <v>0</v>
      </c>
      <c r="N306" s="281">
        <f t="shared" si="105"/>
        <v>0</v>
      </c>
      <c r="O306" s="281">
        <f t="shared" si="105"/>
        <v>0</v>
      </c>
      <c r="P306" s="282">
        <f t="shared" si="105"/>
        <v>0</v>
      </c>
      <c r="Q306" s="323">
        <f t="shared" si="105"/>
        <v>0</v>
      </c>
      <c r="R306" s="281">
        <f t="shared" si="105"/>
        <v>0</v>
      </c>
      <c r="S306" s="281">
        <f t="shared" si="105"/>
        <v>0</v>
      </c>
      <c r="T306" s="282">
        <f t="shared" si="105"/>
        <v>0</v>
      </c>
      <c r="U306" s="323">
        <f t="shared" si="105"/>
        <v>0</v>
      </c>
      <c r="V306" s="281">
        <f t="shared" si="105"/>
        <v>0</v>
      </c>
      <c r="W306" s="281">
        <f t="shared" si="105"/>
        <v>0</v>
      </c>
      <c r="X306" s="282">
        <f t="shared" si="105"/>
        <v>0</v>
      </c>
      <c r="Y306" s="323">
        <f t="shared" si="105"/>
        <v>0</v>
      </c>
      <c r="Z306" s="281">
        <f t="shared" si="105"/>
        <v>0</v>
      </c>
      <c r="AA306" s="281">
        <f t="shared" si="105"/>
        <v>0</v>
      </c>
      <c r="AB306" s="282">
        <f t="shared" si="105"/>
        <v>0</v>
      </c>
      <c r="AC306" s="323">
        <f t="shared" si="105"/>
        <v>0</v>
      </c>
      <c r="AD306" s="281">
        <f t="shared" si="105"/>
        <v>0</v>
      </c>
      <c r="AE306" s="281">
        <f t="shared" si="105"/>
        <v>0</v>
      </c>
      <c r="AF306" s="282">
        <f t="shared" si="105"/>
        <v>0</v>
      </c>
      <c r="AG306" s="323">
        <f t="shared" si="105"/>
        <v>0</v>
      </c>
      <c r="AH306" s="281">
        <f t="shared" si="105"/>
        <v>0</v>
      </c>
      <c r="AI306" s="281">
        <f t="shared" si="105"/>
        <v>0</v>
      </c>
      <c r="AJ306" s="282">
        <f t="shared" si="105"/>
        <v>0</v>
      </c>
      <c r="AK306" s="323">
        <f t="shared" si="105"/>
        <v>0</v>
      </c>
      <c r="AL306" s="281">
        <f t="shared" si="105"/>
        <v>0</v>
      </c>
      <c r="AM306" s="281">
        <f t="shared" si="105"/>
        <v>0</v>
      </c>
      <c r="AN306" s="282">
        <f t="shared" si="105"/>
        <v>0</v>
      </c>
      <c r="AO306" s="323">
        <f t="shared" si="105"/>
        <v>0</v>
      </c>
      <c r="AP306" s="281">
        <f t="shared" si="105"/>
        <v>0</v>
      </c>
      <c r="AQ306" s="281">
        <f t="shared" si="105"/>
        <v>0</v>
      </c>
      <c r="AR306" s="282">
        <f t="shared" si="105"/>
        <v>0</v>
      </c>
      <c r="AS306" s="323">
        <f t="shared" si="105"/>
        <v>0</v>
      </c>
      <c r="AT306" s="281">
        <f t="shared" si="105"/>
        <v>0</v>
      </c>
      <c r="AU306" s="281">
        <f t="shared" si="105"/>
        <v>0</v>
      </c>
      <c r="AV306" s="282">
        <f t="shared" si="105"/>
        <v>0</v>
      </c>
    </row>
    <row r="307" spans="2:48" s="256" customFormat="1" ht="15.75" customHeight="1" outlineLevel="1">
      <c r="B307" s="321"/>
      <c r="C307" s="1980"/>
      <c r="D307" s="1981">
        <f>'8.项目规划指标表'!$B$8</f>
        <v>0</v>
      </c>
      <c r="E307" s="311">
        <f>IF($E$4&amp;"年"&amp;E$5&lt;&gt;'9.项目开发计划表'!$AG$60,1,$E$4&amp;"年"&amp;E$5)</f>
        <v>1</v>
      </c>
      <c r="F307" s="312">
        <f>IF($E$4&amp;"年"&amp;F$5&lt;&gt;'9.项目开发计划表'!$AG$60,1,$E$4&amp;"年"&amp;F$5)</f>
        <v>1</v>
      </c>
      <c r="G307" s="312">
        <f>IF($E$4&amp;"年"&amp;G$5&lt;&gt;'9.项目开发计划表'!$AG$60,1,$E$4&amp;"年"&amp;G$5)</f>
        <v>1</v>
      </c>
      <c r="H307" s="313">
        <f>IF($E$4&amp;"年"&amp;H$5&lt;&gt;'9.项目开发计划表'!$AG$60,1,$E$4&amp;"年"&amp;H$5)</f>
        <v>1</v>
      </c>
      <c r="I307" s="322">
        <f>IF((E$4+1)&amp;"年"&amp;I$5&lt;&gt;'9.项目开发计划表'!$AG$60,1,(E$4+1)&amp;"年"&amp;I$5)</f>
        <v>1</v>
      </c>
      <c r="J307" s="312">
        <f>IF((E$4+1)&amp;"年"&amp;J$5&lt;&gt;'9.项目开发计划表'!$AG$60,1,(E$4+1)&amp;"年"&amp;J$5)</f>
        <v>1</v>
      </c>
      <c r="K307" s="312">
        <f>IF((E$4+1)&amp;"年"&amp;K$5&lt;&gt;'9.项目开发计划表'!$AG$60,1,(E$4+1)&amp;"年"&amp;K$5)</f>
        <v>1</v>
      </c>
      <c r="L307" s="313">
        <f>IF((E$4+1)&amp;"年"&amp;L$5&lt;&gt;'9.项目开发计划表'!$AG$60,1,(E$4+1)&amp;"年"&amp;L$5)</f>
        <v>1</v>
      </c>
      <c r="M307" s="322">
        <f>IF((I$4+1)&amp;"年"&amp;M$5&lt;&gt;'9.项目开发计划表'!$AG$60,1,(I$4+1)&amp;"年"&amp;M$5)</f>
        <v>1</v>
      </c>
      <c r="N307" s="312">
        <f>IF((I$4+1)&amp;"年"&amp;N$5&lt;&gt;'9.项目开发计划表'!$AG$60,1,(I$4+1)&amp;"年"&amp;N$5)</f>
        <v>1</v>
      </c>
      <c r="O307" s="312">
        <f>IF((I$4+1)&amp;"年"&amp;O$5&lt;&gt;'9.项目开发计划表'!$AG$60,1,(I$4+1)&amp;"年"&amp;O$5)</f>
        <v>1</v>
      </c>
      <c r="P307" s="313">
        <f>IF((I$4+1)&amp;"年"&amp;P$5&lt;&gt;'9.项目开发计划表'!$AG$60,1,(I$4+1)&amp;"年"&amp;P$5)</f>
        <v>1</v>
      </c>
      <c r="Q307" s="322">
        <f>IF((M$4+1)&amp;"年"&amp;Q$5&lt;&gt;'9.项目开发计划表'!$AG$60,1,(M$4+1)&amp;"年"&amp;Q$5)</f>
        <v>1</v>
      </c>
      <c r="R307" s="312">
        <f>IF((M$4+1)&amp;"年"&amp;R$5&lt;&gt;'9.项目开发计划表'!$AG$60,1,(M$4+1)&amp;"年"&amp;R$5)</f>
        <v>1</v>
      </c>
      <c r="S307" s="312">
        <f>IF((M$4+1)&amp;"年"&amp;S$5&lt;&gt;'9.项目开发计划表'!$AG$60,1,(M$4+1)&amp;"年"&amp;S$5)</f>
        <v>1</v>
      </c>
      <c r="T307" s="313">
        <f>IF((M$4+1)&amp;"年"&amp;T$5&lt;&gt;'9.项目开发计划表'!$AG$60,1,(M$4+1)&amp;"年"&amp;T$5)</f>
        <v>1</v>
      </c>
      <c r="U307" s="322">
        <f>IF((Q$4+1)&amp;"年"&amp;U$5&lt;&gt;'9.项目开发计划表'!$AG$60,1,(Q$4+1)&amp;"年"&amp;U$5)</f>
        <v>1</v>
      </c>
      <c r="V307" s="312">
        <f>IF((Q$4+1)&amp;"年"&amp;V$5&lt;&gt;'9.项目开发计划表'!$AG$60,1,(Q$4+1)&amp;"年"&amp;V$5)</f>
        <v>1</v>
      </c>
      <c r="W307" s="312">
        <f>IF((Q$4+1)&amp;"年"&amp;W$5&lt;&gt;'9.项目开发计划表'!$AG$60,1,(Q$4+1)&amp;"年"&amp;W$5)</f>
        <v>1</v>
      </c>
      <c r="X307" s="313">
        <f>IF((Q$4+1)&amp;"年"&amp;X$5&lt;&gt;'9.项目开发计划表'!$AG$60,1,(Q$4+1)&amp;"年"&amp;X$5)</f>
        <v>1</v>
      </c>
      <c r="Y307" s="322">
        <f>IF((U$4+1)&amp;"年"&amp;Y$5&lt;&gt;'9.项目开发计划表'!$AG$60,1,(U$4+1)&amp;"年"&amp;Y$5)</f>
        <v>1</v>
      </c>
      <c r="Z307" s="312">
        <f>IF((U$4+1)&amp;"年"&amp;Z$5&lt;&gt;'9.项目开发计划表'!$AG$60,1,(U$4+1)&amp;"年"&amp;Z$5)</f>
        <v>1</v>
      </c>
      <c r="AA307" s="312">
        <f>IF((U$4+1)&amp;"年"&amp;AA$5&lt;&gt;'9.项目开发计划表'!$AG$60,1,(U$4+1)&amp;"年"&amp;AA$5)</f>
        <v>1</v>
      </c>
      <c r="AB307" s="313">
        <f>IF((U$4+1)&amp;"年"&amp;AB$5&lt;&gt;'9.项目开发计划表'!$AG$60,1,(U$4+1)&amp;"年"&amp;AB$5)</f>
        <v>1</v>
      </c>
      <c r="AC307" s="322">
        <f>IF((Y$4+1)&amp;"年"&amp;AC$5&lt;&gt;'9.项目开发计划表'!$AG$60,1,(Y$4+1)&amp;"年"&amp;AC$5)</f>
        <v>1</v>
      </c>
      <c r="AD307" s="312">
        <f>IF((Y$4+1)&amp;"年"&amp;AD$5&lt;&gt;'9.项目开发计划表'!$AG$60,1,(Y$4+1)&amp;"年"&amp;AD$5)</f>
        <v>1</v>
      </c>
      <c r="AE307" s="312">
        <f>IF((Y$4+1)&amp;"年"&amp;AE$5&lt;&gt;'9.项目开发计划表'!$AG$60,1,(Y$4+1)&amp;"年"&amp;AE$5)</f>
        <v>1</v>
      </c>
      <c r="AF307" s="313">
        <f>IF((Y$4+1)&amp;"年"&amp;AF$5&lt;&gt;'9.项目开发计划表'!$AG$60,1,(Y$4+1)&amp;"年"&amp;AF$5)</f>
        <v>1</v>
      </c>
      <c r="AG307" s="322">
        <f>IF((AC$4+1)&amp;"年"&amp;AG$5&lt;&gt;'9.项目开发计划表'!$AG$60,1,(AC$4+1)&amp;"年"&amp;AG$5)</f>
        <v>1</v>
      </c>
      <c r="AH307" s="312">
        <f>IF((AC$4+1)&amp;"年"&amp;AH$5&lt;&gt;'9.项目开发计划表'!$AG$60,1,(AC$4+1)&amp;"年"&amp;AH$5)</f>
        <v>1</v>
      </c>
      <c r="AI307" s="312">
        <f>IF((AC$4+1)&amp;"年"&amp;AI$5&lt;&gt;'9.项目开发计划表'!$AG$60,1,(AC$4+1)&amp;"年"&amp;AI$5)</f>
        <v>1</v>
      </c>
      <c r="AJ307" s="313">
        <f>IF((AC$4+1)&amp;"年"&amp;AJ$5&lt;&gt;'9.项目开发计划表'!$AG$60,1,(AC$4+1)&amp;"年"&amp;AJ$5)</f>
        <v>1</v>
      </c>
      <c r="AK307" s="322">
        <f>IF((AG$4+1)&amp;"年"&amp;AK$5&lt;&gt;'9.项目开发计划表'!$AG$60,1,(AG$4+1)&amp;"年"&amp;AK$5)</f>
        <v>1</v>
      </c>
      <c r="AL307" s="312">
        <f>IF((AG$4+1)&amp;"年"&amp;AL$5&lt;&gt;'9.项目开发计划表'!$AG$60,1,(AG$4+1)&amp;"年"&amp;AL$5)</f>
        <v>1</v>
      </c>
      <c r="AM307" s="312">
        <f>IF((AG$4+1)&amp;"年"&amp;AM$5&lt;&gt;'9.项目开发计划表'!$AG$60,1,(AG$4+1)&amp;"年"&amp;AM$5)</f>
        <v>1</v>
      </c>
      <c r="AN307" s="313">
        <f>IF((AG$4+1)&amp;"年"&amp;AN$5&lt;&gt;'9.项目开发计划表'!$AG$60,1,(AG$4+1)&amp;"年"&amp;AN$5)</f>
        <v>1</v>
      </c>
      <c r="AO307" s="322">
        <f>IF((AK$4+1)&amp;"年"&amp;AO$5&lt;&gt;'9.项目开发计划表'!$AG$60,1,(AK$4+1)&amp;"年"&amp;AO$5)</f>
        <v>1</v>
      </c>
      <c r="AP307" s="312">
        <f>IF((AK$4+1)&amp;"年"&amp;AP$5&lt;&gt;'9.项目开发计划表'!$AG$60,1,(AK$4+1)&amp;"年"&amp;AP$5)</f>
        <v>1</v>
      </c>
      <c r="AQ307" s="312">
        <f>IF((AK$4+1)&amp;"年"&amp;AQ$5&lt;&gt;'9.项目开发计划表'!$AG$60,1,(AK$4+1)&amp;"年"&amp;AQ$5)</f>
        <v>1</v>
      </c>
      <c r="AR307" s="313">
        <f>IF((AK$4+1)&amp;"年"&amp;AR$5&lt;&gt;'9.项目开发计划表'!$AG$60,1,(AK$4+1)&amp;"年"&amp;AR$5)</f>
        <v>1</v>
      </c>
      <c r="AS307" s="322">
        <f>IF((AO$4+1)&amp;"年"&amp;AS$5&lt;&gt;'9.项目开发计划表'!$AG$60,1,(AO$4+1)&amp;"年"&amp;AS$5)</f>
        <v>1</v>
      </c>
      <c r="AT307" s="312">
        <f>IF((AO$4+1)&amp;"年"&amp;AT$5&lt;&gt;'9.项目开发计划表'!$AG$60,1,(AO$4+1)&amp;"年"&amp;AT$5)</f>
        <v>1</v>
      </c>
      <c r="AU307" s="312">
        <f>IF((AO$4+1)&amp;"年"&amp;AU$5&lt;&gt;'9.项目开发计划表'!$AG$60,1,(AO$4+1)&amp;"年"&amp;AU$5)</f>
        <v>1</v>
      </c>
      <c r="AV307" s="313">
        <f>IF((AO$4+1)&amp;"年"&amp;AV$5&lt;&gt;'9.项目开发计划表'!$AG$60,1,(AO$4+1)&amp;"年"&amp;AV$5)</f>
        <v>1</v>
      </c>
    </row>
    <row r="308" spans="2:48" s="256" customFormat="1" ht="15.75" customHeight="1" outlineLevel="1">
      <c r="B308" s="321"/>
      <c r="C308" s="1980"/>
      <c r="D308" s="1982"/>
      <c r="E308" s="280">
        <f t="shared" ref="E308:AV308" si="106">IF(E307=1,0,1)</f>
        <v>0</v>
      </c>
      <c r="F308" s="281">
        <f t="shared" si="106"/>
        <v>0</v>
      </c>
      <c r="G308" s="281">
        <f t="shared" si="106"/>
        <v>0</v>
      </c>
      <c r="H308" s="282">
        <f t="shared" si="106"/>
        <v>0</v>
      </c>
      <c r="I308" s="323">
        <f t="shared" si="106"/>
        <v>0</v>
      </c>
      <c r="J308" s="281">
        <f t="shared" si="106"/>
        <v>0</v>
      </c>
      <c r="K308" s="281">
        <f t="shared" si="106"/>
        <v>0</v>
      </c>
      <c r="L308" s="282">
        <f t="shared" si="106"/>
        <v>0</v>
      </c>
      <c r="M308" s="323">
        <f t="shared" si="106"/>
        <v>0</v>
      </c>
      <c r="N308" s="281">
        <f t="shared" si="106"/>
        <v>0</v>
      </c>
      <c r="O308" s="281">
        <f t="shared" si="106"/>
        <v>0</v>
      </c>
      <c r="P308" s="282">
        <f t="shared" si="106"/>
        <v>0</v>
      </c>
      <c r="Q308" s="323">
        <f t="shared" si="106"/>
        <v>0</v>
      </c>
      <c r="R308" s="281">
        <f t="shared" si="106"/>
        <v>0</v>
      </c>
      <c r="S308" s="281">
        <f t="shared" si="106"/>
        <v>0</v>
      </c>
      <c r="T308" s="282">
        <f t="shared" si="106"/>
        <v>0</v>
      </c>
      <c r="U308" s="323">
        <f t="shared" si="106"/>
        <v>0</v>
      </c>
      <c r="V308" s="281">
        <f t="shared" si="106"/>
        <v>0</v>
      </c>
      <c r="W308" s="281">
        <f t="shared" si="106"/>
        <v>0</v>
      </c>
      <c r="X308" s="282">
        <f t="shared" si="106"/>
        <v>0</v>
      </c>
      <c r="Y308" s="323">
        <f t="shared" si="106"/>
        <v>0</v>
      </c>
      <c r="Z308" s="281">
        <f t="shared" si="106"/>
        <v>0</v>
      </c>
      <c r="AA308" s="281">
        <f t="shared" si="106"/>
        <v>0</v>
      </c>
      <c r="AB308" s="282">
        <f t="shared" si="106"/>
        <v>0</v>
      </c>
      <c r="AC308" s="323">
        <f t="shared" si="106"/>
        <v>0</v>
      </c>
      <c r="AD308" s="281">
        <f t="shared" si="106"/>
        <v>0</v>
      </c>
      <c r="AE308" s="281">
        <f t="shared" si="106"/>
        <v>0</v>
      </c>
      <c r="AF308" s="282">
        <f t="shared" si="106"/>
        <v>0</v>
      </c>
      <c r="AG308" s="323">
        <f t="shared" si="106"/>
        <v>0</v>
      </c>
      <c r="AH308" s="281">
        <f t="shared" si="106"/>
        <v>0</v>
      </c>
      <c r="AI308" s="281">
        <f t="shared" si="106"/>
        <v>0</v>
      </c>
      <c r="AJ308" s="282">
        <f t="shared" si="106"/>
        <v>0</v>
      </c>
      <c r="AK308" s="323">
        <f t="shared" si="106"/>
        <v>0</v>
      </c>
      <c r="AL308" s="281">
        <f t="shared" si="106"/>
        <v>0</v>
      </c>
      <c r="AM308" s="281">
        <f t="shared" si="106"/>
        <v>0</v>
      </c>
      <c r="AN308" s="282">
        <f t="shared" si="106"/>
        <v>0</v>
      </c>
      <c r="AO308" s="323">
        <f t="shared" si="106"/>
        <v>0</v>
      </c>
      <c r="AP308" s="281">
        <f t="shared" si="106"/>
        <v>0</v>
      </c>
      <c r="AQ308" s="281">
        <f t="shared" si="106"/>
        <v>0</v>
      </c>
      <c r="AR308" s="282">
        <f t="shared" si="106"/>
        <v>0</v>
      </c>
      <c r="AS308" s="323">
        <f t="shared" si="106"/>
        <v>0</v>
      </c>
      <c r="AT308" s="281">
        <f t="shared" si="106"/>
        <v>0</v>
      </c>
      <c r="AU308" s="281">
        <f t="shared" si="106"/>
        <v>0</v>
      </c>
      <c r="AV308" s="282">
        <f t="shared" si="106"/>
        <v>0</v>
      </c>
    </row>
    <row r="309" spans="2:48" s="256" customFormat="1" ht="15.75" customHeight="1" outlineLevel="1">
      <c r="B309" s="321"/>
      <c r="C309" s="1980"/>
      <c r="D309" s="1981">
        <f>'8.项目规划指标表'!$B$9</f>
        <v>0</v>
      </c>
      <c r="E309" s="311">
        <f>IF($E$4&amp;"年"&amp;E$5&lt;&gt;'9.项目开发计划表'!$AG$61,1,$E$4&amp;"年"&amp;E$5)</f>
        <v>1</v>
      </c>
      <c r="F309" s="312">
        <f>IF($E$4&amp;"年"&amp;F$5&lt;&gt;'9.项目开发计划表'!$AG$61,1,$E$4&amp;"年"&amp;F$5)</f>
        <v>1</v>
      </c>
      <c r="G309" s="312">
        <f>IF($E$4&amp;"年"&amp;G$5&lt;&gt;'9.项目开发计划表'!$AG$61,1,$E$4&amp;"年"&amp;G$5)</f>
        <v>1</v>
      </c>
      <c r="H309" s="313">
        <f>IF($E$4&amp;"年"&amp;H$5&lt;&gt;'9.项目开发计划表'!$AG$61,1,$E$4&amp;"年"&amp;H$5)</f>
        <v>1</v>
      </c>
      <c r="I309" s="322">
        <f>IF((E$4+1)&amp;"年"&amp;I$5&lt;&gt;'9.项目开发计划表'!$AG$61,1,(E$4+1)&amp;"年"&amp;I$5)</f>
        <v>1</v>
      </c>
      <c r="J309" s="312">
        <f>IF((E$4+1)&amp;"年"&amp;J$5&lt;&gt;'9.项目开发计划表'!$AG$61,1,(E$4+1)&amp;"年"&amp;J$5)</f>
        <v>1</v>
      </c>
      <c r="K309" s="312">
        <f>IF((E$4+1)&amp;"年"&amp;K$5&lt;&gt;'9.项目开发计划表'!$AG$61,1,(E$4+1)&amp;"年"&amp;K$5)</f>
        <v>1</v>
      </c>
      <c r="L309" s="313">
        <f>IF((E$4+1)&amp;"年"&amp;L$5&lt;&gt;'9.项目开发计划表'!$AG$61,1,(E$4+1)&amp;"年"&amp;L$5)</f>
        <v>1</v>
      </c>
      <c r="M309" s="322">
        <f>IF((I$4+1)&amp;"年"&amp;M$5&lt;&gt;'9.项目开发计划表'!$AG$61,1,(I$4+1)&amp;"年"&amp;M$5)</f>
        <v>1</v>
      </c>
      <c r="N309" s="312">
        <f>IF((I$4+1)&amp;"年"&amp;N$5&lt;&gt;'9.项目开发计划表'!$AG$61,1,(I$4+1)&amp;"年"&amp;N$5)</f>
        <v>1</v>
      </c>
      <c r="O309" s="312">
        <f>IF((I$4+1)&amp;"年"&amp;O$5&lt;&gt;'9.项目开发计划表'!$AG$61,1,(I$4+1)&amp;"年"&amp;O$5)</f>
        <v>1</v>
      </c>
      <c r="P309" s="313">
        <f>IF((I$4+1)&amp;"年"&amp;P$5&lt;&gt;'9.项目开发计划表'!$AG$61,1,(I$4+1)&amp;"年"&amp;P$5)</f>
        <v>1</v>
      </c>
      <c r="Q309" s="322">
        <f>IF((M$4+1)&amp;"年"&amp;Q$5&lt;&gt;'9.项目开发计划表'!$AG$61,1,(M$4+1)&amp;"年"&amp;Q$5)</f>
        <v>1</v>
      </c>
      <c r="R309" s="312">
        <f>IF((M$4+1)&amp;"年"&amp;R$5&lt;&gt;'9.项目开发计划表'!$AG$61,1,(M$4+1)&amp;"年"&amp;R$5)</f>
        <v>1</v>
      </c>
      <c r="S309" s="312">
        <f>IF((M$4+1)&amp;"年"&amp;S$5&lt;&gt;'9.项目开发计划表'!$AG$61,1,(M$4+1)&amp;"年"&amp;S$5)</f>
        <v>1</v>
      </c>
      <c r="T309" s="313">
        <f>IF((M$4+1)&amp;"年"&amp;T$5&lt;&gt;'9.项目开发计划表'!$AG$61,1,(M$4+1)&amp;"年"&amp;T$5)</f>
        <v>1</v>
      </c>
      <c r="U309" s="322">
        <f>IF((Q$4+1)&amp;"年"&amp;U$5&lt;&gt;'9.项目开发计划表'!$AG$61,1,(Q$4+1)&amp;"年"&amp;U$5)</f>
        <v>1</v>
      </c>
      <c r="V309" s="312">
        <f>IF((Q$4+1)&amp;"年"&amp;V$5&lt;&gt;'9.项目开发计划表'!$AG$61,1,(Q$4+1)&amp;"年"&amp;V$5)</f>
        <v>1</v>
      </c>
      <c r="W309" s="312">
        <f>IF((Q$4+1)&amp;"年"&amp;W$5&lt;&gt;'9.项目开发计划表'!$AG$61,1,(Q$4+1)&amp;"年"&amp;W$5)</f>
        <v>1</v>
      </c>
      <c r="X309" s="313">
        <f>IF((Q$4+1)&amp;"年"&amp;X$5&lt;&gt;'9.项目开发计划表'!$AG$61,1,(Q$4+1)&amp;"年"&amp;X$5)</f>
        <v>1</v>
      </c>
      <c r="Y309" s="322">
        <f>IF((U$4+1)&amp;"年"&amp;Y$5&lt;&gt;'9.项目开发计划表'!$AG$61,1,(U$4+1)&amp;"年"&amp;Y$5)</f>
        <v>1</v>
      </c>
      <c r="Z309" s="312">
        <f>IF((U$4+1)&amp;"年"&amp;Z$5&lt;&gt;'9.项目开发计划表'!$AG$61,1,(U$4+1)&amp;"年"&amp;Z$5)</f>
        <v>1</v>
      </c>
      <c r="AA309" s="312">
        <f>IF((U$4+1)&amp;"年"&amp;AA$5&lt;&gt;'9.项目开发计划表'!$AG$61,1,(U$4+1)&amp;"年"&amp;AA$5)</f>
        <v>1</v>
      </c>
      <c r="AB309" s="313">
        <f>IF((U$4+1)&amp;"年"&amp;AB$5&lt;&gt;'9.项目开发计划表'!$AG$61,1,(U$4+1)&amp;"年"&amp;AB$5)</f>
        <v>1</v>
      </c>
      <c r="AC309" s="322">
        <f>IF((Y$4+1)&amp;"年"&amp;AC$5&lt;&gt;'9.项目开发计划表'!$AG$61,1,(Y$4+1)&amp;"年"&amp;AC$5)</f>
        <v>1</v>
      </c>
      <c r="AD309" s="312">
        <f>IF((Y$4+1)&amp;"年"&amp;AD$5&lt;&gt;'9.项目开发计划表'!$AG$61,1,(Y$4+1)&amp;"年"&amp;AD$5)</f>
        <v>1</v>
      </c>
      <c r="AE309" s="312">
        <f>IF((Y$4+1)&amp;"年"&amp;AE$5&lt;&gt;'9.项目开发计划表'!$AG$61,1,(Y$4+1)&amp;"年"&amp;AE$5)</f>
        <v>1</v>
      </c>
      <c r="AF309" s="313">
        <f>IF((Y$4+1)&amp;"年"&amp;AF$5&lt;&gt;'9.项目开发计划表'!$AG$61,1,(Y$4+1)&amp;"年"&amp;AF$5)</f>
        <v>1</v>
      </c>
      <c r="AG309" s="322">
        <f>IF((AC$4+1)&amp;"年"&amp;AG$5&lt;&gt;'9.项目开发计划表'!$AG$61,1,(AC$4+1)&amp;"年"&amp;AG$5)</f>
        <v>1</v>
      </c>
      <c r="AH309" s="312">
        <f>IF((AC$4+1)&amp;"年"&amp;AH$5&lt;&gt;'9.项目开发计划表'!$AG$61,1,(AC$4+1)&amp;"年"&amp;AH$5)</f>
        <v>1</v>
      </c>
      <c r="AI309" s="312">
        <f>IF((AC$4+1)&amp;"年"&amp;AI$5&lt;&gt;'9.项目开发计划表'!$AG$61,1,(AC$4+1)&amp;"年"&amp;AI$5)</f>
        <v>1</v>
      </c>
      <c r="AJ309" s="313">
        <f>IF((AC$4+1)&amp;"年"&amp;AJ$5&lt;&gt;'9.项目开发计划表'!$AG$61,1,(AC$4+1)&amp;"年"&amp;AJ$5)</f>
        <v>1</v>
      </c>
      <c r="AK309" s="322">
        <f>IF((AG$4+1)&amp;"年"&amp;AK$5&lt;&gt;'9.项目开发计划表'!$AG$61,1,(AG$4+1)&amp;"年"&amp;AK$5)</f>
        <v>1</v>
      </c>
      <c r="AL309" s="312">
        <f>IF((AG$4+1)&amp;"年"&amp;AL$5&lt;&gt;'9.项目开发计划表'!$AG$61,1,(AG$4+1)&amp;"年"&amp;AL$5)</f>
        <v>1</v>
      </c>
      <c r="AM309" s="312">
        <f>IF((AG$4+1)&amp;"年"&amp;AM$5&lt;&gt;'9.项目开发计划表'!$AG$61,1,(AG$4+1)&amp;"年"&amp;AM$5)</f>
        <v>1</v>
      </c>
      <c r="AN309" s="313">
        <f>IF((AG$4+1)&amp;"年"&amp;AN$5&lt;&gt;'9.项目开发计划表'!$AG$61,1,(AG$4+1)&amp;"年"&amp;AN$5)</f>
        <v>1</v>
      </c>
      <c r="AO309" s="322">
        <f>IF((AK$4+1)&amp;"年"&amp;AO$5&lt;&gt;'9.项目开发计划表'!$AG$61,1,(AK$4+1)&amp;"年"&amp;AO$5)</f>
        <v>1</v>
      </c>
      <c r="AP309" s="312">
        <f>IF((AK$4+1)&amp;"年"&amp;AP$5&lt;&gt;'9.项目开发计划表'!$AG$61,1,(AK$4+1)&amp;"年"&amp;AP$5)</f>
        <v>1</v>
      </c>
      <c r="AQ309" s="312">
        <f>IF((AK$4+1)&amp;"年"&amp;AQ$5&lt;&gt;'9.项目开发计划表'!$AG$61,1,(AK$4+1)&amp;"年"&amp;AQ$5)</f>
        <v>1</v>
      </c>
      <c r="AR309" s="313">
        <f>IF((AK$4+1)&amp;"年"&amp;AR$5&lt;&gt;'9.项目开发计划表'!$AG$61,1,(AK$4+1)&amp;"年"&amp;AR$5)</f>
        <v>1</v>
      </c>
      <c r="AS309" s="322">
        <f>IF((AO$4+1)&amp;"年"&amp;AS$5&lt;&gt;'9.项目开发计划表'!$AG$61,1,(AO$4+1)&amp;"年"&amp;AS$5)</f>
        <v>1</v>
      </c>
      <c r="AT309" s="312">
        <f>IF((AO$4+1)&amp;"年"&amp;AT$5&lt;&gt;'9.项目开发计划表'!$AG$61,1,(AO$4+1)&amp;"年"&amp;AT$5)</f>
        <v>1</v>
      </c>
      <c r="AU309" s="312">
        <f>IF((AO$4+1)&amp;"年"&amp;AU$5&lt;&gt;'9.项目开发计划表'!$AG$61,1,(AO$4+1)&amp;"年"&amp;AU$5)</f>
        <v>1</v>
      </c>
      <c r="AV309" s="313">
        <f>IF((AO$4+1)&amp;"年"&amp;AV$5&lt;&gt;'9.项目开发计划表'!$AG$61,1,(AO$4+1)&amp;"年"&amp;AV$5)</f>
        <v>1</v>
      </c>
    </row>
    <row r="310" spans="2:48" s="256" customFormat="1" ht="15.75" customHeight="1" outlineLevel="1">
      <c r="B310" s="321"/>
      <c r="C310" s="1980"/>
      <c r="D310" s="1982"/>
      <c r="E310" s="280">
        <f t="shared" ref="E310:AV310" si="107">IF(E309=1,0,1)</f>
        <v>0</v>
      </c>
      <c r="F310" s="281">
        <f t="shared" si="107"/>
        <v>0</v>
      </c>
      <c r="G310" s="281">
        <f t="shared" si="107"/>
        <v>0</v>
      </c>
      <c r="H310" s="282">
        <f t="shared" si="107"/>
        <v>0</v>
      </c>
      <c r="I310" s="323">
        <f t="shared" si="107"/>
        <v>0</v>
      </c>
      <c r="J310" s="281">
        <f t="shared" si="107"/>
        <v>0</v>
      </c>
      <c r="K310" s="281">
        <f t="shared" si="107"/>
        <v>0</v>
      </c>
      <c r="L310" s="282">
        <f t="shared" si="107"/>
        <v>0</v>
      </c>
      <c r="M310" s="323">
        <f t="shared" si="107"/>
        <v>0</v>
      </c>
      <c r="N310" s="281">
        <f t="shared" si="107"/>
        <v>0</v>
      </c>
      <c r="O310" s="281">
        <f t="shared" si="107"/>
        <v>0</v>
      </c>
      <c r="P310" s="282">
        <f t="shared" si="107"/>
        <v>0</v>
      </c>
      <c r="Q310" s="323">
        <f t="shared" si="107"/>
        <v>0</v>
      </c>
      <c r="R310" s="281">
        <f t="shared" si="107"/>
        <v>0</v>
      </c>
      <c r="S310" s="281">
        <f t="shared" si="107"/>
        <v>0</v>
      </c>
      <c r="T310" s="282">
        <f t="shared" si="107"/>
        <v>0</v>
      </c>
      <c r="U310" s="323">
        <f t="shared" si="107"/>
        <v>0</v>
      </c>
      <c r="V310" s="281">
        <f t="shared" si="107"/>
        <v>0</v>
      </c>
      <c r="W310" s="281">
        <f t="shared" si="107"/>
        <v>0</v>
      </c>
      <c r="X310" s="282">
        <f t="shared" si="107"/>
        <v>0</v>
      </c>
      <c r="Y310" s="323">
        <f t="shared" si="107"/>
        <v>0</v>
      </c>
      <c r="Z310" s="281">
        <f t="shared" si="107"/>
        <v>0</v>
      </c>
      <c r="AA310" s="281">
        <f t="shared" si="107"/>
        <v>0</v>
      </c>
      <c r="AB310" s="282">
        <f t="shared" si="107"/>
        <v>0</v>
      </c>
      <c r="AC310" s="323">
        <f t="shared" si="107"/>
        <v>0</v>
      </c>
      <c r="AD310" s="281">
        <f t="shared" si="107"/>
        <v>0</v>
      </c>
      <c r="AE310" s="281">
        <f t="shared" si="107"/>
        <v>0</v>
      </c>
      <c r="AF310" s="282">
        <f t="shared" si="107"/>
        <v>0</v>
      </c>
      <c r="AG310" s="323">
        <f t="shared" si="107"/>
        <v>0</v>
      </c>
      <c r="AH310" s="281">
        <f t="shared" si="107"/>
        <v>0</v>
      </c>
      <c r="AI310" s="281">
        <f t="shared" si="107"/>
        <v>0</v>
      </c>
      <c r="AJ310" s="282">
        <f t="shared" si="107"/>
        <v>0</v>
      </c>
      <c r="AK310" s="323">
        <f t="shared" si="107"/>
        <v>0</v>
      </c>
      <c r="AL310" s="281">
        <f t="shared" si="107"/>
        <v>0</v>
      </c>
      <c r="AM310" s="281">
        <f t="shared" si="107"/>
        <v>0</v>
      </c>
      <c r="AN310" s="282">
        <f t="shared" si="107"/>
        <v>0</v>
      </c>
      <c r="AO310" s="323">
        <f t="shared" si="107"/>
        <v>0</v>
      </c>
      <c r="AP310" s="281">
        <f t="shared" si="107"/>
        <v>0</v>
      </c>
      <c r="AQ310" s="281">
        <f t="shared" si="107"/>
        <v>0</v>
      </c>
      <c r="AR310" s="282">
        <f t="shared" si="107"/>
        <v>0</v>
      </c>
      <c r="AS310" s="323">
        <f t="shared" si="107"/>
        <v>0</v>
      </c>
      <c r="AT310" s="281">
        <f t="shared" si="107"/>
        <v>0</v>
      </c>
      <c r="AU310" s="281">
        <f t="shared" si="107"/>
        <v>0</v>
      </c>
      <c r="AV310" s="282">
        <f t="shared" si="107"/>
        <v>0</v>
      </c>
    </row>
    <row r="311" spans="2:48" outlineLevel="1">
      <c r="C311" s="1980"/>
      <c r="D311" s="1981">
        <f>'8.项目规划指标表'!$B$10</f>
        <v>0</v>
      </c>
      <c r="E311" s="311">
        <f>IF($E$4&amp;"年"&amp;E$5&lt;&gt;'9.项目开发计划表'!$AG$62,1,$E$4&amp;"年"&amp;E$5)</f>
        <v>1</v>
      </c>
      <c r="F311" s="312">
        <f>IF($E$4&amp;"年"&amp;F$5&lt;&gt;'9.项目开发计划表'!$AG$62,1,$E$4&amp;"年"&amp;F$5)</f>
        <v>1</v>
      </c>
      <c r="G311" s="312">
        <f>IF($E$4&amp;"年"&amp;G$5&lt;&gt;'9.项目开发计划表'!$AG$62,1,$E$4&amp;"年"&amp;G$5)</f>
        <v>1</v>
      </c>
      <c r="H311" s="313">
        <f>IF($E$4&amp;"年"&amp;H$5&lt;&gt;'9.项目开发计划表'!$AG$62,1,$E$4&amp;"年"&amp;H$5)</f>
        <v>1</v>
      </c>
      <c r="I311" s="322">
        <f>IF((E$4+1)&amp;"年"&amp;I$5&lt;&gt;'9.项目开发计划表'!$AG$62,1,(E$4+1)&amp;"年"&amp;I$5)</f>
        <v>1</v>
      </c>
      <c r="J311" s="312">
        <f>IF((E$4+1)&amp;"年"&amp;J$5&lt;&gt;'9.项目开发计划表'!$AG$62,1,(E$4+1)&amp;"年"&amp;J$5)</f>
        <v>1</v>
      </c>
      <c r="K311" s="312">
        <f>IF((E$4+1)&amp;"年"&amp;K$5&lt;&gt;'9.项目开发计划表'!$AG$62,1,(E$4+1)&amp;"年"&amp;K$5)</f>
        <v>1</v>
      </c>
      <c r="L311" s="313">
        <f>IF((E$4+1)&amp;"年"&amp;L$5&lt;&gt;'9.项目开发计划表'!$AG$62,1,(E$4+1)&amp;"年"&amp;L$5)</f>
        <v>1</v>
      </c>
      <c r="M311" s="322">
        <f>IF((I$4+1)&amp;"年"&amp;M$5&lt;&gt;'9.项目开发计划表'!$AG$62,1,(I$4+1)&amp;"年"&amp;M$5)</f>
        <v>1</v>
      </c>
      <c r="N311" s="312">
        <f>IF((I$4+1)&amp;"年"&amp;N$5&lt;&gt;'9.项目开发计划表'!$AG$62,1,(I$4+1)&amp;"年"&amp;N$5)</f>
        <v>1</v>
      </c>
      <c r="O311" s="312">
        <f>IF((I$4+1)&amp;"年"&amp;O$5&lt;&gt;'9.项目开发计划表'!$AG$62,1,(I$4+1)&amp;"年"&amp;O$5)</f>
        <v>1</v>
      </c>
      <c r="P311" s="313">
        <f>IF((I$4+1)&amp;"年"&amp;P$5&lt;&gt;'9.项目开发计划表'!$AG$62,1,(I$4+1)&amp;"年"&amp;P$5)</f>
        <v>1</v>
      </c>
      <c r="Q311" s="322">
        <f>IF((M$4+1)&amp;"年"&amp;Q$5&lt;&gt;'9.项目开发计划表'!$AG$62,1,(M$4+1)&amp;"年"&amp;Q$5)</f>
        <v>1</v>
      </c>
      <c r="R311" s="312">
        <f>IF((M$4+1)&amp;"年"&amp;R$5&lt;&gt;'9.项目开发计划表'!$AG$62,1,(M$4+1)&amp;"年"&amp;R$5)</f>
        <v>1</v>
      </c>
      <c r="S311" s="312">
        <f>IF((M$4+1)&amp;"年"&amp;S$5&lt;&gt;'9.项目开发计划表'!$AG$62,1,(M$4+1)&amp;"年"&amp;S$5)</f>
        <v>1</v>
      </c>
      <c r="T311" s="313">
        <f>IF((M$4+1)&amp;"年"&amp;T$5&lt;&gt;'9.项目开发计划表'!$AG$62,1,(M$4+1)&amp;"年"&amp;T$5)</f>
        <v>1</v>
      </c>
      <c r="U311" s="322">
        <f>IF((Q$4+1)&amp;"年"&amp;U$5&lt;&gt;'9.项目开发计划表'!$AG$62,1,(Q$4+1)&amp;"年"&amp;U$5)</f>
        <v>1</v>
      </c>
      <c r="V311" s="312">
        <f>IF((Q$4+1)&amp;"年"&amp;V$5&lt;&gt;'9.项目开发计划表'!$AG$62,1,(Q$4+1)&amp;"年"&amp;V$5)</f>
        <v>1</v>
      </c>
      <c r="W311" s="312">
        <f>IF((Q$4+1)&amp;"年"&amp;W$5&lt;&gt;'9.项目开发计划表'!$AG$62,1,(Q$4+1)&amp;"年"&amp;W$5)</f>
        <v>1</v>
      </c>
      <c r="X311" s="313">
        <f>IF((Q$4+1)&amp;"年"&amp;X$5&lt;&gt;'9.项目开发计划表'!$AG$62,1,(Q$4+1)&amp;"年"&amp;X$5)</f>
        <v>1</v>
      </c>
      <c r="Y311" s="322">
        <f>IF((U$4+1)&amp;"年"&amp;Y$5&lt;&gt;'9.项目开发计划表'!$AG$62,1,(U$4+1)&amp;"年"&amp;Y$5)</f>
        <v>1</v>
      </c>
      <c r="Z311" s="312">
        <f>IF((U$4+1)&amp;"年"&amp;Z$5&lt;&gt;'9.项目开发计划表'!$AG$62,1,(U$4+1)&amp;"年"&amp;Z$5)</f>
        <v>1</v>
      </c>
      <c r="AA311" s="312">
        <f>IF((U$4+1)&amp;"年"&amp;AA$5&lt;&gt;'9.项目开发计划表'!$AG$62,1,(U$4+1)&amp;"年"&amp;AA$5)</f>
        <v>1</v>
      </c>
      <c r="AB311" s="313">
        <f>IF((U$4+1)&amp;"年"&amp;AB$5&lt;&gt;'9.项目开发计划表'!$AG$62,1,(U$4+1)&amp;"年"&amp;AB$5)</f>
        <v>1</v>
      </c>
      <c r="AC311" s="322">
        <f>IF((Y$4+1)&amp;"年"&amp;AC$5&lt;&gt;'9.项目开发计划表'!$AG$62,1,(Y$4+1)&amp;"年"&amp;AC$5)</f>
        <v>1</v>
      </c>
      <c r="AD311" s="312">
        <f>IF((Y$4+1)&amp;"年"&amp;AD$5&lt;&gt;'9.项目开发计划表'!$AG$62,1,(Y$4+1)&amp;"年"&amp;AD$5)</f>
        <v>1</v>
      </c>
      <c r="AE311" s="312">
        <f>IF((Y$4+1)&amp;"年"&amp;AE$5&lt;&gt;'9.项目开发计划表'!$AG$62,1,(Y$4+1)&amp;"年"&amp;AE$5)</f>
        <v>1</v>
      </c>
      <c r="AF311" s="313">
        <f>IF((Y$4+1)&amp;"年"&amp;AF$5&lt;&gt;'9.项目开发计划表'!$AG$62,1,(Y$4+1)&amp;"年"&amp;AF$5)</f>
        <v>1</v>
      </c>
      <c r="AG311" s="322">
        <f>IF((AC$4+1)&amp;"年"&amp;AG$5&lt;&gt;'9.项目开发计划表'!$AG$62,1,(AC$4+1)&amp;"年"&amp;AG$5)</f>
        <v>1</v>
      </c>
      <c r="AH311" s="312">
        <f>IF((AC$4+1)&amp;"年"&amp;AH$5&lt;&gt;'9.项目开发计划表'!$AG$62,1,(AC$4+1)&amp;"年"&amp;AH$5)</f>
        <v>1</v>
      </c>
      <c r="AI311" s="312">
        <f>IF((AC$4+1)&amp;"年"&amp;AI$5&lt;&gt;'9.项目开发计划表'!$AG$62,1,(AC$4+1)&amp;"年"&amp;AI$5)</f>
        <v>1</v>
      </c>
      <c r="AJ311" s="313">
        <f>IF((AC$4+1)&amp;"年"&amp;AJ$5&lt;&gt;'9.项目开发计划表'!$AG$62,1,(AC$4+1)&amp;"年"&amp;AJ$5)</f>
        <v>1</v>
      </c>
      <c r="AK311" s="322">
        <f>IF((AG$4+1)&amp;"年"&amp;AK$5&lt;&gt;'9.项目开发计划表'!$AG$62,1,(AG$4+1)&amp;"年"&amp;AK$5)</f>
        <v>1</v>
      </c>
      <c r="AL311" s="312">
        <f>IF((AG$4+1)&amp;"年"&amp;AL$5&lt;&gt;'9.项目开发计划表'!$AG$62,1,(AG$4+1)&amp;"年"&amp;AL$5)</f>
        <v>1</v>
      </c>
      <c r="AM311" s="312">
        <f>IF((AG$4+1)&amp;"年"&amp;AM$5&lt;&gt;'9.项目开发计划表'!$AG$62,1,(AG$4+1)&amp;"年"&amp;AM$5)</f>
        <v>1</v>
      </c>
      <c r="AN311" s="313">
        <f>IF((AG$4+1)&amp;"年"&amp;AN$5&lt;&gt;'9.项目开发计划表'!$AG$62,1,(AG$4+1)&amp;"年"&amp;AN$5)</f>
        <v>1</v>
      </c>
      <c r="AO311" s="322">
        <f>IF((AK$4+1)&amp;"年"&amp;AO$5&lt;&gt;'9.项目开发计划表'!$AG$62,1,(AK$4+1)&amp;"年"&amp;AO$5)</f>
        <v>1</v>
      </c>
      <c r="AP311" s="312">
        <f>IF((AK$4+1)&amp;"年"&amp;AP$5&lt;&gt;'9.项目开发计划表'!$AG$62,1,(AK$4+1)&amp;"年"&amp;AP$5)</f>
        <v>1</v>
      </c>
      <c r="AQ311" s="312">
        <f>IF((AK$4+1)&amp;"年"&amp;AQ$5&lt;&gt;'9.项目开发计划表'!$AG$62,1,(AK$4+1)&amp;"年"&amp;AQ$5)</f>
        <v>1</v>
      </c>
      <c r="AR311" s="313">
        <f>IF((AK$4+1)&amp;"年"&amp;AR$5&lt;&gt;'9.项目开发计划表'!$AG$62,1,(AK$4+1)&amp;"年"&amp;AR$5)</f>
        <v>1</v>
      </c>
      <c r="AS311" s="322">
        <f>IF((AO$4+1)&amp;"年"&amp;AS$5&lt;&gt;'9.项目开发计划表'!$AG$62,1,(AO$4+1)&amp;"年"&amp;AS$5)</f>
        <v>1</v>
      </c>
      <c r="AT311" s="312">
        <f>IF((AO$4+1)&amp;"年"&amp;AT$5&lt;&gt;'9.项目开发计划表'!$AG$62,1,(AO$4+1)&amp;"年"&amp;AT$5)</f>
        <v>1</v>
      </c>
      <c r="AU311" s="312">
        <f>IF((AO$4+1)&amp;"年"&amp;AU$5&lt;&gt;'9.项目开发计划表'!$AG$62,1,(AO$4+1)&amp;"年"&amp;AU$5)</f>
        <v>1</v>
      </c>
      <c r="AV311" s="313">
        <f>IF((AO$4+1)&amp;"年"&amp;AV$5&lt;&gt;'9.项目开发计划表'!$AG$62,1,(AO$4+1)&amp;"年"&amp;AV$5)</f>
        <v>1</v>
      </c>
    </row>
    <row r="312" spans="2:48" outlineLevel="1">
      <c r="C312" s="1980"/>
      <c r="D312" s="1982"/>
      <c r="E312" s="280">
        <f t="shared" ref="E312:AV312" si="108">IF(E311=1,0,1)</f>
        <v>0</v>
      </c>
      <c r="F312" s="281">
        <f t="shared" si="108"/>
        <v>0</v>
      </c>
      <c r="G312" s="281">
        <f t="shared" si="108"/>
        <v>0</v>
      </c>
      <c r="H312" s="282">
        <f t="shared" si="108"/>
        <v>0</v>
      </c>
      <c r="I312" s="323">
        <f t="shared" si="108"/>
        <v>0</v>
      </c>
      <c r="J312" s="281">
        <f t="shared" si="108"/>
        <v>0</v>
      </c>
      <c r="K312" s="281">
        <f t="shared" si="108"/>
        <v>0</v>
      </c>
      <c r="L312" s="282">
        <f t="shared" si="108"/>
        <v>0</v>
      </c>
      <c r="M312" s="323">
        <f t="shared" si="108"/>
        <v>0</v>
      </c>
      <c r="N312" s="281">
        <f t="shared" si="108"/>
        <v>0</v>
      </c>
      <c r="O312" s="281">
        <f t="shared" si="108"/>
        <v>0</v>
      </c>
      <c r="P312" s="282">
        <f t="shared" si="108"/>
        <v>0</v>
      </c>
      <c r="Q312" s="323">
        <f t="shared" si="108"/>
        <v>0</v>
      </c>
      <c r="R312" s="281">
        <f t="shared" si="108"/>
        <v>0</v>
      </c>
      <c r="S312" s="281">
        <f t="shared" si="108"/>
        <v>0</v>
      </c>
      <c r="T312" s="282">
        <f t="shared" si="108"/>
        <v>0</v>
      </c>
      <c r="U312" s="323">
        <f t="shared" si="108"/>
        <v>0</v>
      </c>
      <c r="V312" s="281">
        <f t="shared" si="108"/>
        <v>0</v>
      </c>
      <c r="W312" s="281">
        <f t="shared" si="108"/>
        <v>0</v>
      </c>
      <c r="X312" s="282">
        <f t="shared" si="108"/>
        <v>0</v>
      </c>
      <c r="Y312" s="323">
        <f t="shared" si="108"/>
        <v>0</v>
      </c>
      <c r="Z312" s="281">
        <f t="shared" si="108"/>
        <v>0</v>
      </c>
      <c r="AA312" s="281">
        <f t="shared" si="108"/>
        <v>0</v>
      </c>
      <c r="AB312" s="282">
        <f t="shared" si="108"/>
        <v>0</v>
      </c>
      <c r="AC312" s="323">
        <f t="shared" si="108"/>
        <v>0</v>
      </c>
      <c r="AD312" s="281">
        <f t="shared" si="108"/>
        <v>0</v>
      </c>
      <c r="AE312" s="281">
        <f t="shared" si="108"/>
        <v>0</v>
      </c>
      <c r="AF312" s="282">
        <f t="shared" si="108"/>
        <v>0</v>
      </c>
      <c r="AG312" s="323">
        <f t="shared" si="108"/>
        <v>0</v>
      </c>
      <c r="AH312" s="281">
        <f t="shared" si="108"/>
        <v>0</v>
      </c>
      <c r="AI312" s="281">
        <f t="shared" si="108"/>
        <v>0</v>
      </c>
      <c r="AJ312" s="282">
        <f t="shared" si="108"/>
        <v>0</v>
      </c>
      <c r="AK312" s="323">
        <f t="shared" si="108"/>
        <v>0</v>
      </c>
      <c r="AL312" s="281">
        <f t="shared" si="108"/>
        <v>0</v>
      </c>
      <c r="AM312" s="281">
        <f t="shared" si="108"/>
        <v>0</v>
      </c>
      <c r="AN312" s="282">
        <f t="shared" si="108"/>
        <v>0</v>
      </c>
      <c r="AO312" s="323">
        <f t="shared" si="108"/>
        <v>0</v>
      </c>
      <c r="AP312" s="281">
        <f t="shared" si="108"/>
        <v>0</v>
      </c>
      <c r="AQ312" s="281">
        <f t="shared" si="108"/>
        <v>0</v>
      </c>
      <c r="AR312" s="282">
        <f t="shared" si="108"/>
        <v>0</v>
      </c>
      <c r="AS312" s="323">
        <f t="shared" si="108"/>
        <v>0</v>
      </c>
      <c r="AT312" s="281">
        <f t="shared" si="108"/>
        <v>0</v>
      </c>
      <c r="AU312" s="281">
        <f t="shared" si="108"/>
        <v>0</v>
      </c>
      <c r="AV312" s="282">
        <f t="shared" si="108"/>
        <v>0</v>
      </c>
    </row>
    <row r="313" spans="2:48" outlineLevel="1">
      <c r="C313" s="1980"/>
      <c r="D313" s="1981">
        <f>'8.项目规划指标表'!$B$11</f>
        <v>0</v>
      </c>
      <c r="E313" s="311">
        <f>IF($E$4&amp;"年"&amp;E$5&lt;&gt;'9.项目开发计划表'!$AG$63,1,$E$4&amp;"年"&amp;E$5)</f>
        <v>1</v>
      </c>
      <c r="F313" s="312">
        <f>IF($E$4&amp;"年"&amp;F$5&lt;&gt;'9.项目开发计划表'!$AG$63,1,$E$4&amp;"年"&amp;F$5)</f>
        <v>1</v>
      </c>
      <c r="G313" s="312">
        <f>IF($E$4&amp;"年"&amp;G$5&lt;&gt;'9.项目开发计划表'!$AG$63,1,$E$4&amp;"年"&amp;G$5)</f>
        <v>1</v>
      </c>
      <c r="H313" s="313">
        <f>IF($E$4&amp;"年"&amp;H$5&lt;&gt;'9.项目开发计划表'!$AG$63,1,$E$4&amp;"年"&amp;H$5)</f>
        <v>1</v>
      </c>
      <c r="I313" s="322">
        <f>IF((E$4+1)&amp;"年"&amp;I$5&lt;&gt;'9.项目开发计划表'!$AG$63,1,(E$4+1)&amp;"年"&amp;I$5)</f>
        <v>1</v>
      </c>
      <c r="J313" s="312">
        <f>IF((E$4+1)&amp;"年"&amp;J$5&lt;&gt;'9.项目开发计划表'!$AG$63,1,(E$4+1)&amp;"年"&amp;J$5)</f>
        <v>1</v>
      </c>
      <c r="K313" s="312">
        <f>IF((E$4+1)&amp;"年"&amp;K$5&lt;&gt;'9.项目开发计划表'!$AG$63,1,(E$4+1)&amp;"年"&amp;K$5)</f>
        <v>1</v>
      </c>
      <c r="L313" s="313">
        <f>IF((E$4+1)&amp;"年"&amp;L$5&lt;&gt;'9.项目开发计划表'!$AG$63,1,(E$4+1)&amp;"年"&amp;L$5)</f>
        <v>1</v>
      </c>
      <c r="M313" s="322">
        <f>IF((I$4+1)&amp;"年"&amp;M$5&lt;&gt;'9.项目开发计划表'!$AG$63,1,(I$4+1)&amp;"年"&amp;M$5)</f>
        <v>1</v>
      </c>
      <c r="N313" s="312">
        <f>IF((I$4+1)&amp;"年"&amp;N$5&lt;&gt;'9.项目开发计划表'!$AG$63,1,(I$4+1)&amp;"年"&amp;N$5)</f>
        <v>1</v>
      </c>
      <c r="O313" s="312">
        <f>IF((I$4+1)&amp;"年"&amp;O$5&lt;&gt;'9.项目开发计划表'!$AG$63,1,(I$4+1)&amp;"年"&amp;O$5)</f>
        <v>1</v>
      </c>
      <c r="P313" s="313">
        <f>IF((I$4+1)&amp;"年"&amp;P$5&lt;&gt;'9.项目开发计划表'!$AG$63,1,(I$4+1)&amp;"年"&amp;P$5)</f>
        <v>1</v>
      </c>
      <c r="Q313" s="322">
        <f>IF((M$4+1)&amp;"年"&amp;Q$5&lt;&gt;'9.项目开发计划表'!$AG$63,1,(M$4+1)&amp;"年"&amp;Q$5)</f>
        <v>1</v>
      </c>
      <c r="R313" s="312">
        <f>IF((M$4+1)&amp;"年"&amp;R$5&lt;&gt;'9.项目开发计划表'!$AG$63,1,(M$4+1)&amp;"年"&amp;R$5)</f>
        <v>1</v>
      </c>
      <c r="S313" s="312">
        <f>IF((M$4+1)&amp;"年"&amp;S$5&lt;&gt;'9.项目开发计划表'!$AG$63,1,(M$4+1)&amp;"年"&amp;S$5)</f>
        <v>1</v>
      </c>
      <c r="T313" s="313">
        <f>IF((M$4+1)&amp;"年"&amp;T$5&lt;&gt;'9.项目开发计划表'!$AG$63,1,(M$4+1)&amp;"年"&amp;T$5)</f>
        <v>1</v>
      </c>
      <c r="U313" s="322">
        <f>IF((Q$4+1)&amp;"年"&amp;U$5&lt;&gt;'9.项目开发计划表'!$AG$63,1,(Q$4+1)&amp;"年"&amp;U$5)</f>
        <v>1</v>
      </c>
      <c r="V313" s="312">
        <f>IF((Q$4+1)&amp;"年"&amp;V$5&lt;&gt;'9.项目开发计划表'!$AG$63,1,(Q$4+1)&amp;"年"&amp;V$5)</f>
        <v>1</v>
      </c>
      <c r="W313" s="312">
        <f>IF((Q$4+1)&amp;"年"&amp;W$5&lt;&gt;'9.项目开发计划表'!$AG$63,1,(Q$4+1)&amp;"年"&amp;W$5)</f>
        <v>1</v>
      </c>
      <c r="X313" s="313">
        <f>IF((Q$4+1)&amp;"年"&amp;X$5&lt;&gt;'9.项目开发计划表'!$AG$63,1,(Q$4+1)&amp;"年"&amp;X$5)</f>
        <v>1</v>
      </c>
      <c r="Y313" s="322">
        <f>IF((U$4+1)&amp;"年"&amp;Y$5&lt;&gt;'9.项目开发计划表'!$AG$63,1,(U$4+1)&amp;"年"&amp;Y$5)</f>
        <v>1</v>
      </c>
      <c r="Z313" s="312">
        <f>IF((U$4+1)&amp;"年"&amp;Z$5&lt;&gt;'9.项目开发计划表'!$AG$63,1,(U$4+1)&amp;"年"&amp;Z$5)</f>
        <v>1</v>
      </c>
      <c r="AA313" s="312">
        <f>IF((U$4+1)&amp;"年"&amp;AA$5&lt;&gt;'9.项目开发计划表'!$AG$63,1,(U$4+1)&amp;"年"&amp;AA$5)</f>
        <v>1</v>
      </c>
      <c r="AB313" s="313">
        <f>IF((U$4+1)&amp;"年"&amp;AB$5&lt;&gt;'9.项目开发计划表'!$AG$63,1,(U$4+1)&amp;"年"&amp;AB$5)</f>
        <v>1</v>
      </c>
      <c r="AC313" s="322">
        <f>IF((Y$4+1)&amp;"年"&amp;AC$5&lt;&gt;'9.项目开发计划表'!$AG$63,1,(Y$4+1)&amp;"年"&amp;AC$5)</f>
        <v>1</v>
      </c>
      <c r="AD313" s="312">
        <f>IF((Y$4+1)&amp;"年"&amp;AD$5&lt;&gt;'9.项目开发计划表'!$AG$63,1,(Y$4+1)&amp;"年"&amp;AD$5)</f>
        <v>1</v>
      </c>
      <c r="AE313" s="312">
        <f>IF((Y$4+1)&amp;"年"&amp;AE$5&lt;&gt;'9.项目开发计划表'!$AG$63,1,(Y$4+1)&amp;"年"&amp;AE$5)</f>
        <v>1</v>
      </c>
      <c r="AF313" s="313">
        <f>IF((Y$4+1)&amp;"年"&amp;AF$5&lt;&gt;'9.项目开发计划表'!$AG$63,1,(Y$4+1)&amp;"年"&amp;AF$5)</f>
        <v>1</v>
      </c>
      <c r="AG313" s="322">
        <f>IF((AC$4+1)&amp;"年"&amp;AG$5&lt;&gt;'9.项目开发计划表'!$AG$63,1,(AC$4+1)&amp;"年"&amp;AG$5)</f>
        <v>1</v>
      </c>
      <c r="AH313" s="312">
        <f>IF((AC$4+1)&amp;"年"&amp;AH$5&lt;&gt;'9.项目开发计划表'!$AG$63,1,(AC$4+1)&amp;"年"&amp;AH$5)</f>
        <v>1</v>
      </c>
      <c r="AI313" s="312">
        <f>IF((AC$4+1)&amp;"年"&amp;AI$5&lt;&gt;'9.项目开发计划表'!$AG$63,1,(AC$4+1)&amp;"年"&amp;AI$5)</f>
        <v>1</v>
      </c>
      <c r="AJ313" s="313">
        <f>IF((AC$4+1)&amp;"年"&amp;AJ$5&lt;&gt;'9.项目开发计划表'!$AG$63,1,(AC$4+1)&amp;"年"&amp;AJ$5)</f>
        <v>1</v>
      </c>
      <c r="AK313" s="322">
        <f>IF((AG$4+1)&amp;"年"&amp;AK$5&lt;&gt;'9.项目开发计划表'!$AG$63,1,(AG$4+1)&amp;"年"&amp;AK$5)</f>
        <v>1</v>
      </c>
      <c r="AL313" s="312">
        <f>IF((AG$4+1)&amp;"年"&amp;AL$5&lt;&gt;'9.项目开发计划表'!$AG$63,1,(AG$4+1)&amp;"年"&amp;AL$5)</f>
        <v>1</v>
      </c>
      <c r="AM313" s="312">
        <f>IF((AG$4+1)&amp;"年"&amp;AM$5&lt;&gt;'9.项目开发计划表'!$AG$63,1,(AG$4+1)&amp;"年"&amp;AM$5)</f>
        <v>1</v>
      </c>
      <c r="AN313" s="313">
        <f>IF((AG$4+1)&amp;"年"&amp;AN$5&lt;&gt;'9.项目开发计划表'!$AG$63,1,(AG$4+1)&amp;"年"&amp;AN$5)</f>
        <v>1</v>
      </c>
      <c r="AO313" s="322">
        <f>IF((AK$4+1)&amp;"年"&amp;AO$5&lt;&gt;'9.项目开发计划表'!$AG$63,1,(AK$4+1)&amp;"年"&amp;AO$5)</f>
        <v>1</v>
      </c>
      <c r="AP313" s="312">
        <f>IF((AK$4+1)&amp;"年"&amp;AP$5&lt;&gt;'9.项目开发计划表'!$AG$63,1,(AK$4+1)&amp;"年"&amp;AP$5)</f>
        <v>1</v>
      </c>
      <c r="AQ313" s="312">
        <f>IF((AK$4+1)&amp;"年"&amp;AQ$5&lt;&gt;'9.项目开发计划表'!$AG$63,1,(AK$4+1)&amp;"年"&amp;AQ$5)</f>
        <v>1</v>
      </c>
      <c r="AR313" s="313">
        <f>IF((AK$4+1)&amp;"年"&amp;AR$5&lt;&gt;'9.项目开发计划表'!$AG$63,1,(AK$4+1)&amp;"年"&amp;AR$5)</f>
        <v>1</v>
      </c>
      <c r="AS313" s="322">
        <f>IF((AO$4+1)&amp;"年"&amp;AS$5&lt;&gt;'9.项目开发计划表'!$AG$63,1,(AO$4+1)&amp;"年"&amp;AS$5)</f>
        <v>1</v>
      </c>
      <c r="AT313" s="312">
        <f>IF((AO$4+1)&amp;"年"&amp;AT$5&lt;&gt;'9.项目开发计划表'!$AG$63,1,(AO$4+1)&amp;"年"&amp;AT$5)</f>
        <v>1</v>
      </c>
      <c r="AU313" s="312">
        <f>IF((AO$4+1)&amp;"年"&amp;AU$5&lt;&gt;'9.项目开发计划表'!$AG$63,1,(AO$4+1)&amp;"年"&amp;AU$5)</f>
        <v>1</v>
      </c>
      <c r="AV313" s="313">
        <f>IF((AO$4+1)&amp;"年"&amp;AV$5&lt;&gt;'9.项目开发计划表'!$AG$63,1,(AO$4+1)&amp;"年"&amp;AV$5)</f>
        <v>1</v>
      </c>
    </row>
    <row r="314" spans="2:48" outlineLevel="1">
      <c r="C314" s="1980"/>
      <c r="D314" s="1982"/>
      <c r="E314" s="280">
        <f t="shared" ref="E314:AV314" si="109">IF(E313=1,0,1)</f>
        <v>0</v>
      </c>
      <c r="F314" s="281">
        <f t="shared" si="109"/>
        <v>0</v>
      </c>
      <c r="G314" s="281">
        <f t="shared" si="109"/>
        <v>0</v>
      </c>
      <c r="H314" s="282">
        <f t="shared" si="109"/>
        <v>0</v>
      </c>
      <c r="I314" s="323">
        <f t="shared" si="109"/>
        <v>0</v>
      </c>
      <c r="J314" s="281">
        <f t="shared" si="109"/>
        <v>0</v>
      </c>
      <c r="K314" s="281">
        <f t="shared" si="109"/>
        <v>0</v>
      </c>
      <c r="L314" s="282">
        <f t="shared" si="109"/>
        <v>0</v>
      </c>
      <c r="M314" s="323">
        <f t="shared" si="109"/>
        <v>0</v>
      </c>
      <c r="N314" s="281">
        <f t="shared" si="109"/>
        <v>0</v>
      </c>
      <c r="O314" s="281">
        <f t="shared" si="109"/>
        <v>0</v>
      </c>
      <c r="P314" s="282">
        <f t="shared" si="109"/>
        <v>0</v>
      </c>
      <c r="Q314" s="323">
        <f t="shared" si="109"/>
        <v>0</v>
      </c>
      <c r="R314" s="281">
        <f t="shared" si="109"/>
        <v>0</v>
      </c>
      <c r="S314" s="281">
        <f t="shared" si="109"/>
        <v>0</v>
      </c>
      <c r="T314" s="282">
        <f t="shared" si="109"/>
        <v>0</v>
      </c>
      <c r="U314" s="323">
        <f t="shared" si="109"/>
        <v>0</v>
      </c>
      <c r="V314" s="281">
        <f t="shared" si="109"/>
        <v>0</v>
      </c>
      <c r="W314" s="281">
        <f t="shared" si="109"/>
        <v>0</v>
      </c>
      <c r="X314" s="282">
        <f t="shared" si="109"/>
        <v>0</v>
      </c>
      <c r="Y314" s="323">
        <f t="shared" si="109"/>
        <v>0</v>
      </c>
      <c r="Z314" s="281">
        <f t="shared" si="109"/>
        <v>0</v>
      </c>
      <c r="AA314" s="281">
        <f t="shared" si="109"/>
        <v>0</v>
      </c>
      <c r="AB314" s="282">
        <f t="shared" si="109"/>
        <v>0</v>
      </c>
      <c r="AC314" s="323">
        <f t="shared" si="109"/>
        <v>0</v>
      </c>
      <c r="AD314" s="281">
        <f t="shared" si="109"/>
        <v>0</v>
      </c>
      <c r="AE314" s="281">
        <f t="shared" si="109"/>
        <v>0</v>
      </c>
      <c r="AF314" s="282">
        <f t="shared" si="109"/>
        <v>0</v>
      </c>
      <c r="AG314" s="323">
        <f t="shared" si="109"/>
        <v>0</v>
      </c>
      <c r="AH314" s="281">
        <f t="shared" si="109"/>
        <v>0</v>
      </c>
      <c r="AI314" s="281">
        <f t="shared" si="109"/>
        <v>0</v>
      </c>
      <c r="AJ314" s="282">
        <f t="shared" si="109"/>
        <v>0</v>
      </c>
      <c r="AK314" s="323">
        <f t="shared" si="109"/>
        <v>0</v>
      </c>
      <c r="AL314" s="281">
        <f t="shared" si="109"/>
        <v>0</v>
      </c>
      <c r="AM314" s="281">
        <f t="shared" si="109"/>
        <v>0</v>
      </c>
      <c r="AN314" s="282">
        <f t="shared" si="109"/>
        <v>0</v>
      </c>
      <c r="AO314" s="323">
        <f t="shared" si="109"/>
        <v>0</v>
      </c>
      <c r="AP314" s="281">
        <f t="shared" si="109"/>
        <v>0</v>
      </c>
      <c r="AQ314" s="281">
        <f t="shared" si="109"/>
        <v>0</v>
      </c>
      <c r="AR314" s="282">
        <f t="shared" si="109"/>
        <v>0</v>
      </c>
      <c r="AS314" s="323">
        <f t="shared" si="109"/>
        <v>0</v>
      </c>
      <c r="AT314" s="281">
        <f t="shared" si="109"/>
        <v>0</v>
      </c>
      <c r="AU314" s="281">
        <f t="shared" si="109"/>
        <v>0</v>
      </c>
      <c r="AV314" s="282">
        <f t="shared" si="109"/>
        <v>0</v>
      </c>
    </row>
    <row r="315" spans="2:48" outlineLevel="1">
      <c r="C315" s="1980"/>
      <c r="D315" s="1981">
        <f>'8.项目规划指标表'!$B$12</f>
        <v>0</v>
      </c>
      <c r="E315" s="311">
        <f>IF($E$4&amp;"年"&amp;E$5&lt;&gt;'9.项目开发计划表'!$AG$64,1,$E$4&amp;"年"&amp;E$5)</f>
        <v>1</v>
      </c>
      <c r="F315" s="312">
        <f>IF($E$4&amp;"年"&amp;F$5&lt;&gt;'9.项目开发计划表'!$AG$64,1,$E$4&amp;"年"&amp;F$5)</f>
        <v>1</v>
      </c>
      <c r="G315" s="312">
        <f>IF($E$4&amp;"年"&amp;G$5&lt;&gt;'9.项目开发计划表'!$AG$64,1,$E$4&amp;"年"&amp;G$5)</f>
        <v>1</v>
      </c>
      <c r="H315" s="313">
        <f>IF($E$4&amp;"年"&amp;H$5&lt;&gt;'9.项目开发计划表'!$AG$64,1,$E$4&amp;"年"&amp;H$5)</f>
        <v>1</v>
      </c>
      <c r="I315" s="322">
        <f>IF((E$4+1)&amp;"年"&amp;I$5&lt;&gt;'9.项目开发计划表'!$AG$64,1,(E$4+1)&amp;"年"&amp;I$5)</f>
        <v>1</v>
      </c>
      <c r="J315" s="312">
        <f>IF((E$4+1)&amp;"年"&amp;J$5&lt;&gt;'9.项目开发计划表'!$AG$64,1,(E$4+1)&amp;"年"&amp;J$5)</f>
        <v>1</v>
      </c>
      <c r="K315" s="312">
        <f>IF((E$4+1)&amp;"年"&amp;K$5&lt;&gt;'9.项目开发计划表'!$AG$64,1,(E$4+1)&amp;"年"&amp;K$5)</f>
        <v>1</v>
      </c>
      <c r="L315" s="313">
        <f>IF((E$4+1)&amp;"年"&amp;L$5&lt;&gt;'9.项目开发计划表'!$AG$64,1,(E$4+1)&amp;"年"&amp;L$5)</f>
        <v>1</v>
      </c>
      <c r="M315" s="322">
        <f>IF((I$4+1)&amp;"年"&amp;M$5&lt;&gt;'9.项目开发计划表'!$AG$64,1,(I$4+1)&amp;"年"&amp;M$5)</f>
        <v>1</v>
      </c>
      <c r="N315" s="312">
        <f>IF((I$4+1)&amp;"年"&amp;N$5&lt;&gt;'9.项目开发计划表'!$AG$64,1,(I$4+1)&amp;"年"&amp;N$5)</f>
        <v>1</v>
      </c>
      <c r="O315" s="312">
        <f>IF((I$4+1)&amp;"年"&amp;O$5&lt;&gt;'9.项目开发计划表'!$AG$64,1,(I$4+1)&amp;"年"&amp;O$5)</f>
        <v>1</v>
      </c>
      <c r="P315" s="313">
        <f>IF((I$4+1)&amp;"年"&amp;P$5&lt;&gt;'9.项目开发计划表'!$AG$64,1,(I$4+1)&amp;"年"&amp;P$5)</f>
        <v>1</v>
      </c>
      <c r="Q315" s="322">
        <f>IF((M$4+1)&amp;"年"&amp;Q$5&lt;&gt;'9.项目开发计划表'!$AG$64,1,(M$4+1)&amp;"年"&amp;Q$5)</f>
        <v>1</v>
      </c>
      <c r="R315" s="312">
        <f>IF((M$4+1)&amp;"年"&amp;R$5&lt;&gt;'9.项目开发计划表'!$AG$64,1,(M$4+1)&amp;"年"&amp;R$5)</f>
        <v>1</v>
      </c>
      <c r="S315" s="312">
        <f>IF((M$4+1)&amp;"年"&amp;S$5&lt;&gt;'9.项目开发计划表'!$AG$64,1,(M$4+1)&amp;"年"&amp;S$5)</f>
        <v>1</v>
      </c>
      <c r="T315" s="313">
        <f>IF((M$4+1)&amp;"年"&amp;T$5&lt;&gt;'9.项目开发计划表'!$AG$64,1,(M$4+1)&amp;"年"&amp;T$5)</f>
        <v>1</v>
      </c>
      <c r="U315" s="322">
        <f>IF((Q$4+1)&amp;"年"&amp;U$5&lt;&gt;'9.项目开发计划表'!$AG$64,1,(Q$4+1)&amp;"年"&amp;U$5)</f>
        <v>1</v>
      </c>
      <c r="V315" s="312">
        <f>IF((Q$4+1)&amp;"年"&amp;V$5&lt;&gt;'9.项目开发计划表'!$AG$64,1,(Q$4+1)&amp;"年"&amp;V$5)</f>
        <v>1</v>
      </c>
      <c r="W315" s="312">
        <f>IF((Q$4+1)&amp;"年"&amp;W$5&lt;&gt;'9.项目开发计划表'!$AG$64,1,(Q$4+1)&amp;"年"&amp;W$5)</f>
        <v>1</v>
      </c>
      <c r="X315" s="313">
        <f>IF((Q$4+1)&amp;"年"&amp;X$5&lt;&gt;'9.项目开发计划表'!$AG$64,1,(Q$4+1)&amp;"年"&amp;X$5)</f>
        <v>1</v>
      </c>
      <c r="Y315" s="322">
        <f>IF((U$4+1)&amp;"年"&amp;Y$5&lt;&gt;'9.项目开发计划表'!$AG$64,1,(U$4+1)&amp;"年"&amp;Y$5)</f>
        <v>1</v>
      </c>
      <c r="Z315" s="312">
        <f>IF((U$4+1)&amp;"年"&amp;Z$5&lt;&gt;'9.项目开发计划表'!$AG$64,1,(U$4+1)&amp;"年"&amp;Z$5)</f>
        <v>1</v>
      </c>
      <c r="AA315" s="312">
        <f>IF((U$4+1)&amp;"年"&amp;AA$5&lt;&gt;'9.项目开发计划表'!$AG$64,1,(U$4+1)&amp;"年"&amp;AA$5)</f>
        <v>1</v>
      </c>
      <c r="AB315" s="313">
        <f>IF((U$4+1)&amp;"年"&amp;AB$5&lt;&gt;'9.项目开发计划表'!$AG$64,1,(U$4+1)&amp;"年"&amp;AB$5)</f>
        <v>1</v>
      </c>
      <c r="AC315" s="322">
        <f>IF((Y$4+1)&amp;"年"&amp;AC$5&lt;&gt;'9.项目开发计划表'!$AG$64,1,(Y$4+1)&amp;"年"&amp;AC$5)</f>
        <v>1</v>
      </c>
      <c r="AD315" s="312">
        <f>IF((Y$4+1)&amp;"年"&amp;AD$5&lt;&gt;'9.项目开发计划表'!$AG$64,1,(Y$4+1)&amp;"年"&amp;AD$5)</f>
        <v>1</v>
      </c>
      <c r="AE315" s="312">
        <f>IF((Y$4+1)&amp;"年"&amp;AE$5&lt;&gt;'9.项目开发计划表'!$AG$64,1,(Y$4+1)&amp;"年"&amp;AE$5)</f>
        <v>1</v>
      </c>
      <c r="AF315" s="313">
        <f>IF((Y$4+1)&amp;"年"&amp;AF$5&lt;&gt;'9.项目开发计划表'!$AG$64,1,(Y$4+1)&amp;"年"&amp;AF$5)</f>
        <v>1</v>
      </c>
      <c r="AG315" s="322">
        <f>IF((AC$4+1)&amp;"年"&amp;AG$5&lt;&gt;'9.项目开发计划表'!$AG$64,1,(AC$4+1)&amp;"年"&amp;AG$5)</f>
        <v>1</v>
      </c>
      <c r="AH315" s="312">
        <f>IF((AC$4+1)&amp;"年"&amp;AH$5&lt;&gt;'9.项目开发计划表'!$AG$64,1,(AC$4+1)&amp;"年"&amp;AH$5)</f>
        <v>1</v>
      </c>
      <c r="AI315" s="312">
        <f>IF((AC$4+1)&amp;"年"&amp;AI$5&lt;&gt;'9.项目开发计划表'!$AG$64,1,(AC$4+1)&amp;"年"&amp;AI$5)</f>
        <v>1</v>
      </c>
      <c r="AJ315" s="313">
        <f>IF((AC$4+1)&amp;"年"&amp;AJ$5&lt;&gt;'9.项目开发计划表'!$AG$64,1,(AC$4+1)&amp;"年"&amp;AJ$5)</f>
        <v>1</v>
      </c>
      <c r="AK315" s="322">
        <f>IF((AG$4+1)&amp;"年"&amp;AK$5&lt;&gt;'9.项目开发计划表'!$AG$64,1,(AG$4+1)&amp;"年"&amp;AK$5)</f>
        <v>1</v>
      </c>
      <c r="AL315" s="312">
        <f>IF((AG$4+1)&amp;"年"&amp;AL$5&lt;&gt;'9.项目开发计划表'!$AG$64,1,(AG$4+1)&amp;"年"&amp;AL$5)</f>
        <v>1</v>
      </c>
      <c r="AM315" s="312">
        <f>IF((AG$4+1)&amp;"年"&amp;AM$5&lt;&gt;'9.项目开发计划表'!$AG$64,1,(AG$4+1)&amp;"年"&amp;AM$5)</f>
        <v>1</v>
      </c>
      <c r="AN315" s="313">
        <f>IF((AG$4+1)&amp;"年"&amp;AN$5&lt;&gt;'9.项目开发计划表'!$AG$64,1,(AG$4+1)&amp;"年"&amp;AN$5)</f>
        <v>1</v>
      </c>
      <c r="AO315" s="322">
        <f>IF((AK$4+1)&amp;"年"&amp;AO$5&lt;&gt;'9.项目开发计划表'!$AG$64,1,(AK$4+1)&amp;"年"&amp;AO$5)</f>
        <v>1</v>
      </c>
      <c r="AP315" s="312">
        <f>IF((AK$4+1)&amp;"年"&amp;AP$5&lt;&gt;'9.项目开发计划表'!$AG$64,1,(AK$4+1)&amp;"年"&amp;AP$5)</f>
        <v>1</v>
      </c>
      <c r="AQ315" s="312">
        <f>IF((AK$4+1)&amp;"年"&amp;AQ$5&lt;&gt;'9.项目开发计划表'!$AG$64,1,(AK$4+1)&amp;"年"&amp;AQ$5)</f>
        <v>1</v>
      </c>
      <c r="AR315" s="313">
        <f>IF((AK$4+1)&amp;"年"&amp;AR$5&lt;&gt;'9.项目开发计划表'!$AG$64,1,(AK$4+1)&amp;"年"&amp;AR$5)</f>
        <v>1</v>
      </c>
      <c r="AS315" s="322">
        <f>IF((AO$4+1)&amp;"年"&amp;AS$5&lt;&gt;'9.项目开发计划表'!$AG$64,1,(AO$4+1)&amp;"年"&amp;AS$5)</f>
        <v>1</v>
      </c>
      <c r="AT315" s="312">
        <f>IF((AO$4+1)&amp;"年"&amp;AT$5&lt;&gt;'9.项目开发计划表'!$AG$64,1,(AO$4+1)&amp;"年"&amp;AT$5)</f>
        <v>1</v>
      </c>
      <c r="AU315" s="312">
        <f>IF((AO$4+1)&amp;"年"&amp;AU$5&lt;&gt;'9.项目开发计划表'!$AG$64,1,(AO$4+1)&amp;"年"&amp;AU$5)</f>
        <v>1</v>
      </c>
      <c r="AV315" s="313">
        <f>IF((AO$4+1)&amp;"年"&amp;AV$5&lt;&gt;'9.项目开发计划表'!$AG$64,1,(AO$4+1)&amp;"年"&amp;AV$5)</f>
        <v>1</v>
      </c>
    </row>
    <row r="316" spans="2:48" outlineLevel="1">
      <c r="C316" s="1980"/>
      <c r="D316" s="1982"/>
      <c r="E316" s="280">
        <f t="shared" ref="E316:AV316" si="110">IF(E315=1,0,1)</f>
        <v>0</v>
      </c>
      <c r="F316" s="281">
        <f t="shared" si="110"/>
        <v>0</v>
      </c>
      <c r="G316" s="281">
        <f t="shared" si="110"/>
        <v>0</v>
      </c>
      <c r="H316" s="282">
        <f t="shared" si="110"/>
        <v>0</v>
      </c>
      <c r="I316" s="323">
        <f t="shared" si="110"/>
        <v>0</v>
      </c>
      <c r="J316" s="281">
        <f t="shared" si="110"/>
        <v>0</v>
      </c>
      <c r="K316" s="281">
        <f t="shared" si="110"/>
        <v>0</v>
      </c>
      <c r="L316" s="282">
        <f t="shared" si="110"/>
        <v>0</v>
      </c>
      <c r="M316" s="323">
        <f t="shared" si="110"/>
        <v>0</v>
      </c>
      <c r="N316" s="281">
        <f t="shared" si="110"/>
        <v>0</v>
      </c>
      <c r="O316" s="281">
        <f t="shared" si="110"/>
        <v>0</v>
      </c>
      <c r="P316" s="282">
        <f t="shared" si="110"/>
        <v>0</v>
      </c>
      <c r="Q316" s="323">
        <f t="shared" si="110"/>
        <v>0</v>
      </c>
      <c r="R316" s="281">
        <f t="shared" si="110"/>
        <v>0</v>
      </c>
      <c r="S316" s="281">
        <f t="shared" si="110"/>
        <v>0</v>
      </c>
      <c r="T316" s="282">
        <f t="shared" si="110"/>
        <v>0</v>
      </c>
      <c r="U316" s="323">
        <f t="shared" si="110"/>
        <v>0</v>
      </c>
      <c r="V316" s="281">
        <f t="shared" si="110"/>
        <v>0</v>
      </c>
      <c r="W316" s="281">
        <f t="shared" si="110"/>
        <v>0</v>
      </c>
      <c r="X316" s="282">
        <f t="shared" si="110"/>
        <v>0</v>
      </c>
      <c r="Y316" s="323">
        <f t="shared" si="110"/>
        <v>0</v>
      </c>
      <c r="Z316" s="281">
        <f t="shared" si="110"/>
        <v>0</v>
      </c>
      <c r="AA316" s="281">
        <f t="shared" si="110"/>
        <v>0</v>
      </c>
      <c r="AB316" s="282">
        <f t="shared" si="110"/>
        <v>0</v>
      </c>
      <c r="AC316" s="323">
        <f t="shared" si="110"/>
        <v>0</v>
      </c>
      <c r="AD316" s="281">
        <f t="shared" si="110"/>
        <v>0</v>
      </c>
      <c r="AE316" s="281">
        <f t="shared" si="110"/>
        <v>0</v>
      </c>
      <c r="AF316" s="282">
        <f t="shared" si="110"/>
        <v>0</v>
      </c>
      <c r="AG316" s="323">
        <f t="shared" si="110"/>
        <v>0</v>
      </c>
      <c r="AH316" s="281">
        <f t="shared" si="110"/>
        <v>0</v>
      </c>
      <c r="AI316" s="281">
        <f t="shared" si="110"/>
        <v>0</v>
      </c>
      <c r="AJ316" s="282">
        <f t="shared" si="110"/>
        <v>0</v>
      </c>
      <c r="AK316" s="323">
        <f t="shared" si="110"/>
        <v>0</v>
      </c>
      <c r="AL316" s="281">
        <f t="shared" si="110"/>
        <v>0</v>
      </c>
      <c r="AM316" s="281">
        <f t="shared" si="110"/>
        <v>0</v>
      </c>
      <c r="AN316" s="282">
        <f t="shared" si="110"/>
        <v>0</v>
      </c>
      <c r="AO316" s="323">
        <f t="shared" si="110"/>
        <v>0</v>
      </c>
      <c r="AP316" s="281">
        <f t="shared" si="110"/>
        <v>0</v>
      </c>
      <c r="AQ316" s="281">
        <f t="shared" si="110"/>
        <v>0</v>
      </c>
      <c r="AR316" s="282">
        <f t="shared" si="110"/>
        <v>0</v>
      </c>
      <c r="AS316" s="323">
        <f t="shared" si="110"/>
        <v>0</v>
      </c>
      <c r="AT316" s="281">
        <f t="shared" si="110"/>
        <v>0</v>
      </c>
      <c r="AU316" s="281">
        <f t="shared" si="110"/>
        <v>0</v>
      </c>
      <c r="AV316" s="282">
        <f t="shared" si="110"/>
        <v>0</v>
      </c>
    </row>
    <row r="317" spans="2:48" outlineLevel="1">
      <c r="C317" s="1980"/>
      <c r="D317" s="1981">
        <f>'8.项目规划指标表'!$B$13</f>
        <v>0</v>
      </c>
      <c r="E317" s="311">
        <f>IF($E$4&amp;"年"&amp;E$5&lt;&gt;'9.项目开发计划表'!$AG$65,1,$E$4&amp;"年"&amp;E$5)</f>
        <v>1</v>
      </c>
      <c r="F317" s="312">
        <f>IF($E$4&amp;"年"&amp;F$5&lt;&gt;'9.项目开发计划表'!$AG$65,1,$E$4&amp;"年"&amp;F$5)</f>
        <v>1</v>
      </c>
      <c r="G317" s="312">
        <f>IF($E$4&amp;"年"&amp;G$5&lt;&gt;'9.项目开发计划表'!$AG$65,1,$E$4&amp;"年"&amp;G$5)</f>
        <v>1</v>
      </c>
      <c r="H317" s="313">
        <f>IF($E$4&amp;"年"&amp;H$5&lt;&gt;'9.项目开发计划表'!$AG$65,1,$E$4&amp;"年"&amp;H$5)</f>
        <v>1</v>
      </c>
      <c r="I317" s="322">
        <f>IF((E$4+1)&amp;"年"&amp;I$5&lt;&gt;'9.项目开发计划表'!$AG$65,1,(E$4+1)&amp;"年"&amp;I$5)</f>
        <v>1</v>
      </c>
      <c r="J317" s="312">
        <f>IF((E$4+1)&amp;"年"&amp;J$5&lt;&gt;'9.项目开发计划表'!$AG$65,1,(E$4+1)&amp;"年"&amp;J$5)</f>
        <v>1</v>
      </c>
      <c r="K317" s="312">
        <f>IF((E$4+1)&amp;"年"&amp;K$5&lt;&gt;'9.项目开发计划表'!$AG$65,1,(E$4+1)&amp;"年"&amp;K$5)</f>
        <v>1</v>
      </c>
      <c r="L317" s="313">
        <f>IF((E$4+1)&amp;"年"&amp;L$5&lt;&gt;'9.项目开发计划表'!$AG$65,1,(E$4+1)&amp;"年"&amp;L$5)</f>
        <v>1</v>
      </c>
      <c r="M317" s="322">
        <f>IF((I$4+1)&amp;"年"&amp;M$5&lt;&gt;'9.项目开发计划表'!$AG$65,1,(I$4+1)&amp;"年"&amp;M$5)</f>
        <v>1</v>
      </c>
      <c r="N317" s="312">
        <f>IF((I$4+1)&amp;"年"&amp;N$5&lt;&gt;'9.项目开发计划表'!$AG$65,1,(I$4+1)&amp;"年"&amp;N$5)</f>
        <v>1</v>
      </c>
      <c r="O317" s="312">
        <f>IF((I$4+1)&amp;"年"&amp;O$5&lt;&gt;'9.项目开发计划表'!$AG$65,1,(I$4+1)&amp;"年"&amp;O$5)</f>
        <v>1</v>
      </c>
      <c r="P317" s="313">
        <f>IF((I$4+1)&amp;"年"&amp;P$5&lt;&gt;'9.项目开发计划表'!$AG$65,1,(I$4+1)&amp;"年"&amp;P$5)</f>
        <v>1</v>
      </c>
      <c r="Q317" s="322">
        <f>IF((M$4+1)&amp;"年"&amp;Q$5&lt;&gt;'9.项目开发计划表'!$AG$65,1,(M$4+1)&amp;"年"&amp;Q$5)</f>
        <v>1</v>
      </c>
      <c r="R317" s="312">
        <f>IF((M$4+1)&amp;"年"&amp;R$5&lt;&gt;'9.项目开发计划表'!$AG$65,1,(M$4+1)&amp;"年"&amp;R$5)</f>
        <v>1</v>
      </c>
      <c r="S317" s="312">
        <f>IF((M$4+1)&amp;"年"&amp;S$5&lt;&gt;'9.项目开发计划表'!$AG$65,1,(M$4+1)&amp;"年"&amp;S$5)</f>
        <v>1</v>
      </c>
      <c r="T317" s="313">
        <f>IF((M$4+1)&amp;"年"&amp;T$5&lt;&gt;'9.项目开发计划表'!$AG$65,1,(M$4+1)&amp;"年"&amp;T$5)</f>
        <v>1</v>
      </c>
      <c r="U317" s="322">
        <f>IF((Q$4+1)&amp;"年"&amp;U$5&lt;&gt;'9.项目开发计划表'!$AG$65,1,(Q$4+1)&amp;"年"&amp;U$5)</f>
        <v>1</v>
      </c>
      <c r="V317" s="312">
        <f>IF((Q$4+1)&amp;"年"&amp;V$5&lt;&gt;'9.项目开发计划表'!$AG$65,1,(Q$4+1)&amp;"年"&amp;V$5)</f>
        <v>1</v>
      </c>
      <c r="W317" s="312">
        <f>IF((Q$4+1)&amp;"年"&amp;W$5&lt;&gt;'9.项目开发计划表'!$AG$65,1,(Q$4+1)&amp;"年"&amp;W$5)</f>
        <v>1</v>
      </c>
      <c r="X317" s="313">
        <f>IF((Q$4+1)&amp;"年"&amp;X$5&lt;&gt;'9.项目开发计划表'!$AG$65,1,(Q$4+1)&amp;"年"&amp;X$5)</f>
        <v>1</v>
      </c>
      <c r="Y317" s="322">
        <f>IF((U$4+1)&amp;"年"&amp;Y$5&lt;&gt;'9.项目开发计划表'!$AG$65,1,(U$4+1)&amp;"年"&amp;Y$5)</f>
        <v>1</v>
      </c>
      <c r="Z317" s="312">
        <f>IF((U$4+1)&amp;"年"&amp;Z$5&lt;&gt;'9.项目开发计划表'!$AG$65,1,(U$4+1)&amp;"年"&amp;Z$5)</f>
        <v>1</v>
      </c>
      <c r="AA317" s="312">
        <f>IF((U$4+1)&amp;"年"&amp;AA$5&lt;&gt;'9.项目开发计划表'!$AG$65,1,(U$4+1)&amp;"年"&amp;AA$5)</f>
        <v>1</v>
      </c>
      <c r="AB317" s="313">
        <f>IF((U$4+1)&amp;"年"&amp;AB$5&lt;&gt;'9.项目开发计划表'!$AG$65,1,(U$4+1)&amp;"年"&amp;AB$5)</f>
        <v>1</v>
      </c>
      <c r="AC317" s="322">
        <f>IF((Y$4+1)&amp;"年"&amp;AC$5&lt;&gt;'9.项目开发计划表'!$AG$65,1,(Y$4+1)&amp;"年"&amp;AC$5)</f>
        <v>1</v>
      </c>
      <c r="AD317" s="312">
        <f>IF((Y$4+1)&amp;"年"&amp;AD$5&lt;&gt;'9.项目开发计划表'!$AG$65,1,(Y$4+1)&amp;"年"&amp;AD$5)</f>
        <v>1</v>
      </c>
      <c r="AE317" s="312">
        <f>IF((Y$4+1)&amp;"年"&amp;AE$5&lt;&gt;'9.项目开发计划表'!$AG$65,1,(Y$4+1)&amp;"年"&amp;AE$5)</f>
        <v>1</v>
      </c>
      <c r="AF317" s="313">
        <f>IF((Y$4+1)&amp;"年"&amp;AF$5&lt;&gt;'9.项目开发计划表'!$AG$65,1,(Y$4+1)&amp;"年"&amp;AF$5)</f>
        <v>1</v>
      </c>
      <c r="AG317" s="322">
        <f>IF((AC$4+1)&amp;"年"&amp;AG$5&lt;&gt;'9.项目开发计划表'!$AG$65,1,(AC$4+1)&amp;"年"&amp;AG$5)</f>
        <v>1</v>
      </c>
      <c r="AH317" s="312">
        <f>IF((AC$4+1)&amp;"年"&amp;AH$5&lt;&gt;'9.项目开发计划表'!$AG$65,1,(AC$4+1)&amp;"年"&amp;AH$5)</f>
        <v>1</v>
      </c>
      <c r="AI317" s="312">
        <f>IF((AC$4+1)&amp;"年"&amp;AI$5&lt;&gt;'9.项目开发计划表'!$AG$65,1,(AC$4+1)&amp;"年"&amp;AI$5)</f>
        <v>1</v>
      </c>
      <c r="AJ317" s="313">
        <f>IF((AC$4+1)&amp;"年"&amp;AJ$5&lt;&gt;'9.项目开发计划表'!$AG$65,1,(AC$4+1)&amp;"年"&amp;AJ$5)</f>
        <v>1</v>
      </c>
      <c r="AK317" s="322">
        <f>IF((AG$4+1)&amp;"年"&amp;AK$5&lt;&gt;'9.项目开发计划表'!$AG$65,1,(AG$4+1)&amp;"年"&amp;AK$5)</f>
        <v>1</v>
      </c>
      <c r="AL317" s="312">
        <f>IF((AG$4+1)&amp;"年"&amp;AL$5&lt;&gt;'9.项目开发计划表'!$AG$65,1,(AG$4+1)&amp;"年"&amp;AL$5)</f>
        <v>1</v>
      </c>
      <c r="AM317" s="312">
        <f>IF((AG$4+1)&amp;"年"&amp;AM$5&lt;&gt;'9.项目开发计划表'!$AG$65,1,(AG$4+1)&amp;"年"&amp;AM$5)</f>
        <v>1</v>
      </c>
      <c r="AN317" s="313">
        <f>IF((AG$4+1)&amp;"年"&amp;AN$5&lt;&gt;'9.项目开发计划表'!$AG$65,1,(AG$4+1)&amp;"年"&amp;AN$5)</f>
        <v>1</v>
      </c>
      <c r="AO317" s="322">
        <f>IF((AK$4+1)&amp;"年"&amp;AO$5&lt;&gt;'9.项目开发计划表'!$AG$65,1,(AK$4+1)&amp;"年"&amp;AO$5)</f>
        <v>1</v>
      </c>
      <c r="AP317" s="312">
        <f>IF((AK$4+1)&amp;"年"&amp;AP$5&lt;&gt;'9.项目开发计划表'!$AG$65,1,(AK$4+1)&amp;"年"&amp;AP$5)</f>
        <v>1</v>
      </c>
      <c r="AQ317" s="312">
        <f>IF((AK$4+1)&amp;"年"&amp;AQ$5&lt;&gt;'9.项目开发计划表'!$AG$65,1,(AK$4+1)&amp;"年"&amp;AQ$5)</f>
        <v>1</v>
      </c>
      <c r="AR317" s="313">
        <f>IF((AK$4+1)&amp;"年"&amp;AR$5&lt;&gt;'9.项目开发计划表'!$AG$65,1,(AK$4+1)&amp;"年"&amp;AR$5)</f>
        <v>1</v>
      </c>
      <c r="AS317" s="322">
        <f>IF((AO$4+1)&amp;"年"&amp;AS$5&lt;&gt;'9.项目开发计划表'!$AG$65,1,(AO$4+1)&amp;"年"&amp;AS$5)</f>
        <v>1</v>
      </c>
      <c r="AT317" s="312">
        <f>IF((AO$4+1)&amp;"年"&amp;AT$5&lt;&gt;'9.项目开发计划表'!$AG$65,1,(AO$4+1)&amp;"年"&amp;AT$5)</f>
        <v>1</v>
      </c>
      <c r="AU317" s="312">
        <f>IF((AO$4+1)&amp;"年"&amp;AU$5&lt;&gt;'9.项目开发计划表'!$AG$65,1,(AO$4+1)&amp;"年"&amp;AU$5)</f>
        <v>1</v>
      </c>
      <c r="AV317" s="313">
        <f>IF((AO$4+1)&amp;"年"&amp;AV$5&lt;&gt;'9.项目开发计划表'!$AG$65,1,(AO$4+1)&amp;"年"&amp;AV$5)</f>
        <v>1</v>
      </c>
    </row>
    <row r="318" spans="2:48" outlineLevel="1">
      <c r="C318" s="1980"/>
      <c r="D318" s="1982"/>
      <c r="E318" s="280">
        <f t="shared" ref="E318:AV318" si="111">IF(E317=1,0,1)</f>
        <v>0</v>
      </c>
      <c r="F318" s="281">
        <f t="shared" si="111"/>
        <v>0</v>
      </c>
      <c r="G318" s="281">
        <f t="shared" si="111"/>
        <v>0</v>
      </c>
      <c r="H318" s="282">
        <f t="shared" si="111"/>
        <v>0</v>
      </c>
      <c r="I318" s="323">
        <f t="shared" si="111"/>
        <v>0</v>
      </c>
      <c r="J318" s="281">
        <f t="shared" si="111"/>
        <v>0</v>
      </c>
      <c r="K318" s="281">
        <f t="shared" si="111"/>
        <v>0</v>
      </c>
      <c r="L318" s="282">
        <f t="shared" si="111"/>
        <v>0</v>
      </c>
      <c r="M318" s="323">
        <f t="shared" si="111"/>
        <v>0</v>
      </c>
      <c r="N318" s="281">
        <f t="shared" si="111"/>
        <v>0</v>
      </c>
      <c r="O318" s="281">
        <f t="shared" si="111"/>
        <v>0</v>
      </c>
      <c r="P318" s="282">
        <f t="shared" si="111"/>
        <v>0</v>
      </c>
      <c r="Q318" s="323">
        <f t="shared" si="111"/>
        <v>0</v>
      </c>
      <c r="R318" s="281">
        <f t="shared" si="111"/>
        <v>0</v>
      </c>
      <c r="S318" s="281">
        <f t="shared" si="111"/>
        <v>0</v>
      </c>
      <c r="T318" s="282">
        <f t="shared" si="111"/>
        <v>0</v>
      </c>
      <c r="U318" s="323">
        <f t="shared" si="111"/>
        <v>0</v>
      </c>
      <c r="V318" s="281">
        <f t="shared" si="111"/>
        <v>0</v>
      </c>
      <c r="W318" s="281">
        <f t="shared" si="111"/>
        <v>0</v>
      </c>
      <c r="X318" s="282">
        <f t="shared" si="111"/>
        <v>0</v>
      </c>
      <c r="Y318" s="323">
        <f t="shared" si="111"/>
        <v>0</v>
      </c>
      <c r="Z318" s="281">
        <f t="shared" si="111"/>
        <v>0</v>
      </c>
      <c r="AA318" s="281">
        <f t="shared" si="111"/>
        <v>0</v>
      </c>
      <c r="AB318" s="282">
        <f t="shared" si="111"/>
        <v>0</v>
      </c>
      <c r="AC318" s="323">
        <f t="shared" si="111"/>
        <v>0</v>
      </c>
      <c r="AD318" s="281">
        <f t="shared" si="111"/>
        <v>0</v>
      </c>
      <c r="AE318" s="281">
        <f t="shared" si="111"/>
        <v>0</v>
      </c>
      <c r="AF318" s="282">
        <f t="shared" si="111"/>
        <v>0</v>
      </c>
      <c r="AG318" s="323">
        <f t="shared" si="111"/>
        <v>0</v>
      </c>
      <c r="AH318" s="281">
        <f t="shared" si="111"/>
        <v>0</v>
      </c>
      <c r="AI318" s="281">
        <f t="shared" si="111"/>
        <v>0</v>
      </c>
      <c r="AJ318" s="282">
        <f t="shared" si="111"/>
        <v>0</v>
      </c>
      <c r="AK318" s="323">
        <f t="shared" si="111"/>
        <v>0</v>
      </c>
      <c r="AL318" s="281">
        <f t="shared" si="111"/>
        <v>0</v>
      </c>
      <c r="AM318" s="281">
        <f t="shared" si="111"/>
        <v>0</v>
      </c>
      <c r="AN318" s="282">
        <f t="shared" si="111"/>
        <v>0</v>
      </c>
      <c r="AO318" s="323">
        <f t="shared" si="111"/>
        <v>0</v>
      </c>
      <c r="AP318" s="281">
        <f t="shared" si="111"/>
        <v>0</v>
      </c>
      <c r="AQ318" s="281">
        <f t="shared" si="111"/>
        <v>0</v>
      </c>
      <c r="AR318" s="282">
        <f t="shared" si="111"/>
        <v>0</v>
      </c>
      <c r="AS318" s="323">
        <f t="shared" si="111"/>
        <v>0</v>
      </c>
      <c r="AT318" s="281">
        <f t="shared" si="111"/>
        <v>0</v>
      </c>
      <c r="AU318" s="281">
        <f t="shared" si="111"/>
        <v>0</v>
      </c>
      <c r="AV318" s="282">
        <f t="shared" si="111"/>
        <v>0</v>
      </c>
    </row>
    <row r="319" spans="2:48" outlineLevel="1">
      <c r="C319" s="1980"/>
      <c r="D319" s="1981" t="str">
        <f>'8.项目规划指标表'!$B$14</f>
        <v>自持物业</v>
      </c>
      <c r="E319" s="311">
        <f>IF($E$4&amp;"年"&amp;E$5&lt;&gt;'9.项目开发计划表'!$AG$66,1,$E$4&amp;"年"&amp;E$5)</f>
        <v>1</v>
      </c>
      <c r="F319" s="312">
        <f>IF($E$4&amp;"年"&amp;F$5&lt;&gt;'9.项目开发计划表'!$AG$66,1,$E$4&amp;"年"&amp;F$5)</f>
        <v>1</v>
      </c>
      <c r="G319" s="312">
        <f>IF($E$4&amp;"年"&amp;G$5&lt;&gt;'9.项目开发计划表'!$AG$66,1,$E$4&amp;"年"&amp;G$5)</f>
        <v>1</v>
      </c>
      <c r="H319" s="313">
        <f>IF($E$4&amp;"年"&amp;H$5&lt;&gt;'9.项目开发计划表'!$AG$66,1,$E$4&amp;"年"&amp;H$5)</f>
        <v>1</v>
      </c>
      <c r="I319" s="322">
        <f>IF((E$4+1)&amp;"年"&amp;I$5&lt;&gt;'9.项目开发计划表'!$AG$66,1,(E$4+1)&amp;"年"&amp;I$5)</f>
        <v>1</v>
      </c>
      <c r="J319" s="312">
        <f>IF((E$4+1)&amp;"年"&amp;J$5&lt;&gt;'9.项目开发计划表'!$AG$66,1,(E$4+1)&amp;"年"&amp;J$5)</f>
        <v>1</v>
      </c>
      <c r="K319" s="312">
        <f>IF((E$4+1)&amp;"年"&amp;K$5&lt;&gt;'9.项目开发计划表'!$AG$66,1,(E$4+1)&amp;"年"&amp;K$5)</f>
        <v>1</v>
      </c>
      <c r="L319" s="313">
        <f>IF((E$4+1)&amp;"年"&amp;L$5&lt;&gt;'9.项目开发计划表'!$AG$66,1,(E$4+1)&amp;"年"&amp;L$5)</f>
        <v>1</v>
      </c>
      <c r="M319" s="322">
        <f>IF((I$4+1)&amp;"年"&amp;M$5&lt;&gt;'9.项目开发计划表'!$AG$66,1,(I$4+1)&amp;"年"&amp;M$5)</f>
        <v>1</v>
      </c>
      <c r="N319" s="312">
        <f>IF((I$4+1)&amp;"年"&amp;N$5&lt;&gt;'9.项目开发计划表'!$AG$66,1,(I$4+1)&amp;"年"&amp;N$5)</f>
        <v>1</v>
      </c>
      <c r="O319" s="312">
        <f>IF((I$4+1)&amp;"年"&amp;O$5&lt;&gt;'9.项目开发计划表'!$AG$66,1,(I$4+1)&amp;"年"&amp;O$5)</f>
        <v>1</v>
      </c>
      <c r="P319" s="313">
        <f>IF((I$4+1)&amp;"年"&amp;P$5&lt;&gt;'9.项目开发计划表'!$AG$66,1,(I$4+1)&amp;"年"&amp;P$5)</f>
        <v>1</v>
      </c>
      <c r="Q319" s="322">
        <f>IF((M$4+1)&amp;"年"&amp;Q$5&lt;&gt;'9.项目开发计划表'!$AG$66,1,(M$4+1)&amp;"年"&amp;Q$5)</f>
        <v>1</v>
      </c>
      <c r="R319" s="312">
        <f>IF((M$4+1)&amp;"年"&amp;R$5&lt;&gt;'9.项目开发计划表'!$AG$66,1,(M$4+1)&amp;"年"&amp;R$5)</f>
        <v>1</v>
      </c>
      <c r="S319" s="312">
        <f>IF((M$4+1)&amp;"年"&amp;S$5&lt;&gt;'9.项目开发计划表'!$AG$66,1,(M$4+1)&amp;"年"&amp;S$5)</f>
        <v>1</v>
      </c>
      <c r="T319" s="313">
        <f>IF((M$4+1)&amp;"年"&amp;T$5&lt;&gt;'9.项目开发计划表'!$AG$66,1,(M$4+1)&amp;"年"&amp;T$5)</f>
        <v>1</v>
      </c>
      <c r="U319" s="322">
        <f>IF((Q$4+1)&amp;"年"&amp;U$5&lt;&gt;'9.项目开发计划表'!$AG$66,1,(Q$4+1)&amp;"年"&amp;U$5)</f>
        <v>1</v>
      </c>
      <c r="V319" s="312">
        <f>IF((Q$4+1)&amp;"年"&amp;V$5&lt;&gt;'9.项目开发计划表'!$AG$66,1,(Q$4+1)&amp;"年"&amp;V$5)</f>
        <v>1</v>
      </c>
      <c r="W319" s="312">
        <f>IF((Q$4+1)&amp;"年"&amp;W$5&lt;&gt;'9.项目开发计划表'!$AG$66,1,(Q$4+1)&amp;"年"&amp;W$5)</f>
        <v>1</v>
      </c>
      <c r="X319" s="313">
        <f>IF((Q$4+1)&amp;"年"&amp;X$5&lt;&gt;'9.项目开发计划表'!$AG$66,1,(Q$4+1)&amp;"年"&amp;X$5)</f>
        <v>1</v>
      </c>
      <c r="Y319" s="322">
        <f>IF((U$4+1)&amp;"年"&amp;Y$5&lt;&gt;'9.项目开发计划表'!$AG$66,1,(U$4+1)&amp;"年"&amp;Y$5)</f>
        <v>1</v>
      </c>
      <c r="Z319" s="312">
        <f>IF((U$4+1)&amp;"年"&amp;Z$5&lt;&gt;'9.项目开发计划表'!$AG$66,1,(U$4+1)&amp;"年"&amp;Z$5)</f>
        <v>1</v>
      </c>
      <c r="AA319" s="312">
        <f>IF((U$4+1)&amp;"年"&amp;AA$5&lt;&gt;'9.项目开发计划表'!$AG$66,1,(U$4+1)&amp;"年"&amp;AA$5)</f>
        <v>1</v>
      </c>
      <c r="AB319" s="313">
        <f>IF((U$4+1)&amp;"年"&amp;AB$5&lt;&gt;'9.项目开发计划表'!$AG$66,1,(U$4+1)&amp;"年"&amp;AB$5)</f>
        <v>1</v>
      </c>
      <c r="AC319" s="322">
        <f>IF((Y$4+1)&amp;"年"&amp;AC$5&lt;&gt;'9.项目开发计划表'!$AG$66,1,(Y$4+1)&amp;"年"&amp;AC$5)</f>
        <v>1</v>
      </c>
      <c r="AD319" s="312">
        <f>IF((Y$4+1)&amp;"年"&amp;AD$5&lt;&gt;'9.项目开发计划表'!$AG$66,1,(Y$4+1)&amp;"年"&amp;AD$5)</f>
        <v>1</v>
      </c>
      <c r="AE319" s="312">
        <f>IF((Y$4+1)&amp;"年"&amp;AE$5&lt;&gt;'9.项目开发计划表'!$AG$66,1,(Y$4+1)&amp;"年"&amp;AE$5)</f>
        <v>1</v>
      </c>
      <c r="AF319" s="313">
        <f>IF((Y$4+1)&amp;"年"&amp;AF$5&lt;&gt;'9.项目开发计划表'!$AG$66,1,(Y$4+1)&amp;"年"&amp;AF$5)</f>
        <v>1</v>
      </c>
      <c r="AG319" s="322">
        <f>IF((AC$4+1)&amp;"年"&amp;AG$5&lt;&gt;'9.项目开发计划表'!$AG$66,1,(AC$4+1)&amp;"年"&amp;AG$5)</f>
        <v>1</v>
      </c>
      <c r="AH319" s="312">
        <f>IF((AC$4+1)&amp;"年"&amp;AH$5&lt;&gt;'9.项目开发计划表'!$AG$66,1,(AC$4+1)&amp;"年"&amp;AH$5)</f>
        <v>1</v>
      </c>
      <c r="AI319" s="312">
        <f>IF((AC$4+1)&amp;"年"&amp;AI$5&lt;&gt;'9.项目开发计划表'!$AG$66,1,(AC$4+1)&amp;"年"&amp;AI$5)</f>
        <v>1</v>
      </c>
      <c r="AJ319" s="313">
        <f>IF((AC$4+1)&amp;"年"&amp;AJ$5&lt;&gt;'9.项目开发计划表'!$AG$66,1,(AC$4+1)&amp;"年"&amp;AJ$5)</f>
        <v>1</v>
      </c>
      <c r="AK319" s="322">
        <f>IF((AG$4+1)&amp;"年"&amp;AK$5&lt;&gt;'9.项目开发计划表'!$AG$66,1,(AG$4+1)&amp;"年"&amp;AK$5)</f>
        <v>1</v>
      </c>
      <c r="AL319" s="312">
        <f>IF((AG$4+1)&amp;"年"&amp;AL$5&lt;&gt;'9.项目开发计划表'!$AG$66,1,(AG$4+1)&amp;"年"&amp;AL$5)</f>
        <v>1</v>
      </c>
      <c r="AM319" s="312">
        <f>IF((AG$4+1)&amp;"年"&amp;AM$5&lt;&gt;'9.项目开发计划表'!$AG$66,1,(AG$4+1)&amp;"年"&amp;AM$5)</f>
        <v>1</v>
      </c>
      <c r="AN319" s="313">
        <f>IF((AG$4+1)&amp;"年"&amp;AN$5&lt;&gt;'9.项目开发计划表'!$AG$66,1,(AG$4+1)&amp;"年"&amp;AN$5)</f>
        <v>1</v>
      </c>
      <c r="AO319" s="322">
        <f>IF((AK$4+1)&amp;"年"&amp;AO$5&lt;&gt;'9.项目开发计划表'!$AG$66,1,(AK$4+1)&amp;"年"&amp;AO$5)</f>
        <v>1</v>
      </c>
      <c r="AP319" s="312">
        <f>IF((AK$4+1)&amp;"年"&amp;AP$5&lt;&gt;'9.项目开发计划表'!$AG$66,1,(AK$4+1)&amp;"年"&amp;AP$5)</f>
        <v>1</v>
      </c>
      <c r="AQ319" s="312">
        <f>IF((AK$4+1)&amp;"年"&amp;AQ$5&lt;&gt;'9.项目开发计划表'!$AG$66,1,(AK$4+1)&amp;"年"&amp;AQ$5)</f>
        <v>1</v>
      </c>
      <c r="AR319" s="313">
        <f>IF((AK$4+1)&amp;"年"&amp;AR$5&lt;&gt;'9.项目开发计划表'!$AG$66,1,(AK$4+1)&amp;"年"&amp;AR$5)</f>
        <v>1</v>
      </c>
      <c r="AS319" s="322">
        <f>IF((AO$4+1)&amp;"年"&amp;AS$5&lt;&gt;'9.项目开发计划表'!$AG$66,1,(AO$4+1)&amp;"年"&amp;AS$5)</f>
        <v>1</v>
      </c>
      <c r="AT319" s="312">
        <f>IF((AO$4+1)&amp;"年"&amp;AT$5&lt;&gt;'9.项目开发计划表'!$AG$66,1,(AO$4+1)&amp;"年"&amp;AT$5)</f>
        <v>1</v>
      </c>
      <c r="AU319" s="312">
        <f>IF((AO$4+1)&amp;"年"&amp;AU$5&lt;&gt;'9.项目开发计划表'!$AG$66,1,(AO$4+1)&amp;"年"&amp;AU$5)</f>
        <v>1</v>
      </c>
      <c r="AV319" s="313">
        <f>IF((AO$4+1)&amp;"年"&amp;AV$5&lt;&gt;'9.项目开发计划表'!$AG$66,1,(AO$4+1)&amp;"年"&amp;AV$5)</f>
        <v>1</v>
      </c>
    </row>
    <row r="320" spans="2:48" outlineLevel="1">
      <c r="C320" s="1980"/>
      <c r="D320" s="1982"/>
      <c r="E320" s="280">
        <f t="shared" ref="E320:AV320" si="112">IF(E319=1,0,1)</f>
        <v>0</v>
      </c>
      <c r="F320" s="281">
        <f t="shared" si="112"/>
        <v>0</v>
      </c>
      <c r="G320" s="281">
        <f t="shared" si="112"/>
        <v>0</v>
      </c>
      <c r="H320" s="282">
        <f t="shared" si="112"/>
        <v>0</v>
      </c>
      <c r="I320" s="323">
        <f t="shared" si="112"/>
        <v>0</v>
      </c>
      <c r="J320" s="281">
        <f t="shared" si="112"/>
        <v>0</v>
      </c>
      <c r="K320" s="281">
        <f t="shared" si="112"/>
        <v>0</v>
      </c>
      <c r="L320" s="282">
        <f t="shared" si="112"/>
        <v>0</v>
      </c>
      <c r="M320" s="323">
        <f t="shared" si="112"/>
        <v>0</v>
      </c>
      <c r="N320" s="281">
        <f t="shared" si="112"/>
        <v>0</v>
      </c>
      <c r="O320" s="281">
        <f t="shared" si="112"/>
        <v>0</v>
      </c>
      <c r="P320" s="282">
        <f t="shared" si="112"/>
        <v>0</v>
      </c>
      <c r="Q320" s="323">
        <f t="shared" si="112"/>
        <v>0</v>
      </c>
      <c r="R320" s="281">
        <f t="shared" si="112"/>
        <v>0</v>
      </c>
      <c r="S320" s="281">
        <f t="shared" si="112"/>
        <v>0</v>
      </c>
      <c r="T320" s="282">
        <f t="shared" si="112"/>
        <v>0</v>
      </c>
      <c r="U320" s="323">
        <f t="shared" si="112"/>
        <v>0</v>
      </c>
      <c r="V320" s="281">
        <f t="shared" si="112"/>
        <v>0</v>
      </c>
      <c r="W320" s="281">
        <f t="shared" si="112"/>
        <v>0</v>
      </c>
      <c r="X320" s="282">
        <f t="shared" si="112"/>
        <v>0</v>
      </c>
      <c r="Y320" s="323">
        <f t="shared" si="112"/>
        <v>0</v>
      </c>
      <c r="Z320" s="281">
        <f t="shared" si="112"/>
        <v>0</v>
      </c>
      <c r="AA320" s="281">
        <f t="shared" si="112"/>
        <v>0</v>
      </c>
      <c r="AB320" s="282">
        <f t="shared" si="112"/>
        <v>0</v>
      </c>
      <c r="AC320" s="323">
        <f t="shared" si="112"/>
        <v>0</v>
      </c>
      <c r="AD320" s="281">
        <f t="shared" si="112"/>
        <v>0</v>
      </c>
      <c r="AE320" s="281">
        <f t="shared" si="112"/>
        <v>0</v>
      </c>
      <c r="AF320" s="282">
        <f t="shared" si="112"/>
        <v>0</v>
      </c>
      <c r="AG320" s="323">
        <f t="shared" si="112"/>
        <v>0</v>
      </c>
      <c r="AH320" s="281">
        <f t="shared" si="112"/>
        <v>0</v>
      </c>
      <c r="AI320" s="281">
        <f t="shared" si="112"/>
        <v>0</v>
      </c>
      <c r="AJ320" s="282">
        <f t="shared" si="112"/>
        <v>0</v>
      </c>
      <c r="AK320" s="323">
        <f t="shared" si="112"/>
        <v>0</v>
      </c>
      <c r="AL320" s="281">
        <f t="shared" si="112"/>
        <v>0</v>
      </c>
      <c r="AM320" s="281">
        <f t="shared" si="112"/>
        <v>0</v>
      </c>
      <c r="AN320" s="282">
        <f t="shared" si="112"/>
        <v>0</v>
      </c>
      <c r="AO320" s="323">
        <f t="shared" si="112"/>
        <v>0</v>
      </c>
      <c r="AP320" s="281">
        <f t="shared" si="112"/>
        <v>0</v>
      </c>
      <c r="AQ320" s="281">
        <f t="shared" si="112"/>
        <v>0</v>
      </c>
      <c r="AR320" s="282">
        <f t="shared" si="112"/>
        <v>0</v>
      </c>
      <c r="AS320" s="323">
        <f t="shared" si="112"/>
        <v>0</v>
      </c>
      <c r="AT320" s="281">
        <f t="shared" si="112"/>
        <v>0</v>
      </c>
      <c r="AU320" s="281">
        <f t="shared" si="112"/>
        <v>0</v>
      </c>
      <c r="AV320" s="282">
        <f t="shared" si="112"/>
        <v>0</v>
      </c>
    </row>
    <row r="321" spans="2:48" outlineLevel="1">
      <c r="C321" s="1980"/>
      <c r="D321" s="1981" t="str">
        <f>'8.项目规划指标表'!$B$18</f>
        <v>有产权车库(个)</v>
      </c>
      <c r="E321" s="311">
        <f>IF($E$4&amp;"年"&amp;E$5&lt;&gt;'9.项目开发计划表'!$AG$67,1,$E$4&amp;"年"&amp;E$5)</f>
        <v>1</v>
      </c>
      <c r="F321" s="312">
        <f>IF($E$4&amp;"年"&amp;F$5&lt;&gt;'9.项目开发计划表'!$AG$67,1,$E$4&amp;"年"&amp;F$5)</f>
        <v>1</v>
      </c>
      <c r="G321" s="312">
        <f>IF($E$4&amp;"年"&amp;G$5&lt;&gt;'9.项目开发计划表'!$AG$67,1,$E$4&amp;"年"&amp;G$5)</f>
        <v>1</v>
      </c>
      <c r="H321" s="313">
        <f>IF($E$4&amp;"年"&amp;H$5&lt;&gt;'9.项目开发计划表'!$AG$67,1,$E$4&amp;"年"&amp;H$5)</f>
        <v>1</v>
      </c>
      <c r="I321" s="322">
        <f>IF((E$4+1)&amp;"年"&amp;I$5&lt;&gt;'9.项目开发计划表'!$AG$67,1,(E$4+1)&amp;"年"&amp;I$5)</f>
        <v>1</v>
      </c>
      <c r="J321" s="312">
        <f>IF((E$4+1)&amp;"年"&amp;J$5&lt;&gt;'9.项目开发计划表'!$AG$67,1,(E$4+1)&amp;"年"&amp;J$5)</f>
        <v>1</v>
      </c>
      <c r="K321" s="312">
        <f>IF((E$4+1)&amp;"年"&amp;K$5&lt;&gt;'9.项目开发计划表'!$AG$67,1,(E$4+1)&amp;"年"&amp;K$5)</f>
        <v>1</v>
      </c>
      <c r="L321" s="313">
        <f>IF((E$4+1)&amp;"年"&amp;L$5&lt;&gt;'9.项目开发计划表'!$AG$67,1,(E$4+1)&amp;"年"&amp;L$5)</f>
        <v>1</v>
      </c>
      <c r="M321" s="322">
        <f>IF((I$4+1)&amp;"年"&amp;M$5&lt;&gt;'9.项目开发计划表'!$AG$67,1,(I$4+1)&amp;"年"&amp;M$5)</f>
        <v>1</v>
      </c>
      <c r="N321" s="312">
        <f>IF((I$4+1)&amp;"年"&amp;N$5&lt;&gt;'9.项目开发计划表'!$AG$67,1,(I$4+1)&amp;"年"&amp;N$5)</f>
        <v>1</v>
      </c>
      <c r="O321" s="312">
        <f>IF((I$4+1)&amp;"年"&amp;O$5&lt;&gt;'9.项目开发计划表'!$AG$67,1,(I$4+1)&amp;"年"&amp;O$5)</f>
        <v>1</v>
      </c>
      <c r="P321" s="313">
        <f>IF((I$4+1)&amp;"年"&amp;P$5&lt;&gt;'9.项目开发计划表'!$AG$67,1,(I$4+1)&amp;"年"&amp;P$5)</f>
        <v>1</v>
      </c>
      <c r="Q321" s="322">
        <f>IF((M$4+1)&amp;"年"&amp;Q$5&lt;&gt;'9.项目开发计划表'!$AG$67,1,(M$4+1)&amp;"年"&amp;Q$5)</f>
        <v>1</v>
      </c>
      <c r="R321" s="312">
        <f>IF((M$4+1)&amp;"年"&amp;R$5&lt;&gt;'9.项目开发计划表'!$AG$67,1,(M$4+1)&amp;"年"&amp;R$5)</f>
        <v>1</v>
      </c>
      <c r="S321" s="312">
        <f>IF((M$4+1)&amp;"年"&amp;S$5&lt;&gt;'9.项目开发计划表'!$AG$67,1,(M$4+1)&amp;"年"&amp;S$5)</f>
        <v>1</v>
      </c>
      <c r="T321" s="313">
        <f>IF((M$4+1)&amp;"年"&amp;T$5&lt;&gt;'9.项目开发计划表'!$AG$67,1,(M$4+1)&amp;"年"&amp;T$5)</f>
        <v>1</v>
      </c>
      <c r="U321" s="322">
        <f>IF((Q$4+1)&amp;"年"&amp;U$5&lt;&gt;'9.项目开发计划表'!$AG$67,1,(Q$4+1)&amp;"年"&amp;U$5)</f>
        <v>1</v>
      </c>
      <c r="V321" s="312">
        <f>IF((Q$4+1)&amp;"年"&amp;V$5&lt;&gt;'9.项目开发计划表'!$AG$67,1,(Q$4+1)&amp;"年"&amp;V$5)</f>
        <v>1</v>
      </c>
      <c r="W321" s="312">
        <f>IF((Q$4+1)&amp;"年"&amp;W$5&lt;&gt;'9.项目开发计划表'!$AG$67,1,(Q$4+1)&amp;"年"&amp;W$5)</f>
        <v>1</v>
      </c>
      <c r="X321" s="313">
        <f>IF((Q$4+1)&amp;"年"&amp;X$5&lt;&gt;'9.项目开发计划表'!$AG$67,1,(Q$4+1)&amp;"年"&amp;X$5)</f>
        <v>1</v>
      </c>
      <c r="Y321" s="322">
        <f>IF((U$4+1)&amp;"年"&amp;Y$5&lt;&gt;'9.项目开发计划表'!$AG$67,1,(U$4+1)&amp;"年"&amp;Y$5)</f>
        <v>1</v>
      </c>
      <c r="Z321" s="312">
        <f>IF((U$4+1)&amp;"年"&amp;Z$5&lt;&gt;'9.项目开发计划表'!$AG$67,1,(U$4+1)&amp;"年"&amp;Z$5)</f>
        <v>1</v>
      </c>
      <c r="AA321" s="312">
        <f>IF((U$4+1)&amp;"年"&amp;AA$5&lt;&gt;'9.项目开发计划表'!$AG$67,1,(U$4+1)&amp;"年"&amp;AA$5)</f>
        <v>1</v>
      </c>
      <c r="AB321" s="313">
        <f>IF((U$4+1)&amp;"年"&amp;AB$5&lt;&gt;'9.项目开发计划表'!$AG$67,1,(U$4+1)&amp;"年"&amp;AB$5)</f>
        <v>1</v>
      </c>
      <c r="AC321" s="322">
        <f>IF((Y$4+1)&amp;"年"&amp;AC$5&lt;&gt;'9.项目开发计划表'!$AG$67,1,(Y$4+1)&amp;"年"&amp;AC$5)</f>
        <v>1</v>
      </c>
      <c r="AD321" s="312">
        <f>IF((Y$4+1)&amp;"年"&amp;AD$5&lt;&gt;'9.项目开发计划表'!$AG$67,1,(Y$4+1)&amp;"年"&amp;AD$5)</f>
        <v>1</v>
      </c>
      <c r="AE321" s="312">
        <f>IF((Y$4+1)&amp;"年"&amp;AE$5&lt;&gt;'9.项目开发计划表'!$AG$67,1,(Y$4+1)&amp;"年"&amp;AE$5)</f>
        <v>1</v>
      </c>
      <c r="AF321" s="313">
        <f>IF((Y$4+1)&amp;"年"&amp;AF$5&lt;&gt;'9.项目开发计划表'!$AG$67,1,(Y$4+1)&amp;"年"&amp;AF$5)</f>
        <v>1</v>
      </c>
      <c r="AG321" s="322">
        <f>IF((AC$4+1)&amp;"年"&amp;AG$5&lt;&gt;'9.项目开发计划表'!$AG$67,1,(AC$4+1)&amp;"年"&amp;AG$5)</f>
        <v>1</v>
      </c>
      <c r="AH321" s="312">
        <f>IF((AC$4+1)&amp;"年"&amp;AH$5&lt;&gt;'9.项目开发计划表'!$AG$67,1,(AC$4+1)&amp;"年"&amp;AH$5)</f>
        <v>1</v>
      </c>
      <c r="AI321" s="312">
        <f>IF((AC$4+1)&amp;"年"&amp;AI$5&lt;&gt;'9.项目开发计划表'!$AG$67,1,(AC$4+1)&amp;"年"&amp;AI$5)</f>
        <v>1</v>
      </c>
      <c r="AJ321" s="313">
        <f>IF((AC$4+1)&amp;"年"&amp;AJ$5&lt;&gt;'9.项目开发计划表'!$AG$67,1,(AC$4+1)&amp;"年"&amp;AJ$5)</f>
        <v>1</v>
      </c>
      <c r="AK321" s="322">
        <f>IF((AG$4+1)&amp;"年"&amp;AK$5&lt;&gt;'9.项目开发计划表'!$AG$67,1,(AG$4+1)&amp;"年"&amp;AK$5)</f>
        <v>1</v>
      </c>
      <c r="AL321" s="312">
        <f>IF((AG$4+1)&amp;"年"&amp;AL$5&lt;&gt;'9.项目开发计划表'!$AG$67,1,(AG$4+1)&amp;"年"&amp;AL$5)</f>
        <v>1</v>
      </c>
      <c r="AM321" s="312">
        <f>IF((AG$4+1)&amp;"年"&amp;AM$5&lt;&gt;'9.项目开发计划表'!$AG$67,1,(AG$4+1)&amp;"年"&amp;AM$5)</f>
        <v>1</v>
      </c>
      <c r="AN321" s="313">
        <f>IF((AG$4+1)&amp;"年"&amp;AN$5&lt;&gt;'9.项目开发计划表'!$AG$67,1,(AG$4+1)&amp;"年"&amp;AN$5)</f>
        <v>1</v>
      </c>
      <c r="AO321" s="322">
        <f>IF((AK$4+1)&amp;"年"&amp;AO$5&lt;&gt;'9.项目开发计划表'!$AG$67,1,(AK$4+1)&amp;"年"&amp;AO$5)</f>
        <v>1</v>
      </c>
      <c r="AP321" s="312">
        <f>IF((AK$4+1)&amp;"年"&amp;AP$5&lt;&gt;'9.项目开发计划表'!$AG$67,1,(AK$4+1)&amp;"年"&amp;AP$5)</f>
        <v>1</v>
      </c>
      <c r="AQ321" s="312">
        <f>IF((AK$4+1)&amp;"年"&amp;AQ$5&lt;&gt;'9.项目开发计划表'!$AG$67,1,(AK$4+1)&amp;"年"&amp;AQ$5)</f>
        <v>1</v>
      </c>
      <c r="AR321" s="313">
        <f>IF((AK$4+1)&amp;"年"&amp;AR$5&lt;&gt;'9.项目开发计划表'!$AG$67,1,(AK$4+1)&amp;"年"&amp;AR$5)</f>
        <v>1</v>
      </c>
      <c r="AS321" s="322">
        <f>IF((AO$4+1)&amp;"年"&amp;AS$5&lt;&gt;'9.项目开发计划表'!$AG$67,1,(AO$4+1)&amp;"年"&amp;AS$5)</f>
        <v>1</v>
      </c>
      <c r="AT321" s="312">
        <f>IF((AO$4+1)&amp;"年"&amp;AT$5&lt;&gt;'9.项目开发计划表'!$AG$67,1,(AO$4+1)&amp;"年"&amp;AT$5)</f>
        <v>1</v>
      </c>
      <c r="AU321" s="312">
        <f>IF((AO$4+1)&amp;"年"&amp;AU$5&lt;&gt;'9.项目开发计划表'!$AG$67,1,(AO$4+1)&amp;"年"&amp;AU$5)</f>
        <v>1</v>
      </c>
      <c r="AV321" s="313">
        <f>IF((AO$4+1)&amp;"年"&amp;AV$5&lt;&gt;'9.项目开发计划表'!$AG$67,1,(AO$4+1)&amp;"年"&amp;AV$5)</f>
        <v>1</v>
      </c>
    </row>
    <row r="322" spans="2:48" outlineLevel="1">
      <c r="C322" s="1980"/>
      <c r="D322" s="1982"/>
      <c r="E322" s="280">
        <f t="shared" ref="E322:AV322" si="113">IF(E321=1,0,1)</f>
        <v>0</v>
      </c>
      <c r="F322" s="281">
        <f t="shared" si="113"/>
        <v>0</v>
      </c>
      <c r="G322" s="281">
        <f t="shared" si="113"/>
        <v>0</v>
      </c>
      <c r="H322" s="282">
        <f t="shared" si="113"/>
        <v>0</v>
      </c>
      <c r="I322" s="323">
        <f t="shared" si="113"/>
        <v>0</v>
      </c>
      <c r="J322" s="281">
        <f t="shared" si="113"/>
        <v>0</v>
      </c>
      <c r="K322" s="281">
        <f t="shared" si="113"/>
        <v>0</v>
      </c>
      <c r="L322" s="282">
        <f t="shared" si="113"/>
        <v>0</v>
      </c>
      <c r="M322" s="323">
        <f t="shared" si="113"/>
        <v>0</v>
      </c>
      <c r="N322" s="281">
        <f t="shared" si="113"/>
        <v>0</v>
      </c>
      <c r="O322" s="281">
        <f t="shared" si="113"/>
        <v>0</v>
      </c>
      <c r="P322" s="282">
        <f t="shared" si="113"/>
        <v>0</v>
      </c>
      <c r="Q322" s="323">
        <f t="shared" si="113"/>
        <v>0</v>
      </c>
      <c r="R322" s="281">
        <f t="shared" si="113"/>
        <v>0</v>
      </c>
      <c r="S322" s="281">
        <f t="shared" si="113"/>
        <v>0</v>
      </c>
      <c r="T322" s="282">
        <f t="shared" si="113"/>
        <v>0</v>
      </c>
      <c r="U322" s="323">
        <f t="shared" si="113"/>
        <v>0</v>
      </c>
      <c r="V322" s="281">
        <f t="shared" si="113"/>
        <v>0</v>
      </c>
      <c r="W322" s="281">
        <f t="shared" si="113"/>
        <v>0</v>
      </c>
      <c r="X322" s="282">
        <f t="shared" si="113"/>
        <v>0</v>
      </c>
      <c r="Y322" s="323">
        <f t="shared" si="113"/>
        <v>0</v>
      </c>
      <c r="Z322" s="281">
        <f t="shared" si="113"/>
        <v>0</v>
      </c>
      <c r="AA322" s="281">
        <f t="shared" si="113"/>
        <v>0</v>
      </c>
      <c r="AB322" s="282">
        <f t="shared" si="113"/>
        <v>0</v>
      </c>
      <c r="AC322" s="323">
        <f t="shared" si="113"/>
        <v>0</v>
      </c>
      <c r="AD322" s="281">
        <f t="shared" si="113"/>
        <v>0</v>
      </c>
      <c r="AE322" s="281">
        <f t="shared" si="113"/>
        <v>0</v>
      </c>
      <c r="AF322" s="282">
        <f t="shared" si="113"/>
        <v>0</v>
      </c>
      <c r="AG322" s="323">
        <f t="shared" si="113"/>
        <v>0</v>
      </c>
      <c r="AH322" s="281">
        <f t="shared" si="113"/>
        <v>0</v>
      </c>
      <c r="AI322" s="281">
        <f t="shared" si="113"/>
        <v>0</v>
      </c>
      <c r="AJ322" s="282">
        <f t="shared" si="113"/>
        <v>0</v>
      </c>
      <c r="AK322" s="323">
        <f t="shared" si="113"/>
        <v>0</v>
      </c>
      <c r="AL322" s="281">
        <f t="shared" si="113"/>
        <v>0</v>
      </c>
      <c r="AM322" s="281">
        <f t="shared" si="113"/>
        <v>0</v>
      </c>
      <c r="AN322" s="282">
        <f t="shared" si="113"/>
        <v>0</v>
      </c>
      <c r="AO322" s="323">
        <f t="shared" si="113"/>
        <v>0</v>
      </c>
      <c r="AP322" s="281">
        <f t="shared" si="113"/>
        <v>0</v>
      </c>
      <c r="AQ322" s="281">
        <f t="shared" si="113"/>
        <v>0</v>
      </c>
      <c r="AR322" s="282">
        <f t="shared" si="113"/>
        <v>0</v>
      </c>
      <c r="AS322" s="323">
        <f t="shared" si="113"/>
        <v>0</v>
      </c>
      <c r="AT322" s="281">
        <f t="shared" si="113"/>
        <v>0</v>
      </c>
      <c r="AU322" s="281">
        <f t="shared" si="113"/>
        <v>0</v>
      </c>
      <c r="AV322" s="282">
        <f t="shared" si="113"/>
        <v>0</v>
      </c>
    </row>
    <row r="323" spans="2:48" outlineLevel="1">
      <c r="C323" s="1980"/>
      <c r="D323" s="1981" t="str">
        <f>'8.项目规划指标表'!$B$19</f>
        <v>无产权车库(个)</v>
      </c>
      <c r="E323" s="311">
        <f>IF($E$4&amp;"年"&amp;E$5&lt;&gt;'9.项目开发计划表'!$AG$68,1,$E$4&amp;"年"&amp;E$5)</f>
        <v>1</v>
      </c>
      <c r="F323" s="312">
        <f>IF($E$4&amp;"年"&amp;F$5&lt;&gt;'9.项目开发计划表'!$AG$68,1,$E$4&amp;"年"&amp;F$5)</f>
        <v>1</v>
      </c>
      <c r="G323" s="312">
        <f>IF($E$4&amp;"年"&amp;G$5&lt;&gt;'9.项目开发计划表'!$AG$68,1,$E$4&amp;"年"&amp;G$5)</f>
        <v>1</v>
      </c>
      <c r="H323" s="313">
        <f>IF($E$4&amp;"年"&amp;H$5&lt;&gt;'9.项目开发计划表'!$AG$68,1,$E$4&amp;"年"&amp;H$5)</f>
        <v>1</v>
      </c>
      <c r="I323" s="322">
        <f>IF((E$4+1)&amp;"年"&amp;I$5&lt;&gt;'9.项目开发计划表'!$AG$68,1,(E$4+1)&amp;"年"&amp;I$5)</f>
        <v>1</v>
      </c>
      <c r="J323" s="312">
        <f>IF((E$4+1)&amp;"年"&amp;J$5&lt;&gt;'9.项目开发计划表'!$AG$68,1,(E$4+1)&amp;"年"&amp;J$5)</f>
        <v>1</v>
      </c>
      <c r="K323" s="312">
        <f>IF((E$4+1)&amp;"年"&amp;K$5&lt;&gt;'9.项目开发计划表'!$AG$68,1,(E$4+1)&amp;"年"&amp;K$5)</f>
        <v>1</v>
      </c>
      <c r="L323" s="313">
        <f>IF((E$4+1)&amp;"年"&amp;L$5&lt;&gt;'9.项目开发计划表'!$AG$68,1,(E$4+1)&amp;"年"&amp;L$5)</f>
        <v>1</v>
      </c>
      <c r="M323" s="322">
        <f>IF((I$4+1)&amp;"年"&amp;M$5&lt;&gt;'9.项目开发计划表'!$AG$68,1,(I$4+1)&amp;"年"&amp;M$5)</f>
        <v>1</v>
      </c>
      <c r="N323" s="312">
        <f>IF((I$4+1)&amp;"年"&amp;N$5&lt;&gt;'9.项目开发计划表'!$AG$68,1,(I$4+1)&amp;"年"&amp;N$5)</f>
        <v>1</v>
      </c>
      <c r="O323" s="312">
        <f>IF((I$4+1)&amp;"年"&amp;O$5&lt;&gt;'9.项目开发计划表'!$AG$68,1,(I$4+1)&amp;"年"&amp;O$5)</f>
        <v>1</v>
      </c>
      <c r="P323" s="313">
        <f>IF((I$4+1)&amp;"年"&amp;P$5&lt;&gt;'9.项目开发计划表'!$AG$68,1,(I$4+1)&amp;"年"&amp;P$5)</f>
        <v>1</v>
      </c>
      <c r="Q323" s="322">
        <f>IF((M$4+1)&amp;"年"&amp;Q$5&lt;&gt;'9.项目开发计划表'!$AG$68,1,(M$4+1)&amp;"年"&amp;Q$5)</f>
        <v>1</v>
      </c>
      <c r="R323" s="312">
        <f>IF((M$4+1)&amp;"年"&amp;R$5&lt;&gt;'9.项目开发计划表'!$AG$68,1,(M$4+1)&amp;"年"&amp;R$5)</f>
        <v>1</v>
      </c>
      <c r="S323" s="312">
        <f>IF((M$4+1)&amp;"年"&amp;S$5&lt;&gt;'9.项目开发计划表'!$AG$68,1,(M$4+1)&amp;"年"&amp;S$5)</f>
        <v>1</v>
      </c>
      <c r="T323" s="313">
        <f>IF((M$4+1)&amp;"年"&amp;T$5&lt;&gt;'9.项目开发计划表'!$AG$68,1,(M$4+1)&amp;"年"&amp;T$5)</f>
        <v>1</v>
      </c>
      <c r="U323" s="322">
        <f>IF((Q$4+1)&amp;"年"&amp;U$5&lt;&gt;'9.项目开发计划表'!$AG$68,1,(Q$4+1)&amp;"年"&amp;U$5)</f>
        <v>1</v>
      </c>
      <c r="V323" s="312">
        <f>IF((Q$4+1)&amp;"年"&amp;V$5&lt;&gt;'9.项目开发计划表'!$AG$68,1,(Q$4+1)&amp;"年"&amp;V$5)</f>
        <v>1</v>
      </c>
      <c r="W323" s="312">
        <f>IF((Q$4+1)&amp;"年"&amp;W$5&lt;&gt;'9.项目开发计划表'!$AG$68,1,(Q$4+1)&amp;"年"&amp;W$5)</f>
        <v>1</v>
      </c>
      <c r="X323" s="313">
        <f>IF((Q$4+1)&amp;"年"&amp;X$5&lt;&gt;'9.项目开发计划表'!$AG$68,1,(Q$4+1)&amp;"年"&amp;X$5)</f>
        <v>1</v>
      </c>
      <c r="Y323" s="322">
        <f>IF((U$4+1)&amp;"年"&amp;Y$5&lt;&gt;'9.项目开发计划表'!$AG$68,1,(U$4+1)&amp;"年"&amp;Y$5)</f>
        <v>1</v>
      </c>
      <c r="Z323" s="312">
        <f>IF((U$4+1)&amp;"年"&amp;Z$5&lt;&gt;'9.项目开发计划表'!$AG$68,1,(U$4+1)&amp;"年"&amp;Z$5)</f>
        <v>1</v>
      </c>
      <c r="AA323" s="312">
        <f>IF((U$4+1)&amp;"年"&amp;AA$5&lt;&gt;'9.项目开发计划表'!$AG$68,1,(U$4+1)&amp;"年"&amp;AA$5)</f>
        <v>1</v>
      </c>
      <c r="AB323" s="313">
        <f>IF((U$4+1)&amp;"年"&amp;AB$5&lt;&gt;'9.项目开发计划表'!$AG$68,1,(U$4+1)&amp;"年"&amp;AB$5)</f>
        <v>1</v>
      </c>
      <c r="AC323" s="322">
        <f>IF((Y$4+1)&amp;"年"&amp;AC$5&lt;&gt;'9.项目开发计划表'!$AG$68,1,(Y$4+1)&amp;"年"&amp;AC$5)</f>
        <v>1</v>
      </c>
      <c r="AD323" s="312">
        <f>IF((Y$4+1)&amp;"年"&amp;AD$5&lt;&gt;'9.项目开发计划表'!$AG$68,1,(Y$4+1)&amp;"年"&amp;AD$5)</f>
        <v>1</v>
      </c>
      <c r="AE323" s="312">
        <f>IF((Y$4+1)&amp;"年"&amp;AE$5&lt;&gt;'9.项目开发计划表'!$AG$68,1,(Y$4+1)&amp;"年"&amp;AE$5)</f>
        <v>1</v>
      </c>
      <c r="AF323" s="313">
        <f>IF((Y$4+1)&amp;"年"&amp;AF$5&lt;&gt;'9.项目开发计划表'!$AG$68,1,(Y$4+1)&amp;"年"&amp;AF$5)</f>
        <v>1</v>
      </c>
      <c r="AG323" s="322">
        <f>IF((AC$4+1)&amp;"年"&amp;AG$5&lt;&gt;'9.项目开发计划表'!$AG$68,1,(AC$4+1)&amp;"年"&amp;AG$5)</f>
        <v>1</v>
      </c>
      <c r="AH323" s="312">
        <f>IF((AC$4+1)&amp;"年"&amp;AH$5&lt;&gt;'9.项目开发计划表'!$AG$68,1,(AC$4+1)&amp;"年"&amp;AH$5)</f>
        <v>1</v>
      </c>
      <c r="AI323" s="312">
        <f>IF((AC$4+1)&amp;"年"&amp;AI$5&lt;&gt;'9.项目开发计划表'!$AG$68,1,(AC$4+1)&amp;"年"&amp;AI$5)</f>
        <v>1</v>
      </c>
      <c r="AJ323" s="313">
        <f>IF((AC$4+1)&amp;"年"&amp;AJ$5&lt;&gt;'9.项目开发计划表'!$AG$68,1,(AC$4+1)&amp;"年"&amp;AJ$5)</f>
        <v>1</v>
      </c>
      <c r="AK323" s="322">
        <f>IF((AG$4+1)&amp;"年"&amp;AK$5&lt;&gt;'9.项目开发计划表'!$AG$68,1,(AG$4+1)&amp;"年"&amp;AK$5)</f>
        <v>1</v>
      </c>
      <c r="AL323" s="312">
        <f>IF((AG$4+1)&amp;"年"&amp;AL$5&lt;&gt;'9.项目开发计划表'!$AG$68,1,(AG$4+1)&amp;"年"&amp;AL$5)</f>
        <v>1</v>
      </c>
      <c r="AM323" s="312">
        <f>IF((AG$4+1)&amp;"年"&amp;AM$5&lt;&gt;'9.项目开发计划表'!$AG$68,1,(AG$4+1)&amp;"年"&amp;AM$5)</f>
        <v>1</v>
      </c>
      <c r="AN323" s="313">
        <f>IF((AG$4+1)&amp;"年"&amp;AN$5&lt;&gt;'9.项目开发计划表'!$AG$68,1,(AG$4+1)&amp;"年"&amp;AN$5)</f>
        <v>1</v>
      </c>
      <c r="AO323" s="322">
        <f>IF((AK$4+1)&amp;"年"&amp;AO$5&lt;&gt;'9.项目开发计划表'!$AG$68,1,(AK$4+1)&amp;"年"&amp;AO$5)</f>
        <v>1</v>
      </c>
      <c r="AP323" s="312">
        <f>IF((AK$4+1)&amp;"年"&amp;AP$5&lt;&gt;'9.项目开发计划表'!$AG$68,1,(AK$4+1)&amp;"年"&amp;AP$5)</f>
        <v>1</v>
      </c>
      <c r="AQ323" s="312">
        <f>IF((AK$4+1)&amp;"年"&amp;AQ$5&lt;&gt;'9.项目开发计划表'!$AG$68,1,(AK$4+1)&amp;"年"&amp;AQ$5)</f>
        <v>1</v>
      </c>
      <c r="AR323" s="313">
        <f>IF((AK$4+1)&amp;"年"&amp;AR$5&lt;&gt;'9.项目开发计划表'!$AG$68,1,(AK$4+1)&amp;"年"&amp;AR$5)</f>
        <v>1</v>
      </c>
      <c r="AS323" s="322">
        <f>IF((AO$4+1)&amp;"年"&amp;AS$5&lt;&gt;'9.项目开发计划表'!$AG$68,1,(AO$4+1)&amp;"年"&amp;AS$5)</f>
        <v>1</v>
      </c>
      <c r="AT323" s="312">
        <f>IF((AO$4+1)&amp;"年"&amp;AT$5&lt;&gt;'9.项目开发计划表'!$AG$68,1,(AO$4+1)&amp;"年"&amp;AT$5)</f>
        <v>1</v>
      </c>
      <c r="AU323" s="312">
        <f>IF((AO$4+1)&amp;"年"&amp;AU$5&lt;&gt;'9.项目开发计划表'!$AG$68,1,(AO$4+1)&amp;"年"&amp;AU$5)</f>
        <v>1</v>
      </c>
      <c r="AV323" s="313">
        <f>IF((AO$4+1)&amp;"年"&amp;AV$5&lt;&gt;'9.项目开发计划表'!$AG$68,1,(AO$4+1)&amp;"年"&amp;AV$5)</f>
        <v>1</v>
      </c>
    </row>
    <row r="324" spans="2:48" outlineLevel="1">
      <c r="C324" s="1980"/>
      <c r="D324" s="1982"/>
      <c r="E324" s="280">
        <f t="shared" ref="E324:AV324" si="114">IF(E323=1,0,1)</f>
        <v>0</v>
      </c>
      <c r="F324" s="281">
        <f t="shared" si="114"/>
        <v>0</v>
      </c>
      <c r="G324" s="281">
        <f t="shared" si="114"/>
        <v>0</v>
      </c>
      <c r="H324" s="282">
        <f t="shared" si="114"/>
        <v>0</v>
      </c>
      <c r="I324" s="323">
        <f t="shared" si="114"/>
        <v>0</v>
      </c>
      <c r="J324" s="281">
        <f t="shared" si="114"/>
        <v>0</v>
      </c>
      <c r="K324" s="281">
        <f t="shared" si="114"/>
        <v>0</v>
      </c>
      <c r="L324" s="282">
        <f t="shared" si="114"/>
        <v>0</v>
      </c>
      <c r="M324" s="323">
        <f t="shared" si="114"/>
        <v>0</v>
      </c>
      <c r="N324" s="281">
        <f t="shared" si="114"/>
        <v>0</v>
      </c>
      <c r="O324" s="281">
        <f t="shared" si="114"/>
        <v>0</v>
      </c>
      <c r="P324" s="282">
        <f t="shared" si="114"/>
        <v>0</v>
      </c>
      <c r="Q324" s="323">
        <f t="shared" si="114"/>
        <v>0</v>
      </c>
      <c r="R324" s="281">
        <f t="shared" si="114"/>
        <v>0</v>
      </c>
      <c r="S324" s="281">
        <f t="shared" si="114"/>
        <v>0</v>
      </c>
      <c r="T324" s="282">
        <f t="shared" si="114"/>
        <v>0</v>
      </c>
      <c r="U324" s="323">
        <f t="shared" si="114"/>
        <v>0</v>
      </c>
      <c r="V324" s="281">
        <f t="shared" si="114"/>
        <v>0</v>
      </c>
      <c r="W324" s="281">
        <f t="shared" si="114"/>
        <v>0</v>
      </c>
      <c r="X324" s="282">
        <f t="shared" si="114"/>
        <v>0</v>
      </c>
      <c r="Y324" s="323">
        <f t="shared" si="114"/>
        <v>0</v>
      </c>
      <c r="Z324" s="281">
        <f t="shared" si="114"/>
        <v>0</v>
      </c>
      <c r="AA324" s="281">
        <f t="shared" si="114"/>
        <v>0</v>
      </c>
      <c r="AB324" s="282">
        <f t="shared" si="114"/>
        <v>0</v>
      </c>
      <c r="AC324" s="323">
        <f t="shared" si="114"/>
        <v>0</v>
      </c>
      <c r="AD324" s="281">
        <f t="shared" si="114"/>
        <v>0</v>
      </c>
      <c r="AE324" s="281">
        <f t="shared" si="114"/>
        <v>0</v>
      </c>
      <c r="AF324" s="282">
        <f t="shared" si="114"/>
        <v>0</v>
      </c>
      <c r="AG324" s="323">
        <f t="shared" si="114"/>
        <v>0</v>
      </c>
      <c r="AH324" s="281">
        <f t="shared" si="114"/>
        <v>0</v>
      </c>
      <c r="AI324" s="281">
        <f t="shared" si="114"/>
        <v>0</v>
      </c>
      <c r="AJ324" s="282">
        <f t="shared" si="114"/>
        <v>0</v>
      </c>
      <c r="AK324" s="323">
        <f t="shared" si="114"/>
        <v>0</v>
      </c>
      <c r="AL324" s="281">
        <f t="shared" si="114"/>
        <v>0</v>
      </c>
      <c r="AM324" s="281">
        <f t="shared" si="114"/>
        <v>0</v>
      </c>
      <c r="AN324" s="282">
        <f t="shared" si="114"/>
        <v>0</v>
      </c>
      <c r="AO324" s="323">
        <f t="shared" si="114"/>
        <v>0</v>
      </c>
      <c r="AP324" s="281">
        <f t="shared" si="114"/>
        <v>0</v>
      </c>
      <c r="AQ324" s="281">
        <f t="shared" si="114"/>
        <v>0</v>
      </c>
      <c r="AR324" s="282">
        <f t="shared" si="114"/>
        <v>0</v>
      </c>
      <c r="AS324" s="323">
        <f t="shared" si="114"/>
        <v>0</v>
      </c>
      <c r="AT324" s="281">
        <f t="shared" si="114"/>
        <v>0</v>
      </c>
      <c r="AU324" s="281">
        <f t="shared" si="114"/>
        <v>0</v>
      </c>
      <c r="AV324" s="282">
        <f t="shared" si="114"/>
        <v>0</v>
      </c>
    </row>
    <row r="325" spans="2:48" s="256" customFormat="1" ht="15.75" customHeight="1" outlineLevel="1">
      <c r="B325" s="321"/>
      <c r="C325" s="1980" t="s">
        <v>24</v>
      </c>
      <c r="D325" s="1981" t="str">
        <f>'8.项目规划指标表'!$B$5</f>
        <v>高层</v>
      </c>
      <c r="E325" s="311">
        <f>IF($E$4&amp;"年"&amp;E$5&lt;&gt;'9.项目开发计划表'!$AG$70,1,$E$4&amp;"年"&amp;E$5)</f>
        <v>1</v>
      </c>
      <c r="F325" s="312">
        <f>IF($E$4&amp;"年"&amp;F$5&lt;&gt;'9.项目开发计划表'!$AG$70,1,$E$4&amp;"年"&amp;F$5)</f>
        <v>1</v>
      </c>
      <c r="G325" s="312">
        <f>IF($E$4&amp;"年"&amp;G$5&lt;&gt;'9.项目开发计划表'!$AG$70,1,$E$4&amp;"年"&amp;G$5)</f>
        <v>1</v>
      </c>
      <c r="H325" s="313">
        <f>IF($E$4&amp;"年"&amp;H$5&lt;&gt;'9.项目开发计划表'!$AG$70,1,$E$4&amp;"年"&amp;H$5)</f>
        <v>1</v>
      </c>
      <c r="I325" s="322">
        <f>IF((E$4+1)&amp;"年"&amp;I$5&lt;&gt;'9.项目开发计划表'!$AG$70,1,(E$4+1)&amp;"年"&amp;I$5)</f>
        <v>1</v>
      </c>
      <c r="J325" s="312">
        <f>IF((E$4+1)&amp;"年"&amp;J$5&lt;&gt;'9.项目开发计划表'!$AG$70,1,(E$4+1)&amp;"年"&amp;J$5)</f>
        <v>1</v>
      </c>
      <c r="K325" s="312">
        <f>IF((E$4+1)&amp;"年"&amp;K$5&lt;&gt;'9.项目开发计划表'!$AG$70,1,(E$4+1)&amp;"年"&amp;K$5)</f>
        <v>1</v>
      </c>
      <c r="L325" s="313">
        <f>IF((E$4+1)&amp;"年"&amp;L$5&lt;&gt;'9.项目开发计划表'!$AG$70,1,(E$4+1)&amp;"年"&amp;L$5)</f>
        <v>1</v>
      </c>
      <c r="M325" s="322">
        <f>IF((I$4+1)&amp;"年"&amp;M$5&lt;&gt;'9.项目开发计划表'!$AG$70,1,(I$4+1)&amp;"年"&amp;M$5)</f>
        <v>1</v>
      </c>
      <c r="N325" s="312">
        <f>IF((I$4+1)&amp;"年"&amp;N$5&lt;&gt;'9.项目开发计划表'!$AG$70,1,(I$4+1)&amp;"年"&amp;N$5)</f>
        <v>1</v>
      </c>
      <c r="O325" s="312">
        <f>IF((I$4+1)&amp;"年"&amp;O$5&lt;&gt;'9.项目开发计划表'!$AG$70,1,(I$4+1)&amp;"年"&amp;O$5)</f>
        <v>1</v>
      </c>
      <c r="P325" s="313">
        <f>IF((I$4+1)&amp;"年"&amp;P$5&lt;&gt;'9.项目开发计划表'!$AG$70,1,(I$4+1)&amp;"年"&amp;P$5)</f>
        <v>1</v>
      </c>
      <c r="Q325" s="322">
        <f>IF((M$4+1)&amp;"年"&amp;Q$5&lt;&gt;'9.项目开发计划表'!$AG$70,1,(M$4+1)&amp;"年"&amp;Q$5)</f>
        <v>1</v>
      </c>
      <c r="R325" s="312">
        <f>IF((M$4+1)&amp;"年"&amp;R$5&lt;&gt;'9.项目开发计划表'!$AG$70,1,(M$4+1)&amp;"年"&amp;R$5)</f>
        <v>1</v>
      </c>
      <c r="S325" s="312">
        <f>IF((M$4+1)&amp;"年"&amp;S$5&lt;&gt;'9.项目开发计划表'!$AG$70,1,(M$4+1)&amp;"年"&amp;S$5)</f>
        <v>1</v>
      </c>
      <c r="T325" s="313">
        <f>IF((M$4+1)&amp;"年"&amp;T$5&lt;&gt;'9.项目开发计划表'!$AG$70,1,(M$4+1)&amp;"年"&amp;T$5)</f>
        <v>1</v>
      </c>
      <c r="U325" s="322">
        <f>IF((Q$4+1)&amp;"年"&amp;U$5&lt;&gt;'9.项目开发计划表'!$AG$70,1,(Q$4+1)&amp;"年"&amp;U$5)</f>
        <v>1</v>
      </c>
      <c r="V325" s="312">
        <f>IF((Q$4+1)&amp;"年"&amp;V$5&lt;&gt;'9.项目开发计划表'!$AG$70,1,(Q$4+1)&amp;"年"&amp;V$5)</f>
        <v>1</v>
      </c>
      <c r="W325" s="312">
        <f>IF((Q$4+1)&amp;"年"&amp;W$5&lt;&gt;'9.项目开发计划表'!$AG$70,1,(Q$4+1)&amp;"年"&amp;W$5)</f>
        <v>1</v>
      </c>
      <c r="X325" s="313">
        <f>IF((Q$4+1)&amp;"年"&amp;X$5&lt;&gt;'9.项目开发计划表'!$AG$70,1,(Q$4+1)&amp;"年"&amp;X$5)</f>
        <v>1</v>
      </c>
      <c r="Y325" s="322">
        <f>IF((U$4+1)&amp;"年"&amp;Y$5&lt;&gt;'9.项目开发计划表'!$AG$70,1,(U$4+1)&amp;"年"&amp;Y$5)</f>
        <v>1</v>
      </c>
      <c r="Z325" s="312">
        <f>IF((U$4+1)&amp;"年"&amp;Z$5&lt;&gt;'9.项目开发计划表'!$AG$70,1,(U$4+1)&amp;"年"&amp;Z$5)</f>
        <v>1</v>
      </c>
      <c r="AA325" s="312">
        <f>IF((U$4+1)&amp;"年"&amp;AA$5&lt;&gt;'9.项目开发计划表'!$AG$70,1,(U$4+1)&amp;"年"&amp;AA$5)</f>
        <v>1</v>
      </c>
      <c r="AB325" s="313">
        <f>IF((U$4+1)&amp;"年"&amp;AB$5&lt;&gt;'9.项目开发计划表'!$AG$70,1,(U$4+1)&amp;"年"&amp;AB$5)</f>
        <v>1</v>
      </c>
      <c r="AC325" s="322">
        <f>IF((Y$4+1)&amp;"年"&amp;AC$5&lt;&gt;'9.项目开发计划表'!$AG$70,1,(Y$4+1)&amp;"年"&amp;AC$5)</f>
        <v>1</v>
      </c>
      <c r="AD325" s="312">
        <f>IF((Y$4+1)&amp;"年"&amp;AD$5&lt;&gt;'9.项目开发计划表'!$AG$70,1,(Y$4+1)&amp;"年"&amp;AD$5)</f>
        <v>1</v>
      </c>
      <c r="AE325" s="312">
        <f>IF((Y$4+1)&amp;"年"&amp;AE$5&lt;&gt;'9.项目开发计划表'!$AG$70,1,(Y$4+1)&amp;"年"&amp;AE$5)</f>
        <v>1</v>
      </c>
      <c r="AF325" s="313">
        <f>IF((Y$4+1)&amp;"年"&amp;AF$5&lt;&gt;'9.项目开发计划表'!$AG$70,1,(Y$4+1)&amp;"年"&amp;AF$5)</f>
        <v>1</v>
      </c>
      <c r="AG325" s="322">
        <f>IF((AC$4+1)&amp;"年"&amp;AG$5&lt;&gt;'9.项目开发计划表'!$AG$70,1,(AC$4+1)&amp;"年"&amp;AG$5)</f>
        <v>1</v>
      </c>
      <c r="AH325" s="312">
        <f>IF((AC$4+1)&amp;"年"&amp;AH$5&lt;&gt;'9.项目开发计划表'!$AG$70,1,(AC$4+1)&amp;"年"&amp;AH$5)</f>
        <v>1</v>
      </c>
      <c r="AI325" s="312">
        <f>IF((AC$4+1)&amp;"年"&amp;AI$5&lt;&gt;'9.项目开发计划表'!$AG$70,1,(AC$4+1)&amp;"年"&amp;AI$5)</f>
        <v>1</v>
      </c>
      <c r="AJ325" s="313">
        <f>IF((AC$4+1)&amp;"年"&amp;AJ$5&lt;&gt;'9.项目开发计划表'!$AG$70,1,(AC$4+1)&amp;"年"&amp;AJ$5)</f>
        <v>1</v>
      </c>
      <c r="AK325" s="322">
        <f>IF((AG$4+1)&amp;"年"&amp;AK$5&lt;&gt;'9.项目开发计划表'!$AG$70,1,(AG$4+1)&amp;"年"&amp;AK$5)</f>
        <v>1</v>
      </c>
      <c r="AL325" s="312">
        <f>IF((AG$4+1)&amp;"年"&amp;AL$5&lt;&gt;'9.项目开发计划表'!$AG$70,1,(AG$4+1)&amp;"年"&amp;AL$5)</f>
        <v>1</v>
      </c>
      <c r="AM325" s="312">
        <f>IF((AG$4+1)&amp;"年"&amp;AM$5&lt;&gt;'9.项目开发计划表'!$AG$70,1,(AG$4+1)&amp;"年"&amp;AM$5)</f>
        <v>1</v>
      </c>
      <c r="AN325" s="313">
        <f>IF((AG$4+1)&amp;"年"&amp;AN$5&lt;&gt;'9.项目开发计划表'!$AG$70,1,(AG$4+1)&amp;"年"&amp;AN$5)</f>
        <v>1</v>
      </c>
      <c r="AO325" s="322">
        <f>IF((AK$4+1)&amp;"年"&amp;AO$5&lt;&gt;'9.项目开发计划表'!$AG$70,1,(AK$4+1)&amp;"年"&amp;AO$5)</f>
        <v>1</v>
      </c>
      <c r="AP325" s="312">
        <f>IF((AK$4+1)&amp;"年"&amp;AP$5&lt;&gt;'9.项目开发计划表'!$AG$70,1,(AK$4+1)&amp;"年"&amp;AP$5)</f>
        <v>1</v>
      </c>
      <c r="AQ325" s="312">
        <f>IF((AK$4+1)&amp;"年"&amp;AQ$5&lt;&gt;'9.项目开发计划表'!$AG$70,1,(AK$4+1)&amp;"年"&amp;AQ$5)</f>
        <v>1</v>
      </c>
      <c r="AR325" s="313">
        <f>IF((AK$4+1)&amp;"年"&amp;AR$5&lt;&gt;'9.项目开发计划表'!$AG$70,1,(AK$4+1)&amp;"年"&amp;AR$5)</f>
        <v>1</v>
      </c>
      <c r="AS325" s="322">
        <f>IF((AO$4+1)&amp;"年"&amp;AS$5&lt;&gt;'9.项目开发计划表'!$AG$70,1,(AO$4+1)&amp;"年"&amp;AS$5)</f>
        <v>1</v>
      </c>
      <c r="AT325" s="312">
        <f>IF((AO$4+1)&amp;"年"&amp;AT$5&lt;&gt;'9.项目开发计划表'!$AG$70,1,(AO$4+1)&amp;"年"&amp;AT$5)</f>
        <v>1</v>
      </c>
      <c r="AU325" s="312">
        <f>IF((AO$4+1)&amp;"年"&amp;AU$5&lt;&gt;'9.项目开发计划表'!$AG$70,1,(AO$4+1)&amp;"年"&amp;AU$5)</f>
        <v>1</v>
      </c>
      <c r="AV325" s="313">
        <f>IF((AO$4+1)&amp;"年"&amp;AV$5&lt;&gt;'9.项目开发计划表'!$AG$70,1,(AO$4+1)&amp;"年"&amp;AV$5)</f>
        <v>1</v>
      </c>
    </row>
    <row r="326" spans="2:48" s="256" customFormat="1" ht="15.75" customHeight="1" outlineLevel="1">
      <c r="B326" s="321"/>
      <c r="C326" s="1980"/>
      <c r="D326" s="1982"/>
      <c r="E326" s="280">
        <f t="shared" ref="E326:AV326" si="115">IF(E325=1,0,1)</f>
        <v>0</v>
      </c>
      <c r="F326" s="281">
        <f t="shared" si="115"/>
        <v>0</v>
      </c>
      <c r="G326" s="281">
        <f t="shared" si="115"/>
        <v>0</v>
      </c>
      <c r="H326" s="282">
        <f t="shared" si="115"/>
        <v>0</v>
      </c>
      <c r="I326" s="323">
        <f t="shared" si="115"/>
        <v>0</v>
      </c>
      <c r="J326" s="281">
        <f t="shared" si="115"/>
        <v>0</v>
      </c>
      <c r="K326" s="281">
        <f t="shared" si="115"/>
        <v>0</v>
      </c>
      <c r="L326" s="282">
        <f t="shared" si="115"/>
        <v>0</v>
      </c>
      <c r="M326" s="323">
        <f t="shared" si="115"/>
        <v>0</v>
      </c>
      <c r="N326" s="281">
        <f t="shared" si="115"/>
        <v>0</v>
      </c>
      <c r="O326" s="281">
        <f t="shared" si="115"/>
        <v>0</v>
      </c>
      <c r="P326" s="282">
        <f t="shared" si="115"/>
        <v>0</v>
      </c>
      <c r="Q326" s="323">
        <f t="shared" si="115"/>
        <v>0</v>
      </c>
      <c r="R326" s="281">
        <f t="shared" si="115"/>
        <v>0</v>
      </c>
      <c r="S326" s="281">
        <f t="shared" si="115"/>
        <v>0</v>
      </c>
      <c r="T326" s="282">
        <f t="shared" si="115"/>
        <v>0</v>
      </c>
      <c r="U326" s="323">
        <f t="shared" si="115"/>
        <v>0</v>
      </c>
      <c r="V326" s="281">
        <f t="shared" si="115"/>
        <v>0</v>
      </c>
      <c r="W326" s="281">
        <f t="shared" si="115"/>
        <v>0</v>
      </c>
      <c r="X326" s="282">
        <f t="shared" si="115"/>
        <v>0</v>
      </c>
      <c r="Y326" s="323">
        <f t="shared" si="115"/>
        <v>0</v>
      </c>
      <c r="Z326" s="281">
        <f t="shared" si="115"/>
        <v>0</v>
      </c>
      <c r="AA326" s="281">
        <f t="shared" si="115"/>
        <v>0</v>
      </c>
      <c r="AB326" s="282">
        <f t="shared" si="115"/>
        <v>0</v>
      </c>
      <c r="AC326" s="323">
        <f t="shared" si="115"/>
        <v>0</v>
      </c>
      <c r="AD326" s="281">
        <f t="shared" si="115"/>
        <v>0</v>
      </c>
      <c r="AE326" s="281">
        <f t="shared" si="115"/>
        <v>0</v>
      </c>
      <c r="AF326" s="282">
        <f t="shared" si="115"/>
        <v>0</v>
      </c>
      <c r="AG326" s="323">
        <f t="shared" si="115"/>
        <v>0</v>
      </c>
      <c r="AH326" s="281">
        <f t="shared" si="115"/>
        <v>0</v>
      </c>
      <c r="AI326" s="281">
        <f t="shared" si="115"/>
        <v>0</v>
      </c>
      <c r="AJ326" s="282">
        <f t="shared" si="115"/>
        <v>0</v>
      </c>
      <c r="AK326" s="323">
        <f t="shared" si="115"/>
        <v>0</v>
      </c>
      <c r="AL326" s="281">
        <f t="shared" si="115"/>
        <v>0</v>
      </c>
      <c r="AM326" s="281">
        <f t="shared" si="115"/>
        <v>0</v>
      </c>
      <c r="AN326" s="282">
        <f t="shared" si="115"/>
        <v>0</v>
      </c>
      <c r="AO326" s="323">
        <f t="shared" si="115"/>
        <v>0</v>
      </c>
      <c r="AP326" s="281">
        <f t="shared" si="115"/>
        <v>0</v>
      </c>
      <c r="AQ326" s="281">
        <f t="shared" si="115"/>
        <v>0</v>
      </c>
      <c r="AR326" s="282">
        <f t="shared" si="115"/>
        <v>0</v>
      </c>
      <c r="AS326" s="323">
        <f t="shared" si="115"/>
        <v>0</v>
      </c>
      <c r="AT326" s="281">
        <f t="shared" si="115"/>
        <v>0</v>
      </c>
      <c r="AU326" s="281">
        <f t="shared" si="115"/>
        <v>0</v>
      </c>
      <c r="AV326" s="282">
        <f t="shared" si="115"/>
        <v>0</v>
      </c>
    </row>
    <row r="327" spans="2:48" s="256" customFormat="1" ht="15.75" customHeight="1" outlineLevel="1">
      <c r="B327" s="321"/>
      <c r="C327" s="1980"/>
      <c r="D327" s="1981" t="str">
        <f>'8.项目规划指标表'!$B$6</f>
        <v>商铺</v>
      </c>
      <c r="E327" s="311">
        <f>IF($E$4&amp;"年"&amp;E$5&lt;&gt;'9.项目开发计划表'!$AG$71,1,$E$4&amp;"年"&amp;E$5)</f>
        <v>1</v>
      </c>
      <c r="F327" s="312">
        <f>IF($E$4&amp;"年"&amp;F$5&lt;&gt;'9.项目开发计划表'!$AG$71,1,$E$4&amp;"年"&amp;F$5)</f>
        <v>1</v>
      </c>
      <c r="G327" s="312">
        <f>IF($E$4&amp;"年"&amp;G$5&lt;&gt;'9.项目开发计划表'!$AG$71,1,$E$4&amp;"年"&amp;G$5)</f>
        <v>1</v>
      </c>
      <c r="H327" s="313">
        <f>IF($E$4&amp;"年"&amp;H$5&lt;&gt;'9.项目开发计划表'!$AG$71,1,$E$4&amp;"年"&amp;H$5)</f>
        <v>1</v>
      </c>
      <c r="I327" s="322">
        <f>IF((E$4+1)&amp;"年"&amp;I$5&lt;&gt;'9.项目开发计划表'!$AG$71,1,(E$4+1)&amp;"年"&amp;I$5)</f>
        <v>1</v>
      </c>
      <c r="J327" s="312">
        <f>IF((E$4+1)&amp;"年"&amp;J$5&lt;&gt;'9.项目开发计划表'!$AG$71,1,(E$4+1)&amp;"年"&amp;J$5)</f>
        <v>1</v>
      </c>
      <c r="K327" s="312">
        <f>IF((E$4+1)&amp;"年"&amp;K$5&lt;&gt;'9.项目开发计划表'!$AG$71,1,(E$4+1)&amp;"年"&amp;K$5)</f>
        <v>1</v>
      </c>
      <c r="L327" s="313">
        <f>IF((E$4+1)&amp;"年"&amp;L$5&lt;&gt;'9.项目开发计划表'!$AG$71,1,(E$4+1)&amp;"年"&amp;L$5)</f>
        <v>1</v>
      </c>
      <c r="M327" s="322">
        <f>IF((I$4+1)&amp;"年"&amp;M$5&lt;&gt;'9.项目开发计划表'!$AG$71,1,(I$4+1)&amp;"年"&amp;M$5)</f>
        <v>1</v>
      </c>
      <c r="N327" s="312">
        <f>IF((I$4+1)&amp;"年"&amp;N$5&lt;&gt;'9.项目开发计划表'!$AG$71,1,(I$4+1)&amp;"年"&amp;N$5)</f>
        <v>1</v>
      </c>
      <c r="O327" s="312">
        <f>IF((I$4+1)&amp;"年"&amp;O$5&lt;&gt;'9.项目开发计划表'!$AG$71,1,(I$4+1)&amp;"年"&amp;O$5)</f>
        <v>1</v>
      </c>
      <c r="P327" s="313">
        <f>IF((I$4+1)&amp;"年"&amp;P$5&lt;&gt;'9.项目开发计划表'!$AG$71,1,(I$4+1)&amp;"年"&amp;P$5)</f>
        <v>1</v>
      </c>
      <c r="Q327" s="322">
        <f>IF((M$4+1)&amp;"年"&amp;Q$5&lt;&gt;'9.项目开发计划表'!$AG$71,1,(M$4+1)&amp;"年"&amp;Q$5)</f>
        <v>1</v>
      </c>
      <c r="R327" s="312">
        <f>IF((M$4+1)&amp;"年"&amp;R$5&lt;&gt;'9.项目开发计划表'!$AG$71,1,(M$4+1)&amp;"年"&amp;R$5)</f>
        <v>1</v>
      </c>
      <c r="S327" s="312">
        <f>IF((M$4+1)&amp;"年"&amp;S$5&lt;&gt;'9.项目开发计划表'!$AG$71,1,(M$4+1)&amp;"年"&amp;S$5)</f>
        <v>1</v>
      </c>
      <c r="T327" s="313">
        <f>IF((M$4+1)&amp;"年"&amp;T$5&lt;&gt;'9.项目开发计划表'!$AG$71,1,(M$4+1)&amp;"年"&amp;T$5)</f>
        <v>1</v>
      </c>
      <c r="U327" s="322">
        <f>IF((Q$4+1)&amp;"年"&amp;U$5&lt;&gt;'9.项目开发计划表'!$AG$71,1,(Q$4+1)&amp;"年"&amp;U$5)</f>
        <v>1</v>
      </c>
      <c r="V327" s="312">
        <f>IF((Q$4+1)&amp;"年"&amp;V$5&lt;&gt;'9.项目开发计划表'!$AG$71,1,(Q$4+1)&amp;"年"&amp;V$5)</f>
        <v>1</v>
      </c>
      <c r="W327" s="312">
        <f>IF((Q$4+1)&amp;"年"&amp;W$5&lt;&gt;'9.项目开发计划表'!$AG$71,1,(Q$4+1)&amp;"年"&amp;W$5)</f>
        <v>1</v>
      </c>
      <c r="X327" s="313">
        <f>IF((Q$4+1)&amp;"年"&amp;X$5&lt;&gt;'9.项目开发计划表'!$AG$71,1,(Q$4+1)&amp;"年"&amp;X$5)</f>
        <v>1</v>
      </c>
      <c r="Y327" s="322">
        <f>IF((U$4+1)&amp;"年"&amp;Y$5&lt;&gt;'9.项目开发计划表'!$AG$71,1,(U$4+1)&amp;"年"&amp;Y$5)</f>
        <v>1</v>
      </c>
      <c r="Z327" s="312">
        <f>IF((U$4+1)&amp;"年"&amp;Z$5&lt;&gt;'9.项目开发计划表'!$AG$71,1,(U$4+1)&amp;"年"&amp;Z$5)</f>
        <v>1</v>
      </c>
      <c r="AA327" s="312">
        <f>IF((U$4+1)&amp;"年"&amp;AA$5&lt;&gt;'9.项目开发计划表'!$AG$71,1,(U$4+1)&amp;"年"&amp;AA$5)</f>
        <v>1</v>
      </c>
      <c r="AB327" s="313">
        <f>IF((U$4+1)&amp;"年"&amp;AB$5&lt;&gt;'9.项目开发计划表'!$AG$71,1,(U$4+1)&amp;"年"&amp;AB$5)</f>
        <v>1</v>
      </c>
      <c r="AC327" s="322">
        <f>IF((Y$4+1)&amp;"年"&amp;AC$5&lt;&gt;'9.项目开发计划表'!$AG$71,1,(Y$4+1)&amp;"年"&amp;AC$5)</f>
        <v>1</v>
      </c>
      <c r="AD327" s="312">
        <f>IF((Y$4+1)&amp;"年"&amp;AD$5&lt;&gt;'9.项目开发计划表'!$AG$71,1,(Y$4+1)&amp;"年"&amp;AD$5)</f>
        <v>1</v>
      </c>
      <c r="AE327" s="312">
        <f>IF((Y$4+1)&amp;"年"&amp;AE$5&lt;&gt;'9.项目开发计划表'!$AG$71,1,(Y$4+1)&amp;"年"&amp;AE$5)</f>
        <v>1</v>
      </c>
      <c r="AF327" s="313">
        <f>IF((Y$4+1)&amp;"年"&amp;AF$5&lt;&gt;'9.项目开发计划表'!$AG$71,1,(Y$4+1)&amp;"年"&amp;AF$5)</f>
        <v>1</v>
      </c>
      <c r="AG327" s="322">
        <f>IF((AC$4+1)&amp;"年"&amp;AG$5&lt;&gt;'9.项目开发计划表'!$AG$71,1,(AC$4+1)&amp;"年"&amp;AG$5)</f>
        <v>1</v>
      </c>
      <c r="AH327" s="312">
        <f>IF((AC$4+1)&amp;"年"&amp;AH$5&lt;&gt;'9.项目开发计划表'!$AG$71,1,(AC$4+1)&amp;"年"&amp;AH$5)</f>
        <v>1</v>
      </c>
      <c r="AI327" s="312">
        <f>IF((AC$4+1)&amp;"年"&amp;AI$5&lt;&gt;'9.项目开发计划表'!$AG$71,1,(AC$4+1)&amp;"年"&amp;AI$5)</f>
        <v>1</v>
      </c>
      <c r="AJ327" s="313">
        <f>IF((AC$4+1)&amp;"年"&amp;AJ$5&lt;&gt;'9.项目开发计划表'!$AG$71,1,(AC$4+1)&amp;"年"&amp;AJ$5)</f>
        <v>1</v>
      </c>
      <c r="AK327" s="322">
        <f>IF((AG$4+1)&amp;"年"&amp;AK$5&lt;&gt;'9.项目开发计划表'!$AG$71,1,(AG$4+1)&amp;"年"&amp;AK$5)</f>
        <v>1</v>
      </c>
      <c r="AL327" s="312">
        <f>IF((AG$4+1)&amp;"年"&amp;AL$5&lt;&gt;'9.项目开发计划表'!$AG$71,1,(AG$4+1)&amp;"年"&amp;AL$5)</f>
        <v>1</v>
      </c>
      <c r="AM327" s="312">
        <f>IF((AG$4+1)&amp;"年"&amp;AM$5&lt;&gt;'9.项目开发计划表'!$AG$71,1,(AG$4+1)&amp;"年"&amp;AM$5)</f>
        <v>1</v>
      </c>
      <c r="AN327" s="313">
        <f>IF((AG$4+1)&amp;"年"&amp;AN$5&lt;&gt;'9.项目开发计划表'!$AG$71,1,(AG$4+1)&amp;"年"&amp;AN$5)</f>
        <v>1</v>
      </c>
      <c r="AO327" s="322">
        <f>IF((AK$4+1)&amp;"年"&amp;AO$5&lt;&gt;'9.项目开发计划表'!$AG$71,1,(AK$4+1)&amp;"年"&amp;AO$5)</f>
        <v>1</v>
      </c>
      <c r="AP327" s="312">
        <f>IF((AK$4+1)&amp;"年"&amp;AP$5&lt;&gt;'9.项目开发计划表'!$AG$71,1,(AK$4+1)&amp;"年"&amp;AP$5)</f>
        <v>1</v>
      </c>
      <c r="AQ327" s="312">
        <f>IF((AK$4+1)&amp;"年"&amp;AQ$5&lt;&gt;'9.项目开发计划表'!$AG$71,1,(AK$4+1)&amp;"年"&amp;AQ$5)</f>
        <v>1</v>
      </c>
      <c r="AR327" s="313">
        <f>IF((AK$4+1)&amp;"年"&amp;AR$5&lt;&gt;'9.项目开发计划表'!$AG$71,1,(AK$4+1)&amp;"年"&amp;AR$5)</f>
        <v>1</v>
      </c>
      <c r="AS327" s="322">
        <f>IF((AO$4+1)&amp;"年"&amp;AS$5&lt;&gt;'9.项目开发计划表'!$AG$71,1,(AO$4+1)&amp;"年"&amp;AS$5)</f>
        <v>1</v>
      </c>
      <c r="AT327" s="312">
        <f>IF((AO$4+1)&amp;"年"&amp;AT$5&lt;&gt;'9.项目开发计划表'!$AG$71,1,(AO$4+1)&amp;"年"&amp;AT$5)</f>
        <v>1</v>
      </c>
      <c r="AU327" s="312">
        <f>IF((AO$4+1)&amp;"年"&amp;AU$5&lt;&gt;'9.项目开发计划表'!$AG$71,1,(AO$4+1)&amp;"年"&amp;AU$5)</f>
        <v>1</v>
      </c>
      <c r="AV327" s="313">
        <f>IF((AO$4+1)&amp;"年"&amp;AV$5&lt;&gt;'9.项目开发计划表'!$AG$71,1,(AO$4+1)&amp;"年"&amp;AV$5)</f>
        <v>1</v>
      </c>
    </row>
    <row r="328" spans="2:48" s="256" customFormat="1" ht="15.75" customHeight="1" outlineLevel="1">
      <c r="B328" s="321"/>
      <c r="C328" s="1980"/>
      <c r="D328" s="1982"/>
      <c r="E328" s="280">
        <f t="shared" ref="E328:AV328" si="116">IF(E327=1,0,1)</f>
        <v>0</v>
      </c>
      <c r="F328" s="281">
        <f t="shared" si="116"/>
        <v>0</v>
      </c>
      <c r="G328" s="281">
        <f t="shared" si="116"/>
        <v>0</v>
      </c>
      <c r="H328" s="282">
        <f t="shared" si="116"/>
        <v>0</v>
      </c>
      <c r="I328" s="323">
        <f t="shared" si="116"/>
        <v>0</v>
      </c>
      <c r="J328" s="281">
        <f t="shared" si="116"/>
        <v>0</v>
      </c>
      <c r="K328" s="281">
        <f t="shared" si="116"/>
        <v>0</v>
      </c>
      <c r="L328" s="282">
        <f t="shared" si="116"/>
        <v>0</v>
      </c>
      <c r="M328" s="323">
        <f t="shared" si="116"/>
        <v>0</v>
      </c>
      <c r="N328" s="281">
        <f t="shared" si="116"/>
        <v>0</v>
      </c>
      <c r="O328" s="281">
        <f t="shared" si="116"/>
        <v>0</v>
      </c>
      <c r="P328" s="282">
        <f t="shared" si="116"/>
        <v>0</v>
      </c>
      <c r="Q328" s="323">
        <f t="shared" si="116"/>
        <v>0</v>
      </c>
      <c r="R328" s="281">
        <f t="shared" si="116"/>
        <v>0</v>
      </c>
      <c r="S328" s="281">
        <f t="shared" si="116"/>
        <v>0</v>
      </c>
      <c r="T328" s="282">
        <f t="shared" si="116"/>
        <v>0</v>
      </c>
      <c r="U328" s="323">
        <f t="shared" si="116"/>
        <v>0</v>
      </c>
      <c r="V328" s="281">
        <f t="shared" si="116"/>
        <v>0</v>
      </c>
      <c r="W328" s="281">
        <f t="shared" si="116"/>
        <v>0</v>
      </c>
      <c r="X328" s="282">
        <f t="shared" si="116"/>
        <v>0</v>
      </c>
      <c r="Y328" s="323">
        <f t="shared" si="116"/>
        <v>0</v>
      </c>
      <c r="Z328" s="281">
        <f t="shared" si="116"/>
        <v>0</v>
      </c>
      <c r="AA328" s="281">
        <f t="shared" si="116"/>
        <v>0</v>
      </c>
      <c r="AB328" s="282">
        <f t="shared" si="116"/>
        <v>0</v>
      </c>
      <c r="AC328" s="323">
        <f t="shared" si="116"/>
        <v>0</v>
      </c>
      <c r="AD328" s="281">
        <f t="shared" si="116"/>
        <v>0</v>
      </c>
      <c r="AE328" s="281">
        <f t="shared" si="116"/>
        <v>0</v>
      </c>
      <c r="AF328" s="282">
        <f t="shared" si="116"/>
        <v>0</v>
      </c>
      <c r="AG328" s="323">
        <f t="shared" si="116"/>
        <v>0</v>
      </c>
      <c r="AH328" s="281">
        <f t="shared" si="116"/>
        <v>0</v>
      </c>
      <c r="AI328" s="281">
        <f t="shared" si="116"/>
        <v>0</v>
      </c>
      <c r="AJ328" s="282">
        <f t="shared" si="116"/>
        <v>0</v>
      </c>
      <c r="AK328" s="323">
        <f t="shared" si="116"/>
        <v>0</v>
      </c>
      <c r="AL328" s="281">
        <f t="shared" si="116"/>
        <v>0</v>
      </c>
      <c r="AM328" s="281">
        <f t="shared" si="116"/>
        <v>0</v>
      </c>
      <c r="AN328" s="282">
        <f t="shared" si="116"/>
        <v>0</v>
      </c>
      <c r="AO328" s="323">
        <f t="shared" si="116"/>
        <v>0</v>
      </c>
      <c r="AP328" s="281">
        <f t="shared" si="116"/>
        <v>0</v>
      </c>
      <c r="AQ328" s="281">
        <f t="shared" si="116"/>
        <v>0</v>
      </c>
      <c r="AR328" s="282">
        <f t="shared" si="116"/>
        <v>0</v>
      </c>
      <c r="AS328" s="323">
        <f t="shared" si="116"/>
        <v>0</v>
      </c>
      <c r="AT328" s="281">
        <f t="shared" si="116"/>
        <v>0</v>
      </c>
      <c r="AU328" s="281">
        <f t="shared" si="116"/>
        <v>0</v>
      </c>
      <c r="AV328" s="282">
        <f t="shared" si="116"/>
        <v>0</v>
      </c>
    </row>
    <row r="329" spans="2:48" s="256" customFormat="1" ht="15.75" customHeight="1" outlineLevel="1">
      <c r="B329" s="321"/>
      <c r="C329" s="1980"/>
      <c r="D329" s="1981" t="str">
        <f>'8.项目规划指标表'!$B$7</f>
        <v>回迁商业</v>
      </c>
      <c r="E329" s="311">
        <f>IF($E$4&amp;"年"&amp;E$5&lt;&gt;'9.项目开发计划表'!$AG$72,1,$E$4&amp;"年"&amp;E$5)</f>
        <v>1</v>
      </c>
      <c r="F329" s="312">
        <f>IF($E$4&amp;"年"&amp;F$5&lt;&gt;'9.项目开发计划表'!$AG$72,1,$E$4&amp;"年"&amp;F$5)</f>
        <v>1</v>
      </c>
      <c r="G329" s="312">
        <f>IF($E$4&amp;"年"&amp;G$5&lt;&gt;'9.项目开发计划表'!$AG$72,1,$E$4&amp;"年"&amp;G$5)</f>
        <v>1</v>
      </c>
      <c r="H329" s="313">
        <f>IF($E$4&amp;"年"&amp;H$5&lt;&gt;'9.项目开发计划表'!$AG$72,1,$E$4&amp;"年"&amp;H$5)</f>
        <v>1</v>
      </c>
      <c r="I329" s="322">
        <f>IF((E$4+1)&amp;"年"&amp;I$5&lt;&gt;'9.项目开发计划表'!$AG$72,1,(E$4+1)&amp;"年"&amp;I$5)</f>
        <v>1</v>
      </c>
      <c r="J329" s="312">
        <f>IF((E$4+1)&amp;"年"&amp;J$5&lt;&gt;'9.项目开发计划表'!$AG$72,1,(E$4+1)&amp;"年"&amp;J$5)</f>
        <v>1</v>
      </c>
      <c r="K329" s="312">
        <f>IF((E$4+1)&amp;"年"&amp;K$5&lt;&gt;'9.项目开发计划表'!$AG$72,1,(E$4+1)&amp;"年"&amp;K$5)</f>
        <v>1</v>
      </c>
      <c r="L329" s="313">
        <f>IF((E$4+1)&amp;"年"&amp;L$5&lt;&gt;'9.项目开发计划表'!$AG$72,1,(E$4+1)&amp;"年"&amp;L$5)</f>
        <v>1</v>
      </c>
      <c r="M329" s="322">
        <f>IF((I$4+1)&amp;"年"&amp;M$5&lt;&gt;'9.项目开发计划表'!$AG$72,1,(I$4+1)&amp;"年"&amp;M$5)</f>
        <v>1</v>
      </c>
      <c r="N329" s="312">
        <f>IF((I$4+1)&amp;"年"&amp;N$5&lt;&gt;'9.项目开发计划表'!$AG$72,1,(I$4+1)&amp;"年"&amp;N$5)</f>
        <v>1</v>
      </c>
      <c r="O329" s="312">
        <f>IF((I$4+1)&amp;"年"&amp;O$5&lt;&gt;'9.项目开发计划表'!$AG$72,1,(I$4+1)&amp;"年"&amp;O$5)</f>
        <v>1</v>
      </c>
      <c r="P329" s="313">
        <f>IF((I$4+1)&amp;"年"&amp;P$5&lt;&gt;'9.项目开发计划表'!$AG$72,1,(I$4+1)&amp;"年"&amp;P$5)</f>
        <v>1</v>
      </c>
      <c r="Q329" s="322">
        <f>IF((M$4+1)&amp;"年"&amp;Q$5&lt;&gt;'9.项目开发计划表'!$AG$72,1,(M$4+1)&amp;"年"&amp;Q$5)</f>
        <v>1</v>
      </c>
      <c r="R329" s="312">
        <f>IF((M$4+1)&amp;"年"&amp;R$5&lt;&gt;'9.项目开发计划表'!$AG$72,1,(M$4+1)&amp;"年"&amp;R$5)</f>
        <v>1</v>
      </c>
      <c r="S329" s="312">
        <f>IF((M$4+1)&amp;"年"&amp;S$5&lt;&gt;'9.项目开发计划表'!$AG$72,1,(M$4+1)&amp;"年"&amp;S$5)</f>
        <v>1</v>
      </c>
      <c r="T329" s="313">
        <f>IF((M$4+1)&amp;"年"&amp;T$5&lt;&gt;'9.项目开发计划表'!$AG$72,1,(M$4+1)&amp;"年"&amp;T$5)</f>
        <v>1</v>
      </c>
      <c r="U329" s="322">
        <f>IF((Q$4+1)&amp;"年"&amp;U$5&lt;&gt;'9.项目开发计划表'!$AG$72,1,(Q$4+1)&amp;"年"&amp;U$5)</f>
        <v>1</v>
      </c>
      <c r="V329" s="312">
        <f>IF((Q$4+1)&amp;"年"&amp;V$5&lt;&gt;'9.项目开发计划表'!$AG$72,1,(Q$4+1)&amp;"年"&amp;V$5)</f>
        <v>1</v>
      </c>
      <c r="W329" s="312">
        <f>IF((Q$4+1)&amp;"年"&amp;W$5&lt;&gt;'9.项目开发计划表'!$AG$72,1,(Q$4+1)&amp;"年"&amp;W$5)</f>
        <v>1</v>
      </c>
      <c r="X329" s="313">
        <f>IF((Q$4+1)&amp;"年"&amp;X$5&lt;&gt;'9.项目开发计划表'!$AG$72,1,(Q$4+1)&amp;"年"&amp;X$5)</f>
        <v>1</v>
      </c>
      <c r="Y329" s="322">
        <f>IF((U$4+1)&amp;"年"&amp;Y$5&lt;&gt;'9.项目开发计划表'!$AG$72,1,(U$4+1)&amp;"年"&amp;Y$5)</f>
        <v>1</v>
      </c>
      <c r="Z329" s="312">
        <f>IF((U$4+1)&amp;"年"&amp;Z$5&lt;&gt;'9.项目开发计划表'!$AG$72,1,(U$4+1)&amp;"年"&amp;Z$5)</f>
        <v>1</v>
      </c>
      <c r="AA329" s="312">
        <f>IF((U$4+1)&amp;"年"&amp;AA$5&lt;&gt;'9.项目开发计划表'!$AG$72,1,(U$4+1)&amp;"年"&amp;AA$5)</f>
        <v>1</v>
      </c>
      <c r="AB329" s="313">
        <f>IF((U$4+1)&amp;"年"&amp;AB$5&lt;&gt;'9.项目开发计划表'!$AG$72,1,(U$4+1)&amp;"年"&amp;AB$5)</f>
        <v>1</v>
      </c>
      <c r="AC329" s="322">
        <f>IF((Y$4+1)&amp;"年"&amp;AC$5&lt;&gt;'9.项目开发计划表'!$AG$72,1,(Y$4+1)&amp;"年"&amp;AC$5)</f>
        <v>1</v>
      </c>
      <c r="AD329" s="312">
        <f>IF((Y$4+1)&amp;"年"&amp;AD$5&lt;&gt;'9.项目开发计划表'!$AG$72,1,(Y$4+1)&amp;"年"&amp;AD$5)</f>
        <v>1</v>
      </c>
      <c r="AE329" s="312">
        <f>IF((Y$4+1)&amp;"年"&amp;AE$5&lt;&gt;'9.项目开发计划表'!$AG$72,1,(Y$4+1)&amp;"年"&amp;AE$5)</f>
        <v>1</v>
      </c>
      <c r="AF329" s="313">
        <f>IF((Y$4+1)&amp;"年"&amp;AF$5&lt;&gt;'9.项目开发计划表'!$AG$72,1,(Y$4+1)&amp;"年"&amp;AF$5)</f>
        <v>1</v>
      </c>
      <c r="AG329" s="322">
        <f>IF((AC$4+1)&amp;"年"&amp;AG$5&lt;&gt;'9.项目开发计划表'!$AG$72,1,(AC$4+1)&amp;"年"&amp;AG$5)</f>
        <v>1</v>
      </c>
      <c r="AH329" s="312">
        <f>IF((AC$4+1)&amp;"年"&amp;AH$5&lt;&gt;'9.项目开发计划表'!$AG$72,1,(AC$4+1)&amp;"年"&amp;AH$5)</f>
        <v>1</v>
      </c>
      <c r="AI329" s="312">
        <f>IF((AC$4+1)&amp;"年"&amp;AI$5&lt;&gt;'9.项目开发计划表'!$AG$72,1,(AC$4+1)&amp;"年"&amp;AI$5)</f>
        <v>1</v>
      </c>
      <c r="AJ329" s="313">
        <f>IF((AC$4+1)&amp;"年"&amp;AJ$5&lt;&gt;'9.项目开发计划表'!$AG$72,1,(AC$4+1)&amp;"年"&amp;AJ$5)</f>
        <v>1</v>
      </c>
      <c r="AK329" s="322">
        <f>IF((AG$4+1)&amp;"年"&amp;AK$5&lt;&gt;'9.项目开发计划表'!$AG$72,1,(AG$4+1)&amp;"年"&amp;AK$5)</f>
        <v>1</v>
      </c>
      <c r="AL329" s="312">
        <f>IF((AG$4+1)&amp;"年"&amp;AL$5&lt;&gt;'9.项目开发计划表'!$AG$72,1,(AG$4+1)&amp;"年"&amp;AL$5)</f>
        <v>1</v>
      </c>
      <c r="AM329" s="312">
        <f>IF((AG$4+1)&amp;"年"&amp;AM$5&lt;&gt;'9.项目开发计划表'!$AG$72,1,(AG$4+1)&amp;"年"&amp;AM$5)</f>
        <v>1</v>
      </c>
      <c r="AN329" s="313">
        <f>IF((AG$4+1)&amp;"年"&amp;AN$5&lt;&gt;'9.项目开发计划表'!$AG$72,1,(AG$4+1)&amp;"年"&amp;AN$5)</f>
        <v>1</v>
      </c>
      <c r="AO329" s="322">
        <f>IF((AK$4+1)&amp;"年"&amp;AO$5&lt;&gt;'9.项目开发计划表'!$AG$72,1,(AK$4+1)&amp;"年"&amp;AO$5)</f>
        <v>1</v>
      </c>
      <c r="AP329" s="312">
        <f>IF((AK$4+1)&amp;"年"&amp;AP$5&lt;&gt;'9.项目开发计划表'!$AG$72,1,(AK$4+1)&amp;"年"&amp;AP$5)</f>
        <v>1</v>
      </c>
      <c r="AQ329" s="312">
        <f>IF((AK$4+1)&amp;"年"&amp;AQ$5&lt;&gt;'9.项目开发计划表'!$AG$72,1,(AK$4+1)&amp;"年"&amp;AQ$5)</f>
        <v>1</v>
      </c>
      <c r="AR329" s="313">
        <f>IF((AK$4+1)&amp;"年"&amp;AR$5&lt;&gt;'9.项目开发计划表'!$AG$72,1,(AK$4+1)&amp;"年"&amp;AR$5)</f>
        <v>1</v>
      </c>
      <c r="AS329" s="322">
        <f>IF((AO$4+1)&amp;"年"&amp;AS$5&lt;&gt;'9.项目开发计划表'!$AG$72,1,(AO$4+1)&amp;"年"&amp;AS$5)</f>
        <v>1</v>
      </c>
      <c r="AT329" s="312">
        <f>IF((AO$4+1)&amp;"年"&amp;AT$5&lt;&gt;'9.项目开发计划表'!$AG$72,1,(AO$4+1)&amp;"年"&amp;AT$5)</f>
        <v>1</v>
      </c>
      <c r="AU329" s="312">
        <f>IF((AO$4+1)&amp;"年"&amp;AU$5&lt;&gt;'9.项目开发计划表'!$AG$72,1,(AO$4+1)&amp;"年"&amp;AU$5)</f>
        <v>1</v>
      </c>
      <c r="AV329" s="313">
        <f>IF((AO$4+1)&amp;"年"&amp;AV$5&lt;&gt;'9.项目开发计划表'!$AG$72,1,(AO$4+1)&amp;"年"&amp;AV$5)</f>
        <v>1</v>
      </c>
    </row>
    <row r="330" spans="2:48" s="256" customFormat="1" ht="15.75" customHeight="1" outlineLevel="1">
      <c r="B330" s="321"/>
      <c r="C330" s="1980"/>
      <c r="D330" s="1982"/>
      <c r="E330" s="280">
        <f t="shared" ref="E330:AV330" si="117">IF(E329=1,0,1)</f>
        <v>0</v>
      </c>
      <c r="F330" s="281">
        <f t="shared" si="117"/>
        <v>0</v>
      </c>
      <c r="G330" s="281">
        <f t="shared" si="117"/>
        <v>0</v>
      </c>
      <c r="H330" s="282">
        <f t="shared" si="117"/>
        <v>0</v>
      </c>
      <c r="I330" s="323">
        <f t="shared" si="117"/>
        <v>0</v>
      </c>
      <c r="J330" s="281">
        <f t="shared" si="117"/>
        <v>0</v>
      </c>
      <c r="K330" s="281">
        <f t="shared" si="117"/>
        <v>0</v>
      </c>
      <c r="L330" s="282">
        <f t="shared" si="117"/>
        <v>0</v>
      </c>
      <c r="M330" s="323">
        <f t="shared" si="117"/>
        <v>0</v>
      </c>
      <c r="N330" s="281">
        <f t="shared" si="117"/>
        <v>0</v>
      </c>
      <c r="O330" s="281">
        <f t="shared" si="117"/>
        <v>0</v>
      </c>
      <c r="P330" s="282">
        <f t="shared" si="117"/>
        <v>0</v>
      </c>
      <c r="Q330" s="323">
        <f t="shared" si="117"/>
        <v>0</v>
      </c>
      <c r="R330" s="281">
        <f t="shared" si="117"/>
        <v>0</v>
      </c>
      <c r="S330" s="281">
        <f t="shared" si="117"/>
        <v>0</v>
      </c>
      <c r="T330" s="282">
        <f t="shared" si="117"/>
        <v>0</v>
      </c>
      <c r="U330" s="323">
        <f t="shared" si="117"/>
        <v>0</v>
      </c>
      <c r="V330" s="281">
        <f t="shared" si="117"/>
        <v>0</v>
      </c>
      <c r="W330" s="281">
        <f t="shared" si="117"/>
        <v>0</v>
      </c>
      <c r="X330" s="282">
        <f t="shared" si="117"/>
        <v>0</v>
      </c>
      <c r="Y330" s="323">
        <f t="shared" si="117"/>
        <v>0</v>
      </c>
      <c r="Z330" s="281">
        <f t="shared" si="117"/>
        <v>0</v>
      </c>
      <c r="AA330" s="281">
        <f t="shared" si="117"/>
        <v>0</v>
      </c>
      <c r="AB330" s="282">
        <f t="shared" si="117"/>
        <v>0</v>
      </c>
      <c r="AC330" s="323">
        <f t="shared" si="117"/>
        <v>0</v>
      </c>
      <c r="AD330" s="281">
        <f t="shared" si="117"/>
        <v>0</v>
      </c>
      <c r="AE330" s="281">
        <f t="shared" si="117"/>
        <v>0</v>
      </c>
      <c r="AF330" s="282">
        <f t="shared" si="117"/>
        <v>0</v>
      </c>
      <c r="AG330" s="323">
        <f t="shared" si="117"/>
        <v>0</v>
      </c>
      <c r="AH330" s="281">
        <f t="shared" si="117"/>
        <v>0</v>
      </c>
      <c r="AI330" s="281">
        <f t="shared" si="117"/>
        <v>0</v>
      </c>
      <c r="AJ330" s="282">
        <f t="shared" si="117"/>
        <v>0</v>
      </c>
      <c r="AK330" s="323">
        <f t="shared" si="117"/>
        <v>0</v>
      </c>
      <c r="AL330" s="281">
        <f t="shared" si="117"/>
        <v>0</v>
      </c>
      <c r="AM330" s="281">
        <f t="shared" si="117"/>
        <v>0</v>
      </c>
      <c r="AN330" s="282">
        <f t="shared" si="117"/>
        <v>0</v>
      </c>
      <c r="AO330" s="323">
        <f t="shared" si="117"/>
        <v>0</v>
      </c>
      <c r="AP330" s="281">
        <f t="shared" si="117"/>
        <v>0</v>
      </c>
      <c r="AQ330" s="281">
        <f t="shared" si="117"/>
        <v>0</v>
      </c>
      <c r="AR330" s="282">
        <f t="shared" si="117"/>
        <v>0</v>
      </c>
      <c r="AS330" s="323">
        <f t="shared" si="117"/>
        <v>0</v>
      </c>
      <c r="AT330" s="281">
        <f t="shared" si="117"/>
        <v>0</v>
      </c>
      <c r="AU330" s="281">
        <f t="shared" si="117"/>
        <v>0</v>
      </c>
      <c r="AV330" s="282">
        <f t="shared" si="117"/>
        <v>0</v>
      </c>
    </row>
    <row r="331" spans="2:48" s="256" customFormat="1" ht="15.75" customHeight="1" outlineLevel="1">
      <c r="B331" s="321"/>
      <c r="C331" s="1980"/>
      <c r="D331" s="1981">
        <f>'8.项目规划指标表'!$B$8</f>
        <v>0</v>
      </c>
      <c r="E331" s="311">
        <f>IF($E$4&amp;"年"&amp;E$5&lt;&gt;'9.项目开发计划表'!$AG$73,1,$E$4&amp;"年"&amp;E$5)</f>
        <v>1</v>
      </c>
      <c r="F331" s="312">
        <f>IF($E$4&amp;"年"&amp;F$5&lt;&gt;'9.项目开发计划表'!$AG$73,1,$E$4&amp;"年"&amp;F$5)</f>
        <v>1</v>
      </c>
      <c r="G331" s="312">
        <f>IF($E$4&amp;"年"&amp;G$5&lt;&gt;'9.项目开发计划表'!$AG$73,1,$E$4&amp;"年"&amp;G$5)</f>
        <v>1</v>
      </c>
      <c r="H331" s="313">
        <f>IF($E$4&amp;"年"&amp;H$5&lt;&gt;'9.项目开发计划表'!$AG$73,1,$E$4&amp;"年"&amp;H$5)</f>
        <v>1</v>
      </c>
      <c r="I331" s="322">
        <f>IF((E$4+1)&amp;"年"&amp;I$5&lt;&gt;'9.项目开发计划表'!$AG$73,1,(E$4+1)&amp;"年"&amp;I$5)</f>
        <v>1</v>
      </c>
      <c r="J331" s="312">
        <f>IF((E$4+1)&amp;"年"&amp;J$5&lt;&gt;'9.项目开发计划表'!$AG$73,1,(E$4+1)&amp;"年"&amp;J$5)</f>
        <v>1</v>
      </c>
      <c r="K331" s="312">
        <f>IF((E$4+1)&amp;"年"&amp;K$5&lt;&gt;'9.项目开发计划表'!$AG$73,1,(E$4+1)&amp;"年"&amp;K$5)</f>
        <v>1</v>
      </c>
      <c r="L331" s="313">
        <f>IF((E$4+1)&amp;"年"&amp;L$5&lt;&gt;'9.项目开发计划表'!$AG$73,1,(E$4+1)&amp;"年"&amp;L$5)</f>
        <v>1</v>
      </c>
      <c r="M331" s="322">
        <f>IF((I$4+1)&amp;"年"&amp;M$5&lt;&gt;'9.项目开发计划表'!$AG$73,1,(I$4+1)&amp;"年"&amp;M$5)</f>
        <v>1</v>
      </c>
      <c r="N331" s="312">
        <f>IF((I$4+1)&amp;"年"&amp;N$5&lt;&gt;'9.项目开发计划表'!$AG$73,1,(I$4+1)&amp;"年"&amp;N$5)</f>
        <v>1</v>
      </c>
      <c r="O331" s="312">
        <f>IF((I$4+1)&amp;"年"&amp;O$5&lt;&gt;'9.项目开发计划表'!$AG$73,1,(I$4+1)&amp;"年"&amp;O$5)</f>
        <v>1</v>
      </c>
      <c r="P331" s="313">
        <f>IF((I$4+1)&amp;"年"&amp;P$5&lt;&gt;'9.项目开发计划表'!$AG$73,1,(I$4+1)&amp;"年"&amp;P$5)</f>
        <v>1</v>
      </c>
      <c r="Q331" s="322">
        <f>IF((M$4+1)&amp;"年"&amp;Q$5&lt;&gt;'9.项目开发计划表'!$AG$73,1,(M$4+1)&amp;"年"&amp;Q$5)</f>
        <v>1</v>
      </c>
      <c r="R331" s="312">
        <f>IF((M$4+1)&amp;"年"&amp;R$5&lt;&gt;'9.项目开发计划表'!$AG$73,1,(M$4+1)&amp;"年"&amp;R$5)</f>
        <v>1</v>
      </c>
      <c r="S331" s="312">
        <f>IF((M$4+1)&amp;"年"&amp;S$5&lt;&gt;'9.项目开发计划表'!$AG$73,1,(M$4+1)&amp;"年"&amp;S$5)</f>
        <v>1</v>
      </c>
      <c r="T331" s="313">
        <f>IF((M$4+1)&amp;"年"&amp;T$5&lt;&gt;'9.项目开发计划表'!$AG$73,1,(M$4+1)&amp;"年"&amp;T$5)</f>
        <v>1</v>
      </c>
      <c r="U331" s="322">
        <f>IF((Q$4+1)&amp;"年"&amp;U$5&lt;&gt;'9.项目开发计划表'!$AG$73,1,(Q$4+1)&amp;"年"&amp;U$5)</f>
        <v>1</v>
      </c>
      <c r="V331" s="312">
        <f>IF((Q$4+1)&amp;"年"&amp;V$5&lt;&gt;'9.项目开发计划表'!$AG$73,1,(Q$4+1)&amp;"年"&amp;V$5)</f>
        <v>1</v>
      </c>
      <c r="W331" s="312">
        <f>IF((Q$4+1)&amp;"年"&amp;W$5&lt;&gt;'9.项目开发计划表'!$AG$73,1,(Q$4+1)&amp;"年"&amp;W$5)</f>
        <v>1</v>
      </c>
      <c r="X331" s="313">
        <f>IF((Q$4+1)&amp;"年"&amp;X$5&lt;&gt;'9.项目开发计划表'!$AG$73,1,(Q$4+1)&amp;"年"&amp;X$5)</f>
        <v>1</v>
      </c>
      <c r="Y331" s="322">
        <f>IF((U$4+1)&amp;"年"&amp;Y$5&lt;&gt;'9.项目开发计划表'!$AG$73,1,(U$4+1)&amp;"年"&amp;Y$5)</f>
        <v>1</v>
      </c>
      <c r="Z331" s="312">
        <f>IF((U$4+1)&amp;"年"&amp;Z$5&lt;&gt;'9.项目开发计划表'!$AG$73,1,(U$4+1)&amp;"年"&amp;Z$5)</f>
        <v>1</v>
      </c>
      <c r="AA331" s="312">
        <f>IF((U$4+1)&amp;"年"&amp;AA$5&lt;&gt;'9.项目开发计划表'!$AG$73,1,(U$4+1)&amp;"年"&amp;AA$5)</f>
        <v>1</v>
      </c>
      <c r="AB331" s="313">
        <f>IF((U$4+1)&amp;"年"&amp;AB$5&lt;&gt;'9.项目开发计划表'!$AG$73,1,(U$4+1)&amp;"年"&amp;AB$5)</f>
        <v>1</v>
      </c>
      <c r="AC331" s="322">
        <f>IF((Y$4+1)&amp;"年"&amp;AC$5&lt;&gt;'9.项目开发计划表'!$AG$73,1,(Y$4+1)&amp;"年"&amp;AC$5)</f>
        <v>1</v>
      </c>
      <c r="AD331" s="312">
        <f>IF((Y$4+1)&amp;"年"&amp;AD$5&lt;&gt;'9.项目开发计划表'!$AG$73,1,(Y$4+1)&amp;"年"&amp;AD$5)</f>
        <v>1</v>
      </c>
      <c r="AE331" s="312">
        <f>IF((Y$4+1)&amp;"年"&amp;AE$5&lt;&gt;'9.项目开发计划表'!$AG$73,1,(Y$4+1)&amp;"年"&amp;AE$5)</f>
        <v>1</v>
      </c>
      <c r="AF331" s="313">
        <f>IF((Y$4+1)&amp;"年"&amp;AF$5&lt;&gt;'9.项目开发计划表'!$AG$73,1,(Y$4+1)&amp;"年"&amp;AF$5)</f>
        <v>1</v>
      </c>
      <c r="AG331" s="322">
        <f>IF((AC$4+1)&amp;"年"&amp;AG$5&lt;&gt;'9.项目开发计划表'!$AG$73,1,(AC$4+1)&amp;"年"&amp;AG$5)</f>
        <v>1</v>
      </c>
      <c r="AH331" s="312">
        <f>IF((AC$4+1)&amp;"年"&amp;AH$5&lt;&gt;'9.项目开发计划表'!$AG$73,1,(AC$4+1)&amp;"年"&amp;AH$5)</f>
        <v>1</v>
      </c>
      <c r="AI331" s="312">
        <f>IF((AC$4+1)&amp;"年"&amp;AI$5&lt;&gt;'9.项目开发计划表'!$AG$73,1,(AC$4+1)&amp;"年"&amp;AI$5)</f>
        <v>1</v>
      </c>
      <c r="AJ331" s="313">
        <f>IF((AC$4+1)&amp;"年"&amp;AJ$5&lt;&gt;'9.项目开发计划表'!$AG$73,1,(AC$4+1)&amp;"年"&amp;AJ$5)</f>
        <v>1</v>
      </c>
      <c r="AK331" s="322">
        <f>IF((AG$4+1)&amp;"年"&amp;AK$5&lt;&gt;'9.项目开发计划表'!$AG$73,1,(AG$4+1)&amp;"年"&amp;AK$5)</f>
        <v>1</v>
      </c>
      <c r="AL331" s="312">
        <f>IF((AG$4+1)&amp;"年"&amp;AL$5&lt;&gt;'9.项目开发计划表'!$AG$73,1,(AG$4+1)&amp;"年"&amp;AL$5)</f>
        <v>1</v>
      </c>
      <c r="AM331" s="312">
        <f>IF((AG$4+1)&amp;"年"&amp;AM$5&lt;&gt;'9.项目开发计划表'!$AG$73,1,(AG$4+1)&amp;"年"&amp;AM$5)</f>
        <v>1</v>
      </c>
      <c r="AN331" s="313">
        <f>IF((AG$4+1)&amp;"年"&amp;AN$5&lt;&gt;'9.项目开发计划表'!$AG$73,1,(AG$4+1)&amp;"年"&amp;AN$5)</f>
        <v>1</v>
      </c>
      <c r="AO331" s="322">
        <f>IF((AK$4+1)&amp;"年"&amp;AO$5&lt;&gt;'9.项目开发计划表'!$AG$73,1,(AK$4+1)&amp;"年"&amp;AO$5)</f>
        <v>1</v>
      </c>
      <c r="AP331" s="312">
        <f>IF((AK$4+1)&amp;"年"&amp;AP$5&lt;&gt;'9.项目开发计划表'!$AG$73,1,(AK$4+1)&amp;"年"&amp;AP$5)</f>
        <v>1</v>
      </c>
      <c r="AQ331" s="312">
        <f>IF((AK$4+1)&amp;"年"&amp;AQ$5&lt;&gt;'9.项目开发计划表'!$AG$73,1,(AK$4+1)&amp;"年"&amp;AQ$5)</f>
        <v>1</v>
      </c>
      <c r="AR331" s="313">
        <f>IF((AK$4+1)&amp;"年"&amp;AR$5&lt;&gt;'9.项目开发计划表'!$AG$73,1,(AK$4+1)&amp;"年"&amp;AR$5)</f>
        <v>1</v>
      </c>
      <c r="AS331" s="322">
        <f>IF((AO$4+1)&amp;"年"&amp;AS$5&lt;&gt;'9.项目开发计划表'!$AG$73,1,(AO$4+1)&amp;"年"&amp;AS$5)</f>
        <v>1</v>
      </c>
      <c r="AT331" s="312">
        <f>IF((AO$4+1)&amp;"年"&amp;AT$5&lt;&gt;'9.项目开发计划表'!$AG$73,1,(AO$4+1)&amp;"年"&amp;AT$5)</f>
        <v>1</v>
      </c>
      <c r="AU331" s="312">
        <f>IF((AO$4+1)&amp;"年"&amp;AU$5&lt;&gt;'9.项目开发计划表'!$AG$73,1,(AO$4+1)&amp;"年"&amp;AU$5)</f>
        <v>1</v>
      </c>
      <c r="AV331" s="313">
        <f>IF((AO$4+1)&amp;"年"&amp;AV$5&lt;&gt;'9.项目开发计划表'!$AG$73,1,(AO$4+1)&amp;"年"&amp;AV$5)</f>
        <v>1</v>
      </c>
    </row>
    <row r="332" spans="2:48" s="256" customFormat="1" ht="15.75" customHeight="1" outlineLevel="1">
      <c r="B332" s="321"/>
      <c r="C332" s="1980"/>
      <c r="D332" s="1982"/>
      <c r="E332" s="280">
        <f t="shared" ref="E332:AV332" si="118">IF(E331=1,0,1)</f>
        <v>0</v>
      </c>
      <c r="F332" s="281">
        <f t="shared" si="118"/>
        <v>0</v>
      </c>
      <c r="G332" s="281">
        <f t="shared" si="118"/>
        <v>0</v>
      </c>
      <c r="H332" s="282">
        <f t="shared" si="118"/>
        <v>0</v>
      </c>
      <c r="I332" s="323">
        <f t="shared" si="118"/>
        <v>0</v>
      </c>
      <c r="J332" s="281">
        <f t="shared" si="118"/>
        <v>0</v>
      </c>
      <c r="K332" s="281">
        <f t="shared" si="118"/>
        <v>0</v>
      </c>
      <c r="L332" s="282">
        <f t="shared" si="118"/>
        <v>0</v>
      </c>
      <c r="M332" s="323">
        <f t="shared" si="118"/>
        <v>0</v>
      </c>
      <c r="N332" s="281">
        <f t="shared" si="118"/>
        <v>0</v>
      </c>
      <c r="O332" s="281">
        <f t="shared" si="118"/>
        <v>0</v>
      </c>
      <c r="P332" s="282">
        <f t="shared" si="118"/>
        <v>0</v>
      </c>
      <c r="Q332" s="323">
        <f t="shared" si="118"/>
        <v>0</v>
      </c>
      <c r="R332" s="281">
        <f t="shared" si="118"/>
        <v>0</v>
      </c>
      <c r="S332" s="281">
        <f t="shared" si="118"/>
        <v>0</v>
      </c>
      <c r="T332" s="282">
        <f t="shared" si="118"/>
        <v>0</v>
      </c>
      <c r="U332" s="323">
        <f t="shared" si="118"/>
        <v>0</v>
      </c>
      <c r="V332" s="281">
        <f t="shared" si="118"/>
        <v>0</v>
      </c>
      <c r="W332" s="281">
        <f t="shared" si="118"/>
        <v>0</v>
      </c>
      <c r="X332" s="282">
        <f t="shared" si="118"/>
        <v>0</v>
      </c>
      <c r="Y332" s="323">
        <f t="shared" si="118"/>
        <v>0</v>
      </c>
      <c r="Z332" s="281">
        <f t="shared" si="118"/>
        <v>0</v>
      </c>
      <c r="AA332" s="281">
        <f t="shared" si="118"/>
        <v>0</v>
      </c>
      <c r="AB332" s="282">
        <f t="shared" si="118"/>
        <v>0</v>
      </c>
      <c r="AC332" s="323">
        <f t="shared" si="118"/>
        <v>0</v>
      </c>
      <c r="AD332" s="281">
        <f t="shared" si="118"/>
        <v>0</v>
      </c>
      <c r="AE332" s="281">
        <f t="shared" si="118"/>
        <v>0</v>
      </c>
      <c r="AF332" s="282">
        <f t="shared" si="118"/>
        <v>0</v>
      </c>
      <c r="AG332" s="323">
        <f t="shared" si="118"/>
        <v>0</v>
      </c>
      <c r="AH332" s="281">
        <f t="shared" si="118"/>
        <v>0</v>
      </c>
      <c r="AI332" s="281">
        <f t="shared" si="118"/>
        <v>0</v>
      </c>
      <c r="AJ332" s="282">
        <f t="shared" si="118"/>
        <v>0</v>
      </c>
      <c r="AK332" s="323">
        <f t="shared" si="118"/>
        <v>0</v>
      </c>
      <c r="AL332" s="281">
        <f t="shared" si="118"/>
        <v>0</v>
      </c>
      <c r="AM332" s="281">
        <f t="shared" si="118"/>
        <v>0</v>
      </c>
      <c r="AN332" s="282">
        <f t="shared" si="118"/>
        <v>0</v>
      </c>
      <c r="AO332" s="323">
        <f t="shared" si="118"/>
        <v>0</v>
      </c>
      <c r="AP332" s="281">
        <f t="shared" si="118"/>
        <v>0</v>
      </c>
      <c r="AQ332" s="281">
        <f t="shared" si="118"/>
        <v>0</v>
      </c>
      <c r="AR332" s="282">
        <f t="shared" si="118"/>
        <v>0</v>
      </c>
      <c r="AS332" s="323">
        <f t="shared" si="118"/>
        <v>0</v>
      </c>
      <c r="AT332" s="281">
        <f t="shared" si="118"/>
        <v>0</v>
      </c>
      <c r="AU332" s="281">
        <f t="shared" si="118"/>
        <v>0</v>
      </c>
      <c r="AV332" s="282">
        <f t="shared" si="118"/>
        <v>0</v>
      </c>
    </row>
    <row r="333" spans="2:48" s="256" customFormat="1" ht="15.75" customHeight="1" outlineLevel="1">
      <c r="B333" s="321"/>
      <c r="C333" s="1980"/>
      <c r="D333" s="1981">
        <f>'8.项目规划指标表'!$B$9</f>
        <v>0</v>
      </c>
      <c r="E333" s="311">
        <f>IF($E$4&amp;"年"&amp;E$5&lt;&gt;'9.项目开发计划表'!$AG$74,1,$E$4&amp;"年"&amp;E$5)</f>
        <v>1</v>
      </c>
      <c r="F333" s="312">
        <f>IF($E$4&amp;"年"&amp;F$5&lt;&gt;'9.项目开发计划表'!$AG$74,1,$E$4&amp;"年"&amp;F$5)</f>
        <v>1</v>
      </c>
      <c r="G333" s="312">
        <f>IF($E$4&amp;"年"&amp;G$5&lt;&gt;'9.项目开发计划表'!$AG$74,1,$E$4&amp;"年"&amp;G$5)</f>
        <v>1</v>
      </c>
      <c r="H333" s="313">
        <f>IF($E$4&amp;"年"&amp;H$5&lt;&gt;'9.项目开发计划表'!$AG$74,1,$E$4&amp;"年"&amp;H$5)</f>
        <v>1</v>
      </c>
      <c r="I333" s="322">
        <f>IF((E$4+1)&amp;"年"&amp;I$5&lt;&gt;'9.项目开发计划表'!$AG$74,1,(E$4+1)&amp;"年"&amp;I$5)</f>
        <v>1</v>
      </c>
      <c r="J333" s="312">
        <f>IF((E$4+1)&amp;"年"&amp;J$5&lt;&gt;'9.项目开发计划表'!$AG$74,1,(E$4+1)&amp;"年"&amp;J$5)</f>
        <v>1</v>
      </c>
      <c r="K333" s="312">
        <f>IF((E$4+1)&amp;"年"&amp;K$5&lt;&gt;'9.项目开发计划表'!$AG$74,1,(E$4+1)&amp;"年"&amp;K$5)</f>
        <v>1</v>
      </c>
      <c r="L333" s="313">
        <f>IF((E$4+1)&amp;"年"&amp;L$5&lt;&gt;'9.项目开发计划表'!$AG$74,1,(E$4+1)&amp;"年"&amp;L$5)</f>
        <v>1</v>
      </c>
      <c r="M333" s="322">
        <f>IF((I$4+1)&amp;"年"&amp;M$5&lt;&gt;'9.项目开发计划表'!$AG$74,1,(I$4+1)&amp;"年"&amp;M$5)</f>
        <v>1</v>
      </c>
      <c r="N333" s="312">
        <f>IF((I$4+1)&amp;"年"&amp;N$5&lt;&gt;'9.项目开发计划表'!$AG$74,1,(I$4+1)&amp;"年"&amp;N$5)</f>
        <v>1</v>
      </c>
      <c r="O333" s="312">
        <f>IF((I$4+1)&amp;"年"&amp;O$5&lt;&gt;'9.项目开发计划表'!$AG$74,1,(I$4+1)&amp;"年"&amp;O$5)</f>
        <v>1</v>
      </c>
      <c r="P333" s="313">
        <f>IF((I$4+1)&amp;"年"&amp;P$5&lt;&gt;'9.项目开发计划表'!$AG$74,1,(I$4+1)&amp;"年"&amp;P$5)</f>
        <v>1</v>
      </c>
      <c r="Q333" s="322">
        <f>IF((M$4+1)&amp;"年"&amp;Q$5&lt;&gt;'9.项目开发计划表'!$AG$74,1,(M$4+1)&amp;"年"&amp;Q$5)</f>
        <v>1</v>
      </c>
      <c r="R333" s="312">
        <f>IF((M$4+1)&amp;"年"&amp;R$5&lt;&gt;'9.项目开发计划表'!$AG$74,1,(M$4+1)&amp;"年"&amp;R$5)</f>
        <v>1</v>
      </c>
      <c r="S333" s="312">
        <f>IF((M$4+1)&amp;"年"&amp;S$5&lt;&gt;'9.项目开发计划表'!$AG$74,1,(M$4+1)&amp;"年"&amp;S$5)</f>
        <v>1</v>
      </c>
      <c r="T333" s="313">
        <f>IF((M$4+1)&amp;"年"&amp;T$5&lt;&gt;'9.项目开发计划表'!$AG$74,1,(M$4+1)&amp;"年"&amp;T$5)</f>
        <v>1</v>
      </c>
      <c r="U333" s="322">
        <f>IF((Q$4+1)&amp;"年"&amp;U$5&lt;&gt;'9.项目开发计划表'!$AG$74,1,(Q$4+1)&amp;"年"&amp;U$5)</f>
        <v>1</v>
      </c>
      <c r="V333" s="312">
        <f>IF((Q$4+1)&amp;"年"&amp;V$5&lt;&gt;'9.项目开发计划表'!$AG$74,1,(Q$4+1)&amp;"年"&amp;V$5)</f>
        <v>1</v>
      </c>
      <c r="W333" s="312">
        <f>IF((Q$4+1)&amp;"年"&amp;W$5&lt;&gt;'9.项目开发计划表'!$AG$74,1,(Q$4+1)&amp;"年"&amp;W$5)</f>
        <v>1</v>
      </c>
      <c r="X333" s="313">
        <f>IF((Q$4+1)&amp;"年"&amp;X$5&lt;&gt;'9.项目开发计划表'!$AG$74,1,(Q$4+1)&amp;"年"&amp;X$5)</f>
        <v>1</v>
      </c>
      <c r="Y333" s="322">
        <f>IF((U$4+1)&amp;"年"&amp;Y$5&lt;&gt;'9.项目开发计划表'!$AG$74,1,(U$4+1)&amp;"年"&amp;Y$5)</f>
        <v>1</v>
      </c>
      <c r="Z333" s="312">
        <f>IF((U$4+1)&amp;"年"&amp;Z$5&lt;&gt;'9.项目开发计划表'!$AG$74,1,(U$4+1)&amp;"年"&amp;Z$5)</f>
        <v>1</v>
      </c>
      <c r="AA333" s="312">
        <f>IF((U$4+1)&amp;"年"&amp;AA$5&lt;&gt;'9.项目开发计划表'!$AG$74,1,(U$4+1)&amp;"年"&amp;AA$5)</f>
        <v>1</v>
      </c>
      <c r="AB333" s="313">
        <f>IF((U$4+1)&amp;"年"&amp;AB$5&lt;&gt;'9.项目开发计划表'!$AG$74,1,(U$4+1)&amp;"年"&amp;AB$5)</f>
        <v>1</v>
      </c>
      <c r="AC333" s="322">
        <f>IF((Y$4+1)&amp;"年"&amp;AC$5&lt;&gt;'9.项目开发计划表'!$AG$74,1,(Y$4+1)&amp;"年"&amp;AC$5)</f>
        <v>1</v>
      </c>
      <c r="AD333" s="312">
        <f>IF((Y$4+1)&amp;"年"&amp;AD$5&lt;&gt;'9.项目开发计划表'!$AG$74,1,(Y$4+1)&amp;"年"&amp;AD$5)</f>
        <v>1</v>
      </c>
      <c r="AE333" s="312">
        <f>IF((Y$4+1)&amp;"年"&amp;AE$5&lt;&gt;'9.项目开发计划表'!$AG$74,1,(Y$4+1)&amp;"年"&amp;AE$5)</f>
        <v>1</v>
      </c>
      <c r="AF333" s="313">
        <f>IF((Y$4+1)&amp;"年"&amp;AF$5&lt;&gt;'9.项目开发计划表'!$AG$74,1,(Y$4+1)&amp;"年"&amp;AF$5)</f>
        <v>1</v>
      </c>
      <c r="AG333" s="322">
        <f>IF((AC$4+1)&amp;"年"&amp;AG$5&lt;&gt;'9.项目开发计划表'!$AG$74,1,(AC$4+1)&amp;"年"&amp;AG$5)</f>
        <v>1</v>
      </c>
      <c r="AH333" s="312">
        <f>IF((AC$4+1)&amp;"年"&amp;AH$5&lt;&gt;'9.项目开发计划表'!$AG$74,1,(AC$4+1)&amp;"年"&amp;AH$5)</f>
        <v>1</v>
      </c>
      <c r="AI333" s="312">
        <f>IF((AC$4+1)&amp;"年"&amp;AI$5&lt;&gt;'9.项目开发计划表'!$AG$74,1,(AC$4+1)&amp;"年"&amp;AI$5)</f>
        <v>1</v>
      </c>
      <c r="AJ333" s="313">
        <f>IF((AC$4+1)&amp;"年"&amp;AJ$5&lt;&gt;'9.项目开发计划表'!$AG$74,1,(AC$4+1)&amp;"年"&amp;AJ$5)</f>
        <v>1</v>
      </c>
      <c r="AK333" s="322">
        <f>IF((AG$4+1)&amp;"年"&amp;AK$5&lt;&gt;'9.项目开发计划表'!$AG$74,1,(AG$4+1)&amp;"年"&amp;AK$5)</f>
        <v>1</v>
      </c>
      <c r="AL333" s="312">
        <f>IF((AG$4+1)&amp;"年"&amp;AL$5&lt;&gt;'9.项目开发计划表'!$AG$74,1,(AG$4+1)&amp;"年"&amp;AL$5)</f>
        <v>1</v>
      </c>
      <c r="AM333" s="312">
        <f>IF((AG$4+1)&amp;"年"&amp;AM$5&lt;&gt;'9.项目开发计划表'!$AG$74,1,(AG$4+1)&amp;"年"&amp;AM$5)</f>
        <v>1</v>
      </c>
      <c r="AN333" s="313">
        <f>IF((AG$4+1)&amp;"年"&amp;AN$5&lt;&gt;'9.项目开发计划表'!$AG$74,1,(AG$4+1)&amp;"年"&amp;AN$5)</f>
        <v>1</v>
      </c>
      <c r="AO333" s="322">
        <f>IF((AK$4+1)&amp;"年"&amp;AO$5&lt;&gt;'9.项目开发计划表'!$AG$74,1,(AK$4+1)&amp;"年"&amp;AO$5)</f>
        <v>1</v>
      </c>
      <c r="AP333" s="312">
        <f>IF((AK$4+1)&amp;"年"&amp;AP$5&lt;&gt;'9.项目开发计划表'!$AG$74,1,(AK$4+1)&amp;"年"&amp;AP$5)</f>
        <v>1</v>
      </c>
      <c r="AQ333" s="312">
        <f>IF((AK$4+1)&amp;"年"&amp;AQ$5&lt;&gt;'9.项目开发计划表'!$AG$74,1,(AK$4+1)&amp;"年"&amp;AQ$5)</f>
        <v>1</v>
      </c>
      <c r="AR333" s="313">
        <f>IF((AK$4+1)&amp;"年"&amp;AR$5&lt;&gt;'9.项目开发计划表'!$AG$74,1,(AK$4+1)&amp;"年"&amp;AR$5)</f>
        <v>1</v>
      </c>
      <c r="AS333" s="322">
        <f>IF((AO$4+1)&amp;"年"&amp;AS$5&lt;&gt;'9.项目开发计划表'!$AG$74,1,(AO$4+1)&amp;"年"&amp;AS$5)</f>
        <v>1</v>
      </c>
      <c r="AT333" s="312">
        <f>IF((AO$4+1)&amp;"年"&amp;AT$5&lt;&gt;'9.项目开发计划表'!$AG$74,1,(AO$4+1)&amp;"年"&amp;AT$5)</f>
        <v>1</v>
      </c>
      <c r="AU333" s="312">
        <f>IF((AO$4+1)&amp;"年"&amp;AU$5&lt;&gt;'9.项目开发计划表'!$AG$74,1,(AO$4+1)&amp;"年"&amp;AU$5)</f>
        <v>1</v>
      </c>
      <c r="AV333" s="313">
        <f>IF((AO$4+1)&amp;"年"&amp;AV$5&lt;&gt;'9.项目开发计划表'!$AG$74,1,(AO$4+1)&amp;"年"&amp;AV$5)</f>
        <v>1</v>
      </c>
    </row>
    <row r="334" spans="2:48" s="256" customFormat="1" ht="15.75" customHeight="1" outlineLevel="1">
      <c r="B334" s="321"/>
      <c r="C334" s="1980"/>
      <c r="D334" s="1982"/>
      <c r="E334" s="280">
        <f t="shared" ref="E334:AV334" si="119">IF(E333=1,0,1)</f>
        <v>0</v>
      </c>
      <c r="F334" s="281">
        <f t="shared" si="119"/>
        <v>0</v>
      </c>
      <c r="G334" s="281">
        <f t="shared" si="119"/>
        <v>0</v>
      </c>
      <c r="H334" s="282">
        <f t="shared" si="119"/>
        <v>0</v>
      </c>
      <c r="I334" s="323">
        <f t="shared" si="119"/>
        <v>0</v>
      </c>
      <c r="J334" s="281">
        <f t="shared" si="119"/>
        <v>0</v>
      </c>
      <c r="K334" s="281">
        <f t="shared" si="119"/>
        <v>0</v>
      </c>
      <c r="L334" s="282">
        <f t="shared" si="119"/>
        <v>0</v>
      </c>
      <c r="M334" s="323">
        <f t="shared" si="119"/>
        <v>0</v>
      </c>
      <c r="N334" s="281">
        <f t="shared" si="119"/>
        <v>0</v>
      </c>
      <c r="O334" s="281">
        <f t="shared" si="119"/>
        <v>0</v>
      </c>
      <c r="P334" s="282">
        <f t="shared" si="119"/>
        <v>0</v>
      </c>
      <c r="Q334" s="323">
        <f t="shared" si="119"/>
        <v>0</v>
      </c>
      <c r="R334" s="281">
        <f t="shared" si="119"/>
        <v>0</v>
      </c>
      <c r="S334" s="281">
        <f t="shared" si="119"/>
        <v>0</v>
      </c>
      <c r="T334" s="282">
        <f t="shared" si="119"/>
        <v>0</v>
      </c>
      <c r="U334" s="323">
        <f t="shared" si="119"/>
        <v>0</v>
      </c>
      <c r="V334" s="281">
        <f t="shared" si="119"/>
        <v>0</v>
      </c>
      <c r="W334" s="281">
        <f t="shared" si="119"/>
        <v>0</v>
      </c>
      <c r="X334" s="282">
        <f t="shared" si="119"/>
        <v>0</v>
      </c>
      <c r="Y334" s="323">
        <f t="shared" si="119"/>
        <v>0</v>
      </c>
      <c r="Z334" s="281">
        <f t="shared" si="119"/>
        <v>0</v>
      </c>
      <c r="AA334" s="281">
        <f t="shared" si="119"/>
        <v>0</v>
      </c>
      <c r="AB334" s="282">
        <f t="shared" si="119"/>
        <v>0</v>
      </c>
      <c r="AC334" s="323">
        <f t="shared" si="119"/>
        <v>0</v>
      </c>
      <c r="AD334" s="281">
        <f t="shared" si="119"/>
        <v>0</v>
      </c>
      <c r="AE334" s="281">
        <f t="shared" si="119"/>
        <v>0</v>
      </c>
      <c r="AF334" s="282">
        <f t="shared" si="119"/>
        <v>0</v>
      </c>
      <c r="AG334" s="323">
        <f t="shared" si="119"/>
        <v>0</v>
      </c>
      <c r="AH334" s="281">
        <f t="shared" si="119"/>
        <v>0</v>
      </c>
      <c r="AI334" s="281">
        <f t="shared" si="119"/>
        <v>0</v>
      </c>
      <c r="AJ334" s="282">
        <f t="shared" si="119"/>
        <v>0</v>
      </c>
      <c r="AK334" s="323">
        <f t="shared" si="119"/>
        <v>0</v>
      </c>
      <c r="AL334" s="281">
        <f t="shared" si="119"/>
        <v>0</v>
      </c>
      <c r="AM334" s="281">
        <f t="shared" si="119"/>
        <v>0</v>
      </c>
      <c r="AN334" s="282">
        <f t="shared" si="119"/>
        <v>0</v>
      </c>
      <c r="AO334" s="323">
        <f t="shared" si="119"/>
        <v>0</v>
      </c>
      <c r="AP334" s="281">
        <f t="shared" si="119"/>
        <v>0</v>
      </c>
      <c r="AQ334" s="281">
        <f t="shared" si="119"/>
        <v>0</v>
      </c>
      <c r="AR334" s="282">
        <f t="shared" si="119"/>
        <v>0</v>
      </c>
      <c r="AS334" s="323">
        <f t="shared" si="119"/>
        <v>0</v>
      </c>
      <c r="AT334" s="281">
        <f t="shared" si="119"/>
        <v>0</v>
      </c>
      <c r="AU334" s="281">
        <f t="shared" si="119"/>
        <v>0</v>
      </c>
      <c r="AV334" s="282">
        <f t="shared" si="119"/>
        <v>0</v>
      </c>
    </row>
    <row r="335" spans="2:48" outlineLevel="1">
      <c r="C335" s="1980"/>
      <c r="D335" s="1981">
        <f>'8.项目规划指标表'!$B$10</f>
        <v>0</v>
      </c>
      <c r="E335" s="311">
        <f>IF($E$4&amp;"年"&amp;E$5&lt;&gt;'9.项目开发计划表'!$AG$75,1,$E$4&amp;"年"&amp;E$5)</f>
        <v>1</v>
      </c>
      <c r="F335" s="312">
        <f>IF($E$4&amp;"年"&amp;F$5&lt;&gt;'9.项目开发计划表'!$AG$75,1,$E$4&amp;"年"&amp;F$5)</f>
        <v>1</v>
      </c>
      <c r="G335" s="312">
        <f>IF($E$4&amp;"年"&amp;G$5&lt;&gt;'9.项目开发计划表'!$AG$75,1,$E$4&amp;"年"&amp;G$5)</f>
        <v>1</v>
      </c>
      <c r="H335" s="313">
        <f>IF($E$4&amp;"年"&amp;H$5&lt;&gt;'9.项目开发计划表'!$AG$75,1,$E$4&amp;"年"&amp;H$5)</f>
        <v>1</v>
      </c>
      <c r="I335" s="322">
        <f>IF((E$4+1)&amp;"年"&amp;I$5&lt;&gt;'9.项目开发计划表'!$AG$75,1,(E$4+1)&amp;"年"&amp;I$5)</f>
        <v>1</v>
      </c>
      <c r="J335" s="312">
        <f>IF((E$4+1)&amp;"年"&amp;J$5&lt;&gt;'9.项目开发计划表'!$AG$75,1,(E$4+1)&amp;"年"&amp;J$5)</f>
        <v>1</v>
      </c>
      <c r="K335" s="312">
        <f>IF((E$4+1)&amp;"年"&amp;K$5&lt;&gt;'9.项目开发计划表'!$AG$75,1,(E$4+1)&amp;"年"&amp;K$5)</f>
        <v>1</v>
      </c>
      <c r="L335" s="313">
        <f>IF((E$4+1)&amp;"年"&amp;L$5&lt;&gt;'9.项目开发计划表'!$AG$75,1,(E$4+1)&amp;"年"&amp;L$5)</f>
        <v>1</v>
      </c>
      <c r="M335" s="322">
        <f>IF((I$4+1)&amp;"年"&amp;M$5&lt;&gt;'9.项目开发计划表'!$AG$75,1,(I$4+1)&amp;"年"&amp;M$5)</f>
        <v>1</v>
      </c>
      <c r="N335" s="312">
        <f>IF((I$4+1)&amp;"年"&amp;N$5&lt;&gt;'9.项目开发计划表'!$AG$75,1,(I$4+1)&amp;"年"&amp;N$5)</f>
        <v>1</v>
      </c>
      <c r="O335" s="312">
        <f>IF((I$4+1)&amp;"年"&amp;O$5&lt;&gt;'9.项目开发计划表'!$AG$75,1,(I$4+1)&amp;"年"&amp;O$5)</f>
        <v>1</v>
      </c>
      <c r="P335" s="313">
        <f>IF((I$4+1)&amp;"年"&amp;P$5&lt;&gt;'9.项目开发计划表'!$AG$75,1,(I$4+1)&amp;"年"&amp;P$5)</f>
        <v>1</v>
      </c>
      <c r="Q335" s="322">
        <f>IF((M$4+1)&amp;"年"&amp;Q$5&lt;&gt;'9.项目开发计划表'!$AG$75,1,(M$4+1)&amp;"年"&amp;Q$5)</f>
        <v>1</v>
      </c>
      <c r="R335" s="312">
        <f>IF((M$4+1)&amp;"年"&amp;R$5&lt;&gt;'9.项目开发计划表'!$AG$75,1,(M$4+1)&amp;"年"&amp;R$5)</f>
        <v>1</v>
      </c>
      <c r="S335" s="312">
        <f>IF((M$4+1)&amp;"年"&amp;S$5&lt;&gt;'9.项目开发计划表'!$AG$75,1,(M$4+1)&amp;"年"&amp;S$5)</f>
        <v>1</v>
      </c>
      <c r="T335" s="313">
        <f>IF((M$4+1)&amp;"年"&amp;T$5&lt;&gt;'9.项目开发计划表'!$AG$75,1,(M$4+1)&amp;"年"&amp;T$5)</f>
        <v>1</v>
      </c>
      <c r="U335" s="322">
        <f>IF((Q$4+1)&amp;"年"&amp;U$5&lt;&gt;'9.项目开发计划表'!$AG$75,1,(Q$4+1)&amp;"年"&amp;U$5)</f>
        <v>1</v>
      </c>
      <c r="V335" s="312">
        <f>IF((Q$4+1)&amp;"年"&amp;V$5&lt;&gt;'9.项目开发计划表'!$AG$75,1,(Q$4+1)&amp;"年"&amp;V$5)</f>
        <v>1</v>
      </c>
      <c r="W335" s="312">
        <f>IF((Q$4+1)&amp;"年"&amp;W$5&lt;&gt;'9.项目开发计划表'!$AG$75,1,(Q$4+1)&amp;"年"&amp;W$5)</f>
        <v>1</v>
      </c>
      <c r="X335" s="313">
        <f>IF((Q$4+1)&amp;"年"&amp;X$5&lt;&gt;'9.项目开发计划表'!$AG$75,1,(Q$4+1)&amp;"年"&amp;X$5)</f>
        <v>1</v>
      </c>
      <c r="Y335" s="322">
        <f>IF((U$4+1)&amp;"年"&amp;Y$5&lt;&gt;'9.项目开发计划表'!$AG$75,1,(U$4+1)&amp;"年"&amp;Y$5)</f>
        <v>1</v>
      </c>
      <c r="Z335" s="312">
        <f>IF((U$4+1)&amp;"年"&amp;Z$5&lt;&gt;'9.项目开发计划表'!$AG$75,1,(U$4+1)&amp;"年"&amp;Z$5)</f>
        <v>1</v>
      </c>
      <c r="AA335" s="312">
        <f>IF((U$4+1)&amp;"年"&amp;AA$5&lt;&gt;'9.项目开发计划表'!$AG$75,1,(U$4+1)&amp;"年"&amp;AA$5)</f>
        <v>1</v>
      </c>
      <c r="AB335" s="313">
        <f>IF((U$4+1)&amp;"年"&amp;AB$5&lt;&gt;'9.项目开发计划表'!$AG$75,1,(U$4+1)&amp;"年"&amp;AB$5)</f>
        <v>1</v>
      </c>
      <c r="AC335" s="322">
        <f>IF((Y$4+1)&amp;"年"&amp;AC$5&lt;&gt;'9.项目开发计划表'!$AG$75,1,(Y$4+1)&amp;"年"&amp;AC$5)</f>
        <v>1</v>
      </c>
      <c r="AD335" s="312">
        <f>IF((Y$4+1)&amp;"年"&amp;AD$5&lt;&gt;'9.项目开发计划表'!$AG$75,1,(Y$4+1)&amp;"年"&amp;AD$5)</f>
        <v>1</v>
      </c>
      <c r="AE335" s="312">
        <f>IF((Y$4+1)&amp;"年"&amp;AE$5&lt;&gt;'9.项目开发计划表'!$AG$75,1,(Y$4+1)&amp;"年"&amp;AE$5)</f>
        <v>1</v>
      </c>
      <c r="AF335" s="313">
        <f>IF((Y$4+1)&amp;"年"&amp;AF$5&lt;&gt;'9.项目开发计划表'!$AG$75,1,(Y$4+1)&amp;"年"&amp;AF$5)</f>
        <v>1</v>
      </c>
      <c r="AG335" s="322">
        <f>IF((AC$4+1)&amp;"年"&amp;AG$5&lt;&gt;'9.项目开发计划表'!$AG$75,1,(AC$4+1)&amp;"年"&amp;AG$5)</f>
        <v>1</v>
      </c>
      <c r="AH335" s="312">
        <f>IF((AC$4+1)&amp;"年"&amp;AH$5&lt;&gt;'9.项目开发计划表'!$AG$75,1,(AC$4+1)&amp;"年"&amp;AH$5)</f>
        <v>1</v>
      </c>
      <c r="AI335" s="312">
        <f>IF((AC$4+1)&amp;"年"&amp;AI$5&lt;&gt;'9.项目开发计划表'!$AG$75,1,(AC$4+1)&amp;"年"&amp;AI$5)</f>
        <v>1</v>
      </c>
      <c r="AJ335" s="313">
        <f>IF((AC$4+1)&amp;"年"&amp;AJ$5&lt;&gt;'9.项目开发计划表'!$AG$75,1,(AC$4+1)&amp;"年"&amp;AJ$5)</f>
        <v>1</v>
      </c>
      <c r="AK335" s="322">
        <f>IF((AG$4+1)&amp;"年"&amp;AK$5&lt;&gt;'9.项目开发计划表'!$AG$75,1,(AG$4+1)&amp;"年"&amp;AK$5)</f>
        <v>1</v>
      </c>
      <c r="AL335" s="312">
        <f>IF((AG$4+1)&amp;"年"&amp;AL$5&lt;&gt;'9.项目开发计划表'!$AG$75,1,(AG$4+1)&amp;"年"&amp;AL$5)</f>
        <v>1</v>
      </c>
      <c r="AM335" s="312">
        <f>IF((AG$4+1)&amp;"年"&amp;AM$5&lt;&gt;'9.项目开发计划表'!$AG$75,1,(AG$4+1)&amp;"年"&amp;AM$5)</f>
        <v>1</v>
      </c>
      <c r="AN335" s="313">
        <f>IF((AG$4+1)&amp;"年"&amp;AN$5&lt;&gt;'9.项目开发计划表'!$AG$75,1,(AG$4+1)&amp;"年"&amp;AN$5)</f>
        <v>1</v>
      </c>
      <c r="AO335" s="322">
        <f>IF((AK$4+1)&amp;"年"&amp;AO$5&lt;&gt;'9.项目开发计划表'!$AG$75,1,(AK$4+1)&amp;"年"&amp;AO$5)</f>
        <v>1</v>
      </c>
      <c r="AP335" s="312">
        <f>IF((AK$4+1)&amp;"年"&amp;AP$5&lt;&gt;'9.项目开发计划表'!$AG$75,1,(AK$4+1)&amp;"年"&amp;AP$5)</f>
        <v>1</v>
      </c>
      <c r="AQ335" s="312">
        <f>IF((AK$4+1)&amp;"年"&amp;AQ$5&lt;&gt;'9.项目开发计划表'!$AG$75,1,(AK$4+1)&amp;"年"&amp;AQ$5)</f>
        <v>1</v>
      </c>
      <c r="AR335" s="313">
        <f>IF((AK$4+1)&amp;"年"&amp;AR$5&lt;&gt;'9.项目开发计划表'!$AG$75,1,(AK$4+1)&amp;"年"&amp;AR$5)</f>
        <v>1</v>
      </c>
      <c r="AS335" s="322">
        <f>IF((AO$4+1)&amp;"年"&amp;AS$5&lt;&gt;'9.项目开发计划表'!$AG$75,1,(AO$4+1)&amp;"年"&amp;AS$5)</f>
        <v>1</v>
      </c>
      <c r="AT335" s="312">
        <f>IF((AO$4+1)&amp;"年"&amp;AT$5&lt;&gt;'9.项目开发计划表'!$AG$75,1,(AO$4+1)&amp;"年"&amp;AT$5)</f>
        <v>1</v>
      </c>
      <c r="AU335" s="312">
        <f>IF((AO$4+1)&amp;"年"&amp;AU$5&lt;&gt;'9.项目开发计划表'!$AG$75,1,(AO$4+1)&amp;"年"&amp;AU$5)</f>
        <v>1</v>
      </c>
      <c r="AV335" s="313">
        <f>IF((AO$4+1)&amp;"年"&amp;AV$5&lt;&gt;'9.项目开发计划表'!$AG$75,1,(AO$4+1)&amp;"年"&amp;AV$5)</f>
        <v>1</v>
      </c>
    </row>
    <row r="336" spans="2:48" outlineLevel="1">
      <c r="C336" s="1980"/>
      <c r="D336" s="1982"/>
      <c r="E336" s="280">
        <f t="shared" ref="E336:AV336" si="120">IF(E335=1,0,1)</f>
        <v>0</v>
      </c>
      <c r="F336" s="281">
        <f t="shared" si="120"/>
        <v>0</v>
      </c>
      <c r="G336" s="281">
        <f t="shared" si="120"/>
        <v>0</v>
      </c>
      <c r="H336" s="282">
        <f t="shared" si="120"/>
        <v>0</v>
      </c>
      <c r="I336" s="323">
        <f t="shared" si="120"/>
        <v>0</v>
      </c>
      <c r="J336" s="281">
        <f t="shared" si="120"/>
        <v>0</v>
      </c>
      <c r="K336" s="281">
        <f t="shared" si="120"/>
        <v>0</v>
      </c>
      <c r="L336" s="282">
        <f t="shared" si="120"/>
        <v>0</v>
      </c>
      <c r="M336" s="323">
        <f t="shared" si="120"/>
        <v>0</v>
      </c>
      <c r="N336" s="281">
        <f t="shared" si="120"/>
        <v>0</v>
      </c>
      <c r="O336" s="281">
        <f t="shared" si="120"/>
        <v>0</v>
      </c>
      <c r="P336" s="282">
        <f t="shared" si="120"/>
        <v>0</v>
      </c>
      <c r="Q336" s="323">
        <f t="shared" si="120"/>
        <v>0</v>
      </c>
      <c r="R336" s="281">
        <f t="shared" si="120"/>
        <v>0</v>
      </c>
      <c r="S336" s="281">
        <f t="shared" si="120"/>
        <v>0</v>
      </c>
      <c r="T336" s="282">
        <f t="shared" si="120"/>
        <v>0</v>
      </c>
      <c r="U336" s="323">
        <f t="shared" si="120"/>
        <v>0</v>
      </c>
      <c r="V336" s="281">
        <f t="shared" si="120"/>
        <v>0</v>
      </c>
      <c r="W336" s="281">
        <f t="shared" si="120"/>
        <v>0</v>
      </c>
      <c r="X336" s="282">
        <f t="shared" si="120"/>
        <v>0</v>
      </c>
      <c r="Y336" s="323">
        <f t="shared" si="120"/>
        <v>0</v>
      </c>
      <c r="Z336" s="281">
        <f t="shared" si="120"/>
        <v>0</v>
      </c>
      <c r="AA336" s="281">
        <f t="shared" si="120"/>
        <v>0</v>
      </c>
      <c r="AB336" s="282">
        <f t="shared" si="120"/>
        <v>0</v>
      </c>
      <c r="AC336" s="323">
        <f t="shared" si="120"/>
        <v>0</v>
      </c>
      <c r="AD336" s="281">
        <f t="shared" si="120"/>
        <v>0</v>
      </c>
      <c r="AE336" s="281">
        <f t="shared" si="120"/>
        <v>0</v>
      </c>
      <c r="AF336" s="282">
        <f t="shared" si="120"/>
        <v>0</v>
      </c>
      <c r="AG336" s="323">
        <f t="shared" si="120"/>
        <v>0</v>
      </c>
      <c r="AH336" s="281">
        <f t="shared" si="120"/>
        <v>0</v>
      </c>
      <c r="AI336" s="281">
        <f t="shared" si="120"/>
        <v>0</v>
      </c>
      <c r="AJ336" s="282">
        <f t="shared" si="120"/>
        <v>0</v>
      </c>
      <c r="AK336" s="323">
        <f t="shared" si="120"/>
        <v>0</v>
      </c>
      <c r="AL336" s="281">
        <f t="shared" si="120"/>
        <v>0</v>
      </c>
      <c r="AM336" s="281">
        <f t="shared" si="120"/>
        <v>0</v>
      </c>
      <c r="AN336" s="282">
        <f t="shared" si="120"/>
        <v>0</v>
      </c>
      <c r="AO336" s="323">
        <f t="shared" si="120"/>
        <v>0</v>
      </c>
      <c r="AP336" s="281">
        <f t="shared" si="120"/>
        <v>0</v>
      </c>
      <c r="AQ336" s="281">
        <f t="shared" si="120"/>
        <v>0</v>
      </c>
      <c r="AR336" s="282">
        <f t="shared" si="120"/>
        <v>0</v>
      </c>
      <c r="AS336" s="323">
        <f t="shared" si="120"/>
        <v>0</v>
      </c>
      <c r="AT336" s="281">
        <f t="shared" si="120"/>
        <v>0</v>
      </c>
      <c r="AU336" s="281">
        <f t="shared" si="120"/>
        <v>0</v>
      </c>
      <c r="AV336" s="282">
        <f t="shared" si="120"/>
        <v>0</v>
      </c>
    </row>
    <row r="337" spans="2:48" outlineLevel="1">
      <c r="C337" s="1980"/>
      <c r="D337" s="1981">
        <f>'8.项目规划指标表'!$B$11</f>
        <v>0</v>
      </c>
      <c r="E337" s="311">
        <f>IF($E$4&amp;"年"&amp;E$5&lt;&gt;'9.项目开发计划表'!$AG$76,1,$E$4&amp;"年"&amp;E$5)</f>
        <v>1</v>
      </c>
      <c r="F337" s="312">
        <f>IF($E$4&amp;"年"&amp;F$5&lt;&gt;'9.项目开发计划表'!$AG$76,1,$E$4&amp;"年"&amp;F$5)</f>
        <v>1</v>
      </c>
      <c r="G337" s="312">
        <f>IF($E$4&amp;"年"&amp;G$5&lt;&gt;'9.项目开发计划表'!$AG$76,1,$E$4&amp;"年"&amp;G$5)</f>
        <v>1</v>
      </c>
      <c r="H337" s="313">
        <f>IF($E$4&amp;"年"&amp;H$5&lt;&gt;'9.项目开发计划表'!$AG$76,1,$E$4&amp;"年"&amp;H$5)</f>
        <v>1</v>
      </c>
      <c r="I337" s="322">
        <f>IF((E$4+1)&amp;"年"&amp;I$5&lt;&gt;'9.项目开发计划表'!$AG$76,1,(E$4+1)&amp;"年"&amp;I$5)</f>
        <v>1</v>
      </c>
      <c r="J337" s="312">
        <f>IF((E$4+1)&amp;"年"&amp;J$5&lt;&gt;'9.项目开发计划表'!$AG$76,1,(E$4+1)&amp;"年"&amp;J$5)</f>
        <v>1</v>
      </c>
      <c r="K337" s="312">
        <f>IF((E$4+1)&amp;"年"&amp;K$5&lt;&gt;'9.项目开发计划表'!$AG$76,1,(E$4+1)&amp;"年"&amp;K$5)</f>
        <v>1</v>
      </c>
      <c r="L337" s="313">
        <f>IF((E$4+1)&amp;"年"&amp;L$5&lt;&gt;'9.项目开发计划表'!$AG$76,1,(E$4+1)&amp;"年"&amp;L$5)</f>
        <v>1</v>
      </c>
      <c r="M337" s="322">
        <f>IF((I$4+1)&amp;"年"&amp;M$5&lt;&gt;'9.项目开发计划表'!$AG$76,1,(I$4+1)&amp;"年"&amp;M$5)</f>
        <v>1</v>
      </c>
      <c r="N337" s="312">
        <f>IF((I$4+1)&amp;"年"&amp;N$5&lt;&gt;'9.项目开发计划表'!$AG$76,1,(I$4+1)&amp;"年"&amp;N$5)</f>
        <v>1</v>
      </c>
      <c r="O337" s="312">
        <f>IF((I$4+1)&amp;"年"&amp;O$5&lt;&gt;'9.项目开发计划表'!$AG$76,1,(I$4+1)&amp;"年"&amp;O$5)</f>
        <v>1</v>
      </c>
      <c r="P337" s="313">
        <f>IF((I$4+1)&amp;"年"&amp;P$5&lt;&gt;'9.项目开发计划表'!$AG$76,1,(I$4+1)&amp;"年"&amp;P$5)</f>
        <v>1</v>
      </c>
      <c r="Q337" s="322">
        <f>IF((M$4+1)&amp;"年"&amp;Q$5&lt;&gt;'9.项目开发计划表'!$AG$76,1,(M$4+1)&amp;"年"&amp;Q$5)</f>
        <v>1</v>
      </c>
      <c r="R337" s="312">
        <f>IF((M$4+1)&amp;"年"&amp;R$5&lt;&gt;'9.项目开发计划表'!$AG$76,1,(M$4+1)&amp;"年"&amp;R$5)</f>
        <v>1</v>
      </c>
      <c r="S337" s="312">
        <f>IF((M$4+1)&amp;"年"&amp;S$5&lt;&gt;'9.项目开发计划表'!$AG$76,1,(M$4+1)&amp;"年"&amp;S$5)</f>
        <v>1</v>
      </c>
      <c r="T337" s="313">
        <f>IF((M$4+1)&amp;"年"&amp;T$5&lt;&gt;'9.项目开发计划表'!$AG$76,1,(M$4+1)&amp;"年"&amp;T$5)</f>
        <v>1</v>
      </c>
      <c r="U337" s="322">
        <f>IF((Q$4+1)&amp;"年"&amp;U$5&lt;&gt;'9.项目开发计划表'!$AG$76,1,(Q$4+1)&amp;"年"&amp;U$5)</f>
        <v>1</v>
      </c>
      <c r="V337" s="312">
        <f>IF((Q$4+1)&amp;"年"&amp;V$5&lt;&gt;'9.项目开发计划表'!$AG$76,1,(Q$4+1)&amp;"年"&amp;V$5)</f>
        <v>1</v>
      </c>
      <c r="W337" s="312">
        <f>IF((Q$4+1)&amp;"年"&amp;W$5&lt;&gt;'9.项目开发计划表'!$AG$76,1,(Q$4+1)&amp;"年"&amp;W$5)</f>
        <v>1</v>
      </c>
      <c r="X337" s="313">
        <f>IF((Q$4+1)&amp;"年"&amp;X$5&lt;&gt;'9.项目开发计划表'!$AG$76,1,(Q$4+1)&amp;"年"&amp;X$5)</f>
        <v>1</v>
      </c>
      <c r="Y337" s="322">
        <f>IF((U$4+1)&amp;"年"&amp;Y$5&lt;&gt;'9.项目开发计划表'!$AG$76,1,(U$4+1)&amp;"年"&amp;Y$5)</f>
        <v>1</v>
      </c>
      <c r="Z337" s="312">
        <f>IF((U$4+1)&amp;"年"&amp;Z$5&lt;&gt;'9.项目开发计划表'!$AG$76,1,(U$4+1)&amp;"年"&amp;Z$5)</f>
        <v>1</v>
      </c>
      <c r="AA337" s="312">
        <f>IF((U$4+1)&amp;"年"&amp;AA$5&lt;&gt;'9.项目开发计划表'!$AG$76,1,(U$4+1)&amp;"年"&amp;AA$5)</f>
        <v>1</v>
      </c>
      <c r="AB337" s="313">
        <f>IF((U$4+1)&amp;"年"&amp;AB$5&lt;&gt;'9.项目开发计划表'!$AG$76,1,(U$4+1)&amp;"年"&amp;AB$5)</f>
        <v>1</v>
      </c>
      <c r="AC337" s="322">
        <f>IF((Y$4+1)&amp;"年"&amp;AC$5&lt;&gt;'9.项目开发计划表'!$AG$76,1,(Y$4+1)&amp;"年"&amp;AC$5)</f>
        <v>1</v>
      </c>
      <c r="AD337" s="312">
        <f>IF((Y$4+1)&amp;"年"&amp;AD$5&lt;&gt;'9.项目开发计划表'!$AG$76,1,(Y$4+1)&amp;"年"&amp;AD$5)</f>
        <v>1</v>
      </c>
      <c r="AE337" s="312">
        <f>IF((Y$4+1)&amp;"年"&amp;AE$5&lt;&gt;'9.项目开发计划表'!$AG$76,1,(Y$4+1)&amp;"年"&amp;AE$5)</f>
        <v>1</v>
      </c>
      <c r="AF337" s="313">
        <f>IF((Y$4+1)&amp;"年"&amp;AF$5&lt;&gt;'9.项目开发计划表'!$AG$76,1,(Y$4+1)&amp;"年"&amp;AF$5)</f>
        <v>1</v>
      </c>
      <c r="AG337" s="322">
        <f>IF((AC$4+1)&amp;"年"&amp;AG$5&lt;&gt;'9.项目开发计划表'!$AG$76,1,(AC$4+1)&amp;"年"&amp;AG$5)</f>
        <v>1</v>
      </c>
      <c r="AH337" s="312">
        <f>IF((AC$4+1)&amp;"年"&amp;AH$5&lt;&gt;'9.项目开发计划表'!$AG$76,1,(AC$4+1)&amp;"年"&amp;AH$5)</f>
        <v>1</v>
      </c>
      <c r="AI337" s="312">
        <f>IF((AC$4+1)&amp;"年"&amp;AI$5&lt;&gt;'9.项目开发计划表'!$AG$76,1,(AC$4+1)&amp;"年"&amp;AI$5)</f>
        <v>1</v>
      </c>
      <c r="AJ337" s="313">
        <f>IF((AC$4+1)&amp;"年"&amp;AJ$5&lt;&gt;'9.项目开发计划表'!$AG$76,1,(AC$4+1)&amp;"年"&amp;AJ$5)</f>
        <v>1</v>
      </c>
      <c r="AK337" s="322">
        <f>IF((AG$4+1)&amp;"年"&amp;AK$5&lt;&gt;'9.项目开发计划表'!$AG$76,1,(AG$4+1)&amp;"年"&amp;AK$5)</f>
        <v>1</v>
      </c>
      <c r="AL337" s="312">
        <f>IF((AG$4+1)&amp;"年"&amp;AL$5&lt;&gt;'9.项目开发计划表'!$AG$76,1,(AG$4+1)&amp;"年"&amp;AL$5)</f>
        <v>1</v>
      </c>
      <c r="AM337" s="312">
        <f>IF((AG$4+1)&amp;"年"&amp;AM$5&lt;&gt;'9.项目开发计划表'!$AG$76,1,(AG$4+1)&amp;"年"&amp;AM$5)</f>
        <v>1</v>
      </c>
      <c r="AN337" s="313">
        <f>IF((AG$4+1)&amp;"年"&amp;AN$5&lt;&gt;'9.项目开发计划表'!$AG$76,1,(AG$4+1)&amp;"年"&amp;AN$5)</f>
        <v>1</v>
      </c>
      <c r="AO337" s="322">
        <f>IF((AK$4+1)&amp;"年"&amp;AO$5&lt;&gt;'9.项目开发计划表'!$AG$76,1,(AK$4+1)&amp;"年"&amp;AO$5)</f>
        <v>1</v>
      </c>
      <c r="AP337" s="312">
        <f>IF((AK$4+1)&amp;"年"&amp;AP$5&lt;&gt;'9.项目开发计划表'!$AG$76,1,(AK$4+1)&amp;"年"&amp;AP$5)</f>
        <v>1</v>
      </c>
      <c r="AQ337" s="312">
        <f>IF((AK$4+1)&amp;"年"&amp;AQ$5&lt;&gt;'9.项目开发计划表'!$AG$76,1,(AK$4+1)&amp;"年"&amp;AQ$5)</f>
        <v>1</v>
      </c>
      <c r="AR337" s="313">
        <f>IF((AK$4+1)&amp;"年"&amp;AR$5&lt;&gt;'9.项目开发计划表'!$AG$76,1,(AK$4+1)&amp;"年"&amp;AR$5)</f>
        <v>1</v>
      </c>
      <c r="AS337" s="322">
        <f>IF((AO$4+1)&amp;"年"&amp;AS$5&lt;&gt;'9.项目开发计划表'!$AG$76,1,(AO$4+1)&amp;"年"&amp;AS$5)</f>
        <v>1</v>
      </c>
      <c r="AT337" s="312">
        <f>IF((AO$4+1)&amp;"年"&amp;AT$5&lt;&gt;'9.项目开发计划表'!$AG$76,1,(AO$4+1)&amp;"年"&amp;AT$5)</f>
        <v>1</v>
      </c>
      <c r="AU337" s="312">
        <f>IF((AO$4+1)&amp;"年"&amp;AU$5&lt;&gt;'9.项目开发计划表'!$AG$76,1,(AO$4+1)&amp;"年"&amp;AU$5)</f>
        <v>1</v>
      </c>
      <c r="AV337" s="313">
        <f>IF((AO$4+1)&amp;"年"&amp;AV$5&lt;&gt;'9.项目开发计划表'!$AG$76,1,(AO$4+1)&amp;"年"&amp;AV$5)</f>
        <v>1</v>
      </c>
    </row>
    <row r="338" spans="2:48" outlineLevel="1">
      <c r="C338" s="1980"/>
      <c r="D338" s="1982"/>
      <c r="E338" s="280">
        <f t="shared" ref="E338:AV338" si="121">IF(E337=1,0,1)</f>
        <v>0</v>
      </c>
      <c r="F338" s="281">
        <f t="shared" si="121"/>
        <v>0</v>
      </c>
      <c r="G338" s="281">
        <f t="shared" si="121"/>
        <v>0</v>
      </c>
      <c r="H338" s="282">
        <f t="shared" si="121"/>
        <v>0</v>
      </c>
      <c r="I338" s="323">
        <f t="shared" si="121"/>
        <v>0</v>
      </c>
      <c r="J338" s="281">
        <f t="shared" si="121"/>
        <v>0</v>
      </c>
      <c r="K338" s="281">
        <f t="shared" si="121"/>
        <v>0</v>
      </c>
      <c r="L338" s="282">
        <f t="shared" si="121"/>
        <v>0</v>
      </c>
      <c r="M338" s="323">
        <f t="shared" si="121"/>
        <v>0</v>
      </c>
      <c r="N338" s="281">
        <f t="shared" si="121"/>
        <v>0</v>
      </c>
      <c r="O338" s="281">
        <f t="shared" si="121"/>
        <v>0</v>
      </c>
      <c r="P338" s="282">
        <f t="shared" si="121"/>
        <v>0</v>
      </c>
      <c r="Q338" s="323">
        <f t="shared" si="121"/>
        <v>0</v>
      </c>
      <c r="R338" s="281">
        <f t="shared" si="121"/>
        <v>0</v>
      </c>
      <c r="S338" s="281">
        <f t="shared" si="121"/>
        <v>0</v>
      </c>
      <c r="T338" s="282">
        <f t="shared" si="121"/>
        <v>0</v>
      </c>
      <c r="U338" s="323">
        <f t="shared" si="121"/>
        <v>0</v>
      </c>
      <c r="V338" s="281">
        <f t="shared" si="121"/>
        <v>0</v>
      </c>
      <c r="W338" s="281">
        <f t="shared" si="121"/>
        <v>0</v>
      </c>
      <c r="X338" s="282">
        <f t="shared" si="121"/>
        <v>0</v>
      </c>
      <c r="Y338" s="323">
        <f t="shared" si="121"/>
        <v>0</v>
      </c>
      <c r="Z338" s="281">
        <f t="shared" si="121"/>
        <v>0</v>
      </c>
      <c r="AA338" s="281">
        <f t="shared" si="121"/>
        <v>0</v>
      </c>
      <c r="AB338" s="282">
        <f t="shared" si="121"/>
        <v>0</v>
      </c>
      <c r="AC338" s="323">
        <f t="shared" si="121"/>
        <v>0</v>
      </c>
      <c r="AD338" s="281">
        <f t="shared" si="121"/>
        <v>0</v>
      </c>
      <c r="AE338" s="281">
        <f t="shared" si="121"/>
        <v>0</v>
      </c>
      <c r="AF338" s="282">
        <f t="shared" si="121"/>
        <v>0</v>
      </c>
      <c r="AG338" s="323">
        <f t="shared" si="121"/>
        <v>0</v>
      </c>
      <c r="AH338" s="281">
        <f t="shared" si="121"/>
        <v>0</v>
      </c>
      <c r="AI338" s="281">
        <f t="shared" si="121"/>
        <v>0</v>
      </c>
      <c r="AJ338" s="282">
        <f t="shared" si="121"/>
        <v>0</v>
      </c>
      <c r="AK338" s="323">
        <f t="shared" si="121"/>
        <v>0</v>
      </c>
      <c r="AL338" s="281">
        <f t="shared" si="121"/>
        <v>0</v>
      </c>
      <c r="AM338" s="281">
        <f t="shared" si="121"/>
        <v>0</v>
      </c>
      <c r="AN338" s="282">
        <f t="shared" si="121"/>
        <v>0</v>
      </c>
      <c r="AO338" s="323">
        <f t="shared" si="121"/>
        <v>0</v>
      </c>
      <c r="AP338" s="281">
        <f t="shared" si="121"/>
        <v>0</v>
      </c>
      <c r="AQ338" s="281">
        <f t="shared" si="121"/>
        <v>0</v>
      </c>
      <c r="AR338" s="282">
        <f t="shared" si="121"/>
        <v>0</v>
      </c>
      <c r="AS338" s="323">
        <f t="shared" si="121"/>
        <v>0</v>
      </c>
      <c r="AT338" s="281">
        <f t="shared" si="121"/>
        <v>0</v>
      </c>
      <c r="AU338" s="281">
        <f t="shared" si="121"/>
        <v>0</v>
      </c>
      <c r="AV338" s="282">
        <f t="shared" si="121"/>
        <v>0</v>
      </c>
    </row>
    <row r="339" spans="2:48" outlineLevel="1">
      <c r="C339" s="1980"/>
      <c r="D339" s="1981">
        <f>'8.项目规划指标表'!$B$12</f>
        <v>0</v>
      </c>
      <c r="E339" s="311">
        <f>IF($E$4&amp;"年"&amp;E$5&lt;&gt;'9.项目开发计划表'!$AG$77,1,$E$4&amp;"年"&amp;E$5)</f>
        <v>1</v>
      </c>
      <c r="F339" s="312">
        <f>IF($E$4&amp;"年"&amp;F$5&lt;&gt;'9.项目开发计划表'!$AG$77,1,$E$4&amp;"年"&amp;F$5)</f>
        <v>1</v>
      </c>
      <c r="G339" s="312">
        <f>IF($E$4&amp;"年"&amp;G$5&lt;&gt;'9.项目开发计划表'!$AG$77,1,$E$4&amp;"年"&amp;G$5)</f>
        <v>1</v>
      </c>
      <c r="H339" s="313">
        <f>IF($E$4&amp;"年"&amp;H$5&lt;&gt;'9.项目开发计划表'!$AG$77,1,$E$4&amp;"年"&amp;H$5)</f>
        <v>1</v>
      </c>
      <c r="I339" s="322">
        <f>IF((E$4+1)&amp;"年"&amp;I$5&lt;&gt;'9.项目开发计划表'!$AG$77,1,(E$4+1)&amp;"年"&amp;I$5)</f>
        <v>1</v>
      </c>
      <c r="J339" s="312">
        <f>IF((E$4+1)&amp;"年"&amp;J$5&lt;&gt;'9.项目开发计划表'!$AG$77,1,(E$4+1)&amp;"年"&amp;J$5)</f>
        <v>1</v>
      </c>
      <c r="K339" s="312">
        <f>IF((E$4+1)&amp;"年"&amp;K$5&lt;&gt;'9.项目开发计划表'!$AG$77,1,(E$4+1)&amp;"年"&amp;K$5)</f>
        <v>1</v>
      </c>
      <c r="L339" s="313">
        <f>IF((E$4+1)&amp;"年"&amp;L$5&lt;&gt;'9.项目开发计划表'!$AG$77,1,(E$4+1)&amp;"年"&amp;L$5)</f>
        <v>1</v>
      </c>
      <c r="M339" s="322">
        <f>IF((I$4+1)&amp;"年"&amp;M$5&lt;&gt;'9.项目开发计划表'!$AG$77,1,(I$4+1)&amp;"年"&amp;M$5)</f>
        <v>1</v>
      </c>
      <c r="N339" s="312">
        <f>IF((I$4+1)&amp;"年"&amp;N$5&lt;&gt;'9.项目开发计划表'!$AG$77,1,(I$4+1)&amp;"年"&amp;N$5)</f>
        <v>1</v>
      </c>
      <c r="O339" s="312">
        <f>IF((I$4+1)&amp;"年"&amp;O$5&lt;&gt;'9.项目开发计划表'!$AG$77,1,(I$4+1)&amp;"年"&amp;O$5)</f>
        <v>1</v>
      </c>
      <c r="P339" s="313">
        <f>IF((I$4+1)&amp;"年"&amp;P$5&lt;&gt;'9.项目开发计划表'!$AG$77,1,(I$4+1)&amp;"年"&amp;P$5)</f>
        <v>1</v>
      </c>
      <c r="Q339" s="322">
        <f>IF((M$4+1)&amp;"年"&amp;Q$5&lt;&gt;'9.项目开发计划表'!$AG$77,1,(M$4+1)&amp;"年"&amp;Q$5)</f>
        <v>1</v>
      </c>
      <c r="R339" s="312">
        <f>IF((M$4+1)&amp;"年"&amp;R$5&lt;&gt;'9.项目开发计划表'!$AG$77,1,(M$4+1)&amp;"年"&amp;R$5)</f>
        <v>1</v>
      </c>
      <c r="S339" s="312">
        <f>IF((M$4+1)&amp;"年"&amp;S$5&lt;&gt;'9.项目开发计划表'!$AG$77,1,(M$4+1)&amp;"年"&amp;S$5)</f>
        <v>1</v>
      </c>
      <c r="T339" s="313">
        <f>IF((M$4+1)&amp;"年"&amp;T$5&lt;&gt;'9.项目开发计划表'!$AG$77,1,(M$4+1)&amp;"年"&amp;T$5)</f>
        <v>1</v>
      </c>
      <c r="U339" s="322">
        <f>IF((Q$4+1)&amp;"年"&amp;U$5&lt;&gt;'9.项目开发计划表'!$AG$77,1,(Q$4+1)&amp;"年"&amp;U$5)</f>
        <v>1</v>
      </c>
      <c r="V339" s="312">
        <f>IF((Q$4+1)&amp;"年"&amp;V$5&lt;&gt;'9.项目开发计划表'!$AG$77,1,(Q$4+1)&amp;"年"&amp;V$5)</f>
        <v>1</v>
      </c>
      <c r="W339" s="312">
        <f>IF((Q$4+1)&amp;"年"&amp;W$5&lt;&gt;'9.项目开发计划表'!$AG$77,1,(Q$4+1)&amp;"年"&amp;W$5)</f>
        <v>1</v>
      </c>
      <c r="X339" s="313">
        <f>IF((Q$4+1)&amp;"年"&amp;X$5&lt;&gt;'9.项目开发计划表'!$AG$77,1,(Q$4+1)&amp;"年"&amp;X$5)</f>
        <v>1</v>
      </c>
      <c r="Y339" s="322">
        <f>IF((U$4+1)&amp;"年"&amp;Y$5&lt;&gt;'9.项目开发计划表'!$AG$77,1,(U$4+1)&amp;"年"&amp;Y$5)</f>
        <v>1</v>
      </c>
      <c r="Z339" s="312">
        <f>IF((U$4+1)&amp;"年"&amp;Z$5&lt;&gt;'9.项目开发计划表'!$AG$77,1,(U$4+1)&amp;"年"&amp;Z$5)</f>
        <v>1</v>
      </c>
      <c r="AA339" s="312">
        <f>IF((U$4+1)&amp;"年"&amp;AA$5&lt;&gt;'9.项目开发计划表'!$AG$77,1,(U$4+1)&amp;"年"&amp;AA$5)</f>
        <v>1</v>
      </c>
      <c r="AB339" s="313">
        <f>IF((U$4+1)&amp;"年"&amp;AB$5&lt;&gt;'9.项目开发计划表'!$AG$77,1,(U$4+1)&amp;"年"&amp;AB$5)</f>
        <v>1</v>
      </c>
      <c r="AC339" s="322">
        <f>IF((Y$4+1)&amp;"年"&amp;AC$5&lt;&gt;'9.项目开发计划表'!$AG$77,1,(Y$4+1)&amp;"年"&amp;AC$5)</f>
        <v>1</v>
      </c>
      <c r="AD339" s="312">
        <f>IF((Y$4+1)&amp;"年"&amp;AD$5&lt;&gt;'9.项目开发计划表'!$AG$77,1,(Y$4+1)&amp;"年"&amp;AD$5)</f>
        <v>1</v>
      </c>
      <c r="AE339" s="312">
        <f>IF((Y$4+1)&amp;"年"&amp;AE$5&lt;&gt;'9.项目开发计划表'!$AG$77,1,(Y$4+1)&amp;"年"&amp;AE$5)</f>
        <v>1</v>
      </c>
      <c r="AF339" s="313">
        <f>IF((Y$4+1)&amp;"年"&amp;AF$5&lt;&gt;'9.项目开发计划表'!$AG$77,1,(Y$4+1)&amp;"年"&amp;AF$5)</f>
        <v>1</v>
      </c>
      <c r="AG339" s="322">
        <f>IF((AC$4+1)&amp;"年"&amp;AG$5&lt;&gt;'9.项目开发计划表'!$AG$77,1,(AC$4+1)&amp;"年"&amp;AG$5)</f>
        <v>1</v>
      </c>
      <c r="AH339" s="312">
        <f>IF((AC$4+1)&amp;"年"&amp;AH$5&lt;&gt;'9.项目开发计划表'!$AG$77,1,(AC$4+1)&amp;"年"&amp;AH$5)</f>
        <v>1</v>
      </c>
      <c r="AI339" s="312">
        <f>IF((AC$4+1)&amp;"年"&amp;AI$5&lt;&gt;'9.项目开发计划表'!$AG$77,1,(AC$4+1)&amp;"年"&amp;AI$5)</f>
        <v>1</v>
      </c>
      <c r="AJ339" s="313">
        <f>IF((AC$4+1)&amp;"年"&amp;AJ$5&lt;&gt;'9.项目开发计划表'!$AG$77,1,(AC$4+1)&amp;"年"&amp;AJ$5)</f>
        <v>1</v>
      </c>
      <c r="AK339" s="322">
        <f>IF((AG$4+1)&amp;"年"&amp;AK$5&lt;&gt;'9.项目开发计划表'!$AG$77,1,(AG$4+1)&amp;"年"&amp;AK$5)</f>
        <v>1</v>
      </c>
      <c r="AL339" s="312">
        <f>IF((AG$4+1)&amp;"年"&amp;AL$5&lt;&gt;'9.项目开发计划表'!$AG$77,1,(AG$4+1)&amp;"年"&amp;AL$5)</f>
        <v>1</v>
      </c>
      <c r="AM339" s="312">
        <f>IF((AG$4+1)&amp;"年"&amp;AM$5&lt;&gt;'9.项目开发计划表'!$AG$77,1,(AG$4+1)&amp;"年"&amp;AM$5)</f>
        <v>1</v>
      </c>
      <c r="AN339" s="313">
        <f>IF((AG$4+1)&amp;"年"&amp;AN$5&lt;&gt;'9.项目开发计划表'!$AG$77,1,(AG$4+1)&amp;"年"&amp;AN$5)</f>
        <v>1</v>
      </c>
      <c r="AO339" s="322">
        <f>IF((AK$4+1)&amp;"年"&amp;AO$5&lt;&gt;'9.项目开发计划表'!$AG$77,1,(AK$4+1)&amp;"年"&amp;AO$5)</f>
        <v>1</v>
      </c>
      <c r="AP339" s="312">
        <f>IF((AK$4+1)&amp;"年"&amp;AP$5&lt;&gt;'9.项目开发计划表'!$AG$77,1,(AK$4+1)&amp;"年"&amp;AP$5)</f>
        <v>1</v>
      </c>
      <c r="AQ339" s="312">
        <f>IF((AK$4+1)&amp;"年"&amp;AQ$5&lt;&gt;'9.项目开发计划表'!$AG$77,1,(AK$4+1)&amp;"年"&amp;AQ$5)</f>
        <v>1</v>
      </c>
      <c r="AR339" s="313">
        <f>IF((AK$4+1)&amp;"年"&amp;AR$5&lt;&gt;'9.项目开发计划表'!$AG$77,1,(AK$4+1)&amp;"年"&amp;AR$5)</f>
        <v>1</v>
      </c>
      <c r="AS339" s="322">
        <f>IF((AO$4+1)&amp;"年"&amp;AS$5&lt;&gt;'9.项目开发计划表'!$AG$77,1,(AO$4+1)&amp;"年"&amp;AS$5)</f>
        <v>1</v>
      </c>
      <c r="AT339" s="312">
        <f>IF((AO$4+1)&amp;"年"&amp;AT$5&lt;&gt;'9.项目开发计划表'!$AG$77,1,(AO$4+1)&amp;"年"&amp;AT$5)</f>
        <v>1</v>
      </c>
      <c r="AU339" s="312">
        <f>IF((AO$4+1)&amp;"年"&amp;AU$5&lt;&gt;'9.项目开发计划表'!$AG$77,1,(AO$4+1)&amp;"年"&amp;AU$5)</f>
        <v>1</v>
      </c>
      <c r="AV339" s="313">
        <f>IF((AO$4+1)&amp;"年"&amp;AV$5&lt;&gt;'9.项目开发计划表'!$AG$77,1,(AO$4+1)&amp;"年"&amp;AV$5)</f>
        <v>1</v>
      </c>
    </row>
    <row r="340" spans="2:48" outlineLevel="1">
      <c r="C340" s="1980"/>
      <c r="D340" s="1982"/>
      <c r="E340" s="280">
        <f t="shared" ref="E340:AV340" si="122">IF(E339=1,0,1)</f>
        <v>0</v>
      </c>
      <c r="F340" s="281">
        <f t="shared" si="122"/>
        <v>0</v>
      </c>
      <c r="G340" s="281">
        <f t="shared" si="122"/>
        <v>0</v>
      </c>
      <c r="H340" s="282">
        <f t="shared" si="122"/>
        <v>0</v>
      </c>
      <c r="I340" s="323">
        <f t="shared" si="122"/>
        <v>0</v>
      </c>
      <c r="J340" s="281">
        <f t="shared" si="122"/>
        <v>0</v>
      </c>
      <c r="K340" s="281">
        <f t="shared" si="122"/>
        <v>0</v>
      </c>
      <c r="L340" s="282">
        <f t="shared" si="122"/>
        <v>0</v>
      </c>
      <c r="M340" s="323">
        <f t="shared" si="122"/>
        <v>0</v>
      </c>
      <c r="N340" s="281">
        <f t="shared" si="122"/>
        <v>0</v>
      </c>
      <c r="O340" s="281">
        <f t="shared" si="122"/>
        <v>0</v>
      </c>
      <c r="P340" s="282">
        <f t="shared" si="122"/>
        <v>0</v>
      </c>
      <c r="Q340" s="323">
        <f t="shared" si="122"/>
        <v>0</v>
      </c>
      <c r="R340" s="281">
        <f t="shared" si="122"/>
        <v>0</v>
      </c>
      <c r="S340" s="281">
        <f t="shared" si="122"/>
        <v>0</v>
      </c>
      <c r="T340" s="282">
        <f t="shared" si="122"/>
        <v>0</v>
      </c>
      <c r="U340" s="323">
        <f t="shared" si="122"/>
        <v>0</v>
      </c>
      <c r="V340" s="281">
        <f t="shared" si="122"/>
        <v>0</v>
      </c>
      <c r="W340" s="281">
        <f t="shared" si="122"/>
        <v>0</v>
      </c>
      <c r="X340" s="282">
        <f t="shared" si="122"/>
        <v>0</v>
      </c>
      <c r="Y340" s="323">
        <f t="shared" si="122"/>
        <v>0</v>
      </c>
      <c r="Z340" s="281">
        <f t="shared" si="122"/>
        <v>0</v>
      </c>
      <c r="AA340" s="281">
        <f t="shared" si="122"/>
        <v>0</v>
      </c>
      <c r="AB340" s="282">
        <f t="shared" si="122"/>
        <v>0</v>
      </c>
      <c r="AC340" s="323">
        <f t="shared" si="122"/>
        <v>0</v>
      </c>
      <c r="AD340" s="281">
        <f t="shared" si="122"/>
        <v>0</v>
      </c>
      <c r="AE340" s="281">
        <f t="shared" si="122"/>
        <v>0</v>
      </c>
      <c r="AF340" s="282">
        <f t="shared" si="122"/>
        <v>0</v>
      </c>
      <c r="AG340" s="323">
        <f t="shared" si="122"/>
        <v>0</v>
      </c>
      <c r="AH340" s="281">
        <f t="shared" si="122"/>
        <v>0</v>
      </c>
      <c r="AI340" s="281">
        <f t="shared" si="122"/>
        <v>0</v>
      </c>
      <c r="AJ340" s="282">
        <f t="shared" si="122"/>
        <v>0</v>
      </c>
      <c r="AK340" s="323">
        <f t="shared" si="122"/>
        <v>0</v>
      </c>
      <c r="AL340" s="281">
        <f t="shared" si="122"/>
        <v>0</v>
      </c>
      <c r="AM340" s="281">
        <f t="shared" si="122"/>
        <v>0</v>
      </c>
      <c r="AN340" s="282">
        <f t="shared" si="122"/>
        <v>0</v>
      </c>
      <c r="AO340" s="323">
        <f t="shared" si="122"/>
        <v>0</v>
      </c>
      <c r="AP340" s="281">
        <f t="shared" si="122"/>
        <v>0</v>
      </c>
      <c r="AQ340" s="281">
        <f t="shared" si="122"/>
        <v>0</v>
      </c>
      <c r="AR340" s="282">
        <f t="shared" si="122"/>
        <v>0</v>
      </c>
      <c r="AS340" s="323">
        <f t="shared" si="122"/>
        <v>0</v>
      </c>
      <c r="AT340" s="281">
        <f t="shared" si="122"/>
        <v>0</v>
      </c>
      <c r="AU340" s="281">
        <f t="shared" si="122"/>
        <v>0</v>
      </c>
      <c r="AV340" s="282">
        <f t="shared" si="122"/>
        <v>0</v>
      </c>
    </row>
    <row r="341" spans="2:48" outlineLevel="1">
      <c r="C341" s="1980"/>
      <c r="D341" s="1981">
        <f>'8.项目规划指标表'!$B$13</f>
        <v>0</v>
      </c>
      <c r="E341" s="311">
        <f>IF($E$4&amp;"年"&amp;E$5&lt;&gt;'9.项目开发计划表'!$AG$78,1,$E$4&amp;"年"&amp;E$5)</f>
        <v>1</v>
      </c>
      <c r="F341" s="312">
        <f>IF($E$4&amp;"年"&amp;F$5&lt;&gt;'9.项目开发计划表'!$AG$78,1,$E$4&amp;"年"&amp;F$5)</f>
        <v>1</v>
      </c>
      <c r="G341" s="312">
        <f>IF($E$4&amp;"年"&amp;G$5&lt;&gt;'9.项目开发计划表'!$AG$78,1,$E$4&amp;"年"&amp;G$5)</f>
        <v>1</v>
      </c>
      <c r="H341" s="313">
        <f>IF($E$4&amp;"年"&amp;H$5&lt;&gt;'9.项目开发计划表'!$AG$78,1,$E$4&amp;"年"&amp;H$5)</f>
        <v>1</v>
      </c>
      <c r="I341" s="322">
        <f>IF((E$4+1)&amp;"年"&amp;I$5&lt;&gt;'9.项目开发计划表'!$AG$78,1,(E$4+1)&amp;"年"&amp;I$5)</f>
        <v>1</v>
      </c>
      <c r="J341" s="312">
        <f>IF((E$4+1)&amp;"年"&amp;J$5&lt;&gt;'9.项目开发计划表'!$AG$78,1,(E$4+1)&amp;"年"&amp;J$5)</f>
        <v>1</v>
      </c>
      <c r="K341" s="312">
        <f>IF((E$4+1)&amp;"年"&amp;K$5&lt;&gt;'9.项目开发计划表'!$AG$78,1,(E$4+1)&amp;"年"&amp;K$5)</f>
        <v>1</v>
      </c>
      <c r="L341" s="313">
        <f>IF((E$4+1)&amp;"年"&amp;L$5&lt;&gt;'9.项目开发计划表'!$AG$78,1,(E$4+1)&amp;"年"&amp;L$5)</f>
        <v>1</v>
      </c>
      <c r="M341" s="322">
        <f>IF((I$4+1)&amp;"年"&amp;M$5&lt;&gt;'9.项目开发计划表'!$AG$78,1,(I$4+1)&amp;"年"&amp;M$5)</f>
        <v>1</v>
      </c>
      <c r="N341" s="312">
        <f>IF((I$4+1)&amp;"年"&amp;N$5&lt;&gt;'9.项目开发计划表'!$AG$78,1,(I$4+1)&amp;"年"&amp;N$5)</f>
        <v>1</v>
      </c>
      <c r="O341" s="312">
        <f>IF((I$4+1)&amp;"年"&amp;O$5&lt;&gt;'9.项目开发计划表'!$AG$78,1,(I$4+1)&amp;"年"&amp;O$5)</f>
        <v>1</v>
      </c>
      <c r="P341" s="313">
        <f>IF((I$4+1)&amp;"年"&amp;P$5&lt;&gt;'9.项目开发计划表'!$AG$78,1,(I$4+1)&amp;"年"&amp;P$5)</f>
        <v>1</v>
      </c>
      <c r="Q341" s="322">
        <f>IF((M$4+1)&amp;"年"&amp;Q$5&lt;&gt;'9.项目开发计划表'!$AG$78,1,(M$4+1)&amp;"年"&amp;Q$5)</f>
        <v>1</v>
      </c>
      <c r="R341" s="312">
        <f>IF((M$4+1)&amp;"年"&amp;R$5&lt;&gt;'9.项目开发计划表'!$AG$78,1,(M$4+1)&amp;"年"&amp;R$5)</f>
        <v>1</v>
      </c>
      <c r="S341" s="312">
        <f>IF((M$4+1)&amp;"年"&amp;S$5&lt;&gt;'9.项目开发计划表'!$AG$78,1,(M$4+1)&amp;"年"&amp;S$5)</f>
        <v>1</v>
      </c>
      <c r="T341" s="313">
        <f>IF((M$4+1)&amp;"年"&amp;T$5&lt;&gt;'9.项目开发计划表'!$AG$78,1,(M$4+1)&amp;"年"&amp;T$5)</f>
        <v>1</v>
      </c>
      <c r="U341" s="322">
        <f>IF((Q$4+1)&amp;"年"&amp;U$5&lt;&gt;'9.项目开发计划表'!$AG$78,1,(Q$4+1)&amp;"年"&amp;U$5)</f>
        <v>1</v>
      </c>
      <c r="V341" s="312">
        <f>IF((Q$4+1)&amp;"年"&amp;V$5&lt;&gt;'9.项目开发计划表'!$AG$78,1,(Q$4+1)&amp;"年"&amp;V$5)</f>
        <v>1</v>
      </c>
      <c r="W341" s="312">
        <f>IF((Q$4+1)&amp;"年"&amp;W$5&lt;&gt;'9.项目开发计划表'!$AG$78,1,(Q$4+1)&amp;"年"&amp;W$5)</f>
        <v>1</v>
      </c>
      <c r="X341" s="313">
        <f>IF((Q$4+1)&amp;"年"&amp;X$5&lt;&gt;'9.项目开发计划表'!$AG$78,1,(Q$4+1)&amp;"年"&amp;X$5)</f>
        <v>1</v>
      </c>
      <c r="Y341" s="322">
        <f>IF((U$4+1)&amp;"年"&amp;Y$5&lt;&gt;'9.项目开发计划表'!$AG$78,1,(U$4+1)&amp;"年"&amp;Y$5)</f>
        <v>1</v>
      </c>
      <c r="Z341" s="312">
        <f>IF((U$4+1)&amp;"年"&amp;Z$5&lt;&gt;'9.项目开发计划表'!$AG$78,1,(U$4+1)&amp;"年"&amp;Z$5)</f>
        <v>1</v>
      </c>
      <c r="AA341" s="312">
        <f>IF((U$4+1)&amp;"年"&amp;AA$5&lt;&gt;'9.项目开发计划表'!$AG$78,1,(U$4+1)&amp;"年"&amp;AA$5)</f>
        <v>1</v>
      </c>
      <c r="AB341" s="313">
        <f>IF((U$4+1)&amp;"年"&amp;AB$5&lt;&gt;'9.项目开发计划表'!$AG$78,1,(U$4+1)&amp;"年"&amp;AB$5)</f>
        <v>1</v>
      </c>
      <c r="AC341" s="322">
        <f>IF((Y$4+1)&amp;"年"&amp;AC$5&lt;&gt;'9.项目开发计划表'!$AG$78,1,(Y$4+1)&amp;"年"&amp;AC$5)</f>
        <v>1</v>
      </c>
      <c r="AD341" s="312">
        <f>IF((Y$4+1)&amp;"年"&amp;AD$5&lt;&gt;'9.项目开发计划表'!$AG$78,1,(Y$4+1)&amp;"年"&amp;AD$5)</f>
        <v>1</v>
      </c>
      <c r="AE341" s="312">
        <f>IF((Y$4+1)&amp;"年"&amp;AE$5&lt;&gt;'9.项目开发计划表'!$AG$78,1,(Y$4+1)&amp;"年"&amp;AE$5)</f>
        <v>1</v>
      </c>
      <c r="AF341" s="313">
        <f>IF((Y$4+1)&amp;"年"&amp;AF$5&lt;&gt;'9.项目开发计划表'!$AG$78,1,(Y$4+1)&amp;"年"&amp;AF$5)</f>
        <v>1</v>
      </c>
      <c r="AG341" s="322">
        <f>IF((AC$4+1)&amp;"年"&amp;AG$5&lt;&gt;'9.项目开发计划表'!$AG$78,1,(AC$4+1)&amp;"年"&amp;AG$5)</f>
        <v>1</v>
      </c>
      <c r="AH341" s="312">
        <f>IF((AC$4+1)&amp;"年"&amp;AH$5&lt;&gt;'9.项目开发计划表'!$AG$78,1,(AC$4+1)&amp;"年"&amp;AH$5)</f>
        <v>1</v>
      </c>
      <c r="AI341" s="312">
        <f>IF((AC$4+1)&amp;"年"&amp;AI$5&lt;&gt;'9.项目开发计划表'!$AG$78,1,(AC$4+1)&amp;"年"&amp;AI$5)</f>
        <v>1</v>
      </c>
      <c r="AJ341" s="313">
        <f>IF((AC$4+1)&amp;"年"&amp;AJ$5&lt;&gt;'9.项目开发计划表'!$AG$78,1,(AC$4+1)&amp;"年"&amp;AJ$5)</f>
        <v>1</v>
      </c>
      <c r="AK341" s="322">
        <f>IF((AG$4+1)&amp;"年"&amp;AK$5&lt;&gt;'9.项目开发计划表'!$AG$78,1,(AG$4+1)&amp;"年"&amp;AK$5)</f>
        <v>1</v>
      </c>
      <c r="AL341" s="312">
        <f>IF((AG$4+1)&amp;"年"&amp;AL$5&lt;&gt;'9.项目开发计划表'!$AG$78,1,(AG$4+1)&amp;"年"&amp;AL$5)</f>
        <v>1</v>
      </c>
      <c r="AM341" s="312">
        <f>IF((AG$4+1)&amp;"年"&amp;AM$5&lt;&gt;'9.项目开发计划表'!$AG$78,1,(AG$4+1)&amp;"年"&amp;AM$5)</f>
        <v>1</v>
      </c>
      <c r="AN341" s="313">
        <f>IF((AG$4+1)&amp;"年"&amp;AN$5&lt;&gt;'9.项目开发计划表'!$AG$78,1,(AG$4+1)&amp;"年"&amp;AN$5)</f>
        <v>1</v>
      </c>
      <c r="AO341" s="322">
        <f>IF((AK$4+1)&amp;"年"&amp;AO$5&lt;&gt;'9.项目开发计划表'!$AG$78,1,(AK$4+1)&amp;"年"&amp;AO$5)</f>
        <v>1</v>
      </c>
      <c r="AP341" s="312">
        <f>IF((AK$4+1)&amp;"年"&amp;AP$5&lt;&gt;'9.项目开发计划表'!$AG$78,1,(AK$4+1)&amp;"年"&amp;AP$5)</f>
        <v>1</v>
      </c>
      <c r="AQ341" s="312">
        <f>IF((AK$4+1)&amp;"年"&amp;AQ$5&lt;&gt;'9.项目开发计划表'!$AG$78,1,(AK$4+1)&amp;"年"&amp;AQ$5)</f>
        <v>1</v>
      </c>
      <c r="AR341" s="313">
        <f>IF((AK$4+1)&amp;"年"&amp;AR$5&lt;&gt;'9.项目开发计划表'!$AG$78,1,(AK$4+1)&amp;"年"&amp;AR$5)</f>
        <v>1</v>
      </c>
      <c r="AS341" s="322">
        <f>IF((AO$4+1)&amp;"年"&amp;AS$5&lt;&gt;'9.项目开发计划表'!$AG$78,1,(AO$4+1)&amp;"年"&amp;AS$5)</f>
        <v>1</v>
      </c>
      <c r="AT341" s="312">
        <f>IF((AO$4+1)&amp;"年"&amp;AT$5&lt;&gt;'9.项目开发计划表'!$AG$78,1,(AO$4+1)&amp;"年"&amp;AT$5)</f>
        <v>1</v>
      </c>
      <c r="AU341" s="312">
        <f>IF((AO$4+1)&amp;"年"&amp;AU$5&lt;&gt;'9.项目开发计划表'!$AG$78,1,(AO$4+1)&amp;"年"&amp;AU$5)</f>
        <v>1</v>
      </c>
      <c r="AV341" s="313">
        <f>IF((AO$4+1)&amp;"年"&amp;AV$5&lt;&gt;'9.项目开发计划表'!$AG$78,1,(AO$4+1)&amp;"年"&amp;AV$5)</f>
        <v>1</v>
      </c>
    </row>
    <row r="342" spans="2:48" outlineLevel="1">
      <c r="C342" s="1980"/>
      <c r="D342" s="1982"/>
      <c r="E342" s="280">
        <f t="shared" ref="E342:AV342" si="123">IF(E341=1,0,1)</f>
        <v>0</v>
      </c>
      <c r="F342" s="281">
        <f t="shared" si="123"/>
        <v>0</v>
      </c>
      <c r="G342" s="281">
        <f t="shared" si="123"/>
        <v>0</v>
      </c>
      <c r="H342" s="282">
        <f t="shared" si="123"/>
        <v>0</v>
      </c>
      <c r="I342" s="323">
        <f t="shared" si="123"/>
        <v>0</v>
      </c>
      <c r="J342" s="281">
        <f t="shared" si="123"/>
        <v>0</v>
      </c>
      <c r="K342" s="281">
        <f t="shared" si="123"/>
        <v>0</v>
      </c>
      <c r="L342" s="282">
        <f t="shared" si="123"/>
        <v>0</v>
      </c>
      <c r="M342" s="323">
        <f t="shared" si="123"/>
        <v>0</v>
      </c>
      <c r="N342" s="281">
        <f t="shared" si="123"/>
        <v>0</v>
      </c>
      <c r="O342" s="281">
        <f t="shared" si="123"/>
        <v>0</v>
      </c>
      <c r="P342" s="282">
        <f t="shared" si="123"/>
        <v>0</v>
      </c>
      <c r="Q342" s="323">
        <f t="shared" si="123"/>
        <v>0</v>
      </c>
      <c r="R342" s="281">
        <f t="shared" si="123"/>
        <v>0</v>
      </c>
      <c r="S342" s="281">
        <f t="shared" si="123"/>
        <v>0</v>
      </c>
      <c r="T342" s="282">
        <f t="shared" si="123"/>
        <v>0</v>
      </c>
      <c r="U342" s="323">
        <f t="shared" si="123"/>
        <v>0</v>
      </c>
      <c r="V342" s="281">
        <f t="shared" si="123"/>
        <v>0</v>
      </c>
      <c r="W342" s="281">
        <f t="shared" si="123"/>
        <v>0</v>
      </c>
      <c r="X342" s="282">
        <f t="shared" si="123"/>
        <v>0</v>
      </c>
      <c r="Y342" s="323">
        <f t="shared" si="123"/>
        <v>0</v>
      </c>
      <c r="Z342" s="281">
        <f t="shared" si="123"/>
        <v>0</v>
      </c>
      <c r="AA342" s="281">
        <f t="shared" si="123"/>
        <v>0</v>
      </c>
      <c r="AB342" s="282">
        <f t="shared" si="123"/>
        <v>0</v>
      </c>
      <c r="AC342" s="323">
        <f t="shared" si="123"/>
        <v>0</v>
      </c>
      <c r="AD342" s="281">
        <f t="shared" si="123"/>
        <v>0</v>
      </c>
      <c r="AE342" s="281">
        <f t="shared" si="123"/>
        <v>0</v>
      </c>
      <c r="AF342" s="282">
        <f t="shared" si="123"/>
        <v>0</v>
      </c>
      <c r="AG342" s="323">
        <f t="shared" si="123"/>
        <v>0</v>
      </c>
      <c r="AH342" s="281">
        <f t="shared" si="123"/>
        <v>0</v>
      </c>
      <c r="AI342" s="281">
        <f t="shared" si="123"/>
        <v>0</v>
      </c>
      <c r="AJ342" s="282">
        <f t="shared" si="123"/>
        <v>0</v>
      </c>
      <c r="AK342" s="323">
        <f t="shared" si="123"/>
        <v>0</v>
      </c>
      <c r="AL342" s="281">
        <f t="shared" si="123"/>
        <v>0</v>
      </c>
      <c r="AM342" s="281">
        <f t="shared" si="123"/>
        <v>0</v>
      </c>
      <c r="AN342" s="282">
        <f t="shared" si="123"/>
        <v>0</v>
      </c>
      <c r="AO342" s="323">
        <f t="shared" si="123"/>
        <v>0</v>
      </c>
      <c r="AP342" s="281">
        <f t="shared" si="123"/>
        <v>0</v>
      </c>
      <c r="AQ342" s="281">
        <f t="shared" si="123"/>
        <v>0</v>
      </c>
      <c r="AR342" s="282">
        <f t="shared" si="123"/>
        <v>0</v>
      </c>
      <c r="AS342" s="323">
        <f t="shared" si="123"/>
        <v>0</v>
      </c>
      <c r="AT342" s="281">
        <f t="shared" si="123"/>
        <v>0</v>
      </c>
      <c r="AU342" s="281">
        <f t="shared" si="123"/>
        <v>0</v>
      </c>
      <c r="AV342" s="282">
        <f t="shared" si="123"/>
        <v>0</v>
      </c>
    </row>
    <row r="343" spans="2:48" outlineLevel="1">
      <c r="C343" s="1980"/>
      <c r="D343" s="1981" t="str">
        <f>'8.项目规划指标表'!$B$14</f>
        <v>自持物业</v>
      </c>
      <c r="E343" s="311">
        <f>IF($E$4&amp;"年"&amp;E$5&lt;&gt;'9.项目开发计划表'!$AG$79,1,$E$4&amp;"年"&amp;E$5)</f>
        <v>1</v>
      </c>
      <c r="F343" s="312">
        <f>IF($E$4&amp;"年"&amp;F$5&lt;&gt;'9.项目开发计划表'!$AG$79,1,$E$4&amp;"年"&amp;F$5)</f>
        <v>1</v>
      </c>
      <c r="G343" s="312">
        <f>IF($E$4&amp;"年"&amp;G$5&lt;&gt;'9.项目开发计划表'!$AG$79,1,$E$4&amp;"年"&amp;G$5)</f>
        <v>1</v>
      </c>
      <c r="H343" s="313">
        <f>IF($E$4&amp;"年"&amp;H$5&lt;&gt;'9.项目开发计划表'!$AG$79,1,$E$4&amp;"年"&amp;H$5)</f>
        <v>1</v>
      </c>
      <c r="I343" s="322">
        <f>IF((E$4+1)&amp;"年"&amp;I$5&lt;&gt;'9.项目开发计划表'!$AG$79,1,(E$4+1)&amp;"年"&amp;I$5)</f>
        <v>1</v>
      </c>
      <c r="J343" s="312">
        <f>IF((E$4+1)&amp;"年"&amp;J$5&lt;&gt;'9.项目开发计划表'!$AG$79,1,(E$4+1)&amp;"年"&amp;J$5)</f>
        <v>1</v>
      </c>
      <c r="K343" s="312">
        <f>IF((E$4+1)&amp;"年"&amp;K$5&lt;&gt;'9.项目开发计划表'!$AG$79,1,(E$4+1)&amp;"年"&amp;K$5)</f>
        <v>1</v>
      </c>
      <c r="L343" s="313">
        <f>IF((E$4+1)&amp;"年"&amp;L$5&lt;&gt;'9.项目开发计划表'!$AG$79,1,(E$4+1)&amp;"年"&amp;L$5)</f>
        <v>1</v>
      </c>
      <c r="M343" s="322">
        <f>IF((I$4+1)&amp;"年"&amp;M$5&lt;&gt;'9.项目开发计划表'!$AG$79,1,(I$4+1)&amp;"年"&amp;M$5)</f>
        <v>1</v>
      </c>
      <c r="N343" s="312">
        <f>IF((I$4+1)&amp;"年"&amp;N$5&lt;&gt;'9.项目开发计划表'!$AG$79,1,(I$4+1)&amp;"年"&amp;N$5)</f>
        <v>1</v>
      </c>
      <c r="O343" s="312">
        <f>IF((I$4+1)&amp;"年"&amp;O$5&lt;&gt;'9.项目开发计划表'!$AG$79,1,(I$4+1)&amp;"年"&amp;O$5)</f>
        <v>1</v>
      </c>
      <c r="P343" s="313">
        <f>IF((I$4+1)&amp;"年"&amp;P$5&lt;&gt;'9.项目开发计划表'!$AG$79,1,(I$4+1)&amp;"年"&amp;P$5)</f>
        <v>1</v>
      </c>
      <c r="Q343" s="322">
        <f>IF((M$4+1)&amp;"年"&amp;Q$5&lt;&gt;'9.项目开发计划表'!$AG$79,1,(M$4+1)&amp;"年"&amp;Q$5)</f>
        <v>1</v>
      </c>
      <c r="R343" s="312">
        <f>IF((M$4+1)&amp;"年"&amp;R$5&lt;&gt;'9.项目开发计划表'!$AG$79,1,(M$4+1)&amp;"年"&amp;R$5)</f>
        <v>1</v>
      </c>
      <c r="S343" s="312">
        <f>IF((M$4+1)&amp;"年"&amp;S$5&lt;&gt;'9.项目开发计划表'!$AG$79,1,(M$4+1)&amp;"年"&amp;S$5)</f>
        <v>1</v>
      </c>
      <c r="T343" s="313">
        <f>IF((M$4+1)&amp;"年"&amp;T$5&lt;&gt;'9.项目开发计划表'!$AG$79,1,(M$4+1)&amp;"年"&amp;T$5)</f>
        <v>1</v>
      </c>
      <c r="U343" s="322">
        <f>IF((Q$4+1)&amp;"年"&amp;U$5&lt;&gt;'9.项目开发计划表'!$AG$79,1,(Q$4+1)&amp;"年"&amp;U$5)</f>
        <v>1</v>
      </c>
      <c r="V343" s="312">
        <f>IF((Q$4+1)&amp;"年"&amp;V$5&lt;&gt;'9.项目开发计划表'!$AG$79,1,(Q$4+1)&amp;"年"&amp;V$5)</f>
        <v>1</v>
      </c>
      <c r="W343" s="312">
        <f>IF((Q$4+1)&amp;"年"&amp;W$5&lt;&gt;'9.项目开发计划表'!$AG$79,1,(Q$4+1)&amp;"年"&amp;W$5)</f>
        <v>1</v>
      </c>
      <c r="X343" s="313">
        <f>IF((Q$4+1)&amp;"年"&amp;X$5&lt;&gt;'9.项目开发计划表'!$AG$79,1,(Q$4+1)&amp;"年"&amp;X$5)</f>
        <v>1</v>
      </c>
      <c r="Y343" s="322">
        <f>IF((U$4+1)&amp;"年"&amp;Y$5&lt;&gt;'9.项目开发计划表'!$AG$79,1,(U$4+1)&amp;"年"&amp;Y$5)</f>
        <v>1</v>
      </c>
      <c r="Z343" s="312">
        <f>IF((U$4+1)&amp;"年"&amp;Z$5&lt;&gt;'9.项目开发计划表'!$AG$79,1,(U$4+1)&amp;"年"&amp;Z$5)</f>
        <v>1</v>
      </c>
      <c r="AA343" s="312">
        <f>IF((U$4+1)&amp;"年"&amp;AA$5&lt;&gt;'9.项目开发计划表'!$AG$79,1,(U$4+1)&amp;"年"&amp;AA$5)</f>
        <v>1</v>
      </c>
      <c r="AB343" s="313">
        <f>IF((U$4+1)&amp;"年"&amp;AB$5&lt;&gt;'9.项目开发计划表'!$AG$79,1,(U$4+1)&amp;"年"&amp;AB$5)</f>
        <v>1</v>
      </c>
      <c r="AC343" s="322">
        <f>IF((Y$4+1)&amp;"年"&amp;AC$5&lt;&gt;'9.项目开发计划表'!$AG$79,1,(Y$4+1)&amp;"年"&amp;AC$5)</f>
        <v>1</v>
      </c>
      <c r="AD343" s="312">
        <f>IF((Y$4+1)&amp;"年"&amp;AD$5&lt;&gt;'9.项目开发计划表'!$AG$79,1,(Y$4+1)&amp;"年"&amp;AD$5)</f>
        <v>1</v>
      </c>
      <c r="AE343" s="312">
        <f>IF((Y$4+1)&amp;"年"&amp;AE$5&lt;&gt;'9.项目开发计划表'!$AG$79,1,(Y$4+1)&amp;"年"&amp;AE$5)</f>
        <v>1</v>
      </c>
      <c r="AF343" s="313">
        <f>IF((Y$4+1)&amp;"年"&amp;AF$5&lt;&gt;'9.项目开发计划表'!$AG$79,1,(Y$4+1)&amp;"年"&amp;AF$5)</f>
        <v>1</v>
      </c>
      <c r="AG343" s="322">
        <f>IF((AC$4+1)&amp;"年"&amp;AG$5&lt;&gt;'9.项目开发计划表'!$AG$79,1,(AC$4+1)&amp;"年"&amp;AG$5)</f>
        <v>1</v>
      </c>
      <c r="AH343" s="312">
        <f>IF((AC$4+1)&amp;"年"&amp;AH$5&lt;&gt;'9.项目开发计划表'!$AG$79,1,(AC$4+1)&amp;"年"&amp;AH$5)</f>
        <v>1</v>
      </c>
      <c r="AI343" s="312">
        <f>IF((AC$4+1)&amp;"年"&amp;AI$5&lt;&gt;'9.项目开发计划表'!$AG$79,1,(AC$4+1)&amp;"年"&amp;AI$5)</f>
        <v>1</v>
      </c>
      <c r="AJ343" s="313">
        <f>IF((AC$4+1)&amp;"年"&amp;AJ$5&lt;&gt;'9.项目开发计划表'!$AG$79,1,(AC$4+1)&amp;"年"&amp;AJ$5)</f>
        <v>1</v>
      </c>
      <c r="AK343" s="322">
        <f>IF((AG$4+1)&amp;"年"&amp;AK$5&lt;&gt;'9.项目开发计划表'!$AG$79,1,(AG$4+1)&amp;"年"&amp;AK$5)</f>
        <v>1</v>
      </c>
      <c r="AL343" s="312">
        <f>IF((AG$4+1)&amp;"年"&amp;AL$5&lt;&gt;'9.项目开发计划表'!$AG$79,1,(AG$4+1)&amp;"年"&amp;AL$5)</f>
        <v>1</v>
      </c>
      <c r="AM343" s="312">
        <f>IF((AG$4+1)&amp;"年"&amp;AM$5&lt;&gt;'9.项目开发计划表'!$AG$79,1,(AG$4+1)&amp;"年"&amp;AM$5)</f>
        <v>1</v>
      </c>
      <c r="AN343" s="313">
        <f>IF((AG$4+1)&amp;"年"&amp;AN$5&lt;&gt;'9.项目开发计划表'!$AG$79,1,(AG$4+1)&amp;"年"&amp;AN$5)</f>
        <v>1</v>
      </c>
      <c r="AO343" s="322">
        <f>IF((AK$4+1)&amp;"年"&amp;AO$5&lt;&gt;'9.项目开发计划表'!$AG$79,1,(AK$4+1)&amp;"年"&amp;AO$5)</f>
        <v>1</v>
      </c>
      <c r="AP343" s="312">
        <f>IF((AK$4+1)&amp;"年"&amp;AP$5&lt;&gt;'9.项目开发计划表'!$AG$79,1,(AK$4+1)&amp;"年"&amp;AP$5)</f>
        <v>1</v>
      </c>
      <c r="AQ343" s="312">
        <f>IF((AK$4+1)&amp;"年"&amp;AQ$5&lt;&gt;'9.项目开发计划表'!$AG$79,1,(AK$4+1)&amp;"年"&amp;AQ$5)</f>
        <v>1</v>
      </c>
      <c r="AR343" s="313">
        <f>IF((AK$4+1)&amp;"年"&amp;AR$5&lt;&gt;'9.项目开发计划表'!$AG$79,1,(AK$4+1)&amp;"年"&amp;AR$5)</f>
        <v>1</v>
      </c>
      <c r="AS343" s="322">
        <f>IF((AO$4+1)&amp;"年"&amp;AS$5&lt;&gt;'9.项目开发计划表'!$AG$79,1,(AO$4+1)&amp;"年"&amp;AS$5)</f>
        <v>1</v>
      </c>
      <c r="AT343" s="312">
        <f>IF((AO$4+1)&amp;"年"&amp;AT$5&lt;&gt;'9.项目开发计划表'!$AG$79,1,(AO$4+1)&amp;"年"&amp;AT$5)</f>
        <v>1</v>
      </c>
      <c r="AU343" s="312">
        <f>IF((AO$4+1)&amp;"年"&amp;AU$5&lt;&gt;'9.项目开发计划表'!$AG$79,1,(AO$4+1)&amp;"年"&amp;AU$5)</f>
        <v>1</v>
      </c>
      <c r="AV343" s="313">
        <f>IF((AO$4+1)&amp;"年"&amp;AV$5&lt;&gt;'9.项目开发计划表'!$AG$79,1,(AO$4+1)&amp;"年"&amp;AV$5)</f>
        <v>1</v>
      </c>
    </row>
    <row r="344" spans="2:48" outlineLevel="1">
      <c r="C344" s="1980"/>
      <c r="D344" s="1982"/>
      <c r="E344" s="280">
        <f t="shared" ref="E344:AV344" si="124">IF(E343=1,0,1)</f>
        <v>0</v>
      </c>
      <c r="F344" s="281">
        <f t="shared" si="124"/>
        <v>0</v>
      </c>
      <c r="G344" s="281">
        <f t="shared" si="124"/>
        <v>0</v>
      </c>
      <c r="H344" s="282">
        <f t="shared" si="124"/>
        <v>0</v>
      </c>
      <c r="I344" s="323">
        <f t="shared" si="124"/>
        <v>0</v>
      </c>
      <c r="J344" s="281">
        <f t="shared" si="124"/>
        <v>0</v>
      </c>
      <c r="K344" s="281">
        <f t="shared" si="124"/>
        <v>0</v>
      </c>
      <c r="L344" s="282">
        <f t="shared" si="124"/>
        <v>0</v>
      </c>
      <c r="M344" s="323">
        <f t="shared" si="124"/>
        <v>0</v>
      </c>
      <c r="N344" s="281">
        <f t="shared" si="124"/>
        <v>0</v>
      </c>
      <c r="O344" s="281">
        <f t="shared" si="124"/>
        <v>0</v>
      </c>
      <c r="P344" s="282">
        <f t="shared" si="124"/>
        <v>0</v>
      </c>
      <c r="Q344" s="323">
        <f t="shared" si="124"/>
        <v>0</v>
      </c>
      <c r="R344" s="281">
        <f t="shared" si="124"/>
        <v>0</v>
      </c>
      <c r="S344" s="281">
        <f t="shared" si="124"/>
        <v>0</v>
      </c>
      <c r="T344" s="282">
        <f t="shared" si="124"/>
        <v>0</v>
      </c>
      <c r="U344" s="323">
        <f t="shared" si="124"/>
        <v>0</v>
      </c>
      <c r="V344" s="281">
        <f t="shared" si="124"/>
        <v>0</v>
      </c>
      <c r="W344" s="281">
        <f t="shared" si="124"/>
        <v>0</v>
      </c>
      <c r="X344" s="282">
        <f t="shared" si="124"/>
        <v>0</v>
      </c>
      <c r="Y344" s="323">
        <f t="shared" si="124"/>
        <v>0</v>
      </c>
      <c r="Z344" s="281">
        <f t="shared" si="124"/>
        <v>0</v>
      </c>
      <c r="AA344" s="281">
        <f t="shared" si="124"/>
        <v>0</v>
      </c>
      <c r="AB344" s="282">
        <f t="shared" si="124"/>
        <v>0</v>
      </c>
      <c r="AC344" s="323">
        <f t="shared" si="124"/>
        <v>0</v>
      </c>
      <c r="AD344" s="281">
        <f t="shared" si="124"/>
        <v>0</v>
      </c>
      <c r="AE344" s="281">
        <f t="shared" si="124"/>
        <v>0</v>
      </c>
      <c r="AF344" s="282">
        <f t="shared" si="124"/>
        <v>0</v>
      </c>
      <c r="AG344" s="323">
        <f t="shared" si="124"/>
        <v>0</v>
      </c>
      <c r="AH344" s="281">
        <f t="shared" si="124"/>
        <v>0</v>
      </c>
      <c r="AI344" s="281">
        <f t="shared" si="124"/>
        <v>0</v>
      </c>
      <c r="AJ344" s="282">
        <f t="shared" si="124"/>
        <v>0</v>
      </c>
      <c r="AK344" s="323">
        <f t="shared" si="124"/>
        <v>0</v>
      </c>
      <c r="AL344" s="281">
        <f t="shared" si="124"/>
        <v>0</v>
      </c>
      <c r="AM344" s="281">
        <f t="shared" si="124"/>
        <v>0</v>
      </c>
      <c r="AN344" s="282">
        <f t="shared" si="124"/>
        <v>0</v>
      </c>
      <c r="AO344" s="323">
        <f t="shared" si="124"/>
        <v>0</v>
      </c>
      <c r="AP344" s="281">
        <f t="shared" si="124"/>
        <v>0</v>
      </c>
      <c r="AQ344" s="281">
        <f t="shared" si="124"/>
        <v>0</v>
      </c>
      <c r="AR344" s="282">
        <f t="shared" si="124"/>
        <v>0</v>
      </c>
      <c r="AS344" s="323">
        <f t="shared" si="124"/>
        <v>0</v>
      </c>
      <c r="AT344" s="281">
        <f t="shared" si="124"/>
        <v>0</v>
      </c>
      <c r="AU344" s="281">
        <f t="shared" si="124"/>
        <v>0</v>
      </c>
      <c r="AV344" s="282">
        <f t="shared" si="124"/>
        <v>0</v>
      </c>
    </row>
    <row r="345" spans="2:48" outlineLevel="1">
      <c r="C345" s="1980"/>
      <c r="D345" s="1981" t="str">
        <f>'8.项目规划指标表'!$B$18</f>
        <v>有产权车库(个)</v>
      </c>
      <c r="E345" s="311">
        <f>IF($E$4&amp;"年"&amp;E$5&lt;&gt;'9.项目开发计划表'!$AG$80,1,$E$4&amp;"年"&amp;E$5)</f>
        <v>1</v>
      </c>
      <c r="F345" s="312">
        <f>IF($E$4&amp;"年"&amp;F$5&lt;&gt;'9.项目开发计划表'!$AG$80,1,$E$4&amp;"年"&amp;F$5)</f>
        <v>1</v>
      </c>
      <c r="G345" s="312">
        <f>IF($E$4&amp;"年"&amp;G$5&lt;&gt;'9.项目开发计划表'!$AG$80,1,$E$4&amp;"年"&amp;G$5)</f>
        <v>1</v>
      </c>
      <c r="H345" s="313">
        <f>IF($E$4&amp;"年"&amp;H$5&lt;&gt;'9.项目开发计划表'!$AG$80,1,$E$4&amp;"年"&amp;H$5)</f>
        <v>1</v>
      </c>
      <c r="I345" s="322">
        <f>IF((E$4+1)&amp;"年"&amp;I$5&lt;&gt;'9.项目开发计划表'!$AG$80,1,(E$4+1)&amp;"年"&amp;I$5)</f>
        <v>1</v>
      </c>
      <c r="J345" s="312">
        <f>IF((E$4+1)&amp;"年"&amp;J$5&lt;&gt;'9.项目开发计划表'!$AG$80,1,(E$4+1)&amp;"年"&amp;J$5)</f>
        <v>1</v>
      </c>
      <c r="K345" s="312">
        <f>IF((E$4+1)&amp;"年"&amp;K$5&lt;&gt;'9.项目开发计划表'!$AG$80,1,(E$4+1)&amp;"年"&amp;K$5)</f>
        <v>1</v>
      </c>
      <c r="L345" s="313">
        <f>IF((E$4+1)&amp;"年"&amp;L$5&lt;&gt;'9.项目开发计划表'!$AG$80,1,(E$4+1)&amp;"年"&amp;L$5)</f>
        <v>1</v>
      </c>
      <c r="M345" s="322">
        <f>IF((I$4+1)&amp;"年"&amp;M$5&lt;&gt;'9.项目开发计划表'!$AG$80,1,(I$4+1)&amp;"年"&amp;M$5)</f>
        <v>1</v>
      </c>
      <c r="N345" s="312">
        <f>IF((I$4+1)&amp;"年"&amp;N$5&lt;&gt;'9.项目开发计划表'!$AG$80,1,(I$4+1)&amp;"年"&amp;N$5)</f>
        <v>1</v>
      </c>
      <c r="O345" s="312">
        <f>IF((I$4+1)&amp;"年"&amp;O$5&lt;&gt;'9.项目开发计划表'!$AG$80,1,(I$4+1)&amp;"年"&amp;O$5)</f>
        <v>1</v>
      </c>
      <c r="P345" s="313">
        <f>IF((I$4+1)&amp;"年"&amp;P$5&lt;&gt;'9.项目开发计划表'!$AG$80,1,(I$4+1)&amp;"年"&amp;P$5)</f>
        <v>1</v>
      </c>
      <c r="Q345" s="322">
        <f>IF((M$4+1)&amp;"年"&amp;Q$5&lt;&gt;'9.项目开发计划表'!$AG$80,1,(M$4+1)&amp;"年"&amp;Q$5)</f>
        <v>1</v>
      </c>
      <c r="R345" s="312">
        <f>IF((M$4+1)&amp;"年"&amp;R$5&lt;&gt;'9.项目开发计划表'!$AG$80,1,(M$4+1)&amp;"年"&amp;R$5)</f>
        <v>1</v>
      </c>
      <c r="S345" s="312">
        <f>IF((M$4+1)&amp;"年"&amp;S$5&lt;&gt;'9.项目开发计划表'!$AG$80,1,(M$4+1)&amp;"年"&amp;S$5)</f>
        <v>1</v>
      </c>
      <c r="T345" s="313">
        <f>IF((M$4+1)&amp;"年"&amp;T$5&lt;&gt;'9.项目开发计划表'!$AG$80,1,(M$4+1)&amp;"年"&amp;T$5)</f>
        <v>1</v>
      </c>
      <c r="U345" s="322">
        <f>IF((Q$4+1)&amp;"年"&amp;U$5&lt;&gt;'9.项目开发计划表'!$AG$80,1,(Q$4+1)&amp;"年"&amp;U$5)</f>
        <v>1</v>
      </c>
      <c r="V345" s="312">
        <f>IF((Q$4+1)&amp;"年"&amp;V$5&lt;&gt;'9.项目开发计划表'!$AG$80,1,(Q$4+1)&amp;"年"&amp;V$5)</f>
        <v>1</v>
      </c>
      <c r="W345" s="312">
        <f>IF((Q$4+1)&amp;"年"&amp;W$5&lt;&gt;'9.项目开发计划表'!$AG$80,1,(Q$4+1)&amp;"年"&amp;W$5)</f>
        <v>1</v>
      </c>
      <c r="X345" s="313">
        <f>IF((Q$4+1)&amp;"年"&amp;X$5&lt;&gt;'9.项目开发计划表'!$AG$80,1,(Q$4+1)&amp;"年"&amp;X$5)</f>
        <v>1</v>
      </c>
      <c r="Y345" s="322">
        <f>IF((U$4+1)&amp;"年"&amp;Y$5&lt;&gt;'9.项目开发计划表'!$AG$80,1,(U$4+1)&amp;"年"&amp;Y$5)</f>
        <v>1</v>
      </c>
      <c r="Z345" s="312">
        <f>IF((U$4+1)&amp;"年"&amp;Z$5&lt;&gt;'9.项目开发计划表'!$AG$80,1,(U$4+1)&amp;"年"&amp;Z$5)</f>
        <v>1</v>
      </c>
      <c r="AA345" s="312">
        <f>IF((U$4+1)&amp;"年"&amp;AA$5&lt;&gt;'9.项目开发计划表'!$AG$80,1,(U$4+1)&amp;"年"&amp;AA$5)</f>
        <v>1</v>
      </c>
      <c r="AB345" s="313">
        <f>IF((U$4+1)&amp;"年"&amp;AB$5&lt;&gt;'9.项目开发计划表'!$AG$80,1,(U$4+1)&amp;"年"&amp;AB$5)</f>
        <v>1</v>
      </c>
      <c r="AC345" s="322">
        <f>IF((Y$4+1)&amp;"年"&amp;AC$5&lt;&gt;'9.项目开发计划表'!$AG$80,1,(Y$4+1)&amp;"年"&amp;AC$5)</f>
        <v>1</v>
      </c>
      <c r="AD345" s="312">
        <f>IF((Y$4+1)&amp;"年"&amp;AD$5&lt;&gt;'9.项目开发计划表'!$AG$80,1,(Y$4+1)&amp;"年"&amp;AD$5)</f>
        <v>1</v>
      </c>
      <c r="AE345" s="312">
        <f>IF((Y$4+1)&amp;"年"&amp;AE$5&lt;&gt;'9.项目开发计划表'!$AG$80,1,(Y$4+1)&amp;"年"&amp;AE$5)</f>
        <v>1</v>
      </c>
      <c r="AF345" s="313">
        <f>IF((Y$4+1)&amp;"年"&amp;AF$5&lt;&gt;'9.项目开发计划表'!$AG$80,1,(Y$4+1)&amp;"年"&amp;AF$5)</f>
        <v>1</v>
      </c>
      <c r="AG345" s="322">
        <f>IF((AC$4+1)&amp;"年"&amp;AG$5&lt;&gt;'9.项目开发计划表'!$AG$80,1,(AC$4+1)&amp;"年"&amp;AG$5)</f>
        <v>1</v>
      </c>
      <c r="AH345" s="312">
        <f>IF((AC$4+1)&amp;"年"&amp;AH$5&lt;&gt;'9.项目开发计划表'!$AG$80,1,(AC$4+1)&amp;"年"&amp;AH$5)</f>
        <v>1</v>
      </c>
      <c r="AI345" s="312">
        <f>IF((AC$4+1)&amp;"年"&amp;AI$5&lt;&gt;'9.项目开发计划表'!$AG$80,1,(AC$4+1)&amp;"年"&amp;AI$5)</f>
        <v>1</v>
      </c>
      <c r="AJ345" s="313">
        <f>IF((AC$4+1)&amp;"年"&amp;AJ$5&lt;&gt;'9.项目开发计划表'!$AG$80,1,(AC$4+1)&amp;"年"&amp;AJ$5)</f>
        <v>1</v>
      </c>
      <c r="AK345" s="322">
        <f>IF((AG$4+1)&amp;"年"&amp;AK$5&lt;&gt;'9.项目开发计划表'!$AG$80,1,(AG$4+1)&amp;"年"&amp;AK$5)</f>
        <v>1</v>
      </c>
      <c r="AL345" s="312">
        <f>IF((AG$4+1)&amp;"年"&amp;AL$5&lt;&gt;'9.项目开发计划表'!$AG$80,1,(AG$4+1)&amp;"年"&amp;AL$5)</f>
        <v>1</v>
      </c>
      <c r="AM345" s="312">
        <f>IF((AG$4+1)&amp;"年"&amp;AM$5&lt;&gt;'9.项目开发计划表'!$AG$80,1,(AG$4+1)&amp;"年"&amp;AM$5)</f>
        <v>1</v>
      </c>
      <c r="AN345" s="313">
        <f>IF((AG$4+1)&amp;"年"&amp;AN$5&lt;&gt;'9.项目开发计划表'!$AG$80,1,(AG$4+1)&amp;"年"&amp;AN$5)</f>
        <v>1</v>
      </c>
      <c r="AO345" s="322">
        <f>IF((AK$4+1)&amp;"年"&amp;AO$5&lt;&gt;'9.项目开发计划表'!$AG$80,1,(AK$4+1)&amp;"年"&amp;AO$5)</f>
        <v>1</v>
      </c>
      <c r="AP345" s="312">
        <f>IF((AK$4+1)&amp;"年"&amp;AP$5&lt;&gt;'9.项目开发计划表'!$AG$80,1,(AK$4+1)&amp;"年"&amp;AP$5)</f>
        <v>1</v>
      </c>
      <c r="AQ345" s="312">
        <f>IF((AK$4+1)&amp;"年"&amp;AQ$5&lt;&gt;'9.项目开发计划表'!$AG$80,1,(AK$4+1)&amp;"年"&amp;AQ$5)</f>
        <v>1</v>
      </c>
      <c r="AR345" s="313">
        <f>IF((AK$4+1)&amp;"年"&amp;AR$5&lt;&gt;'9.项目开发计划表'!$AG$80,1,(AK$4+1)&amp;"年"&amp;AR$5)</f>
        <v>1</v>
      </c>
      <c r="AS345" s="322">
        <f>IF((AO$4+1)&amp;"年"&amp;AS$5&lt;&gt;'9.项目开发计划表'!$AG$80,1,(AO$4+1)&amp;"年"&amp;AS$5)</f>
        <v>1</v>
      </c>
      <c r="AT345" s="312">
        <f>IF((AO$4+1)&amp;"年"&amp;AT$5&lt;&gt;'9.项目开发计划表'!$AG$80,1,(AO$4+1)&amp;"年"&amp;AT$5)</f>
        <v>1</v>
      </c>
      <c r="AU345" s="312">
        <f>IF((AO$4+1)&amp;"年"&amp;AU$5&lt;&gt;'9.项目开发计划表'!$AG$80,1,(AO$4+1)&amp;"年"&amp;AU$5)</f>
        <v>1</v>
      </c>
      <c r="AV345" s="313">
        <f>IF((AO$4+1)&amp;"年"&amp;AV$5&lt;&gt;'9.项目开发计划表'!$AG$80,1,(AO$4+1)&amp;"年"&amp;AV$5)</f>
        <v>1</v>
      </c>
    </row>
    <row r="346" spans="2:48" outlineLevel="1">
      <c r="C346" s="1980"/>
      <c r="D346" s="1982"/>
      <c r="E346" s="280">
        <f t="shared" ref="E346:AV346" si="125">IF(E345=1,0,1)</f>
        <v>0</v>
      </c>
      <c r="F346" s="281">
        <f t="shared" si="125"/>
        <v>0</v>
      </c>
      <c r="G346" s="281">
        <f t="shared" si="125"/>
        <v>0</v>
      </c>
      <c r="H346" s="282">
        <f t="shared" si="125"/>
        <v>0</v>
      </c>
      <c r="I346" s="323">
        <f t="shared" si="125"/>
        <v>0</v>
      </c>
      <c r="J346" s="281">
        <f t="shared" si="125"/>
        <v>0</v>
      </c>
      <c r="K346" s="281">
        <f t="shared" si="125"/>
        <v>0</v>
      </c>
      <c r="L346" s="282">
        <f t="shared" si="125"/>
        <v>0</v>
      </c>
      <c r="M346" s="323">
        <f t="shared" si="125"/>
        <v>0</v>
      </c>
      <c r="N346" s="281">
        <f t="shared" si="125"/>
        <v>0</v>
      </c>
      <c r="O346" s="281">
        <f t="shared" si="125"/>
        <v>0</v>
      </c>
      <c r="P346" s="282">
        <f t="shared" si="125"/>
        <v>0</v>
      </c>
      <c r="Q346" s="323">
        <f t="shared" si="125"/>
        <v>0</v>
      </c>
      <c r="R346" s="281">
        <f t="shared" si="125"/>
        <v>0</v>
      </c>
      <c r="S346" s="281">
        <f t="shared" si="125"/>
        <v>0</v>
      </c>
      <c r="T346" s="282">
        <f t="shared" si="125"/>
        <v>0</v>
      </c>
      <c r="U346" s="323">
        <f t="shared" si="125"/>
        <v>0</v>
      </c>
      <c r="V346" s="281">
        <f t="shared" si="125"/>
        <v>0</v>
      </c>
      <c r="W346" s="281">
        <f t="shared" si="125"/>
        <v>0</v>
      </c>
      <c r="X346" s="282">
        <f t="shared" si="125"/>
        <v>0</v>
      </c>
      <c r="Y346" s="323">
        <f t="shared" si="125"/>
        <v>0</v>
      </c>
      <c r="Z346" s="281">
        <f t="shared" si="125"/>
        <v>0</v>
      </c>
      <c r="AA346" s="281">
        <f t="shared" si="125"/>
        <v>0</v>
      </c>
      <c r="AB346" s="282">
        <f t="shared" si="125"/>
        <v>0</v>
      </c>
      <c r="AC346" s="323">
        <f t="shared" si="125"/>
        <v>0</v>
      </c>
      <c r="AD346" s="281">
        <f t="shared" si="125"/>
        <v>0</v>
      </c>
      <c r="AE346" s="281">
        <f t="shared" si="125"/>
        <v>0</v>
      </c>
      <c r="AF346" s="282">
        <f t="shared" si="125"/>
        <v>0</v>
      </c>
      <c r="AG346" s="323">
        <f t="shared" si="125"/>
        <v>0</v>
      </c>
      <c r="AH346" s="281">
        <f t="shared" si="125"/>
        <v>0</v>
      </c>
      <c r="AI346" s="281">
        <f t="shared" si="125"/>
        <v>0</v>
      </c>
      <c r="AJ346" s="282">
        <f t="shared" si="125"/>
        <v>0</v>
      </c>
      <c r="AK346" s="323">
        <f t="shared" si="125"/>
        <v>0</v>
      </c>
      <c r="AL346" s="281">
        <f t="shared" si="125"/>
        <v>0</v>
      </c>
      <c r="AM346" s="281">
        <f t="shared" si="125"/>
        <v>0</v>
      </c>
      <c r="AN346" s="282">
        <f t="shared" si="125"/>
        <v>0</v>
      </c>
      <c r="AO346" s="323">
        <f t="shared" si="125"/>
        <v>0</v>
      </c>
      <c r="AP346" s="281">
        <f t="shared" si="125"/>
        <v>0</v>
      </c>
      <c r="AQ346" s="281">
        <f t="shared" si="125"/>
        <v>0</v>
      </c>
      <c r="AR346" s="282">
        <f t="shared" si="125"/>
        <v>0</v>
      </c>
      <c r="AS346" s="323">
        <f t="shared" si="125"/>
        <v>0</v>
      </c>
      <c r="AT346" s="281">
        <f t="shared" si="125"/>
        <v>0</v>
      </c>
      <c r="AU346" s="281">
        <f t="shared" si="125"/>
        <v>0</v>
      </c>
      <c r="AV346" s="282">
        <f t="shared" si="125"/>
        <v>0</v>
      </c>
    </row>
    <row r="347" spans="2:48" outlineLevel="1">
      <c r="C347" s="1980"/>
      <c r="D347" s="1981" t="str">
        <f>'8.项目规划指标表'!$B$19</f>
        <v>无产权车库(个)</v>
      </c>
      <c r="E347" s="311">
        <f>IF($E$4&amp;"年"&amp;E$5&lt;&gt;'9.项目开发计划表'!$AG$81,1,$E$4&amp;"年"&amp;E$5)</f>
        <v>1</v>
      </c>
      <c r="F347" s="312">
        <f>IF($E$4&amp;"年"&amp;F$5&lt;&gt;'9.项目开发计划表'!$AG$81,1,$E$4&amp;"年"&amp;F$5)</f>
        <v>1</v>
      </c>
      <c r="G347" s="312">
        <f>IF($E$4&amp;"年"&amp;G$5&lt;&gt;'9.项目开发计划表'!$AG$81,1,$E$4&amp;"年"&amp;G$5)</f>
        <v>1</v>
      </c>
      <c r="H347" s="313">
        <f>IF($E$4&amp;"年"&amp;H$5&lt;&gt;'9.项目开发计划表'!$AG$81,1,$E$4&amp;"年"&amp;H$5)</f>
        <v>1</v>
      </c>
      <c r="I347" s="322">
        <f>IF((E$4+1)&amp;"年"&amp;I$5&lt;&gt;'9.项目开发计划表'!$AG$81,1,(E$4+1)&amp;"年"&amp;I$5)</f>
        <v>1</v>
      </c>
      <c r="J347" s="312">
        <f>IF((E$4+1)&amp;"年"&amp;J$5&lt;&gt;'9.项目开发计划表'!$AG$81,1,(E$4+1)&amp;"年"&amp;J$5)</f>
        <v>1</v>
      </c>
      <c r="K347" s="312">
        <f>IF((E$4+1)&amp;"年"&amp;K$5&lt;&gt;'9.项目开发计划表'!$AG$81,1,(E$4+1)&amp;"年"&amp;K$5)</f>
        <v>1</v>
      </c>
      <c r="L347" s="313">
        <f>IF((E$4+1)&amp;"年"&amp;L$5&lt;&gt;'9.项目开发计划表'!$AG$81,1,(E$4+1)&amp;"年"&amp;L$5)</f>
        <v>1</v>
      </c>
      <c r="M347" s="322">
        <f>IF((I$4+1)&amp;"年"&amp;M$5&lt;&gt;'9.项目开发计划表'!$AG$81,1,(I$4+1)&amp;"年"&amp;M$5)</f>
        <v>1</v>
      </c>
      <c r="N347" s="312">
        <f>IF((I$4+1)&amp;"年"&amp;N$5&lt;&gt;'9.项目开发计划表'!$AG$81,1,(I$4+1)&amp;"年"&amp;N$5)</f>
        <v>1</v>
      </c>
      <c r="O347" s="312">
        <f>IF((I$4+1)&amp;"年"&amp;O$5&lt;&gt;'9.项目开发计划表'!$AG$81,1,(I$4+1)&amp;"年"&amp;O$5)</f>
        <v>1</v>
      </c>
      <c r="P347" s="313">
        <f>IF((I$4+1)&amp;"年"&amp;P$5&lt;&gt;'9.项目开发计划表'!$AG$81,1,(I$4+1)&amp;"年"&amp;P$5)</f>
        <v>1</v>
      </c>
      <c r="Q347" s="322">
        <f>IF((M$4+1)&amp;"年"&amp;Q$5&lt;&gt;'9.项目开发计划表'!$AG$81,1,(M$4+1)&amp;"年"&amp;Q$5)</f>
        <v>1</v>
      </c>
      <c r="R347" s="312">
        <f>IF((M$4+1)&amp;"年"&amp;R$5&lt;&gt;'9.项目开发计划表'!$AG$81,1,(M$4+1)&amp;"年"&amp;R$5)</f>
        <v>1</v>
      </c>
      <c r="S347" s="312">
        <f>IF((M$4+1)&amp;"年"&amp;S$5&lt;&gt;'9.项目开发计划表'!$AG$81,1,(M$4+1)&amp;"年"&amp;S$5)</f>
        <v>1</v>
      </c>
      <c r="T347" s="313">
        <f>IF((M$4+1)&amp;"年"&amp;T$5&lt;&gt;'9.项目开发计划表'!$AG$81,1,(M$4+1)&amp;"年"&amp;T$5)</f>
        <v>1</v>
      </c>
      <c r="U347" s="322">
        <f>IF((Q$4+1)&amp;"年"&amp;U$5&lt;&gt;'9.项目开发计划表'!$AG$81,1,(Q$4+1)&amp;"年"&amp;U$5)</f>
        <v>1</v>
      </c>
      <c r="V347" s="312">
        <f>IF((Q$4+1)&amp;"年"&amp;V$5&lt;&gt;'9.项目开发计划表'!$AG$81,1,(Q$4+1)&amp;"年"&amp;V$5)</f>
        <v>1</v>
      </c>
      <c r="W347" s="312">
        <f>IF((Q$4+1)&amp;"年"&amp;W$5&lt;&gt;'9.项目开发计划表'!$AG$81,1,(Q$4+1)&amp;"年"&amp;W$5)</f>
        <v>1</v>
      </c>
      <c r="X347" s="313">
        <f>IF((Q$4+1)&amp;"年"&amp;X$5&lt;&gt;'9.项目开发计划表'!$AG$81,1,(Q$4+1)&amp;"年"&amp;X$5)</f>
        <v>1</v>
      </c>
      <c r="Y347" s="322">
        <f>IF((U$4+1)&amp;"年"&amp;Y$5&lt;&gt;'9.项目开发计划表'!$AG$81,1,(U$4+1)&amp;"年"&amp;Y$5)</f>
        <v>1</v>
      </c>
      <c r="Z347" s="312">
        <f>IF((U$4+1)&amp;"年"&amp;Z$5&lt;&gt;'9.项目开发计划表'!$AG$81,1,(U$4+1)&amp;"年"&amp;Z$5)</f>
        <v>1</v>
      </c>
      <c r="AA347" s="312">
        <f>IF((U$4+1)&amp;"年"&amp;AA$5&lt;&gt;'9.项目开发计划表'!$AG$81,1,(U$4+1)&amp;"年"&amp;AA$5)</f>
        <v>1</v>
      </c>
      <c r="AB347" s="313">
        <f>IF((U$4+1)&amp;"年"&amp;AB$5&lt;&gt;'9.项目开发计划表'!$AG$81,1,(U$4+1)&amp;"年"&amp;AB$5)</f>
        <v>1</v>
      </c>
      <c r="AC347" s="322">
        <f>IF((Y$4+1)&amp;"年"&amp;AC$5&lt;&gt;'9.项目开发计划表'!$AG$81,1,(Y$4+1)&amp;"年"&amp;AC$5)</f>
        <v>1</v>
      </c>
      <c r="AD347" s="312">
        <f>IF((Y$4+1)&amp;"年"&amp;AD$5&lt;&gt;'9.项目开发计划表'!$AG$81,1,(Y$4+1)&amp;"年"&amp;AD$5)</f>
        <v>1</v>
      </c>
      <c r="AE347" s="312">
        <f>IF((Y$4+1)&amp;"年"&amp;AE$5&lt;&gt;'9.项目开发计划表'!$AG$81,1,(Y$4+1)&amp;"年"&amp;AE$5)</f>
        <v>1</v>
      </c>
      <c r="AF347" s="313">
        <f>IF((Y$4+1)&amp;"年"&amp;AF$5&lt;&gt;'9.项目开发计划表'!$AG$81,1,(Y$4+1)&amp;"年"&amp;AF$5)</f>
        <v>1</v>
      </c>
      <c r="AG347" s="322">
        <f>IF((AC$4+1)&amp;"年"&amp;AG$5&lt;&gt;'9.项目开发计划表'!$AG$81,1,(AC$4+1)&amp;"年"&amp;AG$5)</f>
        <v>1</v>
      </c>
      <c r="AH347" s="312">
        <f>IF((AC$4+1)&amp;"年"&amp;AH$5&lt;&gt;'9.项目开发计划表'!$AG$81,1,(AC$4+1)&amp;"年"&amp;AH$5)</f>
        <v>1</v>
      </c>
      <c r="AI347" s="312">
        <f>IF((AC$4+1)&amp;"年"&amp;AI$5&lt;&gt;'9.项目开发计划表'!$AG$81,1,(AC$4+1)&amp;"年"&amp;AI$5)</f>
        <v>1</v>
      </c>
      <c r="AJ347" s="313">
        <f>IF((AC$4+1)&amp;"年"&amp;AJ$5&lt;&gt;'9.项目开发计划表'!$AG$81,1,(AC$4+1)&amp;"年"&amp;AJ$5)</f>
        <v>1</v>
      </c>
      <c r="AK347" s="322">
        <f>IF((AG$4+1)&amp;"年"&amp;AK$5&lt;&gt;'9.项目开发计划表'!$AG$81,1,(AG$4+1)&amp;"年"&amp;AK$5)</f>
        <v>1</v>
      </c>
      <c r="AL347" s="312">
        <f>IF((AG$4+1)&amp;"年"&amp;AL$5&lt;&gt;'9.项目开发计划表'!$AG$81,1,(AG$4+1)&amp;"年"&amp;AL$5)</f>
        <v>1</v>
      </c>
      <c r="AM347" s="312">
        <f>IF((AG$4+1)&amp;"年"&amp;AM$5&lt;&gt;'9.项目开发计划表'!$AG$81,1,(AG$4+1)&amp;"年"&amp;AM$5)</f>
        <v>1</v>
      </c>
      <c r="AN347" s="313">
        <f>IF((AG$4+1)&amp;"年"&amp;AN$5&lt;&gt;'9.项目开发计划表'!$AG$81,1,(AG$4+1)&amp;"年"&amp;AN$5)</f>
        <v>1</v>
      </c>
      <c r="AO347" s="322">
        <f>IF((AK$4+1)&amp;"年"&amp;AO$5&lt;&gt;'9.项目开发计划表'!$AG$81,1,(AK$4+1)&amp;"年"&amp;AO$5)</f>
        <v>1</v>
      </c>
      <c r="AP347" s="312">
        <f>IF((AK$4+1)&amp;"年"&amp;AP$5&lt;&gt;'9.项目开发计划表'!$AG$81,1,(AK$4+1)&amp;"年"&amp;AP$5)</f>
        <v>1</v>
      </c>
      <c r="AQ347" s="312">
        <f>IF((AK$4+1)&amp;"年"&amp;AQ$5&lt;&gt;'9.项目开发计划表'!$AG$81,1,(AK$4+1)&amp;"年"&amp;AQ$5)</f>
        <v>1</v>
      </c>
      <c r="AR347" s="313">
        <f>IF((AK$4+1)&amp;"年"&amp;AR$5&lt;&gt;'9.项目开发计划表'!$AG$81,1,(AK$4+1)&amp;"年"&amp;AR$5)</f>
        <v>1</v>
      </c>
      <c r="AS347" s="322">
        <f>IF((AO$4+1)&amp;"年"&amp;AS$5&lt;&gt;'9.项目开发计划表'!$AG$81,1,(AO$4+1)&amp;"年"&amp;AS$5)</f>
        <v>1</v>
      </c>
      <c r="AT347" s="312">
        <f>IF((AO$4+1)&amp;"年"&amp;AT$5&lt;&gt;'9.项目开发计划表'!$AG$81,1,(AO$4+1)&amp;"年"&amp;AT$5)</f>
        <v>1</v>
      </c>
      <c r="AU347" s="312">
        <f>IF((AO$4+1)&amp;"年"&amp;AU$5&lt;&gt;'9.项目开发计划表'!$AG$81,1,(AO$4+1)&amp;"年"&amp;AU$5)</f>
        <v>1</v>
      </c>
      <c r="AV347" s="313">
        <f>IF((AO$4+1)&amp;"年"&amp;AV$5&lt;&gt;'9.项目开发计划表'!$AG$81,1,(AO$4+1)&amp;"年"&amp;AV$5)</f>
        <v>1</v>
      </c>
    </row>
    <row r="348" spans="2:48" outlineLevel="1">
      <c r="C348" s="1980"/>
      <c r="D348" s="1982"/>
      <c r="E348" s="324">
        <f t="shared" ref="E348:AV348" si="126">IF(E347=1,0,1)</f>
        <v>0</v>
      </c>
      <c r="F348" s="325">
        <f t="shared" si="126"/>
        <v>0</v>
      </c>
      <c r="G348" s="325">
        <f t="shared" si="126"/>
        <v>0</v>
      </c>
      <c r="H348" s="326">
        <f t="shared" si="126"/>
        <v>0</v>
      </c>
      <c r="I348" s="333">
        <f t="shared" si="126"/>
        <v>0</v>
      </c>
      <c r="J348" s="325">
        <f t="shared" si="126"/>
        <v>0</v>
      </c>
      <c r="K348" s="325">
        <f t="shared" si="126"/>
        <v>0</v>
      </c>
      <c r="L348" s="326">
        <f t="shared" si="126"/>
        <v>0</v>
      </c>
      <c r="M348" s="333">
        <f t="shared" si="126"/>
        <v>0</v>
      </c>
      <c r="N348" s="325">
        <f t="shared" si="126"/>
        <v>0</v>
      </c>
      <c r="O348" s="325">
        <f t="shared" si="126"/>
        <v>0</v>
      </c>
      <c r="P348" s="326">
        <f t="shared" si="126"/>
        <v>0</v>
      </c>
      <c r="Q348" s="333">
        <f t="shared" si="126"/>
        <v>0</v>
      </c>
      <c r="R348" s="325">
        <f t="shared" si="126"/>
        <v>0</v>
      </c>
      <c r="S348" s="325">
        <f t="shared" si="126"/>
        <v>0</v>
      </c>
      <c r="T348" s="326">
        <f t="shared" si="126"/>
        <v>0</v>
      </c>
      <c r="U348" s="333">
        <f t="shared" si="126"/>
        <v>0</v>
      </c>
      <c r="V348" s="325">
        <f t="shared" si="126"/>
        <v>0</v>
      </c>
      <c r="W348" s="325">
        <f t="shared" si="126"/>
        <v>0</v>
      </c>
      <c r="X348" s="326">
        <f t="shared" si="126"/>
        <v>0</v>
      </c>
      <c r="Y348" s="333">
        <f t="shared" si="126"/>
        <v>0</v>
      </c>
      <c r="Z348" s="325">
        <f t="shared" si="126"/>
        <v>0</v>
      </c>
      <c r="AA348" s="325">
        <f t="shared" si="126"/>
        <v>0</v>
      </c>
      <c r="AB348" s="326">
        <f t="shared" si="126"/>
        <v>0</v>
      </c>
      <c r="AC348" s="333">
        <f t="shared" si="126"/>
        <v>0</v>
      </c>
      <c r="AD348" s="325">
        <f t="shared" si="126"/>
        <v>0</v>
      </c>
      <c r="AE348" s="325">
        <f t="shared" si="126"/>
        <v>0</v>
      </c>
      <c r="AF348" s="326">
        <f t="shared" si="126"/>
        <v>0</v>
      </c>
      <c r="AG348" s="333">
        <f t="shared" si="126"/>
        <v>0</v>
      </c>
      <c r="AH348" s="325">
        <f t="shared" si="126"/>
        <v>0</v>
      </c>
      <c r="AI348" s="325">
        <f t="shared" si="126"/>
        <v>0</v>
      </c>
      <c r="AJ348" s="326">
        <f t="shared" si="126"/>
        <v>0</v>
      </c>
      <c r="AK348" s="333">
        <f t="shared" si="126"/>
        <v>0</v>
      </c>
      <c r="AL348" s="325">
        <f t="shared" si="126"/>
        <v>0</v>
      </c>
      <c r="AM348" s="325">
        <f t="shared" si="126"/>
        <v>0</v>
      </c>
      <c r="AN348" s="326">
        <f t="shared" si="126"/>
        <v>0</v>
      </c>
      <c r="AO348" s="333">
        <f t="shared" si="126"/>
        <v>0</v>
      </c>
      <c r="AP348" s="325">
        <f t="shared" si="126"/>
        <v>0</v>
      </c>
      <c r="AQ348" s="325">
        <f t="shared" si="126"/>
        <v>0</v>
      </c>
      <c r="AR348" s="326">
        <f t="shared" si="126"/>
        <v>0</v>
      </c>
      <c r="AS348" s="333">
        <f t="shared" si="126"/>
        <v>0</v>
      </c>
      <c r="AT348" s="325">
        <f t="shared" si="126"/>
        <v>0</v>
      </c>
      <c r="AU348" s="325">
        <f t="shared" si="126"/>
        <v>0</v>
      </c>
      <c r="AV348" s="326">
        <f t="shared" si="126"/>
        <v>0</v>
      </c>
    </row>
    <row r="349" spans="2:48" outlineLevel="1">
      <c r="C349" s="287"/>
      <c r="D349" s="327"/>
      <c r="E349" s="290"/>
      <c r="F349" s="290"/>
      <c r="G349" s="290"/>
      <c r="H349" s="290"/>
      <c r="I349" s="290"/>
      <c r="J349" s="290"/>
      <c r="K349" s="290"/>
      <c r="L349" s="290"/>
      <c r="M349" s="290"/>
      <c r="N349" s="290"/>
      <c r="O349" s="290"/>
      <c r="P349" s="290"/>
      <c r="Q349" s="290"/>
      <c r="R349" s="290"/>
      <c r="S349" s="290"/>
      <c r="T349" s="290"/>
      <c r="U349" s="290"/>
      <c r="V349" s="290"/>
      <c r="W349" s="290"/>
      <c r="X349" s="290"/>
      <c r="Y349" s="290"/>
      <c r="Z349" s="290"/>
      <c r="AA349" s="290"/>
      <c r="AB349" s="290"/>
      <c r="AC349" s="290"/>
      <c r="AD349" s="290"/>
      <c r="AE349" s="290"/>
      <c r="AF349" s="290"/>
      <c r="AG349" s="290"/>
      <c r="AH349" s="290"/>
      <c r="AI349" s="290"/>
      <c r="AJ349" s="290"/>
      <c r="AK349" s="290"/>
      <c r="AL349" s="290"/>
      <c r="AM349" s="290"/>
      <c r="AN349" s="290"/>
      <c r="AO349" s="290"/>
      <c r="AP349" s="290"/>
      <c r="AQ349" s="290"/>
      <c r="AR349" s="290"/>
      <c r="AS349" s="290"/>
      <c r="AT349" s="290"/>
      <c r="AU349" s="290"/>
      <c r="AV349" s="290"/>
    </row>
    <row r="350" spans="2:48">
      <c r="B350" s="328"/>
      <c r="C350" s="316"/>
      <c r="D350" s="329"/>
      <c r="E350" s="319"/>
      <c r="F350" s="319"/>
      <c r="G350" s="319"/>
      <c r="H350" s="319"/>
      <c r="I350" s="319"/>
      <c r="J350" s="319"/>
      <c r="K350" s="319"/>
      <c r="L350" s="319"/>
      <c r="M350" s="319"/>
      <c r="N350" s="319"/>
      <c r="O350" s="319"/>
      <c r="P350" s="319"/>
      <c r="Q350" s="319"/>
      <c r="R350" s="319"/>
      <c r="S350" s="319"/>
      <c r="T350" s="319"/>
      <c r="U350" s="319"/>
      <c r="V350" s="319"/>
      <c r="W350" s="319"/>
      <c r="X350" s="319"/>
      <c r="Y350" s="319"/>
      <c r="Z350" s="319"/>
      <c r="AA350" s="319"/>
      <c r="AB350" s="319"/>
      <c r="AC350" s="319"/>
      <c r="AD350" s="319"/>
      <c r="AE350" s="319"/>
      <c r="AF350" s="319"/>
      <c r="AG350" s="319"/>
      <c r="AH350" s="319"/>
      <c r="AI350" s="319"/>
      <c r="AJ350" s="319"/>
      <c r="AK350" s="319"/>
      <c r="AL350" s="319"/>
      <c r="AM350" s="319"/>
      <c r="AN350" s="319"/>
      <c r="AO350" s="319"/>
      <c r="AP350" s="319"/>
      <c r="AQ350" s="319"/>
      <c r="AR350" s="319"/>
      <c r="AS350" s="319"/>
      <c r="AT350" s="319"/>
      <c r="AU350" s="319"/>
      <c r="AV350" s="319"/>
    </row>
    <row r="351" spans="2:48" s="259" customFormat="1" ht="17.25" customHeight="1">
      <c r="B351" s="263" t="s">
        <v>927</v>
      </c>
      <c r="C351" s="293"/>
      <c r="D351" s="330"/>
      <c r="E351" s="290"/>
      <c r="F351" s="290"/>
      <c r="G351" s="290"/>
      <c r="H351" s="290"/>
      <c r="I351" s="290"/>
      <c r="J351" s="290"/>
      <c r="K351" s="290"/>
      <c r="L351" s="290"/>
      <c r="M351" s="290"/>
      <c r="N351" s="290"/>
      <c r="O351" s="290"/>
      <c r="P351" s="290"/>
      <c r="Q351" s="290"/>
      <c r="R351" s="290"/>
      <c r="S351" s="290"/>
      <c r="T351" s="290"/>
      <c r="U351" s="290"/>
      <c r="V351" s="290"/>
      <c r="W351" s="290"/>
      <c r="X351" s="290"/>
      <c r="Y351" s="290"/>
      <c r="Z351" s="290"/>
      <c r="AA351" s="290"/>
      <c r="AB351" s="290"/>
      <c r="AC351" s="290"/>
      <c r="AD351" s="290"/>
      <c r="AE351" s="290"/>
      <c r="AF351" s="290"/>
      <c r="AG351" s="290"/>
      <c r="AH351" s="290"/>
      <c r="AI351" s="290"/>
      <c r="AJ351" s="290"/>
      <c r="AK351" s="290"/>
      <c r="AL351" s="290"/>
      <c r="AM351" s="290"/>
      <c r="AN351" s="290"/>
      <c r="AO351" s="290"/>
      <c r="AP351" s="290"/>
      <c r="AQ351" s="290"/>
      <c r="AR351" s="290"/>
      <c r="AS351" s="290"/>
      <c r="AT351" s="290"/>
      <c r="AU351" s="290"/>
      <c r="AV351" s="290"/>
    </row>
    <row r="352" spans="2:48" s="256" customFormat="1" ht="15.75" customHeight="1">
      <c r="B352" s="1978" t="s">
        <v>919</v>
      </c>
      <c r="C352" s="1978" t="s">
        <v>598</v>
      </c>
      <c r="D352" s="1987" t="s">
        <v>251</v>
      </c>
      <c r="E352" s="1971">
        <f>'1.参数设置'!$C$4</f>
        <v>2018</v>
      </c>
      <c r="F352" s="1972"/>
      <c r="G352" s="1972"/>
      <c r="H352" s="1973"/>
      <c r="I352" s="1971">
        <f>E352+1</f>
        <v>2019</v>
      </c>
      <c r="J352" s="1972"/>
      <c r="K352" s="1972"/>
      <c r="L352" s="1973"/>
      <c r="M352" s="1971">
        <f>I352+1</f>
        <v>2020</v>
      </c>
      <c r="N352" s="1972"/>
      <c r="O352" s="1972"/>
      <c r="P352" s="1973"/>
      <c r="Q352" s="1971">
        <f>M352+1</f>
        <v>2021</v>
      </c>
      <c r="R352" s="1972"/>
      <c r="S352" s="1972"/>
      <c r="T352" s="1973"/>
      <c r="U352" s="1971">
        <f>Q352+1</f>
        <v>2022</v>
      </c>
      <c r="V352" s="1972"/>
      <c r="W352" s="1972"/>
      <c r="X352" s="1973"/>
      <c r="Y352" s="1971">
        <f>U352+1</f>
        <v>2023</v>
      </c>
      <c r="Z352" s="1972"/>
      <c r="AA352" s="1972"/>
      <c r="AB352" s="1973"/>
      <c r="AC352" s="1971">
        <f>Y352+1</f>
        <v>2024</v>
      </c>
      <c r="AD352" s="1972"/>
      <c r="AE352" s="1972"/>
      <c r="AF352" s="1973"/>
      <c r="AG352" s="1971">
        <f>AC352+1</f>
        <v>2025</v>
      </c>
      <c r="AH352" s="1972"/>
      <c r="AI352" s="1972"/>
      <c r="AJ352" s="1973"/>
      <c r="AK352" s="1971">
        <f>AG352+1</f>
        <v>2026</v>
      </c>
      <c r="AL352" s="1972"/>
      <c r="AM352" s="1972"/>
      <c r="AN352" s="1973"/>
      <c r="AO352" s="1971">
        <f>AK352+1</f>
        <v>2027</v>
      </c>
      <c r="AP352" s="1972"/>
      <c r="AQ352" s="1972"/>
      <c r="AR352" s="1973"/>
      <c r="AS352" s="1971">
        <f>AO352+1</f>
        <v>2028</v>
      </c>
      <c r="AT352" s="1972"/>
      <c r="AU352" s="1972"/>
      <c r="AV352" s="1973"/>
    </row>
    <row r="353" spans="2:48" s="256" customFormat="1" ht="15.75" customHeight="1">
      <c r="B353" s="1979"/>
      <c r="C353" s="1979"/>
      <c r="D353" s="1988"/>
      <c r="E353" s="265" t="s">
        <v>920</v>
      </c>
      <c r="F353" s="266" t="s">
        <v>921</v>
      </c>
      <c r="G353" s="266" t="s">
        <v>922</v>
      </c>
      <c r="H353" s="267" t="s">
        <v>923</v>
      </c>
      <c r="I353" s="265" t="s">
        <v>920</v>
      </c>
      <c r="J353" s="266" t="s">
        <v>921</v>
      </c>
      <c r="K353" s="266" t="s">
        <v>922</v>
      </c>
      <c r="L353" s="267" t="s">
        <v>923</v>
      </c>
      <c r="M353" s="265" t="s">
        <v>920</v>
      </c>
      <c r="N353" s="266" t="s">
        <v>921</v>
      </c>
      <c r="O353" s="266" t="s">
        <v>922</v>
      </c>
      <c r="P353" s="267" t="s">
        <v>923</v>
      </c>
      <c r="Q353" s="265" t="s">
        <v>920</v>
      </c>
      <c r="R353" s="266" t="s">
        <v>921</v>
      </c>
      <c r="S353" s="266" t="s">
        <v>922</v>
      </c>
      <c r="T353" s="267" t="s">
        <v>923</v>
      </c>
      <c r="U353" s="265" t="s">
        <v>920</v>
      </c>
      <c r="V353" s="266" t="s">
        <v>921</v>
      </c>
      <c r="W353" s="266" t="s">
        <v>922</v>
      </c>
      <c r="X353" s="267" t="s">
        <v>923</v>
      </c>
      <c r="Y353" s="265" t="s">
        <v>920</v>
      </c>
      <c r="Z353" s="266" t="s">
        <v>921</v>
      </c>
      <c r="AA353" s="266" t="s">
        <v>922</v>
      </c>
      <c r="AB353" s="267" t="s">
        <v>923</v>
      </c>
      <c r="AC353" s="265" t="s">
        <v>920</v>
      </c>
      <c r="AD353" s="266" t="s">
        <v>921</v>
      </c>
      <c r="AE353" s="266" t="s">
        <v>922</v>
      </c>
      <c r="AF353" s="267" t="s">
        <v>923</v>
      </c>
      <c r="AG353" s="265" t="s">
        <v>920</v>
      </c>
      <c r="AH353" s="266" t="s">
        <v>921</v>
      </c>
      <c r="AI353" s="266" t="s">
        <v>922</v>
      </c>
      <c r="AJ353" s="267" t="s">
        <v>923</v>
      </c>
      <c r="AK353" s="265" t="s">
        <v>920</v>
      </c>
      <c r="AL353" s="266" t="s">
        <v>921</v>
      </c>
      <c r="AM353" s="266" t="s">
        <v>922</v>
      </c>
      <c r="AN353" s="267" t="s">
        <v>923</v>
      </c>
      <c r="AO353" s="265" t="s">
        <v>920</v>
      </c>
      <c r="AP353" s="266" t="s">
        <v>921</v>
      </c>
      <c r="AQ353" s="266" t="s">
        <v>922</v>
      </c>
      <c r="AR353" s="267" t="s">
        <v>923</v>
      </c>
      <c r="AS353" s="265" t="s">
        <v>920</v>
      </c>
      <c r="AT353" s="266" t="s">
        <v>921</v>
      </c>
      <c r="AU353" s="266" t="s">
        <v>922</v>
      </c>
      <c r="AV353" s="267" t="s">
        <v>923</v>
      </c>
    </row>
    <row r="354" spans="2:48" s="257" customFormat="1" ht="15.75" customHeight="1">
      <c r="B354" s="1974" t="s">
        <v>251</v>
      </c>
      <c r="C354" s="295" t="s">
        <v>251</v>
      </c>
      <c r="D354" s="296">
        <f t="shared" ref="D354:AV354" si="127">SUM(D355:D360)</f>
        <v>557.31218406316918</v>
      </c>
      <c r="E354" s="297">
        <f t="shared" si="127"/>
        <v>0</v>
      </c>
      <c r="F354" s="296">
        <f t="shared" si="127"/>
        <v>0</v>
      </c>
      <c r="G354" s="296">
        <f t="shared" si="127"/>
        <v>0</v>
      </c>
      <c r="H354" s="298">
        <f t="shared" si="127"/>
        <v>0</v>
      </c>
      <c r="I354" s="297">
        <f t="shared" si="127"/>
        <v>0</v>
      </c>
      <c r="J354" s="296">
        <f t="shared" si="127"/>
        <v>56.227499999999999</v>
      </c>
      <c r="K354" s="296">
        <f t="shared" si="127"/>
        <v>82.574099999999987</v>
      </c>
      <c r="L354" s="298">
        <f t="shared" si="127"/>
        <v>50.624028000000003</v>
      </c>
      <c r="M354" s="297">
        <f t="shared" si="127"/>
        <v>37.029292560000002</v>
      </c>
      <c r="N354" s="296">
        <f t="shared" si="127"/>
        <v>24.516774785454547</v>
      </c>
      <c r="O354" s="296">
        <f t="shared" si="127"/>
        <v>13.887490909090909</v>
      </c>
      <c r="P354" s="298">
        <f t="shared" si="127"/>
        <v>285.90662976701918</v>
      </c>
      <c r="Q354" s="297">
        <f t="shared" si="127"/>
        <v>6.5463680416045662</v>
      </c>
      <c r="R354" s="296">
        <f t="shared" si="127"/>
        <v>0</v>
      </c>
      <c r="S354" s="296">
        <f t="shared" si="127"/>
        <v>0</v>
      </c>
      <c r="T354" s="298">
        <f t="shared" si="127"/>
        <v>0</v>
      </c>
      <c r="U354" s="297">
        <f t="shared" si="127"/>
        <v>0</v>
      </c>
      <c r="V354" s="296">
        <f t="shared" si="127"/>
        <v>0</v>
      </c>
      <c r="W354" s="296">
        <f t="shared" si="127"/>
        <v>0</v>
      </c>
      <c r="X354" s="298">
        <f t="shared" si="127"/>
        <v>0</v>
      </c>
      <c r="Y354" s="297">
        <f t="shared" si="127"/>
        <v>0</v>
      </c>
      <c r="Z354" s="296">
        <f t="shared" si="127"/>
        <v>0</v>
      </c>
      <c r="AA354" s="296">
        <f t="shared" si="127"/>
        <v>0</v>
      </c>
      <c r="AB354" s="298">
        <f t="shared" si="127"/>
        <v>0</v>
      </c>
      <c r="AC354" s="297">
        <f t="shared" si="127"/>
        <v>0</v>
      </c>
      <c r="AD354" s="296">
        <f t="shared" si="127"/>
        <v>0</v>
      </c>
      <c r="AE354" s="296">
        <f t="shared" si="127"/>
        <v>0</v>
      </c>
      <c r="AF354" s="298">
        <f t="shared" si="127"/>
        <v>0</v>
      </c>
      <c r="AG354" s="297">
        <f t="shared" si="127"/>
        <v>0</v>
      </c>
      <c r="AH354" s="296">
        <f t="shared" si="127"/>
        <v>0</v>
      </c>
      <c r="AI354" s="296">
        <f t="shared" si="127"/>
        <v>0</v>
      </c>
      <c r="AJ354" s="298">
        <f t="shared" si="127"/>
        <v>0</v>
      </c>
      <c r="AK354" s="297">
        <f t="shared" si="127"/>
        <v>0</v>
      </c>
      <c r="AL354" s="296">
        <f t="shared" si="127"/>
        <v>0</v>
      </c>
      <c r="AM354" s="296">
        <f t="shared" si="127"/>
        <v>0</v>
      </c>
      <c r="AN354" s="298">
        <f t="shared" si="127"/>
        <v>0</v>
      </c>
      <c r="AO354" s="297">
        <f t="shared" si="127"/>
        <v>0</v>
      </c>
      <c r="AP354" s="296">
        <f t="shared" si="127"/>
        <v>0</v>
      </c>
      <c r="AQ354" s="296">
        <f t="shared" si="127"/>
        <v>0</v>
      </c>
      <c r="AR354" s="298">
        <f t="shared" si="127"/>
        <v>0</v>
      </c>
      <c r="AS354" s="297">
        <f t="shared" si="127"/>
        <v>0</v>
      </c>
      <c r="AT354" s="296">
        <f t="shared" si="127"/>
        <v>0</v>
      </c>
      <c r="AU354" s="296">
        <f t="shared" si="127"/>
        <v>0</v>
      </c>
      <c r="AV354" s="298">
        <f t="shared" si="127"/>
        <v>0</v>
      </c>
    </row>
    <row r="355" spans="2:48" s="256" customFormat="1" ht="15.75" customHeight="1">
      <c r="B355" s="1975"/>
      <c r="C355" s="273" t="s">
        <v>19</v>
      </c>
      <c r="D355" s="274">
        <f t="shared" ref="D355:D360" si="128">SUM(E355:AV355)</f>
        <v>557.31218406316918</v>
      </c>
      <c r="E355" s="275">
        <f>E7*('2.税率表'!$D$13+'2.税率表'!$D$14+'2.税率表'!$D$17)</f>
        <v>0</v>
      </c>
      <c r="F355" s="276">
        <f>F7*('2.税率表'!$D$13+'2.税率表'!$D$14+'2.税率表'!$D$17)</f>
        <v>0</v>
      </c>
      <c r="G355" s="276">
        <f>G7*('2.税率表'!$D$13+'2.税率表'!$D$14+'2.税率表'!$D$17)</f>
        <v>0</v>
      </c>
      <c r="H355" s="277">
        <f>H7*('2.税率表'!$D$13+'2.税率表'!$D$14+'2.税率表'!$D$17)</f>
        <v>0</v>
      </c>
      <c r="I355" s="275">
        <f>I7*('2.税率表'!$D$13+'2.税率表'!$D$14+'2.税率表'!$D$17)</f>
        <v>0</v>
      </c>
      <c r="J355" s="276">
        <f>J7*('2.税率表'!$D$13+'2.税率表'!$D$14+'2.税率表'!$D$17)</f>
        <v>56.227499999999999</v>
      </c>
      <c r="K355" s="276">
        <f>K7*('2.税率表'!$D$13+'2.税率表'!$D$14+'2.税率表'!$D$17)</f>
        <v>82.574099999999987</v>
      </c>
      <c r="L355" s="277">
        <f>L7*('2.税率表'!$D$13+'2.税率表'!$D$14+'2.税率表'!$D$17)</f>
        <v>50.624028000000003</v>
      </c>
      <c r="M355" s="275">
        <f>M7*('2.税率表'!$D$13+'2.税率表'!$D$14+'2.税率表'!$D$17)</f>
        <v>37.029292560000002</v>
      </c>
      <c r="N355" s="276">
        <f>N7*('2.税率表'!$D$13+'2.税率表'!$D$14+'2.税率表'!$D$17)</f>
        <v>24.516774785454547</v>
      </c>
      <c r="O355" s="276">
        <f>O7*('2.税率表'!$D$13+'2.税率表'!$D$14+'2.税率表'!$D$17)</f>
        <v>13.887490909090909</v>
      </c>
      <c r="P355" s="277">
        <f>P7*('2.税率表'!$D$13+'2.税率表'!$D$14+'2.税率表'!$D$17)</f>
        <v>285.90662976701918</v>
      </c>
      <c r="Q355" s="275">
        <f>Q7*('2.税率表'!$D$13+'2.税率表'!$D$14+'2.税率表'!$D$17)</f>
        <v>6.5463680416045662</v>
      </c>
      <c r="R355" s="276">
        <f>R7*('2.税率表'!$D$13+'2.税率表'!$D$14+'2.税率表'!$D$17)</f>
        <v>0</v>
      </c>
      <c r="S355" s="276">
        <f>S7*('2.税率表'!$D$13+'2.税率表'!$D$14+'2.税率表'!$D$17)</f>
        <v>0</v>
      </c>
      <c r="T355" s="277">
        <f>T7*('2.税率表'!$D$13+'2.税率表'!$D$14+'2.税率表'!$D$17)</f>
        <v>0</v>
      </c>
      <c r="U355" s="275">
        <f>U7*('2.税率表'!$D$13+'2.税率表'!$D$14+'2.税率表'!$D$17)</f>
        <v>0</v>
      </c>
      <c r="V355" s="276">
        <f>V7*('2.税率表'!$D$13+'2.税率表'!$D$14+'2.税率表'!$D$17)</f>
        <v>0</v>
      </c>
      <c r="W355" s="276">
        <f>W7*('2.税率表'!$D$13+'2.税率表'!$D$14+'2.税率表'!$D$17)</f>
        <v>0</v>
      </c>
      <c r="X355" s="277">
        <f>X7*('2.税率表'!$D$13+'2.税率表'!$D$14+'2.税率表'!$D$17)</f>
        <v>0</v>
      </c>
      <c r="Y355" s="275">
        <f>Y7*('2.税率表'!$D$13+'2.税率表'!$D$14+'2.税率表'!$D$17)</f>
        <v>0</v>
      </c>
      <c r="Z355" s="276">
        <f>Z7*('2.税率表'!$D$13+'2.税率表'!$D$14+'2.税率表'!$D$17)</f>
        <v>0</v>
      </c>
      <c r="AA355" s="276">
        <f>AA7*('2.税率表'!$D$13+'2.税率表'!$D$14+'2.税率表'!$D$17)</f>
        <v>0</v>
      </c>
      <c r="AB355" s="277">
        <f>AB7*('2.税率表'!$D$13+'2.税率表'!$D$14+'2.税率表'!$D$17)</f>
        <v>0</v>
      </c>
      <c r="AC355" s="275">
        <f>AC7*('2.税率表'!$D$13+'2.税率表'!$D$14+'2.税率表'!$D$17)</f>
        <v>0</v>
      </c>
      <c r="AD355" s="276">
        <f>AD7*('2.税率表'!$D$13+'2.税率表'!$D$14+'2.税率表'!$D$17)</f>
        <v>0</v>
      </c>
      <c r="AE355" s="276">
        <f>AE7*('2.税率表'!$D$13+'2.税率表'!$D$14+'2.税率表'!$D$17)</f>
        <v>0</v>
      </c>
      <c r="AF355" s="277">
        <f>AF7*('2.税率表'!$D$13+'2.税率表'!$D$14+'2.税率表'!$D$17)</f>
        <v>0</v>
      </c>
      <c r="AG355" s="275">
        <f>AG7*('2.税率表'!$D$13+'2.税率表'!$D$14+'2.税率表'!$D$17)</f>
        <v>0</v>
      </c>
      <c r="AH355" s="276">
        <f>AH7*('2.税率表'!$D$13+'2.税率表'!$D$14+'2.税率表'!$D$17)</f>
        <v>0</v>
      </c>
      <c r="AI355" s="276">
        <f>AI7*('2.税率表'!$D$13+'2.税率表'!$D$14+'2.税率表'!$D$17)</f>
        <v>0</v>
      </c>
      <c r="AJ355" s="277">
        <f>AJ7*('2.税率表'!$D$13+'2.税率表'!$D$14+'2.税率表'!$D$17)</f>
        <v>0</v>
      </c>
      <c r="AK355" s="275">
        <f>AK7*('2.税率表'!$D$13+'2.税率表'!$D$14+'2.税率表'!$D$17)</f>
        <v>0</v>
      </c>
      <c r="AL355" s="276">
        <f>AL7*('2.税率表'!$D$13+'2.税率表'!$D$14+'2.税率表'!$D$17)</f>
        <v>0</v>
      </c>
      <c r="AM355" s="276">
        <f>AM7*('2.税率表'!$D$13+'2.税率表'!$D$14+'2.税率表'!$D$17)</f>
        <v>0</v>
      </c>
      <c r="AN355" s="277">
        <f>AN7*('2.税率表'!$D$13+'2.税率表'!$D$14+'2.税率表'!$D$17)</f>
        <v>0</v>
      </c>
      <c r="AO355" s="275">
        <f>AO7*('2.税率表'!$D$13+'2.税率表'!$D$14+'2.税率表'!$D$17)</f>
        <v>0</v>
      </c>
      <c r="AP355" s="276">
        <f>AP7*('2.税率表'!$D$13+'2.税率表'!$D$14+'2.税率表'!$D$17)</f>
        <v>0</v>
      </c>
      <c r="AQ355" s="276">
        <f>AQ7*('2.税率表'!$D$13+'2.税率表'!$D$14+'2.税率表'!$D$17)</f>
        <v>0</v>
      </c>
      <c r="AR355" s="277">
        <f>AR7*('2.税率表'!$D$13+'2.税率表'!$D$14+'2.税率表'!$D$17)</f>
        <v>0</v>
      </c>
      <c r="AS355" s="275">
        <f>AS7*('2.税率表'!$D$13+'2.税率表'!$D$14+'2.税率表'!$D$17)</f>
        <v>0</v>
      </c>
      <c r="AT355" s="276">
        <f>AT7*('2.税率表'!$D$13+'2.税率表'!$D$14+'2.税率表'!$D$17)</f>
        <v>0</v>
      </c>
      <c r="AU355" s="276">
        <f>AU7*('2.税率表'!$D$13+'2.税率表'!$D$14+'2.税率表'!$D$17)</f>
        <v>0</v>
      </c>
      <c r="AV355" s="277">
        <f>AV7*('2.税率表'!$D$13+'2.税率表'!$D$14+'2.税率表'!$D$17)</f>
        <v>0</v>
      </c>
    </row>
    <row r="356" spans="2:48" s="256" customFormat="1" ht="15.75" customHeight="1">
      <c r="B356" s="1975"/>
      <c r="C356" s="273" t="s">
        <v>20</v>
      </c>
      <c r="D356" s="274">
        <f t="shared" si="128"/>
        <v>0</v>
      </c>
      <c r="E356" s="275">
        <f>E8*('2.税率表'!$D$13+'2.税率表'!$D$14+'2.税率表'!$D$17)</f>
        <v>0</v>
      </c>
      <c r="F356" s="276">
        <f>F8*('2.税率表'!$D$13+'2.税率表'!$D$14+'2.税率表'!$D$17)</f>
        <v>0</v>
      </c>
      <c r="G356" s="276">
        <f>G8*('2.税率表'!$D$13+'2.税率表'!$D$14+'2.税率表'!$D$17)</f>
        <v>0</v>
      </c>
      <c r="H356" s="277">
        <f>H8*('2.税率表'!$D$13+'2.税率表'!$D$14+'2.税率表'!$D$17)</f>
        <v>0</v>
      </c>
      <c r="I356" s="275">
        <f>I8*('2.税率表'!$D$13+'2.税率表'!$D$14+'2.税率表'!$D$17)</f>
        <v>0</v>
      </c>
      <c r="J356" s="276">
        <f>J8*('2.税率表'!$D$13+'2.税率表'!$D$14+'2.税率表'!$D$17)</f>
        <v>0</v>
      </c>
      <c r="K356" s="276">
        <f>K8*('2.税率表'!$D$13+'2.税率表'!$D$14+'2.税率表'!$D$17)</f>
        <v>0</v>
      </c>
      <c r="L356" s="277">
        <f>L8*('2.税率表'!$D$13+'2.税率表'!$D$14+'2.税率表'!$D$17)</f>
        <v>0</v>
      </c>
      <c r="M356" s="275">
        <f>M8*('2.税率表'!$D$13+'2.税率表'!$D$14+'2.税率表'!$D$17)</f>
        <v>0</v>
      </c>
      <c r="N356" s="276">
        <f>N8*('2.税率表'!$D$13+'2.税率表'!$D$14+'2.税率表'!$D$17)</f>
        <v>0</v>
      </c>
      <c r="O356" s="276">
        <f>O8*('2.税率表'!$D$13+'2.税率表'!$D$14+'2.税率表'!$D$17)</f>
        <v>0</v>
      </c>
      <c r="P356" s="277">
        <f>P8*('2.税率表'!$D$13+'2.税率表'!$D$14+'2.税率表'!$D$17)</f>
        <v>0</v>
      </c>
      <c r="Q356" s="275">
        <f>Q8*('2.税率表'!$D$13+'2.税率表'!$D$14+'2.税率表'!$D$17)</f>
        <v>0</v>
      </c>
      <c r="R356" s="276">
        <f>R8*('2.税率表'!$D$13+'2.税率表'!$D$14+'2.税率表'!$D$17)</f>
        <v>0</v>
      </c>
      <c r="S356" s="276">
        <f>S8*('2.税率表'!$D$13+'2.税率表'!$D$14+'2.税率表'!$D$17)</f>
        <v>0</v>
      </c>
      <c r="T356" s="277">
        <f>T8*('2.税率表'!$D$13+'2.税率表'!$D$14+'2.税率表'!$D$17)</f>
        <v>0</v>
      </c>
      <c r="U356" s="275">
        <f>U8*('2.税率表'!$D$13+'2.税率表'!$D$14+'2.税率表'!$D$17)</f>
        <v>0</v>
      </c>
      <c r="V356" s="276">
        <f>V8*('2.税率表'!$D$13+'2.税率表'!$D$14+'2.税率表'!$D$17)</f>
        <v>0</v>
      </c>
      <c r="W356" s="276">
        <f>W8*('2.税率表'!$D$13+'2.税率表'!$D$14+'2.税率表'!$D$17)</f>
        <v>0</v>
      </c>
      <c r="X356" s="277">
        <f>X8*('2.税率表'!$D$13+'2.税率表'!$D$14+'2.税率表'!$D$17)</f>
        <v>0</v>
      </c>
      <c r="Y356" s="275">
        <f>Y8*('2.税率表'!$D$13+'2.税率表'!$D$14+'2.税率表'!$D$17)</f>
        <v>0</v>
      </c>
      <c r="Z356" s="276">
        <f>Z8*('2.税率表'!$D$13+'2.税率表'!$D$14+'2.税率表'!$D$17)</f>
        <v>0</v>
      </c>
      <c r="AA356" s="276">
        <f>AA8*('2.税率表'!$D$13+'2.税率表'!$D$14+'2.税率表'!$D$17)</f>
        <v>0</v>
      </c>
      <c r="AB356" s="277">
        <f>AB8*('2.税率表'!$D$13+'2.税率表'!$D$14+'2.税率表'!$D$17)</f>
        <v>0</v>
      </c>
      <c r="AC356" s="275">
        <f>AC8*('2.税率表'!$D$13+'2.税率表'!$D$14+'2.税率表'!$D$17)</f>
        <v>0</v>
      </c>
      <c r="AD356" s="276">
        <f>AD8*('2.税率表'!$D$13+'2.税率表'!$D$14+'2.税率表'!$D$17)</f>
        <v>0</v>
      </c>
      <c r="AE356" s="276">
        <f>AE8*('2.税率表'!$D$13+'2.税率表'!$D$14+'2.税率表'!$D$17)</f>
        <v>0</v>
      </c>
      <c r="AF356" s="277">
        <f>AF8*('2.税率表'!$D$13+'2.税率表'!$D$14+'2.税率表'!$D$17)</f>
        <v>0</v>
      </c>
      <c r="AG356" s="275">
        <f>AG8*('2.税率表'!$D$13+'2.税率表'!$D$14+'2.税率表'!$D$17)</f>
        <v>0</v>
      </c>
      <c r="AH356" s="276">
        <f>AH8*('2.税率表'!$D$13+'2.税率表'!$D$14+'2.税率表'!$D$17)</f>
        <v>0</v>
      </c>
      <c r="AI356" s="276">
        <f>AI8*('2.税率表'!$D$13+'2.税率表'!$D$14+'2.税率表'!$D$17)</f>
        <v>0</v>
      </c>
      <c r="AJ356" s="277">
        <f>AJ8*('2.税率表'!$D$13+'2.税率表'!$D$14+'2.税率表'!$D$17)</f>
        <v>0</v>
      </c>
      <c r="AK356" s="275">
        <f>AK8*('2.税率表'!$D$13+'2.税率表'!$D$14+'2.税率表'!$D$17)</f>
        <v>0</v>
      </c>
      <c r="AL356" s="276">
        <f>AL8*('2.税率表'!$D$13+'2.税率表'!$D$14+'2.税率表'!$D$17)</f>
        <v>0</v>
      </c>
      <c r="AM356" s="276">
        <f>AM8*('2.税率表'!$D$13+'2.税率表'!$D$14+'2.税率表'!$D$17)</f>
        <v>0</v>
      </c>
      <c r="AN356" s="277">
        <f>AN8*('2.税率表'!$D$13+'2.税率表'!$D$14+'2.税率表'!$D$17)</f>
        <v>0</v>
      </c>
      <c r="AO356" s="275">
        <f>AO8*('2.税率表'!$D$13+'2.税率表'!$D$14+'2.税率表'!$D$17)</f>
        <v>0</v>
      </c>
      <c r="AP356" s="276">
        <f>AP8*('2.税率表'!$D$13+'2.税率表'!$D$14+'2.税率表'!$D$17)</f>
        <v>0</v>
      </c>
      <c r="AQ356" s="276">
        <f>AQ8*('2.税率表'!$D$13+'2.税率表'!$D$14+'2.税率表'!$D$17)</f>
        <v>0</v>
      </c>
      <c r="AR356" s="277">
        <f>AR8*('2.税率表'!$D$13+'2.税率表'!$D$14+'2.税率表'!$D$17)</f>
        <v>0</v>
      </c>
      <c r="AS356" s="275">
        <f>AS8*('2.税率表'!$D$13+'2.税率表'!$D$14+'2.税率表'!$D$17)</f>
        <v>0</v>
      </c>
      <c r="AT356" s="276">
        <f>AT8*('2.税率表'!$D$13+'2.税率表'!$D$14+'2.税率表'!$D$17)</f>
        <v>0</v>
      </c>
      <c r="AU356" s="276">
        <f>AU8*('2.税率表'!$D$13+'2.税率表'!$D$14+'2.税率表'!$D$17)</f>
        <v>0</v>
      </c>
      <c r="AV356" s="277">
        <f>AV8*('2.税率表'!$D$13+'2.税率表'!$D$14+'2.税率表'!$D$17)</f>
        <v>0</v>
      </c>
    </row>
    <row r="357" spans="2:48" s="256" customFormat="1" ht="15.75" customHeight="1">
      <c r="B357" s="1975"/>
      <c r="C357" s="273" t="s">
        <v>21</v>
      </c>
      <c r="D357" s="274">
        <f t="shared" si="128"/>
        <v>0</v>
      </c>
      <c r="E357" s="275">
        <f>E9*('2.税率表'!$D$13+'2.税率表'!$D$14+'2.税率表'!$D$17)</f>
        <v>0</v>
      </c>
      <c r="F357" s="276">
        <f>F9*('2.税率表'!$D$13+'2.税率表'!$D$14+'2.税率表'!$D$17)</f>
        <v>0</v>
      </c>
      <c r="G357" s="276">
        <f>G9*('2.税率表'!$D$13+'2.税率表'!$D$14+'2.税率表'!$D$17)</f>
        <v>0</v>
      </c>
      <c r="H357" s="277">
        <f>H9*('2.税率表'!$D$13+'2.税率表'!$D$14+'2.税率表'!$D$17)</f>
        <v>0</v>
      </c>
      <c r="I357" s="275">
        <f>I9*('2.税率表'!$D$13+'2.税率表'!$D$14+'2.税率表'!$D$17)</f>
        <v>0</v>
      </c>
      <c r="J357" s="276">
        <f>J9*('2.税率表'!$D$13+'2.税率表'!$D$14+'2.税率表'!$D$17)</f>
        <v>0</v>
      </c>
      <c r="K357" s="276">
        <f>K9*('2.税率表'!$D$13+'2.税率表'!$D$14+'2.税率表'!$D$17)</f>
        <v>0</v>
      </c>
      <c r="L357" s="277">
        <f>L9*('2.税率表'!$D$13+'2.税率表'!$D$14+'2.税率表'!$D$17)</f>
        <v>0</v>
      </c>
      <c r="M357" s="275">
        <f>M9*('2.税率表'!$D$13+'2.税率表'!$D$14+'2.税率表'!$D$17)</f>
        <v>0</v>
      </c>
      <c r="N357" s="276">
        <f>N9*('2.税率表'!$D$13+'2.税率表'!$D$14+'2.税率表'!$D$17)</f>
        <v>0</v>
      </c>
      <c r="O357" s="276">
        <f>O9*('2.税率表'!$D$13+'2.税率表'!$D$14+'2.税率表'!$D$17)</f>
        <v>0</v>
      </c>
      <c r="P357" s="277">
        <f>P9*('2.税率表'!$D$13+'2.税率表'!$D$14+'2.税率表'!$D$17)</f>
        <v>0</v>
      </c>
      <c r="Q357" s="275">
        <f>Q9*('2.税率表'!$D$13+'2.税率表'!$D$14+'2.税率表'!$D$17)</f>
        <v>0</v>
      </c>
      <c r="R357" s="276">
        <f>R9*('2.税率表'!$D$13+'2.税率表'!$D$14+'2.税率表'!$D$17)</f>
        <v>0</v>
      </c>
      <c r="S357" s="276">
        <f>S9*('2.税率表'!$D$13+'2.税率表'!$D$14+'2.税率表'!$D$17)</f>
        <v>0</v>
      </c>
      <c r="T357" s="277">
        <f>T9*('2.税率表'!$D$13+'2.税率表'!$D$14+'2.税率表'!$D$17)</f>
        <v>0</v>
      </c>
      <c r="U357" s="275">
        <f>U9*('2.税率表'!$D$13+'2.税率表'!$D$14+'2.税率表'!$D$17)</f>
        <v>0</v>
      </c>
      <c r="V357" s="276">
        <f>V9*('2.税率表'!$D$13+'2.税率表'!$D$14+'2.税率表'!$D$17)</f>
        <v>0</v>
      </c>
      <c r="W357" s="276">
        <f>W9*('2.税率表'!$D$13+'2.税率表'!$D$14+'2.税率表'!$D$17)</f>
        <v>0</v>
      </c>
      <c r="X357" s="277">
        <f>X9*('2.税率表'!$D$13+'2.税率表'!$D$14+'2.税率表'!$D$17)</f>
        <v>0</v>
      </c>
      <c r="Y357" s="275">
        <f>Y9*('2.税率表'!$D$13+'2.税率表'!$D$14+'2.税率表'!$D$17)</f>
        <v>0</v>
      </c>
      <c r="Z357" s="276">
        <f>Z9*('2.税率表'!$D$13+'2.税率表'!$D$14+'2.税率表'!$D$17)</f>
        <v>0</v>
      </c>
      <c r="AA357" s="276">
        <f>AA9*('2.税率表'!$D$13+'2.税率表'!$D$14+'2.税率表'!$D$17)</f>
        <v>0</v>
      </c>
      <c r="AB357" s="277">
        <f>AB9*('2.税率表'!$D$13+'2.税率表'!$D$14+'2.税率表'!$D$17)</f>
        <v>0</v>
      </c>
      <c r="AC357" s="275">
        <f>AC9*('2.税率表'!$D$13+'2.税率表'!$D$14+'2.税率表'!$D$17)</f>
        <v>0</v>
      </c>
      <c r="AD357" s="276">
        <f>AD9*('2.税率表'!$D$13+'2.税率表'!$D$14+'2.税率表'!$D$17)</f>
        <v>0</v>
      </c>
      <c r="AE357" s="276">
        <f>AE9*('2.税率表'!$D$13+'2.税率表'!$D$14+'2.税率表'!$D$17)</f>
        <v>0</v>
      </c>
      <c r="AF357" s="277">
        <f>AF9*('2.税率表'!$D$13+'2.税率表'!$D$14+'2.税率表'!$D$17)</f>
        <v>0</v>
      </c>
      <c r="AG357" s="275">
        <f>AG9*('2.税率表'!$D$13+'2.税率表'!$D$14+'2.税率表'!$D$17)</f>
        <v>0</v>
      </c>
      <c r="AH357" s="276">
        <f>AH9*('2.税率表'!$D$13+'2.税率表'!$D$14+'2.税率表'!$D$17)</f>
        <v>0</v>
      </c>
      <c r="AI357" s="276">
        <f>AI9*('2.税率表'!$D$13+'2.税率表'!$D$14+'2.税率表'!$D$17)</f>
        <v>0</v>
      </c>
      <c r="AJ357" s="277">
        <f>AJ9*('2.税率表'!$D$13+'2.税率表'!$D$14+'2.税率表'!$D$17)</f>
        <v>0</v>
      </c>
      <c r="AK357" s="275">
        <f>AK9*('2.税率表'!$D$13+'2.税率表'!$D$14+'2.税率表'!$D$17)</f>
        <v>0</v>
      </c>
      <c r="AL357" s="276">
        <f>AL9*('2.税率表'!$D$13+'2.税率表'!$D$14+'2.税率表'!$D$17)</f>
        <v>0</v>
      </c>
      <c r="AM357" s="276">
        <f>AM9*('2.税率表'!$D$13+'2.税率表'!$D$14+'2.税率表'!$D$17)</f>
        <v>0</v>
      </c>
      <c r="AN357" s="277">
        <f>AN9*('2.税率表'!$D$13+'2.税率表'!$D$14+'2.税率表'!$D$17)</f>
        <v>0</v>
      </c>
      <c r="AO357" s="275">
        <f>AO9*('2.税率表'!$D$13+'2.税率表'!$D$14+'2.税率表'!$D$17)</f>
        <v>0</v>
      </c>
      <c r="AP357" s="276">
        <f>AP9*('2.税率表'!$D$13+'2.税率表'!$D$14+'2.税率表'!$D$17)</f>
        <v>0</v>
      </c>
      <c r="AQ357" s="276">
        <f>AQ9*('2.税率表'!$D$13+'2.税率表'!$D$14+'2.税率表'!$D$17)</f>
        <v>0</v>
      </c>
      <c r="AR357" s="277">
        <f>AR9*('2.税率表'!$D$13+'2.税率表'!$D$14+'2.税率表'!$D$17)</f>
        <v>0</v>
      </c>
      <c r="AS357" s="275">
        <f>AS9*('2.税率表'!$D$13+'2.税率表'!$D$14+'2.税率表'!$D$17)</f>
        <v>0</v>
      </c>
      <c r="AT357" s="276">
        <f>AT9*('2.税率表'!$D$13+'2.税率表'!$D$14+'2.税率表'!$D$17)</f>
        <v>0</v>
      </c>
      <c r="AU357" s="276">
        <f>AU9*('2.税率表'!$D$13+'2.税率表'!$D$14+'2.税率表'!$D$17)</f>
        <v>0</v>
      </c>
      <c r="AV357" s="277">
        <f>AV9*('2.税率表'!$D$13+'2.税率表'!$D$14+'2.税率表'!$D$17)</f>
        <v>0</v>
      </c>
    </row>
    <row r="358" spans="2:48" s="256" customFormat="1" ht="15.75" customHeight="1">
      <c r="B358" s="1975"/>
      <c r="C358" s="273" t="s">
        <v>22</v>
      </c>
      <c r="D358" s="274">
        <f t="shared" si="128"/>
        <v>0</v>
      </c>
      <c r="E358" s="275">
        <f>E10*('2.税率表'!$D$13+'2.税率表'!$D$14+'2.税率表'!$D$17)</f>
        <v>0</v>
      </c>
      <c r="F358" s="276">
        <f>F10*('2.税率表'!$D$13+'2.税率表'!$D$14+'2.税率表'!$D$17)</f>
        <v>0</v>
      </c>
      <c r="G358" s="276">
        <f>G10*('2.税率表'!$D$13+'2.税率表'!$D$14+'2.税率表'!$D$17)</f>
        <v>0</v>
      </c>
      <c r="H358" s="277">
        <f>H10*('2.税率表'!$D$13+'2.税率表'!$D$14+'2.税率表'!$D$17)</f>
        <v>0</v>
      </c>
      <c r="I358" s="275">
        <f>I10*('2.税率表'!$D$13+'2.税率表'!$D$14+'2.税率表'!$D$17)</f>
        <v>0</v>
      </c>
      <c r="J358" s="276">
        <f>J10*('2.税率表'!$D$13+'2.税率表'!$D$14+'2.税率表'!$D$17)</f>
        <v>0</v>
      </c>
      <c r="K358" s="276">
        <f>K10*('2.税率表'!$D$13+'2.税率表'!$D$14+'2.税率表'!$D$17)</f>
        <v>0</v>
      </c>
      <c r="L358" s="277">
        <f>L10*('2.税率表'!$D$13+'2.税率表'!$D$14+'2.税率表'!$D$17)</f>
        <v>0</v>
      </c>
      <c r="M358" s="275">
        <f>M10*('2.税率表'!$D$13+'2.税率表'!$D$14+'2.税率表'!$D$17)</f>
        <v>0</v>
      </c>
      <c r="N358" s="276">
        <f>N10*('2.税率表'!$D$13+'2.税率表'!$D$14+'2.税率表'!$D$17)</f>
        <v>0</v>
      </c>
      <c r="O358" s="276">
        <f>O10*('2.税率表'!$D$13+'2.税率表'!$D$14+'2.税率表'!$D$17)</f>
        <v>0</v>
      </c>
      <c r="P358" s="277">
        <f>P10*('2.税率表'!$D$13+'2.税率表'!$D$14+'2.税率表'!$D$17)</f>
        <v>0</v>
      </c>
      <c r="Q358" s="275">
        <f>Q10*('2.税率表'!$D$13+'2.税率表'!$D$14+'2.税率表'!$D$17)</f>
        <v>0</v>
      </c>
      <c r="R358" s="276">
        <f>R10*('2.税率表'!$D$13+'2.税率表'!$D$14+'2.税率表'!$D$17)</f>
        <v>0</v>
      </c>
      <c r="S358" s="276">
        <f>S10*('2.税率表'!$D$13+'2.税率表'!$D$14+'2.税率表'!$D$17)</f>
        <v>0</v>
      </c>
      <c r="T358" s="277">
        <f>T10*('2.税率表'!$D$13+'2.税率表'!$D$14+'2.税率表'!$D$17)</f>
        <v>0</v>
      </c>
      <c r="U358" s="275">
        <f>U10*('2.税率表'!$D$13+'2.税率表'!$D$14+'2.税率表'!$D$17)</f>
        <v>0</v>
      </c>
      <c r="V358" s="276">
        <f>V10*('2.税率表'!$D$13+'2.税率表'!$D$14+'2.税率表'!$D$17)</f>
        <v>0</v>
      </c>
      <c r="W358" s="276">
        <f>W10*('2.税率表'!$D$13+'2.税率表'!$D$14+'2.税率表'!$D$17)</f>
        <v>0</v>
      </c>
      <c r="X358" s="277">
        <f>X10*('2.税率表'!$D$13+'2.税率表'!$D$14+'2.税率表'!$D$17)</f>
        <v>0</v>
      </c>
      <c r="Y358" s="275">
        <f>Y10*('2.税率表'!$D$13+'2.税率表'!$D$14+'2.税率表'!$D$17)</f>
        <v>0</v>
      </c>
      <c r="Z358" s="276">
        <f>Z10*('2.税率表'!$D$13+'2.税率表'!$D$14+'2.税率表'!$D$17)</f>
        <v>0</v>
      </c>
      <c r="AA358" s="276">
        <f>AA10*('2.税率表'!$D$13+'2.税率表'!$D$14+'2.税率表'!$D$17)</f>
        <v>0</v>
      </c>
      <c r="AB358" s="277">
        <f>AB10*('2.税率表'!$D$13+'2.税率表'!$D$14+'2.税率表'!$D$17)</f>
        <v>0</v>
      </c>
      <c r="AC358" s="275">
        <f>AC10*('2.税率表'!$D$13+'2.税率表'!$D$14+'2.税率表'!$D$17)</f>
        <v>0</v>
      </c>
      <c r="AD358" s="276">
        <f>AD10*('2.税率表'!$D$13+'2.税率表'!$D$14+'2.税率表'!$D$17)</f>
        <v>0</v>
      </c>
      <c r="AE358" s="276">
        <f>AE10*('2.税率表'!$D$13+'2.税率表'!$D$14+'2.税率表'!$D$17)</f>
        <v>0</v>
      </c>
      <c r="AF358" s="277">
        <f>AF10*('2.税率表'!$D$13+'2.税率表'!$D$14+'2.税率表'!$D$17)</f>
        <v>0</v>
      </c>
      <c r="AG358" s="275">
        <f>AG10*('2.税率表'!$D$13+'2.税率表'!$D$14+'2.税率表'!$D$17)</f>
        <v>0</v>
      </c>
      <c r="AH358" s="276">
        <f>AH10*('2.税率表'!$D$13+'2.税率表'!$D$14+'2.税率表'!$D$17)</f>
        <v>0</v>
      </c>
      <c r="AI358" s="276">
        <f>AI10*('2.税率表'!$D$13+'2.税率表'!$D$14+'2.税率表'!$D$17)</f>
        <v>0</v>
      </c>
      <c r="AJ358" s="277">
        <f>AJ10*('2.税率表'!$D$13+'2.税率表'!$D$14+'2.税率表'!$D$17)</f>
        <v>0</v>
      </c>
      <c r="AK358" s="275">
        <f>AK10*('2.税率表'!$D$13+'2.税率表'!$D$14+'2.税率表'!$D$17)</f>
        <v>0</v>
      </c>
      <c r="AL358" s="276">
        <f>AL10*('2.税率表'!$D$13+'2.税率表'!$D$14+'2.税率表'!$D$17)</f>
        <v>0</v>
      </c>
      <c r="AM358" s="276">
        <f>AM10*('2.税率表'!$D$13+'2.税率表'!$D$14+'2.税率表'!$D$17)</f>
        <v>0</v>
      </c>
      <c r="AN358" s="277">
        <f>AN10*('2.税率表'!$D$13+'2.税率表'!$D$14+'2.税率表'!$D$17)</f>
        <v>0</v>
      </c>
      <c r="AO358" s="275">
        <f>AO10*('2.税率表'!$D$13+'2.税率表'!$D$14+'2.税率表'!$D$17)</f>
        <v>0</v>
      </c>
      <c r="AP358" s="276">
        <f>AP10*('2.税率表'!$D$13+'2.税率表'!$D$14+'2.税率表'!$D$17)</f>
        <v>0</v>
      </c>
      <c r="AQ358" s="276">
        <f>AQ10*('2.税率表'!$D$13+'2.税率表'!$D$14+'2.税率表'!$D$17)</f>
        <v>0</v>
      </c>
      <c r="AR358" s="277">
        <f>AR10*('2.税率表'!$D$13+'2.税率表'!$D$14+'2.税率表'!$D$17)</f>
        <v>0</v>
      </c>
      <c r="AS358" s="275">
        <f>AS10*('2.税率表'!$D$13+'2.税率表'!$D$14+'2.税率表'!$D$17)</f>
        <v>0</v>
      </c>
      <c r="AT358" s="276">
        <f>AT10*('2.税率表'!$D$13+'2.税率表'!$D$14+'2.税率表'!$D$17)</f>
        <v>0</v>
      </c>
      <c r="AU358" s="276">
        <f>AU10*('2.税率表'!$D$13+'2.税率表'!$D$14+'2.税率表'!$D$17)</f>
        <v>0</v>
      </c>
      <c r="AV358" s="277">
        <f>AV10*('2.税率表'!$D$13+'2.税率表'!$D$14+'2.税率表'!$D$17)</f>
        <v>0</v>
      </c>
    </row>
    <row r="359" spans="2:48" s="256" customFormat="1" ht="15.75" customHeight="1">
      <c r="B359" s="1975"/>
      <c r="C359" s="268" t="s">
        <v>23</v>
      </c>
      <c r="D359" s="274">
        <f t="shared" si="128"/>
        <v>0</v>
      </c>
      <c r="E359" s="324">
        <f>E11*('2.税率表'!$D$13+'2.税率表'!$D$14+'2.税率表'!$D$17)</f>
        <v>0</v>
      </c>
      <c r="F359" s="325">
        <f>F11*('2.税率表'!$D$13+'2.税率表'!$D$14+'2.税率表'!$D$17)</f>
        <v>0</v>
      </c>
      <c r="G359" s="325">
        <f>G11*('2.税率表'!$D$13+'2.税率表'!$D$14+'2.税率表'!$D$17)</f>
        <v>0</v>
      </c>
      <c r="H359" s="326">
        <f>H11*('2.税率表'!$D$13+'2.税率表'!$D$14+'2.税率表'!$D$17)</f>
        <v>0</v>
      </c>
      <c r="I359" s="324">
        <f>I11*('2.税率表'!$D$13+'2.税率表'!$D$14+'2.税率表'!$D$17)</f>
        <v>0</v>
      </c>
      <c r="J359" s="325">
        <f>J11*('2.税率表'!$D$13+'2.税率表'!$D$14+'2.税率表'!$D$17)</f>
        <v>0</v>
      </c>
      <c r="K359" s="325">
        <f>K11*('2.税率表'!$D$13+'2.税率表'!$D$14+'2.税率表'!$D$17)</f>
        <v>0</v>
      </c>
      <c r="L359" s="326">
        <f>L11*('2.税率表'!$D$13+'2.税率表'!$D$14+'2.税率表'!$D$17)</f>
        <v>0</v>
      </c>
      <c r="M359" s="324">
        <f>M11*('2.税率表'!$D$13+'2.税率表'!$D$14+'2.税率表'!$D$17)</f>
        <v>0</v>
      </c>
      <c r="N359" s="325">
        <f>N11*('2.税率表'!$D$13+'2.税率表'!$D$14+'2.税率表'!$D$17)</f>
        <v>0</v>
      </c>
      <c r="O359" s="325">
        <f>O11*('2.税率表'!$D$13+'2.税率表'!$D$14+'2.税率表'!$D$17)</f>
        <v>0</v>
      </c>
      <c r="P359" s="326">
        <f>P11*('2.税率表'!$D$13+'2.税率表'!$D$14+'2.税率表'!$D$17)</f>
        <v>0</v>
      </c>
      <c r="Q359" s="324">
        <f>Q11*('2.税率表'!$D$13+'2.税率表'!$D$14+'2.税率表'!$D$17)</f>
        <v>0</v>
      </c>
      <c r="R359" s="325">
        <f>R11*('2.税率表'!$D$13+'2.税率表'!$D$14+'2.税率表'!$D$17)</f>
        <v>0</v>
      </c>
      <c r="S359" s="325">
        <f>S11*('2.税率表'!$D$13+'2.税率表'!$D$14+'2.税率表'!$D$17)</f>
        <v>0</v>
      </c>
      <c r="T359" s="326">
        <f>T11*('2.税率表'!$D$13+'2.税率表'!$D$14+'2.税率表'!$D$17)</f>
        <v>0</v>
      </c>
      <c r="U359" s="324">
        <f>U11*('2.税率表'!$D$13+'2.税率表'!$D$14+'2.税率表'!$D$17)</f>
        <v>0</v>
      </c>
      <c r="V359" s="325">
        <f>V11*('2.税率表'!$D$13+'2.税率表'!$D$14+'2.税率表'!$D$17)</f>
        <v>0</v>
      </c>
      <c r="W359" s="325">
        <f>W11*('2.税率表'!$D$13+'2.税率表'!$D$14+'2.税率表'!$D$17)</f>
        <v>0</v>
      </c>
      <c r="X359" s="326">
        <f>X11*('2.税率表'!$D$13+'2.税率表'!$D$14+'2.税率表'!$D$17)</f>
        <v>0</v>
      </c>
      <c r="Y359" s="324">
        <f>Y11*('2.税率表'!$D$13+'2.税率表'!$D$14+'2.税率表'!$D$17)</f>
        <v>0</v>
      </c>
      <c r="Z359" s="325">
        <f>Z11*('2.税率表'!$D$13+'2.税率表'!$D$14+'2.税率表'!$D$17)</f>
        <v>0</v>
      </c>
      <c r="AA359" s="325">
        <f>AA11*('2.税率表'!$D$13+'2.税率表'!$D$14+'2.税率表'!$D$17)</f>
        <v>0</v>
      </c>
      <c r="AB359" s="326">
        <f>AB11*('2.税率表'!$D$13+'2.税率表'!$D$14+'2.税率表'!$D$17)</f>
        <v>0</v>
      </c>
      <c r="AC359" s="324">
        <f>AC11*('2.税率表'!$D$13+'2.税率表'!$D$14+'2.税率表'!$D$17)</f>
        <v>0</v>
      </c>
      <c r="AD359" s="325">
        <f>AD11*('2.税率表'!$D$13+'2.税率表'!$D$14+'2.税率表'!$D$17)</f>
        <v>0</v>
      </c>
      <c r="AE359" s="325">
        <f>AE11*('2.税率表'!$D$13+'2.税率表'!$D$14+'2.税率表'!$D$17)</f>
        <v>0</v>
      </c>
      <c r="AF359" s="326">
        <f>AF11*('2.税率表'!$D$13+'2.税率表'!$D$14+'2.税率表'!$D$17)</f>
        <v>0</v>
      </c>
      <c r="AG359" s="324">
        <f>AG11*('2.税率表'!$D$13+'2.税率表'!$D$14+'2.税率表'!$D$17)</f>
        <v>0</v>
      </c>
      <c r="AH359" s="325">
        <f>AH11*('2.税率表'!$D$13+'2.税率表'!$D$14+'2.税率表'!$D$17)</f>
        <v>0</v>
      </c>
      <c r="AI359" s="325">
        <f>AI11*('2.税率表'!$D$13+'2.税率表'!$D$14+'2.税率表'!$D$17)</f>
        <v>0</v>
      </c>
      <c r="AJ359" s="326">
        <f>AJ11*('2.税率表'!$D$13+'2.税率表'!$D$14+'2.税率表'!$D$17)</f>
        <v>0</v>
      </c>
      <c r="AK359" s="324">
        <f>AK11*('2.税率表'!$D$13+'2.税率表'!$D$14+'2.税率表'!$D$17)</f>
        <v>0</v>
      </c>
      <c r="AL359" s="325">
        <f>AL11*('2.税率表'!$D$13+'2.税率表'!$D$14+'2.税率表'!$D$17)</f>
        <v>0</v>
      </c>
      <c r="AM359" s="325">
        <f>AM11*('2.税率表'!$D$13+'2.税率表'!$D$14+'2.税率表'!$D$17)</f>
        <v>0</v>
      </c>
      <c r="AN359" s="326">
        <f>AN11*('2.税率表'!$D$13+'2.税率表'!$D$14+'2.税率表'!$D$17)</f>
        <v>0</v>
      </c>
      <c r="AO359" s="324">
        <f>AO11*('2.税率表'!$D$13+'2.税率表'!$D$14+'2.税率表'!$D$17)</f>
        <v>0</v>
      </c>
      <c r="AP359" s="325">
        <f>AP11*('2.税率表'!$D$13+'2.税率表'!$D$14+'2.税率表'!$D$17)</f>
        <v>0</v>
      </c>
      <c r="AQ359" s="325">
        <f>AQ11*('2.税率表'!$D$13+'2.税率表'!$D$14+'2.税率表'!$D$17)</f>
        <v>0</v>
      </c>
      <c r="AR359" s="326">
        <f>AR11*('2.税率表'!$D$13+'2.税率表'!$D$14+'2.税率表'!$D$17)</f>
        <v>0</v>
      </c>
      <c r="AS359" s="324">
        <f>AS11*('2.税率表'!$D$13+'2.税率表'!$D$14+'2.税率表'!$D$17)</f>
        <v>0</v>
      </c>
      <c r="AT359" s="325">
        <f>AT11*('2.税率表'!$D$13+'2.税率表'!$D$14+'2.税率表'!$D$17)</f>
        <v>0</v>
      </c>
      <c r="AU359" s="325">
        <f>AU11*('2.税率表'!$D$13+'2.税率表'!$D$14+'2.税率表'!$D$17)</f>
        <v>0</v>
      </c>
      <c r="AV359" s="326">
        <f>AV11*('2.税率表'!$D$13+'2.税率表'!$D$14+'2.税率表'!$D$17)</f>
        <v>0</v>
      </c>
    </row>
    <row r="360" spans="2:48" s="256" customFormat="1" ht="15.75" customHeight="1">
      <c r="B360" s="1976"/>
      <c r="C360" s="278" t="s">
        <v>24</v>
      </c>
      <c r="D360" s="279">
        <f t="shared" si="128"/>
        <v>0</v>
      </c>
      <c r="E360" s="280">
        <f>E12*('2.税率表'!$D$13+'2.税率表'!$D$14+'2.税率表'!$D$17)</f>
        <v>0</v>
      </c>
      <c r="F360" s="281">
        <f>F12*('2.税率表'!$D$13+'2.税率表'!$D$14+'2.税率表'!$D$17)</f>
        <v>0</v>
      </c>
      <c r="G360" s="281">
        <f>G12*('2.税率表'!$D$13+'2.税率表'!$D$14+'2.税率表'!$D$17)</f>
        <v>0</v>
      </c>
      <c r="H360" s="282">
        <f>H12*('2.税率表'!$D$13+'2.税率表'!$D$14+'2.税率表'!$D$17)</f>
        <v>0</v>
      </c>
      <c r="I360" s="280">
        <f>I12*('2.税率表'!$D$13+'2.税率表'!$D$14+'2.税率表'!$D$17)</f>
        <v>0</v>
      </c>
      <c r="J360" s="281">
        <f>J12*('2.税率表'!$D$13+'2.税率表'!$D$14+'2.税率表'!$D$17)</f>
        <v>0</v>
      </c>
      <c r="K360" s="281">
        <f>K12*('2.税率表'!$D$13+'2.税率表'!$D$14+'2.税率表'!$D$17)</f>
        <v>0</v>
      </c>
      <c r="L360" s="282">
        <f>L12*('2.税率表'!$D$13+'2.税率表'!$D$14+'2.税率表'!$D$17)</f>
        <v>0</v>
      </c>
      <c r="M360" s="280">
        <f>M12*('2.税率表'!$D$13+'2.税率表'!$D$14+'2.税率表'!$D$17)</f>
        <v>0</v>
      </c>
      <c r="N360" s="281">
        <f>N12*('2.税率表'!$D$13+'2.税率表'!$D$14+'2.税率表'!$D$17)</f>
        <v>0</v>
      </c>
      <c r="O360" s="281">
        <f>O12*('2.税率表'!$D$13+'2.税率表'!$D$14+'2.税率表'!$D$17)</f>
        <v>0</v>
      </c>
      <c r="P360" s="282">
        <f>P12*('2.税率表'!$D$13+'2.税率表'!$D$14+'2.税率表'!$D$17)</f>
        <v>0</v>
      </c>
      <c r="Q360" s="280">
        <f>Q12*('2.税率表'!$D$13+'2.税率表'!$D$14+'2.税率表'!$D$17)</f>
        <v>0</v>
      </c>
      <c r="R360" s="281">
        <f>R12*('2.税率表'!$D$13+'2.税率表'!$D$14+'2.税率表'!$D$17)</f>
        <v>0</v>
      </c>
      <c r="S360" s="281">
        <f>S12*('2.税率表'!$D$13+'2.税率表'!$D$14+'2.税率表'!$D$17)</f>
        <v>0</v>
      </c>
      <c r="T360" s="282">
        <f>T12*('2.税率表'!$D$13+'2.税率表'!$D$14+'2.税率表'!$D$17)</f>
        <v>0</v>
      </c>
      <c r="U360" s="280">
        <f>U12*('2.税率表'!$D$13+'2.税率表'!$D$14+'2.税率表'!$D$17)</f>
        <v>0</v>
      </c>
      <c r="V360" s="281">
        <f>V12*('2.税率表'!$D$13+'2.税率表'!$D$14+'2.税率表'!$D$17)</f>
        <v>0</v>
      </c>
      <c r="W360" s="281">
        <f>W12*('2.税率表'!$D$13+'2.税率表'!$D$14+'2.税率表'!$D$17)</f>
        <v>0</v>
      </c>
      <c r="X360" s="282">
        <f>X12*('2.税率表'!$D$13+'2.税率表'!$D$14+'2.税率表'!$D$17)</f>
        <v>0</v>
      </c>
      <c r="Y360" s="280">
        <f>Y12*('2.税率表'!$D$13+'2.税率表'!$D$14+'2.税率表'!$D$17)</f>
        <v>0</v>
      </c>
      <c r="Z360" s="281">
        <f>Z12*('2.税率表'!$D$13+'2.税率表'!$D$14+'2.税率表'!$D$17)</f>
        <v>0</v>
      </c>
      <c r="AA360" s="281">
        <f>AA12*('2.税率表'!$D$13+'2.税率表'!$D$14+'2.税率表'!$D$17)</f>
        <v>0</v>
      </c>
      <c r="AB360" s="282">
        <f>AB12*('2.税率表'!$D$13+'2.税率表'!$D$14+'2.税率表'!$D$17)</f>
        <v>0</v>
      </c>
      <c r="AC360" s="280">
        <f>AC12*('2.税率表'!$D$13+'2.税率表'!$D$14+'2.税率表'!$D$17)</f>
        <v>0</v>
      </c>
      <c r="AD360" s="281">
        <f>AD12*('2.税率表'!$D$13+'2.税率表'!$D$14+'2.税率表'!$D$17)</f>
        <v>0</v>
      </c>
      <c r="AE360" s="281">
        <f>AE12*('2.税率表'!$D$13+'2.税率表'!$D$14+'2.税率表'!$D$17)</f>
        <v>0</v>
      </c>
      <c r="AF360" s="282">
        <f>AF12*('2.税率表'!$D$13+'2.税率表'!$D$14+'2.税率表'!$D$17)</f>
        <v>0</v>
      </c>
      <c r="AG360" s="280">
        <f>AG12*('2.税率表'!$D$13+'2.税率表'!$D$14+'2.税率表'!$D$17)</f>
        <v>0</v>
      </c>
      <c r="AH360" s="281">
        <f>AH12*('2.税率表'!$D$13+'2.税率表'!$D$14+'2.税率表'!$D$17)</f>
        <v>0</v>
      </c>
      <c r="AI360" s="281">
        <f>AI12*('2.税率表'!$D$13+'2.税率表'!$D$14+'2.税率表'!$D$17)</f>
        <v>0</v>
      </c>
      <c r="AJ360" s="282">
        <f>AJ12*('2.税率表'!$D$13+'2.税率表'!$D$14+'2.税率表'!$D$17)</f>
        <v>0</v>
      </c>
      <c r="AK360" s="280">
        <f>AK12*('2.税率表'!$D$13+'2.税率表'!$D$14+'2.税率表'!$D$17)</f>
        <v>0</v>
      </c>
      <c r="AL360" s="281">
        <f>AL12*('2.税率表'!$D$13+'2.税率表'!$D$14+'2.税率表'!$D$17)</f>
        <v>0</v>
      </c>
      <c r="AM360" s="281">
        <f>AM12*('2.税率表'!$D$13+'2.税率表'!$D$14+'2.税率表'!$D$17)</f>
        <v>0</v>
      </c>
      <c r="AN360" s="282">
        <f>AN12*('2.税率表'!$D$13+'2.税率表'!$D$14+'2.税率表'!$D$17)</f>
        <v>0</v>
      </c>
      <c r="AO360" s="280">
        <f>AO12*('2.税率表'!$D$13+'2.税率表'!$D$14+'2.税率表'!$D$17)</f>
        <v>0</v>
      </c>
      <c r="AP360" s="281">
        <f>AP12*('2.税率表'!$D$13+'2.税率表'!$D$14+'2.税率表'!$D$17)</f>
        <v>0</v>
      </c>
      <c r="AQ360" s="281">
        <f>AQ12*('2.税率表'!$D$13+'2.税率表'!$D$14+'2.税率表'!$D$17)</f>
        <v>0</v>
      </c>
      <c r="AR360" s="282">
        <f>AR12*('2.税率表'!$D$13+'2.税率表'!$D$14+'2.税率表'!$D$17)</f>
        <v>0</v>
      </c>
      <c r="AS360" s="280">
        <f>AS12*('2.税率表'!$D$13+'2.税率表'!$D$14+'2.税率表'!$D$17)</f>
        <v>0</v>
      </c>
      <c r="AT360" s="281">
        <f>AT12*('2.税率表'!$D$13+'2.税率表'!$D$14+'2.税率表'!$D$17)</f>
        <v>0</v>
      </c>
      <c r="AU360" s="281">
        <f>AU12*('2.税率表'!$D$13+'2.税率表'!$D$14+'2.税率表'!$D$17)</f>
        <v>0</v>
      </c>
      <c r="AV360" s="282">
        <f>AV12*('2.税率表'!$D$13+'2.税率表'!$D$14+'2.税率表'!$D$17)</f>
        <v>0</v>
      </c>
    </row>
    <row r="361" spans="2:48" ht="18.75" customHeight="1"/>
    <row r="362" spans="2:48" s="259" customFormat="1" ht="17.25" customHeight="1">
      <c r="B362" s="263" t="s">
        <v>928</v>
      </c>
      <c r="C362" s="293"/>
      <c r="D362" s="330"/>
      <c r="E362" s="290"/>
      <c r="F362" s="290"/>
      <c r="G362" s="290"/>
      <c r="H362" s="290"/>
      <c r="I362" s="290"/>
      <c r="J362" s="290"/>
      <c r="K362" s="290"/>
      <c r="L362" s="290"/>
      <c r="M362" s="290"/>
      <c r="N362" s="290"/>
      <c r="O362" s="290"/>
      <c r="P362" s="290"/>
      <c r="Q362" s="290"/>
      <c r="R362" s="290"/>
      <c r="S362" s="290"/>
      <c r="T362" s="290"/>
      <c r="U362" s="290"/>
      <c r="V362" s="290"/>
      <c r="W362" s="290"/>
      <c r="X362" s="290"/>
      <c r="Y362" s="290"/>
      <c r="Z362" s="290"/>
      <c r="AA362" s="290"/>
      <c r="AB362" s="290"/>
      <c r="AC362" s="290"/>
      <c r="AD362" s="290"/>
      <c r="AE362" s="290"/>
      <c r="AF362" s="290"/>
      <c r="AG362" s="290"/>
      <c r="AH362" s="290"/>
      <c r="AI362" s="290"/>
      <c r="AJ362" s="290"/>
      <c r="AK362" s="290"/>
      <c r="AL362" s="290"/>
      <c r="AM362" s="290"/>
      <c r="AN362" s="290"/>
      <c r="AO362" s="290"/>
      <c r="AP362" s="290"/>
      <c r="AQ362" s="290"/>
      <c r="AR362" s="290"/>
      <c r="AS362" s="290"/>
      <c r="AT362" s="290"/>
      <c r="AU362" s="290"/>
      <c r="AV362" s="290"/>
    </row>
    <row r="363" spans="2:48" s="256" customFormat="1" ht="15.75" customHeight="1">
      <c r="B363" s="1978" t="s">
        <v>904</v>
      </c>
      <c r="C363" s="1978" t="s">
        <v>598</v>
      </c>
      <c r="D363" s="1987" t="s">
        <v>251</v>
      </c>
      <c r="E363" s="1971">
        <f>'1.参数设置'!$C$4</f>
        <v>2018</v>
      </c>
      <c r="F363" s="1972"/>
      <c r="G363" s="1972"/>
      <c r="H363" s="1973"/>
      <c r="I363" s="1971">
        <f>E363+1</f>
        <v>2019</v>
      </c>
      <c r="J363" s="1972"/>
      <c r="K363" s="1972"/>
      <c r="L363" s="1973"/>
      <c r="M363" s="1971">
        <f>I363+1</f>
        <v>2020</v>
      </c>
      <c r="N363" s="1972"/>
      <c r="O363" s="1972"/>
      <c r="P363" s="1973"/>
      <c r="Q363" s="1971">
        <f>M363+1</f>
        <v>2021</v>
      </c>
      <c r="R363" s="1972"/>
      <c r="S363" s="1972"/>
      <c r="T363" s="1973"/>
      <c r="U363" s="1971">
        <f>Q363+1</f>
        <v>2022</v>
      </c>
      <c r="V363" s="1972"/>
      <c r="W363" s="1972"/>
      <c r="X363" s="1973"/>
      <c r="Y363" s="1971">
        <f>U363+1</f>
        <v>2023</v>
      </c>
      <c r="Z363" s="1972"/>
      <c r="AA363" s="1972"/>
      <c r="AB363" s="1973"/>
      <c r="AC363" s="1971">
        <f>Y363+1</f>
        <v>2024</v>
      </c>
      <c r="AD363" s="1972"/>
      <c r="AE363" s="1972"/>
      <c r="AF363" s="1973"/>
      <c r="AG363" s="1971">
        <f>AC363+1</f>
        <v>2025</v>
      </c>
      <c r="AH363" s="1972"/>
      <c r="AI363" s="1972"/>
      <c r="AJ363" s="1973"/>
      <c r="AK363" s="1971">
        <f>AG363+1</f>
        <v>2026</v>
      </c>
      <c r="AL363" s="1972"/>
      <c r="AM363" s="1972"/>
      <c r="AN363" s="1973"/>
      <c r="AO363" s="1971">
        <f>AK363+1</f>
        <v>2027</v>
      </c>
      <c r="AP363" s="1972"/>
      <c r="AQ363" s="1972"/>
      <c r="AR363" s="1973"/>
      <c r="AS363" s="1971">
        <f>AO363+1</f>
        <v>2028</v>
      </c>
      <c r="AT363" s="1972"/>
      <c r="AU363" s="1972"/>
      <c r="AV363" s="1973"/>
    </row>
    <row r="364" spans="2:48" s="256" customFormat="1" ht="15.75" customHeight="1">
      <c r="B364" s="1979"/>
      <c r="C364" s="1979"/>
      <c r="D364" s="1988"/>
      <c r="E364" s="265" t="s">
        <v>920</v>
      </c>
      <c r="F364" s="266" t="s">
        <v>921</v>
      </c>
      <c r="G364" s="266" t="s">
        <v>922</v>
      </c>
      <c r="H364" s="267" t="s">
        <v>923</v>
      </c>
      <c r="I364" s="265" t="s">
        <v>920</v>
      </c>
      <c r="J364" s="266" t="s">
        <v>921</v>
      </c>
      <c r="K364" s="266" t="s">
        <v>922</v>
      </c>
      <c r="L364" s="267" t="s">
        <v>923</v>
      </c>
      <c r="M364" s="265" t="s">
        <v>920</v>
      </c>
      <c r="N364" s="266" t="s">
        <v>921</v>
      </c>
      <c r="O364" s="266" t="s">
        <v>922</v>
      </c>
      <c r="P364" s="267" t="s">
        <v>923</v>
      </c>
      <c r="Q364" s="265" t="s">
        <v>920</v>
      </c>
      <c r="R364" s="266" t="s">
        <v>921</v>
      </c>
      <c r="S364" s="266" t="s">
        <v>922</v>
      </c>
      <c r="T364" s="267" t="s">
        <v>923</v>
      </c>
      <c r="U364" s="265" t="s">
        <v>920</v>
      </c>
      <c r="V364" s="266" t="s">
        <v>921</v>
      </c>
      <c r="W364" s="266" t="s">
        <v>922</v>
      </c>
      <c r="X364" s="267" t="s">
        <v>923</v>
      </c>
      <c r="Y364" s="265" t="s">
        <v>920</v>
      </c>
      <c r="Z364" s="266" t="s">
        <v>921</v>
      </c>
      <c r="AA364" s="266" t="s">
        <v>922</v>
      </c>
      <c r="AB364" s="267" t="s">
        <v>923</v>
      </c>
      <c r="AC364" s="265" t="s">
        <v>920</v>
      </c>
      <c r="AD364" s="266" t="s">
        <v>921</v>
      </c>
      <c r="AE364" s="266" t="s">
        <v>922</v>
      </c>
      <c r="AF364" s="267" t="s">
        <v>923</v>
      </c>
      <c r="AG364" s="265" t="s">
        <v>920</v>
      </c>
      <c r="AH364" s="266" t="s">
        <v>921</v>
      </c>
      <c r="AI364" s="266" t="s">
        <v>922</v>
      </c>
      <c r="AJ364" s="267" t="s">
        <v>923</v>
      </c>
      <c r="AK364" s="265" t="s">
        <v>920</v>
      </c>
      <c r="AL364" s="266" t="s">
        <v>921</v>
      </c>
      <c r="AM364" s="266" t="s">
        <v>922</v>
      </c>
      <c r="AN364" s="267" t="s">
        <v>923</v>
      </c>
      <c r="AO364" s="265" t="s">
        <v>920</v>
      </c>
      <c r="AP364" s="266" t="s">
        <v>921</v>
      </c>
      <c r="AQ364" s="266" t="s">
        <v>922</v>
      </c>
      <c r="AR364" s="267" t="s">
        <v>923</v>
      </c>
      <c r="AS364" s="265" t="s">
        <v>920</v>
      </c>
      <c r="AT364" s="266" t="s">
        <v>921</v>
      </c>
      <c r="AU364" s="266" t="s">
        <v>922</v>
      </c>
      <c r="AV364" s="267" t="s">
        <v>923</v>
      </c>
    </row>
    <row r="365" spans="2:48" s="257" customFormat="1" ht="15.75" customHeight="1">
      <c r="B365" s="1974" t="s">
        <v>907</v>
      </c>
      <c r="C365" s="295" t="s">
        <v>251</v>
      </c>
      <c r="D365" s="296">
        <f t="shared" ref="D365:AV365" si="129">SUM(D366:D371)</f>
        <v>0</v>
      </c>
      <c r="E365" s="297">
        <f t="shared" si="129"/>
        <v>0</v>
      </c>
      <c r="F365" s="296">
        <f t="shared" si="129"/>
        <v>0</v>
      </c>
      <c r="G365" s="296">
        <f t="shared" si="129"/>
        <v>0</v>
      </c>
      <c r="H365" s="298">
        <f t="shared" si="129"/>
        <v>0</v>
      </c>
      <c r="I365" s="297">
        <f t="shared" si="129"/>
        <v>0</v>
      </c>
      <c r="J365" s="296">
        <f t="shared" si="129"/>
        <v>0</v>
      </c>
      <c r="K365" s="296">
        <f t="shared" si="129"/>
        <v>0</v>
      </c>
      <c r="L365" s="298">
        <f t="shared" si="129"/>
        <v>0</v>
      </c>
      <c r="M365" s="297">
        <f t="shared" si="129"/>
        <v>0</v>
      </c>
      <c r="N365" s="296">
        <f t="shared" si="129"/>
        <v>0</v>
      </c>
      <c r="O365" s="296">
        <f t="shared" si="129"/>
        <v>0</v>
      </c>
      <c r="P365" s="298">
        <f t="shared" si="129"/>
        <v>0</v>
      </c>
      <c r="Q365" s="297">
        <f t="shared" si="129"/>
        <v>0</v>
      </c>
      <c r="R365" s="296">
        <f t="shared" si="129"/>
        <v>0</v>
      </c>
      <c r="S365" s="296">
        <f t="shared" si="129"/>
        <v>0</v>
      </c>
      <c r="T365" s="298">
        <f t="shared" si="129"/>
        <v>0</v>
      </c>
      <c r="U365" s="297">
        <f t="shared" si="129"/>
        <v>0</v>
      </c>
      <c r="V365" s="296">
        <f t="shared" si="129"/>
        <v>0</v>
      </c>
      <c r="W365" s="296">
        <f t="shared" si="129"/>
        <v>0</v>
      </c>
      <c r="X365" s="298">
        <f t="shared" si="129"/>
        <v>0</v>
      </c>
      <c r="Y365" s="297">
        <f t="shared" si="129"/>
        <v>0</v>
      </c>
      <c r="Z365" s="296">
        <f t="shared" si="129"/>
        <v>0</v>
      </c>
      <c r="AA365" s="296">
        <f t="shared" si="129"/>
        <v>0</v>
      </c>
      <c r="AB365" s="298">
        <f t="shared" si="129"/>
        <v>0</v>
      </c>
      <c r="AC365" s="297">
        <f t="shared" si="129"/>
        <v>0</v>
      </c>
      <c r="AD365" s="296">
        <f t="shared" si="129"/>
        <v>0</v>
      </c>
      <c r="AE365" s="296">
        <f t="shared" si="129"/>
        <v>0</v>
      </c>
      <c r="AF365" s="298">
        <f t="shared" si="129"/>
        <v>0</v>
      </c>
      <c r="AG365" s="297">
        <f t="shared" si="129"/>
        <v>0</v>
      </c>
      <c r="AH365" s="296">
        <f t="shared" si="129"/>
        <v>0</v>
      </c>
      <c r="AI365" s="296">
        <f t="shared" si="129"/>
        <v>0</v>
      </c>
      <c r="AJ365" s="298">
        <f t="shared" si="129"/>
        <v>0</v>
      </c>
      <c r="AK365" s="297">
        <f t="shared" si="129"/>
        <v>0</v>
      </c>
      <c r="AL365" s="296">
        <f t="shared" si="129"/>
        <v>0</v>
      </c>
      <c r="AM365" s="296">
        <f t="shared" si="129"/>
        <v>0</v>
      </c>
      <c r="AN365" s="298">
        <f t="shared" si="129"/>
        <v>0</v>
      </c>
      <c r="AO365" s="297">
        <f t="shared" si="129"/>
        <v>0</v>
      </c>
      <c r="AP365" s="296">
        <f t="shared" si="129"/>
        <v>0</v>
      </c>
      <c r="AQ365" s="296">
        <f t="shared" si="129"/>
        <v>0</v>
      </c>
      <c r="AR365" s="298">
        <f t="shared" si="129"/>
        <v>0</v>
      </c>
      <c r="AS365" s="297">
        <f t="shared" si="129"/>
        <v>0</v>
      </c>
      <c r="AT365" s="296">
        <f t="shared" si="129"/>
        <v>0</v>
      </c>
      <c r="AU365" s="296">
        <f t="shared" si="129"/>
        <v>0</v>
      </c>
      <c r="AV365" s="298">
        <f t="shared" si="129"/>
        <v>0</v>
      </c>
    </row>
    <row r="366" spans="2:48" s="256" customFormat="1" ht="15.75" customHeight="1">
      <c r="B366" s="1975"/>
      <c r="C366" s="273" t="s">
        <v>19</v>
      </c>
      <c r="D366" s="274">
        <f>SUM(E366:AV366)</f>
        <v>0</v>
      </c>
      <c r="E366" s="275">
        <f>E377*('2.税率表'!$D$13+'2.税率表'!$D$14+'2.税率表'!$D$17)</f>
        <v>0</v>
      </c>
      <c r="F366" s="276">
        <f>F377*('2.税率表'!$D$13+'2.税率表'!$D$14+'2.税率表'!$D$17)</f>
        <v>0</v>
      </c>
      <c r="G366" s="276">
        <f>G377*('2.税率表'!$D$13+'2.税率表'!$D$14+'2.税率表'!$D$17)</f>
        <v>0</v>
      </c>
      <c r="H366" s="277">
        <f>H377*('2.税率表'!$D$13+'2.税率表'!$D$14+'2.税率表'!$D$17)</f>
        <v>0</v>
      </c>
      <c r="I366" s="275">
        <f>I377*('2.税率表'!$D$13+'2.税率表'!$D$14+'2.税率表'!$D$17)</f>
        <v>0</v>
      </c>
      <c r="J366" s="276">
        <f>J377*('2.税率表'!$D$13+'2.税率表'!$D$14+'2.税率表'!$D$17)</f>
        <v>0</v>
      </c>
      <c r="K366" s="276">
        <f>K377*('2.税率表'!$D$13+'2.税率表'!$D$14+'2.税率表'!$D$17)</f>
        <v>0</v>
      </c>
      <c r="L366" s="277">
        <f>L377*('2.税率表'!$D$13+'2.税率表'!$D$14+'2.税率表'!$D$17)</f>
        <v>0</v>
      </c>
      <c r="M366" s="275">
        <f>M377*('2.税率表'!$D$13+'2.税率表'!$D$14+'2.税率表'!$D$17)</f>
        <v>0</v>
      </c>
      <c r="N366" s="276">
        <f>N377*('2.税率表'!$D$13+'2.税率表'!$D$14+'2.税率表'!$D$17)</f>
        <v>0</v>
      </c>
      <c r="O366" s="276">
        <f>O377*('2.税率表'!$D$13+'2.税率表'!$D$14+'2.税率表'!$D$17)</f>
        <v>0</v>
      </c>
      <c r="P366" s="277">
        <f>P377*('2.税率表'!$D$13+'2.税率表'!$D$14+'2.税率表'!$D$17)</f>
        <v>0</v>
      </c>
      <c r="Q366" s="275">
        <f>Q377*('2.税率表'!$D$13+'2.税率表'!$D$14+'2.税率表'!$D$17)</f>
        <v>0</v>
      </c>
      <c r="R366" s="276">
        <f>R377*('2.税率表'!$D$13+'2.税率表'!$D$14+'2.税率表'!$D$17)</f>
        <v>0</v>
      </c>
      <c r="S366" s="276">
        <f>S377*('2.税率表'!$D$13+'2.税率表'!$D$14+'2.税率表'!$D$17)</f>
        <v>0</v>
      </c>
      <c r="T366" s="277">
        <f>T377*('2.税率表'!$D$13+'2.税率表'!$D$14+'2.税率表'!$D$17)</f>
        <v>0</v>
      </c>
      <c r="U366" s="275">
        <f>U377*('2.税率表'!$D$13+'2.税率表'!$D$14+'2.税率表'!$D$17)</f>
        <v>0</v>
      </c>
      <c r="V366" s="276">
        <f>V377*('2.税率表'!$D$13+'2.税率表'!$D$14+'2.税率表'!$D$17)</f>
        <v>0</v>
      </c>
      <c r="W366" s="276">
        <f>W377*('2.税率表'!$D$13+'2.税率表'!$D$14+'2.税率表'!$D$17)</f>
        <v>0</v>
      </c>
      <c r="X366" s="277">
        <f>X377*('2.税率表'!$D$13+'2.税率表'!$D$14+'2.税率表'!$D$17)</f>
        <v>0</v>
      </c>
      <c r="Y366" s="275">
        <f>Y377*('2.税率表'!$D$13+'2.税率表'!$D$14+'2.税率表'!$D$17)</f>
        <v>0</v>
      </c>
      <c r="Z366" s="276">
        <f>Z377*('2.税率表'!$D$13+'2.税率表'!$D$14+'2.税率表'!$D$17)</f>
        <v>0</v>
      </c>
      <c r="AA366" s="276">
        <f>AA377*('2.税率表'!$D$13+'2.税率表'!$D$14+'2.税率表'!$D$17)</f>
        <v>0</v>
      </c>
      <c r="AB366" s="277">
        <f>AB377*('2.税率表'!$D$13+'2.税率表'!$D$14+'2.税率表'!$D$17)</f>
        <v>0</v>
      </c>
      <c r="AC366" s="275">
        <f>AC377*('2.税率表'!$D$13+'2.税率表'!$D$14+'2.税率表'!$D$17)</f>
        <v>0</v>
      </c>
      <c r="AD366" s="276">
        <f>AD377*('2.税率表'!$D$13+'2.税率表'!$D$14+'2.税率表'!$D$17)</f>
        <v>0</v>
      </c>
      <c r="AE366" s="276">
        <f>AE377*('2.税率表'!$D$13+'2.税率表'!$D$14+'2.税率表'!$D$17)</f>
        <v>0</v>
      </c>
      <c r="AF366" s="277">
        <f>AF377*('2.税率表'!$D$13+'2.税率表'!$D$14+'2.税率表'!$D$17)</f>
        <v>0</v>
      </c>
      <c r="AG366" s="275">
        <f>AG377*('2.税率表'!$D$13+'2.税率表'!$D$14+'2.税率表'!$D$17)</f>
        <v>0</v>
      </c>
      <c r="AH366" s="276">
        <f>AH377*('2.税率表'!$D$13+'2.税率表'!$D$14+'2.税率表'!$D$17)</f>
        <v>0</v>
      </c>
      <c r="AI366" s="276">
        <f>AI377*('2.税率表'!$D$13+'2.税率表'!$D$14+'2.税率表'!$D$17)</f>
        <v>0</v>
      </c>
      <c r="AJ366" s="277">
        <f>AJ377*('2.税率表'!$D$13+'2.税率表'!$D$14+'2.税率表'!$D$17)</f>
        <v>0</v>
      </c>
      <c r="AK366" s="275">
        <f>AK377*('2.税率表'!$D$13+'2.税率表'!$D$14+'2.税率表'!$D$17)</f>
        <v>0</v>
      </c>
      <c r="AL366" s="276">
        <f>AL377*('2.税率表'!$D$13+'2.税率表'!$D$14+'2.税率表'!$D$17)</f>
        <v>0</v>
      </c>
      <c r="AM366" s="276">
        <f>AM377*('2.税率表'!$D$13+'2.税率表'!$D$14+'2.税率表'!$D$17)</f>
        <v>0</v>
      </c>
      <c r="AN366" s="277">
        <f>AN377*('2.税率表'!$D$13+'2.税率表'!$D$14+'2.税率表'!$D$17)</f>
        <v>0</v>
      </c>
      <c r="AO366" s="275">
        <f>AO377*('2.税率表'!$D$13+'2.税率表'!$D$14+'2.税率表'!$D$17)</f>
        <v>0</v>
      </c>
      <c r="AP366" s="276">
        <f>AP377*('2.税率表'!$D$13+'2.税率表'!$D$14+'2.税率表'!$D$17)</f>
        <v>0</v>
      </c>
      <c r="AQ366" s="276">
        <f>AQ377*('2.税率表'!$D$13+'2.税率表'!$D$14+'2.税率表'!$D$17)</f>
        <v>0</v>
      </c>
      <c r="AR366" s="277">
        <f>AR377*('2.税率表'!$D$13+'2.税率表'!$D$14+'2.税率表'!$D$17)</f>
        <v>0</v>
      </c>
      <c r="AS366" s="275">
        <f>AS377*('2.税率表'!$D$13+'2.税率表'!$D$14+'2.税率表'!$D$17)</f>
        <v>0</v>
      </c>
      <c r="AT366" s="276">
        <f>AT377*('2.税率表'!$D$13+'2.税率表'!$D$14+'2.税率表'!$D$17)</f>
        <v>0</v>
      </c>
      <c r="AU366" s="276">
        <f>AU377*('2.税率表'!$D$13+'2.税率表'!$D$14+'2.税率表'!$D$17)</f>
        <v>0</v>
      </c>
      <c r="AV366" s="277">
        <f>AV377*('2.税率表'!$D$13+'2.税率表'!$D$14+'2.税率表'!$D$17)</f>
        <v>0</v>
      </c>
    </row>
    <row r="367" spans="2:48" s="256" customFormat="1" ht="15.75" customHeight="1">
      <c r="B367" s="1975"/>
      <c r="C367" s="273" t="s">
        <v>20</v>
      </c>
      <c r="D367" s="274">
        <f t="shared" ref="D367:D371" si="130">SUM(E367:AV367)</f>
        <v>0</v>
      </c>
      <c r="E367" s="275">
        <f>E378*('2.税率表'!$D$13+'2.税率表'!$D$14+'2.税率表'!$D$17)</f>
        <v>0</v>
      </c>
      <c r="F367" s="276">
        <f>F378*('2.税率表'!$D$13+'2.税率表'!$D$14+'2.税率表'!$D$17)</f>
        <v>0</v>
      </c>
      <c r="G367" s="276">
        <f>G378*('2.税率表'!$D$13+'2.税率表'!$D$14+'2.税率表'!$D$17)</f>
        <v>0</v>
      </c>
      <c r="H367" s="277">
        <f>H378*('2.税率表'!$D$13+'2.税率表'!$D$14+'2.税率表'!$D$17)</f>
        <v>0</v>
      </c>
      <c r="I367" s="275">
        <f>I378*('2.税率表'!$D$13+'2.税率表'!$D$14+'2.税率表'!$D$17)</f>
        <v>0</v>
      </c>
      <c r="J367" s="276">
        <f>J378*('2.税率表'!$D$13+'2.税率表'!$D$14+'2.税率表'!$D$17)</f>
        <v>0</v>
      </c>
      <c r="K367" s="276">
        <f>K378*('2.税率表'!$D$13+'2.税率表'!$D$14+'2.税率表'!$D$17)</f>
        <v>0</v>
      </c>
      <c r="L367" s="277">
        <f>L378*('2.税率表'!$D$13+'2.税率表'!$D$14+'2.税率表'!$D$17)</f>
        <v>0</v>
      </c>
      <c r="M367" s="275">
        <f>M378*('2.税率表'!$D$13+'2.税率表'!$D$14+'2.税率表'!$D$17)</f>
        <v>0</v>
      </c>
      <c r="N367" s="276">
        <f>N378*('2.税率表'!$D$13+'2.税率表'!$D$14+'2.税率表'!$D$17)</f>
        <v>0</v>
      </c>
      <c r="O367" s="276">
        <f>O378*('2.税率表'!$D$13+'2.税率表'!$D$14+'2.税率表'!$D$17)</f>
        <v>0</v>
      </c>
      <c r="P367" s="277">
        <f>P378*('2.税率表'!$D$13+'2.税率表'!$D$14+'2.税率表'!$D$17)</f>
        <v>0</v>
      </c>
      <c r="Q367" s="275">
        <f>Q378*('2.税率表'!$D$13+'2.税率表'!$D$14+'2.税率表'!$D$17)</f>
        <v>0</v>
      </c>
      <c r="R367" s="276">
        <f>R378*('2.税率表'!$D$13+'2.税率表'!$D$14+'2.税率表'!$D$17)</f>
        <v>0</v>
      </c>
      <c r="S367" s="276">
        <f>S378*('2.税率表'!$D$13+'2.税率表'!$D$14+'2.税率表'!$D$17)</f>
        <v>0</v>
      </c>
      <c r="T367" s="277">
        <f>T378*('2.税率表'!$D$13+'2.税率表'!$D$14+'2.税率表'!$D$17)</f>
        <v>0</v>
      </c>
      <c r="U367" s="275">
        <f>U378*('2.税率表'!$D$13+'2.税率表'!$D$14+'2.税率表'!$D$17)</f>
        <v>0</v>
      </c>
      <c r="V367" s="276">
        <f>V378*('2.税率表'!$D$13+'2.税率表'!$D$14+'2.税率表'!$D$17)</f>
        <v>0</v>
      </c>
      <c r="W367" s="276">
        <f>W378*('2.税率表'!$D$13+'2.税率表'!$D$14+'2.税率表'!$D$17)</f>
        <v>0</v>
      </c>
      <c r="X367" s="277">
        <f>X378*('2.税率表'!$D$13+'2.税率表'!$D$14+'2.税率表'!$D$17)</f>
        <v>0</v>
      </c>
      <c r="Y367" s="275">
        <f>Y378*('2.税率表'!$D$13+'2.税率表'!$D$14+'2.税率表'!$D$17)</f>
        <v>0</v>
      </c>
      <c r="Z367" s="276">
        <f>Z378*('2.税率表'!$D$13+'2.税率表'!$D$14+'2.税率表'!$D$17)</f>
        <v>0</v>
      </c>
      <c r="AA367" s="276">
        <f>AA378*('2.税率表'!$D$13+'2.税率表'!$D$14+'2.税率表'!$D$17)</f>
        <v>0</v>
      </c>
      <c r="AB367" s="277">
        <f>AB378*('2.税率表'!$D$13+'2.税率表'!$D$14+'2.税率表'!$D$17)</f>
        <v>0</v>
      </c>
      <c r="AC367" s="275">
        <f>AC378*('2.税率表'!$D$13+'2.税率表'!$D$14+'2.税率表'!$D$17)</f>
        <v>0</v>
      </c>
      <c r="AD367" s="276">
        <f>AD378*('2.税率表'!$D$13+'2.税率表'!$D$14+'2.税率表'!$D$17)</f>
        <v>0</v>
      </c>
      <c r="AE367" s="276">
        <f>AE378*('2.税率表'!$D$13+'2.税率表'!$D$14+'2.税率表'!$D$17)</f>
        <v>0</v>
      </c>
      <c r="AF367" s="277">
        <f>AF378*('2.税率表'!$D$13+'2.税率表'!$D$14+'2.税率表'!$D$17)</f>
        <v>0</v>
      </c>
      <c r="AG367" s="275">
        <f>AG378*('2.税率表'!$D$13+'2.税率表'!$D$14+'2.税率表'!$D$17)</f>
        <v>0</v>
      </c>
      <c r="AH367" s="276">
        <f>AH378*('2.税率表'!$D$13+'2.税率表'!$D$14+'2.税率表'!$D$17)</f>
        <v>0</v>
      </c>
      <c r="AI367" s="276">
        <f>AI378*('2.税率表'!$D$13+'2.税率表'!$D$14+'2.税率表'!$D$17)</f>
        <v>0</v>
      </c>
      <c r="AJ367" s="277">
        <f>AJ378*('2.税率表'!$D$13+'2.税率表'!$D$14+'2.税率表'!$D$17)</f>
        <v>0</v>
      </c>
      <c r="AK367" s="275">
        <f>AK378*('2.税率表'!$D$13+'2.税率表'!$D$14+'2.税率表'!$D$17)</f>
        <v>0</v>
      </c>
      <c r="AL367" s="276">
        <f>AL378*('2.税率表'!$D$13+'2.税率表'!$D$14+'2.税率表'!$D$17)</f>
        <v>0</v>
      </c>
      <c r="AM367" s="276">
        <f>AM378*('2.税率表'!$D$13+'2.税率表'!$D$14+'2.税率表'!$D$17)</f>
        <v>0</v>
      </c>
      <c r="AN367" s="277">
        <f>AN378*('2.税率表'!$D$13+'2.税率表'!$D$14+'2.税率表'!$D$17)</f>
        <v>0</v>
      </c>
      <c r="AO367" s="275">
        <f>AO378*('2.税率表'!$D$13+'2.税率表'!$D$14+'2.税率表'!$D$17)</f>
        <v>0</v>
      </c>
      <c r="AP367" s="276">
        <f>AP378*('2.税率表'!$D$13+'2.税率表'!$D$14+'2.税率表'!$D$17)</f>
        <v>0</v>
      </c>
      <c r="AQ367" s="276">
        <f>AQ378*('2.税率表'!$D$13+'2.税率表'!$D$14+'2.税率表'!$D$17)</f>
        <v>0</v>
      </c>
      <c r="AR367" s="277">
        <f>AR378*('2.税率表'!$D$13+'2.税率表'!$D$14+'2.税率表'!$D$17)</f>
        <v>0</v>
      </c>
      <c r="AS367" s="275">
        <f>AS378*('2.税率表'!$D$13+'2.税率表'!$D$14+'2.税率表'!$D$17)</f>
        <v>0</v>
      </c>
      <c r="AT367" s="276">
        <f>AT378*('2.税率表'!$D$13+'2.税率表'!$D$14+'2.税率表'!$D$17)</f>
        <v>0</v>
      </c>
      <c r="AU367" s="276">
        <f>AU378*('2.税率表'!$D$13+'2.税率表'!$D$14+'2.税率表'!$D$17)</f>
        <v>0</v>
      </c>
      <c r="AV367" s="277">
        <f>AV378*('2.税率表'!$D$13+'2.税率表'!$D$14+'2.税率表'!$D$17)</f>
        <v>0</v>
      </c>
    </row>
    <row r="368" spans="2:48" s="256" customFormat="1" ht="15.75" customHeight="1">
      <c r="B368" s="1975"/>
      <c r="C368" s="273" t="s">
        <v>21</v>
      </c>
      <c r="D368" s="274">
        <f t="shared" si="130"/>
        <v>0</v>
      </c>
      <c r="E368" s="275">
        <f>E379*('2.税率表'!$D$13+'2.税率表'!$D$14+'2.税率表'!$D$17)</f>
        <v>0</v>
      </c>
      <c r="F368" s="276">
        <f>F379*('2.税率表'!$D$13+'2.税率表'!$D$14+'2.税率表'!$D$17)</f>
        <v>0</v>
      </c>
      <c r="G368" s="276">
        <f>G379*('2.税率表'!$D$13+'2.税率表'!$D$14+'2.税率表'!$D$17)</f>
        <v>0</v>
      </c>
      <c r="H368" s="277">
        <f>H379*('2.税率表'!$D$13+'2.税率表'!$D$14+'2.税率表'!$D$17)</f>
        <v>0</v>
      </c>
      <c r="I368" s="275">
        <f>I379*('2.税率表'!$D$13+'2.税率表'!$D$14+'2.税率表'!$D$17)</f>
        <v>0</v>
      </c>
      <c r="J368" s="276">
        <f>J379*('2.税率表'!$D$13+'2.税率表'!$D$14+'2.税率表'!$D$17)</f>
        <v>0</v>
      </c>
      <c r="K368" s="276">
        <f>K379*('2.税率表'!$D$13+'2.税率表'!$D$14+'2.税率表'!$D$17)</f>
        <v>0</v>
      </c>
      <c r="L368" s="277">
        <f>L379*('2.税率表'!$D$13+'2.税率表'!$D$14+'2.税率表'!$D$17)</f>
        <v>0</v>
      </c>
      <c r="M368" s="275">
        <f>M379*('2.税率表'!$D$13+'2.税率表'!$D$14+'2.税率表'!$D$17)</f>
        <v>0</v>
      </c>
      <c r="N368" s="276">
        <f>N379*('2.税率表'!$D$13+'2.税率表'!$D$14+'2.税率表'!$D$17)</f>
        <v>0</v>
      </c>
      <c r="O368" s="276">
        <f>O379*('2.税率表'!$D$13+'2.税率表'!$D$14+'2.税率表'!$D$17)</f>
        <v>0</v>
      </c>
      <c r="P368" s="277">
        <f>P379*('2.税率表'!$D$13+'2.税率表'!$D$14+'2.税率表'!$D$17)</f>
        <v>0</v>
      </c>
      <c r="Q368" s="275">
        <f>Q379*('2.税率表'!$D$13+'2.税率表'!$D$14+'2.税率表'!$D$17)</f>
        <v>0</v>
      </c>
      <c r="R368" s="276">
        <f>R379*('2.税率表'!$D$13+'2.税率表'!$D$14+'2.税率表'!$D$17)</f>
        <v>0</v>
      </c>
      <c r="S368" s="276">
        <f>S379*('2.税率表'!$D$13+'2.税率表'!$D$14+'2.税率表'!$D$17)</f>
        <v>0</v>
      </c>
      <c r="T368" s="277">
        <f>T379*('2.税率表'!$D$13+'2.税率表'!$D$14+'2.税率表'!$D$17)</f>
        <v>0</v>
      </c>
      <c r="U368" s="275">
        <f>U379*('2.税率表'!$D$13+'2.税率表'!$D$14+'2.税率表'!$D$17)</f>
        <v>0</v>
      </c>
      <c r="V368" s="276">
        <f>V379*('2.税率表'!$D$13+'2.税率表'!$D$14+'2.税率表'!$D$17)</f>
        <v>0</v>
      </c>
      <c r="W368" s="276">
        <f>W379*('2.税率表'!$D$13+'2.税率表'!$D$14+'2.税率表'!$D$17)</f>
        <v>0</v>
      </c>
      <c r="X368" s="277">
        <f>X379*('2.税率表'!$D$13+'2.税率表'!$D$14+'2.税率表'!$D$17)</f>
        <v>0</v>
      </c>
      <c r="Y368" s="275">
        <f>Y379*('2.税率表'!$D$13+'2.税率表'!$D$14+'2.税率表'!$D$17)</f>
        <v>0</v>
      </c>
      <c r="Z368" s="276">
        <f>Z379*('2.税率表'!$D$13+'2.税率表'!$D$14+'2.税率表'!$D$17)</f>
        <v>0</v>
      </c>
      <c r="AA368" s="276">
        <f>AA379*('2.税率表'!$D$13+'2.税率表'!$D$14+'2.税率表'!$D$17)</f>
        <v>0</v>
      </c>
      <c r="AB368" s="277">
        <f>AB379*('2.税率表'!$D$13+'2.税率表'!$D$14+'2.税率表'!$D$17)</f>
        <v>0</v>
      </c>
      <c r="AC368" s="275">
        <f>AC379*('2.税率表'!$D$13+'2.税率表'!$D$14+'2.税率表'!$D$17)</f>
        <v>0</v>
      </c>
      <c r="AD368" s="276">
        <f>AD379*('2.税率表'!$D$13+'2.税率表'!$D$14+'2.税率表'!$D$17)</f>
        <v>0</v>
      </c>
      <c r="AE368" s="276">
        <f>AE379*('2.税率表'!$D$13+'2.税率表'!$D$14+'2.税率表'!$D$17)</f>
        <v>0</v>
      </c>
      <c r="AF368" s="277">
        <f>AF379*('2.税率表'!$D$13+'2.税率表'!$D$14+'2.税率表'!$D$17)</f>
        <v>0</v>
      </c>
      <c r="AG368" s="275">
        <f>AG379*('2.税率表'!$D$13+'2.税率表'!$D$14+'2.税率表'!$D$17)</f>
        <v>0</v>
      </c>
      <c r="AH368" s="276">
        <f>AH379*('2.税率表'!$D$13+'2.税率表'!$D$14+'2.税率表'!$D$17)</f>
        <v>0</v>
      </c>
      <c r="AI368" s="276">
        <f>AI379*('2.税率表'!$D$13+'2.税率表'!$D$14+'2.税率表'!$D$17)</f>
        <v>0</v>
      </c>
      <c r="AJ368" s="277">
        <f>AJ379*('2.税率表'!$D$13+'2.税率表'!$D$14+'2.税率表'!$D$17)</f>
        <v>0</v>
      </c>
      <c r="AK368" s="275">
        <f>AK379*('2.税率表'!$D$13+'2.税率表'!$D$14+'2.税率表'!$D$17)</f>
        <v>0</v>
      </c>
      <c r="AL368" s="276">
        <f>AL379*('2.税率表'!$D$13+'2.税率表'!$D$14+'2.税率表'!$D$17)</f>
        <v>0</v>
      </c>
      <c r="AM368" s="276">
        <f>AM379*('2.税率表'!$D$13+'2.税率表'!$D$14+'2.税率表'!$D$17)</f>
        <v>0</v>
      </c>
      <c r="AN368" s="277">
        <f>AN379*('2.税率表'!$D$13+'2.税率表'!$D$14+'2.税率表'!$D$17)</f>
        <v>0</v>
      </c>
      <c r="AO368" s="275">
        <f>AO379*('2.税率表'!$D$13+'2.税率表'!$D$14+'2.税率表'!$D$17)</f>
        <v>0</v>
      </c>
      <c r="AP368" s="276">
        <f>AP379*('2.税率表'!$D$13+'2.税率表'!$D$14+'2.税率表'!$D$17)</f>
        <v>0</v>
      </c>
      <c r="AQ368" s="276">
        <f>AQ379*('2.税率表'!$D$13+'2.税率表'!$D$14+'2.税率表'!$D$17)</f>
        <v>0</v>
      </c>
      <c r="AR368" s="277">
        <f>AR379*('2.税率表'!$D$13+'2.税率表'!$D$14+'2.税率表'!$D$17)</f>
        <v>0</v>
      </c>
      <c r="AS368" s="275">
        <f>AS379*('2.税率表'!$D$13+'2.税率表'!$D$14+'2.税率表'!$D$17)</f>
        <v>0</v>
      </c>
      <c r="AT368" s="276">
        <f>AT379*('2.税率表'!$D$13+'2.税率表'!$D$14+'2.税率表'!$D$17)</f>
        <v>0</v>
      </c>
      <c r="AU368" s="276">
        <f>AU379*('2.税率表'!$D$13+'2.税率表'!$D$14+'2.税率表'!$D$17)</f>
        <v>0</v>
      </c>
      <c r="AV368" s="277">
        <f>AV379*('2.税率表'!$D$13+'2.税率表'!$D$14+'2.税率表'!$D$17)</f>
        <v>0</v>
      </c>
    </row>
    <row r="369" spans="2:48" s="256" customFormat="1" ht="15.75" customHeight="1">
      <c r="B369" s="1975"/>
      <c r="C369" s="273" t="s">
        <v>22</v>
      </c>
      <c r="D369" s="274">
        <f t="shared" si="130"/>
        <v>0</v>
      </c>
      <c r="E369" s="275">
        <f>E380*('2.税率表'!$D$13+'2.税率表'!$D$14+'2.税率表'!$D$17)</f>
        <v>0</v>
      </c>
      <c r="F369" s="276">
        <f>F380*('2.税率表'!$D$13+'2.税率表'!$D$14+'2.税率表'!$D$17)</f>
        <v>0</v>
      </c>
      <c r="G369" s="276">
        <f>G380*('2.税率表'!$D$13+'2.税率表'!$D$14+'2.税率表'!$D$17)</f>
        <v>0</v>
      </c>
      <c r="H369" s="277">
        <f>H380*('2.税率表'!$D$13+'2.税率表'!$D$14+'2.税率表'!$D$17)</f>
        <v>0</v>
      </c>
      <c r="I369" s="275">
        <f>I380*('2.税率表'!$D$13+'2.税率表'!$D$14+'2.税率表'!$D$17)</f>
        <v>0</v>
      </c>
      <c r="J369" s="276">
        <f>J380*('2.税率表'!$D$13+'2.税率表'!$D$14+'2.税率表'!$D$17)</f>
        <v>0</v>
      </c>
      <c r="K369" s="276">
        <f>K380*('2.税率表'!$D$13+'2.税率表'!$D$14+'2.税率表'!$D$17)</f>
        <v>0</v>
      </c>
      <c r="L369" s="277">
        <f>L380*('2.税率表'!$D$13+'2.税率表'!$D$14+'2.税率表'!$D$17)</f>
        <v>0</v>
      </c>
      <c r="M369" s="275">
        <f>M380*('2.税率表'!$D$13+'2.税率表'!$D$14+'2.税率表'!$D$17)</f>
        <v>0</v>
      </c>
      <c r="N369" s="276">
        <f>N380*('2.税率表'!$D$13+'2.税率表'!$D$14+'2.税率表'!$D$17)</f>
        <v>0</v>
      </c>
      <c r="O369" s="276">
        <f>O380*('2.税率表'!$D$13+'2.税率表'!$D$14+'2.税率表'!$D$17)</f>
        <v>0</v>
      </c>
      <c r="P369" s="277">
        <f>P380*('2.税率表'!$D$13+'2.税率表'!$D$14+'2.税率表'!$D$17)</f>
        <v>0</v>
      </c>
      <c r="Q369" s="275">
        <f>Q380*('2.税率表'!$D$13+'2.税率表'!$D$14+'2.税率表'!$D$17)</f>
        <v>0</v>
      </c>
      <c r="R369" s="276">
        <f>R380*('2.税率表'!$D$13+'2.税率表'!$D$14+'2.税率表'!$D$17)</f>
        <v>0</v>
      </c>
      <c r="S369" s="276">
        <f>S380*('2.税率表'!$D$13+'2.税率表'!$D$14+'2.税率表'!$D$17)</f>
        <v>0</v>
      </c>
      <c r="T369" s="277">
        <f>T380*('2.税率表'!$D$13+'2.税率表'!$D$14+'2.税率表'!$D$17)</f>
        <v>0</v>
      </c>
      <c r="U369" s="275">
        <f>U380*('2.税率表'!$D$13+'2.税率表'!$D$14+'2.税率表'!$D$17)</f>
        <v>0</v>
      </c>
      <c r="V369" s="276">
        <f>V380*('2.税率表'!$D$13+'2.税率表'!$D$14+'2.税率表'!$D$17)</f>
        <v>0</v>
      </c>
      <c r="W369" s="276">
        <f>W380*('2.税率表'!$D$13+'2.税率表'!$D$14+'2.税率表'!$D$17)</f>
        <v>0</v>
      </c>
      <c r="X369" s="277">
        <f>X380*('2.税率表'!$D$13+'2.税率表'!$D$14+'2.税率表'!$D$17)</f>
        <v>0</v>
      </c>
      <c r="Y369" s="275">
        <f>Y380*('2.税率表'!$D$13+'2.税率表'!$D$14+'2.税率表'!$D$17)</f>
        <v>0</v>
      </c>
      <c r="Z369" s="276">
        <f>Z380*('2.税率表'!$D$13+'2.税率表'!$D$14+'2.税率表'!$D$17)</f>
        <v>0</v>
      </c>
      <c r="AA369" s="276">
        <f>AA380*('2.税率表'!$D$13+'2.税率表'!$D$14+'2.税率表'!$D$17)</f>
        <v>0</v>
      </c>
      <c r="AB369" s="277">
        <f>AB380*('2.税率表'!$D$13+'2.税率表'!$D$14+'2.税率表'!$D$17)</f>
        <v>0</v>
      </c>
      <c r="AC369" s="275">
        <f>AC380*('2.税率表'!$D$13+'2.税率表'!$D$14+'2.税率表'!$D$17)</f>
        <v>0</v>
      </c>
      <c r="AD369" s="276">
        <f>AD380*('2.税率表'!$D$13+'2.税率表'!$D$14+'2.税率表'!$D$17)</f>
        <v>0</v>
      </c>
      <c r="AE369" s="276">
        <f>AE380*('2.税率表'!$D$13+'2.税率表'!$D$14+'2.税率表'!$D$17)</f>
        <v>0</v>
      </c>
      <c r="AF369" s="277">
        <f>AF380*('2.税率表'!$D$13+'2.税率表'!$D$14+'2.税率表'!$D$17)</f>
        <v>0</v>
      </c>
      <c r="AG369" s="275">
        <f>AG380*('2.税率表'!$D$13+'2.税率表'!$D$14+'2.税率表'!$D$17)</f>
        <v>0</v>
      </c>
      <c r="AH369" s="276">
        <f>AH380*('2.税率表'!$D$13+'2.税率表'!$D$14+'2.税率表'!$D$17)</f>
        <v>0</v>
      </c>
      <c r="AI369" s="276">
        <f>AI380*('2.税率表'!$D$13+'2.税率表'!$D$14+'2.税率表'!$D$17)</f>
        <v>0</v>
      </c>
      <c r="AJ369" s="277">
        <f>AJ380*('2.税率表'!$D$13+'2.税率表'!$D$14+'2.税率表'!$D$17)</f>
        <v>0</v>
      </c>
      <c r="AK369" s="275">
        <f>AK380*('2.税率表'!$D$13+'2.税率表'!$D$14+'2.税率表'!$D$17)</f>
        <v>0</v>
      </c>
      <c r="AL369" s="276">
        <f>AL380*('2.税率表'!$D$13+'2.税率表'!$D$14+'2.税率表'!$D$17)</f>
        <v>0</v>
      </c>
      <c r="AM369" s="276">
        <f>AM380*('2.税率表'!$D$13+'2.税率表'!$D$14+'2.税率表'!$D$17)</f>
        <v>0</v>
      </c>
      <c r="AN369" s="277">
        <f>AN380*('2.税率表'!$D$13+'2.税率表'!$D$14+'2.税率表'!$D$17)</f>
        <v>0</v>
      </c>
      <c r="AO369" s="275">
        <f>AO380*('2.税率表'!$D$13+'2.税率表'!$D$14+'2.税率表'!$D$17)</f>
        <v>0</v>
      </c>
      <c r="AP369" s="276">
        <f>AP380*('2.税率表'!$D$13+'2.税率表'!$D$14+'2.税率表'!$D$17)</f>
        <v>0</v>
      </c>
      <c r="AQ369" s="276">
        <f>AQ380*('2.税率表'!$D$13+'2.税率表'!$D$14+'2.税率表'!$D$17)</f>
        <v>0</v>
      </c>
      <c r="AR369" s="277">
        <f>AR380*('2.税率表'!$D$13+'2.税率表'!$D$14+'2.税率表'!$D$17)</f>
        <v>0</v>
      </c>
      <c r="AS369" s="275">
        <f>AS380*('2.税率表'!$D$13+'2.税率表'!$D$14+'2.税率表'!$D$17)</f>
        <v>0</v>
      </c>
      <c r="AT369" s="276">
        <f>AT380*('2.税率表'!$D$13+'2.税率表'!$D$14+'2.税率表'!$D$17)</f>
        <v>0</v>
      </c>
      <c r="AU369" s="276">
        <f>AU380*('2.税率表'!$D$13+'2.税率表'!$D$14+'2.税率表'!$D$17)</f>
        <v>0</v>
      </c>
      <c r="AV369" s="277">
        <f>AV380*('2.税率表'!$D$13+'2.税率表'!$D$14+'2.税率表'!$D$17)</f>
        <v>0</v>
      </c>
    </row>
    <row r="370" spans="2:48" s="256" customFormat="1" ht="15.75" customHeight="1">
      <c r="B370" s="1975"/>
      <c r="C370" s="268" t="s">
        <v>23</v>
      </c>
      <c r="D370" s="331">
        <f t="shared" si="130"/>
        <v>0</v>
      </c>
      <c r="E370" s="324">
        <f>E381*('2.税率表'!$D$13+'2.税率表'!$D$14+'2.税率表'!$D$17)</f>
        <v>0</v>
      </c>
      <c r="F370" s="325">
        <f>F381*('2.税率表'!$D$13+'2.税率表'!$D$14+'2.税率表'!$D$17)</f>
        <v>0</v>
      </c>
      <c r="G370" s="325">
        <f>G381*('2.税率表'!$D$13+'2.税率表'!$D$14+'2.税率表'!$D$17)</f>
        <v>0</v>
      </c>
      <c r="H370" s="326">
        <f>H381*('2.税率表'!$D$13+'2.税率表'!$D$14+'2.税率表'!$D$17)</f>
        <v>0</v>
      </c>
      <c r="I370" s="324">
        <f>I381*('2.税率表'!$D$13+'2.税率表'!$D$14+'2.税率表'!$D$17)</f>
        <v>0</v>
      </c>
      <c r="J370" s="325">
        <f>J381*('2.税率表'!$D$13+'2.税率表'!$D$14+'2.税率表'!$D$17)</f>
        <v>0</v>
      </c>
      <c r="K370" s="325">
        <f>K381*('2.税率表'!$D$13+'2.税率表'!$D$14+'2.税率表'!$D$17)</f>
        <v>0</v>
      </c>
      <c r="L370" s="326">
        <f>L381*('2.税率表'!$D$13+'2.税率表'!$D$14+'2.税率表'!$D$17)</f>
        <v>0</v>
      </c>
      <c r="M370" s="324">
        <f>M381*('2.税率表'!$D$13+'2.税率表'!$D$14+'2.税率表'!$D$17)</f>
        <v>0</v>
      </c>
      <c r="N370" s="325">
        <f>N381*('2.税率表'!$D$13+'2.税率表'!$D$14+'2.税率表'!$D$17)</f>
        <v>0</v>
      </c>
      <c r="O370" s="325">
        <f>O381*('2.税率表'!$D$13+'2.税率表'!$D$14+'2.税率表'!$D$17)</f>
        <v>0</v>
      </c>
      <c r="P370" s="326">
        <f>P381*('2.税率表'!$D$13+'2.税率表'!$D$14+'2.税率表'!$D$17)</f>
        <v>0</v>
      </c>
      <c r="Q370" s="324">
        <f>Q381*('2.税率表'!$D$13+'2.税率表'!$D$14+'2.税率表'!$D$17)</f>
        <v>0</v>
      </c>
      <c r="R370" s="325">
        <f>R381*('2.税率表'!$D$13+'2.税率表'!$D$14+'2.税率表'!$D$17)</f>
        <v>0</v>
      </c>
      <c r="S370" s="325">
        <f>S381*('2.税率表'!$D$13+'2.税率表'!$D$14+'2.税率表'!$D$17)</f>
        <v>0</v>
      </c>
      <c r="T370" s="326">
        <f>T381*('2.税率表'!$D$13+'2.税率表'!$D$14+'2.税率表'!$D$17)</f>
        <v>0</v>
      </c>
      <c r="U370" s="324">
        <f>U381*('2.税率表'!$D$13+'2.税率表'!$D$14+'2.税率表'!$D$17)</f>
        <v>0</v>
      </c>
      <c r="V370" s="325">
        <f>V381*('2.税率表'!$D$13+'2.税率表'!$D$14+'2.税率表'!$D$17)</f>
        <v>0</v>
      </c>
      <c r="W370" s="325">
        <f>W381*('2.税率表'!$D$13+'2.税率表'!$D$14+'2.税率表'!$D$17)</f>
        <v>0</v>
      </c>
      <c r="X370" s="326">
        <f>X381*('2.税率表'!$D$13+'2.税率表'!$D$14+'2.税率表'!$D$17)</f>
        <v>0</v>
      </c>
      <c r="Y370" s="324">
        <f>Y381*('2.税率表'!$D$13+'2.税率表'!$D$14+'2.税率表'!$D$17)</f>
        <v>0</v>
      </c>
      <c r="Z370" s="325">
        <f>Z381*('2.税率表'!$D$13+'2.税率表'!$D$14+'2.税率表'!$D$17)</f>
        <v>0</v>
      </c>
      <c r="AA370" s="325">
        <f>AA381*('2.税率表'!$D$13+'2.税率表'!$D$14+'2.税率表'!$D$17)</f>
        <v>0</v>
      </c>
      <c r="AB370" s="326">
        <f>AB381*('2.税率表'!$D$13+'2.税率表'!$D$14+'2.税率表'!$D$17)</f>
        <v>0</v>
      </c>
      <c r="AC370" s="324">
        <f>AC381*('2.税率表'!$D$13+'2.税率表'!$D$14+'2.税率表'!$D$17)</f>
        <v>0</v>
      </c>
      <c r="AD370" s="325">
        <f>AD381*('2.税率表'!$D$13+'2.税率表'!$D$14+'2.税率表'!$D$17)</f>
        <v>0</v>
      </c>
      <c r="AE370" s="325">
        <f>AE381*('2.税率表'!$D$13+'2.税率表'!$D$14+'2.税率表'!$D$17)</f>
        <v>0</v>
      </c>
      <c r="AF370" s="326">
        <f>AF381*('2.税率表'!$D$13+'2.税率表'!$D$14+'2.税率表'!$D$17)</f>
        <v>0</v>
      </c>
      <c r="AG370" s="324">
        <f>AG381*('2.税率表'!$D$13+'2.税率表'!$D$14+'2.税率表'!$D$17)</f>
        <v>0</v>
      </c>
      <c r="AH370" s="325">
        <f>AH381*('2.税率表'!$D$13+'2.税率表'!$D$14+'2.税率表'!$D$17)</f>
        <v>0</v>
      </c>
      <c r="AI370" s="325">
        <f>AI381*('2.税率表'!$D$13+'2.税率表'!$D$14+'2.税率表'!$D$17)</f>
        <v>0</v>
      </c>
      <c r="AJ370" s="326">
        <f>AJ381*('2.税率表'!$D$13+'2.税率表'!$D$14+'2.税率表'!$D$17)</f>
        <v>0</v>
      </c>
      <c r="AK370" s="324">
        <f>AK381*('2.税率表'!$D$13+'2.税率表'!$D$14+'2.税率表'!$D$17)</f>
        <v>0</v>
      </c>
      <c r="AL370" s="325">
        <f>AL381*('2.税率表'!$D$13+'2.税率表'!$D$14+'2.税率表'!$D$17)</f>
        <v>0</v>
      </c>
      <c r="AM370" s="325">
        <f>AM381*('2.税率表'!$D$13+'2.税率表'!$D$14+'2.税率表'!$D$17)</f>
        <v>0</v>
      </c>
      <c r="AN370" s="326">
        <f>AN381*('2.税率表'!$D$13+'2.税率表'!$D$14+'2.税率表'!$D$17)</f>
        <v>0</v>
      </c>
      <c r="AO370" s="324">
        <f>AO381*('2.税率表'!$D$13+'2.税率表'!$D$14+'2.税率表'!$D$17)</f>
        <v>0</v>
      </c>
      <c r="AP370" s="325">
        <f>AP381*('2.税率表'!$D$13+'2.税率表'!$D$14+'2.税率表'!$D$17)</f>
        <v>0</v>
      </c>
      <c r="AQ370" s="325">
        <f>AQ381*('2.税率表'!$D$13+'2.税率表'!$D$14+'2.税率表'!$D$17)</f>
        <v>0</v>
      </c>
      <c r="AR370" s="326">
        <f>AR381*('2.税率表'!$D$13+'2.税率表'!$D$14+'2.税率表'!$D$17)</f>
        <v>0</v>
      </c>
      <c r="AS370" s="324">
        <f>AS381*('2.税率表'!$D$13+'2.税率表'!$D$14+'2.税率表'!$D$17)</f>
        <v>0</v>
      </c>
      <c r="AT370" s="325">
        <f>AT381*('2.税率表'!$D$13+'2.税率表'!$D$14+'2.税率表'!$D$17)</f>
        <v>0</v>
      </c>
      <c r="AU370" s="325">
        <f>AU381*('2.税率表'!$D$13+'2.税率表'!$D$14+'2.税率表'!$D$17)</f>
        <v>0</v>
      </c>
      <c r="AV370" s="326">
        <f>AV381*('2.税率表'!$D$13+'2.税率表'!$D$14+'2.税率表'!$D$17)</f>
        <v>0</v>
      </c>
    </row>
    <row r="371" spans="2:48" s="256" customFormat="1" ht="15.75" customHeight="1">
      <c r="B371" s="1976"/>
      <c r="C371" s="278" t="s">
        <v>24</v>
      </c>
      <c r="D371" s="279">
        <f t="shared" si="130"/>
        <v>0</v>
      </c>
      <c r="E371" s="280">
        <f>E382*('2.税率表'!$D$13+'2.税率表'!$D$14+'2.税率表'!$D$17)</f>
        <v>0</v>
      </c>
      <c r="F371" s="281">
        <f>F382*('2.税率表'!$D$13+'2.税率表'!$D$14+'2.税率表'!$D$17)</f>
        <v>0</v>
      </c>
      <c r="G371" s="281">
        <f>G382*('2.税率表'!$D$13+'2.税率表'!$D$14+'2.税率表'!$D$17)</f>
        <v>0</v>
      </c>
      <c r="H371" s="282">
        <f>H382*('2.税率表'!$D$13+'2.税率表'!$D$14+'2.税率表'!$D$17)</f>
        <v>0</v>
      </c>
      <c r="I371" s="280">
        <f>I382*('2.税率表'!$D$13+'2.税率表'!$D$14+'2.税率表'!$D$17)</f>
        <v>0</v>
      </c>
      <c r="J371" s="281">
        <f>J382*('2.税率表'!$D$13+'2.税率表'!$D$14+'2.税率表'!$D$17)</f>
        <v>0</v>
      </c>
      <c r="K371" s="281">
        <f>K382*('2.税率表'!$D$13+'2.税率表'!$D$14+'2.税率表'!$D$17)</f>
        <v>0</v>
      </c>
      <c r="L371" s="282">
        <f>L382*('2.税率表'!$D$13+'2.税率表'!$D$14+'2.税率表'!$D$17)</f>
        <v>0</v>
      </c>
      <c r="M371" s="280">
        <f>M382*('2.税率表'!$D$13+'2.税率表'!$D$14+'2.税率表'!$D$17)</f>
        <v>0</v>
      </c>
      <c r="N371" s="281">
        <f>N382*('2.税率表'!$D$13+'2.税率表'!$D$14+'2.税率表'!$D$17)</f>
        <v>0</v>
      </c>
      <c r="O371" s="281">
        <f>O382*('2.税率表'!$D$13+'2.税率表'!$D$14+'2.税率表'!$D$17)</f>
        <v>0</v>
      </c>
      <c r="P371" s="282">
        <f>P382*('2.税率表'!$D$13+'2.税率表'!$D$14+'2.税率表'!$D$17)</f>
        <v>0</v>
      </c>
      <c r="Q371" s="280">
        <f>Q382*('2.税率表'!$D$13+'2.税率表'!$D$14+'2.税率表'!$D$17)</f>
        <v>0</v>
      </c>
      <c r="R371" s="281">
        <f>R382*('2.税率表'!$D$13+'2.税率表'!$D$14+'2.税率表'!$D$17)</f>
        <v>0</v>
      </c>
      <c r="S371" s="281">
        <f>S382*('2.税率表'!$D$13+'2.税率表'!$D$14+'2.税率表'!$D$17)</f>
        <v>0</v>
      </c>
      <c r="T371" s="282">
        <f>T382*('2.税率表'!$D$13+'2.税率表'!$D$14+'2.税率表'!$D$17)</f>
        <v>0</v>
      </c>
      <c r="U371" s="280">
        <f>U382*('2.税率表'!$D$13+'2.税率表'!$D$14+'2.税率表'!$D$17)</f>
        <v>0</v>
      </c>
      <c r="V371" s="281">
        <f>V382*('2.税率表'!$D$13+'2.税率表'!$D$14+'2.税率表'!$D$17)</f>
        <v>0</v>
      </c>
      <c r="W371" s="281">
        <f>W382*('2.税率表'!$D$13+'2.税率表'!$D$14+'2.税率表'!$D$17)</f>
        <v>0</v>
      </c>
      <c r="X371" s="282">
        <f>X382*('2.税率表'!$D$13+'2.税率表'!$D$14+'2.税率表'!$D$17)</f>
        <v>0</v>
      </c>
      <c r="Y371" s="280">
        <f>Y382*('2.税率表'!$D$13+'2.税率表'!$D$14+'2.税率表'!$D$17)</f>
        <v>0</v>
      </c>
      <c r="Z371" s="281">
        <f>Z382*('2.税率表'!$D$13+'2.税率表'!$D$14+'2.税率表'!$D$17)</f>
        <v>0</v>
      </c>
      <c r="AA371" s="281">
        <f>AA382*('2.税率表'!$D$13+'2.税率表'!$D$14+'2.税率表'!$D$17)</f>
        <v>0</v>
      </c>
      <c r="AB371" s="282">
        <f>AB382*('2.税率表'!$D$13+'2.税率表'!$D$14+'2.税率表'!$D$17)</f>
        <v>0</v>
      </c>
      <c r="AC371" s="280">
        <f>AC382*('2.税率表'!$D$13+'2.税率表'!$D$14+'2.税率表'!$D$17)</f>
        <v>0</v>
      </c>
      <c r="AD371" s="281">
        <f>AD382*('2.税率表'!$D$13+'2.税率表'!$D$14+'2.税率表'!$D$17)</f>
        <v>0</v>
      </c>
      <c r="AE371" s="281">
        <f>AE382*('2.税率表'!$D$13+'2.税率表'!$D$14+'2.税率表'!$D$17)</f>
        <v>0</v>
      </c>
      <c r="AF371" s="282">
        <f>AF382*('2.税率表'!$D$13+'2.税率表'!$D$14+'2.税率表'!$D$17)</f>
        <v>0</v>
      </c>
      <c r="AG371" s="280">
        <f>AG382*('2.税率表'!$D$13+'2.税率表'!$D$14+'2.税率表'!$D$17)</f>
        <v>0</v>
      </c>
      <c r="AH371" s="281">
        <f>AH382*('2.税率表'!$D$13+'2.税率表'!$D$14+'2.税率表'!$D$17)</f>
        <v>0</v>
      </c>
      <c r="AI371" s="281">
        <f>AI382*('2.税率表'!$D$13+'2.税率表'!$D$14+'2.税率表'!$D$17)</f>
        <v>0</v>
      </c>
      <c r="AJ371" s="282">
        <f>AJ382*('2.税率表'!$D$13+'2.税率表'!$D$14+'2.税率表'!$D$17)</f>
        <v>0</v>
      </c>
      <c r="AK371" s="280">
        <f>AK382*('2.税率表'!$D$13+'2.税率表'!$D$14+'2.税率表'!$D$17)</f>
        <v>0</v>
      </c>
      <c r="AL371" s="281">
        <f>AL382*('2.税率表'!$D$13+'2.税率表'!$D$14+'2.税率表'!$D$17)</f>
        <v>0</v>
      </c>
      <c r="AM371" s="281">
        <f>AM382*('2.税率表'!$D$13+'2.税率表'!$D$14+'2.税率表'!$D$17)</f>
        <v>0</v>
      </c>
      <c r="AN371" s="282">
        <f>AN382*('2.税率表'!$D$13+'2.税率表'!$D$14+'2.税率表'!$D$17)</f>
        <v>0</v>
      </c>
      <c r="AO371" s="280">
        <f>AO382*('2.税率表'!$D$13+'2.税率表'!$D$14+'2.税率表'!$D$17)</f>
        <v>0</v>
      </c>
      <c r="AP371" s="281">
        <f>AP382*('2.税率表'!$D$13+'2.税率表'!$D$14+'2.税率表'!$D$17)</f>
        <v>0</v>
      </c>
      <c r="AQ371" s="281">
        <f>AQ382*('2.税率表'!$D$13+'2.税率表'!$D$14+'2.税率表'!$D$17)</f>
        <v>0</v>
      </c>
      <c r="AR371" s="282">
        <f>AR382*('2.税率表'!$D$13+'2.税率表'!$D$14+'2.税率表'!$D$17)</f>
        <v>0</v>
      </c>
      <c r="AS371" s="280">
        <f>AS382*('2.税率表'!$D$13+'2.税率表'!$D$14+'2.税率表'!$D$17)</f>
        <v>0</v>
      </c>
      <c r="AT371" s="281">
        <f>AT382*('2.税率表'!$D$13+'2.税率表'!$D$14+'2.税率表'!$D$17)</f>
        <v>0</v>
      </c>
      <c r="AU371" s="281">
        <f>AU382*('2.税率表'!$D$13+'2.税率表'!$D$14+'2.税率表'!$D$17)</f>
        <v>0</v>
      </c>
      <c r="AV371" s="282">
        <f>AV382*('2.税率表'!$D$13+'2.税率表'!$D$14+'2.税率表'!$D$17)</f>
        <v>0</v>
      </c>
    </row>
    <row r="372" spans="2:48">
      <c r="D372" s="332"/>
    </row>
    <row r="373" spans="2:48" ht="17.25" customHeight="1">
      <c r="B373" s="263" t="s">
        <v>929</v>
      </c>
      <c r="D373" s="291"/>
    </row>
    <row r="374" spans="2:48" s="256" customFormat="1" ht="15.75" customHeight="1">
      <c r="B374" s="1978" t="s">
        <v>904</v>
      </c>
      <c r="C374" s="1978" t="s">
        <v>598</v>
      </c>
      <c r="D374" s="1987" t="s">
        <v>251</v>
      </c>
      <c r="E374" s="1971">
        <f>'1.参数设置'!$C$4</f>
        <v>2018</v>
      </c>
      <c r="F374" s="1972"/>
      <c r="G374" s="1972"/>
      <c r="H374" s="1973"/>
      <c r="I374" s="1971">
        <f>E374+1</f>
        <v>2019</v>
      </c>
      <c r="J374" s="1972"/>
      <c r="K374" s="1972"/>
      <c r="L374" s="1973"/>
      <c r="M374" s="1971">
        <f>I374+1</f>
        <v>2020</v>
      </c>
      <c r="N374" s="1972"/>
      <c r="O374" s="1972"/>
      <c r="P374" s="1973"/>
      <c r="Q374" s="1971">
        <f>M374+1</f>
        <v>2021</v>
      </c>
      <c r="R374" s="1972"/>
      <c r="S374" s="1972"/>
      <c r="T374" s="1973"/>
      <c r="U374" s="1971">
        <f>Q374+1</f>
        <v>2022</v>
      </c>
      <c r="V374" s="1972"/>
      <c r="W374" s="1972"/>
      <c r="X374" s="1973"/>
      <c r="Y374" s="1971">
        <f>U374+1</f>
        <v>2023</v>
      </c>
      <c r="Z374" s="1972"/>
      <c r="AA374" s="1972"/>
      <c r="AB374" s="1973"/>
      <c r="AC374" s="1971">
        <f>Y374+1</f>
        <v>2024</v>
      </c>
      <c r="AD374" s="1972"/>
      <c r="AE374" s="1972"/>
      <c r="AF374" s="1973"/>
      <c r="AG374" s="1971">
        <f>AC374+1</f>
        <v>2025</v>
      </c>
      <c r="AH374" s="1972"/>
      <c r="AI374" s="1972"/>
      <c r="AJ374" s="1973"/>
      <c r="AK374" s="1971">
        <f>AG374+1</f>
        <v>2026</v>
      </c>
      <c r="AL374" s="1972"/>
      <c r="AM374" s="1972"/>
      <c r="AN374" s="1973"/>
      <c r="AO374" s="1971">
        <f>AK374+1</f>
        <v>2027</v>
      </c>
      <c r="AP374" s="1972"/>
      <c r="AQ374" s="1972"/>
      <c r="AR374" s="1973"/>
      <c r="AS374" s="1971">
        <f>AO374+1</f>
        <v>2028</v>
      </c>
      <c r="AT374" s="1972"/>
      <c r="AU374" s="1972"/>
      <c r="AV374" s="1973"/>
    </row>
    <row r="375" spans="2:48" s="256" customFormat="1" ht="15.75" customHeight="1">
      <c r="B375" s="1979"/>
      <c r="C375" s="1979"/>
      <c r="D375" s="1988"/>
      <c r="E375" s="265" t="s">
        <v>920</v>
      </c>
      <c r="F375" s="266" t="s">
        <v>921</v>
      </c>
      <c r="G375" s="266" t="s">
        <v>922</v>
      </c>
      <c r="H375" s="267" t="s">
        <v>923</v>
      </c>
      <c r="I375" s="265" t="s">
        <v>920</v>
      </c>
      <c r="J375" s="266" t="s">
        <v>921</v>
      </c>
      <c r="K375" s="266" t="s">
        <v>922</v>
      </c>
      <c r="L375" s="267" t="s">
        <v>923</v>
      </c>
      <c r="M375" s="265" t="s">
        <v>920</v>
      </c>
      <c r="N375" s="266" t="s">
        <v>921</v>
      </c>
      <c r="O375" s="266" t="s">
        <v>922</v>
      </c>
      <c r="P375" s="267" t="s">
        <v>923</v>
      </c>
      <c r="Q375" s="265" t="s">
        <v>920</v>
      </c>
      <c r="R375" s="266" t="s">
        <v>921</v>
      </c>
      <c r="S375" s="266" t="s">
        <v>922</v>
      </c>
      <c r="T375" s="267" t="s">
        <v>923</v>
      </c>
      <c r="U375" s="265" t="s">
        <v>920</v>
      </c>
      <c r="V375" s="266" t="s">
        <v>921</v>
      </c>
      <c r="W375" s="266" t="s">
        <v>922</v>
      </c>
      <c r="X375" s="267" t="s">
        <v>923</v>
      </c>
      <c r="Y375" s="265" t="s">
        <v>920</v>
      </c>
      <c r="Z375" s="266" t="s">
        <v>921</v>
      </c>
      <c r="AA375" s="266" t="s">
        <v>922</v>
      </c>
      <c r="AB375" s="267" t="s">
        <v>923</v>
      </c>
      <c r="AC375" s="265" t="s">
        <v>920</v>
      </c>
      <c r="AD375" s="266" t="s">
        <v>921</v>
      </c>
      <c r="AE375" s="266" t="s">
        <v>922</v>
      </c>
      <c r="AF375" s="267" t="s">
        <v>923</v>
      </c>
      <c r="AG375" s="265" t="s">
        <v>920</v>
      </c>
      <c r="AH375" s="266" t="s">
        <v>921</v>
      </c>
      <c r="AI375" s="266" t="s">
        <v>922</v>
      </c>
      <c r="AJ375" s="267" t="s">
        <v>923</v>
      </c>
      <c r="AK375" s="265" t="s">
        <v>920</v>
      </c>
      <c r="AL375" s="266" t="s">
        <v>921</v>
      </c>
      <c r="AM375" s="266" t="s">
        <v>922</v>
      </c>
      <c r="AN375" s="267" t="s">
        <v>923</v>
      </c>
      <c r="AO375" s="265" t="s">
        <v>920</v>
      </c>
      <c r="AP375" s="266" t="s">
        <v>921</v>
      </c>
      <c r="AQ375" s="266" t="s">
        <v>922</v>
      </c>
      <c r="AR375" s="267" t="s">
        <v>923</v>
      </c>
      <c r="AS375" s="265" t="s">
        <v>920</v>
      </c>
      <c r="AT375" s="266" t="s">
        <v>921</v>
      </c>
      <c r="AU375" s="266" t="s">
        <v>922</v>
      </c>
      <c r="AV375" s="267" t="s">
        <v>923</v>
      </c>
    </row>
    <row r="376" spans="2:48" s="257" customFormat="1" ht="15.75" customHeight="1">
      <c r="B376" s="1974" t="s">
        <v>907</v>
      </c>
      <c r="C376" s="295" t="s">
        <v>251</v>
      </c>
      <c r="D376" s="296">
        <f t="shared" ref="D376:AV376" si="131">SUM(D377:D382)</f>
        <v>0</v>
      </c>
      <c r="E376" s="297">
        <f t="shared" si="131"/>
        <v>0</v>
      </c>
      <c r="F376" s="296">
        <f t="shared" si="131"/>
        <v>0</v>
      </c>
      <c r="G376" s="296">
        <f t="shared" si="131"/>
        <v>0</v>
      </c>
      <c r="H376" s="298">
        <f t="shared" si="131"/>
        <v>0</v>
      </c>
      <c r="I376" s="297">
        <f t="shared" si="131"/>
        <v>0</v>
      </c>
      <c r="J376" s="296">
        <f t="shared" si="131"/>
        <v>0</v>
      </c>
      <c r="K376" s="296">
        <f t="shared" si="131"/>
        <v>0</v>
      </c>
      <c r="L376" s="298">
        <f t="shared" si="131"/>
        <v>0</v>
      </c>
      <c r="M376" s="297">
        <f t="shared" si="131"/>
        <v>0</v>
      </c>
      <c r="N376" s="296">
        <f t="shared" si="131"/>
        <v>0</v>
      </c>
      <c r="O376" s="296">
        <f t="shared" si="131"/>
        <v>0</v>
      </c>
      <c r="P376" s="298">
        <f t="shared" si="131"/>
        <v>0</v>
      </c>
      <c r="Q376" s="297">
        <f t="shared" si="131"/>
        <v>0</v>
      </c>
      <c r="R376" s="296">
        <f t="shared" si="131"/>
        <v>0</v>
      </c>
      <c r="S376" s="296">
        <f t="shared" si="131"/>
        <v>0</v>
      </c>
      <c r="T376" s="298">
        <f t="shared" si="131"/>
        <v>0</v>
      </c>
      <c r="U376" s="297">
        <f t="shared" si="131"/>
        <v>0</v>
      </c>
      <c r="V376" s="296">
        <f t="shared" si="131"/>
        <v>0</v>
      </c>
      <c r="W376" s="296">
        <f t="shared" si="131"/>
        <v>0</v>
      </c>
      <c r="X376" s="298">
        <f t="shared" si="131"/>
        <v>0</v>
      </c>
      <c r="Y376" s="297">
        <f t="shared" si="131"/>
        <v>0</v>
      </c>
      <c r="Z376" s="296">
        <f t="shared" si="131"/>
        <v>0</v>
      </c>
      <c r="AA376" s="296">
        <f t="shared" si="131"/>
        <v>0</v>
      </c>
      <c r="AB376" s="298">
        <f t="shared" si="131"/>
        <v>0</v>
      </c>
      <c r="AC376" s="297">
        <f t="shared" si="131"/>
        <v>0</v>
      </c>
      <c r="AD376" s="296">
        <f t="shared" si="131"/>
        <v>0</v>
      </c>
      <c r="AE376" s="296">
        <f t="shared" si="131"/>
        <v>0</v>
      </c>
      <c r="AF376" s="298">
        <f t="shared" si="131"/>
        <v>0</v>
      </c>
      <c r="AG376" s="297">
        <f t="shared" si="131"/>
        <v>0</v>
      </c>
      <c r="AH376" s="296">
        <f t="shared" si="131"/>
        <v>0</v>
      </c>
      <c r="AI376" s="296">
        <f t="shared" si="131"/>
        <v>0</v>
      </c>
      <c r="AJ376" s="298">
        <f t="shared" si="131"/>
        <v>0</v>
      </c>
      <c r="AK376" s="297">
        <f t="shared" si="131"/>
        <v>0</v>
      </c>
      <c r="AL376" s="296">
        <f t="shared" si="131"/>
        <v>0</v>
      </c>
      <c r="AM376" s="296">
        <f t="shared" si="131"/>
        <v>0</v>
      </c>
      <c r="AN376" s="298">
        <f t="shared" si="131"/>
        <v>0</v>
      </c>
      <c r="AO376" s="297">
        <f t="shared" si="131"/>
        <v>0</v>
      </c>
      <c r="AP376" s="296">
        <f t="shared" si="131"/>
        <v>0</v>
      </c>
      <c r="AQ376" s="296">
        <f t="shared" si="131"/>
        <v>0</v>
      </c>
      <c r="AR376" s="298">
        <f t="shared" si="131"/>
        <v>0</v>
      </c>
      <c r="AS376" s="297">
        <f t="shared" si="131"/>
        <v>0</v>
      </c>
      <c r="AT376" s="296">
        <f t="shared" si="131"/>
        <v>0</v>
      </c>
      <c r="AU376" s="296">
        <f t="shared" si="131"/>
        <v>0</v>
      </c>
      <c r="AV376" s="298">
        <f t="shared" si="131"/>
        <v>0</v>
      </c>
    </row>
    <row r="377" spans="2:48" s="256" customFormat="1" ht="15.75" customHeight="1">
      <c r="B377" s="1975"/>
      <c r="C377" s="273" t="s">
        <v>19</v>
      </c>
      <c r="D377" s="274">
        <f t="shared" ref="D377:D382" si="132">SUM(E377:AV377)</f>
        <v>0</v>
      </c>
      <c r="E377" s="275">
        <f>E384+E391+E398</f>
        <v>0</v>
      </c>
      <c r="F377" s="276">
        <f>F384+F391+F398</f>
        <v>0</v>
      </c>
      <c r="G377" s="276">
        <f>G384+G391+G398</f>
        <v>0</v>
      </c>
      <c r="H377" s="277">
        <f t="shared" ref="H377:AV377" si="133">H384+H391+H398</f>
        <v>0</v>
      </c>
      <c r="I377" s="275">
        <f t="shared" si="133"/>
        <v>0</v>
      </c>
      <c r="J377" s="276">
        <f t="shared" si="133"/>
        <v>0</v>
      </c>
      <c r="K377" s="276">
        <f t="shared" si="133"/>
        <v>0</v>
      </c>
      <c r="L377" s="277">
        <f t="shared" si="133"/>
        <v>0</v>
      </c>
      <c r="M377" s="275">
        <f t="shared" si="133"/>
        <v>0</v>
      </c>
      <c r="N377" s="276">
        <f t="shared" si="133"/>
        <v>0</v>
      </c>
      <c r="O377" s="276">
        <f t="shared" si="133"/>
        <v>0</v>
      </c>
      <c r="P377" s="277">
        <f t="shared" si="133"/>
        <v>0</v>
      </c>
      <c r="Q377" s="275">
        <f t="shared" si="133"/>
        <v>0</v>
      </c>
      <c r="R377" s="276">
        <f t="shared" si="133"/>
        <v>0</v>
      </c>
      <c r="S377" s="276">
        <f t="shared" si="133"/>
        <v>0</v>
      </c>
      <c r="T377" s="277">
        <f t="shared" si="133"/>
        <v>0</v>
      </c>
      <c r="U377" s="275">
        <f t="shared" si="133"/>
        <v>0</v>
      </c>
      <c r="V377" s="276">
        <f t="shared" si="133"/>
        <v>0</v>
      </c>
      <c r="W377" s="276">
        <f t="shared" si="133"/>
        <v>0</v>
      </c>
      <c r="X377" s="277">
        <f t="shared" si="133"/>
        <v>0</v>
      </c>
      <c r="Y377" s="275">
        <f t="shared" si="133"/>
        <v>0</v>
      </c>
      <c r="Z377" s="276">
        <f t="shared" si="133"/>
        <v>0</v>
      </c>
      <c r="AA377" s="276">
        <f t="shared" si="133"/>
        <v>0</v>
      </c>
      <c r="AB377" s="277">
        <f t="shared" si="133"/>
        <v>0</v>
      </c>
      <c r="AC377" s="275">
        <f t="shared" si="133"/>
        <v>0</v>
      </c>
      <c r="AD377" s="276">
        <f t="shared" si="133"/>
        <v>0</v>
      </c>
      <c r="AE377" s="276">
        <f t="shared" si="133"/>
        <v>0</v>
      </c>
      <c r="AF377" s="277">
        <f t="shared" si="133"/>
        <v>0</v>
      </c>
      <c r="AG377" s="275">
        <f t="shared" si="133"/>
        <v>0</v>
      </c>
      <c r="AH377" s="276">
        <f t="shared" si="133"/>
        <v>0</v>
      </c>
      <c r="AI377" s="276">
        <f t="shared" si="133"/>
        <v>0</v>
      </c>
      <c r="AJ377" s="277">
        <f t="shared" si="133"/>
        <v>0</v>
      </c>
      <c r="AK377" s="275">
        <f t="shared" si="133"/>
        <v>0</v>
      </c>
      <c r="AL377" s="276">
        <f t="shared" si="133"/>
        <v>0</v>
      </c>
      <c r="AM377" s="276">
        <f t="shared" si="133"/>
        <v>0</v>
      </c>
      <c r="AN377" s="277">
        <f t="shared" si="133"/>
        <v>0</v>
      </c>
      <c r="AO377" s="275">
        <f t="shared" si="133"/>
        <v>0</v>
      </c>
      <c r="AP377" s="276">
        <f t="shared" si="133"/>
        <v>0</v>
      </c>
      <c r="AQ377" s="276">
        <f t="shared" si="133"/>
        <v>0</v>
      </c>
      <c r="AR377" s="277">
        <f t="shared" si="133"/>
        <v>0</v>
      </c>
      <c r="AS377" s="275">
        <f t="shared" si="133"/>
        <v>0</v>
      </c>
      <c r="AT377" s="276">
        <f t="shared" si="133"/>
        <v>0</v>
      </c>
      <c r="AU377" s="276">
        <f t="shared" si="133"/>
        <v>0</v>
      </c>
      <c r="AV377" s="277">
        <f t="shared" si="133"/>
        <v>0</v>
      </c>
    </row>
    <row r="378" spans="2:48" s="256" customFormat="1" ht="15.75" customHeight="1">
      <c r="B378" s="1975"/>
      <c r="C378" s="273" t="s">
        <v>20</v>
      </c>
      <c r="D378" s="274">
        <f t="shared" si="132"/>
        <v>0</v>
      </c>
      <c r="E378" s="275">
        <f>E385+E392+E399</f>
        <v>0</v>
      </c>
      <c r="F378" s="276">
        <f t="shared" ref="F378:AV378" si="134">F385+F392+F399</f>
        <v>0</v>
      </c>
      <c r="G378" s="276">
        <f t="shared" si="134"/>
        <v>0</v>
      </c>
      <c r="H378" s="277">
        <f t="shared" si="134"/>
        <v>0</v>
      </c>
      <c r="I378" s="275">
        <f t="shared" si="134"/>
        <v>0</v>
      </c>
      <c r="J378" s="276">
        <f t="shared" si="134"/>
        <v>0</v>
      </c>
      <c r="K378" s="276">
        <f t="shared" si="134"/>
        <v>0</v>
      </c>
      <c r="L378" s="277">
        <f t="shared" si="134"/>
        <v>0</v>
      </c>
      <c r="M378" s="275">
        <f t="shared" si="134"/>
        <v>0</v>
      </c>
      <c r="N378" s="276">
        <f t="shared" si="134"/>
        <v>0</v>
      </c>
      <c r="O378" s="276">
        <f t="shared" si="134"/>
        <v>0</v>
      </c>
      <c r="P378" s="277">
        <f t="shared" si="134"/>
        <v>0</v>
      </c>
      <c r="Q378" s="275">
        <f t="shared" si="134"/>
        <v>0</v>
      </c>
      <c r="R378" s="276">
        <f t="shared" si="134"/>
        <v>0</v>
      </c>
      <c r="S378" s="276">
        <f t="shared" si="134"/>
        <v>0</v>
      </c>
      <c r="T378" s="277">
        <f t="shared" si="134"/>
        <v>0</v>
      </c>
      <c r="U378" s="275">
        <f t="shared" si="134"/>
        <v>0</v>
      </c>
      <c r="V378" s="276">
        <f t="shared" si="134"/>
        <v>0</v>
      </c>
      <c r="W378" s="276">
        <f t="shared" si="134"/>
        <v>0</v>
      </c>
      <c r="X378" s="277">
        <f t="shared" si="134"/>
        <v>0</v>
      </c>
      <c r="Y378" s="275">
        <f t="shared" si="134"/>
        <v>0</v>
      </c>
      <c r="Z378" s="276">
        <f t="shared" si="134"/>
        <v>0</v>
      </c>
      <c r="AA378" s="276">
        <f t="shared" si="134"/>
        <v>0</v>
      </c>
      <c r="AB378" s="277">
        <f t="shared" si="134"/>
        <v>0</v>
      </c>
      <c r="AC378" s="275">
        <f t="shared" si="134"/>
        <v>0</v>
      </c>
      <c r="AD378" s="276">
        <f t="shared" si="134"/>
        <v>0</v>
      </c>
      <c r="AE378" s="276">
        <f t="shared" si="134"/>
        <v>0</v>
      </c>
      <c r="AF378" s="277">
        <f t="shared" si="134"/>
        <v>0</v>
      </c>
      <c r="AG378" s="275">
        <f t="shared" si="134"/>
        <v>0</v>
      </c>
      <c r="AH378" s="276">
        <f t="shared" si="134"/>
        <v>0</v>
      </c>
      <c r="AI378" s="276">
        <f t="shared" si="134"/>
        <v>0</v>
      </c>
      <c r="AJ378" s="277">
        <f t="shared" si="134"/>
        <v>0</v>
      </c>
      <c r="AK378" s="275">
        <f t="shared" si="134"/>
        <v>0</v>
      </c>
      <c r="AL378" s="276">
        <f t="shared" si="134"/>
        <v>0</v>
      </c>
      <c r="AM378" s="276">
        <f t="shared" si="134"/>
        <v>0</v>
      </c>
      <c r="AN378" s="277">
        <f t="shared" si="134"/>
        <v>0</v>
      </c>
      <c r="AO378" s="275">
        <f t="shared" si="134"/>
        <v>0</v>
      </c>
      <c r="AP378" s="276">
        <f t="shared" si="134"/>
        <v>0</v>
      </c>
      <c r="AQ378" s="276">
        <f t="shared" si="134"/>
        <v>0</v>
      </c>
      <c r="AR378" s="277">
        <f t="shared" si="134"/>
        <v>0</v>
      </c>
      <c r="AS378" s="275">
        <f t="shared" si="134"/>
        <v>0</v>
      </c>
      <c r="AT378" s="276">
        <f t="shared" si="134"/>
        <v>0</v>
      </c>
      <c r="AU378" s="276">
        <f t="shared" si="134"/>
        <v>0</v>
      </c>
      <c r="AV378" s="277">
        <f t="shared" si="134"/>
        <v>0</v>
      </c>
    </row>
    <row r="379" spans="2:48" s="256" customFormat="1" ht="15.75" customHeight="1">
      <c r="B379" s="1975"/>
      <c r="C379" s="273" t="s">
        <v>21</v>
      </c>
      <c r="D379" s="274">
        <f t="shared" si="132"/>
        <v>0</v>
      </c>
      <c r="E379" s="275">
        <f t="shared" ref="E379:AV379" si="135">E386+E393+E400</f>
        <v>0</v>
      </c>
      <c r="F379" s="276">
        <f t="shared" si="135"/>
        <v>0</v>
      </c>
      <c r="G379" s="276">
        <f t="shared" si="135"/>
        <v>0</v>
      </c>
      <c r="H379" s="277">
        <f t="shared" si="135"/>
        <v>0</v>
      </c>
      <c r="I379" s="275">
        <f t="shared" si="135"/>
        <v>0</v>
      </c>
      <c r="J379" s="276">
        <f t="shared" si="135"/>
        <v>0</v>
      </c>
      <c r="K379" s="276">
        <f t="shared" si="135"/>
        <v>0</v>
      </c>
      <c r="L379" s="277">
        <f t="shared" si="135"/>
        <v>0</v>
      </c>
      <c r="M379" s="275">
        <f t="shared" si="135"/>
        <v>0</v>
      </c>
      <c r="N379" s="276">
        <f t="shared" si="135"/>
        <v>0</v>
      </c>
      <c r="O379" s="276">
        <f t="shared" si="135"/>
        <v>0</v>
      </c>
      <c r="P379" s="277">
        <f t="shared" si="135"/>
        <v>0</v>
      </c>
      <c r="Q379" s="275">
        <f t="shared" si="135"/>
        <v>0</v>
      </c>
      <c r="R379" s="276">
        <f t="shared" si="135"/>
        <v>0</v>
      </c>
      <c r="S379" s="276">
        <f t="shared" si="135"/>
        <v>0</v>
      </c>
      <c r="T379" s="277">
        <f t="shared" si="135"/>
        <v>0</v>
      </c>
      <c r="U379" s="275">
        <f t="shared" si="135"/>
        <v>0</v>
      </c>
      <c r="V379" s="276">
        <f t="shared" si="135"/>
        <v>0</v>
      </c>
      <c r="W379" s="276">
        <f t="shared" si="135"/>
        <v>0</v>
      </c>
      <c r="X379" s="277">
        <f t="shared" si="135"/>
        <v>0</v>
      </c>
      <c r="Y379" s="275">
        <f t="shared" si="135"/>
        <v>0</v>
      </c>
      <c r="Z379" s="276">
        <f t="shared" si="135"/>
        <v>0</v>
      </c>
      <c r="AA379" s="276">
        <f t="shared" si="135"/>
        <v>0</v>
      </c>
      <c r="AB379" s="277">
        <f t="shared" si="135"/>
        <v>0</v>
      </c>
      <c r="AC379" s="275">
        <f t="shared" si="135"/>
        <v>0</v>
      </c>
      <c r="AD379" s="276">
        <f t="shared" si="135"/>
        <v>0</v>
      </c>
      <c r="AE379" s="276">
        <f t="shared" si="135"/>
        <v>0</v>
      </c>
      <c r="AF379" s="277">
        <f t="shared" si="135"/>
        <v>0</v>
      </c>
      <c r="AG379" s="275">
        <f t="shared" si="135"/>
        <v>0</v>
      </c>
      <c r="AH379" s="276">
        <f t="shared" si="135"/>
        <v>0</v>
      </c>
      <c r="AI379" s="276">
        <f t="shared" si="135"/>
        <v>0</v>
      </c>
      <c r="AJ379" s="277">
        <f t="shared" si="135"/>
        <v>0</v>
      </c>
      <c r="AK379" s="275">
        <f t="shared" si="135"/>
        <v>0</v>
      </c>
      <c r="AL379" s="276">
        <f t="shared" si="135"/>
        <v>0</v>
      </c>
      <c r="AM379" s="276">
        <f t="shared" si="135"/>
        <v>0</v>
      </c>
      <c r="AN379" s="277">
        <f t="shared" si="135"/>
        <v>0</v>
      </c>
      <c r="AO379" s="275">
        <f t="shared" si="135"/>
        <v>0</v>
      </c>
      <c r="AP379" s="276">
        <f t="shared" si="135"/>
        <v>0</v>
      </c>
      <c r="AQ379" s="276">
        <f t="shared" si="135"/>
        <v>0</v>
      </c>
      <c r="AR379" s="277">
        <f t="shared" si="135"/>
        <v>0</v>
      </c>
      <c r="AS379" s="275">
        <f t="shared" si="135"/>
        <v>0</v>
      </c>
      <c r="AT379" s="276">
        <f t="shared" si="135"/>
        <v>0</v>
      </c>
      <c r="AU379" s="276">
        <f t="shared" si="135"/>
        <v>0</v>
      </c>
      <c r="AV379" s="277">
        <f t="shared" si="135"/>
        <v>0</v>
      </c>
    </row>
    <row r="380" spans="2:48" s="256" customFormat="1" ht="15.75" customHeight="1">
      <c r="B380" s="1975"/>
      <c r="C380" s="273" t="s">
        <v>22</v>
      </c>
      <c r="D380" s="274">
        <f t="shared" si="132"/>
        <v>0</v>
      </c>
      <c r="E380" s="275">
        <f t="shared" ref="E380:AV380" si="136">E387+E394+E401</f>
        <v>0</v>
      </c>
      <c r="F380" s="276">
        <f t="shared" si="136"/>
        <v>0</v>
      </c>
      <c r="G380" s="276">
        <f t="shared" si="136"/>
        <v>0</v>
      </c>
      <c r="H380" s="277">
        <f t="shared" si="136"/>
        <v>0</v>
      </c>
      <c r="I380" s="275">
        <f t="shared" si="136"/>
        <v>0</v>
      </c>
      <c r="J380" s="276">
        <f t="shared" si="136"/>
        <v>0</v>
      </c>
      <c r="K380" s="276">
        <f t="shared" si="136"/>
        <v>0</v>
      </c>
      <c r="L380" s="277">
        <f t="shared" si="136"/>
        <v>0</v>
      </c>
      <c r="M380" s="275">
        <f t="shared" si="136"/>
        <v>0</v>
      </c>
      <c r="N380" s="276">
        <f t="shared" si="136"/>
        <v>0</v>
      </c>
      <c r="O380" s="276">
        <f t="shared" si="136"/>
        <v>0</v>
      </c>
      <c r="P380" s="277">
        <f t="shared" si="136"/>
        <v>0</v>
      </c>
      <c r="Q380" s="275">
        <f t="shared" si="136"/>
        <v>0</v>
      </c>
      <c r="R380" s="276">
        <f t="shared" si="136"/>
        <v>0</v>
      </c>
      <c r="S380" s="276">
        <f t="shared" si="136"/>
        <v>0</v>
      </c>
      <c r="T380" s="277">
        <f t="shared" si="136"/>
        <v>0</v>
      </c>
      <c r="U380" s="275">
        <f t="shared" si="136"/>
        <v>0</v>
      </c>
      <c r="V380" s="276">
        <f t="shared" si="136"/>
        <v>0</v>
      </c>
      <c r="W380" s="276">
        <f t="shared" si="136"/>
        <v>0</v>
      </c>
      <c r="X380" s="277">
        <f t="shared" si="136"/>
        <v>0</v>
      </c>
      <c r="Y380" s="275">
        <f t="shared" si="136"/>
        <v>0</v>
      </c>
      <c r="Z380" s="276">
        <f t="shared" si="136"/>
        <v>0</v>
      </c>
      <c r="AA380" s="276">
        <f t="shared" si="136"/>
        <v>0</v>
      </c>
      <c r="AB380" s="277">
        <f t="shared" si="136"/>
        <v>0</v>
      </c>
      <c r="AC380" s="275">
        <f t="shared" si="136"/>
        <v>0</v>
      </c>
      <c r="AD380" s="276">
        <f t="shared" si="136"/>
        <v>0</v>
      </c>
      <c r="AE380" s="276">
        <f t="shared" si="136"/>
        <v>0</v>
      </c>
      <c r="AF380" s="277">
        <f t="shared" si="136"/>
        <v>0</v>
      </c>
      <c r="AG380" s="275">
        <f t="shared" si="136"/>
        <v>0</v>
      </c>
      <c r="AH380" s="276">
        <f t="shared" si="136"/>
        <v>0</v>
      </c>
      <c r="AI380" s="276">
        <f t="shared" si="136"/>
        <v>0</v>
      </c>
      <c r="AJ380" s="277">
        <f t="shared" si="136"/>
        <v>0</v>
      </c>
      <c r="AK380" s="275">
        <f t="shared" si="136"/>
        <v>0</v>
      </c>
      <c r="AL380" s="276">
        <f t="shared" si="136"/>
        <v>0</v>
      </c>
      <c r="AM380" s="276">
        <f t="shared" si="136"/>
        <v>0</v>
      </c>
      <c r="AN380" s="277">
        <f t="shared" si="136"/>
        <v>0</v>
      </c>
      <c r="AO380" s="275">
        <f t="shared" si="136"/>
        <v>0</v>
      </c>
      <c r="AP380" s="276">
        <f t="shared" si="136"/>
        <v>0</v>
      </c>
      <c r="AQ380" s="276">
        <f t="shared" si="136"/>
        <v>0</v>
      </c>
      <c r="AR380" s="277">
        <f t="shared" si="136"/>
        <v>0</v>
      </c>
      <c r="AS380" s="275">
        <f t="shared" si="136"/>
        <v>0</v>
      </c>
      <c r="AT380" s="276">
        <f t="shared" si="136"/>
        <v>0</v>
      </c>
      <c r="AU380" s="276">
        <f t="shared" si="136"/>
        <v>0</v>
      </c>
      <c r="AV380" s="277">
        <f t="shared" si="136"/>
        <v>0</v>
      </c>
    </row>
    <row r="381" spans="2:48" s="256" customFormat="1" ht="15.75" customHeight="1">
      <c r="B381" s="1975"/>
      <c r="C381" s="268" t="s">
        <v>23</v>
      </c>
      <c r="D381" s="331">
        <f t="shared" si="132"/>
        <v>0</v>
      </c>
      <c r="E381" s="324">
        <f t="shared" ref="E381:AV381" si="137">E388+E395+E402</f>
        <v>0</v>
      </c>
      <c r="F381" s="325">
        <f t="shared" si="137"/>
        <v>0</v>
      </c>
      <c r="G381" s="325">
        <f t="shared" si="137"/>
        <v>0</v>
      </c>
      <c r="H381" s="326">
        <f t="shared" si="137"/>
        <v>0</v>
      </c>
      <c r="I381" s="324">
        <f t="shared" si="137"/>
        <v>0</v>
      </c>
      <c r="J381" s="325">
        <f t="shared" si="137"/>
        <v>0</v>
      </c>
      <c r="K381" s="325">
        <f t="shared" si="137"/>
        <v>0</v>
      </c>
      <c r="L381" s="326">
        <f t="shared" si="137"/>
        <v>0</v>
      </c>
      <c r="M381" s="324">
        <f t="shared" si="137"/>
        <v>0</v>
      </c>
      <c r="N381" s="325">
        <f t="shared" si="137"/>
        <v>0</v>
      </c>
      <c r="O381" s="325">
        <f t="shared" si="137"/>
        <v>0</v>
      </c>
      <c r="P381" s="326">
        <f t="shared" si="137"/>
        <v>0</v>
      </c>
      <c r="Q381" s="324">
        <f t="shared" si="137"/>
        <v>0</v>
      </c>
      <c r="R381" s="325">
        <f t="shared" si="137"/>
        <v>0</v>
      </c>
      <c r="S381" s="325">
        <f t="shared" si="137"/>
        <v>0</v>
      </c>
      <c r="T381" s="326">
        <f t="shared" si="137"/>
        <v>0</v>
      </c>
      <c r="U381" s="324">
        <f t="shared" si="137"/>
        <v>0</v>
      </c>
      <c r="V381" s="325">
        <f t="shared" si="137"/>
        <v>0</v>
      </c>
      <c r="W381" s="325">
        <f t="shared" si="137"/>
        <v>0</v>
      </c>
      <c r="X381" s="326">
        <f t="shared" si="137"/>
        <v>0</v>
      </c>
      <c r="Y381" s="324">
        <f t="shared" si="137"/>
        <v>0</v>
      </c>
      <c r="Z381" s="325">
        <f t="shared" si="137"/>
        <v>0</v>
      </c>
      <c r="AA381" s="325">
        <f t="shared" si="137"/>
        <v>0</v>
      </c>
      <c r="AB381" s="326">
        <f t="shared" si="137"/>
        <v>0</v>
      </c>
      <c r="AC381" s="324">
        <f t="shared" si="137"/>
        <v>0</v>
      </c>
      <c r="AD381" s="325">
        <f t="shared" si="137"/>
        <v>0</v>
      </c>
      <c r="AE381" s="325">
        <f t="shared" si="137"/>
        <v>0</v>
      </c>
      <c r="AF381" s="326">
        <f t="shared" si="137"/>
        <v>0</v>
      </c>
      <c r="AG381" s="324">
        <f t="shared" si="137"/>
        <v>0</v>
      </c>
      <c r="AH381" s="325">
        <f t="shared" si="137"/>
        <v>0</v>
      </c>
      <c r="AI381" s="325">
        <f t="shared" si="137"/>
        <v>0</v>
      </c>
      <c r="AJ381" s="326">
        <f t="shared" si="137"/>
        <v>0</v>
      </c>
      <c r="AK381" s="324">
        <f t="shared" si="137"/>
        <v>0</v>
      </c>
      <c r="AL381" s="325">
        <f t="shared" si="137"/>
        <v>0</v>
      </c>
      <c r="AM381" s="325">
        <f t="shared" si="137"/>
        <v>0</v>
      </c>
      <c r="AN381" s="326">
        <f t="shared" si="137"/>
        <v>0</v>
      </c>
      <c r="AO381" s="324">
        <f t="shared" si="137"/>
        <v>0</v>
      </c>
      <c r="AP381" s="325">
        <f t="shared" si="137"/>
        <v>0</v>
      </c>
      <c r="AQ381" s="325">
        <f t="shared" si="137"/>
        <v>0</v>
      </c>
      <c r="AR381" s="326">
        <f t="shared" si="137"/>
        <v>0</v>
      </c>
      <c r="AS381" s="324">
        <f t="shared" si="137"/>
        <v>0</v>
      </c>
      <c r="AT381" s="325">
        <f t="shared" si="137"/>
        <v>0</v>
      </c>
      <c r="AU381" s="325">
        <f t="shared" si="137"/>
        <v>0</v>
      </c>
      <c r="AV381" s="326">
        <f t="shared" si="137"/>
        <v>0</v>
      </c>
    </row>
    <row r="382" spans="2:48" s="256" customFormat="1" ht="15.75" customHeight="1">
      <c r="B382" s="1976"/>
      <c r="C382" s="278" t="s">
        <v>24</v>
      </c>
      <c r="D382" s="279">
        <f t="shared" si="132"/>
        <v>0</v>
      </c>
      <c r="E382" s="280">
        <f t="shared" ref="E382:AV382" si="138">E389+E396+E403</f>
        <v>0</v>
      </c>
      <c r="F382" s="281">
        <f t="shared" si="138"/>
        <v>0</v>
      </c>
      <c r="G382" s="281">
        <f t="shared" si="138"/>
        <v>0</v>
      </c>
      <c r="H382" s="282">
        <f t="shared" si="138"/>
        <v>0</v>
      </c>
      <c r="I382" s="280">
        <f t="shared" si="138"/>
        <v>0</v>
      </c>
      <c r="J382" s="281">
        <f t="shared" si="138"/>
        <v>0</v>
      </c>
      <c r="K382" s="281">
        <f t="shared" si="138"/>
        <v>0</v>
      </c>
      <c r="L382" s="282">
        <f t="shared" si="138"/>
        <v>0</v>
      </c>
      <c r="M382" s="280">
        <f t="shared" si="138"/>
        <v>0</v>
      </c>
      <c r="N382" s="281">
        <f t="shared" si="138"/>
        <v>0</v>
      </c>
      <c r="O382" s="281">
        <f t="shared" si="138"/>
        <v>0</v>
      </c>
      <c r="P382" s="282">
        <f t="shared" si="138"/>
        <v>0</v>
      </c>
      <c r="Q382" s="280">
        <f t="shared" si="138"/>
        <v>0</v>
      </c>
      <c r="R382" s="281">
        <f t="shared" si="138"/>
        <v>0</v>
      </c>
      <c r="S382" s="281">
        <f t="shared" si="138"/>
        <v>0</v>
      </c>
      <c r="T382" s="282">
        <f t="shared" si="138"/>
        <v>0</v>
      </c>
      <c r="U382" s="280">
        <f t="shared" si="138"/>
        <v>0</v>
      </c>
      <c r="V382" s="281">
        <f t="shared" si="138"/>
        <v>0</v>
      </c>
      <c r="W382" s="281">
        <f t="shared" si="138"/>
        <v>0</v>
      </c>
      <c r="X382" s="282">
        <f t="shared" si="138"/>
        <v>0</v>
      </c>
      <c r="Y382" s="280">
        <f t="shared" si="138"/>
        <v>0</v>
      </c>
      <c r="Z382" s="281">
        <f t="shared" si="138"/>
        <v>0</v>
      </c>
      <c r="AA382" s="281">
        <f t="shared" si="138"/>
        <v>0</v>
      </c>
      <c r="AB382" s="282">
        <f t="shared" si="138"/>
        <v>0</v>
      </c>
      <c r="AC382" s="280">
        <f t="shared" si="138"/>
        <v>0</v>
      </c>
      <c r="AD382" s="281">
        <f t="shared" si="138"/>
        <v>0</v>
      </c>
      <c r="AE382" s="281">
        <f t="shared" si="138"/>
        <v>0</v>
      </c>
      <c r="AF382" s="282">
        <f t="shared" si="138"/>
        <v>0</v>
      </c>
      <c r="AG382" s="280">
        <f t="shared" si="138"/>
        <v>0</v>
      </c>
      <c r="AH382" s="281">
        <f t="shared" si="138"/>
        <v>0</v>
      </c>
      <c r="AI382" s="281">
        <f t="shared" si="138"/>
        <v>0</v>
      </c>
      <c r="AJ382" s="282">
        <f t="shared" si="138"/>
        <v>0</v>
      </c>
      <c r="AK382" s="280">
        <f t="shared" si="138"/>
        <v>0</v>
      </c>
      <c r="AL382" s="281">
        <f t="shared" si="138"/>
        <v>0</v>
      </c>
      <c r="AM382" s="281">
        <f t="shared" si="138"/>
        <v>0</v>
      </c>
      <c r="AN382" s="282">
        <f t="shared" si="138"/>
        <v>0</v>
      </c>
      <c r="AO382" s="280">
        <f t="shared" si="138"/>
        <v>0</v>
      </c>
      <c r="AP382" s="281">
        <f t="shared" si="138"/>
        <v>0</v>
      </c>
      <c r="AQ382" s="281">
        <f t="shared" si="138"/>
        <v>0</v>
      </c>
      <c r="AR382" s="282">
        <f t="shared" si="138"/>
        <v>0</v>
      </c>
      <c r="AS382" s="280">
        <f t="shared" si="138"/>
        <v>0</v>
      </c>
      <c r="AT382" s="281">
        <f t="shared" si="138"/>
        <v>0</v>
      </c>
      <c r="AU382" s="281">
        <f t="shared" si="138"/>
        <v>0</v>
      </c>
      <c r="AV382" s="282">
        <f t="shared" si="138"/>
        <v>0</v>
      </c>
    </row>
    <row r="383" spans="2:48" s="257" customFormat="1" ht="15.75" customHeight="1">
      <c r="B383" s="1974" t="s">
        <v>805</v>
      </c>
      <c r="C383" s="295" t="s">
        <v>251</v>
      </c>
      <c r="D383" s="296">
        <f t="shared" ref="D383:AV383" si="139">SUM(D384:D389)</f>
        <v>0</v>
      </c>
      <c r="E383" s="297">
        <f t="shared" si="139"/>
        <v>0</v>
      </c>
      <c r="F383" s="296">
        <f t="shared" si="139"/>
        <v>0</v>
      </c>
      <c r="G383" s="296">
        <f t="shared" si="139"/>
        <v>0</v>
      </c>
      <c r="H383" s="298">
        <f t="shared" si="139"/>
        <v>0</v>
      </c>
      <c r="I383" s="297">
        <f t="shared" si="139"/>
        <v>0</v>
      </c>
      <c r="J383" s="296">
        <f t="shared" si="139"/>
        <v>0</v>
      </c>
      <c r="K383" s="296">
        <f t="shared" si="139"/>
        <v>0</v>
      </c>
      <c r="L383" s="298">
        <f t="shared" si="139"/>
        <v>0</v>
      </c>
      <c r="M383" s="297">
        <f t="shared" si="139"/>
        <v>0</v>
      </c>
      <c r="N383" s="296">
        <f t="shared" si="139"/>
        <v>0</v>
      </c>
      <c r="O383" s="296">
        <f t="shared" si="139"/>
        <v>0</v>
      </c>
      <c r="P383" s="298">
        <f t="shared" si="139"/>
        <v>0</v>
      </c>
      <c r="Q383" s="297">
        <f t="shared" si="139"/>
        <v>0</v>
      </c>
      <c r="R383" s="296">
        <f t="shared" si="139"/>
        <v>0</v>
      </c>
      <c r="S383" s="296">
        <f t="shared" si="139"/>
        <v>0</v>
      </c>
      <c r="T383" s="298">
        <f t="shared" si="139"/>
        <v>0</v>
      </c>
      <c r="U383" s="297">
        <f t="shared" si="139"/>
        <v>0</v>
      </c>
      <c r="V383" s="296">
        <f t="shared" si="139"/>
        <v>0</v>
      </c>
      <c r="W383" s="296">
        <f t="shared" si="139"/>
        <v>0</v>
      </c>
      <c r="X383" s="298">
        <f t="shared" si="139"/>
        <v>0</v>
      </c>
      <c r="Y383" s="297">
        <f t="shared" si="139"/>
        <v>0</v>
      </c>
      <c r="Z383" s="296">
        <f t="shared" si="139"/>
        <v>0</v>
      </c>
      <c r="AA383" s="296">
        <f t="shared" si="139"/>
        <v>0</v>
      </c>
      <c r="AB383" s="298">
        <f t="shared" si="139"/>
        <v>0</v>
      </c>
      <c r="AC383" s="297">
        <f t="shared" si="139"/>
        <v>0</v>
      </c>
      <c r="AD383" s="296">
        <f t="shared" si="139"/>
        <v>0</v>
      </c>
      <c r="AE383" s="296">
        <f t="shared" si="139"/>
        <v>0</v>
      </c>
      <c r="AF383" s="298">
        <f t="shared" si="139"/>
        <v>0</v>
      </c>
      <c r="AG383" s="297">
        <f t="shared" si="139"/>
        <v>0</v>
      </c>
      <c r="AH383" s="296">
        <f t="shared" si="139"/>
        <v>0</v>
      </c>
      <c r="AI383" s="296">
        <f t="shared" si="139"/>
        <v>0</v>
      </c>
      <c r="AJ383" s="298">
        <f t="shared" si="139"/>
        <v>0</v>
      </c>
      <c r="AK383" s="297">
        <f t="shared" si="139"/>
        <v>0</v>
      </c>
      <c r="AL383" s="296">
        <f t="shared" si="139"/>
        <v>0</v>
      </c>
      <c r="AM383" s="296">
        <f t="shared" si="139"/>
        <v>0</v>
      </c>
      <c r="AN383" s="298">
        <f t="shared" si="139"/>
        <v>0</v>
      </c>
      <c r="AO383" s="297">
        <f t="shared" si="139"/>
        <v>0</v>
      </c>
      <c r="AP383" s="296">
        <f t="shared" si="139"/>
        <v>0</v>
      </c>
      <c r="AQ383" s="296">
        <f t="shared" si="139"/>
        <v>0</v>
      </c>
      <c r="AR383" s="298">
        <f t="shared" si="139"/>
        <v>0</v>
      </c>
      <c r="AS383" s="297">
        <f t="shared" si="139"/>
        <v>0</v>
      </c>
      <c r="AT383" s="296">
        <f t="shared" si="139"/>
        <v>0</v>
      </c>
      <c r="AU383" s="296">
        <f t="shared" si="139"/>
        <v>0</v>
      </c>
      <c r="AV383" s="298">
        <f t="shared" si="139"/>
        <v>0</v>
      </c>
    </row>
    <row r="384" spans="2:48" s="256" customFormat="1" ht="15.75" customHeight="1">
      <c r="B384" s="1975"/>
      <c r="C384" s="273" t="s">
        <v>19</v>
      </c>
      <c r="D384" s="274">
        <f t="shared" ref="D384:D389" si="140">SUM(E384:AV384)</f>
        <v>0</v>
      </c>
      <c r="E384" s="275">
        <f>IFERROR(IF(VLOOKUP($B$383,'9.项目开发计划表'!$C$5:$AH$16,33,FALSE)=E$374&amp;"年"&amp;E$375,VLOOKUP($B$383,'8.项目规划指标表'!$B$5:$AD$15,7,FALSE)*D426/10000/1.11*0.11,0),0)</f>
        <v>0</v>
      </c>
      <c r="F384" s="276">
        <f>IFERROR(IF(VLOOKUP($B$383,'9.项目开发计划表'!$C$5:$AH$16,33,FALSE)=E$374&amp;"年"&amp;F$375,VLOOKUP($B$383,'8.项目规划指标表'!$B$5:$AD$15,7,FALSE)*D426/10000/1.11*0.11,0),0)</f>
        <v>0</v>
      </c>
      <c r="G384" s="276">
        <f>IFERROR(IF(VLOOKUP($B$383,'9.项目开发计划表'!$C$5:$AH$16,33,FALSE)=E$374&amp;"年"&amp;G$375,VLOOKUP($B$383,'8.项目规划指标表'!$B$5:$AD$15,7,FALSE)*D426/10000/1.11*0.11,0),0)</f>
        <v>0</v>
      </c>
      <c r="H384" s="277">
        <f>IFERROR(IF(VLOOKUP($B$383,'9.项目开发计划表'!$C$5:$AH$16,33,FALSE)=E$374&amp;"年"&amp;H$375,VLOOKUP($B$383,'8.项目规划指标表'!$B$5:$AD$15,7,FALSE)*D426/10000/1.11*0.11,0),0)</f>
        <v>0</v>
      </c>
      <c r="I384" s="275">
        <f>IFERROR(IF(VLOOKUP($B$383,'9.项目开发计划表'!$C$5:$AH$16,33,FALSE)=I$374&amp;"年"&amp;I$375,VLOOKUP($B$383,'8.项目规划指标表'!$B$5:$AD$15,7,FALSE)*D426/10000/1.11*0.11,0),0)</f>
        <v>0</v>
      </c>
      <c r="J384" s="276">
        <f>IFERROR(IF(VLOOKUP($B$383,'9.项目开发计划表'!$C$5:$AH$16,33,FALSE)=I$374&amp;"年"&amp;J$375,VLOOKUP($B$383,'8.项目规划指标表'!$B$5:$AD$15,7,FALSE)*D426/10000/1.11*0.11,0),0)</f>
        <v>0</v>
      </c>
      <c r="K384" s="276">
        <f>IFERROR(IF(VLOOKUP($B$383,'9.项目开发计划表'!$C$5:$AH$16,33,FALSE)=I$374&amp;"年"&amp;K$375,VLOOKUP($B$383,'8.项目规划指标表'!$B$5:$AD$15,7,FALSE)*D426/10000/1.11*0.11,0),0)</f>
        <v>0</v>
      </c>
      <c r="L384" s="277">
        <f>IFERROR(IF(VLOOKUP($B$383,'9.项目开发计划表'!$C$5:$AH$16,33,FALSE)=I$374&amp;"年"&amp;L$375,VLOOKUP($B$383,'8.项目规划指标表'!$B$5:$AD$15,7,FALSE)*D426/10000/1.11*0.11,0),0)</f>
        <v>0</v>
      </c>
      <c r="M384" s="275">
        <f>IFERROR(IF(VLOOKUP($B$383,'9.项目开发计划表'!$C$5:$AH$16,33,FALSE)=M$374&amp;"年"&amp;M$375,VLOOKUP($B$383,'8.项目规划指标表'!$B$5:$AD$15,7,FALSE)*D426/10000/1.11*0.11,0),0)</f>
        <v>0</v>
      </c>
      <c r="N384" s="276">
        <f>IFERROR(IF(VLOOKUP($B$383,'9.项目开发计划表'!$C$5:$AH$16,33,FALSE)=M$374&amp;"年"&amp;N$375,VLOOKUP($B$383,'8.项目规划指标表'!$B$5:$AD$15,7,FALSE)*D426/10000/1.11*0.11,0),0)</f>
        <v>0</v>
      </c>
      <c r="O384" s="276">
        <f>IFERROR(IF(VLOOKUP($B$383,'9.项目开发计划表'!$C$5:$AH$16,33,FALSE)=M$374&amp;"年"&amp;O$375,VLOOKUP($B$383,'8.项目规划指标表'!$B$5:$AD$15,7,FALSE)*D426/10000/1.11*0.11,0),0)</f>
        <v>0</v>
      </c>
      <c r="P384" s="277">
        <f>IFERROR(IF(VLOOKUP($B$383,'9.项目开发计划表'!$C$5:$AH$16,33,FALSE)=M$374&amp;"年"&amp;P$375,VLOOKUP($B$383,'8.项目规划指标表'!$B$5:$AD$15,7,FALSE)*D426/10000/1.11*0.11,0),0)</f>
        <v>0</v>
      </c>
      <c r="Q384" s="275">
        <f>IFERROR(IF(VLOOKUP($B$383,'9.项目开发计划表'!$C$5:$AH$16,33,FALSE)=Q$374&amp;"年"&amp;Q$375,VLOOKUP($B$383,'8.项目规划指标表'!$B$5:$AD$15,7,FALSE)*D426/10000/1.11*0.11,0),0)</f>
        <v>0</v>
      </c>
      <c r="R384" s="276">
        <f>IFERROR(IF(VLOOKUP($B$383,'9.项目开发计划表'!$C$5:$AH$16,33,FALSE)=Q$374&amp;"年"&amp;R$375,VLOOKUP($B$383,'8.项目规划指标表'!$B$5:$AD$15,7,FALSE)*D426/10000/1.11*0.11,0),0)</f>
        <v>0</v>
      </c>
      <c r="S384" s="276">
        <f>IFERROR(IF(VLOOKUP($B$383,'9.项目开发计划表'!$C$5:$AH$16,33,FALSE)=Q$374&amp;"年"&amp;S$375,VLOOKUP($B$383,'8.项目规划指标表'!$B$5:$AD$15,7,FALSE)*D426/10000/1.11*0.11,0),0)</f>
        <v>0</v>
      </c>
      <c r="T384" s="277">
        <f>IFERROR(IF(VLOOKUP($B$383,'9.项目开发计划表'!$C$5:$AH$16,33,FALSE)=Q$374&amp;"年"&amp;T$375,VLOOKUP($B$383,'8.项目规划指标表'!$B$5:$AD$15,7,FALSE)*D426/10000/1.11*0.11,0),0)</f>
        <v>0</v>
      </c>
      <c r="U384" s="275">
        <f>IFERROR(IF(VLOOKUP($B$383,'9.项目开发计划表'!$C$5:$AH$16,33,FALSE)=U$374&amp;"年"&amp;U$375,VLOOKUP($B$383,'8.项目规划指标表'!$B$5:$AD$15,7,FALSE)*D426/10000/1.11*0.11,0),0)</f>
        <v>0</v>
      </c>
      <c r="V384" s="276">
        <f>IFERROR(IF(VLOOKUP($B$383,'9.项目开发计划表'!$C$5:$AH$16,33,FALSE)=U$374&amp;"年"&amp;V$375,VLOOKUP($B$383,'8.项目规划指标表'!$B$5:$AD$15,7,FALSE)*D426/10000/1.11*0.11,0),0)</f>
        <v>0</v>
      </c>
      <c r="W384" s="276">
        <f>IFERROR(IF(VLOOKUP($B$383,'9.项目开发计划表'!$C$5:$AH$16,33,FALSE)=U$374&amp;"年"&amp;W$375,VLOOKUP($B$383,'8.项目规划指标表'!$B$5:$AD$15,7,FALSE)*D426/10000/1.11*0.11,0),0)</f>
        <v>0</v>
      </c>
      <c r="X384" s="277">
        <f>IFERROR(IF(VLOOKUP($B$383,'9.项目开发计划表'!$C$5:$AH$16,33,FALSE)=U$374&amp;"年"&amp;X$375,VLOOKUP($B$383,'8.项目规划指标表'!$B$5:$AD$15,7,FALSE)*D426/10000/1.11*0.11,0),0)</f>
        <v>0</v>
      </c>
      <c r="Y384" s="275">
        <f>IFERROR(IF(VLOOKUP($B$383,'9.项目开发计划表'!$C$5:$AH$16,33,FALSE)=Y$374&amp;"年"&amp;Y$375,VLOOKUP($B$383,'8.项目规划指标表'!$B$5:$AD$15,7,FALSE)*D426/10000/1.11*0.11,0),0)</f>
        <v>0</v>
      </c>
      <c r="Z384" s="276">
        <f>IFERROR(IF(VLOOKUP($B$383,'9.项目开发计划表'!$C$5:$AH$16,33,FALSE)=Y$374&amp;"年"&amp;Z$375,VLOOKUP($B$383,'8.项目规划指标表'!$B$5:$AD$15,7,FALSE)*D426/10000/1.11*0.11,0),0)</f>
        <v>0</v>
      </c>
      <c r="AA384" s="276">
        <f>IFERROR(IF(VLOOKUP($B$383,'9.项目开发计划表'!$C$5:$AH$16,33,FALSE)=Y$374&amp;"年"&amp;AA$375,VLOOKUP($B$383,'8.项目规划指标表'!$B$5:$AD$15,7,FALSE)*D426/10000/1.11*0.11,0),0)</f>
        <v>0</v>
      </c>
      <c r="AB384" s="277">
        <f>IFERROR(IF(VLOOKUP($B$383,'9.项目开发计划表'!$C$5:$AH$16,33,FALSE)=Y$374&amp;"年"&amp;AB$375,VLOOKUP($B$383,'8.项目规划指标表'!$B$5:$AD$15,7,FALSE)*D426/10000/1.11*0.11,0),0)</f>
        <v>0</v>
      </c>
      <c r="AC384" s="275">
        <f>IFERROR(IF(VLOOKUP($B$383,'9.项目开发计划表'!$C$5:$AH$16,33,FALSE)=AC$374&amp;"年"&amp;AC$375,VLOOKUP($B$383,'8.项目规划指标表'!$B$5:$AD$15,7,FALSE)*D426/10000/1.11*0.11,0),0)</f>
        <v>0</v>
      </c>
      <c r="AD384" s="276">
        <f>IFERROR(IF(VLOOKUP($B$383,'9.项目开发计划表'!$C$5:$AH$16,33,FALSE)=AC$374&amp;"年"&amp;AD$375,VLOOKUP($B$383,'8.项目规划指标表'!$B$5:$AD$15,7,FALSE)*D426/10000/1.11*0.11,0),0)</f>
        <v>0</v>
      </c>
      <c r="AE384" s="276">
        <f>IFERROR(IF(VLOOKUP($B$383,'9.项目开发计划表'!$C$5:$AH$16,33,FALSE)=AC$374&amp;"年"&amp;AE$375,VLOOKUP($B$383,'8.项目规划指标表'!$B$5:$AD$15,7,FALSE)*D426/10000/1.11*0.11,0),0)</f>
        <v>0</v>
      </c>
      <c r="AF384" s="277">
        <f>IFERROR(IF(VLOOKUP($B$383,'9.项目开发计划表'!$C$5:$AH$16,33,FALSE)=AC$374&amp;"年"&amp;AF$375,VLOOKUP($B$383,'8.项目规划指标表'!$B$5:$AD$15,7,FALSE)*D426/10000/1.11*0.11,0),0)</f>
        <v>0</v>
      </c>
      <c r="AG384" s="275">
        <f>IFERROR(IF(VLOOKUP($B$383,'9.项目开发计划表'!$C$5:$AH$16,33,FALSE)=AG$374&amp;"年"&amp;AG$375,VLOOKUP($B$383,'8.项目规划指标表'!$B$5:$AD$15,7,FALSE)*D426/10000/1.11*0.11,0),0)</f>
        <v>0</v>
      </c>
      <c r="AH384" s="276">
        <f>IFERROR(IF(VLOOKUP($B$383,'9.项目开发计划表'!$C$5:$AH$16,33,FALSE)=AG$374&amp;"年"&amp;AH$375,VLOOKUP($B$383,'8.项目规划指标表'!$B$5:$AD$15,7,FALSE)*D426/10000/1.11*0.11,0),0)</f>
        <v>0</v>
      </c>
      <c r="AI384" s="276">
        <f>IFERROR(IF(VLOOKUP($B$383,'9.项目开发计划表'!$C$5:$AH$16,33,FALSE)=AG$374&amp;"年"&amp;AI$375,VLOOKUP($B$383,'8.项目规划指标表'!$B$5:$AD$15,7,FALSE)*D426/10000/1.11*0.11,0),0)</f>
        <v>0</v>
      </c>
      <c r="AJ384" s="277">
        <f>IFERROR(IF(VLOOKUP($B$383,'9.项目开发计划表'!$C$5:$AH$16,33,FALSE)=AG$374&amp;"年"&amp;AJ$375,VLOOKUP($B$383,'8.项目规划指标表'!$B$5:$AD$15,7,FALSE)*D426/10000/1.11*0.11,0),0)</f>
        <v>0</v>
      </c>
      <c r="AK384" s="275">
        <f>IFERROR(IF(VLOOKUP($B$383,'9.项目开发计划表'!$C$5:$AH$16,33,FALSE)=AK$374&amp;"年"&amp;AK$375,VLOOKUP($B$383,'8.项目规划指标表'!$B$5:$AD$15,7,FALSE)*D426/10000/1.11*0.11,0),0)</f>
        <v>0</v>
      </c>
      <c r="AL384" s="276">
        <f>IFERROR(IF(VLOOKUP($B$383,'9.项目开发计划表'!$C$5:$AH$16,33,FALSE)=AK$374&amp;"年"&amp;AL$375,VLOOKUP($B$383,'8.项目规划指标表'!$B$5:$AD$15,7,FALSE)*D426/10000/1.11*0.11,0),0)</f>
        <v>0</v>
      </c>
      <c r="AM384" s="276">
        <f>IFERROR(IF(VLOOKUP($B$383,'9.项目开发计划表'!$C$5:$AH$16,33,FALSE)=AK$374&amp;"年"&amp;AM$375,VLOOKUP($B$383,'8.项目规划指标表'!$B$5:$AD$15,7,FALSE)*D426/10000/1.11*0.11,0),0)</f>
        <v>0</v>
      </c>
      <c r="AN384" s="277">
        <f>IFERROR(IF(VLOOKUP($B$383,'9.项目开发计划表'!$C$5:$AH$16,33,FALSE)=AK$374&amp;"年"&amp;AN$375,VLOOKUP($B$383,'8.项目规划指标表'!$B$5:$AD$15,7,FALSE)*D426/10000/1.11*0.11,0),0)</f>
        <v>0</v>
      </c>
      <c r="AO384" s="275">
        <f>IFERROR(IF(VLOOKUP($B$383,'9.项目开发计划表'!$C$5:$AH$16,33,FALSE)=AO$374&amp;"年"&amp;AO$375,VLOOKUP($B$383,'8.项目规划指标表'!$B$5:$AD$15,7,FALSE)*D426/10000/1.11*0.11,0),0)</f>
        <v>0</v>
      </c>
      <c r="AP384" s="276">
        <f>IFERROR(IF(VLOOKUP($B$383,'9.项目开发计划表'!$C$5:$AH$16,33,FALSE)=AO$374&amp;"年"&amp;AP$375,VLOOKUP($B$383,'8.项目规划指标表'!$B$5:$AD$15,7,FALSE)*D426/10000/1.11*0.11,0),0)</f>
        <v>0</v>
      </c>
      <c r="AQ384" s="276">
        <f>IFERROR(IF(VLOOKUP($B$383,'9.项目开发计划表'!$C$5:$AH$16,33,FALSE)=AO$374&amp;"年"&amp;AQ$375,VLOOKUP($B$383,'8.项目规划指标表'!$B$5:$AD$15,7,FALSE)*D426/10000/1.11*0.11,0),0)</f>
        <v>0</v>
      </c>
      <c r="AR384" s="277">
        <f>IFERROR(IF(VLOOKUP($B$383,'9.项目开发计划表'!$C$5:$AH$16,33,FALSE)=AO$374&amp;"年"&amp;AR$375,VLOOKUP($B$383,'8.项目规划指标表'!$B$5:$AD$15,7,FALSE)*D426/10000/1.11*0.11,0),0)</f>
        <v>0</v>
      </c>
      <c r="AS384" s="275">
        <f>IFERROR(IF(VLOOKUP($B$383,'9.项目开发计划表'!$C$5:$AH$16,33,FALSE)=AS$374&amp;"年"&amp;AS$375,VLOOKUP($B$383,'8.项目规划指标表'!$B$5:$AD$15,7,FALSE)*D426/10000/1.11*0.11,0),0)</f>
        <v>0</v>
      </c>
      <c r="AT384" s="276">
        <f>IFERROR(IF(VLOOKUP($B$383,'9.项目开发计划表'!$C$5:$AH$16,33,FALSE)=AS$374&amp;"年"&amp;AT$375,VLOOKUP($B$383,'8.项目规划指标表'!$B$5:$AD$15,7,FALSE)*D426/10000/1.11*0.11,0),0)</f>
        <v>0</v>
      </c>
      <c r="AU384" s="276">
        <f>IFERROR(IF(VLOOKUP($B$383,'9.项目开发计划表'!$C$5:$AH$16,33,FALSE)=AS$374&amp;"年"&amp;AU$375,VLOOKUP($B$383,'8.项目规划指标表'!$B$5:$AD$15,7,FALSE)*D426/10000/1.11*0.11,0),0)</f>
        <v>0</v>
      </c>
      <c r="AV384" s="277">
        <f>IFERROR(IF(VLOOKUP($B$383,'9.项目开发计划表'!$C$5:$AH$16,33,FALSE)=AS$374&amp;"年"&amp;AV$375,VLOOKUP($B$383,'8.项目规划指标表'!$B$5:$AD$15,7,FALSE)*D426/10000/1.11*0.11,0),0)</f>
        <v>0</v>
      </c>
    </row>
    <row r="385" spans="2:48" s="256" customFormat="1" ht="15.75" customHeight="1">
      <c r="B385" s="1975"/>
      <c r="C385" s="273" t="s">
        <v>20</v>
      </c>
      <c r="D385" s="274">
        <f t="shared" si="140"/>
        <v>0</v>
      </c>
      <c r="E385" s="275">
        <f>IFERROR(IF(VLOOKUP($B$383,'9.项目开发计划表'!$C$5:$AH$16,33,FALSE)=E$374&amp;"年"&amp;E$375,VLOOKUP($B$383,'8.项目规划指标表'!$B$5:$AD$15,11,FALSE)*D427/10000/1.11*0.11,0),0)</f>
        <v>0</v>
      </c>
      <c r="F385" s="276">
        <f>IFERROR(IF(VLOOKUP($B$383,'9.项目开发计划表'!$C$5:$AH$16,33,FALSE)=E$374&amp;"年"&amp;F$375,VLOOKUP($B$383,'8.项目规划指标表'!$B$5:$AD$15,11,FALSE)*D427/10000/1.11*0.11,0),0)</f>
        <v>0</v>
      </c>
      <c r="G385" s="276">
        <f>IFERROR(IF(VLOOKUP($B$383,'9.项目开发计划表'!$C$5:$AH$16,33,FALSE)=E$374&amp;"年"&amp;G$375,VLOOKUP($B$383,'8.项目规划指标表'!$B$5:$AD$15,11,FALSE)*D427/10000/1.11*0.11,0),0)</f>
        <v>0</v>
      </c>
      <c r="H385" s="277">
        <f>IFERROR(IF(VLOOKUP($B$383,'9.项目开发计划表'!$C$5:$AH$16,33,FALSE)=E$374&amp;"年"&amp;H$375,VLOOKUP($B$383,'8.项目规划指标表'!$B$5:$AD$15,11,FALSE)*D427/10000/1.11*0.11,0),0)</f>
        <v>0</v>
      </c>
      <c r="I385" s="275">
        <f>IFERROR(IF(VLOOKUP($B$383,'9.项目开发计划表'!$C$5:$AH$16,33,FALSE)=I$374&amp;"年"&amp;I$375,VLOOKUP($B$383,'8.项目规划指标表'!$B$5:$AD$15,11,FALSE)*D427/10000/1.11*0.11,0),0)</f>
        <v>0</v>
      </c>
      <c r="J385" s="276">
        <f>IFERROR(IF(VLOOKUP($B$383,'9.项目开发计划表'!$C$5:$AH$16,33,FALSE)=I$374&amp;"年"&amp;J$375,VLOOKUP($B$383,'8.项目规划指标表'!$B$5:$AD$15,11,FALSE)*D427/10000/1.11*0.11,0),0)</f>
        <v>0</v>
      </c>
      <c r="K385" s="276">
        <f>IFERROR(IF(VLOOKUP($B$383,'9.项目开发计划表'!$C$5:$AH$16,33,FALSE)=I$374&amp;"年"&amp;K$375,VLOOKUP($B$383,'8.项目规划指标表'!$B$5:$AD$15,11,FALSE)*D427/10000/1.11*0.11,0),0)</f>
        <v>0</v>
      </c>
      <c r="L385" s="277">
        <f>IFERROR(IF(VLOOKUP($B$383,'9.项目开发计划表'!$C$5:$AH$16,33,FALSE)=I$374&amp;"年"&amp;L$375,VLOOKUP($B$383,'8.项目规划指标表'!$B$5:$AD$15,11,FALSE)*D427/10000/1.11*0.11,0),0)</f>
        <v>0</v>
      </c>
      <c r="M385" s="275">
        <f>IFERROR(IF(VLOOKUP($B$383,'9.项目开发计划表'!$C$5:$AH$16,33,FALSE)=M$374&amp;"年"&amp;M$375,VLOOKUP($B$383,'8.项目规划指标表'!$B$5:$AD$15,11,FALSE)*D427/10000/1.11*0.11,0),0)</f>
        <v>0</v>
      </c>
      <c r="N385" s="276">
        <f>IFERROR(IF(VLOOKUP($B$383,'9.项目开发计划表'!$C$5:$AH$16,33,FALSE)=M$374&amp;"年"&amp;N$375,VLOOKUP($B$383,'8.项目规划指标表'!$B$5:$AD$15,11,FALSE)*D427/10000/1.11*0.11,0),0)</f>
        <v>0</v>
      </c>
      <c r="O385" s="276">
        <f>IFERROR(IF(VLOOKUP($B$383,'9.项目开发计划表'!$C$5:$AH$16,33,FALSE)=M$374&amp;"年"&amp;O$375,VLOOKUP($B$383,'8.项目规划指标表'!$B$5:$AD$15,11,FALSE)*D427/10000/1.11*0.11,0),0)</f>
        <v>0</v>
      </c>
      <c r="P385" s="277">
        <f>IFERROR(IF(VLOOKUP($B$383,'9.项目开发计划表'!$C$5:$AH$16,33,FALSE)=M$374&amp;"年"&amp;P$375,VLOOKUP($B$383,'8.项目规划指标表'!$B$5:$AD$15,11,FALSE)*D427/10000/1.11*0.11,0),0)</f>
        <v>0</v>
      </c>
      <c r="Q385" s="275">
        <f>IFERROR(IF(VLOOKUP($B$383,'9.项目开发计划表'!$C$5:$AH$16,33,FALSE)=Q$374&amp;"年"&amp;Q$375,VLOOKUP($B$383,'8.项目规划指标表'!$B$5:$AD$15,11,FALSE)*D427/10000/1.11*0.11,0),0)</f>
        <v>0</v>
      </c>
      <c r="R385" s="276">
        <f>IFERROR(IF(VLOOKUP($B$383,'9.项目开发计划表'!$C$5:$AH$16,33,FALSE)=Q$374&amp;"年"&amp;R$375,VLOOKUP($B$383,'8.项目规划指标表'!$B$5:$AD$15,11,FALSE)*D427/10000/1.11*0.11,0),0)</f>
        <v>0</v>
      </c>
      <c r="S385" s="276">
        <f>IFERROR(IF(VLOOKUP($B$383,'9.项目开发计划表'!$C$5:$AH$16,33,FALSE)=Q$374&amp;"年"&amp;S$375,VLOOKUP($B$383,'8.项目规划指标表'!$B$5:$AD$15,11,FALSE)*D427/10000/1.11*0.11,0),0)</f>
        <v>0</v>
      </c>
      <c r="T385" s="277">
        <f>IFERROR(IF(VLOOKUP($B$383,'9.项目开发计划表'!$C$5:$AH$16,33,FALSE)=Q$374&amp;"年"&amp;T$375,VLOOKUP($B$383,'8.项目规划指标表'!$B$5:$AD$15,11,FALSE)*D427/10000/1.11*0.11,0),0)</f>
        <v>0</v>
      </c>
      <c r="U385" s="275">
        <f>IFERROR(IF(VLOOKUP($B$383,'9.项目开发计划表'!$C$5:$AH$16,33,FALSE)=U$374&amp;"年"&amp;U$375,VLOOKUP($B$383,'8.项目规划指标表'!$B$5:$AD$15,11,FALSE)*D427/10000/1.11*0.11,0),0)</f>
        <v>0</v>
      </c>
      <c r="V385" s="276">
        <f>IFERROR(IF(VLOOKUP($B$383,'9.项目开发计划表'!$C$5:$AH$16,33,FALSE)=U$374&amp;"年"&amp;V$375,VLOOKUP($B$383,'8.项目规划指标表'!$B$5:$AD$15,11,FALSE)*D427/10000/1.11*0.11,0),0)</f>
        <v>0</v>
      </c>
      <c r="W385" s="276">
        <f>IFERROR(IF(VLOOKUP($B$383,'9.项目开发计划表'!$C$5:$AH$16,33,FALSE)=U$374&amp;"年"&amp;W$375,VLOOKUP($B$383,'8.项目规划指标表'!$B$5:$AD$15,11,FALSE)*D427/10000/1.11*0.11,0),0)</f>
        <v>0</v>
      </c>
      <c r="X385" s="277">
        <f>IFERROR(IF(VLOOKUP($B$383,'9.项目开发计划表'!$C$5:$AH$16,33,FALSE)=U$374&amp;"年"&amp;X$375,VLOOKUP($B$383,'8.项目规划指标表'!$B$5:$AD$15,11,FALSE)*D427/10000/1.11*0.11,0),0)</f>
        <v>0</v>
      </c>
      <c r="Y385" s="275">
        <f>IFERROR(IF(VLOOKUP($B$383,'9.项目开发计划表'!$C$5:$AH$16,33,FALSE)=Y$374&amp;"年"&amp;Y$375,VLOOKUP($B$383,'8.项目规划指标表'!$B$5:$AD$15,11,FALSE)*D427/10000/1.11*0.11,0),0)</f>
        <v>0</v>
      </c>
      <c r="Z385" s="276">
        <f>IFERROR(IF(VLOOKUP($B$383,'9.项目开发计划表'!$C$5:$AH$16,33,FALSE)=Y$374&amp;"年"&amp;Z$375,VLOOKUP($B$383,'8.项目规划指标表'!$B$5:$AD$15,11,FALSE)*D427/10000/1.11*0.11,0),0)</f>
        <v>0</v>
      </c>
      <c r="AA385" s="276">
        <f>IFERROR(IF(VLOOKUP($B$383,'9.项目开发计划表'!$C$5:$AH$16,33,FALSE)=Y$374&amp;"年"&amp;AA$375,VLOOKUP($B$383,'8.项目规划指标表'!$B$5:$AD$15,11,FALSE)*D427/10000/1.11*0.11,0),0)</f>
        <v>0</v>
      </c>
      <c r="AB385" s="277">
        <f>IFERROR(IF(VLOOKUP($B$383,'9.项目开发计划表'!$C$5:$AH$16,33,FALSE)=Y$374&amp;"年"&amp;AB$375,VLOOKUP($B$383,'8.项目规划指标表'!$B$5:$AD$15,11,FALSE)*D427/10000/1.11*0.11,0),0)</f>
        <v>0</v>
      </c>
      <c r="AC385" s="275">
        <f>IFERROR(IF(VLOOKUP($B$383,'9.项目开发计划表'!$C$5:$AH$16,33,FALSE)=AC$374&amp;"年"&amp;AC$375,VLOOKUP($B$383,'8.项目规划指标表'!$B$5:$AD$15,11,FALSE)*D427/10000/1.11*0.11,0),0)</f>
        <v>0</v>
      </c>
      <c r="AD385" s="276">
        <f>IFERROR(IF(VLOOKUP($B$383,'9.项目开发计划表'!$C$5:$AH$16,33,FALSE)=AC$374&amp;"年"&amp;AD$375,VLOOKUP($B$383,'8.项目规划指标表'!$B$5:$AD$15,11,FALSE)*D427/10000/1.11*0.11,0),0)</f>
        <v>0</v>
      </c>
      <c r="AE385" s="276">
        <f>IFERROR(IF(VLOOKUP($B$383,'9.项目开发计划表'!$C$5:$AH$16,33,FALSE)=AC$374&amp;"年"&amp;AE$375,VLOOKUP($B$383,'8.项目规划指标表'!$B$5:$AD$15,11,FALSE)*D427/10000/1.11*0.11,0),0)</f>
        <v>0</v>
      </c>
      <c r="AF385" s="277">
        <f>IFERROR(IF(VLOOKUP($B$383,'9.项目开发计划表'!$C$5:$AH$16,33,FALSE)=AC$374&amp;"年"&amp;AF$375,VLOOKUP($B$383,'8.项目规划指标表'!$B$5:$AD$15,11,FALSE)*D427/10000/1.11*0.11,0),0)</f>
        <v>0</v>
      </c>
      <c r="AG385" s="275">
        <f>IFERROR(IF(VLOOKUP($B$383,'9.项目开发计划表'!$C$5:$AH$16,33,FALSE)=AG$374&amp;"年"&amp;AG$375,VLOOKUP($B$383,'8.项目规划指标表'!$B$5:$AD$15,11,FALSE)*D427/10000/1.11*0.11,0),0)</f>
        <v>0</v>
      </c>
      <c r="AH385" s="276">
        <f>IFERROR(IF(VLOOKUP($B$383,'9.项目开发计划表'!$C$5:$AH$16,33,FALSE)=AG$374&amp;"年"&amp;AH$375,VLOOKUP($B$383,'8.项目规划指标表'!$B$5:$AD$15,11,FALSE)*D427/10000/1.11*0.11,0),0)</f>
        <v>0</v>
      </c>
      <c r="AI385" s="276">
        <f>IFERROR(IF(VLOOKUP($B$383,'9.项目开发计划表'!$C$5:$AH$16,33,FALSE)=AG$374&amp;"年"&amp;AI$375,VLOOKUP($B$383,'8.项目规划指标表'!$B$5:$AD$15,11,FALSE)*D427/10000/1.11*0.11,0),0)</f>
        <v>0</v>
      </c>
      <c r="AJ385" s="277">
        <f>IFERROR(IF(VLOOKUP($B$383,'9.项目开发计划表'!$C$5:$AH$16,33,FALSE)=AG$374&amp;"年"&amp;AJ$375,VLOOKUP($B$383,'8.项目规划指标表'!$B$5:$AD$15,11,FALSE)*D427/10000/1.11*0.11,0),0)</f>
        <v>0</v>
      </c>
      <c r="AK385" s="275">
        <f>IFERROR(IF(VLOOKUP($B$383,'9.项目开发计划表'!$C$5:$AH$16,33,FALSE)=AK$374&amp;"年"&amp;AK$375,VLOOKUP($B$383,'8.项目规划指标表'!$B$5:$AD$15,11,FALSE)*D427/10000/1.11*0.11,0),0)</f>
        <v>0</v>
      </c>
      <c r="AL385" s="276">
        <f>IFERROR(IF(VLOOKUP($B$383,'9.项目开发计划表'!$C$5:$AH$16,33,FALSE)=AK$374&amp;"年"&amp;AL$375,VLOOKUP($B$383,'8.项目规划指标表'!$B$5:$AD$15,11,FALSE)*D427/10000/1.11*0.11,0),0)</f>
        <v>0</v>
      </c>
      <c r="AM385" s="276">
        <f>IFERROR(IF(VLOOKUP($B$383,'9.项目开发计划表'!$C$5:$AH$16,33,FALSE)=AK$374&amp;"年"&amp;AM$375,VLOOKUP($B$383,'8.项目规划指标表'!$B$5:$AD$15,11,FALSE)*D427/10000/1.11*0.11,0),0)</f>
        <v>0</v>
      </c>
      <c r="AN385" s="277">
        <f>IFERROR(IF(VLOOKUP($B$383,'9.项目开发计划表'!$C$5:$AH$16,33,FALSE)=AK$374&amp;"年"&amp;AN$375,VLOOKUP($B$383,'8.项目规划指标表'!$B$5:$AD$15,11,FALSE)*D427/10000/1.11*0.11,0),0)</f>
        <v>0</v>
      </c>
      <c r="AO385" s="275">
        <f>IFERROR(IF(VLOOKUP($B$383,'9.项目开发计划表'!$C$5:$AH$16,33,FALSE)=AO$374&amp;"年"&amp;AO$375,VLOOKUP($B$383,'8.项目规划指标表'!$B$5:$AD$15,11,FALSE)*D427/10000/1.11*0.11,0),0)</f>
        <v>0</v>
      </c>
      <c r="AP385" s="276">
        <f>IFERROR(IF(VLOOKUP($B$383,'9.项目开发计划表'!$C$5:$AH$16,33,FALSE)=AO$374&amp;"年"&amp;AP$375,VLOOKUP($B$383,'8.项目规划指标表'!$B$5:$AD$15,11,FALSE)*D427/10000/1.11*0.11,0),0)</f>
        <v>0</v>
      </c>
      <c r="AQ385" s="276">
        <f>IFERROR(IF(VLOOKUP($B$383,'9.项目开发计划表'!$C$5:$AH$16,33,FALSE)=AO$374&amp;"年"&amp;AQ$375,VLOOKUP($B$383,'8.项目规划指标表'!$B$5:$AD$15,11,FALSE)*D427/10000/1.11*0.11,0),0)</f>
        <v>0</v>
      </c>
      <c r="AR385" s="277">
        <f>IFERROR(IF(VLOOKUP($B$383,'9.项目开发计划表'!$C$5:$AH$16,33,FALSE)=AO$374&amp;"年"&amp;AR$375,VLOOKUP($B$383,'8.项目规划指标表'!$B$5:$AD$15,11,FALSE)*D427/10000/1.11*0.11,0),0)</f>
        <v>0</v>
      </c>
      <c r="AS385" s="275">
        <f>IFERROR(IF(VLOOKUP($B$383,'9.项目开发计划表'!$C$5:$AH$16,33,FALSE)=AS$374&amp;"年"&amp;AS$375,VLOOKUP($B$383,'8.项目规划指标表'!$B$5:$AD$15,11,FALSE)*D427/10000/1.11*0.11,0),0)</f>
        <v>0</v>
      </c>
      <c r="AT385" s="276">
        <f>IFERROR(IF(VLOOKUP($B$383,'9.项目开发计划表'!$C$5:$AH$16,33,FALSE)=AS$374&amp;"年"&amp;AT$375,VLOOKUP($B$383,'8.项目规划指标表'!$B$5:$AD$15,11,FALSE)*D427/10000/1.11*0.11,0),0)</f>
        <v>0</v>
      </c>
      <c r="AU385" s="276">
        <f>IFERROR(IF(VLOOKUP($B$383,'9.项目开发计划表'!$C$5:$AH$16,33,FALSE)=AS$374&amp;"年"&amp;AU$375,VLOOKUP($B$383,'8.项目规划指标表'!$B$5:$AD$15,11,FALSE)*D427/10000/1.11*0.11,0),0)</f>
        <v>0</v>
      </c>
      <c r="AV385" s="277">
        <f>IFERROR(IF(VLOOKUP($B$383,'9.项目开发计划表'!$C$5:$AH$16,33,FALSE)=AS$374&amp;"年"&amp;AV$375,VLOOKUP($B$383,'8.项目规划指标表'!$B$5:$AD$15,11,FALSE)*D427/10000/1.11*0.11,0),0)</f>
        <v>0</v>
      </c>
    </row>
    <row r="386" spans="2:48" s="256" customFormat="1" ht="15.75" customHeight="1">
      <c r="B386" s="1975"/>
      <c r="C386" s="273" t="s">
        <v>21</v>
      </c>
      <c r="D386" s="274">
        <f t="shared" si="140"/>
        <v>0</v>
      </c>
      <c r="E386" s="275">
        <f>IFERROR(IF(VLOOKUP($B$383,'9.项目开发计划表'!$C$5:$AH$16,33,FALSE)=E$374&amp;"年"&amp;E$375,VLOOKUP($B$383,'8.项目规划指标表'!$B$5:$AD$15,15,FALSE)*D428/10000/1.11*0.11,0),0)</f>
        <v>0</v>
      </c>
      <c r="F386" s="276">
        <f>IFERROR(IF(VLOOKUP($B$383,'9.项目开发计划表'!$C$5:$AH$16,33,FALSE)=E$374&amp;"年"&amp;F$375,VLOOKUP($B$383,'8.项目规划指标表'!$B$5:$AD$15,15,FALSE)*D428/10000/1.11*0.11,0),0)</f>
        <v>0</v>
      </c>
      <c r="G386" s="276">
        <f>IFERROR(IF(VLOOKUP($B$383,'9.项目开发计划表'!$C$5:$AH$16,33,FALSE)=E$374&amp;"年"&amp;G$375,VLOOKUP($B$383,'8.项目规划指标表'!$B$5:$AD$15,15,FALSE)*D428/10000/1.11*0.11,0),0)</f>
        <v>0</v>
      </c>
      <c r="H386" s="277">
        <f>IFERROR(IF(VLOOKUP($B$383,'9.项目开发计划表'!$C$5:$AH$16,33,FALSE)=E$374&amp;"年"&amp;H$375,VLOOKUP($B$383,'8.项目规划指标表'!$B$5:$AD$15,15,FALSE)*D428/10000/1.11*0.11,0),0)</f>
        <v>0</v>
      </c>
      <c r="I386" s="275">
        <f>IFERROR(IF(VLOOKUP($B$383,'9.项目开发计划表'!$C$5:$AH$16,33,FALSE)=I$374&amp;"年"&amp;I$375,VLOOKUP($B$383,'8.项目规划指标表'!$B$5:$AD$15,15,FALSE)*D428/10000/1.11*0.11,0),0)</f>
        <v>0</v>
      </c>
      <c r="J386" s="276">
        <f>IFERROR(IF(VLOOKUP($B$383,'9.项目开发计划表'!$C$5:$AH$16,33,FALSE)=I$374&amp;"年"&amp;J$375,VLOOKUP($B$383,'8.项目规划指标表'!$B$5:$AD$15,15,FALSE)*D428/10000/1.11*0.11,0),0)</f>
        <v>0</v>
      </c>
      <c r="K386" s="276">
        <f>IFERROR(IF(VLOOKUP($B$383,'9.项目开发计划表'!$C$5:$AH$16,33,FALSE)=I$374&amp;"年"&amp;K$375,VLOOKUP($B$383,'8.项目规划指标表'!$B$5:$AD$15,15,FALSE)*D428/10000/1.11*0.11,0),0)</f>
        <v>0</v>
      </c>
      <c r="L386" s="277">
        <f>IFERROR(IF(VLOOKUP($B$383,'9.项目开发计划表'!$C$5:$AH$16,33,FALSE)=I$374&amp;"年"&amp;L$375,VLOOKUP($B$383,'8.项目规划指标表'!$B$5:$AD$15,15,FALSE)*D428/10000/1.11*0.11,0),0)</f>
        <v>0</v>
      </c>
      <c r="M386" s="275">
        <f>IFERROR(IF(VLOOKUP($B$383,'9.项目开发计划表'!$C$5:$AH$16,33,FALSE)=M$374&amp;"年"&amp;M$375,VLOOKUP($B$383,'8.项目规划指标表'!$B$5:$AD$15,15,FALSE)*D428/10000/1.11*0.11,0),0)</f>
        <v>0</v>
      </c>
      <c r="N386" s="276">
        <f>IFERROR(IF(VLOOKUP($B$383,'9.项目开发计划表'!$C$5:$AH$16,33,FALSE)=M$374&amp;"年"&amp;N$375,VLOOKUP($B$383,'8.项目规划指标表'!$B$5:$AD$15,15,FALSE)*D428/10000/1.11*0.11,0),0)</f>
        <v>0</v>
      </c>
      <c r="O386" s="276">
        <f>IFERROR(IF(VLOOKUP($B$383,'9.项目开发计划表'!$C$5:$AH$16,33,FALSE)=M$374&amp;"年"&amp;O$375,VLOOKUP($B$383,'8.项目规划指标表'!$B$5:$AD$15,15,FALSE)*D428/10000/1.11*0.11,0),0)</f>
        <v>0</v>
      </c>
      <c r="P386" s="277">
        <f>IFERROR(IF(VLOOKUP($B$383,'9.项目开发计划表'!$C$5:$AH$16,33,FALSE)=M$374&amp;"年"&amp;P$375,VLOOKUP($B$383,'8.项目规划指标表'!$B$5:$AD$15,15,FALSE)*D428/10000/1.11*0.11,0),0)</f>
        <v>0</v>
      </c>
      <c r="Q386" s="275">
        <f>IFERROR(IF(VLOOKUP($B$383,'9.项目开发计划表'!$C$5:$AH$16,33,FALSE)=Q$374&amp;"年"&amp;Q$375,VLOOKUP($B$383,'8.项目规划指标表'!$B$5:$AD$15,15,FALSE)*D428/10000/1.11*0.11,0),0)</f>
        <v>0</v>
      </c>
      <c r="R386" s="276">
        <f>IFERROR(IF(VLOOKUP($B$383,'9.项目开发计划表'!$C$5:$AH$16,33,FALSE)=Q$374&amp;"年"&amp;R$375,VLOOKUP($B$383,'8.项目规划指标表'!$B$5:$AD$15,15,FALSE)*D428/10000/1.11*0.11,0),0)</f>
        <v>0</v>
      </c>
      <c r="S386" s="276">
        <f>IFERROR(IF(VLOOKUP($B$383,'9.项目开发计划表'!$C$5:$AH$16,33,FALSE)=Q$374&amp;"年"&amp;S$375,VLOOKUP($B$383,'8.项目规划指标表'!$B$5:$AD$15,15,FALSE)*D428/10000/1.11*0.11,0),0)</f>
        <v>0</v>
      </c>
      <c r="T386" s="277">
        <f>IFERROR(IF(VLOOKUP($B$383,'9.项目开发计划表'!$C$5:$AH$16,33,FALSE)=Q$374&amp;"年"&amp;T$375,VLOOKUP($B$383,'8.项目规划指标表'!$B$5:$AD$15,15,FALSE)*D428/10000/1.11*0.11,0),0)</f>
        <v>0</v>
      </c>
      <c r="U386" s="275">
        <f>IFERROR(IF(VLOOKUP($B$383,'9.项目开发计划表'!$C$5:$AH$16,33,FALSE)=U$374&amp;"年"&amp;U$375,VLOOKUP($B$383,'8.项目规划指标表'!$B$5:$AD$15,15,FALSE)*D428/10000/1.11*0.11,0),0)</f>
        <v>0</v>
      </c>
      <c r="V386" s="276">
        <f>IFERROR(IF(VLOOKUP($B$383,'9.项目开发计划表'!$C$5:$AH$16,33,FALSE)=U$374&amp;"年"&amp;V$375,VLOOKUP($B$383,'8.项目规划指标表'!$B$5:$AD$15,15,FALSE)*D428/10000/1.11*0.11,0),0)</f>
        <v>0</v>
      </c>
      <c r="W386" s="276">
        <f>IFERROR(IF(VLOOKUP($B$383,'9.项目开发计划表'!$C$5:$AH$16,33,FALSE)=U$374&amp;"年"&amp;W$375,VLOOKUP($B$383,'8.项目规划指标表'!$B$5:$AD$15,15,FALSE)*D428/10000/1.11*0.11,0),0)</f>
        <v>0</v>
      </c>
      <c r="X386" s="277">
        <f>IFERROR(IF(VLOOKUP($B$383,'9.项目开发计划表'!$C$5:$AH$16,33,FALSE)=U$374&amp;"年"&amp;X$375,VLOOKUP($B$383,'8.项目规划指标表'!$B$5:$AD$15,15,FALSE)*D428/10000/1.11*0.11,0),0)</f>
        <v>0</v>
      </c>
      <c r="Y386" s="275">
        <f>IFERROR(IF(VLOOKUP($B$383,'9.项目开发计划表'!$C$5:$AH$16,33,FALSE)=Y$374&amp;"年"&amp;Y$375,VLOOKUP($B$383,'8.项目规划指标表'!$B$5:$AD$15,15,FALSE)*D428/10000/1.11*0.11,0),0)</f>
        <v>0</v>
      </c>
      <c r="Z386" s="276">
        <f>IFERROR(IF(VLOOKUP($B$383,'9.项目开发计划表'!$C$5:$AH$16,33,FALSE)=Y$374&amp;"年"&amp;Z$375,VLOOKUP($B$383,'8.项目规划指标表'!$B$5:$AD$15,15,FALSE)*D428/10000/1.11*0.11,0),0)</f>
        <v>0</v>
      </c>
      <c r="AA386" s="276">
        <f>IFERROR(IF(VLOOKUP($B$383,'9.项目开发计划表'!$C$5:$AH$16,33,FALSE)=Y$374&amp;"年"&amp;AA$375,VLOOKUP($B$383,'8.项目规划指标表'!$B$5:$AD$15,15,FALSE)*D428/10000/1.11*0.11,0),0)</f>
        <v>0</v>
      </c>
      <c r="AB386" s="277">
        <f>IFERROR(IF(VLOOKUP($B$383,'9.项目开发计划表'!$C$5:$AH$16,33,FALSE)=Y$374&amp;"年"&amp;AB$375,VLOOKUP($B$383,'8.项目规划指标表'!$B$5:$AD$15,15,FALSE)*D428/10000/1.11*0.11,0),0)</f>
        <v>0</v>
      </c>
      <c r="AC386" s="275">
        <f>IFERROR(IF(VLOOKUP($B$383,'9.项目开发计划表'!$C$5:$AH$16,33,FALSE)=AC$374&amp;"年"&amp;AC$375,VLOOKUP($B$383,'8.项目规划指标表'!$B$5:$AD$15,15,FALSE)*D428/10000/1.11*0.11,0),0)</f>
        <v>0</v>
      </c>
      <c r="AD386" s="276">
        <f>IFERROR(IF(VLOOKUP($B$383,'9.项目开发计划表'!$C$5:$AH$16,33,FALSE)=AC$374&amp;"年"&amp;AD$375,VLOOKUP($B$383,'8.项目规划指标表'!$B$5:$AD$15,15,FALSE)*D428/10000/1.11*0.11,0),0)</f>
        <v>0</v>
      </c>
      <c r="AE386" s="276">
        <f>IFERROR(IF(VLOOKUP($B$383,'9.项目开发计划表'!$C$5:$AH$16,33,FALSE)=AC$374&amp;"年"&amp;AE$375,VLOOKUP($B$383,'8.项目规划指标表'!$B$5:$AD$15,15,FALSE)*D428/10000/1.11*0.11,0),0)</f>
        <v>0</v>
      </c>
      <c r="AF386" s="277">
        <f>IFERROR(IF(VLOOKUP($B$383,'9.项目开发计划表'!$C$5:$AH$16,33,FALSE)=AC$374&amp;"年"&amp;AF$375,VLOOKUP($B$383,'8.项目规划指标表'!$B$5:$AD$15,15,FALSE)*D428/10000/1.11*0.11,0),0)</f>
        <v>0</v>
      </c>
      <c r="AG386" s="275">
        <f>IFERROR(IF(VLOOKUP($B$383,'9.项目开发计划表'!$C$5:$AH$16,33,FALSE)=AG$374&amp;"年"&amp;AG$375,VLOOKUP($B$383,'8.项目规划指标表'!$B$5:$AD$15,15,FALSE)*D428/10000/1.11*0.11,0),0)</f>
        <v>0</v>
      </c>
      <c r="AH386" s="276">
        <f>IFERROR(IF(VLOOKUP($B$383,'9.项目开发计划表'!$C$5:$AH$16,33,FALSE)=AG$374&amp;"年"&amp;AH$375,VLOOKUP($B$383,'8.项目规划指标表'!$B$5:$AD$15,15,FALSE)*D428/10000/1.11*0.11,0),0)</f>
        <v>0</v>
      </c>
      <c r="AI386" s="276">
        <f>IFERROR(IF(VLOOKUP($B$383,'9.项目开发计划表'!$C$5:$AH$16,33,FALSE)=AG$374&amp;"年"&amp;AI$375,VLOOKUP($B$383,'8.项目规划指标表'!$B$5:$AD$15,15,FALSE)*D428/10000/1.11*0.11,0),0)</f>
        <v>0</v>
      </c>
      <c r="AJ386" s="277">
        <f>IFERROR(IF(VLOOKUP($B$383,'9.项目开发计划表'!$C$5:$AH$16,33,FALSE)=AG$374&amp;"年"&amp;AJ$375,VLOOKUP($B$383,'8.项目规划指标表'!$B$5:$AD$15,15,FALSE)*D428/10000/1.11*0.11,0),0)</f>
        <v>0</v>
      </c>
      <c r="AK386" s="275">
        <f>IFERROR(IF(VLOOKUP($B$383,'9.项目开发计划表'!$C$5:$AH$16,33,FALSE)=AK$374&amp;"年"&amp;AK$375,VLOOKUP($B$383,'8.项目规划指标表'!$B$5:$AD$15,15,FALSE)*D428/10000/1.11*0.11,0),0)</f>
        <v>0</v>
      </c>
      <c r="AL386" s="276">
        <f>IFERROR(IF(VLOOKUP($B$383,'9.项目开发计划表'!$C$5:$AH$16,33,FALSE)=AK$374&amp;"年"&amp;AL$375,VLOOKUP($B$383,'8.项目规划指标表'!$B$5:$AD$15,15,FALSE)*D428/10000/1.11*0.11,0),0)</f>
        <v>0</v>
      </c>
      <c r="AM386" s="276">
        <f>IFERROR(IF(VLOOKUP($B$383,'9.项目开发计划表'!$C$5:$AH$16,33,FALSE)=AK$374&amp;"年"&amp;AM$375,VLOOKUP($B$383,'8.项目规划指标表'!$B$5:$AD$15,15,FALSE)*D428/10000/1.11*0.11,0),0)</f>
        <v>0</v>
      </c>
      <c r="AN386" s="277">
        <f>IFERROR(IF(VLOOKUP($B$383,'9.项目开发计划表'!$C$5:$AH$16,33,FALSE)=AK$374&amp;"年"&amp;AN$375,VLOOKUP($B$383,'8.项目规划指标表'!$B$5:$AD$15,15,FALSE)*D428/10000/1.11*0.11,0),0)</f>
        <v>0</v>
      </c>
      <c r="AO386" s="275">
        <f>IFERROR(IF(VLOOKUP($B$383,'9.项目开发计划表'!$C$5:$AH$16,33,FALSE)=AO$374&amp;"年"&amp;AO$375,VLOOKUP($B$383,'8.项目规划指标表'!$B$5:$AD$15,15,FALSE)*D428/10000/1.11*0.11,0),0)</f>
        <v>0</v>
      </c>
      <c r="AP386" s="276">
        <f>IFERROR(IF(VLOOKUP($B$383,'9.项目开发计划表'!$C$5:$AH$16,33,FALSE)=AO$374&amp;"年"&amp;AP$375,VLOOKUP($B$383,'8.项目规划指标表'!$B$5:$AD$15,15,FALSE)*D428/10000/1.11*0.11,0),0)</f>
        <v>0</v>
      </c>
      <c r="AQ386" s="276">
        <f>IFERROR(IF(VLOOKUP($B$383,'9.项目开发计划表'!$C$5:$AH$16,33,FALSE)=AO$374&amp;"年"&amp;AQ$375,VLOOKUP($B$383,'8.项目规划指标表'!$B$5:$AD$15,15,FALSE)*D428/10000/1.11*0.11,0),0)</f>
        <v>0</v>
      </c>
      <c r="AR386" s="277">
        <f>IFERROR(IF(VLOOKUP($B$383,'9.项目开发计划表'!$C$5:$AH$16,33,FALSE)=AO$374&amp;"年"&amp;AR$375,VLOOKUP($B$383,'8.项目规划指标表'!$B$5:$AD$15,15,FALSE)*D428/10000/1.11*0.11,0),0)</f>
        <v>0</v>
      </c>
      <c r="AS386" s="275">
        <f>IFERROR(IF(VLOOKUP($B$383,'9.项目开发计划表'!$C$5:$AH$16,33,FALSE)=AS$374&amp;"年"&amp;AS$375,VLOOKUP($B$383,'8.项目规划指标表'!$B$5:$AD$15,15,FALSE)*D428/10000/1.11*0.11,0),0)</f>
        <v>0</v>
      </c>
      <c r="AT386" s="276">
        <f>IFERROR(IF(VLOOKUP($B$383,'9.项目开发计划表'!$C$5:$AH$16,33,FALSE)=AS$374&amp;"年"&amp;AT$375,VLOOKUP($B$383,'8.项目规划指标表'!$B$5:$AD$15,15,FALSE)*D428/10000/1.11*0.11,0),0)</f>
        <v>0</v>
      </c>
      <c r="AU386" s="276">
        <f>IFERROR(IF(VLOOKUP($B$383,'9.项目开发计划表'!$C$5:$AH$16,33,FALSE)=AS$374&amp;"年"&amp;AU$375,VLOOKUP($B$383,'8.项目规划指标表'!$B$5:$AD$15,15,FALSE)*D428/10000/1.11*0.11,0),0)</f>
        <v>0</v>
      </c>
      <c r="AV386" s="277">
        <f>IFERROR(IF(VLOOKUP($B$383,'9.项目开发计划表'!$C$5:$AH$16,33,FALSE)=AS$374&amp;"年"&amp;AV$375,VLOOKUP($B$383,'8.项目规划指标表'!$B$5:$AD$15,15,FALSE)*D428/10000/1.11*0.11,0),0)</f>
        <v>0</v>
      </c>
    </row>
    <row r="387" spans="2:48" s="256" customFormat="1" ht="15.75" customHeight="1">
      <c r="B387" s="1975"/>
      <c r="C387" s="273" t="s">
        <v>22</v>
      </c>
      <c r="D387" s="274">
        <f t="shared" si="140"/>
        <v>0</v>
      </c>
      <c r="E387" s="275">
        <f>IFERROR(IF(VLOOKUP($B$383,'9.项目开发计划表'!$C$5:$AH$16,33,FALSE)=E$374&amp;"年"&amp;E$375,VLOOKUP($B$383,'8.项目规划指标表'!$B$5:$AD$15,19,FALSE)*D429/10000/1.11*0.11,0),0)</f>
        <v>0</v>
      </c>
      <c r="F387" s="276">
        <f>IFERROR(IF(VLOOKUP($B$383,'9.项目开发计划表'!$C$5:$AH$16,33,FALSE)=E$374&amp;"年"&amp;F$375,VLOOKUP($B$383,'8.项目规划指标表'!$B$5:$AD$15,19,FALSE)*D429/10000/1.11*0.11,0),0)</f>
        <v>0</v>
      </c>
      <c r="G387" s="276">
        <f>IFERROR(IF(VLOOKUP($B$383,'9.项目开发计划表'!$C$5:$AH$16,33,FALSE)=E$374&amp;"年"&amp;G$375,VLOOKUP($B$383,'8.项目规划指标表'!$B$5:$AD$15,19,FALSE)*D429/10000/1.11*0.11,0),0)</f>
        <v>0</v>
      </c>
      <c r="H387" s="277">
        <f>IFERROR(IF(VLOOKUP($B$383,'9.项目开发计划表'!$C$5:$AH$16,33,FALSE)=E$374&amp;"年"&amp;H$375,VLOOKUP($B$383,'8.项目规划指标表'!$B$5:$AD$15,19,FALSE)*D429/10000/1.11*0.11,0),0)</f>
        <v>0</v>
      </c>
      <c r="I387" s="275">
        <f>IFERROR(IF(VLOOKUP($B$383,'9.项目开发计划表'!$C$5:$AH$16,33,FALSE)=I$374&amp;"年"&amp;I$375,VLOOKUP($B$383,'8.项目规划指标表'!$B$5:$AD$15,19,FALSE)*D429/10000/1.11*0.11,0),0)</f>
        <v>0</v>
      </c>
      <c r="J387" s="276">
        <f>IFERROR(IF(VLOOKUP($B$383,'9.项目开发计划表'!$C$5:$AH$16,33,FALSE)=I$374&amp;"年"&amp;J$375,VLOOKUP($B$383,'8.项目规划指标表'!$B$5:$AD$15,19,FALSE)*D429/10000/1.11*0.11,0),0)</f>
        <v>0</v>
      </c>
      <c r="K387" s="276">
        <f>IFERROR(IF(VLOOKUP($B$383,'9.项目开发计划表'!$C$5:$AH$16,33,FALSE)=I$374&amp;"年"&amp;K$375,VLOOKUP($B$383,'8.项目规划指标表'!$B$5:$AD$15,19,FALSE)*D429/10000/1.11*0.11,0),0)</f>
        <v>0</v>
      </c>
      <c r="L387" s="277">
        <f>IFERROR(IF(VLOOKUP($B$383,'9.项目开发计划表'!$C$5:$AH$16,33,FALSE)=I$374&amp;"年"&amp;L$375,VLOOKUP($B$383,'8.项目规划指标表'!$B$5:$AD$15,19,FALSE)*D429/10000/1.11*0.11,0),0)</f>
        <v>0</v>
      </c>
      <c r="M387" s="275">
        <f>IFERROR(IF(VLOOKUP($B$383,'9.项目开发计划表'!$C$5:$AH$16,33,FALSE)=M$374&amp;"年"&amp;M$375,VLOOKUP($B$383,'8.项目规划指标表'!$B$5:$AD$15,19,FALSE)*D429/10000/1.11*0.11,0),0)</f>
        <v>0</v>
      </c>
      <c r="N387" s="276">
        <f>IFERROR(IF(VLOOKUP($B$383,'9.项目开发计划表'!$C$5:$AH$16,33,FALSE)=M$374&amp;"年"&amp;N$375,VLOOKUP($B$383,'8.项目规划指标表'!$B$5:$AD$15,19,FALSE)*D429/10000/1.11*0.11,0),0)</f>
        <v>0</v>
      </c>
      <c r="O387" s="276">
        <f>IFERROR(IF(VLOOKUP($B$383,'9.项目开发计划表'!$C$5:$AH$16,33,FALSE)=M$374&amp;"年"&amp;O$375,VLOOKUP($B$383,'8.项目规划指标表'!$B$5:$AD$15,19,FALSE)*D429/10000/1.11*0.11,0),0)</f>
        <v>0</v>
      </c>
      <c r="P387" s="277">
        <f>IFERROR(IF(VLOOKUP($B$383,'9.项目开发计划表'!$C$5:$AH$16,33,FALSE)=M$374&amp;"年"&amp;P$375,VLOOKUP($B$383,'8.项目规划指标表'!$B$5:$AD$15,19,FALSE)*D429/10000/1.11*0.11,0),0)</f>
        <v>0</v>
      </c>
      <c r="Q387" s="275">
        <f>IFERROR(IF(VLOOKUP($B$383,'9.项目开发计划表'!$C$5:$AH$16,33,FALSE)=Q$374&amp;"年"&amp;Q$375,VLOOKUP($B$383,'8.项目规划指标表'!$B$5:$AD$15,19,FALSE)*D429/10000/1.11*0.11,0),0)</f>
        <v>0</v>
      </c>
      <c r="R387" s="276">
        <f>IFERROR(IF(VLOOKUP($B$383,'9.项目开发计划表'!$C$5:$AH$16,33,FALSE)=Q$374&amp;"年"&amp;R$375,VLOOKUP($B$383,'8.项目规划指标表'!$B$5:$AD$15,19,FALSE)*D429/10000/1.11*0.11,0),0)</f>
        <v>0</v>
      </c>
      <c r="S387" s="276">
        <f>IFERROR(IF(VLOOKUP($B$383,'9.项目开发计划表'!$C$5:$AH$16,33,FALSE)=Q$374&amp;"年"&amp;S$375,VLOOKUP($B$383,'8.项目规划指标表'!$B$5:$AD$15,19,FALSE)*D429/10000/1.11*0.11,0),0)</f>
        <v>0</v>
      </c>
      <c r="T387" s="277">
        <f>IFERROR(IF(VLOOKUP($B$383,'9.项目开发计划表'!$C$5:$AH$16,33,FALSE)=Q$374&amp;"年"&amp;T$375,VLOOKUP($B$383,'8.项目规划指标表'!$B$5:$AD$15,19,FALSE)*D429/10000/1.11*0.11,0),0)</f>
        <v>0</v>
      </c>
      <c r="U387" s="275">
        <f>IFERROR(IF(VLOOKUP($B$383,'9.项目开发计划表'!$C$5:$AH$16,33,FALSE)=U$374&amp;"年"&amp;U$375,VLOOKUP($B$383,'8.项目规划指标表'!$B$5:$AD$15,19,FALSE)*D429/10000/1.11*0.11,0),0)</f>
        <v>0</v>
      </c>
      <c r="V387" s="276">
        <f>IFERROR(IF(VLOOKUP($B$383,'9.项目开发计划表'!$C$5:$AH$16,33,FALSE)=U$374&amp;"年"&amp;V$375,VLOOKUP($B$383,'8.项目规划指标表'!$B$5:$AD$15,19,FALSE)*D429/10000/1.11*0.11,0),0)</f>
        <v>0</v>
      </c>
      <c r="W387" s="276">
        <f>IFERROR(IF(VLOOKUP($B$383,'9.项目开发计划表'!$C$5:$AH$16,33,FALSE)=U$374&amp;"年"&amp;W$375,VLOOKUP($B$383,'8.项目规划指标表'!$B$5:$AD$15,19,FALSE)*D429/10000/1.11*0.11,0),0)</f>
        <v>0</v>
      </c>
      <c r="X387" s="277">
        <f>IFERROR(IF(VLOOKUP($B$383,'9.项目开发计划表'!$C$5:$AH$16,33,FALSE)=U$374&amp;"年"&amp;X$375,VLOOKUP($B$383,'8.项目规划指标表'!$B$5:$AD$15,19,FALSE)*D429/10000/1.11*0.11,0),0)</f>
        <v>0</v>
      </c>
      <c r="Y387" s="275">
        <f>IFERROR(IF(VLOOKUP($B$383,'9.项目开发计划表'!$C$5:$AH$16,33,FALSE)=Y$374&amp;"年"&amp;Y$375,VLOOKUP($B$383,'8.项目规划指标表'!$B$5:$AD$15,19,FALSE)*D429/10000/1.11*0.11,0),0)</f>
        <v>0</v>
      </c>
      <c r="Z387" s="276">
        <f>IFERROR(IF(VLOOKUP($B$383,'9.项目开发计划表'!$C$5:$AH$16,33,FALSE)=Y$374&amp;"年"&amp;Z$375,VLOOKUP($B$383,'8.项目规划指标表'!$B$5:$AD$15,19,FALSE)*D429/10000/1.11*0.11,0),0)</f>
        <v>0</v>
      </c>
      <c r="AA387" s="276">
        <f>IFERROR(IF(VLOOKUP($B$383,'9.项目开发计划表'!$C$5:$AH$16,33,FALSE)=Y$374&amp;"年"&amp;AA$375,VLOOKUP($B$383,'8.项目规划指标表'!$B$5:$AD$15,19,FALSE)*D429/10000/1.11*0.11,0),0)</f>
        <v>0</v>
      </c>
      <c r="AB387" s="277">
        <f>IFERROR(IF(VLOOKUP($B$383,'9.项目开发计划表'!$C$5:$AH$16,33,FALSE)=Y$374&amp;"年"&amp;AB$375,VLOOKUP($B$383,'8.项目规划指标表'!$B$5:$AD$15,19,FALSE)*D429/10000/1.11*0.11,0),0)</f>
        <v>0</v>
      </c>
      <c r="AC387" s="275">
        <f>IFERROR(IF(VLOOKUP($B$383,'9.项目开发计划表'!$C$5:$AH$16,33,FALSE)=AC$374&amp;"年"&amp;AC$375,VLOOKUP($B$383,'8.项目规划指标表'!$B$5:$AD$15,19,FALSE)*D429/10000/1.11*0.11,0),0)</f>
        <v>0</v>
      </c>
      <c r="AD387" s="276">
        <f>IFERROR(IF(VLOOKUP($B$383,'9.项目开发计划表'!$C$5:$AH$16,33,FALSE)=AC$374&amp;"年"&amp;AD$375,VLOOKUP($B$383,'8.项目规划指标表'!$B$5:$AD$15,19,FALSE)*D429/10000/1.11*0.11,0),0)</f>
        <v>0</v>
      </c>
      <c r="AE387" s="276">
        <f>IFERROR(IF(VLOOKUP($B$383,'9.项目开发计划表'!$C$5:$AH$16,33,FALSE)=AC$374&amp;"年"&amp;AE$375,VLOOKUP($B$383,'8.项目规划指标表'!$B$5:$AD$15,19,FALSE)*D429/10000/1.11*0.11,0),0)</f>
        <v>0</v>
      </c>
      <c r="AF387" s="277">
        <f>IFERROR(IF(VLOOKUP($B$383,'9.项目开发计划表'!$C$5:$AH$16,33,FALSE)=AC$374&amp;"年"&amp;AF$375,VLOOKUP($B$383,'8.项目规划指标表'!$B$5:$AD$15,19,FALSE)*D429/10000/1.11*0.11,0),0)</f>
        <v>0</v>
      </c>
      <c r="AG387" s="275">
        <f>IFERROR(IF(VLOOKUP($B$383,'9.项目开发计划表'!$C$5:$AH$16,33,FALSE)=AG$374&amp;"年"&amp;AG$375,VLOOKUP($B$383,'8.项目规划指标表'!$B$5:$AD$15,19,FALSE)*D429/10000/1.11*0.11,0),0)</f>
        <v>0</v>
      </c>
      <c r="AH387" s="276">
        <f>IFERROR(IF(VLOOKUP($B$383,'9.项目开发计划表'!$C$5:$AH$16,33,FALSE)=AG$374&amp;"年"&amp;AH$375,VLOOKUP($B$383,'8.项目规划指标表'!$B$5:$AD$15,19,FALSE)*D429/10000/1.11*0.11,0),0)</f>
        <v>0</v>
      </c>
      <c r="AI387" s="276">
        <f>IFERROR(IF(VLOOKUP($B$383,'9.项目开发计划表'!$C$5:$AH$16,33,FALSE)=AG$374&amp;"年"&amp;AI$375,VLOOKUP($B$383,'8.项目规划指标表'!$B$5:$AD$15,19,FALSE)*D429/10000/1.11*0.11,0),0)</f>
        <v>0</v>
      </c>
      <c r="AJ387" s="277">
        <f>IFERROR(IF(VLOOKUP($B$383,'9.项目开发计划表'!$C$5:$AH$16,33,FALSE)=AG$374&amp;"年"&amp;AJ$375,VLOOKUP($B$383,'8.项目规划指标表'!$B$5:$AD$15,19,FALSE)*D429/10000/1.11*0.11,0),0)</f>
        <v>0</v>
      </c>
      <c r="AK387" s="275">
        <f>IFERROR(IF(VLOOKUP($B$383,'9.项目开发计划表'!$C$5:$AH$16,33,FALSE)=AK$374&amp;"年"&amp;AK$375,VLOOKUP($B$383,'8.项目规划指标表'!$B$5:$AD$15,19,FALSE)*D429/10000/1.11*0.11,0),0)</f>
        <v>0</v>
      </c>
      <c r="AL387" s="276">
        <f>IFERROR(IF(VLOOKUP($B$383,'9.项目开发计划表'!$C$5:$AH$16,33,FALSE)=AK$374&amp;"年"&amp;AL$375,VLOOKUP($B$383,'8.项目规划指标表'!$B$5:$AD$15,19,FALSE)*D429/10000/1.11*0.11,0),0)</f>
        <v>0</v>
      </c>
      <c r="AM387" s="276">
        <f>IFERROR(IF(VLOOKUP($B$383,'9.项目开发计划表'!$C$5:$AH$16,33,FALSE)=AK$374&amp;"年"&amp;AM$375,VLOOKUP($B$383,'8.项目规划指标表'!$B$5:$AD$15,19,FALSE)*D429/10000/1.11*0.11,0),0)</f>
        <v>0</v>
      </c>
      <c r="AN387" s="277">
        <f>IFERROR(IF(VLOOKUP($B$383,'9.项目开发计划表'!$C$5:$AH$16,33,FALSE)=AK$374&amp;"年"&amp;AN$375,VLOOKUP($B$383,'8.项目规划指标表'!$B$5:$AD$15,19,FALSE)*D429/10000/1.11*0.11,0),0)</f>
        <v>0</v>
      </c>
      <c r="AO387" s="275">
        <f>IFERROR(IF(VLOOKUP($B$383,'9.项目开发计划表'!$C$5:$AH$16,33,FALSE)=AO$374&amp;"年"&amp;AO$375,VLOOKUP($B$383,'8.项目规划指标表'!$B$5:$AD$15,19,FALSE)*D429/10000/1.11*0.11,0),0)</f>
        <v>0</v>
      </c>
      <c r="AP387" s="276">
        <f>IFERROR(IF(VLOOKUP($B$383,'9.项目开发计划表'!$C$5:$AH$16,33,FALSE)=AO$374&amp;"年"&amp;AP$375,VLOOKUP($B$383,'8.项目规划指标表'!$B$5:$AD$15,19,FALSE)*D429/10000/1.11*0.11,0),0)</f>
        <v>0</v>
      </c>
      <c r="AQ387" s="276">
        <f>IFERROR(IF(VLOOKUP($B$383,'9.项目开发计划表'!$C$5:$AH$16,33,FALSE)=AO$374&amp;"年"&amp;AQ$375,VLOOKUP($B$383,'8.项目规划指标表'!$B$5:$AD$15,19,FALSE)*D429/10000/1.11*0.11,0),0)</f>
        <v>0</v>
      </c>
      <c r="AR387" s="277">
        <f>IFERROR(IF(VLOOKUP($B$383,'9.项目开发计划表'!$C$5:$AH$16,33,FALSE)=AO$374&amp;"年"&amp;AR$375,VLOOKUP($B$383,'8.项目规划指标表'!$B$5:$AD$15,19,FALSE)*D429/10000/1.11*0.11,0),0)</f>
        <v>0</v>
      </c>
      <c r="AS387" s="275">
        <f>IFERROR(IF(VLOOKUP($B$383,'9.项目开发计划表'!$C$5:$AH$16,33,FALSE)=AS$374&amp;"年"&amp;AS$375,VLOOKUP($B$383,'8.项目规划指标表'!$B$5:$AD$15,19,FALSE)*D429/10000/1.11*0.11,0),0)</f>
        <v>0</v>
      </c>
      <c r="AT387" s="276">
        <f>IFERROR(IF(VLOOKUP($B$383,'9.项目开发计划表'!$C$5:$AH$16,33,FALSE)=AS$374&amp;"年"&amp;AT$375,VLOOKUP($B$383,'8.项目规划指标表'!$B$5:$AD$15,19,FALSE)*D429/10000/1.11*0.11,0),0)</f>
        <v>0</v>
      </c>
      <c r="AU387" s="276">
        <f>IFERROR(IF(VLOOKUP($B$383,'9.项目开发计划表'!$C$5:$AH$16,33,FALSE)=AS$374&amp;"年"&amp;AU$375,VLOOKUP($B$383,'8.项目规划指标表'!$B$5:$AD$15,19,FALSE)*D429/10000/1.11*0.11,0),0)</f>
        <v>0</v>
      </c>
      <c r="AV387" s="277">
        <f>IFERROR(IF(VLOOKUP($B$383,'9.项目开发计划表'!$C$5:$AH$16,33,FALSE)=AS$374&amp;"年"&amp;AV$375,VLOOKUP($B$383,'8.项目规划指标表'!$B$5:$AD$15,19,FALSE)*D429/10000/1.11*0.11,0),0)</f>
        <v>0</v>
      </c>
    </row>
    <row r="388" spans="2:48" s="256" customFormat="1" ht="15.75" customHeight="1">
      <c r="B388" s="1975"/>
      <c r="C388" s="268" t="s">
        <v>23</v>
      </c>
      <c r="D388" s="331">
        <f t="shared" si="140"/>
        <v>0</v>
      </c>
      <c r="E388" s="324">
        <f>IFERROR(IF(VLOOKUP($B$383,'9.项目开发计划表'!$C$5:$AH$16,33,FALSE)=E$374&amp;"年"&amp;E$375,VLOOKUP($B$383,'8.项目规划指标表'!$B$5:$AD$15,23,FALSE)*D430/10000/1.11*0.11,0),0)</f>
        <v>0</v>
      </c>
      <c r="F388" s="325">
        <f>IFERROR(IF(VLOOKUP($B$383,'9.项目开发计划表'!$C$5:$AH$16,33,FALSE)=E$374&amp;"年"&amp;F$375,VLOOKUP($B$383,'8.项目规划指标表'!$B$5:$AD$15,23,FALSE)*D430/10000/1.11*0.11,0),0)</f>
        <v>0</v>
      </c>
      <c r="G388" s="325">
        <f>IFERROR(IF(VLOOKUP($B$383,'9.项目开发计划表'!$C$5:$AH$16,33,FALSE)=E$374&amp;"年"&amp;G$375,VLOOKUP($B$383,'8.项目规划指标表'!$B$5:$AD$15,23,FALSE)*D430/10000/1.11*0.11,0),0)</f>
        <v>0</v>
      </c>
      <c r="H388" s="326">
        <f>IFERROR(IF(VLOOKUP($B$383,'9.项目开发计划表'!$C$5:$AH$16,33,FALSE)=E$374&amp;"年"&amp;H$375,VLOOKUP($B$383,'8.项目规划指标表'!$B$5:$AD$15,23,FALSE)*D430/10000/1.11*0.11,0),0)</f>
        <v>0</v>
      </c>
      <c r="I388" s="324">
        <f>IFERROR(IF(VLOOKUP($B$383,'9.项目开发计划表'!$C$5:$AH$16,33,FALSE)=I$374&amp;"年"&amp;I$375,VLOOKUP($B$383,'8.项目规划指标表'!$B$5:$AD$15,23,FALSE)*D430/10000/1.11*0.11,0),0)</f>
        <v>0</v>
      </c>
      <c r="J388" s="325">
        <f>IFERROR(IF(VLOOKUP($B$383,'9.项目开发计划表'!$C$5:$AH$16,33,FALSE)=I$374&amp;"年"&amp;J$375,VLOOKUP($B$383,'8.项目规划指标表'!$B$5:$AD$15,23,FALSE)*D430/10000/1.11*0.11,0),0)</f>
        <v>0</v>
      </c>
      <c r="K388" s="325">
        <f>IFERROR(IF(VLOOKUP($B$383,'9.项目开发计划表'!$C$5:$AH$16,33,FALSE)=I$374&amp;"年"&amp;K$375,VLOOKUP($B$383,'8.项目规划指标表'!$B$5:$AD$15,23,FALSE)*D430/10000/1.11*0.11,0),0)</f>
        <v>0</v>
      </c>
      <c r="L388" s="326">
        <f>IFERROR(IF(VLOOKUP($B$383,'9.项目开发计划表'!$C$5:$AH$16,33,FALSE)=I$374&amp;"年"&amp;L$375,VLOOKUP($B$383,'8.项目规划指标表'!$B$5:$AD$15,23,FALSE)*D430/10000/1.11*0.11,0),0)</f>
        <v>0</v>
      </c>
      <c r="M388" s="324">
        <f>IFERROR(IF(VLOOKUP($B$383,'9.项目开发计划表'!$C$5:$AH$16,33,FALSE)=M$374&amp;"年"&amp;M$375,VLOOKUP($B$383,'8.项目规划指标表'!$B$5:$AD$15,23,FALSE)*D430/10000/1.11*0.11,0),0)</f>
        <v>0</v>
      </c>
      <c r="N388" s="325">
        <f>IFERROR(IF(VLOOKUP($B$383,'9.项目开发计划表'!$C$5:$AH$16,33,FALSE)=M$374&amp;"年"&amp;N$375,VLOOKUP($B$383,'8.项目规划指标表'!$B$5:$AD$15,23,FALSE)*D430/10000/1.11*0.11,0),0)</f>
        <v>0</v>
      </c>
      <c r="O388" s="325">
        <f>IFERROR(IF(VLOOKUP($B$383,'9.项目开发计划表'!$C$5:$AH$16,33,FALSE)=M$374&amp;"年"&amp;O$375,VLOOKUP($B$383,'8.项目规划指标表'!$B$5:$AD$15,23,FALSE)*D430/10000/1.11*0.11,0),0)</f>
        <v>0</v>
      </c>
      <c r="P388" s="326">
        <f>IFERROR(IF(VLOOKUP($B$383,'9.项目开发计划表'!$C$5:$AH$16,33,FALSE)=M$374&amp;"年"&amp;P$375,VLOOKUP($B$383,'8.项目规划指标表'!$B$5:$AD$15,23,FALSE)*D430/10000/1.11*0.11,0),0)</f>
        <v>0</v>
      </c>
      <c r="Q388" s="324">
        <f>IFERROR(IF(VLOOKUP($B$383,'9.项目开发计划表'!$C$5:$AH$16,33,FALSE)=Q$374&amp;"年"&amp;Q$375,VLOOKUP($B$383,'8.项目规划指标表'!$B$5:$AD$15,23,FALSE)*D430/10000/1.11*0.11,0),0)</f>
        <v>0</v>
      </c>
      <c r="R388" s="325">
        <f>IFERROR(IF(VLOOKUP($B$383,'9.项目开发计划表'!$C$5:$AH$16,33,FALSE)=Q$374&amp;"年"&amp;R$375,VLOOKUP($B$383,'8.项目规划指标表'!$B$5:$AD$15,23,FALSE)*D430/10000/1.11*0.11,0),0)</f>
        <v>0</v>
      </c>
      <c r="S388" s="325">
        <f>IFERROR(IF(VLOOKUP($B$383,'9.项目开发计划表'!$C$5:$AH$16,33,FALSE)=Q$374&amp;"年"&amp;S$375,VLOOKUP($B$383,'8.项目规划指标表'!$B$5:$AD$15,23,FALSE)*D430/10000/1.11*0.11,0),0)</f>
        <v>0</v>
      </c>
      <c r="T388" s="326">
        <f>IFERROR(IF(VLOOKUP($B$383,'9.项目开发计划表'!$C$5:$AH$16,33,FALSE)=Q$374&amp;"年"&amp;T$375,VLOOKUP($B$383,'8.项目规划指标表'!$B$5:$AD$15,23,FALSE)*D430/10000/1.11*0.11,0),0)</f>
        <v>0</v>
      </c>
      <c r="U388" s="324">
        <f>IFERROR(IF(VLOOKUP($B$383,'9.项目开发计划表'!$C$5:$AH$16,33,FALSE)=U$374&amp;"年"&amp;U$375,VLOOKUP($B$383,'8.项目规划指标表'!$B$5:$AD$15,23,FALSE)*D430/10000/1.11*0.11,0),0)</f>
        <v>0</v>
      </c>
      <c r="V388" s="325">
        <f>IFERROR(IF(VLOOKUP($B$383,'9.项目开发计划表'!$C$5:$AH$16,33,FALSE)=U$374&amp;"年"&amp;V$375,VLOOKUP($B$383,'8.项目规划指标表'!$B$5:$AD$15,23,FALSE)*D430/10000/1.11*0.11,0),0)</f>
        <v>0</v>
      </c>
      <c r="W388" s="325">
        <f>IFERROR(IF(VLOOKUP($B$383,'9.项目开发计划表'!$C$5:$AH$16,33,FALSE)=U$374&amp;"年"&amp;W$375,VLOOKUP($B$383,'8.项目规划指标表'!$B$5:$AD$15,23,FALSE)*D430/10000/1.11*0.11,0),0)</f>
        <v>0</v>
      </c>
      <c r="X388" s="326">
        <f>IFERROR(IF(VLOOKUP($B$383,'9.项目开发计划表'!$C$5:$AH$16,33,FALSE)=U$374&amp;"年"&amp;X$375,VLOOKUP($B$383,'8.项目规划指标表'!$B$5:$AD$15,23,FALSE)*D430/10000/1.11*0.11,0),0)</f>
        <v>0</v>
      </c>
      <c r="Y388" s="324">
        <f>IFERROR(IF(VLOOKUP($B$383,'9.项目开发计划表'!$C$5:$AH$16,33,FALSE)=Y$374&amp;"年"&amp;Y$375,VLOOKUP($B$383,'8.项目规划指标表'!$B$5:$AD$15,23,FALSE)*D430/10000/1.11*0.11,0),0)</f>
        <v>0</v>
      </c>
      <c r="Z388" s="325">
        <f>IFERROR(IF(VLOOKUP($B$383,'9.项目开发计划表'!$C$5:$AH$16,33,FALSE)=Y$374&amp;"年"&amp;Z$375,VLOOKUP($B$383,'8.项目规划指标表'!$B$5:$AD$15,23,FALSE)*D430/10000/1.11*0.11,0),0)</f>
        <v>0</v>
      </c>
      <c r="AA388" s="325">
        <f>IFERROR(IF(VLOOKUP($B$383,'9.项目开发计划表'!$C$5:$AH$16,33,FALSE)=Y$374&amp;"年"&amp;AA$375,VLOOKUP($B$383,'8.项目规划指标表'!$B$5:$AD$15,23,FALSE)*D430/10000/1.11*0.11,0),0)</f>
        <v>0</v>
      </c>
      <c r="AB388" s="326">
        <f>IFERROR(IF(VLOOKUP($B$383,'9.项目开发计划表'!$C$5:$AH$16,33,FALSE)=Y$374&amp;"年"&amp;AB$375,VLOOKUP($B$383,'8.项目规划指标表'!$B$5:$AD$15,23,FALSE)*D430/10000/1.11*0.11,0),0)</f>
        <v>0</v>
      </c>
      <c r="AC388" s="324">
        <f>IFERROR(IF(VLOOKUP($B$383,'9.项目开发计划表'!$C$5:$AH$16,33,FALSE)=AC$374&amp;"年"&amp;AC$375,VLOOKUP($B$383,'8.项目规划指标表'!$B$5:$AD$15,23,FALSE)*D430/10000/1.11*0.11,0),0)</f>
        <v>0</v>
      </c>
      <c r="AD388" s="325">
        <f>IFERROR(IF(VLOOKUP($B$383,'9.项目开发计划表'!$C$5:$AH$16,33,FALSE)=AC$374&amp;"年"&amp;AD$375,VLOOKUP($B$383,'8.项目规划指标表'!$B$5:$AD$15,23,FALSE)*D430/10000/1.11*0.11,0),0)</f>
        <v>0</v>
      </c>
      <c r="AE388" s="325">
        <f>IFERROR(IF(VLOOKUP($B$383,'9.项目开发计划表'!$C$5:$AH$16,33,FALSE)=AC$374&amp;"年"&amp;AE$375,VLOOKUP($B$383,'8.项目规划指标表'!$B$5:$AD$15,23,FALSE)*D430/10000/1.11*0.11,0),0)</f>
        <v>0</v>
      </c>
      <c r="AF388" s="326">
        <f>IFERROR(IF(VLOOKUP($B$383,'9.项目开发计划表'!$C$5:$AH$16,33,FALSE)=AC$374&amp;"年"&amp;AF$375,VLOOKUP($B$383,'8.项目规划指标表'!$B$5:$AD$15,23,FALSE)*D430/10000/1.11*0.11,0),0)</f>
        <v>0</v>
      </c>
      <c r="AG388" s="324">
        <f>IFERROR(IF(VLOOKUP($B$383,'9.项目开发计划表'!$C$5:$AH$16,33,FALSE)=AG$374&amp;"年"&amp;AG$375,VLOOKUP($B$383,'8.项目规划指标表'!$B$5:$AD$15,23,FALSE)*D430/10000/1.11*0.11,0),0)</f>
        <v>0</v>
      </c>
      <c r="AH388" s="325">
        <f>IFERROR(IF(VLOOKUP($B$383,'9.项目开发计划表'!$C$5:$AH$16,33,FALSE)=AG$374&amp;"年"&amp;AH$375,VLOOKUP($B$383,'8.项目规划指标表'!$B$5:$AD$15,23,FALSE)*D430/10000/1.11*0.11,0),0)</f>
        <v>0</v>
      </c>
      <c r="AI388" s="325">
        <f>IFERROR(IF(VLOOKUP($B$383,'9.项目开发计划表'!$C$5:$AH$16,33,FALSE)=AG$374&amp;"年"&amp;AI$375,VLOOKUP($B$383,'8.项目规划指标表'!$B$5:$AD$15,23,FALSE)*D430/10000/1.11*0.11,0),0)</f>
        <v>0</v>
      </c>
      <c r="AJ388" s="326">
        <f>IFERROR(IF(VLOOKUP($B$383,'9.项目开发计划表'!$C$5:$AH$16,33,FALSE)=AG$374&amp;"年"&amp;AJ$375,VLOOKUP($B$383,'8.项目规划指标表'!$B$5:$AD$15,23,FALSE)*D430/10000/1.11*0.11,0),0)</f>
        <v>0</v>
      </c>
      <c r="AK388" s="324">
        <f>IFERROR(IF(VLOOKUP($B$383,'9.项目开发计划表'!$C$5:$AH$16,33,FALSE)=AK$374&amp;"年"&amp;AK$375,VLOOKUP($B$383,'8.项目规划指标表'!$B$5:$AD$15,23,FALSE)*D430/10000/1.11*0.11,0),0)</f>
        <v>0</v>
      </c>
      <c r="AL388" s="325">
        <f>IFERROR(IF(VLOOKUP($B$383,'9.项目开发计划表'!$C$5:$AH$16,33,FALSE)=AK$374&amp;"年"&amp;AL$375,VLOOKUP($B$383,'8.项目规划指标表'!$B$5:$AD$15,23,FALSE)*D430/10000/1.11*0.11,0),0)</f>
        <v>0</v>
      </c>
      <c r="AM388" s="325">
        <f>IFERROR(IF(VLOOKUP($B$383,'9.项目开发计划表'!$C$5:$AH$16,33,FALSE)=AK$374&amp;"年"&amp;AM$375,VLOOKUP($B$383,'8.项目规划指标表'!$B$5:$AD$15,23,FALSE)*D430/10000/1.11*0.11,0),0)</f>
        <v>0</v>
      </c>
      <c r="AN388" s="326">
        <f>IFERROR(IF(VLOOKUP($B$383,'9.项目开发计划表'!$C$5:$AH$16,33,FALSE)=AK$374&amp;"年"&amp;AN$375,VLOOKUP($B$383,'8.项目规划指标表'!$B$5:$AD$15,23,FALSE)*D430/10000/1.11*0.11,0),0)</f>
        <v>0</v>
      </c>
      <c r="AO388" s="324">
        <f>IFERROR(IF(VLOOKUP($B$383,'9.项目开发计划表'!$C$5:$AH$16,33,FALSE)=AO$374&amp;"年"&amp;AO$375,VLOOKUP($B$383,'8.项目规划指标表'!$B$5:$AD$15,23,FALSE)*D430/10000/1.11*0.11,0),0)</f>
        <v>0</v>
      </c>
      <c r="AP388" s="325">
        <f>IFERROR(IF(VLOOKUP($B$383,'9.项目开发计划表'!$C$5:$AH$16,33,FALSE)=AO$374&amp;"年"&amp;AP$375,VLOOKUP($B$383,'8.项目规划指标表'!$B$5:$AD$15,23,FALSE)*D430/10000/1.11*0.11,0),0)</f>
        <v>0</v>
      </c>
      <c r="AQ388" s="325">
        <f>IFERROR(IF(VLOOKUP($B$383,'9.项目开发计划表'!$C$5:$AH$16,33,FALSE)=AO$374&amp;"年"&amp;AQ$375,VLOOKUP($B$383,'8.项目规划指标表'!$B$5:$AD$15,23,FALSE)*D430/10000/1.11*0.11,0),0)</f>
        <v>0</v>
      </c>
      <c r="AR388" s="326">
        <f>IFERROR(IF(VLOOKUP($B$383,'9.项目开发计划表'!$C$5:$AH$16,33,FALSE)=AO$374&amp;"年"&amp;AR$375,VLOOKUP($B$383,'8.项目规划指标表'!$B$5:$AD$15,23,FALSE)*D430/10000/1.11*0.11,0),0)</f>
        <v>0</v>
      </c>
      <c r="AS388" s="324">
        <f>IFERROR(IF(VLOOKUP($B$383,'9.项目开发计划表'!$C$5:$AH$16,33,FALSE)=AS$374&amp;"年"&amp;AS$375,VLOOKUP($B$383,'8.项目规划指标表'!$B$5:$AD$15,23,FALSE)*D430/10000/1.11*0.11,0),0)</f>
        <v>0</v>
      </c>
      <c r="AT388" s="325">
        <f>IFERROR(IF(VLOOKUP($B$383,'9.项目开发计划表'!$C$5:$AH$16,33,FALSE)=AS$374&amp;"年"&amp;AT$375,VLOOKUP($B$383,'8.项目规划指标表'!$B$5:$AD$15,23,FALSE)*D430/10000/1.11*0.11,0),0)</f>
        <v>0</v>
      </c>
      <c r="AU388" s="325">
        <f>IFERROR(IF(VLOOKUP($B$383,'9.项目开发计划表'!$C$5:$AH$16,33,FALSE)=AS$374&amp;"年"&amp;AU$375,VLOOKUP($B$383,'8.项目规划指标表'!$B$5:$AD$15,23,FALSE)*D430/10000/1.11*0.11,0),0)</f>
        <v>0</v>
      </c>
      <c r="AV388" s="326">
        <f>IFERROR(IF(VLOOKUP($B$383,'9.项目开发计划表'!$C$5:$AH$16,33,FALSE)=AS$374&amp;"年"&amp;AV$375,VLOOKUP($B$383,'8.项目规划指标表'!$B$5:$AD$15,23,FALSE)*D430/10000/1.11*0.11,0),0)</f>
        <v>0</v>
      </c>
    </row>
    <row r="389" spans="2:48" s="256" customFormat="1" ht="15.75" customHeight="1">
      <c r="B389" s="1976"/>
      <c r="C389" s="278" t="s">
        <v>24</v>
      </c>
      <c r="D389" s="279">
        <f t="shared" si="140"/>
        <v>0</v>
      </c>
      <c r="E389" s="324">
        <f>IFERROR(IF(VLOOKUP($B$383,'9.项目开发计划表'!$C$5:$AH$16,33,FALSE)=E$374&amp;"年"&amp;E$375,VLOOKUP($B$383,'8.项目规划指标表'!$B$5:$AD$15,27,FALSE)*D431/10000/1.11*0.11,0),0)</f>
        <v>0</v>
      </c>
      <c r="F389" s="281">
        <f>IFERROR(IF(VLOOKUP($B$383,'9.项目开发计划表'!$C$5:$AH$16,33,FALSE)=E$374&amp;"年"&amp;F$375,VLOOKUP($B$383,'8.项目规划指标表'!$B$5:$AD$15,27,FALSE)*D431/10000/1.11*0.11,0),0)</f>
        <v>0</v>
      </c>
      <c r="G389" s="281">
        <f>IFERROR(IF(VLOOKUP($B$383,'9.项目开发计划表'!$C$5:$AH$16,33,FALSE)=E$374&amp;"年"&amp;G$375,VLOOKUP($B$383,'8.项目规划指标表'!$B$5:$AD$15,27,FALSE)*D431/10000/1.11*0.11,0),0)</f>
        <v>0</v>
      </c>
      <c r="H389" s="282">
        <f>IFERROR(IF(VLOOKUP($B$383,'9.项目开发计划表'!$C$5:$AH$16,33,FALSE)=E$374&amp;"年"&amp;H$375,VLOOKUP($B$383,'8.项目规划指标表'!$B$5:$AD$15,27,FALSE)*D431/10000/1.11*0.11,0),0)</f>
        <v>0</v>
      </c>
      <c r="I389" s="280">
        <f>IFERROR(IF(VLOOKUP($B$383,'9.项目开发计划表'!$C$5:$AH$16,33,FALSE)=I$374&amp;"年"&amp;I$375,VLOOKUP($B$383,'8.项目规划指标表'!$B$5:$AD$15,27,FALSE)*D431/10000/1.11*0.11,0),0)</f>
        <v>0</v>
      </c>
      <c r="J389" s="281">
        <f>IFERROR(IF(VLOOKUP($B$383,'9.项目开发计划表'!$C$5:$AH$16,33,FALSE)=I$374&amp;"年"&amp;J$375,VLOOKUP($B$383,'8.项目规划指标表'!$B$5:$AD$15,27,FALSE)*D431/10000/1.11*0.11,0),0)</f>
        <v>0</v>
      </c>
      <c r="K389" s="281">
        <f>IFERROR(IF(VLOOKUP($B$383,'9.项目开发计划表'!$C$5:$AH$16,33,FALSE)=I$374&amp;"年"&amp;K$375,VLOOKUP($B$383,'8.项目规划指标表'!$B$5:$AD$15,27,FALSE)*D431/10000/1.11*0.11,0),0)</f>
        <v>0</v>
      </c>
      <c r="L389" s="282">
        <f>IFERROR(IF(VLOOKUP($B$383,'9.项目开发计划表'!$C$5:$AH$16,33,FALSE)=I$374&amp;"年"&amp;L$375,VLOOKUP($B$383,'8.项目规划指标表'!$B$5:$AD$15,27,FALSE)*D431/10000/1.11*0.11,0),0)</f>
        <v>0</v>
      </c>
      <c r="M389" s="280">
        <f>IFERROR(IF(VLOOKUP($B$383,'9.项目开发计划表'!$C$5:$AH$16,33,FALSE)=M$374&amp;"年"&amp;M$375,VLOOKUP($B$383,'8.项目规划指标表'!$B$5:$AD$15,27,FALSE)*D431/10000/1.11*0.11,0),0)</f>
        <v>0</v>
      </c>
      <c r="N389" s="281">
        <f>IFERROR(IF(VLOOKUP($B$383,'9.项目开发计划表'!$C$5:$AH$16,33,FALSE)=M$374&amp;"年"&amp;N$375,VLOOKUP($B$383,'8.项目规划指标表'!$B$5:$AD$15,27,FALSE)*D431/10000/1.11*0.11,0),0)</f>
        <v>0</v>
      </c>
      <c r="O389" s="281">
        <f>IFERROR(IF(VLOOKUP($B$383,'9.项目开发计划表'!$C$5:$AH$16,33,FALSE)=M$374&amp;"年"&amp;O$375,VLOOKUP($B$383,'8.项目规划指标表'!$B$5:$AD$15,27,FALSE)*D431/10000/1.11*0.11,0),0)</f>
        <v>0</v>
      </c>
      <c r="P389" s="282">
        <f>IFERROR(IF(VLOOKUP($B$383,'9.项目开发计划表'!$C$5:$AH$16,33,FALSE)=M$374&amp;"年"&amp;P$375,VLOOKUP($B$383,'8.项目规划指标表'!$B$5:$AD$15,27,FALSE)*D431/10000/1.11*0.11,0),0)</f>
        <v>0</v>
      </c>
      <c r="Q389" s="280">
        <f>IFERROR(IF(VLOOKUP($B$383,'9.项目开发计划表'!$C$5:$AH$16,33,FALSE)=Q$374&amp;"年"&amp;Q$375,VLOOKUP($B$383,'8.项目规划指标表'!$B$5:$AD$15,27,FALSE)*D431/10000/1.11*0.11,0),0)</f>
        <v>0</v>
      </c>
      <c r="R389" s="281">
        <f>IFERROR(IF(VLOOKUP($B$383,'9.项目开发计划表'!$C$5:$AH$16,33,FALSE)=Q$374&amp;"年"&amp;R$375,VLOOKUP($B$383,'8.项目规划指标表'!$B$5:$AD$15,27,FALSE)*D431/10000/1.11*0.11,0),0)</f>
        <v>0</v>
      </c>
      <c r="S389" s="281">
        <f>IFERROR(IF(VLOOKUP($B$383,'9.项目开发计划表'!$C$5:$AH$16,33,FALSE)=Q$374&amp;"年"&amp;S$375,VLOOKUP($B$383,'8.项目规划指标表'!$B$5:$AD$15,27,FALSE)*D431/10000/1.11*0.11,0),0)</f>
        <v>0</v>
      </c>
      <c r="T389" s="282">
        <f>IFERROR(IF(VLOOKUP($B$383,'9.项目开发计划表'!$C$5:$AH$16,33,FALSE)=Q$374&amp;"年"&amp;T$375,VLOOKUP($B$383,'8.项目规划指标表'!$B$5:$AD$15,27,FALSE)*D431/10000/1.11*0.11,0),0)</f>
        <v>0</v>
      </c>
      <c r="U389" s="280">
        <f>IFERROR(IF(VLOOKUP($B$383,'9.项目开发计划表'!$C$5:$AH$16,33,FALSE)=U$374&amp;"年"&amp;U$375,VLOOKUP($B$383,'8.项目规划指标表'!$B$5:$AD$15,27,FALSE)*D431/10000/1.11*0.11,0),0)</f>
        <v>0</v>
      </c>
      <c r="V389" s="281">
        <f>IFERROR(IF(VLOOKUP($B$383,'9.项目开发计划表'!$C$5:$AH$16,33,FALSE)=U$374&amp;"年"&amp;V$375,VLOOKUP($B$383,'8.项目规划指标表'!$B$5:$AD$15,27,FALSE)*D431/10000/1.11*0.11,0),0)</f>
        <v>0</v>
      </c>
      <c r="W389" s="281">
        <f>IFERROR(IF(VLOOKUP($B$383,'9.项目开发计划表'!$C$5:$AH$16,33,FALSE)=U$374&amp;"年"&amp;W$375,VLOOKUP($B$383,'8.项目规划指标表'!$B$5:$AD$15,27,FALSE)*D431/10000/1.11*0.11,0),0)</f>
        <v>0</v>
      </c>
      <c r="X389" s="282">
        <f>IFERROR(IF(VLOOKUP($B$383,'9.项目开发计划表'!$C$5:$AH$16,33,FALSE)=U$374&amp;"年"&amp;X$375,VLOOKUP($B$383,'8.项目规划指标表'!$B$5:$AD$15,27,FALSE)*D431/10000/1.11*0.11,0),0)</f>
        <v>0</v>
      </c>
      <c r="Y389" s="280">
        <f>IFERROR(IF(VLOOKUP($B$383,'9.项目开发计划表'!$C$5:$AH$16,33,FALSE)=Y$374&amp;"年"&amp;Y$375,VLOOKUP($B$383,'8.项目规划指标表'!$B$5:$AD$15,27,FALSE)*D431/10000/1.11*0.11,0),0)</f>
        <v>0</v>
      </c>
      <c r="Z389" s="281">
        <f>IFERROR(IF(VLOOKUP($B$383,'9.项目开发计划表'!$C$5:$AH$16,33,FALSE)=Y$374&amp;"年"&amp;Z$375,VLOOKUP($B$383,'8.项目规划指标表'!$B$5:$AD$15,27,FALSE)*D431/10000/1.11*0.11,0),0)</f>
        <v>0</v>
      </c>
      <c r="AA389" s="281">
        <f>IFERROR(IF(VLOOKUP($B$383,'9.项目开发计划表'!$C$5:$AH$16,33,FALSE)=Y$374&amp;"年"&amp;AA$375,VLOOKUP($B$383,'8.项目规划指标表'!$B$5:$AD$15,27,FALSE)*D431/10000/1.11*0.11,0),0)</f>
        <v>0</v>
      </c>
      <c r="AB389" s="282">
        <f>IFERROR(IF(VLOOKUP($B$383,'9.项目开发计划表'!$C$5:$AH$16,33,FALSE)=Y$374&amp;"年"&amp;AB$375,VLOOKUP($B$383,'8.项目规划指标表'!$B$5:$AD$15,27,FALSE)*D431/10000/1.11*0.11,0),0)</f>
        <v>0</v>
      </c>
      <c r="AC389" s="280">
        <f>IFERROR(IF(VLOOKUP($B$383,'9.项目开发计划表'!$C$5:$AH$16,33,FALSE)=AC$374&amp;"年"&amp;AC$375,VLOOKUP($B$383,'8.项目规划指标表'!$B$5:$AD$15,27,FALSE)*D431/10000/1.11*0.11,0),0)</f>
        <v>0</v>
      </c>
      <c r="AD389" s="281">
        <f>IFERROR(IF(VLOOKUP($B$383,'9.项目开发计划表'!$C$5:$AH$16,33,FALSE)=AC$374&amp;"年"&amp;AD$375,VLOOKUP($B$383,'8.项目规划指标表'!$B$5:$AD$15,27,FALSE)*D431/10000/1.11*0.11,0),0)</f>
        <v>0</v>
      </c>
      <c r="AE389" s="281">
        <f>IFERROR(IF(VLOOKUP($B$383,'9.项目开发计划表'!$C$5:$AH$16,33,FALSE)=AC$374&amp;"年"&amp;AE$375,VLOOKUP($B$383,'8.项目规划指标表'!$B$5:$AD$15,27,FALSE)*D431/10000/1.11*0.11,0),0)</f>
        <v>0</v>
      </c>
      <c r="AF389" s="282">
        <f>IFERROR(IF(VLOOKUP($B$383,'9.项目开发计划表'!$C$5:$AH$16,33,FALSE)=AC$374&amp;"年"&amp;AF$375,VLOOKUP($B$383,'8.项目规划指标表'!$B$5:$AD$15,27,FALSE)*D431/10000/1.11*0.11,0),0)</f>
        <v>0</v>
      </c>
      <c r="AG389" s="280">
        <f>IFERROR(IF(VLOOKUP($B$383,'9.项目开发计划表'!$C$5:$AH$16,33,FALSE)=AG$374&amp;"年"&amp;AG$375,VLOOKUP($B$383,'8.项目规划指标表'!$B$5:$AD$15,27,FALSE)*D431/10000/1.11*0.11,0),0)</f>
        <v>0</v>
      </c>
      <c r="AH389" s="281">
        <f>IFERROR(IF(VLOOKUP($B$383,'9.项目开发计划表'!$C$5:$AH$16,33,FALSE)=AG$374&amp;"年"&amp;AH$375,VLOOKUP($B$383,'8.项目规划指标表'!$B$5:$AD$15,27,FALSE)*D431/10000/1.11*0.11,0),0)</f>
        <v>0</v>
      </c>
      <c r="AI389" s="281">
        <f>IFERROR(IF(VLOOKUP($B$383,'9.项目开发计划表'!$C$5:$AH$16,33,FALSE)=AG$374&amp;"年"&amp;AI$375,VLOOKUP($B$383,'8.项目规划指标表'!$B$5:$AD$15,27,FALSE)*D431/10000/1.11*0.11,0),0)</f>
        <v>0</v>
      </c>
      <c r="AJ389" s="282">
        <f>IFERROR(IF(VLOOKUP($B$383,'9.项目开发计划表'!$C$5:$AH$16,33,FALSE)=AG$374&amp;"年"&amp;AJ$375,VLOOKUP($B$383,'8.项目规划指标表'!$B$5:$AD$15,27,FALSE)*D431/10000/1.11*0.11,0),0)</f>
        <v>0</v>
      </c>
      <c r="AK389" s="280">
        <f>IFERROR(IF(VLOOKUP($B$383,'9.项目开发计划表'!$C$5:$AH$16,33,FALSE)=AK$374&amp;"年"&amp;AK$375,VLOOKUP($B$383,'8.项目规划指标表'!$B$5:$AD$15,27,FALSE)*D431/10000/1.11*0.11,0),0)</f>
        <v>0</v>
      </c>
      <c r="AL389" s="281">
        <f>IFERROR(IF(VLOOKUP($B$383,'9.项目开发计划表'!$C$5:$AH$16,33,FALSE)=AK$374&amp;"年"&amp;AL$375,VLOOKUP($B$383,'8.项目规划指标表'!$B$5:$AD$15,27,FALSE)*D431/10000/1.11*0.11,0),0)</f>
        <v>0</v>
      </c>
      <c r="AM389" s="281">
        <f>IFERROR(IF(VLOOKUP($B$383,'9.项目开发计划表'!$C$5:$AH$16,33,FALSE)=AK$374&amp;"年"&amp;AM$375,VLOOKUP($B$383,'8.项目规划指标表'!$B$5:$AD$15,27,FALSE)*D431/10000/1.11*0.11,0),0)</f>
        <v>0</v>
      </c>
      <c r="AN389" s="282">
        <f>IFERROR(IF(VLOOKUP($B$383,'9.项目开发计划表'!$C$5:$AH$16,33,FALSE)=AK$374&amp;"年"&amp;AN$375,VLOOKUP($B$383,'8.项目规划指标表'!$B$5:$AD$15,27,FALSE)*D431/10000/1.11*0.11,0),0)</f>
        <v>0</v>
      </c>
      <c r="AO389" s="280">
        <f>IFERROR(IF(VLOOKUP($B$383,'9.项目开发计划表'!$C$5:$AH$16,33,FALSE)=AO$374&amp;"年"&amp;AO$375,VLOOKUP($B$383,'8.项目规划指标表'!$B$5:$AD$15,27,FALSE)*D431/10000/1.11*0.11,0),0)</f>
        <v>0</v>
      </c>
      <c r="AP389" s="281">
        <f>IFERROR(IF(VLOOKUP($B$383,'9.项目开发计划表'!$C$5:$AH$16,33,FALSE)=AO$374&amp;"年"&amp;AP$375,VLOOKUP($B$383,'8.项目规划指标表'!$B$5:$AD$15,27,FALSE)*D431/10000/1.11*0.11,0),0)</f>
        <v>0</v>
      </c>
      <c r="AQ389" s="281">
        <f>IFERROR(IF(VLOOKUP($B$383,'9.项目开发计划表'!$C$5:$AH$16,33,FALSE)=AO$374&amp;"年"&amp;AQ$375,VLOOKUP($B$383,'8.项目规划指标表'!$B$5:$AD$15,27,FALSE)*D431/10000/1.11*0.11,0),0)</f>
        <v>0</v>
      </c>
      <c r="AR389" s="282">
        <f>IFERROR(IF(VLOOKUP($B$383,'9.项目开发计划表'!$C$5:$AH$16,33,FALSE)=AO$374&amp;"年"&amp;AR$375,VLOOKUP($B$383,'8.项目规划指标表'!$B$5:$AD$15,27,FALSE)*D431/10000/1.11*0.11,0),0)</f>
        <v>0</v>
      </c>
      <c r="AS389" s="280">
        <f>IFERROR(IF(VLOOKUP($B$383,'9.项目开发计划表'!$C$5:$AH$16,33,FALSE)=AS$374&amp;"年"&amp;AS$375,VLOOKUP($B$383,'8.项目规划指标表'!$B$5:$AD$15,27,FALSE)*D431/10000/1.11*0.11,0),0)</f>
        <v>0</v>
      </c>
      <c r="AT389" s="281">
        <f>IFERROR(IF(VLOOKUP($B$383,'9.项目开发计划表'!$C$5:$AH$16,33,FALSE)=AS$374&amp;"年"&amp;AT$375,VLOOKUP($B$383,'8.项目规划指标表'!$B$5:$AD$15,27,FALSE)*D431/10000/1.11*0.11,0),0)</f>
        <v>0</v>
      </c>
      <c r="AU389" s="281">
        <f>IFERROR(IF(VLOOKUP($B$383,'9.项目开发计划表'!$C$5:$AH$16,33,FALSE)=AS$374&amp;"年"&amp;AU$375,VLOOKUP($B$383,'8.项目规划指标表'!$B$5:$AD$15,27,FALSE)*D431/10000/1.11*0.11,0),0)</f>
        <v>0</v>
      </c>
      <c r="AV389" s="282">
        <f>IFERROR(IF(VLOOKUP($B$383,'9.项目开发计划表'!$C$5:$AH$16,33,FALSE)=AS$374&amp;"年"&amp;AV$375,VLOOKUP($B$383,'8.项目规划指标表'!$B$5:$AD$15,27,FALSE)*D431/10000/1.11*0.11,0),0)</f>
        <v>0</v>
      </c>
    </row>
    <row r="390" spans="2:48" s="257" customFormat="1" ht="15.75" customHeight="1">
      <c r="B390" s="1974" t="s">
        <v>780</v>
      </c>
      <c r="C390" s="295" t="s">
        <v>251</v>
      </c>
      <c r="D390" s="296">
        <f t="shared" ref="D390:AV390" si="141">SUM(D391:D396)</f>
        <v>0</v>
      </c>
      <c r="E390" s="285">
        <f t="shared" si="141"/>
        <v>0</v>
      </c>
      <c r="F390" s="296">
        <f t="shared" si="141"/>
        <v>0</v>
      </c>
      <c r="G390" s="296">
        <f t="shared" si="141"/>
        <v>0</v>
      </c>
      <c r="H390" s="298">
        <f t="shared" si="141"/>
        <v>0</v>
      </c>
      <c r="I390" s="297">
        <f t="shared" si="141"/>
        <v>0</v>
      </c>
      <c r="J390" s="296">
        <f t="shared" si="141"/>
        <v>0</v>
      </c>
      <c r="K390" s="296">
        <f t="shared" si="141"/>
        <v>0</v>
      </c>
      <c r="L390" s="298">
        <f t="shared" si="141"/>
        <v>0</v>
      </c>
      <c r="M390" s="297">
        <f t="shared" si="141"/>
        <v>0</v>
      </c>
      <c r="N390" s="296">
        <f t="shared" si="141"/>
        <v>0</v>
      </c>
      <c r="O390" s="296">
        <f t="shared" si="141"/>
        <v>0</v>
      </c>
      <c r="P390" s="298">
        <f t="shared" si="141"/>
        <v>0</v>
      </c>
      <c r="Q390" s="297">
        <f t="shared" si="141"/>
        <v>0</v>
      </c>
      <c r="R390" s="296">
        <f t="shared" si="141"/>
        <v>0</v>
      </c>
      <c r="S390" s="296">
        <f t="shared" si="141"/>
        <v>0</v>
      </c>
      <c r="T390" s="298">
        <f t="shared" si="141"/>
        <v>0</v>
      </c>
      <c r="U390" s="297">
        <f t="shared" si="141"/>
        <v>0</v>
      </c>
      <c r="V390" s="296">
        <f t="shared" si="141"/>
        <v>0</v>
      </c>
      <c r="W390" s="296">
        <f t="shared" si="141"/>
        <v>0</v>
      </c>
      <c r="X390" s="298">
        <f t="shared" si="141"/>
        <v>0</v>
      </c>
      <c r="Y390" s="297">
        <f t="shared" si="141"/>
        <v>0</v>
      </c>
      <c r="Z390" s="296">
        <f t="shared" si="141"/>
        <v>0</v>
      </c>
      <c r="AA390" s="296">
        <f t="shared" si="141"/>
        <v>0</v>
      </c>
      <c r="AB390" s="298">
        <f t="shared" si="141"/>
        <v>0</v>
      </c>
      <c r="AC390" s="297">
        <f t="shared" si="141"/>
        <v>0</v>
      </c>
      <c r="AD390" s="296">
        <f t="shared" si="141"/>
        <v>0</v>
      </c>
      <c r="AE390" s="296">
        <f t="shared" si="141"/>
        <v>0</v>
      </c>
      <c r="AF390" s="298">
        <f t="shared" si="141"/>
        <v>0</v>
      </c>
      <c r="AG390" s="297">
        <f t="shared" si="141"/>
        <v>0</v>
      </c>
      <c r="AH390" s="296">
        <f t="shared" si="141"/>
        <v>0</v>
      </c>
      <c r="AI390" s="296">
        <f t="shared" si="141"/>
        <v>0</v>
      </c>
      <c r="AJ390" s="298">
        <f t="shared" si="141"/>
        <v>0</v>
      </c>
      <c r="AK390" s="297">
        <f t="shared" si="141"/>
        <v>0</v>
      </c>
      <c r="AL390" s="296">
        <f t="shared" si="141"/>
        <v>0</v>
      </c>
      <c r="AM390" s="296">
        <f t="shared" si="141"/>
        <v>0</v>
      </c>
      <c r="AN390" s="298">
        <f t="shared" si="141"/>
        <v>0</v>
      </c>
      <c r="AO390" s="297">
        <f t="shared" si="141"/>
        <v>0</v>
      </c>
      <c r="AP390" s="296">
        <f t="shared" si="141"/>
        <v>0</v>
      </c>
      <c r="AQ390" s="296">
        <f t="shared" si="141"/>
        <v>0</v>
      </c>
      <c r="AR390" s="298">
        <f t="shared" si="141"/>
        <v>0</v>
      </c>
      <c r="AS390" s="297">
        <f t="shared" si="141"/>
        <v>0</v>
      </c>
      <c r="AT390" s="296">
        <f t="shared" si="141"/>
        <v>0</v>
      </c>
      <c r="AU390" s="296">
        <f t="shared" si="141"/>
        <v>0</v>
      </c>
      <c r="AV390" s="298">
        <f t="shared" si="141"/>
        <v>0</v>
      </c>
    </row>
    <row r="391" spans="2:48" s="256" customFormat="1" ht="15.75" customHeight="1">
      <c r="B391" s="1975"/>
      <c r="C391" s="273" t="s">
        <v>19</v>
      </c>
      <c r="D391" s="274">
        <f>SUM(E391:AV391)</f>
        <v>0</v>
      </c>
      <c r="E391" s="275">
        <f>IFERROR(IF(VLOOKUP($B$390,'9.项目开发计划表'!$C$5:$AH$16,33,FALSE)=E$374&amp;"年"&amp;E$375,VLOOKUP($B$390,'8.项目规划指标表'!$B$5:$AD$15,7,FALSE)*E426/10000/1.11*0.11,0),0)</f>
        <v>0</v>
      </c>
      <c r="F391" s="276">
        <f>IFERROR(IF(VLOOKUP($B$390,'9.项目开发计划表'!$C$5:$AH$16,33,FALSE)=E$374&amp;"年"&amp;F$375,VLOOKUP($B$390,'8.项目规划指标表'!$B$5:$AD$15,7,FALSE)*E426/10000/1.11*0.11,0),0)</f>
        <v>0</v>
      </c>
      <c r="G391" s="276">
        <f>IFERROR(IF(VLOOKUP($B$390,'9.项目开发计划表'!$C$5:$AH$16,33,FALSE)=E$374&amp;"年"&amp;G$375,VLOOKUP($B$390,'8.项目规划指标表'!$B$5:$AD$15,7,FALSE)*E426/10000/1.11*0.11,0),0)</f>
        <v>0</v>
      </c>
      <c r="H391" s="277">
        <f>IFERROR(IF(VLOOKUP($B$390,'9.项目开发计划表'!$C$5:$AH$16,33,FALSE)=E$374&amp;"年"&amp;H$375,VLOOKUP($B$390,'8.项目规划指标表'!$B$5:$AD$15,7,FALSE)*E426/10000/1.11*0.11,0),0)</f>
        <v>0</v>
      </c>
      <c r="I391" s="275">
        <f>IFERROR(IF(VLOOKUP($B$390,'9.项目开发计划表'!$C$5:$AH$16,33,FALSE)=I$374&amp;"年"&amp;I$375,VLOOKUP($B$390,'8.项目规划指标表'!$B$5:$AD$15,7,FALSE)*E426/10000/1.11*0.11,0),0)</f>
        <v>0</v>
      </c>
      <c r="J391" s="276">
        <f>IFERROR(IF(VLOOKUP($B$390,'9.项目开发计划表'!$C$5:$AH$16,33,FALSE)=I$374&amp;"年"&amp;J$375,VLOOKUP($B$390,'8.项目规划指标表'!$B$5:$AD$15,7,FALSE)*E426/10000/1.11*0.11,0),0)</f>
        <v>0</v>
      </c>
      <c r="K391" s="276">
        <f>IFERROR(IF(VLOOKUP($B$390,'9.项目开发计划表'!$C$5:$AH$16,33,FALSE)=I$374&amp;"年"&amp;K$375,VLOOKUP($B$390,'8.项目规划指标表'!$B$5:$AD$15,7,FALSE)*E426/10000/1.11*0.11,0),0)</f>
        <v>0</v>
      </c>
      <c r="L391" s="277">
        <f>IFERROR(IF(VLOOKUP($B$390,'9.项目开发计划表'!$C$5:$AH$16,33,FALSE)=I$374&amp;"年"&amp;L$375,VLOOKUP($B$390,'8.项目规划指标表'!$B$5:$AD$15,7,FALSE)*E426/10000/1.11*0.11,0),0)</f>
        <v>0</v>
      </c>
      <c r="M391" s="275">
        <f>IFERROR(IF(VLOOKUP($B$390,'9.项目开发计划表'!$C$5:$AH$16,33,FALSE)=M$374&amp;"年"&amp;M$375,VLOOKUP($B$390,'8.项目规划指标表'!$B$5:$AD$15,7,FALSE)*E426/10000/1.11*0.11,0),0)</f>
        <v>0</v>
      </c>
      <c r="N391" s="276">
        <f>IFERROR(IF(VLOOKUP($B$390,'9.项目开发计划表'!$C$5:$AH$16,33,FALSE)=M$374&amp;"年"&amp;N$375,VLOOKUP($B$390,'8.项目规划指标表'!$B$5:$AD$15,7,FALSE)*E426/10000/1.11*0.11,0),0)</f>
        <v>0</v>
      </c>
      <c r="O391" s="276">
        <f>IFERROR(IF(VLOOKUP($B$390,'9.项目开发计划表'!$C$5:$AH$16,33,FALSE)=M$374&amp;"年"&amp;O$375,VLOOKUP($B$390,'8.项目规划指标表'!$B$5:$AD$15,7,FALSE)*E426/10000/1.11*0.11,0),0)</f>
        <v>0</v>
      </c>
      <c r="P391" s="277">
        <f>IFERROR(IF(VLOOKUP($B$390,'9.项目开发计划表'!$C$5:$AH$16,33,FALSE)=M$374&amp;"年"&amp;P$375,VLOOKUP($B$390,'8.项目规划指标表'!$B$5:$AD$15,7,FALSE)*E426/10000/1.11*0.11,0),0)</f>
        <v>0</v>
      </c>
      <c r="Q391" s="275">
        <f>IFERROR(IF(VLOOKUP($B$390,'9.项目开发计划表'!$C$5:$AH$16,33,FALSE)=Q$374&amp;"年"&amp;Q$375,VLOOKUP($B$390,'8.项目规划指标表'!$B$5:$AD$15,7,FALSE)*E426/10000/1.11*0.11,0),0)</f>
        <v>0</v>
      </c>
      <c r="R391" s="276">
        <f>IFERROR(IF(VLOOKUP($B$390,'9.项目开发计划表'!$C$5:$AH$16,33,FALSE)=Q$374&amp;"年"&amp;R$375,VLOOKUP($B$390,'8.项目规划指标表'!$B$5:$AD$15,7,FALSE)*E426/10000/1.11*0.11,0),0)</f>
        <v>0</v>
      </c>
      <c r="S391" s="276">
        <f>IFERROR(IF(VLOOKUP($B$390,'9.项目开发计划表'!$C$5:$AH$16,33,FALSE)=Q$374&amp;"年"&amp;S$375,VLOOKUP($B$390,'8.项目规划指标表'!$B$5:$AD$15,7,FALSE)*E426/10000/1.11*0.11,0),0)</f>
        <v>0</v>
      </c>
      <c r="T391" s="277">
        <f>IFERROR(IF(VLOOKUP($B$390,'9.项目开发计划表'!$C$5:$AH$16,33,FALSE)=Q$374&amp;"年"&amp;T$375,VLOOKUP($B$390,'8.项目规划指标表'!$B$5:$AD$15,7,FALSE)*E426/10000/1.11*0.11,0),0)</f>
        <v>0</v>
      </c>
      <c r="U391" s="275">
        <f>IFERROR(IF(VLOOKUP($B$390,'9.项目开发计划表'!$C$5:$AH$16,33,FALSE)=U$374&amp;"年"&amp;U$375,VLOOKUP($B$390,'8.项目规划指标表'!$B$5:$AD$15,7,FALSE)*E426/10000/1.11*0.11,0),0)</f>
        <v>0</v>
      </c>
      <c r="V391" s="276">
        <f>IFERROR(IF(VLOOKUP($B$390,'9.项目开发计划表'!$C$5:$AH$16,33,FALSE)=U$374&amp;"年"&amp;V$375,VLOOKUP($B$390,'8.项目规划指标表'!$B$5:$AD$15,7,FALSE)*E426/10000/1.11*0.11,0),0)</f>
        <v>0</v>
      </c>
      <c r="W391" s="276">
        <f>IFERROR(IF(VLOOKUP($B$390,'9.项目开发计划表'!$C$5:$AH$16,33,FALSE)=U$374&amp;"年"&amp;W$375,VLOOKUP($B$390,'8.项目规划指标表'!$B$5:$AD$15,7,FALSE)*E426/10000/1.11*0.11,0),0)</f>
        <v>0</v>
      </c>
      <c r="X391" s="277">
        <f>IFERROR(IF(VLOOKUP($B$390,'9.项目开发计划表'!$C$5:$AH$16,33,FALSE)=U$374&amp;"年"&amp;X$375,VLOOKUP($B$390,'8.项目规划指标表'!$B$5:$AD$15,7,FALSE)*E426/10000/1.11*0.11,0),0)</f>
        <v>0</v>
      </c>
      <c r="Y391" s="275">
        <f>IFERROR(IF(VLOOKUP($B$390,'9.项目开发计划表'!$C$5:$AH$16,33,FALSE)=Y$374&amp;"年"&amp;Y$375,VLOOKUP($B$390,'8.项目规划指标表'!$B$5:$AD$15,7,FALSE)*E426/10000/1.11*0.11,0),0)</f>
        <v>0</v>
      </c>
      <c r="Z391" s="276">
        <f>IFERROR(IF(VLOOKUP($B$390,'9.项目开发计划表'!$C$5:$AH$16,33,FALSE)=Y$374&amp;"年"&amp;Z$375,VLOOKUP($B$390,'8.项目规划指标表'!$B$5:$AD$15,7,FALSE)*E426/10000/1.11*0.11,0),0)</f>
        <v>0</v>
      </c>
      <c r="AA391" s="276">
        <f>IFERROR(IF(VLOOKUP($B$390,'9.项目开发计划表'!$C$5:$AH$16,33,FALSE)=Y$374&amp;"年"&amp;AA$375,VLOOKUP($B$390,'8.项目规划指标表'!$B$5:$AD$15,7,FALSE)*E426/10000/1.11*0.11,0),0)</f>
        <v>0</v>
      </c>
      <c r="AB391" s="277">
        <f>IFERROR(IF(VLOOKUP($B$390,'9.项目开发计划表'!$C$5:$AH$16,33,FALSE)=Y$374&amp;"年"&amp;AB$375,VLOOKUP($B$390,'8.项目规划指标表'!$B$5:$AD$15,7,FALSE)*E426/10000/1.11*0.11,0),0)</f>
        <v>0</v>
      </c>
      <c r="AC391" s="275">
        <f>IFERROR(IF(VLOOKUP($B$390,'9.项目开发计划表'!$C$5:$AH$16,33,FALSE)=AC$374&amp;"年"&amp;AC$375,VLOOKUP($B$390,'8.项目规划指标表'!$B$5:$AD$15,7,FALSE)*E426/10000/1.11*0.11,0),0)</f>
        <v>0</v>
      </c>
      <c r="AD391" s="276">
        <f>IFERROR(IF(VLOOKUP($B$390,'9.项目开发计划表'!$C$5:$AH$16,33,FALSE)=AC$374&amp;"年"&amp;AD$375,VLOOKUP($B$390,'8.项目规划指标表'!$B$5:$AD$15,7,FALSE)*E426/10000/1.11*0.11,0),0)</f>
        <v>0</v>
      </c>
      <c r="AE391" s="276">
        <f>IFERROR(IF(VLOOKUP($B$390,'9.项目开发计划表'!$C$5:$AH$16,33,FALSE)=AC$374&amp;"年"&amp;AE$375,VLOOKUP($B$390,'8.项目规划指标表'!$B$5:$AD$15,7,FALSE)*E426/10000/1.11*0.11,0),0)</f>
        <v>0</v>
      </c>
      <c r="AF391" s="277">
        <f>IFERROR(IF(VLOOKUP($B$390,'9.项目开发计划表'!$C$5:$AH$16,33,FALSE)=AC$374&amp;"年"&amp;AF$375,VLOOKUP($B$390,'8.项目规划指标表'!$B$5:$AD$15,7,FALSE)*E426/10000/1.11*0.11,0),0)</f>
        <v>0</v>
      </c>
      <c r="AG391" s="275">
        <f>IFERROR(IF(VLOOKUP($B$390,'9.项目开发计划表'!$C$5:$AH$16,33,FALSE)=AG$374&amp;"年"&amp;AG$375,VLOOKUP($B$390,'8.项目规划指标表'!$B$5:$AD$15,7,FALSE)*E426/10000/1.11*0.11,0),0)</f>
        <v>0</v>
      </c>
      <c r="AH391" s="276">
        <f>IFERROR(IF(VLOOKUP($B$390,'9.项目开发计划表'!$C$5:$AH$16,33,FALSE)=AG$374&amp;"年"&amp;AH$375,VLOOKUP($B$390,'8.项目规划指标表'!$B$5:$AD$15,7,FALSE)*E426/10000/1.11*0.11,0),0)</f>
        <v>0</v>
      </c>
      <c r="AI391" s="276">
        <f>IFERROR(IF(VLOOKUP($B$390,'9.项目开发计划表'!$C$5:$AH$16,33,FALSE)=AG$374&amp;"年"&amp;AI$375,VLOOKUP($B$390,'8.项目规划指标表'!$B$5:$AD$15,7,FALSE)*E426/10000/1.11*0.11,0),0)</f>
        <v>0</v>
      </c>
      <c r="AJ391" s="277">
        <f>IFERROR(IF(VLOOKUP($B$390,'9.项目开发计划表'!$C$5:$AH$16,33,FALSE)=AG$374&amp;"年"&amp;AJ$375,VLOOKUP($B$390,'8.项目规划指标表'!$B$5:$AD$15,7,FALSE)*E426/10000/1.11*0.11,0),0)</f>
        <v>0</v>
      </c>
      <c r="AK391" s="275">
        <f>IFERROR(IF(VLOOKUP($B$390,'9.项目开发计划表'!$C$5:$AH$16,33,FALSE)=AK$374&amp;"年"&amp;AK$375,VLOOKUP($B$390,'8.项目规划指标表'!$B$5:$AD$15,7,FALSE)*E426/10000/1.11*0.11,0),0)</f>
        <v>0</v>
      </c>
      <c r="AL391" s="276">
        <f>IFERROR(IF(VLOOKUP($B$390,'9.项目开发计划表'!$C$5:$AH$16,33,FALSE)=AK$374&amp;"年"&amp;AL$375,VLOOKUP($B$390,'8.项目规划指标表'!$B$5:$AD$15,7,FALSE)*E426/10000/1.11*0.11,0),0)</f>
        <v>0</v>
      </c>
      <c r="AM391" s="276">
        <f>IFERROR(IF(VLOOKUP($B$390,'9.项目开发计划表'!$C$5:$AH$16,33,FALSE)=AK$374&amp;"年"&amp;AM$375,VLOOKUP($B$390,'8.项目规划指标表'!$B$5:$AD$15,7,FALSE)*E426/10000/1.11*0.11,0),0)</f>
        <v>0</v>
      </c>
      <c r="AN391" s="277">
        <f>IFERROR(IF(VLOOKUP($B$390,'9.项目开发计划表'!$C$5:$AH$16,33,FALSE)=AK$374&amp;"年"&amp;AN$375,VLOOKUP($B$390,'8.项目规划指标表'!$B$5:$AD$15,7,FALSE)*E426/10000/1.11*0.11,0),0)</f>
        <v>0</v>
      </c>
      <c r="AO391" s="275">
        <f>IFERROR(IF(VLOOKUP($B$390,'9.项目开发计划表'!$C$5:$AH$16,33,FALSE)=AO$374&amp;"年"&amp;AO$375,VLOOKUP($B$390,'8.项目规划指标表'!$B$5:$AD$15,7,FALSE)*E426/10000/1.11*0.11,0),0)</f>
        <v>0</v>
      </c>
      <c r="AP391" s="276">
        <f>IFERROR(IF(VLOOKUP($B$390,'9.项目开发计划表'!$C$5:$AH$16,33,FALSE)=AO$374&amp;"年"&amp;AP$375,VLOOKUP($B$390,'8.项目规划指标表'!$B$5:$AD$15,7,FALSE)*E426/10000/1.11*0.11,0),0)</f>
        <v>0</v>
      </c>
      <c r="AQ391" s="276">
        <f>IFERROR(IF(VLOOKUP($B$390,'9.项目开发计划表'!$C$5:$AH$16,33,FALSE)=AO$374&amp;"年"&amp;AQ$375,VLOOKUP($B$390,'8.项目规划指标表'!$B$5:$AD$15,7,FALSE)*E426/10000/1.11*0.11,0),0)</f>
        <v>0</v>
      </c>
      <c r="AR391" s="277">
        <f>IFERROR(IF(VLOOKUP($B$390,'9.项目开发计划表'!$C$5:$AH$16,33,FALSE)=AO$374&amp;"年"&amp;AR$375,VLOOKUP($B$390,'8.项目规划指标表'!$B$5:$AD$15,7,FALSE)*E426/10000/1.11*0.11,0),0)</f>
        <v>0</v>
      </c>
      <c r="AS391" s="275">
        <f>IFERROR(IF(VLOOKUP($B$390,'9.项目开发计划表'!$C$5:$AH$16,33,FALSE)=AS$374&amp;"年"&amp;AS$375,VLOOKUP($B$390,'8.项目规划指标表'!$B$5:$AD$15,7,FALSE)*E426/10000/1.11*0.11,0),0)</f>
        <v>0</v>
      </c>
      <c r="AT391" s="276">
        <f>IFERROR(IF(VLOOKUP($B$390,'9.项目开发计划表'!$C$5:$AH$16,33,FALSE)=AS$374&amp;"年"&amp;AT$375,VLOOKUP($B$390,'8.项目规划指标表'!$B$5:$AD$15,7,FALSE)*E426/10000/1.11*0.11,0),0)</f>
        <v>0</v>
      </c>
      <c r="AU391" s="276">
        <f>IFERROR(IF(VLOOKUP($B$390,'9.项目开发计划表'!$C$5:$AH$16,33,FALSE)=AS$374&amp;"年"&amp;AU$375,VLOOKUP($B$390,'8.项目规划指标表'!$B$5:$AD$15,7,FALSE)*E426/10000/1.11*0.11,0),0)</f>
        <v>0</v>
      </c>
      <c r="AV391" s="277">
        <f>IFERROR(IF(VLOOKUP($B$390,'9.项目开发计划表'!$C$5:$AH$16,33,FALSE)=AS$374&amp;"年"&amp;AV$375,VLOOKUP($B$390,'8.项目规划指标表'!$B$5:$AD$15,7,FALSE)*E426/10000/1.11*0.11,0),0)</f>
        <v>0</v>
      </c>
    </row>
    <row r="392" spans="2:48" s="256" customFormat="1" ht="15.75" customHeight="1">
      <c r="B392" s="1975"/>
      <c r="C392" s="273" t="s">
        <v>20</v>
      </c>
      <c r="D392" s="274">
        <f t="shared" ref="D392:D396" si="142">SUM(E392:AV392)</f>
        <v>0</v>
      </c>
      <c r="E392" s="275">
        <f>IFERROR(IF(VLOOKUP($B$390,'9.项目开发计划表'!$C$5:$AH$16,33,FALSE)=E$374&amp;"年"&amp;E$375,VLOOKUP($B$390,'8.项目规划指标表'!$B$5:$AD$15,11,FALSE)*E427/10000/1.11*0.11,0),0)</f>
        <v>0</v>
      </c>
      <c r="F392" s="276">
        <f>IFERROR(IF(VLOOKUP($B$390,'9.项目开发计划表'!$C$5:$AH$16,33,FALSE)=E$374&amp;"年"&amp;F$375,VLOOKUP($B$390,'8.项目规划指标表'!$B$5:$AD$15,11,FALSE)*E427/10000/1.11*0.11,0),0)</f>
        <v>0</v>
      </c>
      <c r="G392" s="276">
        <f>IFERROR(IF(VLOOKUP($B$390,'9.项目开发计划表'!$C$5:$AH$16,33,FALSE)=E$374&amp;"年"&amp;G$375,VLOOKUP($B$390,'8.项目规划指标表'!$B$5:$AD$15,11,FALSE)*E427/10000/1.11*0.11,0),0)</f>
        <v>0</v>
      </c>
      <c r="H392" s="277">
        <f>IFERROR(IF(VLOOKUP($B$390,'9.项目开发计划表'!$C$5:$AH$16,33,FALSE)=E$374&amp;"年"&amp;H$375,VLOOKUP($B$390,'8.项目规划指标表'!$B$5:$AD$15,11,FALSE)*E427/10000/1.11*0.11,0),0)</f>
        <v>0</v>
      </c>
      <c r="I392" s="275">
        <f>IFERROR(IF(VLOOKUP($B$390,'9.项目开发计划表'!$C$5:$AH$16,33,FALSE)=I$374&amp;"年"&amp;I$375,VLOOKUP($B$390,'8.项目规划指标表'!$B$5:$AD$15,11,FALSE)*E427/10000/1.11*0.11,0),0)</f>
        <v>0</v>
      </c>
      <c r="J392" s="276">
        <f>IFERROR(IF(VLOOKUP($B$390,'9.项目开发计划表'!$C$5:$AH$16,33,FALSE)=I$374&amp;"年"&amp;J$375,VLOOKUP($B$390,'8.项目规划指标表'!$B$5:$AD$15,11,FALSE)*E427/10000/1.11*0.11,0),0)</f>
        <v>0</v>
      </c>
      <c r="K392" s="276">
        <f>IFERROR(IF(VLOOKUP($B$390,'9.项目开发计划表'!$C$5:$AH$16,33,FALSE)=I$374&amp;"年"&amp;K$375,VLOOKUP($B$390,'8.项目规划指标表'!$B$5:$AD$15,11,FALSE)*E427/10000/1.11*0.11,0),0)</f>
        <v>0</v>
      </c>
      <c r="L392" s="277">
        <f>IFERROR(IF(VLOOKUP($B$390,'9.项目开发计划表'!$C$5:$AH$16,33,FALSE)=I$374&amp;"年"&amp;L$375,VLOOKUP($B$390,'8.项目规划指标表'!$B$5:$AD$15,11,FALSE)*E427/10000/1.11*0.11,0),0)</f>
        <v>0</v>
      </c>
      <c r="M392" s="275">
        <f>IFERROR(IF(VLOOKUP($B$390,'9.项目开发计划表'!$C$5:$AH$16,33,FALSE)=M$374&amp;"年"&amp;M$375,VLOOKUP($B$390,'8.项目规划指标表'!$B$5:$AD$15,11,FALSE)*E427/10000/1.11*0.11,0),0)</f>
        <v>0</v>
      </c>
      <c r="N392" s="276">
        <f>IFERROR(IF(VLOOKUP($B$390,'9.项目开发计划表'!$C$5:$AH$16,33,FALSE)=M$374&amp;"年"&amp;N$375,VLOOKUP($B$390,'8.项目规划指标表'!$B$5:$AD$15,11,FALSE)*E427/10000/1.11*0.11,0),0)</f>
        <v>0</v>
      </c>
      <c r="O392" s="276">
        <f>IFERROR(IF(VLOOKUP($B$390,'9.项目开发计划表'!$C$5:$AH$16,33,FALSE)=M$374&amp;"年"&amp;O$375,VLOOKUP($B$390,'8.项目规划指标表'!$B$5:$AD$15,11,FALSE)*E427/10000/1.11*0.11,0),0)</f>
        <v>0</v>
      </c>
      <c r="P392" s="277">
        <f>IFERROR(IF(VLOOKUP($B$390,'9.项目开发计划表'!$C$5:$AH$16,33,FALSE)=M$374&amp;"年"&amp;P$375,VLOOKUP($B$390,'8.项目规划指标表'!$B$5:$AD$15,11,FALSE)*E427/10000/1.11*0.11,0),0)</f>
        <v>0</v>
      </c>
      <c r="Q392" s="275">
        <f>IFERROR(IF(VLOOKUP($B$390,'9.项目开发计划表'!$C$5:$AH$16,33,FALSE)=Q$374&amp;"年"&amp;Q$375,VLOOKUP($B$390,'8.项目规划指标表'!$B$5:$AD$15,11,FALSE)*E427/10000/1.11*0.11,0),0)</f>
        <v>0</v>
      </c>
      <c r="R392" s="276">
        <f>IFERROR(IF(VLOOKUP($B$390,'9.项目开发计划表'!$C$5:$AH$16,33,FALSE)=Q$374&amp;"年"&amp;R$375,VLOOKUP($B$390,'8.项目规划指标表'!$B$5:$AD$15,11,FALSE)*E427/10000/1.11*0.11,0),0)</f>
        <v>0</v>
      </c>
      <c r="S392" s="276">
        <f>IFERROR(IF(VLOOKUP($B$390,'9.项目开发计划表'!$C$5:$AH$16,33,FALSE)=Q$374&amp;"年"&amp;S$375,VLOOKUP($B$390,'8.项目规划指标表'!$B$5:$AD$15,11,FALSE)*E427/10000/1.11*0.11,0),0)</f>
        <v>0</v>
      </c>
      <c r="T392" s="277">
        <f>IFERROR(IF(VLOOKUP($B$390,'9.项目开发计划表'!$C$5:$AH$16,33,FALSE)=Q$374&amp;"年"&amp;T$375,VLOOKUP($B$390,'8.项目规划指标表'!$B$5:$AD$15,11,FALSE)*E427/10000/1.11*0.11,0),0)</f>
        <v>0</v>
      </c>
      <c r="U392" s="275">
        <f>IFERROR(IF(VLOOKUP($B$390,'9.项目开发计划表'!$C$5:$AH$16,33,FALSE)=U$374&amp;"年"&amp;U$375,VLOOKUP($B$390,'8.项目规划指标表'!$B$5:$AD$15,11,FALSE)*E427/10000/1.11*0.11,0),0)</f>
        <v>0</v>
      </c>
      <c r="V392" s="276">
        <f>IFERROR(IF(VLOOKUP($B$390,'9.项目开发计划表'!$C$5:$AH$16,33,FALSE)=U$374&amp;"年"&amp;V$375,VLOOKUP($B$390,'8.项目规划指标表'!$B$5:$AD$15,11,FALSE)*E427/10000/1.11*0.11,0),0)</f>
        <v>0</v>
      </c>
      <c r="W392" s="276">
        <f>IFERROR(IF(VLOOKUP($B$390,'9.项目开发计划表'!$C$5:$AH$16,33,FALSE)=U$374&amp;"年"&amp;W$375,VLOOKUP($B$390,'8.项目规划指标表'!$B$5:$AD$15,11,FALSE)*E427/10000/1.11*0.11,0),0)</f>
        <v>0</v>
      </c>
      <c r="X392" s="277">
        <f>IFERROR(IF(VLOOKUP($B$390,'9.项目开发计划表'!$C$5:$AH$16,33,FALSE)=U$374&amp;"年"&amp;X$375,VLOOKUP($B$390,'8.项目规划指标表'!$B$5:$AD$15,11,FALSE)*E427/10000/1.11*0.11,0),0)</f>
        <v>0</v>
      </c>
      <c r="Y392" s="275">
        <f>IFERROR(IF(VLOOKUP($B$390,'9.项目开发计划表'!$C$5:$AH$16,33,FALSE)=Y$374&amp;"年"&amp;Y$375,VLOOKUP($B$390,'8.项目规划指标表'!$B$5:$AD$15,11,FALSE)*E427/10000/1.11*0.11,0),0)</f>
        <v>0</v>
      </c>
      <c r="Z392" s="276">
        <f>IFERROR(IF(VLOOKUP($B$390,'9.项目开发计划表'!$C$5:$AH$16,33,FALSE)=Y$374&amp;"年"&amp;Z$375,VLOOKUP($B$390,'8.项目规划指标表'!$B$5:$AD$15,11,FALSE)*E427/10000/1.11*0.11,0),0)</f>
        <v>0</v>
      </c>
      <c r="AA392" s="276">
        <f>IFERROR(IF(VLOOKUP($B$390,'9.项目开发计划表'!$C$5:$AH$16,33,FALSE)=Y$374&amp;"年"&amp;AA$375,VLOOKUP($B$390,'8.项目规划指标表'!$B$5:$AD$15,11,FALSE)*E427/10000/1.11*0.11,0),0)</f>
        <v>0</v>
      </c>
      <c r="AB392" s="277">
        <f>IFERROR(IF(VLOOKUP($B$390,'9.项目开发计划表'!$C$5:$AH$16,33,FALSE)=Y$374&amp;"年"&amp;AB$375,VLOOKUP($B$390,'8.项目规划指标表'!$B$5:$AD$15,11,FALSE)*E427/10000/1.11*0.11,0),0)</f>
        <v>0</v>
      </c>
      <c r="AC392" s="275">
        <f>IFERROR(IF(VLOOKUP($B$390,'9.项目开发计划表'!$C$5:$AH$16,33,FALSE)=AC$374&amp;"年"&amp;AC$375,VLOOKUP($B$390,'8.项目规划指标表'!$B$5:$AD$15,11,FALSE)*E427/10000/1.11*0.11,0),0)</f>
        <v>0</v>
      </c>
      <c r="AD392" s="276">
        <f>IFERROR(IF(VLOOKUP($B$390,'9.项目开发计划表'!$C$5:$AH$16,33,FALSE)=AC$374&amp;"年"&amp;AD$375,VLOOKUP($B$390,'8.项目规划指标表'!$B$5:$AD$15,11,FALSE)*E427/10000/1.11*0.11,0),0)</f>
        <v>0</v>
      </c>
      <c r="AE392" s="276">
        <f>IFERROR(IF(VLOOKUP($B$390,'9.项目开发计划表'!$C$5:$AH$16,33,FALSE)=AC$374&amp;"年"&amp;AE$375,VLOOKUP($B$390,'8.项目规划指标表'!$B$5:$AD$15,11,FALSE)*E427/10000/1.11*0.11,0),0)</f>
        <v>0</v>
      </c>
      <c r="AF392" s="277">
        <f>IFERROR(IF(VLOOKUP($B$390,'9.项目开发计划表'!$C$5:$AH$16,33,FALSE)=AC$374&amp;"年"&amp;AF$375,VLOOKUP($B$390,'8.项目规划指标表'!$B$5:$AD$15,11,FALSE)*E427/10000/1.11*0.11,0),0)</f>
        <v>0</v>
      </c>
      <c r="AG392" s="275">
        <f>IFERROR(IF(VLOOKUP($B$390,'9.项目开发计划表'!$C$5:$AH$16,33,FALSE)=AG$374&amp;"年"&amp;AG$375,VLOOKUP($B$390,'8.项目规划指标表'!$B$5:$AD$15,11,FALSE)*E427/10000/1.11*0.11,0),0)</f>
        <v>0</v>
      </c>
      <c r="AH392" s="276">
        <f>IFERROR(IF(VLOOKUP($B$390,'9.项目开发计划表'!$C$5:$AH$16,33,FALSE)=AG$374&amp;"年"&amp;AH$375,VLOOKUP($B$390,'8.项目规划指标表'!$B$5:$AD$15,11,FALSE)*E427/10000/1.11*0.11,0),0)</f>
        <v>0</v>
      </c>
      <c r="AI392" s="276">
        <f>IFERROR(IF(VLOOKUP($B$390,'9.项目开发计划表'!$C$5:$AH$16,33,FALSE)=AG$374&amp;"年"&amp;AI$375,VLOOKUP($B$390,'8.项目规划指标表'!$B$5:$AD$15,11,FALSE)*E427/10000/1.11*0.11,0),0)</f>
        <v>0</v>
      </c>
      <c r="AJ392" s="277">
        <f>IFERROR(IF(VLOOKUP($B$390,'9.项目开发计划表'!$C$5:$AH$16,33,FALSE)=AG$374&amp;"年"&amp;AJ$375,VLOOKUP($B$390,'8.项目规划指标表'!$B$5:$AD$15,11,FALSE)*E427/10000/1.11*0.11,0),0)</f>
        <v>0</v>
      </c>
      <c r="AK392" s="275">
        <f>IFERROR(IF(VLOOKUP($B$390,'9.项目开发计划表'!$C$5:$AH$16,33,FALSE)=AK$374&amp;"年"&amp;AK$375,VLOOKUP($B$390,'8.项目规划指标表'!$B$5:$AD$15,11,FALSE)*E427/10000/1.11*0.11,0),0)</f>
        <v>0</v>
      </c>
      <c r="AL392" s="276">
        <f>IFERROR(IF(VLOOKUP($B$390,'9.项目开发计划表'!$C$5:$AH$16,33,FALSE)=AK$374&amp;"年"&amp;AL$375,VLOOKUP($B$390,'8.项目规划指标表'!$B$5:$AD$15,11,FALSE)*E427/10000/1.11*0.11,0),0)</f>
        <v>0</v>
      </c>
      <c r="AM392" s="276">
        <f>IFERROR(IF(VLOOKUP($B$390,'9.项目开发计划表'!$C$5:$AH$16,33,FALSE)=AK$374&amp;"年"&amp;AM$375,VLOOKUP($B$390,'8.项目规划指标表'!$B$5:$AD$15,11,FALSE)*E427/10000/1.11*0.11,0),0)</f>
        <v>0</v>
      </c>
      <c r="AN392" s="277">
        <f>IFERROR(IF(VLOOKUP($B$390,'9.项目开发计划表'!$C$5:$AH$16,33,FALSE)=AK$374&amp;"年"&amp;AN$375,VLOOKUP($B$390,'8.项目规划指标表'!$B$5:$AD$15,11,FALSE)*E427/10000/1.11*0.11,0),0)</f>
        <v>0</v>
      </c>
      <c r="AO392" s="275">
        <f>IFERROR(IF(VLOOKUP($B$390,'9.项目开发计划表'!$C$5:$AH$16,33,FALSE)=AO$374&amp;"年"&amp;AO$375,VLOOKUP($B$390,'8.项目规划指标表'!$B$5:$AD$15,11,FALSE)*E427/10000/1.11*0.11,0),0)</f>
        <v>0</v>
      </c>
      <c r="AP392" s="276">
        <f>IFERROR(IF(VLOOKUP($B$390,'9.项目开发计划表'!$C$5:$AH$16,33,FALSE)=AO$374&amp;"年"&amp;AP$375,VLOOKUP($B$390,'8.项目规划指标表'!$B$5:$AD$15,11,FALSE)*E427/10000/1.11*0.11,0),0)</f>
        <v>0</v>
      </c>
      <c r="AQ392" s="276">
        <f>IFERROR(IF(VLOOKUP($B$390,'9.项目开发计划表'!$C$5:$AH$16,33,FALSE)=AO$374&amp;"年"&amp;AQ$375,VLOOKUP($B$390,'8.项目规划指标表'!$B$5:$AD$15,11,FALSE)*E427/10000/1.11*0.11,0),0)</f>
        <v>0</v>
      </c>
      <c r="AR392" s="277">
        <f>IFERROR(IF(VLOOKUP($B$390,'9.项目开发计划表'!$C$5:$AH$16,33,FALSE)=AO$374&amp;"年"&amp;AR$375,VLOOKUP($B$390,'8.项目规划指标表'!$B$5:$AD$15,11,FALSE)*E427/10000/1.11*0.11,0),0)</f>
        <v>0</v>
      </c>
      <c r="AS392" s="275">
        <f>IFERROR(IF(VLOOKUP($B$390,'9.项目开发计划表'!$C$5:$AH$16,33,FALSE)=AS$374&amp;"年"&amp;AS$375,VLOOKUP($B$390,'8.项目规划指标表'!$B$5:$AD$15,11,FALSE)*E427/10000/1.11*0.11,0),0)</f>
        <v>0</v>
      </c>
      <c r="AT392" s="276">
        <f>IFERROR(IF(VLOOKUP($B$390,'9.项目开发计划表'!$C$5:$AH$16,33,FALSE)=AS$374&amp;"年"&amp;AT$375,VLOOKUP($B$390,'8.项目规划指标表'!$B$5:$AD$15,11,FALSE)*E427/10000/1.11*0.11,0),0)</f>
        <v>0</v>
      </c>
      <c r="AU392" s="276">
        <f>IFERROR(IF(VLOOKUP($B$390,'9.项目开发计划表'!$C$5:$AH$16,33,FALSE)=AS$374&amp;"年"&amp;AU$375,VLOOKUP($B$390,'8.项目规划指标表'!$B$5:$AD$15,11,FALSE)*E427/10000/1.11*0.11,0),0)</f>
        <v>0</v>
      </c>
      <c r="AV392" s="277">
        <f>IFERROR(IF(VLOOKUP($B$390,'9.项目开发计划表'!$C$5:$AH$16,33,FALSE)=AS$374&amp;"年"&amp;AV$375,VLOOKUP($B$390,'8.项目规划指标表'!$B$5:$AD$15,11,FALSE)*E427/10000/1.11*0.11,0),0)</f>
        <v>0</v>
      </c>
    </row>
    <row r="393" spans="2:48" s="256" customFormat="1" ht="15.75" customHeight="1">
      <c r="B393" s="1975"/>
      <c r="C393" s="273" t="s">
        <v>21</v>
      </c>
      <c r="D393" s="274">
        <f t="shared" si="142"/>
        <v>0</v>
      </c>
      <c r="E393" s="275">
        <f>IFERROR(IF(VLOOKUP($B$390,'9.项目开发计划表'!$C$5:$AH$16,33,FALSE)=E$374&amp;"年"&amp;E$375,VLOOKUP($B$390,'8.项目规划指标表'!$B$5:$AD$15,15,FALSE)*E428/10000/1.11*0.11,0),0)</f>
        <v>0</v>
      </c>
      <c r="F393" s="276">
        <f>IFERROR(IF(VLOOKUP($B$390,'9.项目开发计划表'!$C$5:$AH$16,33,FALSE)=E$374&amp;"年"&amp;F$375,VLOOKUP($B$390,'8.项目规划指标表'!$B$5:$AD$15,15,FALSE)*E428/10000/1.11*0.11,0),0)</f>
        <v>0</v>
      </c>
      <c r="G393" s="276">
        <f>IFERROR(IF(VLOOKUP($B$390,'9.项目开发计划表'!$C$5:$AH$16,33,FALSE)=E$374&amp;"年"&amp;G$375,VLOOKUP($B$390,'8.项目规划指标表'!$B$5:$AD$15,15,FALSE)*E428/10000/1.11*0.11,0),0)</f>
        <v>0</v>
      </c>
      <c r="H393" s="277">
        <f>IFERROR(IF(VLOOKUP($B$390,'9.项目开发计划表'!$C$5:$AH$16,33,FALSE)=E$374&amp;"年"&amp;H$375,VLOOKUP($B$390,'8.项目规划指标表'!$B$5:$AD$15,15,FALSE)*E428/10000/1.11*0.11,0),0)</f>
        <v>0</v>
      </c>
      <c r="I393" s="275">
        <f>IFERROR(IF(VLOOKUP($B$390,'9.项目开发计划表'!$C$5:$AH$16,33,FALSE)=I$374&amp;"年"&amp;I$375,VLOOKUP($B$390,'8.项目规划指标表'!$B$5:$AD$15,15,FALSE)*E428/10000/1.11*0.11,0),0)</f>
        <v>0</v>
      </c>
      <c r="J393" s="276">
        <f>IFERROR(IF(VLOOKUP($B$390,'9.项目开发计划表'!$C$5:$AH$16,33,FALSE)=I$374&amp;"年"&amp;J$375,VLOOKUP($B$390,'8.项目规划指标表'!$B$5:$AD$15,15,FALSE)*E428/10000/1.11*0.11,0),0)</f>
        <v>0</v>
      </c>
      <c r="K393" s="276">
        <f>IFERROR(IF(VLOOKUP($B$390,'9.项目开发计划表'!$C$5:$AH$16,33,FALSE)=I$374&amp;"年"&amp;K$375,VLOOKUP($B$390,'8.项目规划指标表'!$B$5:$AD$15,15,FALSE)*E428/10000/1.11*0.11,0),0)</f>
        <v>0</v>
      </c>
      <c r="L393" s="277">
        <f>IFERROR(IF(VLOOKUP($B$390,'9.项目开发计划表'!$C$5:$AH$16,33,FALSE)=I$374&amp;"年"&amp;L$375,VLOOKUP($B$390,'8.项目规划指标表'!$B$5:$AD$15,15,FALSE)*E428/10000/1.11*0.11,0),0)</f>
        <v>0</v>
      </c>
      <c r="M393" s="275">
        <f>IFERROR(IF(VLOOKUP($B$390,'9.项目开发计划表'!$C$5:$AH$16,33,FALSE)=M$374&amp;"年"&amp;M$375,VLOOKUP($B$390,'8.项目规划指标表'!$B$5:$AD$15,15,FALSE)*E428/10000/1.11*0.11,0),0)</f>
        <v>0</v>
      </c>
      <c r="N393" s="276">
        <f>IFERROR(IF(VLOOKUP($B$390,'9.项目开发计划表'!$C$5:$AH$16,33,FALSE)=M$374&amp;"年"&amp;N$375,VLOOKUP($B$390,'8.项目规划指标表'!$B$5:$AD$15,15,FALSE)*E428/10000/1.11*0.11,0),0)</f>
        <v>0</v>
      </c>
      <c r="O393" s="276">
        <f>IFERROR(IF(VLOOKUP($B$390,'9.项目开发计划表'!$C$5:$AH$16,33,FALSE)=M$374&amp;"年"&amp;O$375,VLOOKUP($B$390,'8.项目规划指标表'!$B$5:$AD$15,15,FALSE)*E428/10000/1.11*0.11,0),0)</f>
        <v>0</v>
      </c>
      <c r="P393" s="277">
        <f>IFERROR(IF(VLOOKUP($B$390,'9.项目开发计划表'!$C$5:$AH$16,33,FALSE)=M$374&amp;"年"&amp;P$375,VLOOKUP($B$390,'8.项目规划指标表'!$B$5:$AD$15,15,FALSE)*E428/10000/1.11*0.11,0),0)</f>
        <v>0</v>
      </c>
      <c r="Q393" s="275">
        <f>IFERROR(IF(VLOOKUP($B$390,'9.项目开发计划表'!$C$5:$AH$16,33,FALSE)=Q$374&amp;"年"&amp;Q$375,VLOOKUP($B$390,'8.项目规划指标表'!$B$5:$AD$15,15,FALSE)*E428/10000/1.11*0.11,0),0)</f>
        <v>0</v>
      </c>
      <c r="R393" s="276">
        <f>IFERROR(IF(VLOOKUP($B$390,'9.项目开发计划表'!$C$5:$AH$16,33,FALSE)=Q$374&amp;"年"&amp;R$375,VLOOKUP($B$390,'8.项目规划指标表'!$B$5:$AD$15,15,FALSE)*E428/10000/1.11*0.11,0),0)</f>
        <v>0</v>
      </c>
      <c r="S393" s="276">
        <f>IFERROR(IF(VLOOKUP($B$390,'9.项目开发计划表'!$C$5:$AH$16,33,FALSE)=Q$374&amp;"年"&amp;S$375,VLOOKUP($B$390,'8.项目规划指标表'!$B$5:$AD$15,15,FALSE)*E428/10000/1.11*0.11,0),0)</f>
        <v>0</v>
      </c>
      <c r="T393" s="277">
        <f>IFERROR(IF(VLOOKUP($B$390,'9.项目开发计划表'!$C$5:$AH$16,33,FALSE)=Q$374&amp;"年"&amp;T$375,VLOOKUP($B$390,'8.项目规划指标表'!$B$5:$AD$15,15,FALSE)*E428/10000/1.11*0.11,0),0)</f>
        <v>0</v>
      </c>
      <c r="U393" s="275">
        <f>IFERROR(IF(VLOOKUP($B$390,'9.项目开发计划表'!$C$5:$AH$16,33,FALSE)=U$374&amp;"年"&amp;U$375,VLOOKUP($B$390,'8.项目规划指标表'!$B$5:$AD$15,15,FALSE)*E428/10000/1.11*0.11,0),0)</f>
        <v>0</v>
      </c>
      <c r="V393" s="276">
        <f>IFERROR(IF(VLOOKUP($B$390,'9.项目开发计划表'!$C$5:$AH$16,33,FALSE)=U$374&amp;"年"&amp;V$375,VLOOKUP($B$390,'8.项目规划指标表'!$B$5:$AD$15,15,FALSE)*E428/10000/1.11*0.11,0),0)</f>
        <v>0</v>
      </c>
      <c r="W393" s="276">
        <f>IFERROR(IF(VLOOKUP($B$390,'9.项目开发计划表'!$C$5:$AH$16,33,FALSE)=U$374&amp;"年"&amp;W$375,VLOOKUP($B$390,'8.项目规划指标表'!$B$5:$AD$15,15,FALSE)*E428/10000/1.11*0.11,0),0)</f>
        <v>0</v>
      </c>
      <c r="X393" s="277">
        <f>IFERROR(IF(VLOOKUP($B$390,'9.项目开发计划表'!$C$5:$AH$16,33,FALSE)=U$374&amp;"年"&amp;X$375,VLOOKUP($B$390,'8.项目规划指标表'!$B$5:$AD$15,15,FALSE)*E428/10000/1.11*0.11,0),0)</f>
        <v>0</v>
      </c>
      <c r="Y393" s="275">
        <f>IFERROR(IF(VLOOKUP($B$390,'9.项目开发计划表'!$C$5:$AH$16,33,FALSE)=Y$374&amp;"年"&amp;Y$375,VLOOKUP($B$390,'8.项目规划指标表'!$B$5:$AD$15,15,FALSE)*E428/10000/1.11*0.11,0),0)</f>
        <v>0</v>
      </c>
      <c r="Z393" s="276">
        <f>IFERROR(IF(VLOOKUP($B$390,'9.项目开发计划表'!$C$5:$AH$16,33,FALSE)=Y$374&amp;"年"&amp;Z$375,VLOOKUP($B$390,'8.项目规划指标表'!$B$5:$AD$15,15,FALSE)*E428/10000/1.11*0.11,0),0)</f>
        <v>0</v>
      </c>
      <c r="AA393" s="276">
        <f>IFERROR(IF(VLOOKUP($B$390,'9.项目开发计划表'!$C$5:$AH$16,33,FALSE)=Y$374&amp;"年"&amp;AA$375,VLOOKUP($B$390,'8.项目规划指标表'!$B$5:$AD$15,15,FALSE)*E428/10000/1.11*0.11,0),0)</f>
        <v>0</v>
      </c>
      <c r="AB393" s="277">
        <f>IFERROR(IF(VLOOKUP($B$390,'9.项目开发计划表'!$C$5:$AH$16,33,FALSE)=Y$374&amp;"年"&amp;AB$375,VLOOKUP($B$390,'8.项目规划指标表'!$B$5:$AD$15,15,FALSE)*E428/10000/1.11*0.11,0),0)</f>
        <v>0</v>
      </c>
      <c r="AC393" s="275">
        <f>IFERROR(IF(VLOOKUP($B$390,'9.项目开发计划表'!$C$5:$AH$16,33,FALSE)=AC$374&amp;"年"&amp;AC$375,VLOOKUP($B$390,'8.项目规划指标表'!$B$5:$AD$15,15,FALSE)*E428/10000/1.11*0.11,0),0)</f>
        <v>0</v>
      </c>
      <c r="AD393" s="276">
        <f>IFERROR(IF(VLOOKUP($B$390,'9.项目开发计划表'!$C$5:$AH$16,33,FALSE)=AC$374&amp;"年"&amp;AD$375,VLOOKUP($B$390,'8.项目规划指标表'!$B$5:$AD$15,15,FALSE)*E428/10000/1.11*0.11,0),0)</f>
        <v>0</v>
      </c>
      <c r="AE393" s="276">
        <f>IFERROR(IF(VLOOKUP($B$390,'9.项目开发计划表'!$C$5:$AH$16,33,FALSE)=AC$374&amp;"年"&amp;AE$375,VLOOKUP($B$390,'8.项目规划指标表'!$B$5:$AD$15,15,FALSE)*E428/10000/1.11*0.11,0),0)</f>
        <v>0</v>
      </c>
      <c r="AF393" s="277">
        <f>IFERROR(IF(VLOOKUP($B$390,'9.项目开发计划表'!$C$5:$AH$16,33,FALSE)=AC$374&amp;"年"&amp;AF$375,VLOOKUP($B$390,'8.项目规划指标表'!$B$5:$AD$15,15,FALSE)*E428/10000/1.11*0.11,0),0)</f>
        <v>0</v>
      </c>
      <c r="AG393" s="275">
        <f>IFERROR(IF(VLOOKUP($B$390,'9.项目开发计划表'!$C$5:$AH$16,33,FALSE)=AG$374&amp;"年"&amp;AG$375,VLOOKUP($B$390,'8.项目规划指标表'!$B$5:$AD$15,15,FALSE)*E428/10000/1.11*0.11,0),0)</f>
        <v>0</v>
      </c>
      <c r="AH393" s="276">
        <f>IFERROR(IF(VLOOKUP($B$390,'9.项目开发计划表'!$C$5:$AH$16,33,FALSE)=AG$374&amp;"年"&amp;AH$375,VLOOKUP($B$390,'8.项目规划指标表'!$B$5:$AD$15,15,FALSE)*E428/10000/1.11*0.11,0),0)</f>
        <v>0</v>
      </c>
      <c r="AI393" s="276">
        <f>IFERROR(IF(VLOOKUP($B$390,'9.项目开发计划表'!$C$5:$AH$16,33,FALSE)=AG$374&amp;"年"&amp;AI$375,VLOOKUP($B$390,'8.项目规划指标表'!$B$5:$AD$15,15,FALSE)*E428/10000/1.11*0.11,0),0)</f>
        <v>0</v>
      </c>
      <c r="AJ393" s="277">
        <f>IFERROR(IF(VLOOKUP($B$390,'9.项目开发计划表'!$C$5:$AH$16,33,FALSE)=AG$374&amp;"年"&amp;AJ$375,VLOOKUP($B$390,'8.项目规划指标表'!$B$5:$AD$15,15,FALSE)*E428/10000/1.11*0.11,0),0)</f>
        <v>0</v>
      </c>
      <c r="AK393" s="275">
        <f>IFERROR(IF(VLOOKUP($B$390,'9.项目开发计划表'!$C$5:$AH$16,33,FALSE)=AK$374&amp;"年"&amp;AK$375,VLOOKUP($B$390,'8.项目规划指标表'!$B$5:$AD$15,15,FALSE)*E428/10000/1.11*0.11,0),0)</f>
        <v>0</v>
      </c>
      <c r="AL393" s="276">
        <f>IFERROR(IF(VLOOKUP($B$390,'9.项目开发计划表'!$C$5:$AH$16,33,FALSE)=AK$374&amp;"年"&amp;AL$375,VLOOKUP($B$390,'8.项目规划指标表'!$B$5:$AD$15,15,FALSE)*E428/10000/1.11*0.11,0),0)</f>
        <v>0</v>
      </c>
      <c r="AM393" s="276">
        <f>IFERROR(IF(VLOOKUP($B$390,'9.项目开发计划表'!$C$5:$AH$16,33,FALSE)=AK$374&amp;"年"&amp;AM$375,VLOOKUP($B$390,'8.项目规划指标表'!$B$5:$AD$15,15,FALSE)*E428/10000/1.11*0.11,0),0)</f>
        <v>0</v>
      </c>
      <c r="AN393" s="277">
        <f>IFERROR(IF(VLOOKUP($B$390,'9.项目开发计划表'!$C$5:$AH$16,33,FALSE)=AK$374&amp;"年"&amp;AN$375,VLOOKUP($B$390,'8.项目规划指标表'!$B$5:$AD$15,15,FALSE)*E428/10000/1.11*0.11,0),0)</f>
        <v>0</v>
      </c>
      <c r="AO393" s="275">
        <f>IFERROR(IF(VLOOKUP($B$390,'9.项目开发计划表'!$C$5:$AH$16,33,FALSE)=AO$374&amp;"年"&amp;AO$375,VLOOKUP($B$390,'8.项目规划指标表'!$B$5:$AD$15,15,FALSE)*E428/10000/1.11*0.11,0),0)</f>
        <v>0</v>
      </c>
      <c r="AP393" s="276">
        <f>IFERROR(IF(VLOOKUP($B$390,'9.项目开发计划表'!$C$5:$AH$16,33,FALSE)=AO$374&amp;"年"&amp;AP$375,VLOOKUP($B$390,'8.项目规划指标表'!$B$5:$AD$15,15,FALSE)*E428/10000/1.11*0.11,0),0)</f>
        <v>0</v>
      </c>
      <c r="AQ393" s="276">
        <f>IFERROR(IF(VLOOKUP($B$390,'9.项目开发计划表'!$C$5:$AH$16,33,FALSE)=AO$374&amp;"年"&amp;AQ$375,VLOOKUP($B$390,'8.项目规划指标表'!$B$5:$AD$15,15,FALSE)*E428/10000/1.11*0.11,0),0)</f>
        <v>0</v>
      </c>
      <c r="AR393" s="277">
        <f>IFERROR(IF(VLOOKUP($B$390,'9.项目开发计划表'!$C$5:$AH$16,33,FALSE)=AO$374&amp;"年"&amp;AR$375,VLOOKUP($B$390,'8.项目规划指标表'!$B$5:$AD$15,15,FALSE)*E428/10000/1.11*0.11,0),0)</f>
        <v>0</v>
      </c>
      <c r="AS393" s="275">
        <f>IFERROR(IF(VLOOKUP($B$390,'9.项目开发计划表'!$C$5:$AH$16,33,FALSE)=AS$374&amp;"年"&amp;AS$375,VLOOKUP($B$390,'8.项目规划指标表'!$B$5:$AD$15,15,FALSE)*E428/10000/1.11*0.11,0),0)</f>
        <v>0</v>
      </c>
      <c r="AT393" s="276">
        <f>IFERROR(IF(VLOOKUP($B$390,'9.项目开发计划表'!$C$5:$AH$16,33,FALSE)=AS$374&amp;"年"&amp;AT$375,VLOOKUP($B$390,'8.项目规划指标表'!$B$5:$AD$15,15,FALSE)*E428/10000/1.11*0.11,0),0)</f>
        <v>0</v>
      </c>
      <c r="AU393" s="276">
        <f>IFERROR(IF(VLOOKUP($B$390,'9.项目开发计划表'!$C$5:$AH$16,33,FALSE)=AS$374&amp;"年"&amp;AU$375,VLOOKUP($B$390,'8.项目规划指标表'!$B$5:$AD$15,15,FALSE)*E428/10000/1.11*0.11,0),0)</f>
        <v>0</v>
      </c>
      <c r="AV393" s="277">
        <f>IFERROR(IF(VLOOKUP($B$390,'9.项目开发计划表'!$C$5:$AH$16,33,FALSE)=AS$374&amp;"年"&amp;AV$375,VLOOKUP($B$390,'8.项目规划指标表'!$B$5:$AD$15,15,FALSE)*E428/10000/1.11*0.11,0),0)</f>
        <v>0</v>
      </c>
    </row>
    <row r="394" spans="2:48" s="256" customFormat="1" ht="15.75" customHeight="1">
      <c r="B394" s="1975"/>
      <c r="C394" s="273" t="s">
        <v>22</v>
      </c>
      <c r="D394" s="274">
        <f t="shared" si="142"/>
        <v>0</v>
      </c>
      <c r="E394" s="275">
        <f>IFERROR(IF(VLOOKUP($B$390,'9.项目开发计划表'!$C$5:$AH$16,33,FALSE)=E$374&amp;"年"&amp;E$375,VLOOKUP($B$390,'8.项目规划指标表'!$B$5:$AD$15,19,FALSE)*E429/10000/1.11*0.11,0),0)</f>
        <v>0</v>
      </c>
      <c r="F394" s="276">
        <f>IFERROR(IF(VLOOKUP($B$390,'9.项目开发计划表'!$C$5:$AH$16,33,FALSE)=E$374&amp;"年"&amp;F$375,VLOOKUP($B$390,'8.项目规划指标表'!$B$5:$AD$15,19,FALSE)*E429/10000/1.11*0.11,0),0)</f>
        <v>0</v>
      </c>
      <c r="G394" s="276">
        <f>IFERROR(IF(VLOOKUP($B$390,'9.项目开发计划表'!$C$5:$AH$16,33,FALSE)=E$374&amp;"年"&amp;G$375,VLOOKUP($B$390,'8.项目规划指标表'!$B$5:$AD$15,19,FALSE)*E429/10000/1.11*0.11,0),0)</f>
        <v>0</v>
      </c>
      <c r="H394" s="277">
        <f>IFERROR(IF(VLOOKUP($B$390,'9.项目开发计划表'!$C$5:$AH$16,33,FALSE)=E$374&amp;"年"&amp;H$375,VLOOKUP($B$390,'8.项目规划指标表'!$B$5:$AD$15,19,FALSE)*E429/10000/1.11*0.11,0),0)</f>
        <v>0</v>
      </c>
      <c r="I394" s="275">
        <f>IFERROR(IF(VLOOKUP($B$390,'9.项目开发计划表'!$C$5:$AH$16,33,FALSE)=I$374&amp;"年"&amp;I$375,VLOOKUP($B$390,'8.项目规划指标表'!$B$5:$AD$15,19,FALSE)*E429/10000/1.11*0.11,0),0)</f>
        <v>0</v>
      </c>
      <c r="J394" s="276">
        <f>IFERROR(IF(VLOOKUP($B$390,'9.项目开发计划表'!$C$5:$AH$16,33,FALSE)=I$374&amp;"年"&amp;J$375,VLOOKUP($B$390,'8.项目规划指标表'!$B$5:$AD$15,19,FALSE)*E429/10000/1.11*0.11,0),0)</f>
        <v>0</v>
      </c>
      <c r="K394" s="276">
        <f>IFERROR(IF(VLOOKUP($B$390,'9.项目开发计划表'!$C$5:$AH$16,33,FALSE)=I$374&amp;"年"&amp;K$375,VLOOKUP($B$390,'8.项目规划指标表'!$B$5:$AD$15,19,FALSE)*E429/10000/1.11*0.11,0),0)</f>
        <v>0</v>
      </c>
      <c r="L394" s="277">
        <f>IFERROR(IF(VLOOKUP($B$390,'9.项目开发计划表'!$C$5:$AH$16,33,FALSE)=I$374&amp;"年"&amp;L$375,VLOOKUP($B$390,'8.项目规划指标表'!$B$5:$AD$15,19,FALSE)*E429/10000/1.11*0.11,0),0)</f>
        <v>0</v>
      </c>
      <c r="M394" s="275">
        <f>IFERROR(IF(VLOOKUP($B$390,'9.项目开发计划表'!$C$5:$AH$16,33,FALSE)=M$374&amp;"年"&amp;M$375,VLOOKUP($B$390,'8.项目规划指标表'!$B$5:$AD$15,19,FALSE)*E429/10000/1.11*0.11,0),0)</f>
        <v>0</v>
      </c>
      <c r="N394" s="276">
        <f>IFERROR(IF(VLOOKUP($B$390,'9.项目开发计划表'!$C$5:$AH$16,33,FALSE)=M$374&amp;"年"&amp;N$375,VLOOKUP($B$390,'8.项目规划指标表'!$B$5:$AD$15,19,FALSE)*E429/10000/1.11*0.11,0),0)</f>
        <v>0</v>
      </c>
      <c r="O394" s="276">
        <f>IFERROR(IF(VLOOKUP($B$390,'9.项目开发计划表'!$C$5:$AH$16,33,FALSE)=M$374&amp;"年"&amp;O$375,VLOOKUP($B$390,'8.项目规划指标表'!$B$5:$AD$15,19,FALSE)*E429/10000/1.11*0.11,0),0)</f>
        <v>0</v>
      </c>
      <c r="P394" s="277">
        <f>IFERROR(IF(VLOOKUP($B$390,'9.项目开发计划表'!$C$5:$AH$16,33,FALSE)=M$374&amp;"年"&amp;P$375,VLOOKUP($B$390,'8.项目规划指标表'!$B$5:$AD$15,19,FALSE)*E429/10000/1.11*0.11,0),0)</f>
        <v>0</v>
      </c>
      <c r="Q394" s="275">
        <f>IFERROR(IF(VLOOKUP($B$390,'9.项目开发计划表'!$C$5:$AH$16,33,FALSE)=Q$374&amp;"年"&amp;Q$375,VLOOKUP($B$390,'8.项目规划指标表'!$B$5:$AD$15,19,FALSE)*E429/10000/1.11*0.11,0),0)</f>
        <v>0</v>
      </c>
      <c r="R394" s="276">
        <f>IFERROR(IF(VLOOKUP($B$390,'9.项目开发计划表'!$C$5:$AH$16,33,FALSE)=Q$374&amp;"年"&amp;R$375,VLOOKUP($B$390,'8.项目规划指标表'!$B$5:$AD$15,19,FALSE)*E429/10000/1.11*0.11,0),0)</f>
        <v>0</v>
      </c>
      <c r="S394" s="276">
        <f>IFERROR(IF(VLOOKUP($B$390,'9.项目开发计划表'!$C$5:$AH$16,33,FALSE)=Q$374&amp;"年"&amp;S$375,VLOOKUP($B$390,'8.项目规划指标表'!$B$5:$AD$15,19,FALSE)*E429/10000/1.11*0.11,0),0)</f>
        <v>0</v>
      </c>
      <c r="T394" s="277">
        <f>IFERROR(IF(VLOOKUP($B$390,'9.项目开发计划表'!$C$5:$AH$16,33,FALSE)=Q$374&amp;"年"&amp;T$375,VLOOKUP($B$390,'8.项目规划指标表'!$B$5:$AD$15,19,FALSE)*E429/10000/1.11*0.11,0),0)</f>
        <v>0</v>
      </c>
      <c r="U394" s="275">
        <f>IFERROR(IF(VLOOKUP($B$390,'9.项目开发计划表'!$C$5:$AH$16,33,FALSE)=U$374&amp;"年"&amp;U$375,VLOOKUP($B$390,'8.项目规划指标表'!$B$5:$AD$15,19,FALSE)*E429/10000/1.11*0.11,0),0)</f>
        <v>0</v>
      </c>
      <c r="V394" s="276">
        <f>IFERROR(IF(VLOOKUP($B$390,'9.项目开发计划表'!$C$5:$AH$16,33,FALSE)=U$374&amp;"年"&amp;V$375,VLOOKUP($B$390,'8.项目规划指标表'!$B$5:$AD$15,19,FALSE)*E429/10000/1.11*0.11,0),0)</f>
        <v>0</v>
      </c>
      <c r="W394" s="276">
        <f>IFERROR(IF(VLOOKUP($B$390,'9.项目开发计划表'!$C$5:$AH$16,33,FALSE)=U$374&amp;"年"&amp;W$375,VLOOKUP($B$390,'8.项目规划指标表'!$B$5:$AD$15,19,FALSE)*E429/10000/1.11*0.11,0),0)</f>
        <v>0</v>
      </c>
      <c r="X394" s="277">
        <f>IFERROR(IF(VLOOKUP($B$390,'9.项目开发计划表'!$C$5:$AH$16,33,FALSE)=U$374&amp;"年"&amp;X$375,VLOOKUP($B$390,'8.项目规划指标表'!$B$5:$AD$15,19,FALSE)*E429/10000/1.11*0.11,0),0)</f>
        <v>0</v>
      </c>
      <c r="Y394" s="275">
        <f>IFERROR(IF(VLOOKUP($B$390,'9.项目开发计划表'!$C$5:$AH$16,33,FALSE)=Y$374&amp;"年"&amp;Y$375,VLOOKUP($B$390,'8.项目规划指标表'!$B$5:$AD$15,19,FALSE)*E429/10000/1.11*0.11,0),0)</f>
        <v>0</v>
      </c>
      <c r="Z394" s="276">
        <f>IFERROR(IF(VLOOKUP($B$390,'9.项目开发计划表'!$C$5:$AH$16,33,FALSE)=Y$374&amp;"年"&amp;Z$375,VLOOKUP($B$390,'8.项目规划指标表'!$B$5:$AD$15,19,FALSE)*E429/10000/1.11*0.11,0),0)</f>
        <v>0</v>
      </c>
      <c r="AA394" s="276">
        <f>IFERROR(IF(VLOOKUP($B$390,'9.项目开发计划表'!$C$5:$AH$16,33,FALSE)=Y$374&amp;"年"&amp;AA$375,VLOOKUP($B$390,'8.项目规划指标表'!$B$5:$AD$15,19,FALSE)*E429/10000/1.11*0.11,0),0)</f>
        <v>0</v>
      </c>
      <c r="AB394" s="277">
        <f>IFERROR(IF(VLOOKUP($B$390,'9.项目开发计划表'!$C$5:$AH$16,33,FALSE)=Y$374&amp;"年"&amp;AB$375,VLOOKUP($B$390,'8.项目规划指标表'!$B$5:$AD$15,19,FALSE)*E429/10000/1.11*0.11,0),0)</f>
        <v>0</v>
      </c>
      <c r="AC394" s="275">
        <f>IFERROR(IF(VLOOKUP($B$390,'9.项目开发计划表'!$C$5:$AH$16,33,FALSE)=AC$374&amp;"年"&amp;AC$375,VLOOKUP($B$390,'8.项目规划指标表'!$B$5:$AD$15,19,FALSE)*E429/10000/1.11*0.11,0),0)</f>
        <v>0</v>
      </c>
      <c r="AD394" s="276">
        <f>IFERROR(IF(VLOOKUP($B$390,'9.项目开发计划表'!$C$5:$AH$16,33,FALSE)=AC$374&amp;"年"&amp;AD$375,VLOOKUP($B$390,'8.项目规划指标表'!$B$5:$AD$15,19,FALSE)*E429/10000/1.11*0.11,0),0)</f>
        <v>0</v>
      </c>
      <c r="AE394" s="276">
        <f>IFERROR(IF(VLOOKUP($B$390,'9.项目开发计划表'!$C$5:$AH$16,33,FALSE)=AC$374&amp;"年"&amp;AE$375,VLOOKUP($B$390,'8.项目规划指标表'!$B$5:$AD$15,19,FALSE)*E429/10000/1.11*0.11,0),0)</f>
        <v>0</v>
      </c>
      <c r="AF394" s="277">
        <f>IFERROR(IF(VLOOKUP($B$390,'9.项目开发计划表'!$C$5:$AH$16,33,FALSE)=AC$374&amp;"年"&amp;AF$375,VLOOKUP($B$390,'8.项目规划指标表'!$B$5:$AD$15,19,FALSE)*E429/10000/1.11*0.11,0),0)</f>
        <v>0</v>
      </c>
      <c r="AG394" s="275">
        <f>IFERROR(IF(VLOOKUP($B$390,'9.项目开发计划表'!$C$5:$AH$16,33,FALSE)=AG$374&amp;"年"&amp;AG$375,VLOOKUP($B$390,'8.项目规划指标表'!$B$5:$AD$15,19,FALSE)*E429/10000/1.11*0.11,0),0)</f>
        <v>0</v>
      </c>
      <c r="AH394" s="276">
        <f>IFERROR(IF(VLOOKUP($B$390,'9.项目开发计划表'!$C$5:$AH$16,33,FALSE)=AG$374&amp;"年"&amp;AH$375,VLOOKUP($B$390,'8.项目规划指标表'!$B$5:$AD$15,19,FALSE)*E429/10000/1.11*0.11,0),0)</f>
        <v>0</v>
      </c>
      <c r="AI394" s="276">
        <f>IFERROR(IF(VLOOKUP($B$390,'9.项目开发计划表'!$C$5:$AH$16,33,FALSE)=AG$374&amp;"年"&amp;AI$375,VLOOKUP($B$390,'8.项目规划指标表'!$B$5:$AD$15,19,FALSE)*E429/10000/1.11*0.11,0),0)</f>
        <v>0</v>
      </c>
      <c r="AJ394" s="277">
        <f>IFERROR(IF(VLOOKUP($B$390,'9.项目开发计划表'!$C$5:$AH$16,33,FALSE)=AG$374&amp;"年"&amp;AJ$375,VLOOKUP($B$390,'8.项目规划指标表'!$B$5:$AD$15,19,FALSE)*E429/10000/1.11*0.11,0),0)</f>
        <v>0</v>
      </c>
      <c r="AK394" s="275">
        <f>IFERROR(IF(VLOOKUP($B$390,'9.项目开发计划表'!$C$5:$AH$16,33,FALSE)=AK$374&amp;"年"&amp;AK$375,VLOOKUP($B$390,'8.项目规划指标表'!$B$5:$AD$15,19,FALSE)*E429/10000/1.11*0.11,0),0)</f>
        <v>0</v>
      </c>
      <c r="AL394" s="276">
        <f>IFERROR(IF(VLOOKUP($B$390,'9.项目开发计划表'!$C$5:$AH$16,33,FALSE)=AK$374&amp;"年"&amp;AL$375,VLOOKUP($B$390,'8.项目规划指标表'!$B$5:$AD$15,19,FALSE)*E429/10000/1.11*0.11,0),0)</f>
        <v>0</v>
      </c>
      <c r="AM394" s="276">
        <f>IFERROR(IF(VLOOKUP($B$390,'9.项目开发计划表'!$C$5:$AH$16,33,FALSE)=AK$374&amp;"年"&amp;AM$375,VLOOKUP($B$390,'8.项目规划指标表'!$B$5:$AD$15,19,FALSE)*E429/10000/1.11*0.11,0),0)</f>
        <v>0</v>
      </c>
      <c r="AN394" s="277">
        <f>IFERROR(IF(VLOOKUP($B$390,'9.项目开发计划表'!$C$5:$AH$16,33,FALSE)=AK$374&amp;"年"&amp;AN$375,VLOOKUP($B$390,'8.项目规划指标表'!$B$5:$AD$15,19,FALSE)*E429/10000/1.11*0.11,0),0)</f>
        <v>0</v>
      </c>
      <c r="AO394" s="275">
        <f>IFERROR(IF(VLOOKUP($B$390,'9.项目开发计划表'!$C$5:$AH$16,33,FALSE)=AO$374&amp;"年"&amp;AO$375,VLOOKUP($B$390,'8.项目规划指标表'!$B$5:$AD$15,19,FALSE)*E429/10000/1.11*0.11,0),0)</f>
        <v>0</v>
      </c>
      <c r="AP394" s="276">
        <f>IFERROR(IF(VLOOKUP($B$390,'9.项目开发计划表'!$C$5:$AH$16,33,FALSE)=AO$374&amp;"年"&amp;AP$375,VLOOKUP($B$390,'8.项目规划指标表'!$B$5:$AD$15,19,FALSE)*E429/10000/1.11*0.11,0),0)</f>
        <v>0</v>
      </c>
      <c r="AQ394" s="276">
        <f>IFERROR(IF(VLOOKUP($B$390,'9.项目开发计划表'!$C$5:$AH$16,33,FALSE)=AO$374&amp;"年"&amp;AQ$375,VLOOKUP($B$390,'8.项目规划指标表'!$B$5:$AD$15,19,FALSE)*E429/10000/1.11*0.11,0),0)</f>
        <v>0</v>
      </c>
      <c r="AR394" s="277">
        <f>IFERROR(IF(VLOOKUP($B$390,'9.项目开发计划表'!$C$5:$AH$16,33,FALSE)=AO$374&amp;"年"&amp;AR$375,VLOOKUP($B$390,'8.项目规划指标表'!$B$5:$AD$15,19,FALSE)*E429/10000/1.11*0.11,0),0)</f>
        <v>0</v>
      </c>
      <c r="AS394" s="275">
        <f>IFERROR(IF(VLOOKUP($B$390,'9.项目开发计划表'!$C$5:$AH$16,33,FALSE)=AS$374&amp;"年"&amp;AS$375,VLOOKUP($B$390,'8.项目规划指标表'!$B$5:$AD$15,19,FALSE)*E429/10000/1.11*0.11,0),0)</f>
        <v>0</v>
      </c>
      <c r="AT394" s="276">
        <f>IFERROR(IF(VLOOKUP($B$390,'9.项目开发计划表'!$C$5:$AH$16,33,FALSE)=AS$374&amp;"年"&amp;AT$375,VLOOKUP($B$390,'8.项目规划指标表'!$B$5:$AD$15,19,FALSE)*E429/10000/1.11*0.11,0),0)</f>
        <v>0</v>
      </c>
      <c r="AU394" s="276">
        <f>IFERROR(IF(VLOOKUP($B$390,'9.项目开发计划表'!$C$5:$AH$16,33,FALSE)=AS$374&amp;"年"&amp;AU$375,VLOOKUP($B$390,'8.项目规划指标表'!$B$5:$AD$15,19,FALSE)*E429/10000/1.11*0.11,0),0)</f>
        <v>0</v>
      </c>
      <c r="AV394" s="277">
        <f>IFERROR(IF(VLOOKUP($B$390,'9.项目开发计划表'!$C$5:$AH$16,33,FALSE)=AS$374&amp;"年"&amp;AV$375,VLOOKUP($B$390,'8.项目规划指标表'!$B$5:$AD$15,19,FALSE)*E429/10000/1.11*0.11,0),0)</f>
        <v>0</v>
      </c>
    </row>
    <row r="395" spans="2:48" s="256" customFormat="1" ht="15.75" customHeight="1">
      <c r="B395" s="1975"/>
      <c r="C395" s="268" t="s">
        <v>23</v>
      </c>
      <c r="D395" s="331">
        <f t="shared" si="142"/>
        <v>0</v>
      </c>
      <c r="E395" s="324">
        <f>IFERROR(IF(VLOOKUP($B$390,'9.项目开发计划表'!$C$5:$AH$16,33,FALSE)=E$374&amp;"年"&amp;E$375,VLOOKUP($B$390,'8.项目规划指标表'!$B$5:$AD$15,23,FALSE)*E430/10000/1.11*0.11,0),0)</f>
        <v>0</v>
      </c>
      <c r="F395" s="325">
        <f>IFERROR(IF(VLOOKUP($B$390,'9.项目开发计划表'!$C$5:$AH$16,33,FALSE)=E$374&amp;"年"&amp;F$375,VLOOKUP($B$390,'8.项目规划指标表'!$B$5:$AD$15,23,FALSE)*E430/10000/1.11*0.11,0),0)</f>
        <v>0</v>
      </c>
      <c r="G395" s="325">
        <f>IFERROR(IF(VLOOKUP($B$390,'9.项目开发计划表'!$C$5:$AH$16,33,FALSE)=E$374&amp;"年"&amp;G$375,VLOOKUP($B$390,'8.项目规划指标表'!$B$5:$AD$15,23,FALSE)*E430/10000/1.11*0.11,0),0)</f>
        <v>0</v>
      </c>
      <c r="H395" s="326">
        <f>IFERROR(IF(VLOOKUP($B$390,'9.项目开发计划表'!$C$5:$AH$16,33,FALSE)=E$374&amp;"年"&amp;H$375,VLOOKUP($B$390,'8.项目规划指标表'!$B$5:$AD$15,23,FALSE)*E430/10000/1.11*0.11,0),0)</f>
        <v>0</v>
      </c>
      <c r="I395" s="324">
        <f>IFERROR(IF(VLOOKUP($B$390,'9.项目开发计划表'!$C$5:$AH$16,33,FALSE)=I$374&amp;"年"&amp;I$375,VLOOKUP($B$390,'8.项目规划指标表'!$B$5:$AD$15,23,FALSE)*E430/10000/1.11*0.11,0),0)</f>
        <v>0</v>
      </c>
      <c r="J395" s="325">
        <f>IFERROR(IF(VLOOKUP($B$390,'9.项目开发计划表'!$C$5:$AH$16,33,FALSE)=I$374&amp;"年"&amp;J$375,VLOOKUP($B$390,'8.项目规划指标表'!$B$5:$AD$15,23,FALSE)*E430/10000/1.11*0.11,0),0)</f>
        <v>0</v>
      </c>
      <c r="K395" s="325">
        <f>IFERROR(IF(VLOOKUP($B$390,'9.项目开发计划表'!$C$5:$AH$16,33,FALSE)=I$374&amp;"年"&amp;K$375,VLOOKUP($B$390,'8.项目规划指标表'!$B$5:$AD$15,23,FALSE)*E430/10000/1.11*0.11,0),0)</f>
        <v>0</v>
      </c>
      <c r="L395" s="326">
        <f>IFERROR(IF(VLOOKUP($B$390,'9.项目开发计划表'!$C$5:$AH$16,33,FALSE)=I$374&amp;"年"&amp;L$375,VLOOKUP($B$390,'8.项目规划指标表'!$B$5:$AD$15,23,FALSE)*E430/10000/1.11*0.11,0),0)</f>
        <v>0</v>
      </c>
      <c r="M395" s="324">
        <f>IFERROR(IF(VLOOKUP($B$390,'9.项目开发计划表'!$C$5:$AH$16,33,FALSE)=M$374&amp;"年"&amp;M$375,VLOOKUP($B$390,'8.项目规划指标表'!$B$5:$AD$15,23,FALSE)*E430/10000/1.11*0.11,0),0)</f>
        <v>0</v>
      </c>
      <c r="N395" s="325">
        <f>IFERROR(IF(VLOOKUP($B$390,'9.项目开发计划表'!$C$5:$AH$16,33,FALSE)=M$374&amp;"年"&amp;N$375,VLOOKUP($B$390,'8.项目规划指标表'!$B$5:$AD$15,23,FALSE)*E430/10000/1.11*0.11,0),0)</f>
        <v>0</v>
      </c>
      <c r="O395" s="325">
        <f>IFERROR(IF(VLOOKUP($B$390,'9.项目开发计划表'!$C$5:$AH$16,33,FALSE)=M$374&amp;"年"&amp;O$375,VLOOKUP($B$390,'8.项目规划指标表'!$B$5:$AD$15,23,FALSE)*E430/10000/1.11*0.11,0),0)</f>
        <v>0</v>
      </c>
      <c r="P395" s="326">
        <f>IFERROR(IF(VLOOKUP($B$390,'9.项目开发计划表'!$C$5:$AH$16,33,FALSE)=M$374&amp;"年"&amp;P$375,VLOOKUP($B$390,'8.项目规划指标表'!$B$5:$AD$15,23,FALSE)*E430/10000/1.11*0.11,0),0)</f>
        <v>0</v>
      </c>
      <c r="Q395" s="324">
        <f>IFERROR(IF(VLOOKUP($B$390,'9.项目开发计划表'!$C$5:$AH$16,33,FALSE)=Q$374&amp;"年"&amp;Q$375,VLOOKUP($B$390,'8.项目规划指标表'!$B$5:$AD$15,23,FALSE)*E430/10000/1.11*0.11,0),0)</f>
        <v>0</v>
      </c>
      <c r="R395" s="325">
        <f>IFERROR(IF(VLOOKUP($B$390,'9.项目开发计划表'!$C$5:$AH$16,33,FALSE)=Q$374&amp;"年"&amp;R$375,VLOOKUP($B$390,'8.项目规划指标表'!$B$5:$AD$15,23,FALSE)*E430/10000/1.11*0.11,0),0)</f>
        <v>0</v>
      </c>
      <c r="S395" s="325">
        <f>IFERROR(IF(VLOOKUP($B$390,'9.项目开发计划表'!$C$5:$AH$16,33,FALSE)=Q$374&amp;"年"&amp;S$375,VLOOKUP($B$390,'8.项目规划指标表'!$B$5:$AD$15,23,FALSE)*E430/10000/1.11*0.11,0),0)</f>
        <v>0</v>
      </c>
      <c r="T395" s="326">
        <f>IFERROR(IF(VLOOKUP($B$390,'9.项目开发计划表'!$C$5:$AH$16,33,FALSE)=Q$374&amp;"年"&amp;T$375,VLOOKUP($B$390,'8.项目规划指标表'!$B$5:$AD$15,23,FALSE)*E430/10000/1.11*0.11,0),0)</f>
        <v>0</v>
      </c>
      <c r="U395" s="324">
        <f>IFERROR(IF(VLOOKUP($B$390,'9.项目开发计划表'!$C$5:$AH$16,33,FALSE)=U$374&amp;"年"&amp;U$375,VLOOKUP($B$390,'8.项目规划指标表'!$B$5:$AD$15,23,FALSE)*E430/10000/1.11*0.11,0),0)</f>
        <v>0</v>
      </c>
      <c r="V395" s="325">
        <f>IFERROR(IF(VLOOKUP($B$390,'9.项目开发计划表'!$C$5:$AH$16,33,FALSE)=U$374&amp;"年"&amp;V$375,VLOOKUP($B$390,'8.项目规划指标表'!$B$5:$AD$15,23,FALSE)*E430/10000/1.11*0.11,0),0)</f>
        <v>0</v>
      </c>
      <c r="W395" s="325">
        <f>IFERROR(IF(VLOOKUP($B$390,'9.项目开发计划表'!$C$5:$AH$16,33,FALSE)=U$374&amp;"年"&amp;W$375,VLOOKUP($B$390,'8.项目规划指标表'!$B$5:$AD$15,23,FALSE)*E430/10000/1.11*0.11,0),0)</f>
        <v>0</v>
      </c>
      <c r="X395" s="326">
        <f>IFERROR(IF(VLOOKUP($B$390,'9.项目开发计划表'!$C$5:$AH$16,33,FALSE)=U$374&amp;"年"&amp;X$375,VLOOKUP($B$390,'8.项目规划指标表'!$B$5:$AD$15,23,FALSE)*E430/10000/1.11*0.11,0),0)</f>
        <v>0</v>
      </c>
      <c r="Y395" s="324">
        <f>IFERROR(IF(VLOOKUP($B$390,'9.项目开发计划表'!$C$5:$AH$16,33,FALSE)=Y$374&amp;"年"&amp;Y$375,VLOOKUP($B$390,'8.项目规划指标表'!$B$5:$AD$15,23,FALSE)*E430/10000/1.11*0.11,0),0)</f>
        <v>0</v>
      </c>
      <c r="Z395" s="325">
        <f>IFERROR(IF(VLOOKUP($B$390,'9.项目开发计划表'!$C$5:$AH$16,33,FALSE)=Y$374&amp;"年"&amp;Z$375,VLOOKUP($B$390,'8.项目规划指标表'!$B$5:$AD$15,23,FALSE)*E430/10000/1.11*0.11,0),0)</f>
        <v>0</v>
      </c>
      <c r="AA395" s="325">
        <f>IFERROR(IF(VLOOKUP($B$390,'9.项目开发计划表'!$C$5:$AH$16,33,FALSE)=Y$374&amp;"年"&amp;AA$375,VLOOKUP($B$390,'8.项目规划指标表'!$B$5:$AD$15,23,FALSE)*E430/10000/1.11*0.11,0),0)</f>
        <v>0</v>
      </c>
      <c r="AB395" s="326">
        <f>IFERROR(IF(VLOOKUP($B$390,'9.项目开发计划表'!$C$5:$AH$16,33,FALSE)=Y$374&amp;"年"&amp;AB$375,VLOOKUP($B$390,'8.项目规划指标表'!$B$5:$AD$15,23,FALSE)*E430/10000/1.11*0.11,0),0)</f>
        <v>0</v>
      </c>
      <c r="AC395" s="324">
        <f>IFERROR(IF(VLOOKUP($B$390,'9.项目开发计划表'!$C$5:$AH$16,33,FALSE)=AC$374&amp;"年"&amp;AC$375,VLOOKUP($B$390,'8.项目规划指标表'!$B$5:$AD$15,23,FALSE)*E430/10000/1.11*0.11,0),0)</f>
        <v>0</v>
      </c>
      <c r="AD395" s="325">
        <f>IFERROR(IF(VLOOKUP($B$390,'9.项目开发计划表'!$C$5:$AH$16,33,FALSE)=AC$374&amp;"年"&amp;AD$375,VLOOKUP($B$390,'8.项目规划指标表'!$B$5:$AD$15,23,FALSE)*E430/10000/1.11*0.11,0),0)</f>
        <v>0</v>
      </c>
      <c r="AE395" s="325">
        <f>IFERROR(IF(VLOOKUP($B$390,'9.项目开发计划表'!$C$5:$AH$16,33,FALSE)=AC$374&amp;"年"&amp;AE$375,VLOOKUP($B$390,'8.项目规划指标表'!$B$5:$AD$15,23,FALSE)*E430/10000/1.11*0.11,0),0)</f>
        <v>0</v>
      </c>
      <c r="AF395" s="326">
        <f>IFERROR(IF(VLOOKUP($B$390,'9.项目开发计划表'!$C$5:$AH$16,33,FALSE)=AC$374&amp;"年"&amp;AF$375,VLOOKUP($B$390,'8.项目规划指标表'!$B$5:$AD$15,23,FALSE)*E430/10000/1.11*0.11,0),0)</f>
        <v>0</v>
      </c>
      <c r="AG395" s="324">
        <f>IFERROR(IF(VLOOKUP($B$390,'9.项目开发计划表'!$C$5:$AH$16,33,FALSE)=AG$374&amp;"年"&amp;AG$375,VLOOKUP($B$390,'8.项目规划指标表'!$B$5:$AD$15,23,FALSE)*E430/10000/1.11*0.11,0),0)</f>
        <v>0</v>
      </c>
      <c r="AH395" s="325">
        <f>IFERROR(IF(VLOOKUP($B$390,'9.项目开发计划表'!$C$5:$AH$16,33,FALSE)=AG$374&amp;"年"&amp;AH$375,VLOOKUP($B$390,'8.项目规划指标表'!$B$5:$AD$15,23,FALSE)*E430/10000/1.11*0.11,0),0)</f>
        <v>0</v>
      </c>
      <c r="AI395" s="325">
        <f>IFERROR(IF(VLOOKUP($B$390,'9.项目开发计划表'!$C$5:$AH$16,33,FALSE)=AG$374&amp;"年"&amp;AI$375,VLOOKUP($B$390,'8.项目规划指标表'!$B$5:$AD$15,23,FALSE)*E430/10000/1.11*0.11,0),0)</f>
        <v>0</v>
      </c>
      <c r="AJ395" s="326">
        <f>IFERROR(IF(VLOOKUP($B$390,'9.项目开发计划表'!$C$5:$AH$16,33,FALSE)=AG$374&amp;"年"&amp;AJ$375,VLOOKUP($B$390,'8.项目规划指标表'!$B$5:$AD$15,23,FALSE)*E430/10000/1.11*0.11,0),0)</f>
        <v>0</v>
      </c>
      <c r="AK395" s="324">
        <f>IFERROR(IF(VLOOKUP($B$390,'9.项目开发计划表'!$C$5:$AH$16,33,FALSE)=AK$374&amp;"年"&amp;AK$375,VLOOKUP($B$390,'8.项目规划指标表'!$B$5:$AD$15,23,FALSE)*E430/10000/1.11*0.11,0),0)</f>
        <v>0</v>
      </c>
      <c r="AL395" s="325">
        <f>IFERROR(IF(VLOOKUP($B$390,'9.项目开发计划表'!$C$5:$AH$16,33,FALSE)=AK$374&amp;"年"&amp;AL$375,VLOOKUP($B$390,'8.项目规划指标表'!$B$5:$AD$15,23,FALSE)*E430/10000/1.11*0.11,0),0)</f>
        <v>0</v>
      </c>
      <c r="AM395" s="325">
        <f>IFERROR(IF(VLOOKUP($B$390,'9.项目开发计划表'!$C$5:$AH$16,33,FALSE)=AK$374&amp;"年"&amp;AM$375,VLOOKUP($B$390,'8.项目规划指标表'!$B$5:$AD$15,23,FALSE)*E430/10000/1.11*0.11,0),0)</f>
        <v>0</v>
      </c>
      <c r="AN395" s="326">
        <f>IFERROR(IF(VLOOKUP($B$390,'9.项目开发计划表'!$C$5:$AH$16,33,FALSE)=AK$374&amp;"年"&amp;AN$375,VLOOKUP($B$390,'8.项目规划指标表'!$B$5:$AD$15,23,FALSE)*E430/10000/1.11*0.11,0),0)</f>
        <v>0</v>
      </c>
      <c r="AO395" s="324">
        <f>IFERROR(IF(VLOOKUP($B$390,'9.项目开发计划表'!$C$5:$AH$16,33,FALSE)=AO$374&amp;"年"&amp;AO$375,VLOOKUP($B$390,'8.项目规划指标表'!$B$5:$AD$15,23,FALSE)*E430/10000/1.11*0.11,0),0)</f>
        <v>0</v>
      </c>
      <c r="AP395" s="325">
        <f>IFERROR(IF(VLOOKUP($B$390,'9.项目开发计划表'!$C$5:$AH$16,33,FALSE)=AO$374&amp;"年"&amp;AP$375,VLOOKUP($B$390,'8.项目规划指标表'!$B$5:$AD$15,23,FALSE)*E430/10000/1.11*0.11,0),0)</f>
        <v>0</v>
      </c>
      <c r="AQ395" s="325">
        <f>IFERROR(IF(VLOOKUP($B$390,'9.项目开发计划表'!$C$5:$AH$16,33,FALSE)=AO$374&amp;"年"&amp;AQ$375,VLOOKUP($B$390,'8.项目规划指标表'!$B$5:$AD$15,23,FALSE)*E430/10000/1.11*0.11,0),0)</f>
        <v>0</v>
      </c>
      <c r="AR395" s="326">
        <f>IFERROR(IF(VLOOKUP($B$390,'9.项目开发计划表'!$C$5:$AH$16,33,FALSE)=AO$374&amp;"年"&amp;AR$375,VLOOKUP($B$390,'8.项目规划指标表'!$B$5:$AD$15,23,FALSE)*E430/10000/1.11*0.11,0),0)</f>
        <v>0</v>
      </c>
      <c r="AS395" s="324">
        <f>IFERROR(IF(VLOOKUP($B$390,'9.项目开发计划表'!$C$5:$AH$16,33,FALSE)=AS$374&amp;"年"&amp;AS$375,VLOOKUP($B$390,'8.项目规划指标表'!$B$5:$AD$15,23,FALSE)*E430/10000/1.11*0.11,0),0)</f>
        <v>0</v>
      </c>
      <c r="AT395" s="325">
        <f>IFERROR(IF(VLOOKUP($B$390,'9.项目开发计划表'!$C$5:$AH$16,33,FALSE)=AS$374&amp;"年"&amp;AT$375,VLOOKUP($B$390,'8.项目规划指标表'!$B$5:$AD$15,23,FALSE)*E430/10000/1.11*0.11,0),0)</f>
        <v>0</v>
      </c>
      <c r="AU395" s="325">
        <f>IFERROR(IF(VLOOKUP($B$390,'9.项目开发计划表'!$C$5:$AH$16,33,FALSE)=AS$374&amp;"年"&amp;AU$375,VLOOKUP($B$390,'8.项目规划指标表'!$B$5:$AD$15,23,FALSE)*E430/10000/1.11*0.11,0),0)</f>
        <v>0</v>
      </c>
      <c r="AV395" s="326">
        <f>IFERROR(IF(VLOOKUP($B$390,'9.项目开发计划表'!$C$5:$AH$16,33,FALSE)=AS$374&amp;"年"&amp;AV$375,VLOOKUP($B$390,'8.项目规划指标表'!$B$5:$AD$15,23,FALSE)*E430/10000/1.11*0.11,0),0)</f>
        <v>0</v>
      </c>
    </row>
    <row r="396" spans="2:48" s="256" customFormat="1" ht="15.75" customHeight="1">
      <c r="B396" s="1976"/>
      <c r="C396" s="278" t="s">
        <v>24</v>
      </c>
      <c r="D396" s="279">
        <f t="shared" si="142"/>
        <v>0</v>
      </c>
      <c r="E396" s="280">
        <f>IFERROR(IF(VLOOKUP($B$390,'9.项目开发计划表'!$C$5:$AH$16,33,FALSE)=E$374&amp;"年"&amp;E$375,VLOOKUP($B$390,'8.项目规划指标表'!$B$5:$AD$15,27,FALSE)*E431/10000/1.11*0.11,0),0)</f>
        <v>0</v>
      </c>
      <c r="F396" s="281">
        <f>IFERROR(IF(VLOOKUP($B$390,'9.项目开发计划表'!$C$5:$AH$16,33,FALSE)=E$374&amp;"年"&amp;F$375,VLOOKUP($B$390,'8.项目规划指标表'!$B$5:$AD$15,27,FALSE)*E431/10000/1.11*0.11,0),0)</f>
        <v>0</v>
      </c>
      <c r="G396" s="281">
        <f>IFERROR(IF(VLOOKUP($B$390,'9.项目开发计划表'!$C$5:$AH$16,33,FALSE)=E$374&amp;"年"&amp;G$375,VLOOKUP($B$390,'8.项目规划指标表'!$B$5:$AD$15,27,FALSE)*E431/10000/1.11*0.11,0),0)</f>
        <v>0</v>
      </c>
      <c r="H396" s="282">
        <f>IFERROR(IF(VLOOKUP($B$390,'9.项目开发计划表'!$C$5:$AH$16,33,FALSE)=E$374&amp;"年"&amp;H$375,VLOOKUP($B$390,'8.项目规划指标表'!$B$5:$AD$15,27,FALSE)*E431/10000/1.11*0.11,0),0)</f>
        <v>0</v>
      </c>
      <c r="I396" s="280">
        <f>IFERROR(IF(VLOOKUP($B$390,'9.项目开发计划表'!$C$5:$AH$16,33,FALSE)=I$374&amp;"年"&amp;I$375,VLOOKUP($B$390,'8.项目规划指标表'!$B$5:$AD$15,27,FALSE)*E431/10000/1.11*0.11,0),0)</f>
        <v>0</v>
      </c>
      <c r="J396" s="281">
        <f>IFERROR(IF(VLOOKUP($B$390,'9.项目开发计划表'!$C$5:$AH$16,33,FALSE)=I$374&amp;"年"&amp;J$375,VLOOKUP($B$390,'8.项目规划指标表'!$B$5:$AD$15,27,FALSE)*E431/10000/1.11*0.11,0),0)</f>
        <v>0</v>
      </c>
      <c r="K396" s="281">
        <f>IFERROR(IF(VLOOKUP($B$390,'9.项目开发计划表'!$C$5:$AH$16,33,FALSE)=I$374&amp;"年"&amp;K$375,VLOOKUP($B$390,'8.项目规划指标表'!$B$5:$AD$15,27,FALSE)*E431/10000/1.11*0.11,0),0)</f>
        <v>0</v>
      </c>
      <c r="L396" s="282">
        <f>IFERROR(IF(VLOOKUP($B$390,'9.项目开发计划表'!$C$5:$AH$16,33,FALSE)=I$374&amp;"年"&amp;L$375,VLOOKUP($B$390,'8.项目规划指标表'!$B$5:$AD$15,27,FALSE)*E431/10000/1.11*0.11,0),0)</f>
        <v>0</v>
      </c>
      <c r="M396" s="280">
        <f>IFERROR(IF(VLOOKUP($B$390,'9.项目开发计划表'!$C$5:$AH$16,33,FALSE)=M$374&amp;"年"&amp;M$375,VLOOKUP($B$390,'8.项目规划指标表'!$B$5:$AD$15,27,FALSE)*E431/10000/1.11*0.11,0),0)</f>
        <v>0</v>
      </c>
      <c r="N396" s="281">
        <f>IFERROR(IF(VLOOKUP($B$390,'9.项目开发计划表'!$C$5:$AH$16,33,FALSE)=M$374&amp;"年"&amp;N$375,VLOOKUP($B$390,'8.项目规划指标表'!$B$5:$AD$15,27,FALSE)*E431/10000/1.11*0.11,0),0)</f>
        <v>0</v>
      </c>
      <c r="O396" s="281">
        <f>IFERROR(IF(VLOOKUP($B$390,'9.项目开发计划表'!$C$5:$AH$16,33,FALSE)=M$374&amp;"年"&amp;O$375,VLOOKUP($B$390,'8.项目规划指标表'!$B$5:$AD$15,27,FALSE)*E431/10000/1.11*0.11,0),0)</f>
        <v>0</v>
      </c>
      <c r="P396" s="282">
        <f>IFERROR(IF(VLOOKUP($B$390,'9.项目开发计划表'!$C$5:$AH$16,33,FALSE)=M$374&amp;"年"&amp;P$375,VLOOKUP($B$390,'8.项目规划指标表'!$B$5:$AD$15,27,FALSE)*E431/10000/1.11*0.11,0),0)</f>
        <v>0</v>
      </c>
      <c r="Q396" s="280">
        <f>IFERROR(IF(VLOOKUP($B$390,'9.项目开发计划表'!$C$5:$AH$16,33,FALSE)=Q$374&amp;"年"&amp;Q$375,VLOOKUP($B$390,'8.项目规划指标表'!$B$5:$AD$15,27,FALSE)*E431/10000/1.11*0.11,0),0)</f>
        <v>0</v>
      </c>
      <c r="R396" s="281">
        <f>IFERROR(IF(VLOOKUP($B$390,'9.项目开发计划表'!$C$5:$AH$16,33,FALSE)=Q$374&amp;"年"&amp;R$375,VLOOKUP($B$390,'8.项目规划指标表'!$B$5:$AD$15,27,FALSE)*E431/10000/1.11*0.11,0),0)</f>
        <v>0</v>
      </c>
      <c r="S396" s="281">
        <f>IFERROR(IF(VLOOKUP($B$390,'9.项目开发计划表'!$C$5:$AH$16,33,FALSE)=Q$374&amp;"年"&amp;S$375,VLOOKUP($B$390,'8.项目规划指标表'!$B$5:$AD$15,27,FALSE)*E431/10000/1.11*0.11,0),0)</f>
        <v>0</v>
      </c>
      <c r="T396" s="282">
        <f>IFERROR(IF(VLOOKUP($B$390,'9.项目开发计划表'!$C$5:$AH$16,33,FALSE)=Q$374&amp;"年"&amp;T$375,VLOOKUP($B$390,'8.项目规划指标表'!$B$5:$AD$15,27,FALSE)*E431/10000/1.11*0.11,0),0)</f>
        <v>0</v>
      </c>
      <c r="U396" s="280">
        <f>IFERROR(IF(VLOOKUP($B$390,'9.项目开发计划表'!$C$5:$AH$16,33,FALSE)=U$374&amp;"年"&amp;U$375,VLOOKUP($B$390,'8.项目规划指标表'!$B$5:$AD$15,27,FALSE)*E431/10000/1.11*0.11,0),0)</f>
        <v>0</v>
      </c>
      <c r="V396" s="281">
        <f>IFERROR(IF(VLOOKUP($B$390,'9.项目开发计划表'!$C$5:$AH$16,33,FALSE)=U$374&amp;"年"&amp;V$375,VLOOKUP($B$390,'8.项目规划指标表'!$B$5:$AD$15,27,FALSE)*E431/10000/1.11*0.11,0),0)</f>
        <v>0</v>
      </c>
      <c r="W396" s="281">
        <f>IFERROR(IF(VLOOKUP($B$390,'9.项目开发计划表'!$C$5:$AH$16,33,FALSE)=U$374&amp;"年"&amp;W$375,VLOOKUP($B$390,'8.项目规划指标表'!$B$5:$AD$15,27,FALSE)*E431/10000/1.11*0.11,0),0)</f>
        <v>0</v>
      </c>
      <c r="X396" s="282">
        <f>IFERROR(IF(VLOOKUP($B$390,'9.项目开发计划表'!$C$5:$AH$16,33,FALSE)=U$374&amp;"年"&amp;X$375,VLOOKUP($B$390,'8.项目规划指标表'!$B$5:$AD$15,27,FALSE)*E431/10000/1.11*0.11,0),0)</f>
        <v>0</v>
      </c>
      <c r="Y396" s="280">
        <f>IFERROR(IF(VLOOKUP($B$390,'9.项目开发计划表'!$C$5:$AH$16,33,FALSE)=Y$374&amp;"年"&amp;Y$375,VLOOKUP($B$390,'8.项目规划指标表'!$B$5:$AD$15,27,FALSE)*E431/10000/1.11*0.11,0),0)</f>
        <v>0</v>
      </c>
      <c r="Z396" s="281">
        <f>IFERROR(IF(VLOOKUP($B$390,'9.项目开发计划表'!$C$5:$AH$16,33,FALSE)=Y$374&amp;"年"&amp;Z$375,VLOOKUP($B$390,'8.项目规划指标表'!$B$5:$AD$15,27,FALSE)*E431/10000/1.11*0.11,0),0)</f>
        <v>0</v>
      </c>
      <c r="AA396" s="281">
        <f>IFERROR(IF(VLOOKUP($B$390,'9.项目开发计划表'!$C$5:$AH$16,33,FALSE)=Y$374&amp;"年"&amp;AA$375,VLOOKUP($B$390,'8.项目规划指标表'!$B$5:$AD$15,27,FALSE)*E431/10000/1.11*0.11,0),0)</f>
        <v>0</v>
      </c>
      <c r="AB396" s="282">
        <f>IFERROR(IF(VLOOKUP($B$390,'9.项目开发计划表'!$C$5:$AH$16,33,FALSE)=Y$374&amp;"年"&amp;AB$375,VLOOKUP($B$390,'8.项目规划指标表'!$B$5:$AD$15,27,FALSE)*E431/10000/1.11*0.11,0),0)</f>
        <v>0</v>
      </c>
      <c r="AC396" s="280">
        <f>IFERROR(IF(VLOOKUP($B$390,'9.项目开发计划表'!$C$5:$AH$16,33,FALSE)=AC$374&amp;"年"&amp;AC$375,VLOOKUP($B$390,'8.项目规划指标表'!$B$5:$AD$15,27,FALSE)*E431/10000/1.11*0.11,0),0)</f>
        <v>0</v>
      </c>
      <c r="AD396" s="281">
        <f>IFERROR(IF(VLOOKUP($B$390,'9.项目开发计划表'!$C$5:$AH$16,33,FALSE)=AC$374&amp;"年"&amp;AD$375,VLOOKUP($B$390,'8.项目规划指标表'!$B$5:$AD$15,27,FALSE)*E431/10000/1.11*0.11,0),0)</f>
        <v>0</v>
      </c>
      <c r="AE396" s="281">
        <f>IFERROR(IF(VLOOKUP($B$390,'9.项目开发计划表'!$C$5:$AH$16,33,FALSE)=AC$374&amp;"年"&amp;AE$375,VLOOKUP($B$390,'8.项目规划指标表'!$B$5:$AD$15,27,FALSE)*E431/10000/1.11*0.11,0),0)</f>
        <v>0</v>
      </c>
      <c r="AF396" s="282">
        <f>IFERROR(IF(VLOOKUP($B$390,'9.项目开发计划表'!$C$5:$AH$16,33,FALSE)=AC$374&amp;"年"&amp;AF$375,VLOOKUP($B$390,'8.项目规划指标表'!$B$5:$AD$15,27,FALSE)*E431/10000/1.11*0.11,0),0)</f>
        <v>0</v>
      </c>
      <c r="AG396" s="280">
        <f>IFERROR(IF(VLOOKUP($B$390,'9.项目开发计划表'!$C$5:$AH$16,33,FALSE)=AG$374&amp;"年"&amp;AG$375,VLOOKUP($B$390,'8.项目规划指标表'!$B$5:$AD$15,27,FALSE)*E431/10000/1.11*0.11,0),0)</f>
        <v>0</v>
      </c>
      <c r="AH396" s="281">
        <f>IFERROR(IF(VLOOKUP($B$390,'9.项目开发计划表'!$C$5:$AH$16,33,FALSE)=AG$374&amp;"年"&amp;AH$375,VLOOKUP($B$390,'8.项目规划指标表'!$B$5:$AD$15,27,FALSE)*E431/10000/1.11*0.11,0),0)</f>
        <v>0</v>
      </c>
      <c r="AI396" s="281">
        <f>IFERROR(IF(VLOOKUP($B$390,'9.项目开发计划表'!$C$5:$AH$16,33,FALSE)=AG$374&amp;"年"&amp;AI$375,VLOOKUP($B$390,'8.项目规划指标表'!$B$5:$AD$15,27,FALSE)*E431/10000/1.11*0.11,0),0)</f>
        <v>0</v>
      </c>
      <c r="AJ396" s="282">
        <f>IFERROR(IF(VLOOKUP($B$390,'9.项目开发计划表'!$C$5:$AH$16,33,FALSE)=AG$374&amp;"年"&amp;AJ$375,VLOOKUP($B$390,'8.项目规划指标表'!$B$5:$AD$15,27,FALSE)*E431/10000/1.11*0.11,0),0)</f>
        <v>0</v>
      </c>
      <c r="AK396" s="280">
        <f>IFERROR(IF(VLOOKUP($B$390,'9.项目开发计划表'!$C$5:$AH$16,33,FALSE)=AK$374&amp;"年"&amp;AK$375,VLOOKUP($B$390,'8.项目规划指标表'!$B$5:$AD$15,27,FALSE)*E431/10000/1.11*0.11,0),0)</f>
        <v>0</v>
      </c>
      <c r="AL396" s="281">
        <f>IFERROR(IF(VLOOKUP($B$390,'9.项目开发计划表'!$C$5:$AH$16,33,FALSE)=AK$374&amp;"年"&amp;AL$375,VLOOKUP($B$390,'8.项目规划指标表'!$B$5:$AD$15,27,FALSE)*E431/10000/1.11*0.11,0),0)</f>
        <v>0</v>
      </c>
      <c r="AM396" s="281">
        <f>IFERROR(IF(VLOOKUP($B$390,'9.项目开发计划表'!$C$5:$AH$16,33,FALSE)=AK$374&amp;"年"&amp;AM$375,VLOOKUP($B$390,'8.项目规划指标表'!$B$5:$AD$15,27,FALSE)*E431/10000/1.11*0.11,0),0)</f>
        <v>0</v>
      </c>
      <c r="AN396" s="282">
        <f>IFERROR(IF(VLOOKUP($B$390,'9.项目开发计划表'!$C$5:$AH$16,33,FALSE)=AK$374&amp;"年"&amp;AN$375,VLOOKUP($B$390,'8.项目规划指标表'!$B$5:$AD$15,27,FALSE)*E431/10000/1.11*0.11,0),0)</f>
        <v>0</v>
      </c>
      <c r="AO396" s="280">
        <f>IFERROR(IF(VLOOKUP($B$390,'9.项目开发计划表'!$C$5:$AH$16,33,FALSE)=AO$374&amp;"年"&amp;AO$375,VLOOKUP($B$390,'8.项目规划指标表'!$B$5:$AD$15,27,FALSE)*E431/10000/1.11*0.11,0),0)</f>
        <v>0</v>
      </c>
      <c r="AP396" s="281">
        <f>IFERROR(IF(VLOOKUP($B$390,'9.项目开发计划表'!$C$5:$AH$16,33,FALSE)=AO$374&amp;"年"&amp;AP$375,VLOOKUP($B$390,'8.项目规划指标表'!$B$5:$AD$15,27,FALSE)*E431/10000/1.11*0.11,0),0)</f>
        <v>0</v>
      </c>
      <c r="AQ396" s="281">
        <f>IFERROR(IF(VLOOKUP($B$390,'9.项目开发计划表'!$C$5:$AH$16,33,FALSE)=AO$374&amp;"年"&amp;AQ$375,VLOOKUP($B$390,'8.项目规划指标表'!$B$5:$AD$15,27,FALSE)*E431/10000/1.11*0.11,0),0)</f>
        <v>0</v>
      </c>
      <c r="AR396" s="282">
        <f>IFERROR(IF(VLOOKUP($B$390,'9.项目开发计划表'!$C$5:$AH$16,33,FALSE)=AO$374&amp;"年"&amp;AR$375,VLOOKUP($B$390,'8.项目规划指标表'!$B$5:$AD$15,27,FALSE)*E431/10000/1.11*0.11,0),0)</f>
        <v>0</v>
      </c>
      <c r="AS396" s="280">
        <f>IFERROR(IF(VLOOKUP($B$390,'9.项目开发计划表'!$C$5:$AH$16,33,FALSE)=AS$374&amp;"年"&amp;AS$375,VLOOKUP($B$390,'8.项目规划指标表'!$B$5:$AD$15,27,FALSE)*E431/10000/1.11*0.11,0),0)</f>
        <v>0</v>
      </c>
      <c r="AT396" s="281">
        <f>IFERROR(IF(VLOOKUP($B$390,'9.项目开发计划表'!$C$5:$AH$16,33,FALSE)=AS$374&amp;"年"&amp;AT$375,VLOOKUP($B$390,'8.项目规划指标表'!$B$5:$AD$15,27,FALSE)*E431/10000/1.11*0.11,0),0)</f>
        <v>0</v>
      </c>
      <c r="AU396" s="281">
        <f>IFERROR(IF(VLOOKUP($B$390,'9.项目开发计划表'!$C$5:$AH$16,33,FALSE)=AS$374&amp;"年"&amp;AU$375,VLOOKUP($B$390,'8.项目规划指标表'!$B$5:$AD$15,27,FALSE)*E431/10000/1.11*0.11,0),0)</f>
        <v>0</v>
      </c>
      <c r="AV396" s="282">
        <f>IFERROR(IF(VLOOKUP($B$390,'9.项目开发计划表'!$C$5:$AH$16,33,FALSE)=AS$374&amp;"年"&amp;AV$375,VLOOKUP($B$390,'8.项目规划指标表'!$B$5:$AD$15,27,FALSE)*E431/10000/1.11*0.11,0),0)</f>
        <v>0</v>
      </c>
    </row>
    <row r="397" spans="2:48" s="257" customFormat="1" ht="15.75" customHeight="1">
      <c r="B397" s="1974" t="s">
        <v>823</v>
      </c>
      <c r="C397" s="295" t="s">
        <v>251</v>
      </c>
      <c r="D397" s="296">
        <f t="shared" ref="D397:AV397" si="143">SUM(D398:D403)</f>
        <v>0</v>
      </c>
      <c r="E397" s="285">
        <f t="shared" si="143"/>
        <v>0</v>
      </c>
      <c r="F397" s="296">
        <f t="shared" si="143"/>
        <v>0</v>
      </c>
      <c r="G397" s="296">
        <f t="shared" si="143"/>
        <v>0</v>
      </c>
      <c r="H397" s="298">
        <f t="shared" si="143"/>
        <v>0</v>
      </c>
      <c r="I397" s="297">
        <f t="shared" si="143"/>
        <v>0</v>
      </c>
      <c r="J397" s="296">
        <f t="shared" si="143"/>
        <v>0</v>
      </c>
      <c r="K397" s="296">
        <f t="shared" si="143"/>
        <v>0</v>
      </c>
      <c r="L397" s="298">
        <f t="shared" si="143"/>
        <v>0</v>
      </c>
      <c r="M397" s="297">
        <f t="shared" si="143"/>
        <v>0</v>
      </c>
      <c r="N397" s="296">
        <f t="shared" si="143"/>
        <v>0</v>
      </c>
      <c r="O397" s="296">
        <f t="shared" si="143"/>
        <v>0</v>
      </c>
      <c r="P397" s="298">
        <f t="shared" si="143"/>
        <v>0</v>
      </c>
      <c r="Q397" s="297">
        <f t="shared" si="143"/>
        <v>0</v>
      </c>
      <c r="R397" s="296">
        <f t="shared" si="143"/>
        <v>0</v>
      </c>
      <c r="S397" s="296">
        <f t="shared" si="143"/>
        <v>0</v>
      </c>
      <c r="T397" s="298">
        <f t="shared" si="143"/>
        <v>0</v>
      </c>
      <c r="U397" s="297">
        <f t="shared" si="143"/>
        <v>0</v>
      </c>
      <c r="V397" s="296">
        <f t="shared" si="143"/>
        <v>0</v>
      </c>
      <c r="W397" s="296">
        <f t="shared" si="143"/>
        <v>0</v>
      </c>
      <c r="X397" s="298">
        <f t="shared" si="143"/>
        <v>0</v>
      </c>
      <c r="Y397" s="297">
        <f t="shared" si="143"/>
        <v>0</v>
      </c>
      <c r="Z397" s="296">
        <f t="shared" si="143"/>
        <v>0</v>
      </c>
      <c r="AA397" s="296">
        <f t="shared" si="143"/>
        <v>0</v>
      </c>
      <c r="AB397" s="298">
        <f t="shared" si="143"/>
        <v>0</v>
      </c>
      <c r="AC397" s="297">
        <f t="shared" si="143"/>
        <v>0</v>
      </c>
      <c r="AD397" s="296">
        <f t="shared" si="143"/>
        <v>0</v>
      </c>
      <c r="AE397" s="296">
        <f t="shared" si="143"/>
        <v>0</v>
      </c>
      <c r="AF397" s="298">
        <f t="shared" si="143"/>
        <v>0</v>
      </c>
      <c r="AG397" s="297">
        <f t="shared" si="143"/>
        <v>0</v>
      </c>
      <c r="AH397" s="296">
        <f t="shared" si="143"/>
        <v>0</v>
      </c>
      <c r="AI397" s="296">
        <f t="shared" si="143"/>
        <v>0</v>
      </c>
      <c r="AJ397" s="298">
        <f t="shared" si="143"/>
        <v>0</v>
      </c>
      <c r="AK397" s="297">
        <f t="shared" si="143"/>
        <v>0</v>
      </c>
      <c r="AL397" s="296">
        <f t="shared" si="143"/>
        <v>0</v>
      </c>
      <c r="AM397" s="296">
        <f t="shared" si="143"/>
        <v>0</v>
      </c>
      <c r="AN397" s="298">
        <f t="shared" si="143"/>
        <v>0</v>
      </c>
      <c r="AO397" s="297">
        <f t="shared" si="143"/>
        <v>0</v>
      </c>
      <c r="AP397" s="296">
        <f t="shared" si="143"/>
        <v>0</v>
      </c>
      <c r="AQ397" s="296">
        <f t="shared" si="143"/>
        <v>0</v>
      </c>
      <c r="AR397" s="298">
        <f t="shared" si="143"/>
        <v>0</v>
      </c>
      <c r="AS397" s="297">
        <f t="shared" si="143"/>
        <v>0</v>
      </c>
      <c r="AT397" s="296">
        <f t="shared" si="143"/>
        <v>0</v>
      </c>
      <c r="AU397" s="296">
        <f t="shared" si="143"/>
        <v>0</v>
      </c>
      <c r="AV397" s="298">
        <f t="shared" si="143"/>
        <v>0</v>
      </c>
    </row>
    <row r="398" spans="2:48" s="256" customFormat="1" ht="15.75" customHeight="1">
      <c r="B398" s="1975"/>
      <c r="C398" s="273" t="s">
        <v>19</v>
      </c>
      <c r="D398" s="274">
        <f t="shared" ref="D398:D403" si="144">SUM(E398:AV398)</f>
        <v>0</v>
      </c>
      <c r="E398" s="275">
        <f>IFERROR(IF(VLOOKUP($B$397,'9.项目开发计划表'!$C$5:$AH$16,33,FALSE)=E$374&amp;"年"&amp;E$375,VLOOKUP($B$397,'8.项目规划指标表'!$B$5:$AD$15,7,FALSE)*F426/10000/1.11*0.11,0),0)</f>
        <v>0</v>
      </c>
      <c r="F398" s="276">
        <f>IFERROR(IF(VLOOKUP($B$397,'9.项目开发计划表'!$C$5:$AH$16,33,FALSE)=E$374&amp;"年"&amp;F$375,VLOOKUP($B$397,'8.项目规划指标表'!$B$5:$AD$15,7,FALSE)*F426/10000/1.11*0.11,0),0)</f>
        <v>0</v>
      </c>
      <c r="G398" s="276">
        <f>IFERROR(IF(VLOOKUP($B$397,'9.项目开发计划表'!$C$5:$AH$16,33,FALSE)=E$374&amp;"年"&amp;G$375,VLOOKUP($B$397,'8.项目规划指标表'!$B$5:$AD$15,7,FALSE)*F426/10000/1.11*0.11,0),0)</f>
        <v>0</v>
      </c>
      <c r="H398" s="277">
        <f>IFERROR(IF(VLOOKUP($B$397,'9.项目开发计划表'!$C$5:$AH$16,33,FALSE)=E$374&amp;"年"&amp;H$375,VLOOKUP($B$397,'8.项目规划指标表'!$B$5:$AD$15,7,FALSE)*F426/10000/1.11*0.11,0),0)</f>
        <v>0</v>
      </c>
      <c r="I398" s="275">
        <f>IFERROR(IF(VLOOKUP($B$397,'9.项目开发计划表'!$C$5:$AH$16,33,FALSE)=I$374&amp;"年"&amp;I$375,VLOOKUP($B$397,'8.项目规划指标表'!$B$5:$AD$15,7,FALSE)*F426/10000/1.11*0.11,0),0)</f>
        <v>0</v>
      </c>
      <c r="J398" s="276">
        <f>IFERROR(IF(VLOOKUP($B$397,'9.项目开发计划表'!$C$5:$AH$16,33,FALSE)=I$374&amp;"年"&amp;J$375,VLOOKUP($B$397,'8.项目规划指标表'!$B$5:$AD$15,7,FALSE)*F426/10000/1.11*0.11,0),0)</f>
        <v>0</v>
      </c>
      <c r="K398" s="276">
        <f>IFERROR(IF(VLOOKUP($B$397,'9.项目开发计划表'!$C$5:$AH$16,33,FALSE)=I$374&amp;"年"&amp;K$375,VLOOKUP($B$397,'8.项目规划指标表'!$B$5:$AD$15,7,FALSE)*F426/10000/1.11*0.11,0),0)</f>
        <v>0</v>
      </c>
      <c r="L398" s="277">
        <f>IFERROR(IF(VLOOKUP($B$397,'9.项目开发计划表'!$C$5:$AH$16,33,FALSE)=I$374&amp;"年"&amp;L$375,VLOOKUP($B$397,'8.项目规划指标表'!$B$5:$AD$15,7,FALSE)*F426/10000/1.11*0.11,0),0)</f>
        <v>0</v>
      </c>
      <c r="M398" s="275">
        <f>IFERROR(IF(VLOOKUP($B$397,'9.项目开发计划表'!$C$5:$AH$16,33,FALSE)=M$374&amp;"年"&amp;M$375,VLOOKUP($B$397,'8.项目规划指标表'!$B$5:$AD$15,7,FALSE)*F426/10000/1.11*0.11,0),0)</f>
        <v>0</v>
      </c>
      <c r="N398" s="276">
        <f>IFERROR(IF(VLOOKUP($B$397,'9.项目开发计划表'!$C$5:$AH$16,33,FALSE)=M$374&amp;"年"&amp;N$375,VLOOKUP($B$397,'8.项目规划指标表'!$B$5:$AD$15,7,FALSE)*F426/10000/1.11*0.11,0),0)</f>
        <v>0</v>
      </c>
      <c r="O398" s="276">
        <f>IFERROR(IF(VLOOKUP($B$397,'9.项目开发计划表'!$C$5:$AH$16,33,FALSE)=M$374&amp;"年"&amp;O$375,VLOOKUP($B$397,'8.项目规划指标表'!$B$5:$AD$15,7,FALSE)*F426/10000/1.11*0.11,0),0)</f>
        <v>0</v>
      </c>
      <c r="P398" s="277">
        <f>IFERROR(IF(VLOOKUP($B$397,'9.项目开发计划表'!$C$5:$AH$16,33,FALSE)=M$374&amp;"年"&amp;P$375,VLOOKUP($B$397,'8.项目规划指标表'!$B$5:$AD$15,7,FALSE)*F426/10000/1.11*0.11,0),0)</f>
        <v>0</v>
      </c>
      <c r="Q398" s="275">
        <f>IFERROR(IF(VLOOKUP($B$397,'9.项目开发计划表'!$C$5:$AH$16,33,FALSE)=Q$374&amp;"年"&amp;Q$375,VLOOKUP($B$397,'8.项目规划指标表'!$B$5:$AD$15,7,FALSE)*F426/10000/1.11*0.11,0),0)</f>
        <v>0</v>
      </c>
      <c r="R398" s="276">
        <f>IFERROR(IF(VLOOKUP($B$397,'9.项目开发计划表'!$C$5:$AH$16,33,FALSE)=Q$374&amp;"年"&amp;R$375,VLOOKUP($B$397,'8.项目规划指标表'!$B$5:$AD$15,7,FALSE)*F426/10000/1.11*0.11,0),0)</f>
        <v>0</v>
      </c>
      <c r="S398" s="276">
        <f>IFERROR(IF(VLOOKUP($B$397,'9.项目开发计划表'!$C$5:$AH$16,33,FALSE)=Q$374&amp;"年"&amp;S$375,VLOOKUP($B$397,'8.项目规划指标表'!$B$5:$AD$15,7,FALSE)*F426/10000/1.11*0.11,0),0)</f>
        <v>0</v>
      </c>
      <c r="T398" s="277">
        <f>IFERROR(IF(VLOOKUP($B$397,'9.项目开发计划表'!$C$5:$AH$16,33,FALSE)=Q$374&amp;"年"&amp;T$375,VLOOKUP($B$397,'8.项目规划指标表'!$B$5:$AD$15,7,FALSE)*F426/10000/1.11*0.11,0),0)</f>
        <v>0</v>
      </c>
      <c r="U398" s="275">
        <f>IFERROR(IF(VLOOKUP($B$397,'9.项目开发计划表'!$C$5:$AH$16,33,FALSE)=U$374&amp;"年"&amp;U$375,VLOOKUP($B$397,'8.项目规划指标表'!$B$5:$AD$15,7,FALSE)*F426/10000/1.11*0.11,0),0)</f>
        <v>0</v>
      </c>
      <c r="V398" s="276">
        <f>IFERROR(IF(VLOOKUP($B$397,'9.项目开发计划表'!$C$5:$AH$16,33,FALSE)=U$374&amp;"年"&amp;V$375,VLOOKUP($B$397,'8.项目规划指标表'!$B$5:$AD$15,7,FALSE)*F426/10000/1.11*0.11,0),0)</f>
        <v>0</v>
      </c>
      <c r="W398" s="276">
        <f>IFERROR(IF(VLOOKUP($B$397,'9.项目开发计划表'!$C$5:$AH$16,33,FALSE)=U$374&amp;"年"&amp;W$375,VLOOKUP($B$397,'8.项目规划指标表'!$B$5:$AD$15,7,FALSE)*F426/10000/1.11*0.11,0),0)</f>
        <v>0</v>
      </c>
      <c r="X398" s="277">
        <f>IFERROR(IF(VLOOKUP($B$397,'9.项目开发计划表'!$C$5:$AH$16,33,FALSE)=U$374&amp;"年"&amp;X$375,VLOOKUP($B$397,'8.项目规划指标表'!$B$5:$AD$15,7,FALSE)*F426/10000/1.11*0.11,0),0)</f>
        <v>0</v>
      </c>
      <c r="Y398" s="275">
        <f>IFERROR(IF(VLOOKUP($B$397,'9.项目开发计划表'!$C$5:$AH$16,33,FALSE)=Y$374&amp;"年"&amp;Y$375,VLOOKUP($B$397,'8.项目规划指标表'!$B$5:$AD$15,7,FALSE)*F426/10000/1.11*0.11,0),0)</f>
        <v>0</v>
      </c>
      <c r="Z398" s="276">
        <f>IFERROR(IF(VLOOKUP($B$397,'9.项目开发计划表'!$C$5:$AH$16,33,FALSE)=Y$374&amp;"年"&amp;Z$375,VLOOKUP($B$397,'8.项目规划指标表'!$B$5:$AD$15,7,FALSE)*F426/10000/1.11*0.11,0),0)</f>
        <v>0</v>
      </c>
      <c r="AA398" s="276">
        <f>IFERROR(IF(VLOOKUP($B$397,'9.项目开发计划表'!$C$5:$AH$16,33,FALSE)=Y$374&amp;"年"&amp;AA$375,VLOOKUP($B$397,'8.项目规划指标表'!$B$5:$AD$15,7,FALSE)*F426/10000/1.11*0.11,0),0)</f>
        <v>0</v>
      </c>
      <c r="AB398" s="277">
        <f>IFERROR(IF(VLOOKUP($B$397,'9.项目开发计划表'!$C$5:$AH$16,33,FALSE)=Y$374&amp;"年"&amp;AB$375,VLOOKUP($B$397,'8.项目规划指标表'!$B$5:$AD$15,7,FALSE)*F426/10000/1.11*0.11,0),0)</f>
        <v>0</v>
      </c>
      <c r="AC398" s="275">
        <f>IFERROR(IF(VLOOKUP($B$397,'9.项目开发计划表'!$C$5:$AH$16,33,FALSE)=AC$374&amp;"年"&amp;AC$375,VLOOKUP($B$397,'8.项目规划指标表'!$B$5:$AD$15,7,FALSE)*F426/10000/1.11*0.11,0),0)</f>
        <v>0</v>
      </c>
      <c r="AD398" s="276">
        <f>IFERROR(IF(VLOOKUP($B$397,'9.项目开发计划表'!$C$5:$AH$16,33,FALSE)=AC$374&amp;"年"&amp;AD$375,VLOOKUP($B$397,'8.项目规划指标表'!$B$5:$AD$15,7,FALSE)*F426/10000/1.11*0.11,0),0)</f>
        <v>0</v>
      </c>
      <c r="AE398" s="276">
        <f>IFERROR(IF(VLOOKUP($B$397,'9.项目开发计划表'!$C$5:$AH$16,33,FALSE)=AC$374&amp;"年"&amp;AE$375,VLOOKUP($B$397,'8.项目规划指标表'!$B$5:$AD$15,7,FALSE)*F426/10000/1.11*0.11,0),0)</f>
        <v>0</v>
      </c>
      <c r="AF398" s="277">
        <f>IFERROR(IF(VLOOKUP($B$397,'9.项目开发计划表'!$C$5:$AH$16,33,FALSE)=AC$374&amp;"年"&amp;AF$375,VLOOKUP($B$397,'8.项目规划指标表'!$B$5:$AD$15,7,FALSE)*F426/10000/1.11*0.11,0),0)</f>
        <v>0</v>
      </c>
      <c r="AG398" s="275">
        <f>IFERROR(IF(VLOOKUP($B$397,'9.项目开发计划表'!$C$5:$AH$16,33,FALSE)=AG$374&amp;"年"&amp;AG$375,VLOOKUP($B$397,'8.项目规划指标表'!$B$5:$AD$15,7,FALSE)*F426/10000/1.11*0.11,0),0)</f>
        <v>0</v>
      </c>
      <c r="AH398" s="276">
        <f>IFERROR(IF(VLOOKUP($B$397,'9.项目开发计划表'!$C$5:$AH$16,33,FALSE)=AG$374&amp;"年"&amp;AH$375,VLOOKUP($B$397,'8.项目规划指标表'!$B$5:$AD$15,7,FALSE)*F426/10000/1.11*0.11,0),0)</f>
        <v>0</v>
      </c>
      <c r="AI398" s="276">
        <f>IFERROR(IF(VLOOKUP($B$397,'9.项目开发计划表'!$C$5:$AH$16,33,FALSE)=AG$374&amp;"年"&amp;AI$375,VLOOKUP($B$397,'8.项目规划指标表'!$B$5:$AD$15,7,FALSE)*F426/10000/1.11*0.11,0),0)</f>
        <v>0</v>
      </c>
      <c r="AJ398" s="277">
        <f>IFERROR(IF(VLOOKUP($B$397,'9.项目开发计划表'!$C$5:$AH$16,33,FALSE)=AG$374&amp;"年"&amp;AJ$375,VLOOKUP($B$397,'8.项目规划指标表'!$B$5:$AD$15,7,FALSE)*F426/10000/1.11*0.11,0),0)</f>
        <v>0</v>
      </c>
      <c r="AK398" s="275">
        <f>IFERROR(IF(VLOOKUP($B$397,'9.项目开发计划表'!$C$5:$AH$16,33,FALSE)=AK$374&amp;"年"&amp;AK$375,VLOOKUP($B$397,'8.项目规划指标表'!$B$5:$AD$15,7,FALSE)*F426/10000/1.11*0.11,0),0)</f>
        <v>0</v>
      </c>
      <c r="AL398" s="276">
        <f>IFERROR(IF(VLOOKUP($B$397,'9.项目开发计划表'!$C$5:$AH$16,33,FALSE)=AK$374&amp;"年"&amp;AL$375,VLOOKUP($B$397,'8.项目规划指标表'!$B$5:$AD$15,7,FALSE)*F426/10000/1.11*0.11,0),0)</f>
        <v>0</v>
      </c>
      <c r="AM398" s="276">
        <f>IFERROR(IF(VLOOKUP($B$397,'9.项目开发计划表'!$C$5:$AH$16,33,FALSE)=AK$374&amp;"年"&amp;AM$375,VLOOKUP($B$397,'8.项目规划指标表'!$B$5:$AD$15,7,FALSE)*F426/10000/1.11*0.11,0),0)</f>
        <v>0</v>
      </c>
      <c r="AN398" s="277">
        <f>IFERROR(IF(VLOOKUP($B$397,'9.项目开发计划表'!$C$5:$AH$16,33,FALSE)=AK$374&amp;"年"&amp;AN$375,VLOOKUP($B$397,'8.项目规划指标表'!$B$5:$AD$15,7,FALSE)*F426/10000/1.11*0.11,0),0)</f>
        <v>0</v>
      </c>
      <c r="AO398" s="275">
        <f>IFERROR(IF(VLOOKUP($B$397,'9.项目开发计划表'!$C$5:$AH$16,33,FALSE)=AO$374&amp;"年"&amp;AO$375,VLOOKUP($B$397,'8.项目规划指标表'!$B$5:$AD$15,7,FALSE)*F426/10000/1.11*0.11,0),0)</f>
        <v>0</v>
      </c>
      <c r="AP398" s="276">
        <f>IFERROR(IF(VLOOKUP($B$397,'9.项目开发计划表'!$C$5:$AH$16,33,FALSE)=AO$374&amp;"年"&amp;AP$375,VLOOKUP($B$397,'8.项目规划指标表'!$B$5:$AD$15,7,FALSE)*F426/10000/1.11*0.11,0),0)</f>
        <v>0</v>
      </c>
      <c r="AQ398" s="276">
        <f>IFERROR(IF(VLOOKUP($B$397,'9.项目开发计划表'!$C$5:$AH$16,33,FALSE)=AO$374&amp;"年"&amp;AQ$375,VLOOKUP($B$397,'8.项目规划指标表'!$B$5:$AD$15,7,FALSE)*F426/10000/1.11*0.11,0),0)</f>
        <v>0</v>
      </c>
      <c r="AR398" s="277">
        <f>IFERROR(IF(VLOOKUP($B$397,'9.项目开发计划表'!$C$5:$AH$16,33,FALSE)=AO$374&amp;"年"&amp;AR$375,VLOOKUP($B$397,'8.项目规划指标表'!$B$5:$AD$15,7,FALSE)*F426/10000/1.11*0.11,0),0)</f>
        <v>0</v>
      </c>
      <c r="AS398" s="275">
        <f>IFERROR(IF(VLOOKUP($B$397,'9.项目开发计划表'!$C$5:$AH$16,33,FALSE)=AS$374&amp;"年"&amp;AS$375,VLOOKUP($B$397,'8.项目规划指标表'!$B$5:$AD$15,7,FALSE)*F426/10000/1.11*0.11,0),0)</f>
        <v>0</v>
      </c>
      <c r="AT398" s="276">
        <f>IFERROR(IF(VLOOKUP($B$397,'9.项目开发计划表'!$C$5:$AH$16,33,FALSE)=AS$374&amp;"年"&amp;AT$375,VLOOKUP($B$397,'8.项目规划指标表'!$B$5:$AD$15,7,FALSE)*F426/10000/1.11*0.11,0),0)</f>
        <v>0</v>
      </c>
      <c r="AU398" s="276">
        <f>IFERROR(IF(VLOOKUP($B$397,'9.项目开发计划表'!$C$5:$AH$16,33,FALSE)=AS$374&amp;"年"&amp;AU$375,VLOOKUP($B$397,'8.项目规划指标表'!$B$5:$AD$15,7,FALSE)*F426/10000/1.11*0.11,0),0)</f>
        <v>0</v>
      </c>
      <c r="AV398" s="277">
        <f>IFERROR(IF(VLOOKUP($B$397,'9.项目开发计划表'!$C$5:$AH$16,33,FALSE)=AS$374&amp;"年"&amp;AV$375,VLOOKUP($B$397,'8.项目规划指标表'!$B$5:$AD$15,7,FALSE)*F426/10000/1.11*0.11,0),0)</f>
        <v>0</v>
      </c>
    </row>
    <row r="399" spans="2:48" s="256" customFormat="1" ht="15.75" customHeight="1">
      <c r="B399" s="1975"/>
      <c r="C399" s="273" t="s">
        <v>20</v>
      </c>
      <c r="D399" s="274">
        <f t="shared" si="144"/>
        <v>0</v>
      </c>
      <c r="E399" s="275">
        <f>IFERROR(IF(VLOOKUP($B$397,'9.项目开发计划表'!$C$5:$AH$16,33,FALSE)=E$374&amp;"年"&amp;E$375,VLOOKUP($B$397,'8.项目规划指标表'!$B$5:$AD$15,11,FALSE)*F427/10000/1.11*0.11,0),0)</f>
        <v>0</v>
      </c>
      <c r="F399" s="276">
        <f>IFERROR(IF(VLOOKUP($B$397,'9.项目开发计划表'!$C$5:$AH$16,33,FALSE)=E$374&amp;"年"&amp;F$375,VLOOKUP($B$397,'8.项目规划指标表'!$B$5:$AD$15,11,FALSE)*F427/10000/1.11*0.11,0),0)</f>
        <v>0</v>
      </c>
      <c r="G399" s="276">
        <f>IFERROR(IF(VLOOKUP($B$397,'9.项目开发计划表'!$C$5:$AH$16,33,FALSE)=E$374&amp;"年"&amp;G$375,VLOOKUP($B$397,'8.项目规划指标表'!$B$5:$AD$15,11,FALSE)*F427/10000/1.11*0.11,0),0)</f>
        <v>0</v>
      </c>
      <c r="H399" s="277">
        <f>IFERROR(IF(VLOOKUP($B$397,'9.项目开发计划表'!$C$5:$AH$16,33,FALSE)=E$374&amp;"年"&amp;H$375,VLOOKUP($B$397,'8.项目规划指标表'!$B$5:$AD$15,11,FALSE)*F427/10000/1.11*0.11,0),0)</f>
        <v>0</v>
      </c>
      <c r="I399" s="275">
        <f>IFERROR(IF(VLOOKUP($B$397,'9.项目开发计划表'!$C$5:$AH$16,33,FALSE)=I$374&amp;"年"&amp;I$375,VLOOKUP($B$397,'8.项目规划指标表'!$B$5:$AD$15,11,FALSE)*F427/10000/1.11*0.11,0),0)</f>
        <v>0</v>
      </c>
      <c r="J399" s="276">
        <f>IFERROR(IF(VLOOKUP($B$397,'9.项目开发计划表'!$C$5:$AH$16,33,FALSE)=I$374&amp;"年"&amp;J$375,VLOOKUP($B$397,'8.项目规划指标表'!$B$5:$AD$15,11,FALSE)*F427/10000/1.11*0.11,0),0)</f>
        <v>0</v>
      </c>
      <c r="K399" s="276">
        <f>IFERROR(IF(VLOOKUP($B$397,'9.项目开发计划表'!$C$5:$AH$16,33,FALSE)=I$374&amp;"年"&amp;K$375,VLOOKUP($B$397,'8.项目规划指标表'!$B$5:$AD$15,11,FALSE)*F427/10000/1.11*0.11,0),0)</f>
        <v>0</v>
      </c>
      <c r="L399" s="277">
        <f>IFERROR(IF(VLOOKUP($B$397,'9.项目开发计划表'!$C$5:$AH$16,33,FALSE)=I$374&amp;"年"&amp;L$375,VLOOKUP($B$397,'8.项目规划指标表'!$B$5:$AD$15,11,FALSE)*F427/10000/1.11*0.11,0),0)</f>
        <v>0</v>
      </c>
      <c r="M399" s="275">
        <f>IFERROR(IF(VLOOKUP($B$397,'9.项目开发计划表'!$C$5:$AH$16,33,FALSE)=M$374&amp;"年"&amp;M$375,VLOOKUP($B$397,'8.项目规划指标表'!$B$5:$AD$15,11,FALSE)*F427/10000/1.11*0.11,0),0)</f>
        <v>0</v>
      </c>
      <c r="N399" s="276">
        <f>IFERROR(IF(VLOOKUP($B$397,'9.项目开发计划表'!$C$5:$AH$16,33,FALSE)=M$374&amp;"年"&amp;N$375,VLOOKUP($B$397,'8.项目规划指标表'!$B$5:$AD$15,11,FALSE)*F427/10000/1.11*0.11,0),0)</f>
        <v>0</v>
      </c>
      <c r="O399" s="276">
        <f>IFERROR(IF(VLOOKUP($B$397,'9.项目开发计划表'!$C$5:$AH$16,33,FALSE)=M$374&amp;"年"&amp;O$375,VLOOKUP($B$397,'8.项目规划指标表'!$B$5:$AD$15,11,FALSE)*F427/10000/1.11*0.11,0),0)</f>
        <v>0</v>
      </c>
      <c r="P399" s="277">
        <f>IFERROR(IF(VLOOKUP($B$397,'9.项目开发计划表'!$C$5:$AH$16,33,FALSE)=M$374&amp;"年"&amp;P$375,VLOOKUP($B$397,'8.项目规划指标表'!$B$5:$AD$15,11,FALSE)*F427/10000/1.11*0.11,0),0)</f>
        <v>0</v>
      </c>
      <c r="Q399" s="275">
        <f>IFERROR(IF(VLOOKUP($B$397,'9.项目开发计划表'!$C$5:$AH$16,33,FALSE)=Q$374&amp;"年"&amp;Q$375,VLOOKUP($B$397,'8.项目规划指标表'!$B$5:$AD$15,11,FALSE)*F427/10000/1.11*0.11,0),0)</f>
        <v>0</v>
      </c>
      <c r="R399" s="276">
        <f>IFERROR(IF(VLOOKUP($B$397,'9.项目开发计划表'!$C$5:$AH$16,33,FALSE)=Q$374&amp;"年"&amp;R$375,VLOOKUP($B$397,'8.项目规划指标表'!$B$5:$AD$15,11,FALSE)*F427/10000/1.11*0.11,0),0)</f>
        <v>0</v>
      </c>
      <c r="S399" s="276">
        <f>IFERROR(IF(VLOOKUP($B$397,'9.项目开发计划表'!$C$5:$AH$16,33,FALSE)=Q$374&amp;"年"&amp;S$375,VLOOKUP($B$397,'8.项目规划指标表'!$B$5:$AD$15,11,FALSE)*F427/10000/1.11*0.11,0),0)</f>
        <v>0</v>
      </c>
      <c r="T399" s="277">
        <f>IFERROR(IF(VLOOKUP($B$397,'9.项目开发计划表'!$C$5:$AH$16,33,FALSE)=Q$374&amp;"年"&amp;T$375,VLOOKUP($B$397,'8.项目规划指标表'!$B$5:$AD$15,11,FALSE)*F427/10000/1.11*0.11,0),0)</f>
        <v>0</v>
      </c>
      <c r="U399" s="275">
        <f>IFERROR(IF(VLOOKUP($B$397,'9.项目开发计划表'!$C$5:$AH$16,33,FALSE)=U$374&amp;"年"&amp;U$375,VLOOKUP($B$397,'8.项目规划指标表'!$B$5:$AD$15,11,FALSE)*F427/10000/1.11*0.11,0),0)</f>
        <v>0</v>
      </c>
      <c r="V399" s="276">
        <f>IFERROR(IF(VLOOKUP($B$397,'9.项目开发计划表'!$C$5:$AH$16,33,FALSE)=U$374&amp;"年"&amp;V$375,VLOOKUP($B$397,'8.项目规划指标表'!$B$5:$AD$15,11,FALSE)*F427/10000/1.11*0.11,0),0)</f>
        <v>0</v>
      </c>
      <c r="W399" s="276">
        <f>IFERROR(IF(VLOOKUP($B$397,'9.项目开发计划表'!$C$5:$AH$16,33,FALSE)=U$374&amp;"年"&amp;W$375,VLOOKUP($B$397,'8.项目规划指标表'!$B$5:$AD$15,11,FALSE)*F427/10000/1.11*0.11,0),0)</f>
        <v>0</v>
      </c>
      <c r="X399" s="277">
        <f>IFERROR(IF(VLOOKUP($B$397,'9.项目开发计划表'!$C$5:$AH$16,33,FALSE)=U$374&amp;"年"&amp;X$375,VLOOKUP($B$397,'8.项目规划指标表'!$B$5:$AD$15,11,FALSE)*F427/10000/1.11*0.11,0),0)</f>
        <v>0</v>
      </c>
      <c r="Y399" s="275">
        <f>IFERROR(IF(VLOOKUP($B$397,'9.项目开发计划表'!$C$5:$AH$16,33,FALSE)=Y$374&amp;"年"&amp;Y$375,VLOOKUP($B$397,'8.项目规划指标表'!$B$5:$AD$15,11,FALSE)*F427/10000/1.11*0.11,0),0)</f>
        <v>0</v>
      </c>
      <c r="Z399" s="276">
        <f>IFERROR(IF(VLOOKUP($B$397,'9.项目开发计划表'!$C$5:$AH$16,33,FALSE)=Y$374&amp;"年"&amp;Z$375,VLOOKUP($B$397,'8.项目规划指标表'!$B$5:$AD$15,11,FALSE)*F427/10000/1.11*0.11,0),0)</f>
        <v>0</v>
      </c>
      <c r="AA399" s="276">
        <f>IFERROR(IF(VLOOKUP($B$397,'9.项目开发计划表'!$C$5:$AH$16,33,FALSE)=Y$374&amp;"年"&amp;AA$375,VLOOKUP($B$397,'8.项目规划指标表'!$B$5:$AD$15,11,FALSE)*F427/10000/1.11*0.11,0),0)</f>
        <v>0</v>
      </c>
      <c r="AB399" s="277">
        <f>IFERROR(IF(VLOOKUP($B$397,'9.项目开发计划表'!$C$5:$AH$16,33,FALSE)=Y$374&amp;"年"&amp;AB$375,VLOOKUP($B$397,'8.项目规划指标表'!$B$5:$AD$15,11,FALSE)*F427/10000/1.11*0.11,0),0)</f>
        <v>0</v>
      </c>
      <c r="AC399" s="275">
        <f>IFERROR(IF(VLOOKUP($B$397,'9.项目开发计划表'!$C$5:$AH$16,33,FALSE)=AC$374&amp;"年"&amp;AC$375,VLOOKUP($B$397,'8.项目规划指标表'!$B$5:$AD$15,11,FALSE)*F427/10000/1.11*0.11,0),0)</f>
        <v>0</v>
      </c>
      <c r="AD399" s="276">
        <f>IFERROR(IF(VLOOKUP($B$397,'9.项目开发计划表'!$C$5:$AH$16,33,FALSE)=AC$374&amp;"年"&amp;AD$375,VLOOKUP($B$397,'8.项目规划指标表'!$B$5:$AD$15,11,FALSE)*F427/10000/1.11*0.11,0),0)</f>
        <v>0</v>
      </c>
      <c r="AE399" s="276">
        <f>IFERROR(IF(VLOOKUP($B$397,'9.项目开发计划表'!$C$5:$AH$16,33,FALSE)=AC$374&amp;"年"&amp;AE$375,VLOOKUP($B$397,'8.项目规划指标表'!$B$5:$AD$15,11,FALSE)*F427/10000/1.11*0.11,0),0)</f>
        <v>0</v>
      </c>
      <c r="AF399" s="277">
        <f>IFERROR(IF(VLOOKUP($B$397,'9.项目开发计划表'!$C$5:$AH$16,33,FALSE)=AC$374&amp;"年"&amp;AF$375,VLOOKUP($B$397,'8.项目规划指标表'!$B$5:$AD$15,11,FALSE)*F427/10000/1.11*0.11,0),0)</f>
        <v>0</v>
      </c>
      <c r="AG399" s="275">
        <f>IFERROR(IF(VLOOKUP($B$397,'9.项目开发计划表'!$C$5:$AH$16,33,FALSE)=AG$374&amp;"年"&amp;AG$375,VLOOKUP($B$397,'8.项目规划指标表'!$B$5:$AD$15,11,FALSE)*F427/10000/1.11*0.11,0),0)</f>
        <v>0</v>
      </c>
      <c r="AH399" s="276">
        <f>IFERROR(IF(VLOOKUP($B$397,'9.项目开发计划表'!$C$5:$AH$16,33,FALSE)=AG$374&amp;"年"&amp;AH$375,VLOOKUP($B$397,'8.项目规划指标表'!$B$5:$AD$15,11,FALSE)*F427/10000/1.11*0.11,0),0)</f>
        <v>0</v>
      </c>
      <c r="AI399" s="276">
        <f>IFERROR(IF(VLOOKUP($B$397,'9.项目开发计划表'!$C$5:$AH$16,33,FALSE)=AG$374&amp;"年"&amp;AI$375,VLOOKUP($B$397,'8.项目规划指标表'!$B$5:$AD$15,11,FALSE)*F427/10000/1.11*0.11,0),0)</f>
        <v>0</v>
      </c>
      <c r="AJ399" s="277">
        <f>IFERROR(IF(VLOOKUP($B$397,'9.项目开发计划表'!$C$5:$AH$16,33,FALSE)=AG$374&amp;"年"&amp;AJ$375,VLOOKUP($B$397,'8.项目规划指标表'!$B$5:$AD$15,11,FALSE)*F427/10000/1.11*0.11,0),0)</f>
        <v>0</v>
      </c>
      <c r="AK399" s="275">
        <f>IFERROR(IF(VLOOKUP($B$397,'9.项目开发计划表'!$C$5:$AH$16,33,FALSE)=AK$374&amp;"年"&amp;AK$375,VLOOKUP($B$397,'8.项目规划指标表'!$B$5:$AD$15,11,FALSE)*F427/10000/1.11*0.11,0),0)</f>
        <v>0</v>
      </c>
      <c r="AL399" s="276">
        <f>IFERROR(IF(VLOOKUP($B$397,'9.项目开发计划表'!$C$5:$AH$16,33,FALSE)=AK$374&amp;"年"&amp;AL$375,VLOOKUP($B$397,'8.项目规划指标表'!$B$5:$AD$15,11,FALSE)*F427/10000/1.11*0.11,0),0)</f>
        <v>0</v>
      </c>
      <c r="AM399" s="276">
        <f>IFERROR(IF(VLOOKUP($B$397,'9.项目开发计划表'!$C$5:$AH$16,33,FALSE)=AK$374&amp;"年"&amp;AM$375,VLOOKUP($B$397,'8.项目规划指标表'!$B$5:$AD$15,11,FALSE)*F427/10000/1.11*0.11,0),0)</f>
        <v>0</v>
      </c>
      <c r="AN399" s="277">
        <f>IFERROR(IF(VLOOKUP($B$397,'9.项目开发计划表'!$C$5:$AH$16,33,FALSE)=AK$374&amp;"年"&amp;AN$375,VLOOKUP($B$397,'8.项目规划指标表'!$B$5:$AD$15,11,FALSE)*F427/10000/1.11*0.11,0),0)</f>
        <v>0</v>
      </c>
      <c r="AO399" s="275">
        <f>IFERROR(IF(VLOOKUP($B$397,'9.项目开发计划表'!$C$5:$AH$16,33,FALSE)=AO$374&amp;"年"&amp;AO$375,VLOOKUP($B$397,'8.项目规划指标表'!$B$5:$AD$15,11,FALSE)*F427/10000/1.11*0.11,0),0)</f>
        <v>0</v>
      </c>
      <c r="AP399" s="276">
        <f>IFERROR(IF(VLOOKUP($B$397,'9.项目开发计划表'!$C$5:$AH$16,33,FALSE)=AO$374&amp;"年"&amp;AP$375,VLOOKUP($B$397,'8.项目规划指标表'!$B$5:$AD$15,11,FALSE)*F427/10000/1.11*0.11,0),0)</f>
        <v>0</v>
      </c>
      <c r="AQ399" s="276">
        <f>IFERROR(IF(VLOOKUP($B$397,'9.项目开发计划表'!$C$5:$AH$16,33,FALSE)=AO$374&amp;"年"&amp;AQ$375,VLOOKUP($B$397,'8.项目规划指标表'!$B$5:$AD$15,11,FALSE)*F427/10000/1.11*0.11,0),0)</f>
        <v>0</v>
      </c>
      <c r="AR399" s="277">
        <f>IFERROR(IF(VLOOKUP($B$397,'9.项目开发计划表'!$C$5:$AH$16,33,FALSE)=AO$374&amp;"年"&amp;AR$375,VLOOKUP($B$397,'8.项目规划指标表'!$B$5:$AD$15,11,FALSE)*F427/10000/1.11*0.11,0),0)</f>
        <v>0</v>
      </c>
      <c r="AS399" s="275">
        <f>IFERROR(IF(VLOOKUP($B$397,'9.项目开发计划表'!$C$5:$AH$16,33,FALSE)=AS$374&amp;"年"&amp;AS$375,VLOOKUP($B$397,'8.项目规划指标表'!$B$5:$AD$15,11,FALSE)*F427/10000/1.11*0.11,0),0)</f>
        <v>0</v>
      </c>
      <c r="AT399" s="276">
        <f>IFERROR(IF(VLOOKUP($B$397,'9.项目开发计划表'!$C$5:$AH$16,33,FALSE)=AS$374&amp;"年"&amp;AT$375,VLOOKUP($B$397,'8.项目规划指标表'!$B$5:$AD$15,11,FALSE)*F427/10000/1.11*0.11,0),0)</f>
        <v>0</v>
      </c>
      <c r="AU399" s="276">
        <f>IFERROR(IF(VLOOKUP($B$397,'9.项目开发计划表'!$C$5:$AH$16,33,FALSE)=AS$374&amp;"年"&amp;AU$375,VLOOKUP($B$397,'8.项目规划指标表'!$B$5:$AD$15,11,FALSE)*F427/10000/1.11*0.11,0),0)</f>
        <v>0</v>
      </c>
      <c r="AV399" s="277">
        <f>IFERROR(IF(VLOOKUP($B$397,'9.项目开发计划表'!$C$5:$AH$16,33,FALSE)=AS$374&amp;"年"&amp;AV$375,VLOOKUP($B$397,'8.项目规划指标表'!$B$5:$AD$15,11,FALSE)*F427/10000/1.11*0.11,0),0)</f>
        <v>0</v>
      </c>
    </row>
    <row r="400" spans="2:48" s="256" customFormat="1" ht="15.75" customHeight="1">
      <c r="B400" s="1975"/>
      <c r="C400" s="273" t="s">
        <v>21</v>
      </c>
      <c r="D400" s="274">
        <f t="shared" si="144"/>
        <v>0</v>
      </c>
      <c r="E400" s="275">
        <f>IFERROR(IF(VLOOKUP($B$397,'9.项目开发计划表'!$C$5:$AH$16,33,FALSE)=E$374&amp;"年"&amp;E$375,VLOOKUP($B$397,'8.项目规划指标表'!$B$5:$AD$15,15,FALSE)*F428/10000/1.11*0.11,0),0)</f>
        <v>0</v>
      </c>
      <c r="F400" s="276">
        <f>IFERROR(IF(VLOOKUP($B$397,'9.项目开发计划表'!$C$5:$AH$16,33,FALSE)=E$374&amp;"年"&amp;F$375,VLOOKUP($B$397,'8.项目规划指标表'!$B$5:$AD$15,15,FALSE)*F428/10000/1.11*0.11,0),0)</f>
        <v>0</v>
      </c>
      <c r="G400" s="276">
        <f>IFERROR(IF(VLOOKUP($B$397,'9.项目开发计划表'!$C$5:$AH$16,33,FALSE)=E$374&amp;"年"&amp;G$375,VLOOKUP($B$397,'8.项目规划指标表'!$B$5:$AD$15,15,FALSE)*F428/10000/1.11*0.11,0),0)</f>
        <v>0</v>
      </c>
      <c r="H400" s="277">
        <f>IFERROR(IF(VLOOKUP($B$397,'9.项目开发计划表'!$C$5:$AH$16,33,FALSE)=E$374&amp;"年"&amp;H$375,VLOOKUP($B$397,'8.项目规划指标表'!$B$5:$AD$15,15,FALSE)*F428/10000/1.11*0.11,0),0)</f>
        <v>0</v>
      </c>
      <c r="I400" s="275">
        <f>IFERROR(IF(VLOOKUP($B$397,'9.项目开发计划表'!$C$5:$AH$16,33,FALSE)=I$374&amp;"年"&amp;I$375,VLOOKUP($B$397,'8.项目规划指标表'!$B$5:$AD$15,15,FALSE)*F428/10000/1.11*0.11,0),0)</f>
        <v>0</v>
      </c>
      <c r="J400" s="276">
        <f>IFERROR(IF(VLOOKUP($B$397,'9.项目开发计划表'!$C$5:$AH$16,33,FALSE)=I$374&amp;"年"&amp;J$375,VLOOKUP($B$397,'8.项目规划指标表'!$B$5:$AD$15,15,FALSE)*F428/10000/1.11*0.11,0),0)</f>
        <v>0</v>
      </c>
      <c r="K400" s="276">
        <f>IFERROR(IF(VLOOKUP($B$397,'9.项目开发计划表'!$C$5:$AH$16,33,FALSE)=I$374&amp;"年"&amp;K$375,VLOOKUP($B$397,'8.项目规划指标表'!$B$5:$AD$15,15,FALSE)*F428/10000/1.11*0.11,0),0)</f>
        <v>0</v>
      </c>
      <c r="L400" s="277">
        <f>IFERROR(IF(VLOOKUP($B$397,'9.项目开发计划表'!$C$5:$AH$16,33,FALSE)=I$374&amp;"年"&amp;L$375,VLOOKUP($B$397,'8.项目规划指标表'!$B$5:$AD$15,15,FALSE)*F428/10000/1.11*0.11,0),0)</f>
        <v>0</v>
      </c>
      <c r="M400" s="275">
        <f>IFERROR(IF(VLOOKUP($B$397,'9.项目开发计划表'!$C$5:$AH$16,33,FALSE)=M$374&amp;"年"&amp;M$375,VLOOKUP($B$397,'8.项目规划指标表'!$B$5:$AD$15,15,FALSE)*F428/10000/1.11*0.11,0),0)</f>
        <v>0</v>
      </c>
      <c r="N400" s="276">
        <f>IFERROR(IF(VLOOKUP($B$397,'9.项目开发计划表'!$C$5:$AH$16,33,FALSE)=M$374&amp;"年"&amp;N$375,VLOOKUP($B$397,'8.项目规划指标表'!$B$5:$AD$15,15,FALSE)*F428/10000/1.11*0.11,0),0)</f>
        <v>0</v>
      </c>
      <c r="O400" s="276">
        <f>IFERROR(IF(VLOOKUP($B$397,'9.项目开发计划表'!$C$5:$AH$16,33,FALSE)=M$374&amp;"年"&amp;O$375,VLOOKUP($B$397,'8.项目规划指标表'!$B$5:$AD$15,15,FALSE)*F428/10000/1.11*0.11,0),0)</f>
        <v>0</v>
      </c>
      <c r="P400" s="277">
        <f>IFERROR(IF(VLOOKUP($B$397,'9.项目开发计划表'!$C$5:$AH$16,33,FALSE)=M$374&amp;"年"&amp;P$375,VLOOKUP($B$397,'8.项目规划指标表'!$B$5:$AD$15,15,FALSE)*F428/10000/1.11*0.11,0),0)</f>
        <v>0</v>
      </c>
      <c r="Q400" s="275">
        <f>IFERROR(IF(VLOOKUP($B$397,'9.项目开发计划表'!$C$5:$AH$16,33,FALSE)=Q$374&amp;"年"&amp;Q$375,VLOOKUP($B$397,'8.项目规划指标表'!$B$5:$AD$15,15,FALSE)*F428/10000/1.11*0.11,0),0)</f>
        <v>0</v>
      </c>
      <c r="R400" s="276">
        <f>IFERROR(IF(VLOOKUP($B$397,'9.项目开发计划表'!$C$5:$AH$16,33,FALSE)=Q$374&amp;"年"&amp;R$375,VLOOKUP($B$397,'8.项目规划指标表'!$B$5:$AD$15,15,FALSE)*F428/10000/1.11*0.11,0),0)</f>
        <v>0</v>
      </c>
      <c r="S400" s="276">
        <f>IFERROR(IF(VLOOKUP($B$397,'9.项目开发计划表'!$C$5:$AH$16,33,FALSE)=Q$374&amp;"年"&amp;S$375,VLOOKUP($B$397,'8.项目规划指标表'!$B$5:$AD$15,15,FALSE)*F428/10000/1.11*0.11,0),0)</f>
        <v>0</v>
      </c>
      <c r="T400" s="277">
        <f>IFERROR(IF(VLOOKUP($B$397,'9.项目开发计划表'!$C$5:$AH$16,33,FALSE)=Q$374&amp;"年"&amp;T$375,VLOOKUP($B$397,'8.项目规划指标表'!$B$5:$AD$15,15,FALSE)*F428/10000/1.11*0.11,0),0)</f>
        <v>0</v>
      </c>
      <c r="U400" s="275">
        <f>IFERROR(IF(VLOOKUP($B$397,'9.项目开发计划表'!$C$5:$AH$16,33,FALSE)=U$374&amp;"年"&amp;U$375,VLOOKUP($B$397,'8.项目规划指标表'!$B$5:$AD$15,15,FALSE)*F428/10000/1.11*0.11,0),0)</f>
        <v>0</v>
      </c>
      <c r="V400" s="276">
        <f>IFERROR(IF(VLOOKUP($B$397,'9.项目开发计划表'!$C$5:$AH$16,33,FALSE)=U$374&amp;"年"&amp;V$375,VLOOKUP($B$397,'8.项目规划指标表'!$B$5:$AD$15,15,FALSE)*F428/10000/1.11*0.11,0),0)</f>
        <v>0</v>
      </c>
      <c r="W400" s="276">
        <f>IFERROR(IF(VLOOKUP($B$397,'9.项目开发计划表'!$C$5:$AH$16,33,FALSE)=U$374&amp;"年"&amp;W$375,VLOOKUP($B$397,'8.项目规划指标表'!$B$5:$AD$15,15,FALSE)*F428/10000/1.11*0.11,0),0)</f>
        <v>0</v>
      </c>
      <c r="X400" s="277">
        <f>IFERROR(IF(VLOOKUP($B$397,'9.项目开发计划表'!$C$5:$AH$16,33,FALSE)=U$374&amp;"年"&amp;X$375,VLOOKUP($B$397,'8.项目规划指标表'!$B$5:$AD$15,15,FALSE)*F428/10000/1.11*0.11,0),0)</f>
        <v>0</v>
      </c>
      <c r="Y400" s="275">
        <f>IFERROR(IF(VLOOKUP($B$397,'9.项目开发计划表'!$C$5:$AH$16,33,FALSE)=Y$374&amp;"年"&amp;Y$375,VLOOKUP($B$397,'8.项目规划指标表'!$B$5:$AD$15,15,FALSE)*F428/10000/1.11*0.11,0),0)</f>
        <v>0</v>
      </c>
      <c r="Z400" s="276">
        <f>IFERROR(IF(VLOOKUP($B$397,'9.项目开发计划表'!$C$5:$AH$16,33,FALSE)=Y$374&amp;"年"&amp;Z$375,VLOOKUP($B$397,'8.项目规划指标表'!$B$5:$AD$15,15,FALSE)*F428/10000/1.11*0.11,0),0)</f>
        <v>0</v>
      </c>
      <c r="AA400" s="276">
        <f>IFERROR(IF(VLOOKUP($B$397,'9.项目开发计划表'!$C$5:$AH$16,33,FALSE)=Y$374&amp;"年"&amp;AA$375,VLOOKUP($B$397,'8.项目规划指标表'!$B$5:$AD$15,15,FALSE)*F428/10000/1.11*0.11,0),0)</f>
        <v>0</v>
      </c>
      <c r="AB400" s="277">
        <f>IFERROR(IF(VLOOKUP($B$397,'9.项目开发计划表'!$C$5:$AH$16,33,FALSE)=Y$374&amp;"年"&amp;AB$375,VLOOKUP($B$397,'8.项目规划指标表'!$B$5:$AD$15,15,FALSE)*F428/10000/1.11*0.11,0),0)</f>
        <v>0</v>
      </c>
      <c r="AC400" s="275">
        <f>IFERROR(IF(VLOOKUP($B$397,'9.项目开发计划表'!$C$5:$AH$16,33,FALSE)=AC$374&amp;"年"&amp;AC$375,VLOOKUP($B$397,'8.项目规划指标表'!$B$5:$AD$15,15,FALSE)*F428/10000/1.11*0.11,0),0)</f>
        <v>0</v>
      </c>
      <c r="AD400" s="276">
        <f>IFERROR(IF(VLOOKUP($B$397,'9.项目开发计划表'!$C$5:$AH$16,33,FALSE)=AC$374&amp;"年"&amp;AD$375,VLOOKUP($B$397,'8.项目规划指标表'!$B$5:$AD$15,15,FALSE)*F428/10000/1.11*0.11,0),0)</f>
        <v>0</v>
      </c>
      <c r="AE400" s="276">
        <f>IFERROR(IF(VLOOKUP($B$397,'9.项目开发计划表'!$C$5:$AH$16,33,FALSE)=AC$374&amp;"年"&amp;AE$375,VLOOKUP($B$397,'8.项目规划指标表'!$B$5:$AD$15,15,FALSE)*F428/10000/1.11*0.11,0),0)</f>
        <v>0</v>
      </c>
      <c r="AF400" s="277">
        <f>IFERROR(IF(VLOOKUP($B$397,'9.项目开发计划表'!$C$5:$AH$16,33,FALSE)=AC$374&amp;"年"&amp;AF$375,VLOOKUP($B$397,'8.项目规划指标表'!$B$5:$AD$15,15,FALSE)*F428/10000/1.11*0.11,0),0)</f>
        <v>0</v>
      </c>
      <c r="AG400" s="275">
        <f>IFERROR(IF(VLOOKUP($B$397,'9.项目开发计划表'!$C$5:$AH$16,33,FALSE)=AG$374&amp;"年"&amp;AG$375,VLOOKUP($B$397,'8.项目规划指标表'!$B$5:$AD$15,15,FALSE)*F428/10000/1.11*0.11,0),0)</f>
        <v>0</v>
      </c>
      <c r="AH400" s="276">
        <f>IFERROR(IF(VLOOKUP($B$397,'9.项目开发计划表'!$C$5:$AH$16,33,FALSE)=AG$374&amp;"年"&amp;AH$375,VLOOKUP($B$397,'8.项目规划指标表'!$B$5:$AD$15,15,FALSE)*F428/10000/1.11*0.11,0),0)</f>
        <v>0</v>
      </c>
      <c r="AI400" s="276">
        <f>IFERROR(IF(VLOOKUP($B$397,'9.项目开发计划表'!$C$5:$AH$16,33,FALSE)=AG$374&amp;"年"&amp;AI$375,VLOOKUP($B$397,'8.项目规划指标表'!$B$5:$AD$15,15,FALSE)*F428/10000/1.11*0.11,0),0)</f>
        <v>0</v>
      </c>
      <c r="AJ400" s="277">
        <f>IFERROR(IF(VLOOKUP($B$397,'9.项目开发计划表'!$C$5:$AH$16,33,FALSE)=AG$374&amp;"年"&amp;AJ$375,VLOOKUP($B$397,'8.项目规划指标表'!$B$5:$AD$15,15,FALSE)*F428/10000/1.11*0.11,0),0)</f>
        <v>0</v>
      </c>
      <c r="AK400" s="275">
        <f>IFERROR(IF(VLOOKUP($B$397,'9.项目开发计划表'!$C$5:$AH$16,33,FALSE)=AK$374&amp;"年"&amp;AK$375,VLOOKUP($B$397,'8.项目规划指标表'!$B$5:$AD$15,15,FALSE)*F428/10000/1.11*0.11,0),0)</f>
        <v>0</v>
      </c>
      <c r="AL400" s="276">
        <f>IFERROR(IF(VLOOKUP($B$397,'9.项目开发计划表'!$C$5:$AH$16,33,FALSE)=AK$374&amp;"年"&amp;AL$375,VLOOKUP($B$397,'8.项目规划指标表'!$B$5:$AD$15,15,FALSE)*F428/10000/1.11*0.11,0),0)</f>
        <v>0</v>
      </c>
      <c r="AM400" s="276">
        <f>IFERROR(IF(VLOOKUP($B$397,'9.项目开发计划表'!$C$5:$AH$16,33,FALSE)=AK$374&amp;"年"&amp;AM$375,VLOOKUP($B$397,'8.项目规划指标表'!$B$5:$AD$15,15,FALSE)*F428/10000/1.11*0.11,0),0)</f>
        <v>0</v>
      </c>
      <c r="AN400" s="277">
        <f>IFERROR(IF(VLOOKUP($B$397,'9.项目开发计划表'!$C$5:$AH$16,33,FALSE)=AK$374&amp;"年"&amp;AN$375,VLOOKUP($B$397,'8.项目规划指标表'!$B$5:$AD$15,15,FALSE)*F428/10000/1.11*0.11,0),0)</f>
        <v>0</v>
      </c>
      <c r="AO400" s="275">
        <f>IFERROR(IF(VLOOKUP($B$397,'9.项目开发计划表'!$C$5:$AH$16,33,FALSE)=AO$374&amp;"年"&amp;AO$375,VLOOKUP($B$397,'8.项目规划指标表'!$B$5:$AD$15,15,FALSE)*F428/10000/1.11*0.11,0),0)</f>
        <v>0</v>
      </c>
      <c r="AP400" s="276">
        <f>IFERROR(IF(VLOOKUP($B$397,'9.项目开发计划表'!$C$5:$AH$16,33,FALSE)=AO$374&amp;"年"&amp;AP$375,VLOOKUP($B$397,'8.项目规划指标表'!$B$5:$AD$15,15,FALSE)*F428/10000/1.11*0.11,0),0)</f>
        <v>0</v>
      </c>
      <c r="AQ400" s="276">
        <f>IFERROR(IF(VLOOKUP($B$397,'9.项目开发计划表'!$C$5:$AH$16,33,FALSE)=AO$374&amp;"年"&amp;AQ$375,VLOOKUP($B$397,'8.项目规划指标表'!$B$5:$AD$15,15,FALSE)*F428/10000/1.11*0.11,0),0)</f>
        <v>0</v>
      </c>
      <c r="AR400" s="277">
        <f>IFERROR(IF(VLOOKUP($B$397,'9.项目开发计划表'!$C$5:$AH$16,33,FALSE)=AO$374&amp;"年"&amp;AR$375,VLOOKUP($B$397,'8.项目规划指标表'!$B$5:$AD$15,15,FALSE)*F428/10000/1.11*0.11,0),0)</f>
        <v>0</v>
      </c>
      <c r="AS400" s="275">
        <f>IFERROR(IF(VLOOKUP($B$397,'9.项目开发计划表'!$C$5:$AH$16,33,FALSE)=AS$374&amp;"年"&amp;AS$375,VLOOKUP($B$397,'8.项目规划指标表'!$B$5:$AD$15,15,FALSE)*F428/10000/1.11*0.11,0),0)</f>
        <v>0</v>
      </c>
      <c r="AT400" s="276">
        <f>IFERROR(IF(VLOOKUP($B$397,'9.项目开发计划表'!$C$5:$AH$16,33,FALSE)=AS$374&amp;"年"&amp;AT$375,VLOOKUP($B$397,'8.项目规划指标表'!$B$5:$AD$15,15,FALSE)*F428/10000/1.11*0.11,0),0)</f>
        <v>0</v>
      </c>
      <c r="AU400" s="276">
        <f>IFERROR(IF(VLOOKUP($B$397,'9.项目开发计划表'!$C$5:$AH$16,33,FALSE)=AS$374&amp;"年"&amp;AU$375,VLOOKUP($B$397,'8.项目规划指标表'!$B$5:$AD$15,15,FALSE)*F428/10000/1.11*0.11,0),0)</f>
        <v>0</v>
      </c>
      <c r="AV400" s="277">
        <f>IFERROR(IF(VLOOKUP($B$397,'9.项目开发计划表'!$C$5:$AH$16,33,FALSE)=AS$374&amp;"年"&amp;AV$375,VLOOKUP($B$397,'8.项目规划指标表'!$B$5:$AD$15,15,FALSE)*F428/10000/1.11*0.11,0),0)</f>
        <v>0</v>
      </c>
    </row>
    <row r="401" spans="2:48" s="256" customFormat="1" ht="15.75" customHeight="1">
      <c r="B401" s="1975"/>
      <c r="C401" s="273" t="s">
        <v>22</v>
      </c>
      <c r="D401" s="274">
        <f t="shared" si="144"/>
        <v>0</v>
      </c>
      <c r="E401" s="275">
        <f>IFERROR(IF(VLOOKUP($B$397,'9.项目开发计划表'!$C$5:$AH$16,33,FALSE)=E$374&amp;"年"&amp;E$375,VLOOKUP($B$397,'8.项目规划指标表'!$B$5:$AD$15,19,FALSE)*F429/10000/1.11*0.11,0),0)</f>
        <v>0</v>
      </c>
      <c r="F401" s="276">
        <f>IFERROR(IF(VLOOKUP($B$397,'9.项目开发计划表'!$C$5:$AH$16,33,FALSE)=E$374&amp;"年"&amp;F$375,VLOOKUP($B$397,'8.项目规划指标表'!$B$5:$AD$15,19,FALSE)*F429/10000/1.11*0.11,0),0)</f>
        <v>0</v>
      </c>
      <c r="G401" s="276">
        <f>IFERROR(IF(VLOOKUP($B$397,'9.项目开发计划表'!$C$5:$AH$16,33,FALSE)=E$374&amp;"年"&amp;G$375,VLOOKUP($B$397,'8.项目规划指标表'!$B$5:$AD$15,19,FALSE)*F429/10000/1.11*0.11,0),0)</f>
        <v>0</v>
      </c>
      <c r="H401" s="277">
        <f>IFERROR(IF(VLOOKUP($B$397,'9.项目开发计划表'!$C$5:$AH$16,33,FALSE)=E$374&amp;"年"&amp;H$375,VLOOKUP($B$397,'8.项目规划指标表'!$B$5:$AD$15,19,FALSE)*F429/10000/1.11*0.11,0),0)</f>
        <v>0</v>
      </c>
      <c r="I401" s="275">
        <f>IFERROR(IF(VLOOKUP($B$397,'9.项目开发计划表'!$C$5:$AH$16,33,FALSE)=I$374&amp;"年"&amp;I$375,VLOOKUP($B$397,'8.项目规划指标表'!$B$5:$AD$15,19,FALSE)*F429/10000/1.11*0.11,0),0)</f>
        <v>0</v>
      </c>
      <c r="J401" s="276">
        <f>IFERROR(IF(VLOOKUP($B$397,'9.项目开发计划表'!$C$5:$AH$16,33,FALSE)=I$374&amp;"年"&amp;J$375,VLOOKUP($B$397,'8.项目规划指标表'!$B$5:$AD$15,19,FALSE)*F429/10000/1.11*0.11,0),0)</f>
        <v>0</v>
      </c>
      <c r="K401" s="276">
        <f>IFERROR(IF(VLOOKUP($B$397,'9.项目开发计划表'!$C$5:$AH$16,33,FALSE)=I$374&amp;"年"&amp;K$375,VLOOKUP($B$397,'8.项目规划指标表'!$B$5:$AD$15,19,FALSE)*F429/10000/1.11*0.11,0),0)</f>
        <v>0</v>
      </c>
      <c r="L401" s="277">
        <f>IFERROR(IF(VLOOKUP($B$397,'9.项目开发计划表'!$C$5:$AH$16,33,FALSE)=I$374&amp;"年"&amp;L$375,VLOOKUP($B$397,'8.项目规划指标表'!$B$5:$AD$15,19,FALSE)*F429/10000/1.11*0.11,0),0)</f>
        <v>0</v>
      </c>
      <c r="M401" s="275">
        <f>IFERROR(IF(VLOOKUP($B$397,'9.项目开发计划表'!$C$5:$AH$16,33,FALSE)=M$374&amp;"年"&amp;M$375,VLOOKUP($B$397,'8.项目规划指标表'!$B$5:$AD$15,19,FALSE)*F429/10000/1.11*0.11,0),0)</f>
        <v>0</v>
      </c>
      <c r="N401" s="276">
        <f>IFERROR(IF(VLOOKUP($B$397,'9.项目开发计划表'!$C$5:$AH$16,33,FALSE)=M$374&amp;"年"&amp;N$375,VLOOKUP($B$397,'8.项目规划指标表'!$B$5:$AD$15,19,FALSE)*F429/10000/1.11*0.11,0),0)</f>
        <v>0</v>
      </c>
      <c r="O401" s="276">
        <f>IFERROR(IF(VLOOKUP($B$397,'9.项目开发计划表'!$C$5:$AH$16,33,FALSE)=M$374&amp;"年"&amp;O$375,VLOOKUP($B$397,'8.项目规划指标表'!$B$5:$AD$15,19,FALSE)*F429/10000/1.11*0.11,0),0)</f>
        <v>0</v>
      </c>
      <c r="P401" s="277">
        <f>IFERROR(IF(VLOOKUP($B$397,'9.项目开发计划表'!$C$5:$AH$16,33,FALSE)=M$374&amp;"年"&amp;P$375,VLOOKUP($B$397,'8.项目规划指标表'!$B$5:$AD$15,19,FALSE)*F429/10000/1.11*0.11,0),0)</f>
        <v>0</v>
      </c>
      <c r="Q401" s="275">
        <f>IFERROR(IF(VLOOKUP($B$397,'9.项目开发计划表'!$C$5:$AH$16,33,FALSE)=Q$374&amp;"年"&amp;Q$375,VLOOKUP($B$397,'8.项目规划指标表'!$B$5:$AD$15,19,FALSE)*F429/10000/1.11*0.11,0),0)</f>
        <v>0</v>
      </c>
      <c r="R401" s="276">
        <f>IFERROR(IF(VLOOKUP($B$397,'9.项目开发计划表'!$C$5:$AH$16,33,FALSE)=Q$374&amp;"年"&amp;R$375,VLOOKUP($B$397,'8.项目规划指标表'!$B$5:$AD$15,19,FALSE)*F429/10000/1.11*0.11,0),0)</f>
        <v>0</v>
      </c>
      <c r="S401" s="276">
        <f>IFERROR(IF(VLOOKUP($B$397,'9.项目开发计划表'!$C$5:$AH$16,33,FALSE)=Q$374&amp;"年"&amp;S$375,VLOOKUP($B$397,'8.项目规划指标表'!$B$5:$AD$15,19,FALSE)*F429/10000/1.11*0.11,0),0)</f>
        <v>0</v>
      </c>
      <c r="T401" s="277">
        <f>IFERROR(IF(VLOOKUP($B$397,'9.项目开发计划表'!$C$5:$AH$16,33,FALSE)=Q$374&amp;"年"&amp;T$375,VLOOKUP($B$397,'8.项目规划指标表'!$B$5:$AD$15,19,FALSE)*F429/10000/1.11*0.11,0),0)</f>
        <v>0</v>
      </c>
      <c r="U401" s="275">
        <f>IFERROR(IF(VLOOKUP($B$397,'9.项目开发计划表'!$C$5:$AH$16,33,FALSE)=U$374&amp;"年"&amp;U$375,VLOOKUP($B$397,'8.项目规划指标表'!$B$5:$AD$15,19,FALSE)*F429/10000/1.11*0.11,0),0)</f>
        <v>0</v>
      </c>
      <c r="V401" s="276">
        <f>IFERROR(IF(VLOOKUP($B$397,'9.项目开发计划表'!$C$5:$AH$16,33,FALSE)=U$374&amp;"年"&amp;V$375,VLOOKUP($B$397,'8.项目规划指标表'!$B$5:$AD$15,19,FALSE)*F429/10000/1.11*0.11,0),0)</f>
        <v>0</v>
      </c>
      <c r="W401" s="276">
        <f>IFERROR(IF(VLOOKUP($B$397,'9.项目开发计划表'!$C$5:$AH$16,33,FALSE)=U$374&amp;"年"&amp;W$375,VLOOKUP($B$397,'8.项目规划指标表'!$B$5:$AD$15,19,FALSE)*F429/10000/1.11*0.11,0),0)</f>
        <v>0</v>
      </c>
      <c r="X401" s="277">
        <f>IFERROR(IF(VLOOKUP($B$397,'9.项目开发计划表'!$C$5:$AH$16,33,FALSE)=U$374&amp;"年"&amp;X$375,VLOOKUP($B$397,'8.项目规划指标表'!$B$5:$AD$15,19,FALSE)*F429/10000/1.11*0.11,0),0)</f>
        <v>0</v>
      </c>
      <c r="Y401" s="275">
        <f>IFERROR(IF(VLOOKUP($B$397,'9.项目开发计划表'!$C$5:$AH$16,33,FALSE)=Y$374&amp;"年"&amp;Y$375,VLOOKUP($B$397,'8.项目规划指标表'!$B$5:$AD$15,19,FALSE)*F429/10000/1.11*0.11,0),0)</f>
        <v>0</v>
      </c>
      <c r="Z401" s="276">
        <f>IFERROR(IF(VLOOKUP($B$397,'9.项目开发计划表'!$C$5:$AH$16,33,FALSE)=Y$374&amp;"年"&amp;Z$375,VLOOKUP($B$397,'8.项目规划指标表'!$B$5:$AD$15,19,FALSE)*F429/10000/1.11*0.11,0),0)</f>
        <v>0</v>
      </c>
      <c r="AA401" s="276">
        <f>IFERROR(IF(VLOOKUP($B$397,'9.项目开发计划表'!$C$5:$AH$16,33,FALSE)=Y$374&amp;"年"&amp;AA$375,VLOOKUP($B$397,'8.项目规划指标表'!$B$5:$AD$15,19,FALSE)*F429/10000/1.11*0.11,0),0)</f>
        <v>0</v>
      </c>
      <c r="AB401" s="277">
        <f>IFERROR(IF(VLOOKUP($B$397,'9.项目开发计划表'!$C$5:$AH$16,33,FALSE)=Y$374&amp;"年"&amp;AB$375,VLOOKUP($B$397,'8.项目规划指标表'!$B$5:$AD$15,19,FALSE)*F429/10000/1.11*0.11,0),0)</f>
        <v>0</v>
      </c>
      <c r="AC401" s="275">
        <f>IFERROR(IF(VLOOKUP($B$397,'9.项目开发计划表'!$C$5:$AH$16,33,FALSE)=AC$374&amp;"年"&amp;AC$375,VLOOKUP($B$397,'8.项目规划指标表'!$B$5:$AD$15,19,FALSE)*F429/10000/1.11*0.11,0),0)</f>
        <v>0</v>
      </c>
      <c r="AD401" s="276">
        <f>IFERROR(IF(VLOOKUP($B$397,'9.项目开发计划表'!$C$5:$AH$16,33,FALSE)=AC$374&amp;"年"&amp;AD$375,VLOOKUP($B$397,'8.项目规划指标表'!$B$5:$AD$15,19,FALSE)*F429/10000/1.11*0.11,0),0)</f>
        <v>0</v>
      </c>
      <c r="AE401" s="276">
        <f>IFERROR(IF(VLOOKUP($B$397,'9.项目开发计划表'!$C$5:$AH$16,33,FALSE)=AC$374&amp;"年"&amp;AE$375,VLOOKUP($B$397,'8.项目规划指标表'!$B$5:$AD$15,19,FALSE)*F429/10000/1.11*0.11,0),0)</f>
        <v>0</v>
      </c>
      <c r="AF401" s="277">
        <f>IFERROR(IF(VLOOKUP($B$397,'9.项目开发计划表'!$C$5:$AH$16,33,FALSE)=AC$374&amp;"年"&amp;AF$375,VLOOKUP($B$397,'8.项目规划指标表'!$B$5:$AD$15,19,FALSE)*F429/10000/1.11*0.11,0),0)</f>
        <v>0</v>
      </c>
      <c r="AG401" s="275">
        <f>IFERROR(IF(VLOOKUP($B$397,'9.项目开发计划表'!$C$5:$AH$16,33,FALSE)=AG$374&amp;"年"&amp;AG$375,VLOOKUP($B$397,'8.项目规划指标表'!$B$5:$AD$15,19,FALSE)*F429/10000/1.11*0.11,0),0)</f>
        <v>0</v>
      </c>
      <c r="AH401" s="276">
        <f>IFERROR(IF(VLOOKUP($B$397,'9.项目开发计划表'!$C$5:$AH$16,33,FALSE)=AG$374&amp;"年"&amp;AH$375,VLOOKUP($B$397,'8.项目规划指标表'!$B$5:$AD$15,19,FALSE)*F429/10000/1.11*0.11,0),0)</f>
        <v>0</v>
      </c>
      <c r="AI401" s="276">
        <f>IFERROR(IF(VLOOKUP($B$397,'9.项目开发计划表'!$C$5:$AH$16,33,FALSE)=AG$374&amp;"年"&amp;AI$375,VLOOKUP($B$397,'8.项目规划指标表'!$B$5:$AD$15,19,FALSE)*F429/10000/1.11*0.11,0),0)</f>
        <v>0</v>
      </c>
      <c r="AJ401" s="277">
        <f>IFERROR(IF(VLOOKUP($B$397,'9.项目开发计划表'!$C$5:$AH$16,33,FALSE)=AG$374&amp;"年"&amp;AJ$375,VLOOKUP($B$397,'8.项目规划指标表'!$B$5:$AD$15,19,FALSE)*F429/10000/1.11*0.11,0),0)</f>
        <v>0</v>
      </c>
      <c r="AK401" s="275">
        <f>IFERROR(IF(VLOOKUP($B$397,'9.项目开发计划表'!$C$5:$AH$16,33,FALSE)=AK$374&amp;"年"&amp;AK$375,VLOOKUP($B$397,'8.项目规划指标表'!$B$5:$AD$15,19,FALSE)*F429/10000/1.11*0.11,0),0)</f>
        <v>0</v>
      </c>
      <c r="AL401" s="276">
        <f>IFERROR(IF(VLOOKUP($B$397,'9.项目开发计划表'!$C$5:$AH$16,33,FALSE)=AK$374&amp;"年"&amp;AL$375,VLOOKUP($B$397,'8.项目规划指标表'!$B$5:$AD$15,19,FALSE)*F429/10000/1.11*0.11,0),0)</f>
        <v>0</v>
      </c>
      <c r="AM401" s="276">
        <f>IFERROR(IF(VLOOKUP($B$397,'9.项目开发计划表'!$C$5:$AH$16,33,FALSE)=AK$374&amp;"年"&amp;AM$375,VLOOKUP($B$397,'8.项目规划指标表'!$B$5:$AD$15,19,FALSE)*F429/10000/1.11*0.11,0),0)</f>
        <v>0</v>
      </c>
      <c r="AN401" s="277">
        <f>IFERROR(IF(VLOOKUP($B$397,'9.项目开发计划表'!$C$5:$AH$16,33,FALSE)=AK$374&amp;"年"&amp;AN$375,VLOOKUP($B$397,'8.项目规划指标表'!$B$5:$AD$15,19,FALSE)*F429/10000/1.11*0.11,0),0)</f>
        <v>0</v>
      </c>
      <c r="AO401" s="275">
        <f>IFERROR(IF(VLOOKUP($B$397,'9.项目开发计划表'!$C$5:$AH$16,33,FALSE)=AO$374&amp;"年"&amp;AO$375,VLOOKUP($B$397,'8.项目规划指标表'!$B$5:$AD$15,19,FALSE)*F429/10000/1.11*0.11,0),0)</f>
        <v>0</v>
      </c>
      <c r="AP401" s="276">
        <f>IFERROR(IF(VLOOKUP($B$397,'9.项目开发计划表'!$C$5:$AH$16,33,FALSE)=AO$374&amp;"年"&amp;AP$375,VLOOKUP($B$397,'8.项目规划指标表'!$B$5:$AD$15,19,FALSE)*F429/10000/1.11*0.11,0),0)</f>
        <v>0</v>
      </c>
      <c r="AQ401" s="276">
        <f>IFERROR(IF(VLOOKUP($B$397,'9.项目开发计划表'!$C$5:$AH$16,33,FALSE)=AO$374&amp;"年"&amp;AQ$375,VLOOKUP($B$397,'8.项目规划指标表'!$B$5:$AD$15,19,FALSE)*F429/10000/1.11*0.11,0),0)</f>
        <v>0</v>
      </c>
      <c r="AR401" s="277">
        <f>IFERROR(IF(VLOOKUP($B$397,'9.项目开发计划表'!$C$5:$AH$16,33,FALSE)=AO$374&amp;"年"&amp;AR$375,VLOOKUP($B$397,'8.项目规划指标表'!$B$5:$AD$15,19,FALSE)*F429/10000/1.11*0.11,0),0)</f>
        <v>0</v>
      </c>
      <c r="AS401" s="275">
        <f>IFERROR(IF(VLOOKUP($B$397,'9.项目开发计划表'!$C$5:$AH$16,33,FALSE)=AS$374&amp;"年"&amp;AS$375,VLOOKUP($B$397,'8.项目规划指标表'!$B$5:$AD$15,19,FALSE)*F429/10000/1.11*0.11,0),0)</f>
        <v>0</v>
      </c>
      <c r="AT401" s="276">
        <f>IFERROR(IF(VLOOKUP($B$397,'9.项目开发计划表'!$C$5:$AH$16,33,FALSE)=AS$374&amp;"年"&amp;AT$375,VLOOKUP($B$397,'8.项目规划指标表'!$B$5:$AD$15,19,FALSE)*F429/10000/1.11*0.11,0),0)</f>
        <v>0</v>
      </c>
      <c r="AU401" s="276">
        <f>IFERROR(IF(VLOOKUP($B$397,'9.项目开发计划表'!$C$5:$AH$16,33,FALSE)=AS$374&amp;"年"&amp;AU$375,VLOOKUP($B$397,'8.项目规划指标表'!$B$5:$AD$15,19,FALSE)*F429/10000/1.11*0.11,0),0)</f>
        <v>0</v>
      </c>
      <c r="AV401" s="277">
        <f>IFERROR(IF(VLOOKUP($B$397,'9.项目开发计划表'!$C$5:$AH$16,33,FALSE)=AS$374&amp;"年"&amp;AV$375,VLOOKUP($B$397,'8.项目规划指标表'!$B$5:$AD$15,19,FALSE)*F429/10000/1.11*0.11,0),0)</f>
        <v>0</v>
      </c>
    </row>
    <row r="402" spans="2:48" s="256" customFormat="1" ht="15.75" customHeight="1">
      <c r="B402" s="1975"/>
      <c r="C402" s="268" t="s">
        <v>23</v>
      </c>
      <c r="D402" s="331">
        <f t="shared" si="144"/>
        <v>0</v>
      </c>
      <c r="E402" s="324">
        <f>IFERROR(IF(VLOOKUP($B$397,'9.项目开发计划表'!$C$5:$AH$16,33,FALSE)=E$374&amp;"年"&amp;E$375,VLOOKUP($B$397,'8.项目规划指标表'!$B$5:$AD$15,23,FALSE)*F430/10000/1.11*0.11,0),0)</f>
        <v>0</v>
      </c>
      <c r="F402" s="325">
        <f>IFERROR(IF(VLOOKUP($B$397,'9.项目开发计划表'!$C$5:$AH$16,33,FALSE)=E$374&amp;"年"&amp;F$375,VLOOKUP($B$397,'8.项目规划指标表'!$B$5:$AD$15,23,FALSE)*F430/10000/1.11*0.11,0),0)</f>
        <v>0</v>
      </c>
      <c r="G402" s="325">
        <f>IFERROR(IF(VLOOKUP($B$397,'9.项目开发计划表'!$C$5:$AH$16,33,FALSE)=E$374&amp;"年"&amp;G$375,VLOOKUP($B$397,'8.项目规划指标表'!$B$5:$AD$15,23,FALSE)*F430/10000/1.11*0.11,0),0)</f>
        <v>0</v>
      </c>
      <c r="H402" s="326">
        <f>IFERROR(IF(VLOOKUP($B$397,'9.项目开发计划表'!$C$5:$AH$16,33,FALSE)=E$374&amp;"年"&amp;H$375,VLOOKUP($B$397,'8.项目规划指标表'!$B$5:$AD$15,23,FALSE)*F430/10000/1.11*0.11,0),0)</f>
        <v>0</v>
      </c>
      <c r="I402" s="324">
        <f>IFERROR(IF(VLOOKUP($B$397,'9.项目开发计划表'!$C$5:$AH$16,33,FALSE)=I$374&amp;"年"&amp;I$375,VLOOKUP($B$397,'8.项目规划指标表'!$B$5:$AD$15,23,FALSE)*F430/10000/1.11*0.11,0),0)</f>
        <v>0</v>
      </c>
      <c r="J402" s="325">
        <f>IFERROR(IF(VLOOKUP($B$397,'9.项目开发计划表'!$C$5:$AH$16,33,FALSE)=I$374&amp;"年"&amp;J$375,VLOOKUP($B$397,'8.项目规划指标表'!$B$5:$AD$15,23,FALSE)*F430/10000/1.11*0.11,0),0)</f>
        <v>0</v>
      </c>
      <c r="K402" s="325">
        <f>IFERROR(IF(VLOOKUP($B$397,'9.项目开发计划表'!$C$5:$AH$16,33,FALSE)=I$374&amp;"年"&amp;K$375,VLOOKUP($B$397,'8.项目规划指标表'!$B$5:$AD$15,23,FALSE)*F430/10000/1.11*0.11,0),0)</f>
        <v>0</v>
      </c>
      <c r="L402" s="326">
        <f>IFERROR(IF(VLOOKUP($B$397,'9.项目开发计划表'!$C$5:$AH$16,33,FALSE)=I$374&amp;"年"&amp;L$375,VLOOKUP($B$397,'8.项目规划指标表'!$B$5:$AD$15,23,FALSE)*F430/10000/1.11*0.11,0),0)</f>
        <v>0</v>
      </c>
      <c r="M402" s="324">
        <f>IFERROR(IF(VLOOKUP($B$397,'9.项目开发计划表'!$C$5:$AH$16,33,FALSE)=M$374&amp;"年"&amp;M$375,VLOOKUP($B$397,'8.项目规划指标表'!$B$5:$AD$15,23,FALSE)*F430/10000/1.11*0.11,0),0)</f>
        <v>0</v>
      </c>
      <c r="N402" s="325">
        <f>IFERROR(IF(VLOOKUP($B$397,'9.项目开发计划表'!$C$5:$AH$16,33,FALSE)=M$374&amp;"年"&amp;N$375,VLOOKUP($B$397,'8.项目规划指标表'!$B$5:$AD$15,23,FALSE)*F430/10000/1.11*0.11,0),0)</f>
        <v>0</v>
      </c>
      <c r="O402" s="325">
        <f>IFERROR(IF(VLOOKUP($B$397,'9.项目开发计划表'!$C$5:$AH$16,33,FALSE)=M$374&amp;"年"&amp;O$375,VLOOKUP($B$397,'8.项目规划指标表'!$B$5:$AD$15,23,FALSE)*F430/10000/1.11*0.11,0),0)</f>
        <v>0</v>
      </c>
      <c r="P402" s="326">
        <f>IFERROR(IF(VLOOKUP($B$397,'9.项目开发计划表'!$C$5:$AH$16,33,FALSE)=M$374&amp;"年"&amp;P$375,VLOOKUP($B$397,'8.项目规划指标表'!$B$5:$AD$15,23,FALSE)*F430/10000/1.11*0.11,0),0)</f>
        <v>0</v>
      </c>
      <c r="Q402" s="324">
        <f>IFERROR(IF(VLOOKUP($B$397,'9.项目开发计划表'!$C$5:$AH$16,33,FALSE)=Q$374&amp;"年"&amp;Q$375,VLOOKUP($B$397,'8.项目规划指标表'!$B$5:$AD$15,23,FALSE)*F430/10000/1.11*0.11,0),0)</f>
        <v>0</v>
      </c>
      <c r="R402" s="325">
        <f>IFERROR(IF(VLOOKUP($B$397,'9.项目开发计划表'!$C$5:$AH$16,33,FALSE)=Q$374&amp;"年"&amp;R$375,VLOOKUP($B$397,'8.项目规划指标表'!$B$5:$AD$15,23,FALSE)*F430/10000/1.11*0.11,0),0)</f>
        <v>0</v>
      </c>
      <c r="S402" s="325">
        <f>IFERROR(IF(VLOOKUP($B$397,'9.项目开发计划表'!$C$5:$AH$16,33,FALSE)=Q$374&amp;"年"&amp;S$375,VLOOKUP($B$397,'8.项目规划指标表'!$B$5:$AD$15,23,FALSE)*F430/10000/1.11*0.11,0),0)</f>
        <v>0</v>
      </c>
      <c r="T402" s="326">
        <f>IFERROR(IF(VLOOKUP($B$397,'9.项目开发计划表'!$C$5:$AH$16,33,FALSE)=Q$374&amp;"年"&amp;T$375,VLOOKUP($B$397,'8.项目规划指标表'!$B$5:$AD$15,23,FALSE)*F430/10000/1.11*0.11,0),0)</f>
        <v>0</v>
      </c>
      <c r="U402" s="324">
        <f>IFERROR(IF(VLOOKUP($B$397,'9.项目开发计划表'!$C$5:$AH$16,33,FALSE)=U$374&amp;"年"&amp;U$375,VLOOKUP($B$397,'8.项目规划指标表'!$B$5:$AD$15,23,FALSE)*F430/10000/1.11*0.11,0),0)</f>
        <v>0</v>
      </c>
      <c r="V402" s="325">
        <f>IFERROR(IF(VLOOKUP($B$397,'9.项目开发计划表'!$C$5:$AH$16,33,FALSE)=U$374&amp;"年"&amp;V$375,VLOOKUP($B$397,'8.项目规划指标表'!$B$5:$AD$15,23,FALSE)*F430/10000/1.11*0.11,0),0)</f>
        <v>0</v>
      </c>
      <c r="W402" s="325">
        <f>IFERROR(IF(VLOOKUP($B$397,'9.项目开发计划表'!$C$5:$AH$16,33,FALSE)=U$374&amp;"年"&amp;W$375,VLOOKUP($B$397,'8.项目规划指标表'!$B$5:$AD$15,23,FALSE)*F430/10000/1.11*0.11,0),0)</f>
        <v>0</v>
      </c>
      <c r="X402" s="326">
        <f>IFERROR(IF(VLOOKUP($B$397,'9.项目开发计划表'!$C$5:$AH$16,33,FALSE)=U$374&amp;"年"&amp;X$375,VLOOKUP($B$397,'8.项目规划指标表'!$B$5:$AD$15,23,FALSE)*F430/10000/1.11*0.11,0),0)</f>
        <v>0</v>
      </c>
      <c r="Y402" s="324">
        <f>IFERROR(IF(VLOOKUP($B$397,'9.项目开发计划表'!$C$5:$AH$16,33,FALSE)=Y$374&amp;"年"&amp;Y$375,VLOOKUP($B$397,'8.项目规划指标表'!$B$5:$AD$15,23,FALSE)*F430/10000/1.11*0.11,0),0)</f>
        <v>0</v>
      </c>
      <c r="Z402" s="325">
        <f>IFERROR(IF(VLOOKUP($B$397,'9.项目开发计划表'!$C$5:$AH$16,33,FALSE)=Y$374&amp;"年"&amp;Z$375,VLOOKUP($B$397,'8.项目规划指标表'!$B$5:$AD$15,23,FALSE)*F430/10000/1.11*0.11,0),0)</f>
        <v>0</v>
      </c>
      <c r="AA402" s="325">
        <f>IFERROR(IF(VLOOKUP($B$397,'9.项目开发计划表'!$C$5:$AH$16,33,FALSE)=Y$374&amp;"年"&amp;AA$375,VLOOKUP($B$397,'8.项目规划指标表'!$B$5:$AD$15,23,FALSE)*F430/10000/1.11*0.11,0),0)</f>
        <v>0</v>
      </c>
      <c r="AB402" s="326">
        <f>IFERROR(IF(VLOOKUP($B$397,'9.项目开发计划表'!$C$5:$AH$16,33,FALSE)=Y$374&amp;"年"&amp;AB$375,VLOOKUP($B$397,'8.项目规划指标表'!$B$5:$AD$15,23,FALSE)*F430/10000/1.11*0.11,0),0)</f>
        <v>0</v>
      </c>
      <c r="AC402" s="324">
        <f>IFERROR(IF(VLOOKUP($B$397,'9.项目开发计划表'!$C$5:$AH$16,33,FALSE)=AC$374&amp;"年"&amp;AC$375,VLOOKUP($B$397,'8.项目规划指标表'!$B$5:$AD$15,23,FALSE)*F430/10000/1.11*0.11,0),0)</f>
        <v>0</v>
      </c>
      <c r="AD402" s="325">
        <f>IFERROR(IF(VLOOKUP($B$397,'9.项目开发计划表'!$C$5:$AH$16,33,FALSE)=AC$374&amp;"年"&amp;AD$375,VLOOKUP($B$397,'8.项目规划指标表'!$B$5:$AD$15,23,FALSE)*F430/10000/1.11*0.11,0),0)</f>
        <v>0</v>
      </c>
      <c r="AE402" s="325">
        <f>IFERROR(IF(VLOOKUP($B$397,'9.项目开发计划表'!$C$5:$AH$16,33,FALSE)=AC$374&amp;"年"&amp;AE$375,VLOOKUP($B$397,'8.项目规划指标表'!$B$5:$AD$15,23,FALSE)*F430/10000/1.11*0.11,0),0)</f>
        <v>0</v>
      </c>
      <c r="AF402" s="326">
        <f>IFERROR(IF(VLOOKUP($B$397,'9.项目开发计划表'!$C$5:$AH$16,33,FALSE)=AC$374&amp;"年"&amp;AF$375,VLOOKUP($B$397,'8.项目规划指标表'!$B$5:$AD$15,23,FALSE)*F430/10000/1.11*0.11,0),0)</f>
        <v>0</v>
      </c>
      <c r="AG402" s="324">
        <f>IFERROR(IF(VLOOKUP($B$397,'9.项目开发计划表'!$C$5:$AH$16,33,FALSE)=AG$374&amp;"年"&amp;AG$375,VLOOKUP($B$397,'8.项目规划指标表'!$B$5:$AD$15,23,FALSE)*F430/10000/1.11*0.11,0),0)</f>
        <v>0</v>
      </c>
      <c r="AH402" s="325">
        <f>IFERROR(IF(VLOOKUP($B$397,'9.项目开发计划表'!$C$5:$AH$16,33,FALSE)=AG$374&amp;"年"&amp;AH$375,VLOOKUP($B$397,'8.项目规划指标表'!$B$5:$AD$15,23,FALSE)*F430/10000/1.11*0.11,0),0)</f>
        <v>0</v>
      </c>
      <c r="AI402" s="325">
        <f>IFERROR(IF(VLOOKUP($B$397,'9.项目开发计划表'!$C$5:$AH$16,33,FALSE)=AG$374&amp;"年"&amp;AI$375,VLOOKUP($B$397,'8.项目规划指标表'!$B$5:$AD$15,23,FALSE)*F430/10000/1.11*0.11,0),0)</f>
        <v>0</v>
      </c>
      <c r="AJ402" s="326">
        <f>IFERROR(IF(VLOOKUP($B$397,'9.项目开发计划表'!$C$5:$AH$16,33,FALSE)=AG$374&amp;"年"&amp;AJ$375,VLOOKUP($B$397,'8.项目规划指标表'!$B$5:$AD$15,23,FALSE)*F430/10000/1.11*0.11,0),0)</f>
        <v>0</v>
      </c>
      <c r="AK402" s="324">
        <f>IFERROR(IF(VLOOKUP($B$397,'9.项目开发计划表'!$C$5:$AH$16,33,FALSE)=AK$374&amp;"年"&amp;AK$375,VLOOKUP($B$397,'8.项目规划指标表'!$B$5:$AD$15,23,FALSE)*F430/10000/1.11*0.11,0),0)</f>
        <v>0</v>
      </c>
      <c r="AL402" s="325">
        <f>IFERROR(IF(VLOOKUP($B$397,'9.项目开发计划表'!$C$5:$AH$16,33,FALSE)=AK$374&amp;"年"&amp;AL$375,VLOOKUP($B$397,'8.项目规划指标表'!$B$5:$AD$15,23,FALSE)*F430/10000/1.11*0.11,0),0)</f>
        <v>0</v>
      </c>
      <c r="AM402" s="325">
        <f>IFERROR(IF(VLOOKUP($B$397,'9.项目开发计划表'!$C$5:$AH$16,33,FALSE)=AK$374&amp;"年"&amp;AM$375,VLOOKUP($B$397,'8.项目规划指标表'!$B$5:$AD$15,23,FALSE)*F430/10000/1.11*0.11,0),0)</f>
        <v>0</v>
      </c>
      <c r="AN402" s="326">
        <f>IFERROR(IF(VLOOKUP($B$397,'9.项目开发计划表'!$C$5:$AH$16,33,FALSE)=AK$374&amp;"年"&amp;AN$375,VLOOKUP($B$397,'8.项目规划指标表'!$B$5:$AD$15,23,FALSE)*F430/10000/1.11*0.11,0),0)</f>
        <v>0</v>
      </c>
      <c r="AO402" s="324">
        <f>IFERROR(IF(VLOOKUP($B$397,'9.项目开发计划表'!$C$5:$AH$16,33,FALSE)=AO$374&amp;"年"&amp;AO$375,VLOOKUP($B$397,'8.项目规划指标表'!$B$5:$AD$15,23,FALSE)*F430/10000/1.11*0.11,0),0)</f>
        <v>0</v>
      </c>
      <c r="AP402" s="325">
        <f>IFERROR(IF(VLOOKUP($B$397,'9.项目开发计划表'!$C$5:$AH$16,33,FALSE)=AO$374&amp;"年"&amp;AP$375,VLOOKUP($B$397,'8.项目规划指标表'!$B$5:$AD$15,23,FALSE)*F430/10000/1.11*0.11,0),0)</f>
        <v>0</v>
      </c>
      <c r="AQ402" s="325">
        <f>IFERROR(IF(VLOOKUP($B$397,'9.项目开发计划表'!$C$5:$AH$16,33,FALSE)=AO$374&amp;"年"&amp;AQ$375,VLOOKUP($B$397,'8.项目规划指标表'!$B$5:$AD$15,23,FALSE)*F430/10000/1.11*0.11,0),0)</f>
        <v>0</v>
      </c>
      <c r="AR402" s="326">
        <f>IFERROR(IF(VLOOKUP($B$397,'9.项目开发计划表'!$C$5:$AH$16,33,FALSE)=AO$374&amp;"年"&amp;AR$375,VLOOKUP($B$397,'8.项目规划指标表'!$B$5:$AD$15,23,FALSE)*F430/10000/1.11*0.11,0),0)</f>
        <v>0</v>
      </c>
      <c r="AS402" s="324">
        <f>IFERROR(IF(VLOOKUP($B$397,'9.项目开发计划表'!$C$5:$AH$16,33,FALSE)=AS$374&amp;"年"&amp;AS$375,VLOOKUP($B$397,'8.项目规划指标表'!$B$5:$AD$15,23,FALSE)*F430/10000/1.11*0.11,0),0)</f>
        <v>0</v>
      </c>
      <c r="AT402" s="325">
        <f>IFERROR(IF(VLOOKUP($B$397,'9.项目开发计划表'!$C$5:$AH$16,33,FALSE)=AS$374&amp;"年"&amp;AT$375,VLOOKUP($B$397,'8.项目规划指标表'!$B$5:$AD$15,23,FALSE)*F430/10000/1.11*0.11,0),0)</f>
        <v>0</v>
      </c>
      <c r="AU402" s="325">
        <f>IFERROR(IF(VLOOKUP($B$397,'9.项目开发计划表'!$C$5:$AH$16,33,FALSE)=AS$374&amp;"年"&amp;AU$375,VLOOKUP($B$397,'8.项目规划指标表'!$B$5:$AD$15,23,FALSE)*F430/10000/1.11*0.11,0),0)</f>
        <v>0</v>
      </c>
      <c r="AV402" s="326">
        <f>IFERROR(IF(VLOOKUP($B$397,'9.项目开发计划表'!$C$5:$AH$16,33,FALSE)=AS$374&amp;"年"&amp;AV$375,VLOOKUP($B$397,'8.项目规划指标表'!$B$5:$AD$15,23,FALSE)*F430/10000/1.11*0.11,0),0)</f>
        <v>0</v>
      </c>
    </row>
    <row r="403" spans="2:48" s="256" customFormat="1" ht="15.75" customHeight="1">
      <c r="B403" s="1976"/>
      <c r="C403" s="278" t="s">
        <v>24</v>
      </c>
      <c r="D403" s="279">
        <f t="shared" si="144"/>
        <v>0</v>
      </c>
      <c r="E403" s="280">
        <f>IFERROR(IF(VLOOKUP($B$397,'9.项目开发计划表'!$C$5:$AH$16,33,FALSE)=E$374&amp;"年"&amp;E$375,VLOOKUP($B$397,'8.项目规划指标表'!$B$5:$AD$15,27,FALSE)*F431/10000/1.11*0.11,0),0)</f>
        <v>0</v>
      </c>
      <c r="F403" s="281">
        <f>IFERROR(IF(VLOOKUP($B$397,'9.项目开发计划表'!$C$5:$AH$16,33,FALSE)=E$374&amp;"年"&amp;F$375,VLOOKUP($B$397,'8.项目规划指标表'!$B$5:$AD$15,27,FALSE)*F431/10000/1.11*0.11,0),0)</f>
        <v>0</v>
      </c>
      <c r="G403" s="281">
        <f>IFERROR(IF(VLOOKUP($B$397,'9.项目开发计划表'!$C$5:$AH$16,33,FALSE)=E$374&amp;"年"&amp;G$375,VLOOKUP($B$397,'8.项目规划指标表'!$B$5:$AD$15,27,FALSE)*F431/10000/1.11*0.11,0),0)</f>
        <v>0</v>
      </c>
      <c r="H403" s="282">
        <f>IFERROR(IF(VLOOKUP($B$397,'9.项目开发计划表'!$C$5:$AH$16,33,FALSE)=E$374&amp;"年"&amp;H$375,VLOOKUP($B$397,'8.项目规划指标表'!$B$5:$AD$15,27,FALSE)*F431/10000/1.11*0.11,0),0)</f>
        <v>0</v>
      </c>
      <c r="I403" s="280">
        <f>IFERROR(IF(VLOOKUP($B$397,'9.项目开发计划表'!$C$5:$AH$16,33,FALSE)=I$374&amp;"年"&amp;I$375,VLOOKUP($B$397,'8.项目规划指标表'!$B$5:$AD$15,27,FALSE)*F431/10000/1.11*0.11,0),0)</f>
        <v>0</v>
      </c>
      <c r="J403" s="281">
        <f>IFERROR(IF(VLOOKUP($B$397,'9.项目开发计划表'!$C$5:$AH$16,33,FALSE)=I$374&amp;"年"&amp;J$375,VLOOKUP($B$397,'8.项目规划指标表'!$B$5:$AD$15,27,FALSE)*F431/10000/1.11*0.11,0),0)</f>
        <v>0</v>
      </c>
      <c r="K403" s="281">
        <f>IFERROR(IF(VLOOKUP($B$397,'9.项目开发计划表'!$C$5:$AH$16,33,FALSE)=I$374&amp;"年"&amp;K$375,VLOOKUP($B$397,'8.项目规划指标表'!$B$5:$AD$15,27,FALSE)*F431/10000/1.11*0.11,0),0)</f>
        <v>0</v>
      </c>
      <c r="L403" s="282">
        <f>IFERROR(IF(VLOOKUP($B$397,'9.项目开发计划表'!$C$5:$AH$16,33,FALSE)=I$374&amp;"年"&amp;L$375,VLOOKUP($B$397,'8.项目规划指标表'!$B$5:$AD$15,27,FALSE)*F431/10000/1.11*0.11,0),0)</f>
        <v>0</v>
      </c>
      <c r="M403" s="280">
        <f>IFERROR(IF(VLOOKUP($B$397,'9.项目开发计划表'!$C$5:$AH$16,33,FALSE)=M$374&amp;"年"&amp;M$375,VLOOKUP($B$397,'8.项目规划指标表'!$B$5:$AD$15,27,FALSE)*F431/10000/1.11*0.11,0),0)</f>
        <v>0</v>
      </c>
      <c r="N403" s="281">
        <f>IFERROR(IF(VLOOKUP($B$397,'9.项目开发计划表'!$C$5:$AH$16,33,FALSE)=M$374&amp;"年"&amp;N$375,VLOOKUP($B$397,'8.项目规划指标表'!$B$5:$AD$15,27,FALSE)*F431/10000/1.11*0.11,0),0)</f>
        <v>0</v>
      </c>
      <c r="O403" s="281">
        <f>IFERROR(IF(VLOOKUP($B$397,'9.项目开发计划表'!$C$5:$AH$16,33,FALSE)=M$374&amp;"年"&amp;O$375,VLOOKUP($B$397,'8.项目规划指标表'!$B$5:$AD$15,27,FALSE)*F431/10000/1.11*0.11,0),0)</f>
        <v>0</v>
      </c>
      <c r="P403" s="282">
        <f>IFERROR(IF(VLOOKUP($B$397,'9.项目开发计划表'!$C$5:$AH$16,33,FALSE)=M$374&amp;"年"&amp;P$375,VLOOKUP($B$397,'8.项目规划指标表'!$B$5:$AD$15,27,FALSE)*F431/10000/1.11*0.11,0),0)</f>
        <v>0</v>
      </c>
      <c r="Q403" s="280">
        <f>IFERROR(IF(VLOOKUP($B$397,'9.项目开发计划表'!$C$5:$AH$16,33,FALSE)=Q$374&amp;"年"&amp;Q$375,VLOOKUP($B$397,'8.项目规划指标表'!$B$5:$AD$15,27,FALSE)*F431/10000/1.11*0.11,0),0)</f>
        <v>0</v>
      </c>
      <c r="R403" s="281">
        <f>IFERROR(IF(VLOOKUP($B$397,'9.项目开发计划表'!$C$5:$AH$16,33,FALSE)=Q$374&amp;"年"&amp;R$375,VLOOKUP($B$397,'8.项目规划指标表'!$B$5:$AD$15,27,FALSE)*F431/10000/1.11*0.11,0),0)</f>
        <v>0</v>
      </c>
      <c r="S403" s="281">
        <f>IFERROR(IF(VLOOKUP($B$397,'9.项目开发计划表'!$C$5:$AH$16,33,FALSE)=Q$374&amp;"年"&amp;S$375,VLOOKUP($B$397,'8.项目规划指标表'!$B$5:$AD$15,27,FALSE)*F431/10000/1.11*0.11,0),0)</f>
        <v>0</v>
      </c>
      <c r="T403" s="282">
        <f>IFERROR(IF(VLOOKUP($B$397,'9.项目开发计划表'!$C$5:$AH$16,33,FALSE)=Q$374&amp;"年"&amp;T$375,VLOOKUP($B$397,'8.项目规划指标表'!$B$5:$AD$15,27,FALSE)*F431/10000/1.11*0.11,0),0)</f>
        <v>0</v>
      </c>
      <c r="U403" s="280">
        <f>IFERROR(IF(VLOOKUP($B$397,'9.项目开发计划表'!$C$5:$AH$16,33,FALSE)=U$374&amp;"年"&amp;U$375,VLOOKUP($B$397,'8.项目规划指标表'!$B$5:$AD$15,27,FALSE)*F431/10000/1.11*0.11,0),0)</f>
        <v>0</v>
      </c>
      <c r="V403" s="281">
        <f>IFERROR(IF(VLOOKUP($B$397,'9.项目开发计划表'!$C$5:$AH$16,33,FALSE)=U$374&amp;"年"&amp;V$375,VLOOKUP($B$397,'8.项目规划指标表'!$B$5:$AD$15,27,FALSE)*F431/10000/1.11*0.11,0),0)</f>
        <v>0</v>
      </c>
      <c r="W403" s="281">
        <f>IFERROR(IF(VLOOKUP($B$397,'9.项目开发计划表'!$C$5:$AH$16,33,FALSE)=U$374&amp;"年"&amp;W$375,VLOOKUP($B$397,'8.项目规划指标表'!$B$5:$AD$15,27,FALSE)*F431/10000/1.11*0.11,0),0)</f>
        <v>0</v>
      </c>
      <c r="X403" s="282">
        <f>IFERROR(IF(VLOOKUP($B$397,'9.项目开发计划表'!$C$5:$AH$16,33,FALSE)=U$374&amp;"年"&amp;X$375,VLOOKUP($B$397,'8.项目规划指标表'!$B$5:$AD$15,27,FALSE)*F431/10000/1.11*0.11,0),0)</f>
        <v>0</v>
      </c>
      <c r="Y403" s="280">
        <f>IFERROR(IF(VLOOKUP($B$397,'9.项目开发计划表'!$C$5:$AH$16,33,FALSE)=Y$374&amp;"年"&amp;Y$375,VLOOKUP($B$397,'8.项目规划指标表'!$B$5:$AD$15,27,FALSE)*F431/10000/1.11*0.11,0),0)</f>
        <v>0</v>
      </c>
      <c r="Z403" s="281">
        <f>IFERROR(IF(VLOOKUP($B$397,'9.项目开发计划表'!$C$5:$AH$16,33,FALSE)=Y$374&amp;"年"&amp;Z$375,VLOOKUP($B$397,'8.项目规划指标表'!$B$5:$AD$15,27,FALSE)*F431/10000/1.11*0.11,0),0)</f>
        <v>0</v>
      </c>
      <c r="AA403" s="281">
        <f>IFERROR(IF(VLOOKUP($B$397,'9.项目开发计划表'!$C$5:$AH$16,33,FALSE)=Y$374&amp;"年"&amp;AA$375,VLOOKUP($B$397,'8.项目规划指标表'!$B$5:$AD$15,27,FALSE)*F431/10000/1.11*0.11,0),0)</f>
        <v>0</v>
      </c>
      <c r="AB403" s="282">
        <f>IFERROR(IF(VLOOKUP($B$397,'9.项目开发计划表'!$C$5:$AH$16,33,FALSE)=Y$374&amp;"年"&amp;AB$375,VLOOKUP($B$397,'8.项目规划指标表'!$B$5:$AD$15,27,FALSE)*F431/10000/1.11*0.11,0),0)</f>
        <v>0</v>
      </c>
      <c r="AC403" s="280">
        <f>IFERROR(IF(VLOOKUP($B$397,'9.项目开发计划表'!$C$5:$AH$16,33,FALSE)=AC$374&amp;"年"&amp;AC$375,VLOOKUP($B$397,'8.项目规划指标表'!$B$5:$AD$15,27,FALSE)*F431/10000/1.11*0.11,0),0)</f>
        <v>0</v>
      </c>
      <c r="AD403" s="281">
        <f>IFERROR(IF(VLOOKUP($B$397,'9.项目开发计划表'!$C$5:$AH$16,33,FALSE)=AC$374&amp;"年"&amp;AD$375,VLOOKUP($B$397,'8.项目规划指标表'!$B$5:$AD$15,27,FALSE)*F431/10000/1.11*0.11,0),0)</f>
        <v>0</v>
      </c>
      <c r="AE403" s="281">
        <f>IFERROR(IF(VLOOKUP($B$397,'9.项目开发计划表'!$C$5:$AH$16,33,FALSE)=AC$374&amp;"年"&amp;AE$375,VLOOKUP($B$397,'8.项目规划指标表'!$B$5:$AD$15,27,FALSE)*F431/10000/1.11*0.11,0),0)</f>
        <v>0</v>
      </c>
      <c r="AF403" s="282">
        <f>IFERROR(IF(VLOOKUP($B$397,'9.项目开发计划表'!$C$5:$AH$16,33,FALSE)=AC$374&amp;"年"&amp;AF$375,VLOOKUP($B$397,'8.项目规划指标表'!$B$5:$AD$15,27,FALSE)*F431/10000/1.11*0.11,0),0)</f>
        <v>0</v>
      </c>
      <c r="AG403" s="280">
        <f>IFERROR(IF(VLOOKUP($B$397,'9.项目开发计划表'!$C$5:$AH$16,33,FALSE)=AG$374&amp;"年"&amp;AG$375,VLOOKUP($B$397,'8.项目规划指标表'!$B$5:$AD$15,27,FALSE)*F431/10000/1.11*0.11,0),0)</f>
        <v>0</v>
      </c>
      <c r="AH403" s="281">
        <f>IFERROR(IF(VLOOKUP($B$397,'9.项目开发计划表'!$C$5:$AH$16,33,FALSE)=AG$374&amp;"年"&amp;AH$375,VLOOKUP($B$397,'8.项目规划指标表'!$B$5:$AD$15,27,FALSE)*F431/10000/1.11*0.11,0),0)</f>
        <v>0</v>
      </c>
      <c r="AI403" s="281">
        <f>IFERROR(IF(VLOOKUP($B$397,'9.项目开发计划表'!$C$5:$AH$16,33,FALSE)=AG$374&amp;"年"&amp;AI$375,VLOOKUP($B$397,'8.项目规划指标表'!$B$5:$AD$15,27,FALSE)*F431/10000/1.11*0.11,0),0)</f>
        <v>0</v>
      </c>
      <c r="AJ403" s="282">
        <f>IFERROR(IF(VLOOKUP($B$397,'9.项目开发计划表'!$C$5:$AH$16,33,FALSE)=AG$374&amp;"年"&amp;AJ$375,VLOOKUP($B$397,'8.项目规划指标表'!$B$5:$AD$15,27,FALSE)*F431/10000/1.11*0.11,0),0)</f>
        <v>0</v>
      </c>
      <c r="AK403" s="280">
        <f>IFERROR(IF(VLOOKUP($B$397,'9.项目开发计划表'!$C$5:$AH$16,33,FALSE)=AK$374&amp;"年"&amp;AK$375,VLOOKUP($B$397,'8.项目规划指标表'!$B$5:$AD$15,27,FALSE)*F431/10000/1.11*0.11,0),0)</f>
        <v>0</v>
      </c>
      <c r="AL403" s="281">
        <f>IFERROR(IF(VLOOKUP($B$397,'9.项目开发计划表'!$C$5:$AH$16,33,FALSE)=AK$374&amp;"年"&amp;AL$375,VLOOKUP($B$397,'8.项目规划指标表'!$B$5:$AD$15,27,FALSE)*F431/10000/1.11*0.11,0),0)</f>
        <v>0</v>
      </c>
      <c r="AM403" s="281">
        <f>IFERROR(IF(VLOOKUP($B$397,'9.项目开发计划表'!$C$5:$AH$16,33,FALSE)=AK$374&amp;"年"&amp;AM$375,VLOOKUP($B$397,'8.项目规划指标表'!$B$5:$AD$15,27,FALSE)*F431/10000/1.11*0.11,0),0)</f>
        <v>0</v>
      </c>
      <c r="AN403" s="282">
        <f>IFERROR(IF(VLOOKUP($B$397,'9.项目开发计划表'!$C$5:$AH$16,33,FALSE)=AK$374&amp;"年"&amp;AN$375,VLOOKUP($B$397,'8.项目规划指标表'!$B$5:$AD$15,27,FALSE)*F431/10000/1.11*0.11,0),0)</f>
        <v>0</v>
      </c>
      <c r="AO403" s="280">
        <f>IFERROR(IF(VLOOKUP($B$397,'9.项目开发计划表'!$C$5:$AH$16,33,FALSE)=AO$374&amp;"年"&amp;AO$375,VLOOKUP($B$397,'8.项目规划指标表'!$B$5:$AD$15,27,FALSE)*F431/10000/1.11*0.11,0),0)</f>
        <v>0</v>
      </c>
      <c r="AP403" s="281">
        <f>IFERROR(IF(VLOOKUP($B$397,'9.项目开发计划表'!$C$5:$AH$16,33,FALSE)=AO$374&amp;"年"&amp;AP$375,VLOOKUP($B$397,'8.项目规划指标表'!$B$5:$AD$15,27,FALSE)*F431/10000/1.11*0.11,0),0)</f>
        <v>0</v>
      </c>
      <c r="AQ403" s="281">
        <f>IFERROR(IF(VLOOKUP($B$397,'9.项目开发计划表'!$C$5:$AH$16,33,FALSE)=AO$374&amp;"年"&amp;AQ$375,VLOOKUP($B$397,'8.项目规划指标表'!$B$5:$AD$15,27,FALSE)*F431/10000/1.11*0.11,0),0)</f>
        <v>0</v>
      </c>
      <c r="AR403" s="282">
        <f>IFERROR(IF(VLOOKUP($B$397,'9.项目开发计划表'!$C$5:$AH$16,33,FALSE)=AO$374&amp;"年"&amp;AR$375,VLOOKUP($B$397,'8.项目规划指标表'!$B$5:$AD$15,27,FALSE)*F431/10000/1.11*0.11,0),0)</f>
        <v>0</v>
      </c>
      <c r="AS403" s="280">
        <f>IFERROR(IF(VLOOKUP($B$397,'9.项目开发计划表'!$C$5:$AH$16,33,FALSE)=AS$374&amp;"年"&amp;AS$375,VLOOKUP($B$397,'8.项目规划指标表'!$B$5:$AD$15,27,FALSE)*F431/10000/1.11*0.11,0),0)</f>
        <v>0</v>
      </c>
      <c r="AT403" s="281">
        <f>IFERROR(IF(VLOOKUP($B$397,'9.项目开发计划表'!$C$5:$AH$16,33,FALSE)=AS$374&amp;"年"&amp;AT$375,VLOOKUP($B$397,'8.项目规划指标表'!$B$5:$AD$15,27,FALSE)*F431/10000/1.11*0.11,0),0)</f>
        <v>0</v>
      </c>
      <c r="AU403" s="281">
        <f>IFERROR(IF(VLOOKUP($B$397,'9.项目开发计划表'!$C$5:$AH$16,33,FALSE)=AS$374&amp;"年"&amp;AU$375,VLOOKUP($B$397,'8.项目规划指标表'!$B$5:$AD$15,27,FALSE)*F431/10000/1.11*0.11,0),0)</f>
        <v>0</v>
      </c>
      <c r="AV403" s="282">
        <f>IFERROR(IF(VLOOKUP($B$397,'9.项目开发计划表'!$C$5:$AH$16,33,FALSE)=AS$374&amp;"年"&amp;AV$375,VLOOKUP($B$397,'8.项目规划指标表'!$B$5:$AD$15,27,FALSE)*F431/10000/1.11*0.11,0),0)</f>
        <v>0</v>
      </c>
    </row>
    <row r="404" spans="2:48" s="256" customFormat="1" ht="15.75" customHeight="1">
      <c r="B404" s="287"/>
      <c r="C404" s="287"/>
      <c r="D404" s="291"/>
      <c r="E404" s="290"/>
      <c r="F404" s="290"/>
      <c r="G404" s="290"/>
      <c r="H404" s="290"/>
      <c r="I404" s="290"/>
      <c r="J404" s="290"/>
      <c r="K404" s="290"/>
      <c r="L404" s="290"/>
      <c r="M404" s="290"/>
      <c r="N404" s="290"/>
      <c r="O404" s="290"/>
      <c r="P404" s="290"/>
      <c r="Q404" s="290"/>
      <c r="R404" s="290"/>
      <c r="S404" s="290"/>
      <c r="T404" s="290"/>
      <c r="U404" s="290"/>
      <c r="V404" s="290"/>
      <c r="W404" s="290"/>
      <c r="X404" s="290"/>
      <c r="Y404" s="290"/>
      <c r="Z404" s="290"/>
      <c r="AA404" s="290"/>
      <c r="AB404" s="290"/>
      <c r="AC404" s="290"/>
      <c r="AD404" s="290"/>
      <c r="AE404" s="290"/>
      <c r="AF404" s="290"/>
      <c r="AG404" s="290"/>
      <c r="AH404" s="290"/>
      <c r="AI404" s="290"/>
      <c r="AJ404" s="290"/>
      <c r="AK404" s="290"/>
      <c r="AL404" s="290"/>
      <c r="AM404" s="290"/>
      <c r="AN404" s="290"/>
      <c r="AO404" s="290"/>
      <c r="AP404" s="290"/>
      <c r="AQ404" s="290"/>
      <c r="AR404" s="290"/>
      <c r="AS404" s="290"/>
      <c r="AT404" s="290"/>
      <c r="AU404" s="290"/>
      <c r="AV404" s="290"/>
    </row>
    <row r="405" spans="2:48">
      <c r="D405" s="291"/>
    </row>
    <row r="406" spans="2:48">
      <c r="D406" s="291"/>
    </row>
    <row r="407" spans="2:48" ht="18" customHeight="1">
      <c r="B407" s="263" t="s">
        <v>930</v>
      </c>
    </row>
    <row r="408" spans="2:48" s="256" customFormat="1" ht="16.5" customHeight="1">
      <c r="B408" s="264" t="s">
        <v>904</v>
      </c>
      <c r="C408" s="264" t="s">
        <v>598</v>
      </c>
      <c r="D408" s="334" t="s">
        <v>251</v>
      </c>
      <c r="E408" s="335" t="str">
        <f>E417</f>
        <v>高层</v>
      </c>
      <c r="F408" s="336" t="str">
        <f t="shared" ref="F408:N408" si="145">F417</f>
        <v>商铺</v>
      </c>
      <c r="G408" s="336" t="str">
        <f t="shared" si="145"/>
        <v>回迁商业</v>
      </c>
      <c r="H408" s="337">
        <f t="shared" si="145"/>
        <v>0</v>
      </c>
      <c r="I408" s="336">
        <f t="shared" si="145"/>
        <v>0</v>
      </c>
      <c r="J408" s="336">
        <f t="shared" si="145"/>
        <v>0</v>
      </c>
      <c r="K408" s="336">
        <f t="shared" si="145"/>
        <v>0</v>
      </c>
      <c r="L408" s="336">
        <f t="shared" si="145"/>
        <v>0</v>
      </c>
      <c r="M408" s="344">
        <f t="shared" si="145"/>
        <v>0</v>
      </c>
      <c r="N408" s="345" t="str">
        <f t="shared" si="145"/>
        <v>自持物业</v>
      </c>
    </row>
    <row r="409" spans="2:48" s="256" customFormat="1" ht="15.75" customHeight="1">
      <c r="B409" s="1983" t="s">
        <v>931</v>
      </c>
      <c r="C409" s="273" t="s">
        <v>19</v>
      </c>
      <c r="D409" s="274">
        <f>SUM(E409:N409)</f>
        <v>0</v>
      </c>
      <c r="E409" s="275">
        <f>E418/('2.税率表'!$D$13+'2.税率表'!$D$14+'2.税率表'!$D$17)</f>
        <v>0</v>
      </c>
      <c r="F409" s="276">
        <f>F418/('2.税率表'!$D$13+'2.税率表'!$D$14+'2.税率表'!$D$17)</f>
        <v>0</v>
      </c>
      <c r="G409" s="276">
        <f>G418/('2.税率表'!$D$13+'2.税率表'!$D$14+'2.税率表'!$D$17)</f>
        <v>0</v>
      </c>
      <c r="H409" s="338">
        <f>H418/('2.税率表'!$D$13+'2.税率表'!$D$14+'2.税率表'!$D$17)</f>
        <v>0</v>
      </c>
      <c r="I409" s="276">
        <f>I418/('2.税率表'!$D$13+'2.税率表'!$D$14+'2.税率表'!$D$17)</f>
        <v>0</v>
      </c>
      <c r="J409" s="276">
        <f>J418/('2.税率表'!$D$13+'2.税率表'!$D$14+'2.税率表'!$D$17)</f>
        <v>0</v>
      </c>
      <c r="K409" s="276">
        <f>K418/('2.税率表'!$D$13+'2.税率表'!$D$14+'2.税率表'!$D$17)</f>
        <v>0</v>
      </c>
      <c r="L409" s="276">
        <f>L418/('2.税率表'!$D$13+'2.税率表'!$D$14+'2.税率表'!$D$17)</f>
        <v>0</v>
      </c>
      <c r="M409" s="346">
        <f>M418/('2.税率表'!$D$13+'2.税率表'!$D$14+'2.税率表'!$D$17)</f>
        <v>0</v>
      </c>
      <c r="N409" s="277">
        <f>N418/('2.税率表'!$D$13+'2.税率表'!$D$14+'2.税率表'!$D$17)</f>
        <v>0</v>
      </c>
    </row>
    <row r="410" spans="2:48" s="256" customFormat="1" ht="15.75" customHeight="1">
      <c r="B410" s="1984"/>
      <c r="C410" s="273" t="s">
        <v>20</v>
      </c>
      <c r="D410" s="274">
        <f t="shared" ref="D410:D414" si="146">SUM(E410:N410)</f>
        <v>0</v>
      </c>
      <c r="E410" s="275">
        <f>E419/('2.税率表'!$D$13+'2.税率表'!$D$14+'2.税率表'!$D$17)</f>
        <v>0</v>
      </c>
      <c r="F410" s="276">
        <f>F419/('2.税率表'!$D$13+'2.税率表'!$D$14+'2.税率表'!$D$17)</f>
        <v>0</v>
      </c>
      <c r="G410" s="276">
        <f>G419/('2.税率表'!$D$13+'2.税率表'!$D$14+'2.税率表'!$D$17)</f>
        <v>0</v>
      </c>
      <c r="H410" s="338">
        <f>H419/('2.税率表'!$D$13+'2.税率表'!$D$14+'2.税率表'!$D$17)</f>
        <v>0</v>
      </c>
      <c r="I410" s="276">
        <f>I419/('2.税率表'!$D$13+'2.税率表'!$D$14+'2.税率表'!$D$17)</f>
        <v>0</v>
      </c>
      <c r="J410" s="276">
        <f>J419/('2.税率表'!$D$13+'2.税率表'!$D$14+'2.税率表'!$D$17)</f>
        <v>0</v>
      </c>
      <c r="K410" s="276">
        <f>K419/('2.税率表'!$D$13+'2.税率表'!$D$14+'2.税率表'!$D$17)</f>
        <v>0</v>
      </c>
      <c r="L410" s="276">
        <f>L419/('2.税率表'!$D$13+'2.税率表'!$D$14+'2.税率表'!$D$17)</f>
        <v>0</v>
      </c>
      <c r="M410" s="346">
        <f>M419/('2.税率表'!$D$13+'2.税率表'!$D$14+'2.税率表'!$D$17)</f>
        <v>0</v>
      </c>
      <c r="N410" s="277">
        <f>N419/('2.税率表'!$D$13+'2.税率表'!$D$14+'2.税率表'!$D$17)</f>
        <v>0</v>
      </c>
    </row>
    <row r="411" spans="2:48" s="256" customFormat="1" ht="15.75" customHeight="1">
      <c r="B411" s="1984"/>
      <c r="C411" s="273" t="s">
        <v>21</v>
      </c>
      <c r="D411" s="274">
        <f t="shared" si="146"/>
        <v>0</v>
      </c>
      <c r="E411" s="275">
        <f>E420/('2.税率表'!$D$13+'2.税率表'!$D$14+'2.税率表'!$D$17)</f>
        <v>0</v>
      </c>
      <c r="F411" s="276">
        <f>F420/('2.税率表'!$D$13+'2.税率表'!$D$14+'2.税率表'!$D$17)</f>
        <v>0</v>
      </c>
      <c r="G411" s="276">
        <f>G420/('2.税率表'!$D$13+'2.税率表'!$D$14+'2.税率表'!$D$17)</f>
        <v>0</v>
      </c>
      <c r="H411" s="338">
        <f>H420/('2.税率表'!$D$13+'2.税率表'!$D$14+'2.税率表'!$D$17)</f>
        <v>0</v>
      </c>
      <c r="I411" s="276">
        <f>I420/('2.税率表'!$D$13+'2.税率表'!$D$14+'2.税率表'!$D$17)</f>
        <v>0</v>
      </c>
      <c r="J411" s="276">
        <f>J420/('2.税率表'!$D$13+'2.税率表'!$D$14+'2.税率表'!$D$17)</f>
        <v>0</v>
      </c>
      <c r="K411" s="276">
        <f>K420/('2.税率表'!$D$13+'2.税率表'!$D$14+'2.税率表'!$D$17)</f>
        <v>0</v>
      </c>
      <c r="L411" s="276">
        <f>L420/('2.税率表'!$D$13+'2.税率表'!$D$14+'2.税率表'!$D$17)</f>
        <v>0</v>
      </c>
      <c r="M411" s="346">
        <f>M420/('2.税率表'!$D$13+'2.税率表'!$D$14+'2.税率表'!$D$17)</f>
        <v>0</v>
      </c>
      <c r="N411" s="277">
        <f>N420/('2.税率表'!$D$13+'2.税率表'!$D$14+'2.税率表'!$D$17)</f>
        <v>0</v>
      </c>
    </row>
    <row r="412" spans="2:48" s="256" customFormat="1" ht="15.75" customHeight="1">
      <c r="B412" s="1984"/>
      <c r="C412" s="273" t="s">
        <v>22</v>
      </c>
      <c r="D412" s="274">
        <f t="shared" si="146"/>
        <v>0</v>
      </c>
      <c r="E412" s="275">
        <f>E421/('2.税率表'!$D$13+'2.税率表'!$D$14+'2.税率表'!$D$17)</f>
        <v>0</v>
      </c>
      <c r="F412" s="276">
        <f>F421/('2.税率表'!$D$13+'2.税率表'!$D$14+'2.税率表'!$D$17)</f>
        <v>0</v>
      </c>
      <c r="G412" s="276">
        <f>G421/('2.税率表'!$D$13+'2.税率表'!$D$14+'2.税率表'!$D$17)</f>
        <v>0</v>
      </c>
      <c r="H412" s="338">
        <f>H421/('2.税率表'!$D$13+'2.税率表'!$D$14+'2.税率表'!$D$17)</f>
        <v>0</v>
      </c>
      <c r="I412" s="276">
        <f>I421/('2.税率表'!$D$13+'2.税率表'!$D$14+'2.税率表'!$D$17)</f>
        <v>0</v>
      </c>
      <c r="J412" s="276">
        <f>J421/('2.税率表'!$D$13+'2.税率表'!$D$14+'2.税率表'!$D$17)</f>
        <v>0</v>
      </c>
      <c r="K412" s="276">
        <f>K421/('2.税率表'!$D$13+'2.税率表'!$D$14+'2.税率表'!$D$17)</f>
        <v>0</v>
      </c>
      <c r="L412" s="276">
        <f>L421/('2.税率表'!$D$13+'2.税率表'!$D$14+'2.税率表'!$D$17)</f>
        <v>0</v>
      </c>
      <c r="M412" s="346">
        <f>M421/('2.税率表'!$D$13+'2.税率表'!$D$14+'2.税率表'!$D$17)</f>
        <v>0</v>
      </c>
      <c r="N412" s="277">
        <f>N421/('2.税率表'!$D$13+'2.税率表'!$D$14+'2.税率表'!$D$17)</f>
        <v>0</v>
      </c>
    </row>
    <row r="413" spans="2:48" s="256" customFormat="1" ht="15.75" customHeight="1">
      <c r="B413" s="1984"/>
      <c r="C413" s="273" t="s">
        <v>23</v>
      </c>
      <c r="D413" s="274">
        <f t="shared" si="146"/>
        <v>0</v>
      </c>
      <c r="E413" s="275">
        <f>E422/('2.税率表'!$D$13+'2.税率表'!$D$14+'2.税率表'!$D$17)</f>
        <v>0</v>
      </c>
      <c r="F413" s="276">
        <f>F422/('2.税率表'!$D$13+'2.税率表'!$D$14+'2.税率表'!$D$17)</f>
        <v>0</v>
      </c>
      <c r="G413" s="276">
        <f>G422/('2.税率表'!$D$13+'2.税率表'!$D$14+'2.税率表'!$D$17)</f>
        <v>0</v>
      </c>
      <c r="H413" s="338">
        <f>H422/('2.税率表'!$D$13+'2.税率表'!$D$14+'2.税率表'!$D$17)</f>
        <v>0</v>
      </c>
      <c r="I413" s="276">
        <f>I422/('2.税率表'!$D$13+'2.税率表'!$D$14+'2.税率表'!$D$17)</f>
        <v>0</v>
      </c>
      <c r="J413" s="276">
        <f>J422/('2.税率表'!$D$13+'2.税率表'!$D$14+'2.税率表'!$D$17)</f>
        <v>0</v>
      </c>
      <c r="K413" s="276">
        <f>K422/('2.税率表'!$D$13+'2.税率表'!$D$14+'2.税率表'!$D$17)</f>
        <v>0</v>
      </c>
      <c r="L413" s="276">
        <f>L422/('2.税率表'!$D$13+'2.税率表'!$D$14+'2.税率表'!$D$17)</f>
        <v>0</v>
      </c>
      <c r="M413" s="346">
        <f>M422/('2.税率表'!$D$13+'2.税率表'!$D$14+'2.税率表'!$D$17)</f>
        <v>0</v>
      </c>
      <c r="N413" s="277">
        <f>N422/('2.税率表'!$D$13+'2.税率表'!$D$14+'2.税率表'!$D$17)</f>
        <v>0</v>
      </c>
    </row>
    <row r="414" spans="2:48" s="256" customFormat="1" ht="15.75" customHeight="1">
      <c r="B414" s="1985"/>
      <c r="C414" s="278" t="s">
        <v>24</v>
      </c>
      <c r="D414" s="315">
        <f t="shared" si="146"/>
        <v>0</v>
      </c>
      <c r="E414" s="280">
        <f>E423/('2.税率表'!$D$13+'2.税率表'!$D$14+'2.税率表'!$D$17)</f>
        <v>0</v>
      </c>
      <c r="F414" s="281">
        <f>F423/('2.税率表'!$D$13+'2.税率表'!$D$14+'2.税率表'!$D$17)</f>
        <v>0</v>
      </c>
      <c r="G414" s="281">
        <f>G423/('2.税率表'!$D$13+'2.税率表'!$D$14+'2.税率表'!$D$17)</f>
        <v>0</v>
      </c>
      <c r="H414" s="339">
        <f>H423/('2.税率表'!$D$13+'2.税率表'!$D$14+'2.税率表'!$D$17)</f>
        <v>0</v>
      </c>
      <c r="I414" s="281">
        <f>I423/('2.税率表'!$D$13+'2.税率表'!$D$14+'2.税率表'!$D$17)</f>
        <v>0</v>
      </c>
      <c r="J414" s="281">
        <f>J423/('2.税率表'!$D$13+'2.税率表'!$D$14+'2.税率表'!$D$17)</f>
        <v>0</v>
      </c>
      <c r="K414" s="281">
        <f>K423/('2.税率表'!$D$13+'2.税率表'!$D$14+'2.税率表'!$D$17)</f>
        <v>0</v>
      </c>
      <c r="L414" s="281">
        <f>L423/('2.税率表'!$D$13+'2.税率表'!$D$14+'2.税率表'!$D$17)</f>
        <v>0</v>
      </c>
      <c r="M414" s="347">
        <f>M423/('2.税率表'!$D$13+'2.税率表'!$D$14+'2.税率表'!$D$17)</f>
        <v>0</v>
      </c>
      <c r="N414" s="282">
        <f>N423/('2.税率表'!$D$13+'2.税率表'!$D$14+'2.税率表'!$D$17)</f>
        <v>0</v>
      </c>
    </row>
    <row r="415" spans="2:48">
      <c r="D415" s="291"/>
    </row>
    <row r="416" spans="2:48" ht="18" customHeight="1">
      <c r="B416" s="263" t="s">
        <v>932</v>
      </c>
    </row>
    <row r="417" spans="2:14" s="256" customFormat="1" ht="16.5" customHeight="1">
      <c r="B417" s="264" t="s">
        <v>904</v>
      </c>
      <c r="C417" s="264" t="s">
        <v>598</v>
      </c>
      <c r="D417" s="334" t="s">
        <v>251</v>
      </c>
      <c r="E417" s="335" t="str">
        <f>'8.项目规划指标表'!B5</f>
        <v>高层</v>
      </c>
      <c r="F417" s="336" t="str">
        <f>'8.项目规划指标表'!B6</f>
        <v>商铺</v>
      </c>
      <c r="G417" s="336" t="str">
        <f>'8.项目规划指标表'!B7</f>
        <v>回迁商业</v>
      </c>
      <c r="H417" s="337">
        <f>'8.项目规划指标表'!B8</f>
        <v>0</v>
      </c>
      <c r="I417" s="336">
        <f>'8.项目规划指标表'!B9</f>
        <v>0</v>
      </c>
      <c r="J417" s="336">
        <f>'8.项目规划指标表'!B10</f>
        <v>0</v>
      </c>
      <c r="K417" s="336">
        <f>'8.项目规划指标表'!B11</f>
        <v>0</v>
      </c>
      <c r="L417" s="336">
        <f>'8.项目规划指标表'!B12</f>
        <v>0</v>
      </c>
      <c r="M417" s="344">
        <f>'8.项目规划指标表'!B13</f>
        <v>0</v>
      </c>
      <c r="N417" s="345" t="str">
        <f>'8.项目规划指标表'!B14</f>
        <v>自持物业</v>
      </c>
    </row>
    <row r="418" spans="2:14" s="256" customFormat="1" ht="15.75" customHeight="1">
      <c r="B418" s="1983" t="s">
        <v>931</v>
      </c>
      <c r="C418" s="273" t="s">
        <v>19</v>
      </c>
      <c r="D418" s="274">
        <f t="shared" ref="D418:D423" si="147">SUM(E418:N418)</f>
        <v>0</v>
      </c>
      <c r="E418" s="275">
        <f>IFERROR(IF(OR(E$417="回迁房",E$417="回迁商业",E$417="回迁写字楼",E$417="无产权公共配套"),0,VLOOKUP(E$417,'8.项目规划指标表'!$B$5:$AD$15,7,FALSE)/SUMIF('8.项目规划指标表'!$AE$5:$AE$15,"分摊",'8.项目规划指标表'!I$5:I$15))*$D$366,0)</f>
        <v>0</v>
      </c>
      <c r="F418" s="276">
        <f>IFERROR(IF(OR(F$417="回迁房",F$417="回迁商业",F$417="回迁写字楼",F$417="无产权公共配套"),0,VLOOKUP(F$417,'8.项目规划指标表'!$B$5:$AD$15,7,FALSE)/SUMIF('8.项目规划指标表'!$AE$5:$AE$15,"分摊",'8.项目规划指标表'!I$5:I$15))*$D$366,0)</f>
        <v>0</v>
      </c>
      <c r="G418" s="276">
        <f>IFERROR(IF(OR(G$417="回迁房",G$417="回迁商业",G$417="回迁写字楼",G$417="无产权公共配套"),0,VLOOKUP(G$417,'8.项目规划指标表'!$B$5:$AD$15,7,FALSE)/SUMIF('8.项目规划指标表'!$AE$5:$AE$15,"分摊",'8.项目规划指标表'!I$5:I$15))*$D$366,0)</f>
        <v>0</v>
      </c>
      <c r="H418" s="338">
        <f>IFERROR(IF(OR(H$417="回迁房",H$417="回迁商业",H$417="回迁写字楼",H$417="无产权公共配套"),0,VLOOKUP(H$417,'8.项目规划指标表'!$B$5:$AD$15,7,FALSE)/SUMIF('8.项目规划指标表'!$AE$5:$AE$15,"分摊",'8.项目规划指标表'!I$5:I$15))*$D$366,0)</f>
        <v>0</v>
      </c>
      <c r="I418" s="276">
        <f>IFERROR(IF(OR(I$417="回迁房",I$417="回迁商业",I$417="回迁写字楼",I$417="无产权公共配套"),0,VLOOKUP(I$417,'8.项目规划指标表'!$B$5:$AD$15,7,FALSE)/SUMIF('8.项目规划指标表'!$AE$5:$AE$15,"分摊",'8.项目规划指标表'!I$5:I$15))*$D$366,0)</f>
        <v>0</v>
      </c>
      <c r="J418" s="276">
        <f>IFERROR(IF(OR(J$417="回迁房",J$417="回迁商业",J$417="回迁写字楼",J$417="无产权公共配套"),0,VLOOKUP(J$417,'8.项目规划指标表'!$B$5:$AD$15,7,FALSE)/SUMIF('8.项目规划指标表'!$AE$5:$AE$15,"分摊",'8.项目规划指标表'!I$5:I$15))*$D$366,0)</f>
        <v>0</v>
      </c>
      <c r="K418" s="276">
        <f>IFERROR(IF(OR(K$417="回迁房",K$417="回迁商业",K$417="回迁写字楼",K$417="无产权公共配套"),0,VLOOKUP(K$417,'8.项目规划指标表'!$B$5:$AD$15,7,FALSE)/SUMIF('8.项目规划指标表'!$AE$5:$AE$15,"分摊",'8.项目规划指标表'!I$5:I$15))*$D$366,0)</f>
        <v>0</v>
      </c>
      <c r="L418" s="276">
        <f>IFERROR(IF(OR(L$417="回迁房",L$417="回迁商业",L$417="回迁写字楼",L$417="无产权公共配套"),0,VLOOKUP(L$417,'8.项目规划指标表'!$B$5:$AD$15,7,FALSE)/SUMIF('8.项目规划指标表'!$AE$5:$AE$15,"分摊",'8.项目规划指标表'!I$5:I$15))*$D$366,0)</f>
        <v>0</v>
      </c>
      <c r="M418" s="346">
        <f>IFERROR(IF(OR(M$417="回迁房",M$417="回迁商业",M$417="回迁写字楼",M$417="无产权公共配套"),0,VLOOKUP(M$417,'8.项目规划指标表'!$B$5:$AD$15,7,FALSE)/SUMIF('8.项目规划指标表'!$AE$5:$AE$15,"分摊",'8.项目规划指标表'!I$5:I$15))*$D$366,0)</f>
        <v>0</v>
      </c>
      <c r="N418" s="277">
        <f>IFERROR(IF(OR(N$417="回迁房",N$417="回迁商业",N$417="回迁写字楼",N$417="无产权公共配套"),0,VLOOKUP(N$417,'8.项目规划指标表'!$B$5:$AD$15,7,FALSE)/SUMIF('8.项目规划指标表'!$AE$5:$AE$15,"分摊",'8.项目规划指标表'!I$5:I$15))*$D$366,0)</f>
        <v>0</v>
      </c>
    </row>
    <row r="419" spans="2:14" s="256" customFormat="1" ht="15.75" customHeight="1">
      <c r="B419" s="1984"/>
      <c r="C419" s="273" t="s">
        <v>20</v>
      </c>
      <c r="D419" s="274">
        <f t="shared" si="147"/>
        <v>0</v>
      </c>
      <c r="E419" s="275">
        <f>IFERROR(IF(OR(E$417="回迁房",E$417="回迁商业",E$417="回迁写字楼",E$417="无产权公共配套"),0,VLOOKUP(E$417,'8.项目规划指标表'!$B$5:$AD$15,11,FALSE)/SUMIF('8.项目规划指标表'!$AE$5:$AE$15,"分摊",'8.项目规划指标表'!M$5:M$15))*$D367,0)</f>
        <v>0</v>
      </c>
      <c r="F419" s="276">
        <f>IFERROR(IF(OR(F$417="回迁房",F$417="回迁商业",F$417="回迁写字楼",F$417="无产权公共配套"),0,VLOOKUP(F$417,'8.项目规划指标表'!$B$5:$AD$15,11,FALSE)/SUMIF('8.项目规划指标表'!$AE$5:$AE$15,"分摊",'8.项目规划指标表'!M$5:M$15))*$D367,0)</f>
        <v>0</v>
      </c>
      <c r="G419" s="276">
        <f>IFERROR(IF(OR(G$417="回迁房",G$417="回迁商业",G$417="回迁写字楼",G$417="无产权公共配套"),0,VLOOKUP(G$417,'8.项目规划指标表'!$B$5:$AD$15,11,FALSE)/SUMIF('8.项目规划指标表'!$AE$5:$AE$15,"分摊",'8.项目规划指标表'!M$5:M$15))*$D367,0)</f>
        <v>0</v>
      </c>
      <c r="H419" s="338">
        <f>IFERROR(IF(OR(H$417="回迁房",H$417="回迁商业",H$417="回迁写字楼",H$417="无产权公共配套"),0,VLOOKUP(H$417,'8.项目规划指标表'!$B$5:$AD$15,11,FALSE)/SUMIF('8.项目规划指标表'!$AE$5:$AE$15,"分摊",'8.项目规划指标表'!M$5:M$15))*$D367,0)</f>
        <v>0</v>
      </c>
      <c r="I419" s="276">
        <f>IFERROR(IF(OR(I$417="回迁房",I$417="回迁商业",I$417="回迁写字楼",I$417="无产权公共配套"),0,VLOOKUP(I$417,'8.项目规划指标表'!$B$5:$AD$15,11,FALSE)/SUMIF('8.项目规划指标表'!$AE$5:$AE$15,"分摊",'8.项目规划指标表'!M$5:M$15))*$D367,0)</f>
        <v>0</v>
      </c>
      <c r="J419" s="276">
        <f>IFERROR(IF(OR(J$417="回迁房",J$417="回迁商业",J$417="回迁写字楼",J$417="无产权公共配套"),0,VLOOKUP(J$417,'8.项目规划指标表'!$B$5:$AD$15,11,FALSE)/SUMIF('8.项目规划指标表'!$AE$5:$AE$15,"分摊",'8.项目规划指标表'!M$5:M$15))*$D367,0)</f>
        <v>0</v>
      </c>
      <c r="K419" s="276">
        <f>IFERROR(IF(OR(K$417="回迁房",K$417="回迁商业",K$417="回迁写字楼",K$417="无产权公共配套"),0,VLOOKUP(K$417,'8.项目规划指标表'!$B$5:$AD$15,11,FALSE)/SUMIF('8.项目规划指标表'!$AE$5:$AE$15,"分摊",'8.项目规划指标表'!M$5:M$15))*$D367,0)</f>
        <v>0</v>
      </c>
      <c r="L419" s="276">
        <f>IFERROR(IF(OR(L$417="回迁房",L$417="回迁商业",L$417="回迁写字楼",L$417="无产权公共配套"),0,VLOOKUP(L$417,'8.项目规划指标表'!$B$5:$AD$15,11,FALSE)/SUMIF('8.项目规划指标表'!$AE$5:$AE$15,"分摊",'8.项目规划指标表'!M$5:M$15))*$D367,0)</f>
        <v>0</v>
      </c>
      <c r="M419" s="346">
        <f>IFERROR(IF(OR(M$417="回迁房",M$417="回迁商业",M$417="回迁写字楼",M$417="无产权公共配套"),0,VLOOKUP(M$417,'8.项目规划指标表'!$B$5:$AD$15,11,FALSE)/SUMIF('8.项目规划指标表'!$AE$5:$AE$15,"分摊",'8.项目规划指标表'!M$5:M$15))*$D367,0)</f>
        <v>0</v>
      </c>
      <c r="N419" s="277">
        <f>IFERROR(IF(OR(N$417="回迁房",N$417="回迁商业",N$417="回迁写字楼",N$417="无产权公共配套"),0,VLOOKUP(N$417,'8.项目规划指标表'!$B$5:$AD$15,11,FALSE)/SUMIF('8.项目规划指标表'!$AE$5:$AE$15,"分摊",'8.项目规划指标表'!M$5:M$15))*$D367,0)</f>
        <v>0</v>
      </c>
    </row>
    <row r="420" spans="2:14" s="256" customFormat="1" ht="15.75" customHeight="1">
      <c r="B420" s="1984"/>
      <c r="C420" s="273" t="s">
        <v>21</v>
      </c>
      <c r="D420" s="274">
        <f t="shared" si="147"/>
        <v>0</v>
      </c>
      <c r="E420" s="275">
        <f>IFERROR(IF(OR(E$417="回迁房",E$417="回迁商业",E$417="回迁写字楼",E$417="无产权公共配套"),0,VLOOKUP(E$417,'8.项目规划指标表'!$B$5:$AD$15,15,FALSE)/SUMIF('8.项目规划指标表'!$AE$5:$AE$15,"分摊",'8.项目规划指标表'!Q$5:Q$15))*$D$368,0)</f>
        <v>0</v>
      </c>
      <c r="F420" s="276">
        <f>IFERROR(IF(OR(F$417="回迁房",F$417="回迁商业",F$417="回迁写字楼",F$417="无产权公共配套"),0,VLOOKUP(F$417,'8.项目规划指标表'!$B$5:$AD$15,15,FALSE)/SUMIF('8.项目规划指标表'!$AE$5:$AE$15,"分摊",'8.项目规划指标表'!Q$5:Q$15))*$D$368,0)</f>
        <v>0</v>
      </c>
      <c r="G420" s="276">
        <f>IFERROR(IF(OR(G$417="回迁房",G$417="回迁商业",G$417="回迁写字楼",G$417="无产权公共配套"),0,VLOOKUP(G$417,'8.项目规划指标表'!$B$5:$AD$15,15,FALSE)/SUMIF('8.项目规划指标表'!$AE$5:$AE$15,"分摊",'8.项目规划指标表'!Q$5:Q$15))*$D$368,0)</f>
        <v>0</v>
      </c>
      <c r="H420" s="338">
        <f>IFERROR(IF(OR(H$417="回迁房",H$417="回迁商业",H$417="回迁写字楼",H$417="无产权公共配套"),0,VLOOKUP(H$417,'8.项目规划指标表'!$B$5:$AD$15,15,FALSE)/SUMIF('8.项目规划指标表'!$AE$5:$AE$15,"分摊",'8.项目规划指标表'!Q$5:Q$15))*$D$368,0)</f>
        <v>0</v>
      </c>
      <c r="I420" s="276">
        <f>IFERROR(IF(OR(I$417="回迁房",I$417="回迁商业",I$417="回迁写字楼",I$417="无产权公共配套"),0,VLOOKUP(I$417,'8.项目规划指标表'!$B$5:$AD$15,15,FALSE)/SUMIF('8.项目规划指标表'!$AE$5:$AE$15,"分摊",'8.项目规划指标表'!Q$5:Q$15))*$D$368,0)</f>
        <v>0</v>
      </c>
      <c r="J420" s="276">
        <f>IFERROR(IF(OR(J$417="回迁房",J$417="回迁商业",J$417="回迁写字楼",J$417="无产权公共配套"),0,VLOOKUP(J$417,'8.项目规划指标表'!$B$5:$AD$15,15,FALSE)/SUMIF('8.项目规划指标表'!$AE$5:$AE$15,"分摊",'8.项目规划指标表'!Q$5:Q$15))*$D$368,0)</f>
        <v>0</v>
      </c>
      <c r="K420" s="276">
        <f>IFERROR(IF(OR(K$417="回迁房",K$417="回迁商业",K$417="回迁写字楼",K$417="无产权公共配套"),0,VLOOKUP(K$417,'8.项目规划指标表'!$B$5:$AD$15,15,FALSE)/SUMIF('8.项目规划指标表'!$AE$5:$AE$15,"分摊",'8.项目规划指标表'!Q$5:Q$15))*$D$368,0)</f>
        <v>0</v>
      </c>
      <c r="L420" s="276">
        <f>IFERROR(IF(OR(L$417="回迁房",L$417="回迁商业",L$417="回迁写字楼",L$417="无产权公共配套"),0,VLOOKUP(L$417,'8.项目规划指标表'!$B$5:$AD$15,15,FALSE)/SUMIF('8.项目规划指标表'!$AE$5:$AE$15,"分摊",'8.项目规划指标表'!Q$5:Q$15))*$D$368,0)</f>
        <v>0</v>
      </c>
      <c r="M420" s="346">
        <f>IFERROR(IF(OR(M$417="回迁房",M$417="回迁商业",M$417="回迁写字楼",M$417="无产权公共配套"),0,VLOOKUP(M$417,'8.项目规划指标表'!$B$5:$AD$15,15,FALSE)/SUMIF('8.项目规划指标表'!$AE$5:$AE$15,"分摊",'8.项目规划指标表'!Q$5:Q$15))*$D$368,0)</f>
        <v>0</v>
      </c>
      <c r="N420" s="277">
        <f>IFERROR(IF(OR(N$417="回迁房",N$417="回迁商业",N$417="回迁写字楼",N$417="无产权公共配套"),0,VLOOKUP(N$417,'8.项目规划指标表'!$B$5:$AD$15,15,FALSE)/SUMIF('8.项目规划指标表'!$AE$5:$AE$15,"分摊",'8.项目规划指标表'!Q$5:Q$15))*$D$368,0)</f>
        <v>0</v>
      </c>
    </row>
    <row r="421" spans="2:14" s="256" customFormat="1" ht="15.75" customHeight="1">
      <c r="B421" s="1984"/>
      <c r="C421" s="273" t="s">
        <v>22</v>
      </c>
      <c r="D421" s="274">
        <f t="shared" si="147"/>
        <v>0</v>
      </c>
      <c r="E421" s="275">
        <f>IFERROR(IF(OR(E$417="回迁房",E$417="回迁商业",E$417="回迁写字楼",E$417="无产权公共配套"),0,VLOOKUP(E$417,'8.项目规划指标表'!$B$5:$AD$15,19,FALSE)/SUMIF('8.项目规划指标表'!$AE$5:$AE$15,"分摊",'8.项目规划指标表'!U$5:U$15))*$D$369,0)</f>
        <v>0</v>
      </c>
      <c r="F421" s="276">
        <f>IFERROR(IF(OR(F$417="回迁房",F$417="回迁商业",F$417="回迁写字楼",F$417="无产权公共配套"),0,VLOOKUP(F$417,'8.项目规划指标表'!$B$5:$AD$15,19,FALSE)/SUMIF('8.项目规划指标表'!$AE$5:$AE$15,"分摊",'8.项目规划指标表'!U$5:U$15))*$D$369,0)</f>
        <v>0</v>
      </c>
      <c r="G421" s="276">
        <f>IFERROR(IF(OR(G$417="回迁房",G$417="回迁商业",G$417="回迁写字楼",G$417="无产权公共配套"),0,VLOOKUP(G$417,'8.项目规划指标表'!$B$5:$AD$15,19,FALSE)/SUMIF('8.项目规划指标表'!$AE$5:$AE$15,"分摊",'8.项目规划指标表'!U$5:U$15))*$D$369,0)</f>
        <v>0</v>
      </c>
      <c r="H421" s="338">
        <f>IFERROR(IF(OR(H$417="回迁房",H$417="回迁商业",H$417="回迁写字楼",H$417="无产权公共配套"),0,VLOOKUP(H$417,'8.项目规划指标表'!$B$5:$AD$15,19,FALSE)/SUMIF('8.项目规划指标表'!$AE$5:$AE$15,"分摊",'8.项目规划指标表'!U$5:U$15))*$D$369,0)</f>
        <v>0</v>
      </c>
      <c r="I421" s="276">
        <f>IFERROR(IF(OR(I$417="回迁房",I$417="回迁商业",I$417="回迁写字楼",I$417="无产权公共配套"),0,VLOOKUP(I$417,'8.项目规划指标表'!$B$5:$AD$15,19,FALSE)/SUMIF('8.项目规划指标表'!$AE$5:$AE$15,"分摊",'8.项目规划指标表'!U$5:U$15))*$D$369,0)</f>
        <v>0</v>
      </c>
      <c r="J421" s="276">
        <f>IFERROR(IF(OR(J$417="回迁房",J$417="回迁商业",J$417="回迁写字楼",J$417="无产权公共配套"),0,VLOOKUP(J$417,'8.项目规划指标表'!$B$5:$AD$15,19,FALSE)/SUMIF('8.项目规划指标表'!$AE$5:$AE$15,"分摊",'8.项目规划指标表'!U$5:U$15))*$D$369,0)</f>
        <v>0</v>
      </c>
      <c r="K421" s="276">
        <f>IFERROR(IF(OR(K$417="回迁房",K$417="回迁商业",K$417="回迁写字楼",K$417="无产权公共配套"),0,VLOOKUP(K$417,'8.项目规划指标表'!$B$5:$AD$15,19,FALSE)/SUMIF('8.项目规划指标表'!$AE$5:$AE$15,"分摊",'8.项目规划指标表'!U$5:U$15))*$D$369,0)</f>
        <v>0</v>
      </c>
      <c r="L421" s="276">
        <f>IFERROR(IF(OR(L$417="回迁房",L$417="回迁商业",L$417="回迁写字楼",L$417="无产权公共配套"),0,VLOOKUP(L$417,'8.项目规划指标表'!$B$5:$AD$15,19,FALSE)/SUMIF('8.项目规划指标表'!$AE$5:$AE$15,"分摊",'8.项目规划指标表'!U$5:U$15))*$D$369,0)</f>
        <v>0</v>
      </c>
      <c r="M421" s="346">
        <f>IFERROR(IF(OR(M$417="回迁房",M$417="回迁商业",M$417="回迁写字楼",M$417="无产权公共配套"),0,VLOOKUP(M$417,'8.项目规划指标表'!$B$5:$AD$15,19,FALSE)/SUMIF('8.项目规划指标表'!$AE$5:$AE$15,"分摊",'8.项目规划指标表'!U$5:U$15))*$D$369,0)</f>
        <v>0</v>
      </c>
      <c r="N421" s="277">
        <f>IFERROR(IF(OR(N$417="回迁房",N$417="回迁商业",N$417="回迁写字楼",N$417="无产权公共配套"),0,VLOOKUP(N$417,'8.项目规划指标表'!$B$5:$AD$15,19,FALSE)/SUMIF('8.项目规划指标表'!$AE$5:$AE$15,"分摊",'8.项目规划指标表'!U$5:U$15))*$D$369,0)</f>
        <v>0</v>
      </c>
    </row>
    <row r="422" spans="2:14" s="256" customFormat="1" ht="15.75" customHeight="1">
      <c r="B422" s="1984"/>
      <c r="C422" s="273" t="s">
        <v>23</v>
      </c>
      <c r="D422" s="274">
        <f t="shared" si="147"/>
        <v>0</v>
      </c>
      <c r="E422" s="275">
        <f>IFERROR(IF(OR(E$417="回迁房",E$417="回迁商业",E$417="回迁写字楼",E$417="无产权公共配套"),0,VLOOKUP(E$417,'8.项目规划指标表'!$B$5:$AD$15,23,FALSE)/SUMIF('8.项目规划指标表'!$AE$5:$AE$15,"分摊",'8.项目规划指标表'!Y$5:Y$15))*$D$370,0)</f>
        <v>0</v>
      </c>
      <c r="F422" s="276">
        <f>IFERROR(IF(OR(F$417="回迁房",F$417="回迁商业",F$417="回迁写字楼",F$417="无产权公共配套"),0,VLOOKUP(F$417,'8.项目规划指标表'!$B$5:$AD$15,23,FALSE)/SUMIF('8.项目规划指标表'!$AE$5:$AE$15,"分摊",'8.项目规划指标表'!Y$5:Y$15))*$D$370,0)</f>
        <v>0</v>
      </c>
      <c r="G422" s="276">
        <f>IFERROR(IF(OR(G$417="回迁房",G$417="回迁商业",G$417="回迁写字楼",G$417="无产权公共配套"),0,VLOOKUP(G$417,'8.项目规划指标表'!$B$5:$AD$15,23,FALSE)/SUMIF('8.项目规划指标表'!$AE$5:$AE$15,"分摊",'8.项目规划指标表'!Y$5:Y$15))*$D$370,0)</f>
        <v>0</v>
      </c>
      <c r="H422" s="338">
        <f>IFERROR(IF(OR(H$417="回迁房",H$417="回迁商业",H$417="回迁写字楼",H$417="无产权公共配套"),0,VLOOKUP(H$417,'8.项目规划指标表'!$B$5:$AD$15,23,FALSE)/SUMIF('8.项目规划指标表'!$AE$5:$AE$15,"分摊",'8.项目规划指标表'!Y$5:Y$15))*$D$370,0)</f>
        <v>0</v>
      </c>
      <c r="I422" s="276">
        <f>IFERROR(IF(OR(I$417="回迁房",I$417="回迁商业",I$417="回迁写字楼",I$417="无产权公共配套"),0,VLOOKUP(I$417,'8.项目规划指标表'!$B$5:$AD$15,23,FALSE)/SUMIF('8.项目规划指标表'!$AE$5:$AE$15,"分摊",'8.项目规划指标表'!Y$5:Y$15))*$D$370,0)</f>
        <v>0</v>
      </c>
      <c r="J422" s="276">
        <f>IFERROR(IF(OR(J$417="回迁房",J$417="回迁商业",J$417="回迁写字楼",J$417="无产权公共配套"),0,VLOOKUP(J$417,'8.项目规划指标表'!$B$5:$AD$15,23,FALSE)/SUMIF('8.项目规划指标表'!$AE$5:$AE$15,"分摊",'8.项目规划指标表'!Y$5:Y$15))*$D$370,0)</f>
        <v>0</v>
      </c>
      <c r="K422" s="276">
        <f>IFERROR(IF(OR(K$417="回迁房",K$417="回迁商业",K$417="回迁写字楼",K$417="无产权公共配套"),0,VLOOKUP(K$417,'8.项目规划指标表'!$B$5:$AD$15,23,FALSE)/SUMIF('8.项目规划指标表'!$AE$5:$AE$15,"分摊",'8.项目规划指标表'!Y$5:Y$15))*$D$370,0)</f>
        <v>0</v>
      </c>
      <c r="L422" s="276">
        <f>IFERROR(IF(OR(L$417="回迁房",L$417="回迁商业",L$417="回迁写字楼",L$417="无产权公共配套"),0,VLOOKUP(L$417,'8.项目规划指标表'!$B$5:$AD$15,23,FALSE)/SUMIF('8.项目规划指标表'!$AE$5:$AE$15,"分摊",'8.项目规划指标表'!Y$5:Y$15))*$D$370,0)</f>
        <v>0</v>
      </c>
      <c r="M422" s="346">
        <f>IFERROR(IF(OR(M$417="回迁房",M$417="回迁商业",M$417="回迁写字楼",M$417="无产权公共配套"),0,VLOOKUP(M$417,'8.项目规划指标表'!$B$5:$AD$15,23,FALSE)/SUMIF('8.项目规划指标表'!$AE$5:$AE$15,"分摊",'8.项目规划指标表'!Y$5:Y$15))*$D$370,0)</f>
        <v>0</v>
      </c>
      <c r="N422" s="277">
        <f>IFERROR(IF(OR(N$417="回迁房",N$417="回迁商业",N$417="回迁写字楼",N$417="无产权公共配套"),0,VLOOKUP(N$417,'8.项目规划指标表'!$B$5:$AD$15,23,FALSE)/SUMIF('8.项目规划指标表'!$AE$5:$AE$15,"分摊",'8.项目规划指标表'!Y$5:Y$15))*$D$370,0)</f>
        <v>0</v>
      </c>
    </row>
    <row r="423" spans="2:14" s="256" customFormat="1" ht="15.75" customHeight="1">
      <c r="B423" s="1985"/>
      <c r="C423" s="278" t="s">
        <v>24</v>
      </c>
      <c r="D423" s="315">
        <f t="shared" si="147"/>
        <v>0</v>
      </c>
      <c r="E423" s="280">
        <f>IFERROR(IF(OR(E$417="回迁房",E$417="回迁商业",E$417="回迁写字楼",E$417="无产权公共配套"),0,VLOOKUP(E$417,'8.项目规划指标表'!$B$5:$AD$15,27,FALSE)/SUMIF('8.项目规划指标表'!$AE$5:$AE$15,"分摊",'8.项目规划指标表'!AC$5:AC$15))*$D$371,0)</f>
        <v>0</v>
      </c>
      <c r="F423" s="281">
        <f>IFERROR(IF(OR(F$417="回迁房",F$417="回迁商业",F$417="回迁写字楼",F$417="无产权公共配套"),0,VLOOKUP(F$417,'8.项目规划指标表'!$B$5:$AD$15,27,FALSE)/SUMIF('8.项目规划指标表'!$AE$5:$AE$15,"分摊",'8.项目规划指标表'!AC$5:AC$15))*$D$371,0)</f>
        <v>0</v>
      </c>
      <c r="G423" s="281">
        <f>IFERROR(IF(OR(G$417="回迁房",G$417="回迁商业",G$417="回迁写字楼",G$417="无产权公共配套"),0,VLOOKUP(G$417,'8.项目规划指标表'!$B$5:$AD$15,27,FALSE)/SUMIF('8.项目规划指标表'!$AE$5:$AE$15,"分摊",'8.项目规划指标表'!AC$5:AC$15))*$D$371,0)</f>
        <v>0</v>
      </c>
      <c r="H423" s="339">
        <f>IFERROR(IF(OR(H$417="回迁房",H$417="回迁商业",H$417="回迁写字楼",H$417="无产权公共配套"),0,VLOOKUP(H$417,'8.项目规划指标表'!$B$5:$AD$15,27,FALSE)/SUMIF('8.项目规划指标表'!$AE$5:$AE$15,"分摊",'8.项目规划指标表'!AC$5:AC$15))*$D$371,0)</f>
        <v>0</v>
      </c>
      <c r="I423" s="281">
        <f>IFERROR(IF(OR(I$417="回迁房",I$417="回迁商业",I$417="回迁写字楼",I$417="无产权公共配套"),0,VLOOKUP(I$417,'8.项目规划指标表'!$B$5:$AD$15,27,FALSE)/SUMIF('8.项目规划指标表'!$AE$5:$AE$15,"分摊",'8.项目规划指标表'!AC$5:AC$15))*$D$371,0)</f>
        <v>0</v>
      </c>
      <c r="J423" s="281">
        <f>IFERROR(IF(OR(J$417="回迁房",J$417="回迁商业",J$417="回迁写字楼",J$417="无产权公共配套"),0,VLOOKUP(J$417,'8.项目规划指标表'!$B$5:$AD$15,27,FALSE)/SUMIF('8.项目规划指标表'!$AE$5:$AE$15,"分摊",'8.项目规划指标表'!AC$5:AC$15))*$D$371,0)</f>
        <v>0</v>
      </c>
      <c r="K423" s="281">
        <f>IFERROR(IF(OR(K$417="回迁房",K$417="回迁商业",K$417="回迁写字楼",K$417="无产权公共配套"),0,VLOOKUP(K$417,'8.项目规划指标表'!$B$5:$AD$15,27,FALSE)/SUMIF('8.项目规划指标表'!$AE$5:$AE$15,"分摊",'8.项目规划指标表'!AC$5:AC$15))*$D$371,0)</f>
        <v>0</v>
      </c>
      <c r="L423" s="281">
        <f>IFERROR(IF(OR(L$417="回迁房",L$417="回迁商业",L$417="回迁写字楼",L$417="无产权公共配套"),0,VLOOKUP(L$417,'8.项目规划指标表'!$B$5:$AD$15,27,FALSE)/SUMIF('8.项目规划指标表'!$AE$5:$AE$15,"分摊",'8.项目规划指标表'!AC$5:AC$15))*$D$371,0)</f>
        <v>0</v>
      </c>
      <c r="M423" s="347">
        <f>IFERROR(IF(OR(M$417="回迁房",M$417="回迁商业",M$417="回迁写字楼",M$417="无产权公共配套"),0,VLOOKUP(M$417,'8.项目规划指标表'!$B$5:$AD$15,27,FALSE)/SUMIF('8.项目规划指标表'!$AE$5:$AE$15,"分摊",'8.项目规划指标表'!AC$5:AC$15))*$D$371,0)</f>
        <v>0</v>
      </c>
      <c r="N423" s="282">
        <f>IFERROR(IF(OR(N$417="回迁房",N$417="回迁商业",N$417="回迁写字楼",N$417="无产权公共配套"),0,VLOOKUP(N$417,'8.项目规划指标表'!$B$5:$AD$15,27,FALSE)/SUMIF('8.项目规划指标表'!$AE$5:$AE$15,"分摊",'8.项目规划指标表'!AC$5:AC$15))*$D$371,0)</f>
        <v>0</v>
      </c>
    </row>
    <row r="425" spans="2:14" ht="13.5" customHeight="1">
      <c r="B425" s="1986" t="s">
        <v>933</v>
      </c>
      <c r="C425" s="340" t="s">
        <v>598</v>
      </c>
      <c r="D425" s="341" t="s">
        <v>805</v>
      </c>
      <c r="E425" s="341" t="s">
        <v>780</v>
      </c>
      <c r="F425" s="341" t="s">
        <v>823</v>
      </c>
      <c r="G425" s="342"/>
    </row>
    <row r="426" spans="2:14">
      <c r="B426" s="1986"/>
      <c r="C426" s="294" t="s">
        <v>19</v>
      </c>
      <c r="D426" s="343"/>
      <c r="E426" s="343"/>
      <c r="F426" s="343"/>
      <c r="G426" s="342"/>
    </row>
    <row r="427" spans="2:14">
      <c r="B427" s="1986"/>
      <c r="C427" s="294" t="s">
        <v>20</v>
      </c>
      <c r="D427" s="343"/>
      <c r="E427" s="343"/>
      <c r="F427" s="343"/>
      <c r="G427" s="342"/>
    </row>
    <row r="428" spans="2:14">
      <c r="B428" s="1986"/>
      <c r="C428" s="294" t="s">
        <v>21</v>
      </c>
      <c r="D428" s="343"/>
      <c r="E428" s="343"/>
      <c r="F428" s="343"/>
      <c r="G428" s="342"/>
    </row>
    <row r="429" spans="2:14">
      <c r="B429" s="1986"/>
      <c r="C429" s="294" t="s">
        <v>22</v>
      </c>
      <c r="D429" s="343"/>
      <c r="E429" s="343"/>
      <c r="F429" s="343"/>
      <c r="G429" s="342"/>
    </row>
    <row r="430" spans="2:14">
      <c r="B430" s="1986"/>
      <c r="C430" s="294" t="s">
        <v>23</v>
      </c>
      <c r="D430" s="343"/>
      <c r="E430" s="343"/>
      <c r="F430" s="343"/>
      <c r="G430" s="342"/>
    </row>
    <row r="431" spans="2:14">
      <c r="B431" s="1986"/>
      <c r="C431" s="294" t="s">
        <v>24</v>
      </c>
      <c r="D431" s="343"/>
      <c r="E431" s="343"/>
      <c r="F431" s="343"/>
      <c r="G431" s="342"/>
    </row>
  </sheetData>
  <sheetProtection password="D9A8" sheet="1" objects="1" scenarios="1"/>
  <mergeCells count="176">
    <mergeCell ref="D374:D375"/>
    <mergeCell ref="D325:D326"/>
    <mergeCell ref="D327:D328"/>
    <mergeCell ref="D329:D330"/>
    <mergeCell ref="D331:D332"/>
    <mergeCell ref="D333:D334"/>
    <mergeCell ref="D335:D336"/>
    <mergeCell ref="D337:D338"/>
    <mergeCell ref="D339:D340"/>
    <mergeCell ref="D341:D342"/>
    <mergeCell ref="D317:D318"/>
    <mergeCell ref="D319:D320"/>
    <mergeCell ref="D321:D322"/>
    <mergeCell ref="D323:D324"/>
    <mergeCell ref="D343:D344"/>
    <mergeCell ref="D345:D346"/>
    <mergeCell ref="D347:D348"/>
    <mergeCell ref="D352:D353"/>
    <mergeCell ref="D363:D364"/>
    <mergeCell ref="D299:D300"/>
    <mergeCell ref="D301:D302"/>
    <mergeCell ref="D303:D304"/>
    <mergeCell ref="D305:D306"/>
    <mergeCell ref="D307:D308"/>
    <mergeCell ref="D309:D310"/>
    <mergeCell ref="D311:D312"/>
    <mergeCell ref="D313:D314"/>
    <mergeCell ref="D315:D316"/>
    <mergeCell ref="D281:D282"/>
    <mergeCell ref="D283:D284"/>
    <mergeCell ref="D285:D286"/>
    <mergeCell ref="D287:D288"/>
    <mergeCell ref="D289:D290"/>
    <mergeCell ref="D291:D292"/>
    <mergeCell ref="D293:D294"/>
    <mergeCell ref="D295:D296"/>
    <mergeCell ref="D297:D298"/>
    <mergeCell ref="D263:D264"/>
    <mergeCell ref="D265:D266"/>
    <mergeCell ref="D267:D268"/>
    <mergeCell ref="D269:D270"/>
    <mergeCell ref="D271:D272"/>
    <mergeCell ref="D273:D274"/>
    <mergeCell ref="D275:D276"/>
    <mergeCell ref="D277:D278"/>
    <mergeCell ref="D279:D280"/>
    <mergeCell ref="D245:D246"/>
    <mergeCell ref="D247:D248"/>
    <mergeCell ref="D249:D250"/>
    <mergeCell ref="D251:D252"/>
    <mergeCell ref="D253:D254"/>
    <mergeCell ref="D255:D256"/>
    <mergeCell ref="D257:D258"/>
    <mergeCell ref="D259:D260"/>
    <mergeCell ref="D261:D262"/>
    <mergeCell ref="D4:D5"/>
    <mergeCell ref="D30:D31"/>
    <mergeCell ref="D123:D124"/>
    <mergeCell ref="D205:D206"/>
    <mergeCell ref="D207:D208"/>
    <mergeCell ref="D209:D210"/>
    <mergeCell ref="D211:D212"/>
    <mergeCell ref="D213:D214"/>
    <mergeCell ref="D215:D216"/>
    <mergeCell ref="B418:B423"/>
    <mergeCell ref="B425:B431"/>
    <mergeCell ref="C4:C5"/>
    <mergeCell ref="C30:C31"/>
    <mergeCell ref="C123:C124"/>
    <mergeCell ref="C205:C228"/>
    <mergeCell ref="C229:C252"/>
    <mergeCell ref="C253:C276"/>
    <mergeCell ref="C277:C300"/>
    <mergeCell ref="C301:C324"/>
    <mergeCell ref="C325:C348"/>
    <mergeCell ref="C352:C353"/>
    <mergeCell ref="C363:C364"/>
    <mergeCell ref="C374:C375"/>
    <mergeCell ref="B354:B360"/>
    <mergeCell ref="B363:B364"/>
    <mergeCell ref="B365:B371"/>
    <mergeCell ref="B374:B375"/>
    <mergeCell ref="B376:B382"/>
    <mergeCell ref="B383:B389"/>
    <mergeCell ref="B390:B396"/>
    <mergeCell ref="B397:B403"/>
    <mergeCell ref="B409:B414"/>
    <mergeCell ref="B4:B5"/>
    <mergeCell ref="B6:B12"/>
    <mergeCell ref="B13:B19"/>
    <mergeCell ref="B20:B26"/>
    <mergeCell ref="B30:B31"/>
    <mergeCell ref="B32:B110"/>
    <mergeCell ref="B123:B124"/>
    <mergeCell ref="B125:B203"/>
    <mergeCell ref="B352:B353"/>
    <mergeCell ref="AO363:AR363"/>
    <mergeCell ref="AO123:AR123"/>
    <mergeCell ref="D217:D218"/>
    <mergeCell ref="D219:D220"/>
    <mergeCell ref="D221:D222"/>
    <mergeCell ref="D223:D224"/>
    <mergeCell ref="D225:D226"/>
    <mergeCell ref="D227:D228"/>
    <mergeCell ref="D229:D230"/>
    <mergeCell ref="D231:D232"/>
    <mergeCell ref="D233:D234"/>
    <mergeCell ref="D235:D236"/>
    <mergeCell ref="D237:D238"/>
    <mergeCell ref="D239:D240"/>
    <mergeCell ref="D241:D242"/>
    <mergeCell ref="D243:D244"/>
    <mergeCell ref="AS363:AV363"/>
    <mergeCell ref="E374:H374"/>
    <mergeCell ref="I374:L374"/>
    <mergeCell ref="M374:P374"/>
    <mergeCell ref="Q374:T374"/>
    <mergeCell ref="U374:X374"/>
    <mergeCell ref="Y374:AB374"/>
    <mergeCell ref="AC374:AF374"/>
    <mergeCell ref="AG374:AJ374"/>
    <mergeCell ref="AK374:AN374"/>
    <mergeCell ref="AO374:AR374"/>
    <mergeCell ref="AS374:AV374"/>
    <mergeCell ref="E363:H363"/>
    <mergeCell ref="I363:L363"/>
    <mergeCell ref="M363:P363"/>
    <mergeCell ref="Q363:T363"/>
    <mergeCell ref="U363:X363"/>
    <mergeCell ref="Y363:AB363"/>
    <mergeCell ref="AC363:AF363"/>
    <mergeCell ref="AG363:AJ363"/>
    <mergeCell ref="AK363:AN363"/>
    <mergeCell ref="AS123:AV123"/>
    <mergeCell ref="E352:H352"/>
    <mergeCell ref="I352:L352"/>
    <mergeCell ref="M352:P352"/>
    <mergeCell ref="Q352:T352"/>
    <mergeCell ref="U352:X352"/>
    <mergeCell ref="Y352:AB352"/>
    <mergeCell ref="AC352:AF352"/>
    <mergeCell ref="AG352:AJ352"/>
    <mergeCell ref="AK352:AN352"/>
    <mergeCell ref="AO352:AR352"/>
    <mergeCell ref="AS352:AV352"/>
    <mergeCell ref="E123:H123"/>
    <mergeCell ref="I123:L123"/>
    <mergeCell ref="M123:P123"/>
    <mergeCell ref="Q123:T123"/>
    <mergeCell ref="U123:X123"/>
    <mergeCell ref="Y123:AB123"/>
    <mergeCell ref="AC123:AF123"/>
    <mergeCell ref="AG123:AJ123"/>
    <mergeCell ref="AK123:AN123"/>
    <mergeCell ref="AO4:AR4"/>
    <mergeCell ref="AS4:AV4"/>
    <mergeCell ref="E30:H30"/>
    <mergeCell ref="I30:L30"/>
    <mergeCell ref="M30:P30"/>
    <mergeCell ref="Q30:T30"/>
    <mergeCell ref="U30:X30"/>
    <mergeCell ref="Y30:AB30"/>
    <mergeCell ref="AC30:AF30"/>
    <mergeCell ref="AG30:AJ30"/>
    <mergeCell ref="AK30:AN30"/>
    <mergeCell ref="AO30:AR30"/>
    <mergeCell ref="AS30:AV30"/>
    <mergeCell ref="E4:H4"/>
    <mergeCell ref="I4:L4"/>
    <mergeCell ref="M4:P4"/>
    <mergeCell ref="Q4:T4"/>
    <mergeCell ref="U4:X4"/>
    <mergeCell ref="Y4:AB4"/>
    <mergeCell ref="AC4:AF4"/>
    <mergeCell ref="AG4:AJ4"/>
    <mergeCell ref="AK4:AN4"/>
  </mergeCells>
  <phoneticPr fontId="102" type="noConversion"/>
  <hyperlinks>
    <hyperlink ref="F1" location="目录!A1" display="返回目录"/>
  </hyperlinks>
  <pageMargins left="0.69930555555555596" right="0.69930555555555596" top="0.75" bottom="0.75" header="0.3" footer="0.3"/>
  <pageSetup paperSize="9" orientation="portrai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V185"/>
  <sheetViews>
    <sheetView showGridLines="0" workbookViewId="0">
      <pane xSplit="3" ySplit="6" topLeftCell="E7" activePane="bottomRight" state="frozen"/>
      <selection pane="topRight"/>
      <selection pane="bottomLeft"/>
      <selection pane="bottomRight" activeCell="O20" sqref="O20"/>
    </sheetView>
  </sheetViews>
  <sheetFormatPr defaultColWidth="9" defaultRowHeight="12.75"/>
  <cols>
    <col min="1" max="3" width="9" style="77"/>
    <col min="4" max="13" width="13.125" style="77" customWidth="1"/>
    <col min="14" max="14" width="8.875" style="77" customWidth="1"/>
    <col min="15" max="15" width="9.25" style="77" customWidth="1"/>
    <col min="16" max="16" width="9.875" style="77" customWidth="1"/>
    <col min="17" max="17" width="9.625" style="77" customWidth="1"/>
    <col min="18" max="19" width="9.875" style="77" customWidth="1"/>
    <col min="20" max="47" width="9" style="77"/>
    <col min="48" max="48" width="6.25" style="77" customWidth="1"/>
    <col min="49" max="16384" width="9" style="77"/>
  </cols>
  <sheetData>
    <row r="1" spans="1:48" ht="18.75">
      <c r="A1" s="79" t="s">
        <v>594</v>
      </c>
      <c r="B1" s="78"/>
      <c r="C1" s="78"/>
      <c r="D1" s="80" t="s">
        <v>117</v>
      </c>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row>
    <row r="2" spans="1:48">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row>
    <row r="3" spans="1:48">
      <c r="A3" s="81" t="s">
        <v>118</v>
      </c>
      <c r="B3" s="78"/>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c r="AT3" s="78"/>
      <c r="AU3" s="78"/>
      <c r="AV3" s="78"/>
    </row>
    <row r="4" spans="1:48">
      <c r="A4" s="82" t="s">
        <v>595</v>
      </c>
      <c r="B4" s="78"/>
      <c r="C4" s="78"/>
      <c r="D4" s="83">
        <v>1</v>
      </c>
      <c r="E4" s="83">
        <v>2</v>
      </c>
      <c r="F4" s="83">
        <v>3</v>
      </c>
      <c r="G4" s="83">
        <v>4</v>
      </c>
      <c r="H4" s="83">
        <v>5</v>
      </c>
      <c r="I4" s="83">
        <v>6</v>
      </c>
      <c r="J4" s="83">
        <v>7</v>
      </c>
      <c r="K4" s="83">
        <v>8</v>
      </c>
      <c r="L4" s="83">
        <v>9</v>
      </c>
      <c r="M4" s="83">
        <v>10</v>
      </c>
      <c r="N4" s="83">
        <v>11</v>
      </c>
      <c r="O4" s="83">
        <v>12</v>
      </c>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row>
    <row r="5" spans="1:48" ht="15" customHeight="1">
      <c r="A5" s="156"/>
      <c r="B5" s="156"/>
      <c r="C5" s="157" t="s">
        <v>596</v>
      </c>
      <c r="D5" s="158" t="s">
        <v>934</v>
      </c>
      <c r="E5" s="159" t="s">
        <v>935</v>
      </c>
      <c r="F5" s="160"/>
      <c r="G5" s="158"/>
      <c r="H5" s="160"/>
      <c r="I5" s="160"/>
      <c r="J5" s="160"/>
      <c r="K5" s="160"/>
      <c r="L5" s="160"/>
      <c r="M5" s="160"/>
      <c r="N5" s="160" t="s">
        <v>935</v>
      </c>
      <c r="O5" s="186"/>
      <c r="P5" s="1989" t="s">
        <v>597</v>
      </c>
      <c r="Q5" s="1962"/>
      <c r="R5" s="208" t="s">
        <v>936</v>
      </c>
      <c r="S5" s="209"/>
      <c r="T5" s="78"/>
      <c r="U5" s="78"/>
      <c r="V5" s="78"/>
      <c r="W5" s="78"/>
      <c r="X5" s="78"/>
      <c r="Y5" s="78"/>
      <c r="Z5" s="78"/>
      <c r="AA5" s="78"/>
      <c r="AB5" s="78"/>
      <c r="AC5" s="78"/>
      <c r="AD5" s="78"/>
      <c r="AE5" s="78"/>
      <c r="AF5" s="78"/>
      <c r="AG5" s="78"/>
      <c r="AH5" s="78"/>
      <c r="AI5" s="78"/>
      <c r="AJ5" s="78"/>
      <c r="AK5" s="78"/>
      <c r="AL5" s="78"/>
      <c r="AM5" s="78"/>
      <c r="AN5" s="78"/>
      <c r="AO5" s="78"/>
      <c r="AP5" s="78"/>
      <c r="AQ5" s="78"/>
      <c r="AR5" s="78"/>
      <c r="AS5" s="78"/>
      <c r="AT5" s="78"/>
      <c r="AU5" s="78"/>
      <c r="AV5" s="78"/>
    </row>
    <row r="6" spans="1:48" s="75" customFormat="1" ht="15" customHeight="1">
      <c r="A6" s="161" t="s">
        <v>598</v>
      </c>
      <c r="B6" s="161" t="s">
        <v>183</v>
      </c>
      <c r="C6" s="162" t="s">
        <v>599</v>
      </c>
      <c r="D6" s="163" t="str">
        <f>'8.项目规划指标表'!B5</f>
        <v>高层</v>
      </c>
      <c r="E6" s="164" t="str">
        <f>'8.项目规划指标表'!B6</f>
        <v>商铺</v>
      </c>
      <c r="F6" s="164" t="str">
        <f>'8.项目规划指标表'!B7</f>
        <v>回迁商业</v>
      </c>
      <c r="G6" s="164">
        <f>'8.项目规划指标表'!B8</f>
        <v>0</v>
      </c>
      <c r="H6" s="164">
        <f>'8.项目规划指标表'!B9</f>
        <v>0</v>
      </c>
      <c r="I6" s="164">
        <f>'8.项目规划指标表'!B10</f>
        <v>0</v>
      </c>
      <c r="J6" s="164">
        <f>'8.项目规划指标表'!B11</f>
        <v>0</v>
      </c>
      <c r="K6" s="164">
        <f>'8.项目规划指标表'!B12</f>
        <v>0</v>
      </c>
      <c r="L6" s="164">
        <f>'8.项目规划指标表'!B13</f>
        <v>0</v>
      </c>
      <c r="M6" s="164" t="str">
        <f>'8.项目规划指标表'!B14</f>
        <v>自持物业</v>
      </c>
      <c r="N6" s="164" t="str">
        <f>'8.项目规划指标表'!B18</f>
        <v>有产权车库(个)</v>
      </c>
      <c r="O6" s="187" t="str">
        <f>'8.项目规划指标表'!B19</f>
        <v>无产权车库(个)</v>
      </c>
      <c r="P6" s="188" t="s">
        <v>600</v>
      </c>
      <c r="Q6" s="161" t="s">
        <v>601</v>
      </c>
      <c r="R6" s="161" t="s">
        <v>164</v>
      </c>
      <c r="S6" s="210"/>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row>
    <row r="7" spans="1:48" s="75" customFormat="1" ht="15" customHeight="1">
      <c r="A7" s="1997" t="s">
        <v>19</v>
      </c>
      <c r="B7" s="165" t="s">
        <v>454</v>
      </c>
      <c r="C7" s="166">
        <f>SUM(D7:O7)</f>
        <v>92176.794236363639</v>
      </c>
      <c r="D7" s="167">
        <f>'11.销售及回款表'!D88/1.1+D160+'12.土地成本表'!D72</f>
        <v>79681.68786504076</v>
      </c>
      <c r="E7" s="168">
        <f>'11.销售及回款表'!D93/1.1+E160+'12.土地成本表'!D73</f>
        <v>8198.379098595602</v>
      </c>
      <c r="F7" s="168">
        <f>'11.销售及回款表'!D98/1.1+F160+'12.土地成本表'!D74</f>
        <v>0</v>
      </c>
      <c r="G7" s="168">
        <f>'11.销售及回款表'!D103/1.1+G160+'12.土地成本表'!D75</f>
        <v>0</v>
      </c>
      <c r="H7" s="168">
        <f>'11.销售及回款表'!D108/1.1+H160+'12.土地成本表'!D76</f>
        <v>0</v>
      </c>
      <c r="I7" s="168">
        <f>'11.销售及回款表'!D113/1.1+I160+'12.土地成本表'!D77</f>
        <v>0</v>
      </c>
      <c r="J7" s="168">
        <f>'11.销售及回款表'!D118/1.1+J160+'12.土地成本表'!D78</f>
        <v>0</v>
      </c>
      <c r="K7" s="168">
        <f>'11.销售及回款表'!D123/1.1+K160+'12.土地成本表'!D79</f>
        <v>0</v>
      </c>
      <c r="L7" s="168">
        <f>'11.销售及回款表'!D128/1.1+L160+'12.土地成本表'!D80</f>
        <v>0</v>
      </c>
      <c r="M7" s="90"/>
      <c r="N7" s="168">
        <f>'11.销售及回款表'!D138/1.1+N160</f>
        <v>4296.7272727272721</v>
      </c>
      <c r="O7" s="189">
        <f>'11.销售及回款表'!D143/1.1+O160</f>
        <v>0</v>
      </c>
      <c r="P7" s="190">
        <f>IF($R$5="合并清算",0,SUMIF(D$5:O$5,"普",D7:O7))</f>
        <v>79681.68786504076</v>
      </c>
      <c r="Q7" s="211">
        <f>IF($R$5="合并清算",C7,IF($R$5="两分法",C7-P7,SUMIF(D$5:O$5,"非普",D7:O7)))</f>
        <v>12495.10637132288</v>
      </c>
      <c r="R7" s="211">
        <f>IF($R$5="三分法",C7-P7-Q7,0)</f>
        <v>0</v>
      </c>
      <c r="S7" s="212"/>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row>
    <row r="8" spans="1:48" s="75" customFormat="1" ht="15" customHeight="1">
      <c r="A8" s="1997"/>
      <c r="B8" s="165" t="s">
        <v>368</v>
      </c>
      <c r="C8" s="166">
        <f>SUM(D8:O8)</f>
        <v>20220.111314965783</v>
      </c>
      <c r="D8" s="169">
        <f>'12.土地成本表'!D25-D141-D150-'12.土地成本表'!D87</f>
        <v>13098.420290432066</v>
      </c>
      <c r="E8" s="170">
        <f>'12.土地成本表'!D26-E141-E150-'12.土地成本表'!D88</f>
        <v>7121.6910245337176</v>
      </c>
      <c r="F8" s="168">
        <f>'12.土地成本表'!D27-F141-F150--'12.土地成本表'!D89</f>
        <v>0</v>
      </c>
      <c r="G8" s="170">
        <f>'12.土地成本表'!D28-G141-G150-'12.土地成本表'!D90</f>
        <v>0</v>
      </c>
      <c r="H8" s="170">
        <f>'12.土地成本表'!D29-H141-H150-'12.土地成本表'!D91</f>
        <v>0</v>
      </c>
      <c r="I8" s="170">
        <f>'12.土地成本表'!D30-I141-I150-'12.土地成本表'!D92</f>
        <v>0</v>
      </c>
      <c r="J8" s="170">
        <f>'12.土地成本表'!D31-J141-J150-'12.土地成本表'!D93</f>
        <v>0</v>
      </c>
      <c r="K8" s="170">
        <f>'12.土地成本表'!D32-K141-K150-'12.土地成本表'!D94</f>
        <v>0</v>
      </c>
      <c r="L8" s="170">
        <f>'12.土地成本表'!D33-L141-L150-'12.土地成本表'!D95</f>
        <v>0</v>
      </c>
      <c r="M8" s="90"/>
      <c r="N8" s="170">
        <v>0</v>
      </c>
      <c r="O8" s="191">
        <v>0</v>
      </c>
      <c r="P8" s="190">
        <f>IF($R$5="合并清算",0,SUMIF(D$5:O$5,"普",D8:O8))</f>
        <v>13098.420290432066</v>
      </c>
      <c r="Q8" s="211">
        <f t="shared" ref="Q8:Q12" si="0">IF($R$5="合并清算",C8,IF($R$5="两分法",C8-P8,SUMIF(D$5:O$5,"非普",D8:O8)))</f>
        <v>7121.6910245337167</v>
      </c>
      <c r="R8" s="211">
        <f t="shared" ref="R8:R12" si="1">IF($R$5="三分法",C8-P8-Q8,0)</f>
        <v>0</v>
      </c>
      <c r="S8" s="212"/>
      <c r="T8" s="85"/>
      <c r="U8" s="85"/>
      <c r="V8" s="85"/>
      <c r="W8" s="85"/>
      <c r="X8" s="85"/>
      <c r="Y8" s="85"/>
      <c r="Z8" s="85"/>
      <c r="AA8" s="85"/>
      <c r="AB8" s="85"/>
      <c r="AC8" s="85"/>
      <c r="AD8" s="85"/>
      <c r="AE8" s="85"/>
      <c r="AF8" s="85"/>
      <c r="AG8" s="85"/>
      <c r="AH8" s="85"/>
      <c r="AI8" s="85"/>
      <c r="AJ8" s="85"/>
      <c r="AK8" s="85"/>
      <c r="AL8" s="85"/>
      <c r="AM8" s="85"/>
      <c r="AN8" s="85"/>
      <c r="AO8" s="85"/>
      <c r="AP8" s="85"/>
      <c r="AQ8" s="85"/>
      <c r="AR8" s="85"/>
      <c r="AS8" s="85"/>
      <c r="AT8" s="85"/>
      <c r="AU8" s="85"/>
      <c r="AV8" s="85"/>
    </row>
    <row r="9" spans="1:48" s="75" customFormat="1" ht="15" customHeight="1">
      <c r="A9" s="1997"/>
      <c r="B9" s="165" t="s">
        <v>578</v>
      </c>
      <c r="C9" s="166">
        <f>SUM(D9:O9)</f>
        <v>28347.253116995329</v>
      </c>
      <c r="D9" s="169">
        <f>'13.建安成本表'!E$214-'13.建安成本表'!C230</f>
        <v>24728.967645848719</v>
      </c>
      <c r="E9" s="170">
        <f>'13.建安成本表'!E$215-'13.建安成本表'!C231</f>
        <v>1920.4697467630406</v>
      </c>
      <c r="F9" s="171">
        <f>'13.建安成本表'!E$216-'13.建安成本表'!C232</f>
        <v>0</v>
      </c>
      <c r="G9" s="171">
        <f>'13.建安成本表'!E$217-'13.建安成本表'!C233</f>
        <v>0</v>
      </c>
      <c r="H9" s="171">
        <f>'13.建安成本表'!E$218-'13.建安成本表'!C234</f>
        <v>0</v>
      </c>
      <c r="I9" s="171">
        <f>'13.建安成本表'!E$219-'13.建安成本表'!C235</f>
        <v>0</v>
      </c>
      <c r="J9" s="171">
        <f>'13.建安成本表'!E$220-'13.建安成本表'!C236</f>
        <v>0</v>
      </c>
      <c r="K9" s="171">
        <f>'13.建安成本表'!E$221-'13.建安成本表'!C237</f>
        <v>0</v>
      </c>
      <c r="L9" s="171">
        <f>'13.建安成本表'!E$222-'13.建安成本表'!C238</f>
        <v>0</v>
      </c>
      <c r="M9" s="90"/>
      <c r="N9" s="171">
        <f>'13.建安成本表'!E$224-'13.建安成本表'!C240</f>
        <v>1697.8157243835692</v>
      </c>
      <c r="O9" s="171">
        <f>'13.建安成本表'!E$225-'13.建安成本表'!C241</f>
        <v>0</v>
      </c>
      <c r="P9" s="190">
        <f t="shared" ref="P9:P12" si="2">IF($R$5="合并清算",0,SUMIF(D$5:O$5,"普",D9:O9))</f>
        <v>24728.967645848719</v>
      </c>
      <c r="Q9" s="211">
        <f t="shared" si="0"/>
        <v>3618.2854711466098</v>
      </c>
      <c r="R9" s="211">
        <f t="shared" si="1"/>
        <v>0</v>
      </c>
      <c r="S9" s="212"/>
      <c r="T9" s="85"/>
      <c r="U9" s="85"/>
      <c r="V9" s="85"/>
      <c r="W9" s="85"/>
      <c r="X9" s="85"/>
      <c r="Y9" s="85"/>
      <c r="Z9" s="85"/>
      <c r="AA9" s="85"/>
      <c r="AB9" s="85"/>
      <c r="AC9" s="85"/>
      <c r="AD9" s="85"/>
      <c r="AE9" s="85"/>
      <c r="AF9" s="85"/>
      <c r="AG9" s="85"/>
      <c r="AH9" s="85"/>
      <c r="AI9" s="85"/>
      <c r="AJ9" s="85"/>
      <c r="AK9" s="85"/>
      <c r="AL9" s="85"/>
      <c r="AM9" s="85"/>
      <c r="AN9" s="85"/>
      <c r="AO9" s="85"/>
      <c r="AP9" s="85"/>
      <c r="AQ9" s="85"/>
      <c r="AR9" s="85"/>
      <c r="AS9" s="85"/>
      <c r="AT9" s="85"/>
      <c r="AU9" s="85"/>
      <c r="AV9" s="85"/>
    </row>
    <row r="10" spans="1:48" s="75" customFormat="1" ht="15" customHeight="1">
      <c r="A10" s="1997"/>
      <c r="B10" s="165" t="s">
        <v>602</v>
      </c>
      <c r="C10" s="166">
        <f t="shared" ref="C10:C15" si="3">SUM(D10:O10)</f>
        <v>566.85830582498659</v>
      </c>
      <c r="D10" s="167">
        <f>D7*1.11*('2.税率表'!D7*('2.税率表'!$D$13+'2.税率表'!$D$14+'2.税率表'!$D$17)+'2.税率表'!$D$16+'2.税率表'!$D$18)</f>
        <v>490.01732987838699</v>
      </c>
      <c r="E10" s="171">
        <f>E7*1.11*('2.税率表'!D7*('2.税率表'!$D$13+'2.税率表'!$D$14+'2.税率表'!$D$17)+'2.税率表'!$D$16+'2.税率表'!$D$18)</f>
        <v>50.41745403321395</v>
      </c>
      <c r="F10" s="171">
        <f>F7*1.11*('2.税率表'!D7*('2.税率表'!$D$13+'2.税率表'!$D$14+'2.税率表'!$D$17)+'2.税率表'!$D$16+'2.税率表'!$D$18)</f>
        <v>0</v>
      </c>
      <c r="G10" s="171">
        <f>G7*1.11*('2.税率表'!D7*('2.税率表'!$D$13+'2.税率表'!$D$14+'2.税率表'!$D$17)+'2.税率表'!$D$16+'2.税率表'!$D$18)</f>
        <v>0</v>
      </c>
      <c r="H10" s="171">
        <f>H7*1.11*('2.税率表'!D7*('2.税率表'!$D$13+'2.税率表'!$D$14+'2.税率表'!$D$17)+'2.税率表'!$D$16+'2.税率表'!$D$18)</f>
        <v>0</v>
      </c>
      <c r="I10" s="171">
        <f>I7*1.11*('2.税率表'!D7*('2.税率表'!$D$13+'2.税率表'!$D$14+'2.税率表'!$D$17)+'2.税率表'!$D$16+'2.税率表'!$D$18)</f>
        <v>0</v>
      </c>
      <c r="J10" s="171">
        <f>J7*1.11*('2.税率表'!D7*('2.税率表'!$D$13+'2.税率表'!$D$14+'2.税率表'!$D$17)+'2.税率表'!$D$16+'2.税率表'!$D$18)</f>
        <v>0</v>
      </c>
      <c r="K10" s="171">
        <f>K7*1.11*('2.税率表'!D7*('2.税率表'!$D$13+'2.税率表'!$D$14+'2.税率表'!$D$17)+'2.税率表'!$D$16+'2.税率表'!$D$18)</f>
        <v>0</v>
      </c>
      <c r="L10" s="171">
        <f>L7*1.11*('2.税率表'!D7*('2.税率表'!$D$13+'2.税率表'!$D$14+'2.税率表'!$D$17)+'2.税率表'!$D$16+'2.税率表'!$D$18)</f>
        <v>0</v>
      </c>
      <c r="M10" s="90"/>
      <c r="N10" s="171">
        <f>N7*1.11*('2.税率表'!D7*('2.税率表'!$D$13+'2.税率表'!$D$14+'2.税率表'!$D$17)+'2.税率表'!$D$16+'2.税率表'!$D$18)</f>
        <v>26.42352191338567</v>
      </c>
      <c r="O10" s="189">
        <f>O7*1.11*('2.税率表'!D7*('2.税率表'!$D$13+'2.税率表'!$D$14+'2.税率表'!$D$17)+'2.税率表'!$D$16+'2.税率表'!$D$18)</f>
        <v>0</v>
      </c>
      <c r="P10" s="190">
        <f t="shared" si="2"/>
        <v>490.01732987838699</v>
      </c>
      <c r="Q10" s="211">
        <f t="shared" si="0"/>
        <v>76.840975946599599</v>
      </c>
      <c r="R10" s="211">
        <f t="shared" si="1"/>
        <v>0</v>
      </c>
      <c r="S10" s="212"/>
      <c r="T10" s="154"/>
      <c r="U10" s="85"/>
      <c r="V10" s="85"/>
      <c r="W10" s="85"/>
      <c r="X10" s="85"/>
      <c r="Y10" s="85"/>
      <c r="Z10" s="85"/>
      <c r="AA10" s="85"/>
      <c r="AB10" s="85"/>
      <c r="AC10" s="85"/>
      <c r="AD10" s="85"/>
      <c r="AE10" s="85"/>
      <c r="AF10" s="85"/>
      <c r="AG10" s="85"/>
      <c r="AH10" s="85"/>
      <c r="AI10" s="85"/>
      <c r="AJ10" s="85"/>
      <c r="AK10" s="85"/>
      <c r="AL10" s="85"/>
      <c r="AM10" s="85"/>
      <c r="AN10" s="85"/>
      <c r="AO10" s="85"/>
      <c r="AP10" s="85"/>
      <c r="AQ10" s="85"/>
      <c r="AR10" s="85"/>
      <c r="AS10" s="85"/>
      <c r="AT10" s="85"/>
      <c r="AU10" s="85"/>
      <c r="AV10" s="85"/>
    </row>
    <row r="11" spans="1:48" s="75" customFormat="1" ht="15" customHeight="1">
      <c r="A11" s="1997"/>
      <c r="B11" s="165" t="s">
        <v>373</v>
      </c>
      <c r="C11" s="166">
        <f t="shared" ca="1" si="3"/>
        <v>2428.3682215980557</v>
      </c>
      <c r="D11" s="172">
        <f ca="1">IF('17.财务费用测算表'!$C$51&gt;($C$8+$C$9)*5%,'17.财务费用测算表'!D51,(D8+D9)*5%)-'17.财务费用测算表'!D61</f>
        <v>1891.3693968140394</v>
      </c>
      <c r="E11" s="172">
        <f ca="1">IF('17.财务费用测算表'!$C$51&gt;($C$8+$C$9)*5%,'17.财务费用测算表'!E51,(E8+E9)*5%)-'17.财务费用测算表'!D62</f>
        <v>452.1080385648379</v>
      </c>
      <c r="F11" s="172">
        <f ca="1">IF('17.财务费用测算表'!$C$51&gt;($C$8+$C$9)*5%,'17.财务费用测算表'!F51,(F8+F9)*5%)-'17.财务费用测算表'!D63</f>
        <v>0</v>
      </c>
      <c r="G11" s="172">
        <f ca="1">IF('17.财务费用测算表'!$C$51&gt;($C$8+$C$9)*5%,'17.财务费用测算表'!G51,(G8+G9)*5%)-'17.财务费用测算表'!D64</f>
        <v>0</v>
      </c>
      <c r="H11" s="172">
        <f ca="1">IF('17.财务费用测算表'!$C$51&gt;($C$8+$C$9)*5%,'17.财务费用测算表'!H51,(H8+H9)*5%)-'17.财务费用测算表'!D65</f>
        <v>0</v>
      </c>
      <c r="I11" s="172">
        <f ca="1">IF('17.财务费用测算表'!$C$51&gt;($C$8+$C$9)*5%,'17.财务费用测算表'!I51,(I8+I9)*5%)-'17.财务费用测算表'!D66</f>
        <v>0</v>
      </c>
      <c r="J11" s="172">
        <f ca="1">IF('17.财务费用测算表'!$C$51&gt;($C$8+$C$9)*5%,'17.财务费用测算表'!J51,(J8+J9)*5%)-'17.财务费用测算表'!D67</f>
        <v>0</v>
      </c>
      <c r="K11" s="172">
        <f ca="1">IF('17.财务费用测算表'!$C$51&gt;($C$8+$C$9)*5%,'17.财务费用测算表'!K51,(K8+K9)*5%)-'17.财务费用测算表'!D68</f>
        <v>0</v>
      </c>
      <c r="L11" s="172">
        <f ca="1">IF('17.财务费用测算表'!$C$51&gt;($C$8+$C$9)*5%,'17.财务费用测算表'!L51,(L8+L9)*5%)-'17.财务费用测算表'!D69</f>
        <v>0</v>
      </c>
      <c r="M11" s="90"/>
      <c r="N11" s="172">
        <f ca="1">IF('17.财务费用测算表'!$C$51&gt;($C$8+$C$9)*5%,'17.财务费用测算表'!N51,(N8+N9)*5%)-'17.财务费用测算表'!D71</f>
        <v>84.890786219178466</v>
      </c>
      <c r="O11" s="172">
        <f ca="1">IF('17.财务费用测算表'!$C$51&gt;($C$8+$C$9)*5%,'17.财务费用测算表'!O51,(O8+O9)*5%)-'17.财务费用测算表'!D72</f>
        <v>0</v>
      </c>
      <c r="P11" s="190">
        <f t="shared" ca="1" si="2"/>
        <v>1891.3693968140394</v>
      </c>
      <c r="Q11" s="211">
        <f t="shared" ca="1" si="0"/>
        <v>536.99882478401628</v>
      </c>
      <c r="R11" s="211">
        <f t="shared" si="1"/>
        <v>0</v>
      </c>
      <c r="S11" s="212"/>
      <c r="T11" s="85"/>
      <c r="U11" s="85"/>
      <c r="V11" s="85"/>
      <c r="W11" s="85"/>
      <c r="X11" s="85"/>
      <c r="Y11" s="85"/>
      <c r="Z11" s="85"/>
      <c r="AA11" s="85"/>
      <c r="AB11" s="85"/>
      <c r="AC11" s="85"/>
      <c r="AD11" s="85"/>
      <c r="AE11" s="85"/>
      <c r="AF11" s="85"/>
      <c r="AG11" s="85"/>
      <c r="AH11" s="85"/>
      <c r="AI11" s="85"/>
      <c r="AJ11" s="85"/>
      <c r="AK11" s="85"/>
      <c r="AL11" s="85"/>
      <c r="AM11" s="85"/>
      <c r="AN11" s="85"/>
      <c r="AO11" s="85"/>
      <c r="AP11" s="85"/>
      <c r="AQ11" s="85"/>
      <c r="AR11" s="85"/>
      <c r="AS11" s="85"/>
      <c r="AT11" s="85"/>
      <c r="AU11" s="85"/>
      <c r="AV11" s="85"/>
    </row>
    <row r="12" spans="1:48" s="75" customFormat="1" ht="15" customHeight="1">
      <c r="A12" s="1997"/>
      <c r="B12" s="165" t="s">
        <v>603</v>
      </c>
      <c r="C12" s="166">
        <f t="shared" si="3"/>
        <v>2428.3682215980557</v>
      </c>
      <c r="D12" s="167">
        <f>(D8+D9)*5%</f>
        <v>1891.3693968140394</v>
      </c>
      <c r="E12" s="171">
        <f t="shared" ref="E12:O12" si="4">(E8+E9)*5%</f>
        <v>452.1080385648379</v>
      </c>
      <c r="F12" s="171">
        <f t="shared" si="4"/>
        <v>0</v>
      </c>
      <c r="G12" s="171">
        <f t="shared" si="4"/>
        <v>0</v>
      </c>
      <c r="H12" s="171">
        <f t="shared" si="4"/>
        <v>0</v>
      </c>
      <c r="I12" s="171">
        <f t="shared" si="4"/>
        <v>0</v>
      </c>
      <c r="J12" s="171">
        <f t="shared" si="4"/>
        <v>0</v>
      </c>
      <c r="K12" s="171">
        <f t="shared" si="4"/>
        <v>0</v>
      </c>
      <c r="L12" s="171">
        <f t="shared" si="4"/>
        <v>0</v>
      </c>
      <c r="M12" s="90"/>
      <c r="N12" s="171">
        <f t="shared" si="4"/>
        <v>84.890786219178466</v>
      </c>
      <c r="O12" s="189">
        <f t="shared" si="4"/>
        <v>0</v>
      </c>
      <c r="P12" s="190">
        <f t="shared" si="2"/>
        <v>1891.3693968140394</v>
      </c>
      <c r="Q12" s="211">
        <f t="shared" si="0"/>
        <v>536.99882478401628</v>
      </c>
      <c r="R12" s="211">
        <f t="shared" si="1"/>
        <v>0</v>
      </c>
      <c r="S12" s="212"/>
      <c r="T12" s="85"/>
      <c r="U12" s="85"/>
      <c r="V12" s="85"/>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row>
    <row r="13" spans="1:48" s="75" customFormat="1" ht="15" customHeight="1">
      <c r="A13" s="1997"/>
      <c r="B13" s="165" t="s">
        <v>604</v>
      </c>
      <c r="C13" s="166">
        <f t="shared" si="3"/>
        <v>9713.4728863922228</v>
      </c>
      <c r="D13" s="167">
        <f>(D8+D9)*20%</f>
        <v>7565.4775872561577</v>
      </c>
      <c r="E13" s="168">
        <f t="shared" ref="E13:R13" si="5">(E8+E9)*20%</f>
        <v>1808.4321542593516</v>
      </c>
      <c r="F13" s="168">
        <f t="shared" si="5"/>
        <v>0</v>
      </c>
      <c r="G13" s="168">
        <f t="shared" si="5"/>
        <v>0</v>
      </c>
      <c r="H13" s="168">
        <f t="shared" si="5"/>
        <v>0</v>
      </c>
      <c r="I13" s="168">
        <f t="shared" si="5"/>
        <v>0</v>
      </c>
      <c r="J13" s="168">
        <f t="shared" si="5"/>
        <v>0</v>
      </c>
      <c r="K13" s="168">
        <f t="shared" si="5"/>
        <v>0</v>
      </c>
      <c r="L13" s="168">
        <f t="shared" si="5"/>
        <v>0</v>
      </c>
      <c r="M13" s="90"/>
      <c r="N13" s="168">
        <f t="shared" si="5"/>
        <v>339.56314487671386</v>
      </c>
      <c r="O13" s="189">
        <f t="shared" si="5"/>
        <v>0</v>
      </c>
      <c r="P13" s="190">
        <f t="shared" si="5"/>
        <v>7565.4775872561577</v>
      </c>
      <c r="Q13" s="211">
        <f t="shared" si="5"/>
        <v>2147.9952991360656</v>
      </c>
      <c r="R13" s="211">
        <f t="shared" si="5"/>
        <v>0</v>
      </c>
      <c r="S13" s="212"/>
      <c r="T13" s="85"/>
      <c r="U13" s="85"/>
      <c r="V13" s="85"/>
      <c r="W13" s="85"/>
      <c r="X13" s="85"/>
      <c r="Y13" s="85"/>
      <c r="Z13" s="85"/>
      <c r="AA13" s="85"/>
      <c r="AB13" s="85"/>
      <c r="AC13" s="85"/>
      <c r="AD13" s="85"/>
      <c r="AE13" s="85"/>
      <c r="AF13" s="85"/>
      <c r="AG13" s="85"/>
      <c r="AH13" s="85"/>
      <c r="AI13" s="85"/>
      <c r="AJ13" s="85"/>
      <c r="AK13" s="85"/>
      <c r="AL13" s="85"/>
      <c r="AM13" s="85"/>
      <c r="AN13" s="85"/>
      <c r="AO13" s="85"/>
      <c r="AP13" s="85"/>
      <c r="AQ13" s="85"/>
      <c r="AR13" s="85"/>
      <c r="AS13" s="85"/>
      <c r="AT13" s="85"/>
      <c r="AU13" s="85"/>
      <c r="AV13" s="85"/>
    </row>
    <row r="14" spans="1:48" s="75" customFormat="1" ht="15" customHeight="1">
      <c r="A14" s="1997"/>
      <c r="B14" s="165" t="s">
        <v>605</v>
      </c>
      <c r="C14" s="166">
        <f t="shared" ca="1" si="3"/>
        <v>63704.432067374422</v>
      </c>
      <c r="D14" s="167">
        <f t="shared" ref="D14:R14" ca="1" si="6">SUM(D8:D13)</f>
        <v>49665.621647043401</v>
      </c>
      <c r="E14" s="168">
        <f t="shared" ca="1" si="6"/>
        <v>11805.226456719</v>
      </c>
      <c r="F14" s="168">
        <f t="shared" ca="1" si="6"/>
        <v>0</v>
      </c>
      <c r="G14" s="168">
        <f t="shared" ca="1" si="6"/>
        <v>0</v>
      </c>
      <c r="H14" s="168">
        <f t="shared" ca="1" si="6"/>
        <v>0</v>
      </c>
      <c r="I14" s="168">
        <f t="shared" ca="1" si="6"/>
        <v>0</v>
      </c>
      <c r="J14" s="168">
        <f t="shared" ca="1" si="6"/>
        <v>0</v>
      </c>
      <c r="K14" s="168">
        <f t="shared" ca="1" si="6"/>
        <v>0</v>
      </c>
      <c r="L14" s="168">
        <f t="shared" ca="1" si="6"/>
        <v>0</v>
      </c>
      <c r="M14" s="90"/>
      <c r="N14" s="168">
        <f t="shared" ca="1" si="6"/>
        <v>2233.5839636120254</v>
      </c>
      <c r="O14" s="189">
        <f t="shared" ca="1" si="6"/>
        <v>0</v>
      </c>
      <c r="P14" s="190">
        <f t="shared" ca="1" si="6"/>
        <v>49665.621647043401</v>
      </c>
      <c r="Q14" s="211">
        <f t="shared" ca="1" si="6"/>
        <v>14038.810420331023</v>
      </c>
      <c r="R14" s="211">
        <f t="shared" si="6"/>
        <v>0</v>
      </c>
      <c r="S14" s="212"/>
      <c r="T14" s="85"/>
      <c r="U14" s="85"/>
      <c r="V14" s="85"/>
      <c r="W14" s="85"/>
      <c r="X14" s="85"/>
      <c r="Y14" s="85"/>
      <c r="Z14" s="85"/>
      <c r="AA14" s="85"/>
      <c r="AB14" s="85"/>
      <c r="AC14" s="85"/>
      <c r="AD14" s="85"/>
      <c r="AE14" s="85"/>
      <c r="AF14" s="85"/>
      <c r="AG14" s="85"/>
      <c r="AH14" s="85"/>
      <c r="AI14" s="85"/>
      <c r="AJ14" s="85"/>
      <c r="AK14" s="85"/>
      <c r="AL14" s="85"/>
      <c r="AM14" s="85"/>
      <c r="AN14" s="85"/>
      <c r="AO14" s="85"/>
      <c r="AP14" s="85"/>
      <c r="AQ14" s="85"/>
      <c r="AR14" s="85"/>
      <c r="AS14" s="85"/>
      <c r="AT14" s="85"/>
      <c r="AU14" s="85"/>
      <c r="AV14" s="85"/>
    </row>
    <row r="15" spans="1:48" s="75" customFormat="1" ht="15" customHeight="1">
      <c r="A15" s="1997"/>
      <c r="B15" s="165" t="s">
        <v>419</v>
      </c>
      <c r="C15" s="166">
        <f t="shared" ca="1" si="3"/>
        <v>28472.362168989206</v>
      </c>
      <c r="D15" s="167">
        <f ca="1">D7-D14</f>
        <v>30016.066217997359</v>
      </c>
      <c r="E15" s="168">
        <f t="shared" ref="E15:R15" ca="1" si="7">E7-E14</f>
        <v>-3606.8473581233975</v>
      </c>
      <c r="F15" s="168">
        <f t="shared" ca="1" si="7"/>
        <v>0</v>
      </c>
      <c r="G15" s="168">
        <f t="shared" ca="1" si="7"/>
        <v>0</v>
      </c>
      <c r="H15" s="168">
        <f t="shared" ca="1" si="7"/>
        <v>0</v>
      </c>
      <c r="I15" s="168">
        <f t="shared" ca="1" si="7"/>
        <v>0</v>
      </c>
      <c r="J15" s="168">
        <f t="shared" ca="1" si="7"/>
        <v>0</v>
      </c>
      <c r="K15" s="168">
        <f t="shared" ca="1" si="7"/>
        <v>0</v>
      </c>
      <c r="L15" s="168">
        <f t="shared" ca="1" si="7"/>
        <v>0</v>
      </c>
      <c r="M15" s="90"/>
      <c r="N15" s="168">
        <f t="shared" ca="1" si="7"/>
        <v>2063.1433091152467</v>
      </c>
      <c r="O15" s="189">
        <f t="shared" ca="1" si="7"/>
        <v>0</v>
      </c>
      <c r="P15" s="190">
        <f t="shared" ca="1" si="7"/>
        <v>30016.066217997359</v>
      </c>
      <c r="Q15" s="211">
        <f t="shared" ca="1" si="7"/>
        <v>-1543.7040490081436</v>
      </c>
      <c r="R15" s="211">
        <f t="shared" si="7"/>
        <v>0</v>
      </c>
      <c r="S15" s="212"/>
      <c r="T15" s="85"/>
      <c r="U15" s="85"/>
      <c r="V15" s="85"/>
      <c r="W15" s="85"/>
      <c r="X15" s="85"/>
      <c r="Y15" s="85"/>
      <c r="Z15" s="85"/>
      <c r="AA15" s="85"/>
      <c r="AB15" s="85"/>
      <c r="AC15" s="85"/>
      <c r="AD15" s="85"/>
      <c r="AE15" s="85"/>
      <c r="AF15" s="85"/>
      <c r="AG15" s="85"/>
      <c r="AH15" s="85"/>
      <c r="AI15" s="85"/>
      <c r="AJ15" s="85"/>
      <c r="AK15" s="85"/>
      <c r="AL15" s="85"/>
      <c r="AM15" s="85"/>
      <c r="AN15" s="85"/>
      <c r="AO15" s="85"/>
      <c r="AP15" s="85"/>
      <c r="AQ15" s="85"/>
      <c r="AR15" s="85"/>
      <c r="AS15" s="85"/>
      <c r="AT15" s="85"/>
      <c r="AU15" s="85"/>
      <c r="AV15" s="85"/>
    </row>
    <row r="16" spans="1:48" s="75" customFormat="1" ht="15" customHeight="1">
      <c r="A16" s="1997"/>
      <c r="B16" s="165" t="s">
        <v>420</v>
      </c>
      <c r="C16" s="173">
        <f ca="1">IF(C14&lt;&gt;0,C15/C14,0)</f>
        <v>0.44694476106272418</v>
      </c>
      <c r="D16" s="174">
        <f ca="1">IF(D14&lt;&gt;0,D15/D14,0)</f>
        <v>0.60436304273630725</v>
      </c>
      <c r="E16" s="175">
        <f t="shared" ref="E16:R16" ca="1" si="8">IF(E14&lt;&gt;0,E15/E14,0)</f>
        <v>-0.30552970511383487</v>
      </c>
      <c r="F16" s="175">
        <f t="shared" ca="1" si="8"/>
        <v>0</v>
      </c>
      <c r="G16" s="175">
        <f t="shared" ca="1" si="8"/>
        <v>0</v>
      </c>
      <c r="H16" s="175">
        <f t="shared" ca="1" si="8"/>
        <v>0</v>
      </c>
      <c r="I16" s="175">
        <f t="shared" ca="1" si="8"/>
        <v>0</v>
      </c>
      <c r="J16" s="175">
        <f t="shared" ca="1" si="8"/>
        <v>0</v>
      </c>
      <c r="K16" s="175">
        <f t="shared" ca="1" si="8"/>
        <v>0</v>
      </c>
      <c r="L16" s="175">
        <f t="shared" ca="1" si="8"/>
        <v>0</v>
      </c>
      <c r="M16" s="175">
        <f t="shared" si="8"/>
        <v>0</v>
      </c>
      <c r="N16" s="175">
        <f t="shared" ca="1" si="8"/>
        <v>0.92369185252335362</v>
      </c>
      <c r="O16" s="192">
        <f t="shared" ca="1" si="8"/>
        <v>0</v>
      </c>
      <c r="P16" s="193">
        <f t="shared" ca="1" si="8"/>
        <v>0.60436304273630725</v>
      </c>
      <c r="Q16" s="213">
        <f t="shared" ca="1" si="8"/>
        <v>-0.10995974749915773</v>
      </c>
      <c r="R16" s="213">
        <f t="shared" si="8"/>
        <v>0</v>
      </c>
      <c r="S16" s="214"/>
      <c r="T16" s="85"/>
      <c r="U16" s="85"/>
      <c r="V16" s="85"/>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row>
    <row r="17" spans="1:48" s="75" customFormat="1" ht="15" customHeight="1">
      <c r="A17" s="1997"/>
      <c r="B17" s="165" t="s">
        <v>606</v>
      </c>
      <c r="C17" s="166" t="s">
        <v>607</v>
      </c>
      <c r="D17" s="174">
        <f t="shared" ref="D17:O17" ca="1" si="9">IF(OR(D5="非普",D5="其他"),IF(D16&lt;=0,0,IF(D16&lt;=0.5,0.3,IF(D16&lt;=1,0.4,IF(D16&lt;=2,0.5,0.6)))),IF(D5="普",IF(D16&lt;=0.2,0,IF(D16&lt;=0.5,0.3,IF(D16&lt;=1,0.4,IF(D16&lt;=2,0.5,0.6)))),0))</f>
        <v>0.4</v>
      </c>
      <c r="E17" s="175">
        <f t="shared" ca="1" si="9"/>
        <v>0</v>
      </c>
      <c r="F17" s="175">
        <f t="shared" si="9"/>
        <v>0</v>
      </c>
      <c r="G17" s="175">
        <f t="shared" si="9"/>
        <v>0</v>
      </c>
      <c r="H17" s="175">
        <f t="shared" si="9"/>
        <v>0</v>
      </c>
      <c r="I17" s="175">
        <f t="shared" si="9"/>
        <v>0</v>
      </c>
      <c r="J17" s="175">
        <f t="shared" si="9"/>
        <v>0</v>
      </c>
      <c r="K17" s="175">
        <f t="shared" si="9"/>
        <v>0</v>
      </c>
      <c r="L17" s="175">
        <f t="shared" si="9"/>
        <v>0</v>
      </c>
      <c r="M17" s="175">
        <f t="shared" si="9"/>
        <v>0</v>
      </c>
      <c r="N17" s="175">
        <f t="shared" ca="1" si="9"/>
        <v>0.4</v>
      </c>
      <c r="O17" s="192">
        <f t="shared" si="9"/>
        <v>0</v>
      </c>
      <c r="P17" s="194">
        <f ca="1">IF(P16&lt;=0.2,0,IF(P16&lt;=0.5,0.3,IF(P16&lt;=1,0.4,IF(P16&lt;=2,0.5,0.6))))</f>
        <v>0.4</v>
      </c>
      <c r="Q17" s="215">
        <f ca="1">IF(Q16&lt;=0,0,IF(Q16&lt;=0.5,0.3,IF(Q16&lt;=1,0.4,IF(Q16&lt;=2,0.5,0.6))))</f>
        <v>0</v>
      </c>
      <c r="R17" s="215">
        <f>IF(R16&lt;=0,0,IF(R16&lt;=0.5,0.3,IF(R16&lt;=1,0.4,IF(R16&lt;=2,0.5,0.6))))</f>
        <v>0</v>
      </c>
      <c r="S17" s="216"/>
      <c r="T17" s="85"/>
      <c r="U17" s="85"/>
      <c r="V17" s="85"/>
      <c r="W17" s="85"/>
      <c r="X17" s="85"/>
      <c r="Y17" s="85"/>
      <c r="Z17" s="85"/>
      <c r="AA17" s="85"/>
      <c r="AB17" s="85"/>
      <c r="AC17" s="85"/>
      <c r="AD17" s="85"/>
      <c r="AE17" s="85"/>
      <c r="AF17" s="85"/>
      <c r="AG17" s="85"/>
      <c r="AH17" s="85"/>
      <c r="AI17" s="85"/>
      <c r="AJ17" s="85"/>
      <c r="AK17" s="85"/>
      <c r="AL17" s="85"/>
      <c r="AM17" s="85"/>
      <c r="AN17" s="85"/>
      <c r="AO17" s="85"/>
      <c r="AP17" s="85"/>
      <c r="AQ17" s="85"/>
      <c r="AR17" s="85"/>
      <c r="AS17" s="85"/>
      <c r="AT17" s="85"/>
      <c r="AU17" s="85"/>
      <c r="AV17" s="85"/>
    </row>
    <row r="18" spans="1:48" s="75" customFormat="1" ht="15" customHeight="1">
      <c r="A18" s="1997"/>
      <c r="B18" s="165" t="s">
        <v>608</v>
      </c>
      <c r="C18" s="166" t="s">
        <v>607</v>
      </c>
      <c r="D18" s="176">
        <f ca="1">IF(D17=0.4,0.05,IF(D17=0.5,0.15,IF(D17=0.6,0.35,0)))</f>
        <v>0.05</v>
      </c>
      <c r="E18" s="177">
        <f t="shared" ref="E18:R18" ca="1" si="10">IF(E17=0.4,0.05,IF(E17=0.5,0.15,IF(E17=0.6,0.35,0)))</f>
        <v>0</v>
      </c>
      <c r="F18" s="177">
        <f t="shared" si="10"/>
        <v>0</v>
      </c>
      <c r="G18" s="177">
        <f t="shared" si="10"/>
        <v>0</v>
      </c>
      <c r="H18" s="177">
        <f t="shared" si="10"/>
        <v>0</v>
      </c>
      <c r="I18" s="177">
        <f t="shared" si="10"/>
        <v>0</v>
      </c>
      <c r="J18" s="177">
        <f t="shared" si="10"/>
        <v>0</v>
      </c>
      <c r="K18" s="177">
        <f t="shared" si="10"/>
        <v>0</v>
      </c>
      <c r="L18" s="177">
        <f t="shared" si="10"/>
        <v>0</v>
      </c>
      <c r="M18" s="177">
        <f t="shared" si="10"/>
        <v>0</v>
      </c>
      <c r="N18" s="177">
        <f t="shared" ca="1" si="10"/>
        <v>0.05</v>
      </c>
      <c r="O18" s="195">
        <f t="shared" si="10"/>
        <v>0</v>
      </c>
      <c r="P18" s="194">
        <f t="shared" ca="1" si="10"/>
        <v>0.05</v>
      </c>
      <c r="Q18" s="215">
        <f t="shared" ca="1" si="10"/>
        <v>0</v>
      </c>
      <c r="R18" s="215">
        <f t="shared" si="10"/>
        <v>0</v>
      </c>
      <c r="S18" s="216"/>
      <c r="T18" s="85"/>
      <c r="U18" s="85"/>
      <c r="V18" s="85"/>
      <c r="W18" s="85"/>
      <c r="X18" s="85"/>
      <c r="Y18" s="85"/>
      <c r="Z18" s="85"/>
      <c r="AA18" s="85"/>
      <c r="AB18" s="85"/>
      <c r="AC18" s="85"/>
      <c r="AD18" s="85"/>
      <c r="AE18" s="85"/>
      <c r="AF18" s="85"/>
      <c r="AG18" s="85"/>
      <c r="AH18" s="85"/>
      <c r="AI18" s="85"/>
      <c r="AJ18" s="85"/>
      <c r="AK18" s="85"/>
      <c r="AL18" s="85"/>
      <c r="AM18" s="85"/>
      <c r="AN18" s="85"/>
      <c r="AO18" s="85"/>
      <c r="AP18" s="85"/>
      <c r="AQ18" s="85"/>
      <c r="AR18" s="85"/>
      <c r="AS18" s="85"/>
      <c r="AT18" s="85"/>
      <c r="AU18" s="85"/>
      <c r="AV18" s="85"/>
    </row>
    <row r="19" spans="1:48" s="75" customFormat="1" ht="15" customHeight="1">
      <c r="A19" s="1997"/>
      <c r="B19" s="165" t="s">
        <v>937</v>
      </c>
      <c r="C19" s="166">
        <f ca="1">SUM(D19:O19)</f>
        <v>7632.9854964831366</v>
      </c>
      <c r="D19" s="167">
        <f ca="1">D21-D20</f>
        <v>7938.949132846773</v>
      </c>
      <c r="E19" s="168">
        <f t="shared" ref="E19:P19" ca="1" si="11">E21-E20</f>
        <v>-198.54545454545453</v>
      </c>
      <c r="F19" s="168">
        <f t="shared" si="11"/>
        <v>0</v>
      </c>
      <c r="G19" s="168">
        <f t="shared" si="11"/>
        <v>0</v>
      </c>
      <c r="H19" s="168">
        <f t="shared" si="11"/>
        <v>0</v>
      </c>
      <c r="I19" s="168">
        <f t="shared" si="11"/>
        <v>0</v>
      </c>
      <c r="J19" s="168">
        <f t="shared" si="11"/>
        <v>0</v>
      </c>
      <c r="K19" s="168">
        <f t="shared" si="11"/>
        <v>0</v>
      </c>
      <c r="L19" s="168">
        <f t="shared" si="11"/>
        <v>0</v>
      </c>
      <c r="M19" s="168">
        <f t="shared" si="11"/>
        <v>0</v>
      </c>
      <c r="N19" s="168">
        <f t="shared" ca="1" si="11"/>
        <v>-107.41818181818181</v>
      </c>
      <c r="O19" s="189">
        <f t="shared" si="11"/>
        <v>0</v>
      </c>
      <c r="P19" s="196">
        <f t="shared" ca="1" si="11"/>
        <v>7929.5116475459581</v>
      </c>
      <c r="Q19" s="211">
        <f t="shared" ref="Q19:R19" ca="1" si="12">Q21-Q20</f>
        <v>-312.37765928307203</v>
      </c>
      <c r="R19" s="202">
        <f t="shared" si="12"/>
        <v>0</v>
      </c>
      <c r="S19" s="212"/>
      <c r="T19" s="85"/>
      <c r="U19" s="85"/>
      <c r="V19" s="85"/>
      <c r="W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row>
    <row r="20" spans="1:48" s="75" customFormat="1" ht="15" customHeight="1">
      <c r="A20" s="1997"/>
      <c r="B20" s="165" t="s">
        <v>610</v>
      </c>
      <c r="C20" s="166">
        <f>SUM(D20:O20)</f>
        <v>1890.1599083636363</v>
      </c>
      <c r="D20" s="178">
        <f>IF(D5="普",'11.销售及回款表'!D88/1.1*'2.税率表'!$D$20,IF(D5="非普",'11.销售及回款表'!D88/1.1*'2.税率表'!$D$21,IF(D5="其他",'11.销售及回款表'!D88/1.1*'2.税率表'!$D$22,0)))</f>
        <v>1584.1962719999999</v>
      </c>
      <c r="E20" s="179">
        <f>IF(E5="普",'11.销售及回款表'!D93/1.1*'2.税率表'!$D$20,IF(E5="非普",'11.销售及回款表'!D93/1.1*'2.税率表'!$D$21,IF(E5="其他",'11.销售及回款表'!D93/1.1*'2.税率表'!$D$22,0)))</f>
        <v>198.54545454545453</v>
      </c>
      <c r="F20" s="179">
        <f>IF(F5="普",'11.销售及回款表'!D98/1.1*'2.税率表'!$D$20,IF(F5="非普",'11.销售及回款表'!D98/1.1*'2.税率表'!$D$21,IF(F5="其他",'11.销售及回款表'!D98/1.1*'2.税率表'!$D$22,0)))</f>
        <v>0</v>
      </c>
      <c r="G20" s="179">
        <f>IF(G5="普",'11.销售及回款表'!D103/1.1*'2.税率表'!$D$20,IF(G5="非普",'11.销售及回款表'!D103/1.1*'2.税率表'!$D$21,IF(G5="其他",'11.销售及回款表'!D103/1.1*'2.税率表'!$D$22,0)))</f>
        <v>0</v>
      </c>
      <c r="H20" s="179">
        <f>IF(H5="普",'11.销售及回款表'!D108/1.1*'2.税率表'!$D$20,IF(H5="非普",'11.销售及回款表'!D108/1.1*'2.税率表'!$D$21,IF(H5="其他",'11.销售及回款表'!D108/1.1*'2.税率表'!$D$22,0)))</f>
        <v>0</v>
      </c>
      <c r="I20" s="179">
        <f>IF(I5="普",'11.销售及回款表'!D113/1.1*'2.税率表'!$D$20,IF(I5="非普",'11.销售及回款表'!D113/1.1*'2.税率表'!$D$21,IF(I5="其他",'11.销售及回款表'!D113/1.1*'2.税率表'!$D$22,0)))</f>
        <v>0</v>
      </c>
      <c r="J20" s="179">
        <f>IF(J5="普",'11.销售及回款表'!D118/1.1*'2.税率表'!$D$20,IF(J5="非普",'11.销售及回款表'!D118/1.1*'2.税率表'!$D$21,IF(J5="其他",'11.销售及回款表'!D118/1.1*'2.税率表'!$D$22,0)))</f>
        <v>0</v>
      </c>
      <c r="K20" s="179">
        <f>IF(K5="普",'11.销售及回款表'!D123/1.1*'2.税率表'!$D$20,IF(K5="非普",'11.销售及回款表'!D123/1.1*'2.税率表'!$D$21,IF(K5="其他",'11.销售及回款表'!D123/1.1*'2.税率表'!$D$22,0)))</f>
        <v>0</v>
      </c>
      <c r="L20" s="179">
        <f>IF(L5="普",'11.销售及回款表'!D128/1.1*'2.税率表'!$D$20,IF(L5="非普",'11.销售及回款表'!D128/1.1*'2.税率表'!$D$21,IF(L5="其他",'11.销售及回款表'!D128/1.1*'2.税率表'!$D$22,0)))</f>
        <v>0</v>
      </c>
      <c r="M20" s="179">
        <f>IF(M5="普",'11.销售及回款表'!D133/1.1*'2.税率表'!$D$20,IF(M5="非普",'11.销售及回款表'!D133/1.1*'2.税率表'!$D$21,IF(M5="其他",'11.销售及回款表'!D133/1.1*'2.税率表'!$D$22,0)))</f>
        <v>0</v>
      </c>
      <c r="N20" s="184">
        <f>IF(N5="普",N7*'2.税率表'!$D$20,IF(N5="非普",N7*'2.税率表'!$D$21,IF(N5="其他",N7*'2.税率表'!$D$22,0)))</f>
        <v>107.41818181818181</v>
      </c>
      <c r="O20" s="197">
        <f>IF(O5="普",O7*'2.税率表'!$D$20,IF(O5="非普",O7*'2.税率表'!$D$21,IF(O5="其他",O7*'2.税率表'!$D$22,0)))</f>
        <v>0</v>
      </c>
      <c r="P20" s="198">
        <f>P7*'2.税率表'!$D$20</f>
        <v>1593.6337573008152</v>
      </c>
      <c r="Q20" s="217">
        <f>Q7*'2.税率表'!$D$21</f>
        <v>312.37765928307203</v>
      </c>
      <c r="R20" s="218">
        <f>R7*'2.税率表'!$D$22</f>
        <v>0</v>
      </c>
      <c r="S20" s="212"/>
      <c r="T20" s="85"/>
      <c r="U20" s="85"/>
      <c r="V20" s="85"/>
      <c r="W20" s="85"/>
      <c r="X20" s="85"/>
      <c r="Y20" s="85"/>
      <c r="Z20" s="85"/>
      <c r="AA20" s="85"/>
      <c r="AB20" s="85"/>
      <c r="AC20" s="85"/>
      <c r="AD20" s="85"/>
      <c r="AE20" s="85"/>
      <c r="AF20" s="85"/>
      <c r="AG20" s="85"/>
      <c r="AH20" s="85"/>
      <c r="AI20" s="85"/>
      <c r="AJ20" s="85"/>
      <c r="AK20" s="85"/>
      <c r="AL20" s="85"/>
      <c r="AM20" s="85"/>
      <c r="AN20" s="85"/>
      <c r="AO20" s="85"/>
      <c r="AP20" s="85"/>
      <c r="AQ20" s="85"/>
      <c r="AR20" s="85"/>
      <c r="AS20" s="85"/>
      <c r="AT20" s="85"/>
      <c r="AU20" s="85"/>
      <c r="AV20" s="85"/>
    </row>
    <row r="21" spans="1:48" s="75" customFormat="1" ht="15" customHeight="1">
      <c r="A21" s="1997"/>
      <c r="B21" s="165" t="s">
        <v>609</v>
      </c>
      <c r="C21" s="180">
        <f ca="1">SUM(D21:O21)</f>
        <v>9523.1454048467731</v>
      </c>
      <c r="D21" s="181">
        <f ca="1">IFERROR(IF($R5="合并清算",$Q21/$Q7*D7,IF(($R5="两分法")*(D5="普"),$P21/$P7*D7,IF(($R5="两分法")*(D5="非普"),$Q21/$Q7*D7,IF(($R5="两分法")*(D5="其他"),$Q21/$Q7*D7,IF(D5="普",$P21/$P7*D7,IF(D5="非普",$Q21/$Q7*D7,$R21/$R7*D7)))))),0)</f>
        <v>9523.1454048467731</v>
      </c>
      <c r="E21" s="182">
        <f t="shared" ref="E21:O21" ca="1" si="13">IFERROR(IF($R5="合并清算",$Q21/$Q7*E7,IF(($R5="两分法")*(E5="普"),$P21/$P7*E7,IF(($R5="两分法")*(E5="非普"),$Q21/$Q7*E7,IF(($R5="两分法")*(E5="其他"),$Q21/$Q7*E7,IF(E5="普",$P21/$P7*E7,IF(E5="非普",$Q21/$Q7*E7,$R21/$R7*E7)))))),0)</f>
        <v>0</v>
      </c>
      <c r="F21" s="182">
        <f t="shared" si="13"/>
        <v>0</v>
      </c>
      <c r="G21" s="182">
        <f t="shared" si="13"/>
        <v>0</v>
      </c>
      <c r="H21" s="182">
        <f t="shared" si="13"/>
        <v>0</v>
      </c>
      <c r="I21" s="182">
        <f t="shared" si="13"/>
        <v>0</v>
      </c>
      <c r="J21" s="182">
        <f t="shared" si="13"/>
        <v>0</v>
      </c>
      <c r="K21" s="182">
        <f t="shared" si="13"/>
        <v>0</v>
      </c>
      <c r="L21" s="182">
        <f t="shared" si="13"/>
        <v>0</v>
      </c>
      <c r="M21" s="182">
        <f t="shared" si="13"/>
        <v>0</v>
      </c>
      <c r="N21" s="182">
        <f t="shared" ca="1" si="13"/>
        <v>0</v>
      </c>
      <c r="O21" s="199">
        <f t="shared" si="13"/>
        <v>0</v>
      </c>
      <c r="P21" s="200">
        <f ca="1">P15*P17-P14*P18</f>
        <v>9523.1454048467731</v>
      </c>
      <c r="Q21" s="219">
        <f ca="1">Q15*Q17-Q14*Q18</f>
        <v>0</v>
      </c>
      <c r="R21" s="205">
        <f>R15*R17-R14*R18</f>
        <v>0</v>
      </c>
      <c r="S21" s="212"/>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c r="AU21" s="85"/>
      <c r="AV21" s="85"/>
    </row>
    <row r="22" spans="1:48">
      <c r="A22" s="78"/>
      <c r="B22" s="78"/>
      <c r="C22" s="78"/>
      <c r="D22" s="78"/>
      <c r="E22" s="78"/>
      <c r="F22" s="78"/>
      <c r="G22" s="78"/>
      <c r="H22" s="78"/>
      <c r="I22" s="78"/>
      <c r="J22" s="78"/>
      <c r="K22" s="78"/>
      <c r="L22" s="78"/>
      <c r="M22" s="78"/>
      <c r="N22" s="78"/>
      <c r="O22" s="78"/>
      <c r="P22" s="78"/>
      <c r="Q22" s="78"/>
      <c r="R22" s="220"/>
      <c r="S22" s="220"/>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row>
    <row r="23" spans="1:48" ht="15" hidden="1" customHeight="1">
      <c r="A23" s="156"/>
      <c r="B23" s="156"/>
      <c r="C23" s="157" t="s">
        <v>596</v>
      </c>
      <c r="D23" s="183"/>
      <c r="E23" s="160"/>
      <c r="F23" s="160"/>
      <c r="G23" s="160"/>
      <c r="H23" s="160"/>
      <c r="I23" s="160"/>
      <c r="J23" s="160"/>
      <c r="K23" s="160"/>
      <c r="L23" s="160"/>
      <c r="M23" s="160"/>
      <c r="N23" s="160"/>
      <c r="O23" s="186"/>
      <c r="P23" s="1990" t="s">
        <v>597</v>
      </c>
      <c r="Q23" s="1991"/>
      <c r="R23" s="221" t="s">
        <v>938</v>
      </c>
      <c r="S23" s="209"/>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row>
    <row r="24" spans="1:48" s="75" customFormat="1" ht="15" hidden="1" customHeight="1">
      <c r="A24" s="161" t="s">
        <v>598</v>
      </c>
      <c r="B24" s="161" t="s">
        <v>183</v>
      </c>
      <c r="C24" s="162" t="s">
        <v>599</v>
      </c>
      <c r="D24" s="163" t="str">
        <f>D6</f>
        <v>高层</v>
      </c>
      <c r="E24" s="164" t="str">
        <f t="shared" ref="E24:O24" si="14">E6</f>
        <v>商铺</v>
      </c>
      <c r="F24" s="164" t="str">
        <f t="shared" si="14"/>
        <v>回迁商业</v>
      </c>
      <c r="G24" s="164">
        <f t="shared" si="14"/>
        <v>0</v>
      </c>
      <c r="H24" s="164">
        <f t="shared" si="14"/>
        <v>0</v>
      </c>
      <c r="I24" s="164">
        <f t="shared" si="14"/>
        <v>0</v>
      </c>
      <c r="J24" s="164">
        <f t="shared" si="14"/>
        <v>0</v>
      </c>
      <c r="K24" s="164">
        <f t="shared" si="14"/>
        <v>0</v>
      </c>
      <c r="L24" s="164">
        <f t="shared" si="14"/>
        <v>0</v>
      </c>
      <c r="M24" s="164" t="str">
        <f t="shared" si="14"/>
        <v>自持物业</v>
      </c>
      <c r="N24" s="164" t="str">
        <f t="shared" si="14"/>
        <v>有产权车库(个)</v>
      </c>
      <c r="O24" s="187" t="str">
        <f t="shared" si="14"/>
        <v>无产权车库(个)</v>
      </c>
      <c r="P24" s="188" t="s">
        <v>600</v>
      </c>
      <c r="Q24" s="161" t="s">
        <v>601</v>
      </c>
      <c r="R24" s="161" t="s">
        <v>164</v>
      </c>
      <c r="S24" s="210"/>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c r="AU24" s="85"/>
      <c r="AV24" s="85"/>
    </row>
    <row r="25" spans="1:48" s="75" customFormat="1" ht="15" hidden="1" customHeight="1">
      <c r="A25" s="1997" t="s">
        <v>20</v>
      </c>
      <c r="B25" s="165" t="s">
        <v>454</v>
      </c>
      <c r="C25" s="166">
        <f>SUM(D25:O25)</f>
        <v>0</v>
      </c>
      <c r="D25" s="167">
        <f>'11.销售及回款表'!D158/1.1+D161+'12.土地成本表'!E72</f>
        <v>0</v>
      </c>
      <c r="E25" s="168">
        <f>'11.销售及回款表'!D163/1.1+E161+'12.土地成本表'!E73</f>
        <v>0</v>
      </c>
      <c r="F25" s="168">
        <f>'11.销售及回款表'!D168/1.1+F161+'12.土地成本表'!E74</f>
        <v>0</v>
      </c>
      <c r="G25" s="168">
        <f>'11.销售及回款表'!D173/1.1+G161+'12.土地成本表'!E75</f>
        <v>0</v>
      </c>
      <c r="H25" s="168">
        <f>'11.销售及回款表'!D178/1.1+H161+'12.土地成本表'!E76</f>
        <v>0</v>
      </c>
      <c r="I25" s="168">
        <f>'11.销售及回款表'!D183/1.1+I161+'12.土地成本表'!E77</f>
        <v>0</v>
      </c>
      <c r="J25" s="168">
        <f>'11.销售及回款表'!D188/1.1+J161+'12.土地成本表'!E78</f>
        <v>0</v>
      </c>
      <c r="K25" s="168">
        <f>'11.销售及回款表'!D193/1.1+K161+'12.土地成本表'!E79</f>
        <v>0</v>
      </c>
      <c r="L25" s="168">
        <f>'11.销售及回款表'!D198/1.1+L161+'12.土地成本表'!E80</f>
        <v>0</v>
      </c>
      <c r="M25" s="90"/>
      <c r="N25" s="168">
        <f>'11.销售及回款表'!D208/1.1+N161</f>
        <v>0</v>
      </c>
      <c r="O25" s="189">
        <f>'11.销售及回款表'!D213/1.1+O161</f>
        <v>0</v>
      </c>
      <c r="P25" s="190">
        <f>IF($R$23="合并清算",0,SUMIF(D23:O23,"普",D25:O25))</f>
        <v>0</v>
      </c>
      <c r="Q25" s="211">
        <f>IF($R$23="合并清算",C25,IF($R$23="两分法",C25-P25,SUMIF(D23:O23,"非普",D25:O25)))</f>
        <v>0</v>
      </c>
      <c r="R25" s="211">
        <f t="shared" ref="R25:R30" si="15">IF($R$23="三分法",C25-P25-Q25,0)</f>
        <v>0</v>
      </c>
      <c r="S25" s="212"/>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c r="AU25" s="85"/>
      <c r="AV25" s="85"/>
    </row>
    <row r="26" spans="1:48" s="75" customFormat="1" ht="15" hidden="1" customHeight="1">
      <c r="A26" s="1997"/>
      <c r="B26" s="165" t="s">
        <v>368</v>
      </c>
      <c r="C26" s="166">
        <f>SUM(D26:O26)</f>
        <v>0</v>
      </c>
      <c r="D26" s="168">
        <f>'12.土地成本表'!E25-D142-D151-'12.土地成本表'!E87</f>
        <v>0</v>
      </c>
      <c r="E26" s="168">
        <f>'12.土地成本表'!E26-E142-E151-'12.土地成本表'!E88</f>
        <v>0</v>
      </c>
      <c r="F26" s="168">
        <f>'12.土地成本表'!E27-F142-F151-'12.土地成本表'!E89</f>
        <v>0</v>
      </c>
      <c r="G26" s="168">
        <f>'12.土地成本表'!E28-G142-F151-'12.土地成本表'!E90</f>
        <v>0</v>
      </c>
      <c r="H26" s="168">
        <f>'12.土地成本表'!E29-H142-H151-'12.土地成本表'!E91</f>
        <v>0</v>
      </c>
      <c r="I26" s="168">
        <f>'12.土地成本表'!E30-I142-I151-'12.土地成本表'!E92</f>
        <v>0</v>
      </c>
      <c r="J26" s="168">
        <f>'12.土地成本表'!E31-J142-J151-'12.土地成本表'!E93</f>
        <v>0</v>
      </c>
      <c r="K26" s="168">
        <f>'12.土地成本表'!E32-K142-K151-'12.土地成本表'!E94</f>
        <v>0</v>
      </c>
      <c r="L26" s="168">
        <f>'12.土地成本表'!E33-L142-L151-'12.土地成本表'!E95</f>
        <v>0</v>
      </c>
      <c r="M26" s="90"/>
      <c r="N26" s="168"/>
      <c r="O26" s="168"/>
      <c r="P26" s="190">
        <f>IF($R$23="合并清算",0,SUMIF(D23:O23,"普",D26:O26))</f>
        <v>0</v>
      </c>
      <c r="Q26" s="211">
        <f>IF($R$23="合并清算",C26,IF($R$23="两分法",C26-P26,SUMIF(D23:O23,"非普",D26:O26)))</f>
        <v>0</v>
      </c>
      <c r="R26" s="211">
        <f t="shared" si="15"/>
        <v>0</v>
      </c>
      <c r="S26" s="212"/>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row>
    <row r="27" spans="1:48" s="75" customFormat="1" ht="15" hidden="1" customHeight="1">
      <c r="A27" s="1997"/>
      <c r="B27" s="165" t="s">
        <v>578</v>
      </c>
      <c r="C27" s="166">
        <f t="shared" ref="C27:C33" si="16">SUM(D27:O27)</f>
        <v>0</v>
      </c>
      <c r="D27" s="168">
        <f>'13.建安成本表'!$H$214-'13.建安成本表'!D230</f>
        <v>0</v>
      </c>
      <c r="E27" s="168">
        <f>'13.建安成本表'!$H$215-'13.建安成本表'!D231</f>
        <v>0</v>
      </c>
      <c r="F27" s="168">
        <f>'13.建安成本表'!$H$216-'13.建安成本表'!D232</f>
        <v>0</v>
      </c>
      <c r="G27" s="168">
        <f>'13.建安成本表'!$H$217-'13.建安成本表'!D233</f>
        <v>0</v>
      </c>
      <c r="H27" s="168">
        <f>'13.建安成本表'!$H$218-'13.建安成本表'!D234</f>
        <v>0</v>
      </c>
      <c r="I27" s="168">
        <f>'13.建安成本表'!$H$219-'13.建安成本表'!D235</f>
        <v>0</v>
      </c>
      <c r="J27" s="168">
        <f>'13.建安成本表'!$H$220-'13.建安成本表'!D236</f>
        <v>0</v>
      </c>
      <c r="K27" s="168">
        <f>'13.建安成本表'!$H$221-'13.建安成本表'!D237</f>
        <v>0</v>
      </c>
      <c r="L27" s="168">
        <f>'13.建安成本表'!$H$222-'13.建安成本表'!D238</f>
        <v>0</v>
      </c>
      <c r="M27" s="90"/>
      <c r="N27" s="168">
        <f>'13.建安成本表'!$H$224-'13.建安成本表'!D240</f>
        <v>0</v>
      </c>
      <c r="O27" s="168">
        <f>'13.建安成本表'!$H$225-'13.建安成本表'!D241</f>
        <v>0</v>
      </c>
      <c r="P27" s="190">
        <f>IF($R$23="合并清算",0,SUMIF(D23:O23,"普",D27:O27))</f>
        <v>0</v>
      </c>
      <c r="Q27" s="211">
        <f>IF($R$23="合并清算",C27,IF($R$23="两分法",C27-P27,SUMIF(D23:O23,"非普",D27:O27)))</f>
        <v>0</v>
      </c>
      <c r="R27" s="211">
        <f t="shared" si="15"/>
        <v>0</v>
      </c>
      <c r="S27" s="212"/>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row>
    <row r="28" spans="1:48" s="75" customFormat="1" ht="15" hidden="1" customHeight="1">
      <c r="A28" s="1997"/>
      <c r="B28" s="165" t="s">
        <v>602</v>
      </c>
      <c r="C28" s="166">
        <f t="shared" si="16"/>
        <v>0</v>
      </c>
      <c r="D28" s="168">
        <f>D25*1.11*('2.税率表'!$D$8*('2.税率表'!$D$13+'2.税率表'!$D$14+'2.税率表'!$D$17)+'2.税率表'!$D$16+'2.税率表'!$D$18)</f>
        <v>0</v>
      </c>
      <c r="E28" s="168">
        <f>E25*1.11*('2.税率表'!$D$8*('2.税率表'!$D$13+'2.税率表'!$D$14+'2.税率表'!$D$17)+'2.税率表'!$D$16+'2.税率表'!$D$18)</f>
        <v>0</v>
      </c>
      <c r="F28" s="168">
        <f>F25*1.11*('2.税率表'!$D$8*('2.税率表'!$D$13+'2.税率表'!$D$14+'2.税率表'!$D$17)+'2.税率表'!$D$16+'2.税率表'!$D$18)</f>
        <v>0</v>
      </c>
      <c r="G28" s="168">
        <f>G25*1.11*('2.税率表'!$D$8*('2.税率表'!$D$13+'2.税率表'!$D$14+'2.税率表'!$D$17)+'2.税率表'!$D$16+'2.税率表'!$D$18)</f>
        <v>0</v>
      </c>
      <c r="H28" s="168">
        <f>H25*1.11*('2.税率表'!$D$8*('2.税率表'!$D$13+'2.税率表'!$D$14+'2.税率表'!$D$17)+'2.税率表'!$D$16+'2.税率表'!$D$18)</f>
        <v>0</v>
      </c>
      <c r="I28" s="168">
        <f>I25*1.11*('2.税率表'!$D$8*('2.税率表'!$D$13+'2.税率表'!$D$14+'2.税率表'!$D$17)+'2.税率表'!$D$16+'2.税率表'!$D$18)</f>
        <v>0</v>
      </c>
      <c r="J28" s="168">
        <f>J25*1.11*('2.税率表'!$D$8*('2.税率表'!$D$13+'2.税率表'!$D$14+'2.税率表'!$D$17)+'2.税率表'!$D$16+'2.税率表'!$D$18)</f>
        <v>0</v>
      </c>
      <c r="K28" s="168">
        <f>K25*1.11*('2.税率表'!$D$8*('2.税率表'!$D$13+'2.税率表'!$D$14+'2.税率表'!$D$17)+'2.税率表'!$D$16+'2.税率表'!$D$18)</f>
        <v>0</v>
      </c>
      <c r="L28" s="168">
        <f>L25*1.11*('2.税率表'!$D$8*('2.税率表'!$D$13+'2.税率表'!$D$14+'2.税率表'!$D$17)+'2.税率表'!$D$16+'2.税率表'!$D$18)</f>
        <v>0</v>
      </c>
      <c r="M28" s="90"/>
      <c r="N28" s="168">
        <f>N25*1.11*('2.税率表'!$D$8*('2.税率表'!$D$13+'2.税率表'!$D$14+'2.税率表'!$D$17)+'2.税率表'!$D$16+'2.税率表'!$D$18)</f>
        <v>0</v>
      </c>
      <c r="O28" s="168">
        <f>O25*1.11*('2.税率表'!$D$8*('2.税率表'!$D$13+'2.税率表'!$D$14+'2.税率表'!$D$17)+'2.税率表'!$D$16+'2.税率表'!$D$18)</f>
        <v>0</v>
      </c>
      <c r="P28" s="190">
        <f>IF($R$23="合并清算",0,SUMIF(D23:O23,"普",D28:O28))</f>
        <v>0</v>
      </c>
      <c r="Q28" s="211">
        <f>IF($R$23="合并清算",C28,IF($R$23="两分法",C28-P28,SUMIF(D23:O23,"非普",D28:O28)))</f>
        <v>0</v>
      </c>
      <c r="R28" s="211">
        <f t="shared" si="15"/>
        <v>0</v>
      </c>
      <c r="S28" s="212"/>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row>
    <row r="29" spans="1:48" s="75" customFormat="1" ht="15" hidden="1" customHeight="1">
      <c r="A29" s="1997"/>
      <c r="B29" s="165" t="s">
        <v>373</v>
      </c>
      <c r="C29" s="166">
        <f t="shared" ca="1" si="16"/>
        <v>0</v>
      </c>
      <c r="D29" s="184">
        <f ca="1">IF('17.财务费用测算表'!$C$52&gt;($C$26+$C$27)*5%,'17.财务费用测算表'!D52,(D26+D27)*5%)-'17.财务费用测算表'!E61</f>
        <v>0</v>
      </c>
      <c r="E29" s="184">
        <f ca="1">IF('17.财务费用测算表'!$C$52&gt;($C$26+$C$27)*5%,'17.财务费用测算表'!E52,(E26+E27)*5%)-'17.财务费用测算表'!E62</f>
        <v>0</v>
      </c>
      <c r="F29" s="184">
        <f ca="1">IF('17.财务费用测算表'!$C$52&gt;($C$26+$C$27)*5%,'17.财务费用测算表'!F52,(F26+F27)*5%)-'17.财务费用测算表'!E63</f>
        <v>0</v>
      </c>
      <c r="G29" s="184">
        <f ca="1">IF('17.财务费用测算表'!$C$52&gt;($C$26+$C$27)*5%,'17.财务费用测算表'!G52,(G26+G27)*5%)-'17.财务费用测算表'!E64</f>
        <v>0</v>
      </c>
      <c r="H29" s="184">
        <f ca="1">IF('17.财务费用测算表'!$C$52&gt;($C$26+$C$27)*5%,'17.财务费用测算表'!H52,(H26+H27)*5%)-'17.财务费用测算表'!E65</f>
        <v>0</v>
      </c>
      <c r="I29" s="184">
        <f ca="1">IF('17.财务费用测算表'!$C$52&gt;($C$26+$C$27)*5%,'17.财务费用测算表'!I52,(I26+I27)*5%)-'17.财务费用测算表'!E66</f>
        <v>0</v>
      </c>
      <c r="J29" s="184">
        <f ca="1">IF('17.财务费用测算表'!$C$52&gt;($C$26+$C$27)*5%,'17.财务费用测算表'!J52,(J26+J27)*5%)-'17.财务费用测算表'!E67</f>
        <v>0</v>
      </c>
      <c r="K29" s="184">
        <f ca="1">IF('17.财务费用测算表'!$C$52&gt;($C$26+$C$27)*5%,'17.财务费用测算表'!K52,(K26+K27)*5%)-'17.财务费用测算表'!E68</f>
        <v>0</v>
      </c>
      <c r="L29" s="184">
        <f ca="1">IF('17.财务费用测算表'!$C$52&gt;($C$26+$C$27)*5%,'17.财务费用测算表'!L52,(L26+L27)*5%)-'17.财务费用测算表'!E69</f>
        <v>0</v>
      </c>
      <c r="M29" s="90"/>
      <c r="N29" s="184">
        <f ca="1">IF('17.财务费用测算表'!$C$52&gt;($C$26+$C$27)*5%,'17.财务费用测算表'!N52,(N26+N27)*5%)-'17.财务费用测算表'!E71</f>
        <v>0</v>
      </c>
      <c r="O29" s="184">
        <f ca="1">IF('17.财务费用测算表'!$C$52&gt;($C$26+$C$27)*5%,'17.财务费用测算表'!O52,(O26+O27)*5%)-'17.财务费用测算表'!E72</f>
        <v>0</v>
      </c>
      <c r="P29" s="190">
        <f>IF($R$23="合并清算",0,SUMIF(D23:O23,"普",D29:O29))</f>
        <v>0</v>
      </c>
      <c r="Q29" s="211">
        <f>IF($R$23="合并清算",C29,IF($R$23="两分法",C29-P29,SUMIF(D23:O23,"非普",D29:O29)))</f>
        <v>0</v>
      </c>
      <c r="R29" s="211">
        <f t="shared" ca="1" si="15"/>
        <v>0</v>
      </c>
      <c r="S29" s="212"/>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row>
    <row r="30" spans="1:48" s="75" customFormat="1" ht="15" hidden="1" customHeight="1">
      <c r="A30" s="1997"/>
      <c r="B30" s="165" t="s">
        <v>603</v>
      </c>
      <c r="C30" s="166">
        <f t="shared" si="16"/>
        <v>0</v>
      </c>
      <c r="D30" s="168">
        <f>(D26+D27)*5%</f>
        <v>0</v>
      </c>
      <c r="E30" s="168">
        <f t="shared" ref="E30:O30" si="17">(E26+E27)*5%</f>
        <v>0</v>
      </c>
      <c r="F30" s="168">
        <f t="shared" si="17"/>
        <v>0</v>
      </c>
      <c r="G30" s="168">
        <f t="shared" si="17"/>
        <v>0</v>
      </c>
      <c r="H30" s="168">
        <f t="shared" si="17"/>
        <v>0</v>
      </c>
      <c r="I30" s="168">
        <f t="shared" si="17"/>
        <v>0</v>
      </c>
      <c r="J30" s="168">
        <f t="shared" si="17"/>
        <v>0</v>
      </c>
      <c r="K30" s="168">
        <f t="shared" si="17"/>
        <v>0</v>
      </c>
      <c r="L30" s="168">
        <f t="shared" si="17"/>
        <v>0</v>
      </c>
      <c r="M30" s="90"/>
      <c r="N30" s="168">
        <f t="shared" si="17"/>
        <v>0</v>
      </c>
      <c r="O30" s="168">
        <f t="shared" si="17"/>
        <v>0</v>
      </c>
      <c r="P30" s="190">
        <f>IF($R$23="合并清算",0,SUMIF(D23:O23,"普",D30:O30))</f>
        <v>0</v>
      </c>
      <c r="Q30" s="211">
        <f>IF($R$23="合并清算",C30,IF($R$23="两分法",C30-P30,SUMIF(D23:O23,"非普",D30:O30)))</f>
        <v>0</v>
      </c>
      <c r="R30" s="211">
        <f t="shared" si="15"/>
        <v>0</v>
      </c>
      <c r="S30" s="212"/>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row>
    <row r="31" spans="1:48" s="75" customFormat="1" ht="15" hidden="1" customHeight="1">
      <c r="A31" s="1997"/>
      <c r="B31" s="165" t="s">
        <v>604</v>
      </c>
      <c r="C31" s="166">
        <f t="shared" si="16"/>
        <v>0</v>
      </c>
      <c r="D31" s="167">
        <f>(D26+D27)*20%</f>
        <v>0</v>
      </c>
      <c r="E31" s="168">
        <f t="shared" ref="E31:R31" si="18">(E26+E27)*20%</f>
        <v>0</v>
      </c>
      <c r="F31" s="168">
        <f t="shared" si="18"/>
        <v>0</v>
      </c>
      <c r="G31" s="168">
        <f t="shared" si="18"/>
        <v>0</v>
      </c>
      <c r="H31" s="168">
        <f t="shared" si="18"/>
        <v>0</v>
      </c>
      <c r="I31" s="168">
        <f t="shared" si="18"/>
        <v>0</v>
      </c>
      <c r="J31" s="168">
        <f t="shared" si="18"/>
        <v>0</v>
      </c>
      <c r="K31" s="168">
        <f t="shared" si="18"/>
        <v>0</v>
      </c>
      <c r="L31" s="168">
        <f t="shared" si="18"/>
        <v>0</v>
      </c>
      <c r="M31" s="90"/>
      <c r="N31" s="168">
        <f>(N26+N27)*20%</f>
        <v>0</v>
      </c>
      <c r="O31" s="189">
        <f t="shared" si="18"/>
        <v>0</v>
      </c>
      <c r="P31" s="190">
        <f t="shared" si="18"/>
        <v>0</v>
      </c>
      <c r="Q31" s="211">
        <f t="shared" si="18"/>
        <v>0</v>
      </c>
      <c r="R31" s="211">
        <f t="shared" si="18"/>
        <v>0</v>
      </c>
      <c r="S31" s="212"/>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row>
    <row r="32" spans="1:48" s="75" customFormat="1" ht="15" hidden="1" customHeight="1">
      <c r="A32" s="1997"/>
      <c r="B32" s="165" t="s">
        <v>605</v>
      </c>
      <c r="C32" s="166">
        <f t="shared" ca="1" si="16"/>
        <v>0</v>
      </c>
      <c r="D32" s="167">
        <f t="shared" ref="D32:R32" ca="1" si="19">SUM(D26:D31)</f>
        <v>0</v>
      </c>
      <c r="E32" s="168">
        <f t="shared" ca="1" si="19"/>
        <v>0</v>
      </c>
      <c r="F32" s="168">
        <f t="shared" ca="1" si="19"/>
        <v>0</v>
      </c>
      <c r="G32" s="168">
        <f t="shared" ca="1" si="19"/>
        <v>0</v>
      </c>
      <c r="H32" s="168">
        <f t="shared" ca="1" si="19"/>
        <v>0</v>
      </c>
      <c r="I32" s="168">
        <f t="shared" ca="1" si="19"/>
        <v>0</v>
      </c>
      <c r="J32" s="168">
        <f t="shared" ca="1" si="19"/>
        <v>0</v>
      </c>
      <c r="K32" s="168">
        <f t="shared" ca="1" si="19"/>
        <v>0</v>
      </c>
      <c r="L32" s="168">
        <f t="shared" ca="1" si="19"/>
        <v>0</v>
      </c>
      <c r="M32" s="90"/>
      <c r="N32" s="168">
        <f t="shared" ca="1" si="19"/>
        <v>0</v>
      </c>
      <c r="O32" s="189">
        <f t="shared" ca="1" si="19"/>
        <v>0</v>
      </c>
      <c r="P32" s="190">
        <f t="shared" si="19"/>
        <v>0</v>
      </c>
      <c r="Q32" s="211">
        <f t="shared" si="19"/>
        <v>0</v>
      </c>
      <c r="R32" s="211">
        <f t="shared" ca="1" si="19"/>
        <v>0</v>
      </c>
      <c r="S32" s="212"/>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row>
    <row r="33" spans="1:48" s="75" customFormat="1" ht="15" hidden="1" customHeight="1">
      <c r="A33" s="1997"/>
      <c r="B33" s="165" t="s">
        <v>419</v>
      </c>
      <c r="C33" s="166">
        <f t="shared" ca="1" si="16"/>
        <v>0</v>
      </c>
      <c r="D33" s="167">
        <f ca="1">D25-D32</f>
        <v>0</v>
      </c>
      <c r="E33" s="168">
        <f t="shared" ref="E33:R33" ca="1" si="20">E25-E32</f>
        <v>0</v>
      </c>
      <c r="F33" s="168">
        <f t="shared" ca="1" si="20"/>
        <v>0</v>
      </c>
      <c r="G33" s="168">
        <f t="shared" ca="1" si="20"/>
        <v>0</v>
      </c>
      <c r="H33" s="168">
        <f t="shared" ca="1" si="20"/>
        <v>0</v>
      </c>
      <c r="I33" s="168">
        <f t="shared" ca="1" si="20"/>
        <v>0</v>
      </c>
      <c r="J33" s="168">
        <f t="shared" ca="1" si="20"/>
        <v>0</v>
      </c>
      <c r="K33" s="168">
        <f t="shared" ca="1" si="20"/>
        <v>0</v>
      </c>
      <c r="L33" s="168">
        <f t="shared" ca="1" si="20"/>
        <v>0</v>
      </c>
      <c r="M33" s="90"/>
      <c r="N33" s="168">
        <f t="shared" ca="1" si="20"/>
        <v>0</v>
      </c>
      <c r="O33" s="189">
        <f t="shared" ca="1" si="20"/>
        <v>0</v>
      </c>
      <c r="P33" s="190">
        <f t="shared" si="20"/>
        <v>0</v>
      </c>
      <c r="Q33" s="211">
        <f t="shared" si="20"/>
        <v>0</v>
      </c>
      <c r="R33" s="211">
        <f t="shared" ca="1" si="20"/>
        <v>0</v>
      </c>
      <c r="S33" s="212"/>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row>
    <row r="34" spans="1:48" s="75" customFormat="1" ht="15" hidden="1" customHeight="1">
      <c r="A34" s="1997"/>
      <c r="B34" s="165" t="s">
        <v>420</v>
      </c>
      <c r="C34" s="173">
        <f ca="1">IF(C32&lt;&gt;0,C33/C32,0)</f>
        <v>0</v>
      </c>
      <c r="D34" s="174">
        <f ca="1">IF(D32&lt;&gt;0,D33/D32,0)</f>
        <v>0</v>
      </c>
      <c r="E34" s="175">
        <f t="shared" ref="E34:R34" ca="1" si="21">IF(E32&lt;&gt;0,E33/E32,0)</f>
        <v>0</v>
      </c>
      <c r="F34" s="175">
        <f t="shared" ca="1" si="21"/>
        <v>0</v>
      </c>
      <c r="G34" s="175">
        <f t="shared" ca="1" si="21"/>
        <v>0</v>
      </c>
      <c r="H34" s="175">
        <f t="shared" ca="1" si="21"/>
        <v>0</v>
      </c>
      <c r="I34" s="175">
        <f t="shared" ca="1" si="21"/>
        <v>0</v>
      </c>
      <c r="J34" s="175">
        <f t="shared" ca="1" si="21"/>
        <v>0</v>
      </c>
      <c r="K34" s="175">
        <f t="shared" ca="1" si="21"/>
        <v>0</v>
      </c>
      <c r="L34" s="175">
        <f t="shared" ca="1" si="21"/>
        <v>0</v>
      </c>
      <c r="M34" s="175">
        <f t="shared" si="21"/>
        <v>0</v>
      </c>
      <c r="N34" s="175">
        <f t="shared" ca="1" si="21"/>
        <v>0</v>
      </c>
      <c r="O34" s="192">
        <f t="shared" ca="1" si="21"/>
        <v>0</v>
      </c>
      <c r="P34" s="193">
        <f t="shared" si="21"/>
        <v>0</v>
      </c>
      <c r="Q34" s="213">
        <f t="shared" si="21"/>
        <v>0</v>
      </c>
      <c r="R34" s="213">
        <f t="shared" ca="1" si="21"/>
        <v>0</v>
      </c>
      <c r="S34" s="214"/>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row>
    <row r="35" spans="1:48" s="75" customFormat="1" ht="15" hidden="1" customHeight="1">
      <c r="A35" s="1997"/>
      <c r="B35" s="165" t="s">
        <v>606</v>
      </c>
      <c r="C35" s="166" t="s">
        <v>607</v>
      </c>
      <c r="D35" s="174">
        <f>IF(OR(D23="非普",D23="其他"),IF(D34&lt;=0,0,IF(D34&lt;=0.5,0.3,IF(D34&lt;=1,0.4,IF(D34&lt;=2,0.5,0.6)))),IF(D23="普",IF(D34&lt;=0.2,0,IF(D34&lt;=0.5,0.3,IF(D34&lt;=1,0.4,IF(D34&lt;=2,0.5,0.6)))),0))</f>
        <v>0</v>
      </c>
      <c r="E35" s="175">
        <f t="shared" ref="E35" si="22">IF(OR(E23="非普",E23="其他"),IF(E34&lt;=0,0,IF(E34&lt;=0.5,0.3,IF(E34&lt;=1,0.4,IF(E34&lt;=2,0.5,0.6)))),IF(E23="普",IF(E34&lt;=0.2,0,IF(E34&lt;=0.5,0.3,IF(E34&lt;=1,0.4,IF(E34&lt;=2,0.5,0.6)))),0))</f>
        <v>0</v>
      </c>
      <c r="F35" s="175">
        <f t="shared" ref="F35" si="23">IF(OR(F23="非普",F23="其他"),IF(F34&lt;=0,0,IF(F34&lt;=0.5,0.3,IF(F34&lt;=1,0.4,IF(F34&lt;=2,0.5,0.6)))),IF(F23="普",IF(F34&lt;=0.2,0,IF(F34&lt;=0.5,0.3,IF(F34&lt;=1,0.4,IF(F34&lt;=2,0.5,0.6)))),0))</f>
        <v>0</v>
      </c>
      <c r="G35" s="175">
        <f t="shared" ref="G35" si="24">IF(OR(G23="非普",G23="其他"),IF(G34&lt;=0,0,IF(G34&lt;=0.5,0.3,IF(G34&lt;=1,0.4,IF(G34&lt;=2,0.5,0.6)))),IF(G23="普",IF(G34&lt;=0.2,0,IF(G34&lt;=0.5,0.3,IF(G34&lt;=1,0.4,IF(G34&lt;=2,0.5,0.6)))),0))</f>
        <v>0</v>
      </c>
      <c r="H35" s="175">
        <f t="shared" ref="H35" si="25">IF(OR(H23="非普",H23="其他"),IF(H34&lt;=0,0,IF(H34&lt;=0.5,0.3,IF(H34&lt;=1,0.4,IF(H34&lt;=2,0.5,0.6)))),IF(H23="普",IF(H34&lt;=0.2,0,IF(H34&lt;=0.5,0.3,IF(H34&lt;=1,0.4,IF(H34&lt;=2,0.5,0.6)))),0))</f>
        <v>0</v>
      </c>
      <c r="I35" s="175">
        <f t="shared" ref="I35" si="26">IF(OR(I23="非普",I23="其他"),IF(I34&lt;=0,0,IF(I34&lt;=0.5,0.3,IF(I34&lt;=1,0.4,IF(I34&lt;=2,0.5,0.6)))),IF(I23="普",IF(I34&lt;=0.2,0,IF(I34&lt;=0.5,0.3,IF(I34&lt;=1,0.4,IF(I34&lt;=2,0.5,0.6)))),0))</f>
        <v>0</v>
      </c>
      <c r="J35" s="175">
        <f t="shared" ref="J35" si="27">IF(OR(J23="非普",J23="其他"),IF(J34&lt;=0,0,IF(J34&lt;=0.5,0.3,IF(J34&lt;=1,0.4,IF(J34&lt;=2,0.5,0.6)))),IF(J23="普",IF(J34&lt;=0.2,0,IF(J34&lt;=0.5,0.3,IF(J34&lt;=1,0.4,IF(J34&lt;=2,0.5,0.6)))),0))</f>
        <v>0</v>
      </c>
      <c r="K35" s="175">
        <f t="shared" ref="K35" si="28">IF(OR(K23="非普",K23="其他"),IF(K34&lt;=0,0,IF(K34&lt;=0.5,0.3,IF(K34&lt;=1,0.4,IF(K34&lt;=2,0.5,0.6)))),IF(K23="普",IF(K34&lt;=0.2,0,IF(K34&lt;=0.5,0.3,IF(K34&lt;=1,0.4,IF(K34&lt;=2,0.5,0.6)))),0))</f>
        <v>0</v>
      </c>
      <c r="L35" s="175">
        <f t="shared" ref="L35" si="29">IF(OR(L23="非普",L23="其他"),IF(L34&lt;=0,0,IF(L34&lt;=0.5,0.3,IF(L34&lt;=1,0.4,IF(L34&lt;=2,0.5,0.6)))),IF(L23="普",IF(L34&lt;=0.2,0,IF(L34&lt;=0.5,0.3,IF(L34&lt;=1,0.4,IF(L34&lt;=2,0.5,0.6)))),0))</f>
        <v>0</v>
      </c>
      <c r="M35" s="175">
        <f t="shared" ref="M35" si="30">IF(OR(M23="非普",M23="其他"),IF(M34&lt;=0,0,IF(M34&lt;=0.5,0.3,IF(M34&lt;=1,0.4,IF(M34&lt;=2,0.5,0.6)))),IF(M23="普",IF(M34&lt;=0.2,0,IF(M34&lt;=0.5,0.3,IF(M34&lt;=1,0.4,IF(M34&lt;=2,0.5,0.6)))),0))</f>
        <v>0</v>
      </c>
      <c r="N35" s="175">
        <f t="shared" ref="N35:O35" si="31">IF(OR(N23="非普",N23="其他"),IF(N34&lt;=0,0,IF(N34&lt;=0.5,0.3,IF(N34&lt;=1,0.4,IF(N34&lt;=2,0.5,0.6)))),IF(N23="普",IF(N34&lt;=0.2,0,IF(N34&lt;=0.5,0.3,IF(N34&lt;=1,0.4,IF(N34&lt;=2,0.5,0.6)))),0))</f>
        <v>0</v>
      </c>
      <c r="O35" s="192">
        <f t="shared" si="31"/>
        <v>0</v>
      </c>
      <c r="P35" s="194">
        <f>IF(P34&lt;=0.2,0,IF(P34&lt;=0.5,0.3,IF(P34&lt;=1,0.4,IF(P34&lt;=2,0.5,0.6))))</f>
        <v>0</v>
      </c>
      <c r="Q35" s="215">
        <f>IF(Q34&lt;=0,0,IF(Q34&lt;=0.5,0.3,IF(Q34&lt;=1,0.4,IF(Q34&lt;=2,0.5,0.6))))</f>
        <v>0</v>
      </c>
      <c r="R35" s="215">
        <f ca="1">IF(R34&lt;=0,0,IF(R34&lt;=0.5,0.3,IF(R34&lt;=1,0.4,IF(R34&lt;=2,0.5,0.6))))</f>
        <v>0</v>
      </c>
      <c r="S35" s="216"/>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row>
    <row r="36" spans="1:48" s="75" customFormat="1" ht="15" hidden="1" customHeight="1">
      <c r="A36" s="1997"/>
      <c r="B36" s="165" t="s">
        <v>608</v>
      </c>
      <c r="C36" s="166" t="s">
        <v>607</v>
      </c>
      <c r="D36" s="176">
        <f>IF(D35=0.4,0.05,IF(D35=0.5,0.15,IF(D35=0.6,0.35,0)))</f>
        <v>0</v>
      </c>
      <c r="E36" s="177">
        <f t="shared" ref="E36:R36" si="32">IF(E35=0.4,0.05,IF(E35=0.5,0.15,IF(E35=0.6,0.35,0)))</f>
        <v>0</v>
      </c>
      <c r="F36" s="177">
        <f t="shared" si="32"/>
        <v>0</v>
      </c>
      <c r="G36" s="177">
        <f t="shared" si="32"/>
        <v>0</v>
      </c>
      <c r="H36" s="177">
        <f t="shared" si="32"/>
        <v>0</v>
      </c>
      <c r="I36" s="177">
        <f t="shared" si="32"/>
        <v>0</v>
      </c>
      <c r="J36" s="177">
        <f t="shared" si="32"/>
        <v>0</v>
      </c>
      <c r="K36" s="177">
        <f t="shared" si="32"/>
        <v>0</v>
      </c>
      <c r="L36" s="177">
        <f t="shared" si="32"/>
        <v>0</v>
      </c>
      <c r="M36" s="177">
        <f t="shared" si="32"/>
        <v>0</v>
      </c>
      <c r="N36" s="177">
        <f t="shared" si="32"/>
        <v>0</v>
      </c>
      <c r="O36" s="195">
        <f t="shared" si="32"/>
        <v>0</v>
      </c>
      <c r="P36" s="194">
        <f t="shared" si="32"/>
        <v>0</v>
      </c>
      <c r="Q36" s="215">
        <f t="shared" si="32"/>
        <v>0</v>
      </c>
      <c r="R36" s="215">
        <f t="shared" ca="1" si="32"/>
        <v>0</v>
      </c>
      <c r="S36" s="216"/>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row>
    <row r="37" spans="1:48" s="75" customFormat="1" ht="15" hidden="1" customHeight="1">
      <c r="A37" s="1997"/>
      <c r="B37" s="165" t="s">
        <v>937</v>
      </c>
      <c r="C37" s="166">
        <f ca="1">SUM(D37:O37)</f>
        <v>0</v>
      </c>
      <c r="D37" s="167">
        <f ca="1">D39-D38</f>
        <v>0</v>
      </c>
      <c r="E37" s="168">
        <f t="shared" ref="E37:P37" ca="1" si="33">E39-E38</f>
        <v>0</v>
      </c>
      <c r="F37" s="168">
        <f t="shared" ca="1" si="33"/>
        <v>0</v>
      </c>
      <c r="G37" s="168">
        <f t="shared" ca="1" si="33"/>
        <v>0</v>
      </c>
      <c r="H37" s="168">
        <f t="shared" ca="1" si="33"/>
        <v>0</v>
      </c>
      <c r="I37" s="168">
        <f t="shared" ca="1" si="33"/>
        <v>0</v>
      </c>
      <c r="J37" s="168">
        <f t="shared" ca="1" si="33"/>
        <v>0</v>
      </c>
      <c r="K37" s="168">
        <f t="shared" ca="1" si="33"/>
        <v>0</v>
      </c>
      <c r="L37" s="168">
        <f t="shared" ca="1" si="33"/>
        <v>0</v>
      </c>
      <c r="M37" s="168">
        <f t="shared" ca="1" si="33"/>
        <v>0</v>
      </c>
      <c r="N37" s="168">
        <f t="shared" ca="1" si="33"/>
        <v>0</v>
      </c>
      <c r="O37" s="189">
        <f t="shared" ca="1" si="33"/>
        <v>0</v>
      </c>
      <c r="P37" s="196">
        <f t="shared" si="33"/>
        <v>0</v>
      </c>
      <c r="Q37" s="211">
        <f t="shared" ref="Q37:R37" si="34">Q39-Q38</f>
        <v>0</v>
      </c>
      <c r="R37" s="202">
        <f t="shared" ca="1" si="34"/>
        <v>0</v>
      </c>
      <c r="S37" s="212"/>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c r="AU37" s="85"/>
      <c r="AV37" s="85"/>
    </row>
    <row r="38" spans="1:48" s="75" customFormat="1" ht="15" hidden="1" customHeight="1">
      <c r="A38" s="1997"/>
      <c r="B38" s="165" t="s">
        <v>610</v>
      </c>
      <c r="C38" s="166">
        <f>SUM(D38:O38)</f>
        <v>0</v>
      </c>
      <c r="D38" s="178">
        <f>IF(D23="普",'11.销售及回款表'!D158/1.1*'2.税率表'!$D$20,IF(D23="非普",'11.销售及回款表'!D158/1.1*'2.税率表'!$D$21,IF(D23="其他",'11.销售及回款表'!D158/1.1*'2.税率表'!$D$22,0)))</f>
        <v>0</v>
      </c>
      <c r="E38" s="179">
        <f>IF(E23="普",'11.销售及回款表'!D163/1.1*'2.税率表'!$D$20,IF(E23="非普",'11.销售及回款表'!D163/1.1*'2.税率表'!$D$21,IF(E23="其他",'11.销售及回款表'!D163/1.1*'2.税率表'!$D$22,0)))</f>
        <v>0</v>
      </c>
      <c r="F38" s="179">
        <f>IF(F23="普",'11.销售及回款表'!D168/1.1*'2.税率表'!$D$20,IF(F23="非普",'11.销售及回款表'!D168/1.1*'2.税率表'!$D$21,IF(F23="其他",'11.销售及回款表'!D168/1.1*'2.税率表'!$D$22,0)))</f>
        <v>0</v>
      </c>
      <c r="G38" s="179">
        <f>IF(G23="普",'11.销售及回款表'!D173/1.1*'2.税率表'!$D$20,IF(G23="非普",'11.销售及回款表'!D173/1.1*'2.税率表'!$D$21,IF(G23="其他",'11.销售及回款表'!D173/1.1*'2.税率表'!$D$22,0)))</f>
        <v>0</v>
      </c>
      <c r="H38" s="179">
        <f>IF(H23="普",'11.销售及回款表'!D178/1.1*'2.税率表'!$D$20,IF(H23="非普",'11.销售及回款表'!D178/1.1*'2.税率表'!$D$21,IF(H23="其他",'11.销售及回款表'!D178/1.1*'2.税率表'!$D$22,0)))</f>
        <v>0</v>
      </c>
      <c r="I38" s="179">
        <f>IF(I23="普",'11.销售及回款表'!D183/1.1*'2.税率表'!$D$20,IF(I23="非普",'11.销售及回款表'!D183/1.1*'2.税率表'!$D$21,IF(I23="其他",'11.销售及回款表'!D183/1.1*'2.税率表'!$D$22,0)))</f>
        <v>0</v>
      </c>
      <c r="J38" s="179">
        <f>IF(J23="普",'11.销售及回款表'!D188/1.1*'2.税率表'!$D$20,IF(J23="非普",'11.销售及回款表'!D188/1.1*'2.税率表'!$D$21,IF(J23="其他",'11.销售及回款表'!D188/1.1*'2.税率表'!$D$22,0)))</f>
        <v>0</v>
      </c>
      <c r="K38" s="179">
        <f>IF(K23="普",'11.销售及回款表'!D193/1.1*'2.税率表'!$D$20,IF(K23="非普",'11.销售及回款表'!D193/1.1*'2.税率表'!$D$21,IF(K23="其他",'11.销售及回款表'!D193/1.1*'2.税率表'!$D$22,0)))</f>
        <v>0</v>
      </c>
      <c r="L38" s="179">
        <f>IF(L23="普",'11.销售及回款表'!D198/1.1*'2.税率表'!$D$20,IF(L23="非普",'11.销售及回款表'!D198/1.1*'2.税率表'!$D$21,IF(L23="其他",'11.销售及回款表'!D198/1.1*'2.税率表'!$D$22,0)))</f>
        <v>0</v>
      </c>
      <c r="M38" s="179">
        <f>IF(M23="普",'11.销售及回款表'!D203/1.1*'2.税率表'!$D$20,IF(M23="非普",'11.销售及回款表'!D203/1.1*'2.税率表'!$D$21,IF(M23="其他",'11.销售及回款表'!D203/1.1*'2.税率表'!$D$22,0)))</f>
        <v>0</v>
      </c>
      <c r="N38" s="184">
        <f>IF(N23="普",N25*'2.税率表'!$D$20,IF(N23="非普",N25*'2.税率表'!$D$21,IF(N23="其他",N25*'2.税率表'!$D$22,0)))</f>
        <v>0</v>
      </c>
      <c r="O38" s="197">
        <f>IF(O23="普",O25*'2.税率表'!$D$20,IF(O23="非普",O25*'2.税率表'!$D$21,IF(O23="其他",O25*'2.税率表'!$D$22,0)))</f>
        <v>0</v>
      </c>
      <c r="P38" s="196">
        <f>P25*'2.税率表'!$D$20</f>
        <v>0</v>
      </c>
      <c r="Q38" s="211">
        <f>Q25*'2.税率表'!$D$21</f>
        <v>0</v>
      </c>
      <c r="R38" s="202">
        <f>R25*'2.税率表'!$D$22</f>
        <v>0</v>
      </c>
      <c r="S38" s="212"/>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c r="AU38" s="85"/>
      <c r="AV38" s="85"/>
    </row>
    <row r="39" spans="1:48" s="75" customFormat="1" ht="15" hidden="1" customHeight="1">
      <c r="A39" s="1997"/>
      <c r="B39" s="165" t="s">
        <v>609</v>
      </c>
      <c r="C39" s="180">
        <f ca="1">IFERROR(SUM(D39:O39),0)</f>
        <v>0</v>
      </c>
      <c r="D39" s="181">
        <f ca="1">IFERROR(IF($R23="合并清算",$Q39/$Q25*D25,IF(($R23="两分法")*(D23="普"),$P39/$P25*D25,IF(($R23="两分法")*(D23="非普"),$Q39/$Q25*D25,IF(($R23="两分法")*(D23="其他"),$Q39/$Q25*D25,IF(D23="普",$P39/$P25*D25,IF(D23="非普",$Q39/$Q25*D25,$R39/$R25*D25)))))),0)</f>
        <v>0</v>
      </c>
      <c r="E39" s="182">
        <f t="shared" ref="E39:O39" ca="1" si="35">IFERROR(IF($R23="合并清算",$Q39/$Q25*E25,IF(($R23="两分法")*(E23="普"),$P39/$P25*E25,IF(($R23="两分法")*(E23="非普"),$Q39/$Q25*E25,IF(($R23="两分法")*(E23="其他"),$Q39/$Q25*E25,IF(E23="普",$P39/$P25*E25,IF(E23="非普",$Q39/$Q25*E25,$R39/$R25*E25)))))),0)</f>
        <v>0</v>
      </c>
      <c r="F39" s="182">
        <f t="shared" ca="1" si="35"/>
        <v>0</v>
      </c>
      <c r="G39" s="182">
        <f t="shared" ca="1" si="35"/>
        <v>0</v>
      </c>
      <c r="H39" s="182">
        <f t="shared" ca="1" si="35"/>
        <v>0</v>
      </c>
      <c r="I39" s="182">
        <f t="shared" ca="1" si="35"/>
        <v>0</v>
      </c>
      <c r="J39" s="182">
        <f t="shared" ca="1" si="35"/>
        <v>0</v>
      </c>
      <c r="K39" s="182">
        <f t="shared" ca="1" si="35"/>
        <v>0</v>
      </c>
      <c r="L39" s="182">
        <f t="shared" ca="1" si="35"/>
        <v>0</v>
      </c>
      <c r="M39" s="182">
        <f t="shared" ca="1" si="35"/>
        <v>0</v>
      </c>
      <c r="N39" s="182">
        <f t="shared" ca="1" si="35"/>
        <v>0</v>
      </c>
      <c r="O39" s="199">
        <f t="shared" ca="1" si="35"/>
        <v>0</v>
      </c>
      <c r="P39" s="200">
        <f>P33*P35-P32*P36</f>
        <v>0</v>
      </c>
      <c r="Q39" s="219">
        <f t="shared" ref="Q39:R39" si="36">Q33*Q35-Q32*Q36</f>
        <v>0</v>
      </c>
      <c r="R39" s="205">
        <f t="shared" ca="1" si="36"/>
        <v>0</v>
      </c>
      <c r="S39" s="212"/>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c r="AU39" s="85"/>
      <c r="AV39" s="85"/>
    </row>
    <row r="40" spans="1:48" hidden="1">
      <c r="A40" s="78"/>
      <c r="B40" s="78"/>
      <c r="C40" s="78"/>
      <c r="D40" s="78"/>
      <c r="E40" s="78"/>
      <c r="F40" s="78"/>
      <c r="G40" s="78"/>
      <c r="H40" s="78"/>
      <c r="I40" s="78"/>
      <c r="J40" s="78"/>
      <c r="K40" s="78"/>
      <c r="L40" s="78"/>
      <c r="M40" s="78"/>
      <c r="N40" s="78"/>
      <c r="O40" s="78"/>
      <c r="P40" s="78"/>
      <c r="Q40" s="78"/>
      <c r="R40" s="115"/>
      <c r="S40" s="115"/>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row>
    <row r="41" spans="1:48" ht="15" hidden="1" customHeight="1">
      <c r="A41" s="156"/>
      <c r="B41" s="156"/>
      <c r="C41" s="157" t="s">
        <v>596</v>
      </c>
      <c r="D41" s="183"/>
      <c r="E41" s="160"/>
      <c r="F41" s="160"/>
      <c r="G41" s="160"/>
      <c r="H41" s="160"/>
      <c r="I41" s="160"/>
      <c r="J41" s="160"/>
      <c r="K41" s="160"/>
      <c r="L41" s="160"/>
      <c r="M41" s="160"/>
      <c r="N41" s="160"/>
      <c r="O41" s="186"/>
      <c r="P41" s="1992" t="s">
        <v>597</v>
      </c>
      <c r="Q41" s="1991"/>
      <c r="R41" s="221" t="s">
        <v>938</v>
      </c>
      <c r="S41" s="209"/>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c r="AT41" s="78"/>
      <c r="AU41" s="78"/>
      <c r="AV41" s="78"/>
    </row>
    <row r="42" spans="1:48" s="75" customFormat="1" ht="15" hidden="1" customHeight="1">
      <c r="A42" s="161" t="s">
        <v>598</v>
      </c>
      <c r="B42" s="161" t="s">
        <v>183</v>
      </c>
      <c r="C42" s="162" t="s">
        <v>599</v>
      </c>
      <c r="D42" s="163" t="str">
        <f>D24</f>
        <v>高层</v>
      </c>
      <c r="E42" s="164" t="str">
        <f t="shared" ref="E42:O42" si="37">E24</f>
        <v>商铺</v>
      </c>
      <c r="F42" s="164" t="str">
        <f t="shared" si="37"/>
        <v>回迁商业</v>
      </c>
      <c r="G42" s="164">
        <f t="shared" si="37"/>
        <v>0</v>
      </c>
      <c r="H42" s="164">
        <f t="shared" si="37"/>
        <v>0</v>
      </c>
      <c r="I42" s="164">
        <f t="shared" si="37"/>
        <v>0</v>
      </c>
      <c r="J42" s="164">
        <f t="shared" si="37"/>
        <v>0</v>
      </c>
      <c r="K42" s="164">
        <f t="shared" si="37"/>
        <v>0</v>
      </c>
      <c r="L42" s="164">
        <f t="shared" si="37"/>
        <v>0</v>
      </c>
      <c r="M42" s="164" t="str">
        <f t="shared" si="37"/>
        <v>自持物业</v>
      </c>
      <c r="N42" s="164" t="str">
        <f t="shared" si="37"/>
        <v>有产权车库(个)</v>
      </c>
      <c r="O42" s="187" t="str">
        <f t="shared" si="37"/>
        <v>无产权车库(个)</v>
      </c>
      <c r="P42" s="201" t="s">
        <v>600</v>
      </c>
      <c r="Q42" s="161" t="s">
        <v>601</v>
      </c>
      <c r="R42" s="161" t="s">
        <v>164</v>
      </c>
      <c r="S42" s="210"/>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c r="AU42" s="85"/>
      <c r="AV42" s="85"/>
    </row>
    <row r="43" spans="1:48" s="75" customFormat="1" ht="15" hidden="1" customHeight="1">
      <c r="A43" s="1997" t="s">
        <v>21</v>
      </c>
      <c r="B43" s="165" t="s">
        <v>454</v>
      </c>
      <c r="C43" s="166">
        <f>SUM(D43:O43)</f>
        <v>0</v>
      </c>
      <c r="D43" s="167">
        <f>'11.销售及回款表'!D228/1.1+D162+'12.土地成本表'!F72</f>
        <v>0</v>
      </c>
      <c r="E43" s="168">
        <f>'11.销售及回款表'!D233/1.1+E162+'12.土地成本表'!F73</f>
        <v>0</v>
      </c>
      <c r="F43" s="168">
        <f>'11.销售及回款表'!D238/1.1+F162+'12.土地成本表'!F74</f>
        <v>0</v>
      </c>
      <c r="G43" s="168">
        <f>'11.销售及回款表'!D243/1.1+G162+'12.土地成本表'!F75</f>
        <v>0</v>
      </c>
      <c r="H43" s="168">
        <f>'11.销售及回款表'!D248/1.1+H162+'12.土地成本表'!F76</f>
        <v>0</v>
      </c>
      <c r="I43" s="168">
        <f>'11.销售及回款表'!D253/1.1+I162+'12.土地成本表'!F77</f>
        <v>0</v>
      </c>
      <c r="J43" s="168">
        <f>'11.销售及回款表'!D258/1.1+J162+'12.土地成本表'!F78</f>
        <v>0</v>
      </c>
      <c r="K43" s="168">
        <f>'11.销售及回款表'!D263/1.1+K162+'12.土地成本表'!F79</f>
        <v>0</v>
      </c>
      <c r="L43" s="168">
        <f>'11.销售及回款表'!D268/1.1+L162+'12.土地成本表'!F80</f>
        <v>0</v>
      </c>
      <c r="M43" s="90"/>
      <c r="N43" s="168">
        <f>'11.销售及回款表'!D278/1.1+N162</f>
        <v>0</v>
      </c>
      <c r="O43" s="189">
        <f>'11.销售及回款表'!D283/1.1+O162</f>
        <v>0</v>
      </c>
      <c r="P43" s="202">
        <f>IF($R$41="合并清算",0,SUMIF(D41:O41,"普",D43:O43))</f>
        <v>0</v>
      </c>
      <c r="Q43" s="211">
        <f>IF($R$41="合并清算",C43,IF($R$41="两分法",C43-P43,SUMIF(D41:O41,"非普",D43:O43)))</f>
        <v>0</v>
      </c>
      <c r="R43" s="211">
        <f t="shared" ref="R43:R48" si="38">IF($R$41="三分法",C43-P43-Q43,0)</f>
        <v>0</v>
      </c>
      <c r="S43" s="212"/>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c r="AU43" s="85"/>
      <c r="AV43" s="85"/>
    </row>
    <row r="44" spans="1:48" s="75" customFormat="1" ht="15" hidden="1" customHeight="1">
      <c r="A44" s="1997"/>
      <c r="B44" s="165" t="s">
        <v>368</v>
      </c>
      <c r="C44" s="166">
        <f>SUM(D44:O44)</f>
        <v>0</v>
      </c>
      <c r="D44" s="168">
        <f>'12.土地成本表'!F25-D143-D152-'12.土地成本表'!F87</f>
        <v>0</v>
      </c>
      <c r="E44" s="168">
        <f>'12.土地成本表'!F26-E1433-E152-'12.土地成本表'!F88</f>
        <v>0</v>
      </c>
      <c r="F44" s="168">
        <f>'12.土地成本表'!F27-F143-F152-'12.土地成本表'!F89</f>
        <v>0</v>
      </c>
      <c r="G44" s="168">
        <f>'12.土地成本表'!F28-G143-G152-'12.土地成本表'!F90</f>
        <v>0</v>
      </c>
      <c r="H44" s="168">
        <f>'12.土地成本表'!F29-H143-H152-'12.土地成本表'!F91</f>
        <v>0</v>
      </c>
      <c r="I44" s="168">
        <f>'12.土地成本表'!F30-I143-I152-'12.土地成本表'!F92</f>
        <v>0</v>
      </c>
      <c r="J44" s="168">
        <f>'12.土地成本表'!F31-J143-J152-'12.土地成本表'!F93</f>
        <v>0</v>
      </c>
      <c r="K44" s="168">
        <f>'12.土地成本表'!F32-K143-K152-'12.土地成本表'!F94</f>
        <v>0</v>
      </c>
      <c r="L44" s="168">
        <f>'12.土地成本表'!F33-L143-L152-'12.土地成本表'!F95</f>
        <v>0</v>
      </c>
      <c r="M44" s="90"/>
      <c r="N44" s="168"/>
      <c r="O44" s="168"/>
      <c r="P44" s="202">
        <f>IF($R$41="合并清算",0,SUMIF(D41:O41,"普",D44:O44))</f>
        <v>0</v>
      </c>
      <c r="Q44" s="211">
        <f>IF($R$41="合并清算",C44,IF($R$41="两分法",C44-P44,SUMIF(D41:O41,"非普",D44:O44)))</f>
        <v>0</v>
      </c>
      <c r="R44" s="211">
        <f t="shared" si="38"/>
        <v>0</v>
      </c>
      <c r="S44" s="212"/>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c r="AU44" s="85"/>
      <c r="AV44" s="85"/>
    </row>
    <row r="45" spans="1:48" s="75" customFormat="1" ht="15" hidden="1" customHeight="1">
      <c r="A45" s="1997"/>
      <c r="B45" s="165" t="s">
        <v>578</v>
      </c>
      <c r="C45" s="166">
        <f t="shared" ref="C45:C51" si="39">SUM(D45:O45)</f>
        <v>0</v>
      </c>
      <c r="D45" s="168">
        <f>'13.建安成本表'!K$214-'13.建安成本表'!E230</f>
        <v>0</v>
      </c>
      <c r="E45" s="168">
        <f>'13.建安成本表'!K$215-'13.建安成本表'!E231</f>
        <v>0</v>
      </c>
      <c r="F45" s="168">
        <f>'13.建安成本表'!K$216-'13.建安成本表'!E232</f>
        <v>0</v>
      </c>
      <c r="G45" s="168">
        <f>'13.建安成本表'!K$217-'13.建安成本表'!E233</f>
        <v>0</v>
      </c>
      <c r="H45" s="168">
        <f>'13.建安成本表'!K$218-'13.建安成本表'!E234</f>
        <v>0</v>
      </c>
      <c r="I45" s="168">
        <f>'13.建安成本表'!K$219-'13.建安成本表'!E235</f>
        <v>0</v>
      </c>
      <c r="J45" s="168">
        <f>'13.建安成本表'!K$220-'13.建安成本表'!E236</f>
        <v>0</v>
      </c>
      <c r="K45" s="168">
        <f>'13.建安成本表'!K$221-'13.建安成本表'!E237</f>
        <v>0</v>
      </c>
      <c r="L45" s="168">
        <f>'13.建安成本表'!K$222-'13.建安成本表'!E238</f>
        <v>0</v>
      </c>
      <c r="M45" s="90"/>
      <c r="N45" s="168">
        <f>'13.建安成本表'!K$224-'13.建安成本表'!E240</f>
        <v>0</v>
      </c>
      <c r="O45" s="168">
        <f>'13.建安成本表'!K$225-'13.建安成本表'!E241</f>
        <v>0</v>
      </c>
      <c r="P45" s="202">
        <f>IF($R$41="合并清算",0,SUMIF(D41:O41,"普",D45:O45))</f>
        <v>0</v>
      </c>
      <c r="Q45" s="211">
        <f>IF($R$41="合并清算",C45,IF($R$41="两分法",C45-P45,SUMIF(D41:O41,"非普",D45:O45)))</f>
        <v>0</v>
      </c>
      <c r="R45" s="211">
        <f t="shared" si="38"/>
        <v>0</v>
      </c>
      <c r="S45" s="212"/>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c r="AU45" s="85"/>
      <c r="AV45" s="85"/>
    </row>
    <row r="46" spans="1:48" s="75" customFormat="1" ht="15" hidden="1" customHeight="1">
      <c r="A46" s="1997"/>
      <c r="B46" s="165" t="s">
        <v>602</v>
      </c>
      <c r="C46" s="166">
        <f t="shared" si="39"/>
        <v>0</v>
      </c>
      <c r="D46" s="168">
        <f>D43*1.11*('2.税率表'!$D$9*('2.税率表'!$D$13+'2.税率表'!$D$14+'2.税率表'!$D$17)+'2.税率表'!$D$16+'2.税率表'!$D$18)</f>
        <v>0</v>
      </c>
      <c r="E46" s="168">
        <f>E43*1.11*('2.税率表'!$D$9*('2.税率表'!$D$13+'2.税率表'!$D$14+'2.税率表'!$D$17)+'2.税率表'!$D$16+'2.税率表'!$D$18)</f>
        <v>0</v>
      </c>
      <c r="F46" s="168">
        <f>F43*1.11*('2.税率表'!$D$9*('2.税率表'!$D$13+'2.税率表'!$D$14+'2.税率表'!$D$17)+'2.税率表'!$D$16+'2.税率表'!$D$18)</f>
        <v>0</v>
      </c>
      <c r="G46" s="168">
        <f>G43*1.11*('2.税率表'!$D$9*('2.税率表'!$D$13+'2.税率表'!$D$14+'2.税率表'!$D$17)+'2.税率表'!$D$16+'2.税率表'!$D$18)</f>
        <v>0</v>
      </c>
      <c r="H46" s="168">
        <f>H43*1.11*('2.税率表'!$D$9*('2.税率表'!$D$13+'2.税率表'!$D$14+'2.税率表'!$D$17)+'2.税率表'!$D$16+'2.税率表'!$D$18)</f>
        <v>0</v>
      </c>
      <c r="I46" s="168">
        <f>I43*1.11*('2.税率表'!$D$9*('2.税率表'!$D$13+'2.税率表'!$D$14+'2.税率表'!$D$17)+'2.税率表'!$D$16+'2.税率表'!$D$18)</f>
        <v>0</v>
      </c>
      <c r="J46" s="168">
        <f>J43*1.11*('2.税率表'!$D$9*('2.税率表'!$D$13+'2.税率表'!$D$14+'2.税率表'!$D$17)+'2.税率表'!$D$16+'2.税率表'!$D$18)</f>
        <v>0</v>
      </c>
      <c r="K46" s="168">
        <f>K43*1.11*('2.税率表'!$D$9*('2.税率表'!$D$13+'2.税率表'!$D$14+'2.税率表'!$D$17)+'2.税率表'!$D$16+'2.税率表'!$D$18)</f>
        <v>0</v>
      </c>
      <c r="L46" s="168">
        <f>L43*1.11*('2.税率表'!$D$9*('2.税率表'!$D$13+'2.税率表'!$D$14+'2.税率表'!$D$17)+'2.税率表'!$D$16+'2.税率表'!$D$18)</f>
        <v>0</v>
      </c>
      <c r="M46" s="90"/>
      <c r="N46" s="168">
        <f>N43*1.11*('2.税率表'!$D$9*('2.税率表'!$D$13+'2.税率表'!$D$14+'2.税率表'!$D$17)+'2.税率表'!$D$16+'2.税率表'!$D$18)</f>
        <v>0</v>
      </c>
      <c r="O46" s="168">
        <f>O43*1.11*('2.税率表'!$D$9*('2.税率表'!$D$13+'2.税率表'!$D$14+'2.税率表'!$D$17)+'2.税率表'!$D$16+'2.税率表'!$D$18)</f>
        <v>0</v>
      </c>
      <c r="P46" s="202">
        <f>IF($R$41="合并清算",0,SUMIF(D41:O41,"普",D46:O46))</f>
        <v>0</v>
      </c>
      <c r="Q46" s="211">
        <f>IF($R$41="合并清算",C46,IF($R$41="两分法",C46-P46,SUMIF(D41:O41,"非普",D46:O46)))</f>
        <v>0</v>
      </c>
      <c r="R46" s="211">
        <f t="shared" si="38"/>
        <v>0</v>
      </c>
      <c r="S46" s="212"/>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c r="AU46" s="85"/>
      <c r="AV46" s="85"/>
    </row>
    <row r="47" spans="1:48" s="75" customFormat="1" ht="15" hidden="1" customHeight="1">
      <c r="A47" s="1997"/>
      <c r="B47" s="165" t="s">
        <v>373</v>
      </c>
      <c r="C47" s="166">
        <f t="shared" ca="1" si="39"/>
        <v>0</v>
      </c>
      <c r="D47" s="184">
        <f ca="1">IF('17.财务费用测算表'!$C$53&gt;($C$44+$C$45)*5%,'17.财务费用测算表'!D53,(D44+D45)*5%)-'17.财务费用测算表'!F61</f>
        <v>0</v>
      </c>
      <c r="E47" s="184">
        <f ca="1">IF('17.财务费用测算表'!$C$53&gt;($C$44+$C$45)*5%,'17.财务费用测算表'!E53,(E44+E45)*5%)-'17.财务费用测算表'!F62</f>
        <v>0</v>
      </c>
      <c r="F47" s="184">
        <f ca="1">IF('17.财务费用测算表'!$C$53&gt;($C$44+$C$45)*5%,'17.财务费用测算表'!F53,(F44+F45)*5%)-'17.财务费用测算表'!F63</f>
        <v>0</v>
      </c>
      <c r="G47" s="184">
        <f ca="1">IF('17.财务费用测算表'!$C$53&gt;($C$44+$C$45)*5%,'17.财务费用测算表'!G53,(G44+G45)*5%)-'17.财务费用测算表'!F64</f>
        <v>0</v>
      </c>
      <c r="H47" s="184">
        <f ca="1">IF('17.财务费用测算表'!$C$53&gt;($C$44+$C$45)*5%,'17.财务费用测算表'!H53,(H44+H45)*5%)-'17.财务费用测算表'!F65</f>
        <v>0</v>
      </c>
      <c r="I47" s="184">
        <f ca="1">IF('17.财务费用测算表'!$C$53&gt;($C$44+$C$45)*5%,'17.财务费用测算表'!I53,(I44+I45)*5%)-'17.财务费用测算表'!F66</f>
        <v>0</v>
      </c>
      <c r="J47" s="184">
        <f ca="1">IF('17.财务费用测算表'!$C$53&gt;($C$44+$C$45)*5%,'17.财务费用测算表'!J53,(J44+J45)*5%)-'17.财务费用测算表'!F67</f>
        <v>0</v>
      </c>
      <c r="K47" s="184">
        <f ca="1">IF('17.财务费用测算表'!$C$53&gt;($C$44+$C$45)*5%,'17.财务费用测算表'!K53,(K44+K45)*5%)-'17.财务费用测算表'!F68</f>
        <v>0</v>
      </c>
      <c r="L47" s="184">
        <f ca="1">IF('17.财务费用测算表'!$C$53&gt;($C$44+$C$45)*5%,'17.财务费用测算表'!L53,(L44+L45)*5%)-'17.财务费用测算表'!F69</f>
        <v>0</v>
      </c>
      <c r="M47" s="90"/>
      <c r="N47" s="184">
        <f ca="1">IF('17.财务费用测算表'!$C$53&gt;($C$44+$C$45)*5%,'17.财务费用测算表'!N53,(N44+N45)*5%)-'17.财务费用测算表'!F71</f>
        <v>0</v>
      </c>
      <c r="O47" s="184">
        <f ca="1">IF('17.财务费用测算表'!$C$53&gt;($C$44+$C$45)*5%,'17.财务费用测算表'!O53,(O44+O45)*5%)-'17.财务费用测算表'!F72</f>
        <v>0</v>
      </c>
      <c r="P47" s="202">
        <f>IF($R$41="合并清算",0,SUMIF(D41:O41,"普",D47:O47))</f>
        <v>0</v>
      </c>
      <c r="Q47" s="211">
        <f>IF($R$41="合并清算",C47,IF($R$41="两分法",C47-P47,SUMIF(D41:O41,"非普",D47:O47)))</f>
        <v>0</v>
      </c>
      <c r="R47" s="211">
        <f t="shared" ca="1" si="38"/>
        <v>0</v>
      </c>
      <c r="S47" s="212"/>
      <c r="T47" s="85"/>
      <c r="U47" s="85"/>
      <c r="V47" s="85"/>
      <c r="W47" s="85"/>
      <c r="X47" s="85"/>
      <c r="Y47" s="85"/>
      <c r="Z47" s="85"/>
      <c r="AA47" s="85"/>
      <c r="AB47" s="85"/>
      <c r="AC47" s="85"/>
      <c r="AD47" s="85"/>
      <c r="AE47" s="85"/>
      <c r="AF47" s="85"/>
      <c r="AG47" s="85"/>
      <c r="AH47" s="85"/>
      <c r="AI47" s="85"/>
      <c r="AJ47" s="85"/>
      <c r="AK47" s="85"/>
      <c r="AL47" s="85"/>
      <c r="AM47" s="85"/>
      <c r="AN47" s="85"/>
      <c r="AO47" s="85"/>
      <c r="AP47" s="85"/>
      <c r="AQ47" s="85"/>
      <c r="AR47" s="85"/>
      <c r="AS47" s="85"/>
      <c r="AT47" s="85"/>
      <c r="AU47" s="85"/>
      <c r="AV47" s="85"/>
    </row>
    <row r="48" spans="1:48" s="75" customFormat="1" ht="15" hidden="1" customHeight="1">
      <c r="A48" s="1997"/>
      <c r="B48" s="165" t="s">
        <v>603</v>
      </c>
      <c r="C48" s="166">
        <f t="shared" si="39"/>
        <v>0</v>
      </c>
      <c r="D48" s="168">
        <f>(D44+D45)*5%</f>
        <v>0</v>
      </c>
      <c r="E48" s="168">
        <f t="shared" ref="E48:O48" si="40">(E44+E45)*5%</f>
        <v>0</v>
      </c>
      <c r="F48" s="168">
        <f t="shared" si="40"/>
        <v>0</v>
      </c>
      <c r="G48" s="168">
        <f t="shared" si="40"/>
        <v>0</v>
      </c>
      <c r="H48" s="168">
        <f t="shared" si="40"/>
        <v>0</v>
      </c>
      <c r="I48" s="168">
        <f t="shared" si="40"/>
        <v>0</v>
      </c>
      <c r="J48" s="168">
        <f t="shared" si="40"/>
        <v>0</v>
      </c>
      <c r="K48" s="168">
        <f t="shared" si="40"/>
        <v>0</v>
      </c>
      <c r="L48" s="168">
        <f t="shared" si="40"/>
        <v>0</v>
      </c>
      <c r="M48" s="90"/>
      <c r="N48" s="168">
        <f t="shared" si="40"/>
        <v>0</v>
      </c>
      <c r="O48" s="168">
        <f t="shared" si="40"/>
        <v>0</v>
      </c>
      <c r="P48" s="202">
        <f>IF($R$41="合并清算",0,SUMIF(D41:O41,"普",D48:O48))</f>
        <v>0</v>
      </c>
      <c r="Q48" s="211">
        <f>IF($R$41="合并清算",C48,IF($R$41="两分法",C48-P48,SUMIF(D41:O41,"非普",D48:O48)))</f>
        <v>0</v>
      </c>
      <c r="R48" s="211">
        <f t="shared" si="38"/>
        <v>0</v>
      </c>
      <c r="S48" s="212"/>
      <c r="T48" s="85"/>
      <c r="U48" s="85"/>
      <c r="V48" s="85"/>
      <c r="W48" s="85"/>
      <c r="X48" s="85"/>
      <c r="Y48" s="85"/>
      <c r="Z48" s="85"/>
      <c r="AA48" s="85"/>
      <c r="AB48" s="85"/>
      <c r="AC48" s="85"/>
      <c r="AD48" s="85"/>
      <c r="AE48" s="85"/>
      <c r="AF48" s="85"/>
      <c r="AG48" s="85"/>
      <c r="AH48" s="85"/>
      <c r="AI48" s="85"/>
      <c r="AJ48" s="85"/>
      <c r="AK48" s="85"/>
      <c r="AL48" s="85"/>
      <c r="AM48" s="85"/>
      <c r="AN48" s="85"/>
      <c r="AO48" s="85"/>
      <c r="AP48" s="85"/>
      <c r="AQ48" s="85"/>
      <c r="AR48" s="85"/>
      <c r="AS48" s="85"/>
      <c r="AT48" s="85"/>
      <c r="AU48" s="85"/>
      <c r="AV48" s="85"/>
    </row>
    <row r="49" spans="1:48" s="75" customFormat="1" ht="15" hidden="1" customHeight="1">
      <c r="A49" s="1997"/>
      <c r="B49" s="165" t="s">
        <v>604</v>
      </c>
      <c r="C49" s="166">
        <f t="shared" si="39"/>
        <v>0</v>
      </c>
      <c r="D49" s="168">
        <f>(D44+D45)*20%</f>
        <v>0</v>
      </c>
      <c r="E49" s="168">
        <f t="shared" ref="E49:R49" si="41">(E44+E45)*20%</f>
        <v>0</v>
      </c>
      <c r="F49" s="168">
        <f t="shared" si="41"/>
        <v>0</v>
      </c>
      <c r="G49" s="168">
        <f t="shared" si="41"/>
        <v>0</v>
      </c>
      <c r="H49" s="168">
        <f t="shared" si="41"/>
        <v>0</v>
      </c>
      <c r="I49" s="168">
        <f t="shared" si="41"/>
        <v>0</v>
      </c>
      <c r="J49" s="168">
        <f t="shared" si="41"/>
        <v>0</v>
      </c>
      <c r="K49" s="168">
        <f t="shared" si="41"/>
        <v>0</v>
      </c>
      <c r="L49" s="168">
        <f t="shared" si="41"/>
        <v>0</v>
      </c>
      <c r="M49" s="90"/>
      <c r="N49" s="168">
        <f t="shared" si="41"/>
        <v>0</v>
      </c>
      <c r="O49" s="168">
        <f t="shared" si="41"/>
        <v>0</v>
      </c>
      <c r="P49" s="202">
        <f t="shared" si="41"/>
        <v>0</v>
      </c>
      <c r="Q49" s="211">
        <f t="shared" si="41"/>
        <v>0</v>
      </c>
      <c r="R49" s="211">
        <f t="shared" si="41"/>
        <v>0</v>
      </c>
      <c r="S49" s="212"/>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c r="AR49" s="85"/>
      <c r="AS49" s="85"/>
      <c r="AT49" s="85"/>
      <c r="AU49" s="85"/>
      <c r="AV49" s="85"/>
    </row>
    <row r="50" spans="1:48" s="75" customFormat="1" ht="15" hidden="1" customHeight="1">
      <c r="A50" s="1997"/>
      <c r="B50" s="165" t="s">
        <v>605</v>
      </c>
      <c r="C50" s="166">
        <f t="shared" ca="1" si="39"/>
        <v>0</v>
      </c>
      <c r="D50" s="167">
        <f t="shared" ref="D50:R50" ca="1" si="42">SUM(D44:D49)</f>
        <v>0</v>
      </c>
      <c r="E50" s="168">
        <f t="shared" ca="1" si="42"/>
        <v>0</v>
      </c>
      <c r="F50" s="168">
        <f t="shared" ca="1" si="42"/>
        <v>0</v>
      </c>
      <c r="G50" s="168">
        <f t="shared" ca="1" si="42"/>
        <v>0</v>
      </c>
      <c r="H50" s="168">
        <f t="shared" ca="1" si="42"/>
        <v>0</v>
      </c>
      <c r="I50" s="168">
        <f t="shared" ca="1" si="42"/>
        <v>0</v>
      </c>
      <c r="J50" s="168">
        <f t="shared" ca="1" si="42"/>
        <v>0</v>
      </c>
      <c r="K50" s="168">
        <f t="shared" ca="1" si="42"/>
        <v>0</v>
      </c>
      <c r="L50" s="168">
        <f t="shared" ca="1" si="42"/>
        <v>0</v>
      </c>
      <c r="M50" s="90"/>
      <c r="N50" s="168">
        <f t="shared" ca="1" si="42"/>
        <v>0</v>
      </c>
      <c r="O50" s="189">
        <f t="shared" ca="1" si="42"/>
        <v>0</v>
      </c>
      <c r="P50" s="202">
        <f t="shared" si="42"/>
        <v>0</v>
      </c>
      <c r="Q50" s="211">
        <f t="shared" si="42"/>
        <v>0</v>
      </c>
      <c r="R50" s="211">
        <f t="shared" ca="1" si="42"/>
        <v>0</v>
      </c>
      <c r="S50" s="212"/>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c r="AR50" s="85"/>
      <c r="AS50" s="85"/>
      <c r="AT50" s="85"/>
      <c r="AU50" s="85"/>
      <c r="AV50" s="85"/>
    </row>
    <row r="51" spans="1:48" s="75" customFormat="1" ht="15" hidden="1" customHeight="1">
      <c r="A51" s="1997"/>
      <c r="B51" s="165" t="s">
        <v>419</v>
      </c>
      <c r="C51" s="166">
        <f t="shared" ca="1" si="39"/>
        <v>0</v>
      </c>
      <c r="D51" s="167">
        <f ca="1">D43-D50</f>
        <v>0</v>
      </c>
      <c r="E51" s="168">
        <f t="shared" ref="E51:R51" ca="1" si="43">E43-E50</f>
        <v>0</v>
      </c>
      <c r="F51" s="168">
        <f t="shared" ca="1" si="43"/>
        <v>0</v>
      </c>
      <c r="G51" s="168">
        <f t="shared" ca="1" si="43"/>
        <v>0</v>
      </c>
      <c r="H51" s="168">
        <f t="shared" ca="1" si="43"/>
        <v>0</v>
      </c>
      <c r="I51" s="168">
        <f t="shared" ca="1" si="43"/>
        <v>0</v>
      </c>
      <c r="J51" s="168">
        <f t="shared" ca="1" si="43"/>
        <v>0</v>
      </c>
      <c r="K51" s="168">
        <f t="shared" ca="1" si="43"/>
        <v>0</v>
      </c>
      <c r="L51" s="168">
        <f t="shared" ca="1" si="43"/>
        <v>0</v>
      </c>
      <c r="M51" s="90"/>
      <c r="N51" s="168">
        <f t="shared" ca="1" si="43"/>
        <v>0</v>
      </c>
      <c r="O51" s="189">
        <f t="shared" ca="1" si="43"/>
        <v>0</v>
      </c>
      <c r="P51" s="202">
        <f t="shared" si="43"/>
        <v>0</v>
      </c>
      <c r="Q51" s="211">
        <f t="shared" si="43"/>
        <v>0</v>
      </c>
      <c r="R51" s="211">
        <f t="shared" ca="1" si="43"/>
        <v>0</v>
      </c>
      <c r="S51" s="212"/>
      <c r="T51" s="85"/>
      <c r="U51" s="85"/>
      <c r="V51" s="85"/>
      <c r="W51" s="85"/>
      <c r="X51" s="85"/>
      <c r="Y51" s="85"/>
      <c r="Z51" s="85"/>
      <c r="AA51" s="85"/>
      <c r="AB51" s="85"/>
      <c r="AC51" s="85"/>
      <c r="AD51" s="85"/>
      <c r="AE51" s="85"/>
      <c r="AF51" s="85"/>
      <c r="AG51" s="85"/>
      <c r="AH51" s="85"/>
      <c r="AI51" s="85"/>
      <c r="AJ51" s="85"/>
      <c r="AK51" s="85"/>
      <c r="AL51" s="85"/>
      <c r="AM51" s="85"/>
      <c r="AN51" s="85"/>
      <c r="AO51" s="85"/>
      <c r="AP51" s="85"/>
      <c r="AQ51" s="85"/>
      <c r="AR51" s="85"/>
      <c r="AS51" s="85"/>
      <c r="AT51" s="85"/>
      <c r="AU51" s="85"/>
      <c r="AV51" s="85"/>
    </row>
    <row r="52" spans="1:48" s="75" customFormat="1" ht="15" hidden="1" customHeight="1">
      <c r="A52" s="1997"/>
      <c r="B52" s="165" t="s">
        <v>420</v>
      </c>
      <c r="C52" s="173">
        <f ca="1">IF(C50&lt;&gt;0,C51/C50,0)</f>
        <v>0</v>
      </c>
      <c r="D52" s="174">
        <f ca="1">IF(D50&lt;&gt;0,D51/D50,0)</f>
        <v>0</v>
      </c>
      <c r="E52" s="175">
        <f t="shared" ref="E52:R52" ca="1" si="44">IF(E50&lt;&gt;0,E51/E50,0)</f>
        <v>0</v>
      </c>
      <c r="F52" s="175">
        <f t="shared" ca="1" si="44"/>
        <v>0</v>
      </c>
      <c r="G52" s="175">
        <f t="shared" ca="1" si="44"/>
        <v>0</v>
      </c>
      <c r="H52" s="175">
        <f t="shared" ca="1" si="44"/>
        <v>0</v>
      </c>
      <c r="I52" s="175">
        <f t="shared" ca="1" si="44"/>
        <v>0</v>
      </c>
      <c r="J52" s="175">
        <f t="shared" ca="1" si="44"/>
        <v>0</v>
      </c>
      <c r="K52" s="175">
        <f t="shared" ca="1" si="44"/>
        <v>0</v>
      </c>
      <c r="L52" s="175">
        <f t="shared" ca="1" si="44"/>
        <v>0</v>
      </c>
      <c r="M52" s="175">
        <f t="shared" si="44"/>
        <v>0</v>
      </c>
      <c r="N52" s="175">
        <f t="shared" ca="1" si="44"/>
        <v>0</v>
      </c>
      <c r="O52" s="192">
        <f t="shared" ca="1" si="44"/>
        <v>0</v>
      </c>
      <c r="P52" s="203">
        <f t="shared" si="44"/>
        <v>0</v>
      </c>
      <c r="Q52" s="213">
        <f t="shared" si="44"/>
        <v>0</v>
      </c>
      <c r="R52" s="213">
        <f t="shared" ca="1" si="44"/>
        <v>0</v>
      </c>
      <c r="S52" s="214"/>
      <c r="T52" s="85"/>
      <c r="U52" s="85"/>
      <c r="V52" s="85"/>
      <c r="W52" s="85"/>
      <c r="X52" s="85"/>
      <c r="Y52" s="85"/>
      <c r="Z52" s="85"/>
      <c r="AA52" s="85"/>
      <c r="AB52" s="85"/>
      <c r="AC52" s="85"/>
      <c r="AD52" s="85"/>
      <c r="AE52" s="85"/>
      <c r="AF52" s="85"/>
      <c r="AG52" s="85"/>
      <c r="AH52" s="85"/>
      <c r="AI52" s="85"/>
      <c r="AJ52" s="85"/>
      <c r="AK52" s="85"/>
      <c r="AL52" s="85"/>
      <c r="AM52" s="85"/>
      <c r="AN52" s="85"/>
      <c r="AO52" s="85"/>
      <c r="AP52" s="85"/>
      <c r="AQ52" s="85"/>
      <c r="AR52" s="85"/>
      <c r="AS52" s="85"/>
      <c r="AT52" s="85"/>
      <c r="AU52" s="85"/>
      <c r="AV52" s="85"/>
    </row>
    <row r="53" spans="1:48" s="75" customFormat="1" ht="15" hidden="1" customHeight="1">
      <c r="A53" s="1997"/>
      <c r="B53" s="165" t="s">
        <v>606</v>
      </c>
      <c r="C53" s="166" t="s">
        <v>607</v>
      </c>
      <c r="D53" s="174">
        <f>IF(OR(D41="非普",D41="其他"),IF(D52&lt;=0,0,IF(D52&lt;=0.5,0.3,IF(D52&lt;=1,0.4,IF(D52&lt;=2,0.5,0.6)))),IF(D41="普",IF(D52&lt;=0.2,0,IF(D52&lt;=0.5,0.3,IF(D52&lt;=1,0.4,IF(D52&lt;=2,0.5,0.6)))),0))</f>
        <v>0</v>
      </c>
      <c r="E53" s="175">
        <f t="shared" ref="E53" si="45">IF(OR(E41="非普",E41="其他"),IF(E52&lt;=0,0,IF(E52&lt;=0.5,0.3,IF(E52&lt;=1,0.4,IF(E52&lt;=2,0.5,0.6)))),IF(E41="普",IF(E52&lt;=0.2,0,IF(E52&lt;=0.5,0.3,IF(E52&lt;=1,0.4,IF(E52&lt;=2,0.5,0.6)))),0))</f>
        <v>0</v>
      </c>
      <c r="F53" s="175">
        <f t="shared" ref="F53" si="46">IF(OR(F41="非普",F41="其他"),IF(F52&lt;=0,0,IF(F52&lt;=0.5,0.3,IF(F52&lt;=1,0.4,IF(F52&lt;=2,0.5,0.6)))),IF(F41="普",IF(F52&lt;=0.2,0,IF(F52&lt;=0.5,0.3,IF(F52&lt;=1,0.4,IF(F52&lt;=2,0.5,0.6)))),0))</f>
        <v>0</v>
      </c>
      <c r="G53" s="175">
        <f t="shared" ref="G53" si="47">IF(OR(G41="非普",G41="其他"),IF(G52&lt;=0,0,IF(G52&lt;=0.5,0.3,IF(G52&lt;=1,0.4,IF(G52&lt;=2,0.5,0.6)))),IF(G41="普",IF(G52&lt;=0.2,0,IF(G52&lt;=0.5,0.3,IF(G52&lt;=1,0.4,IF(G52&lt;=2,0.5,0.6)))),0))</f>
        <v>0</v>
      </c>
      <c r="H53" s="175">
        <f t="shared" ref="H53" si="48">IF(OR(H41="非普",H41="其他"),IF(H52&lt;=0,0,IF(H52&lt;=0.5,0.3,IF(H52&lt;=1,0.4,IF(H52&lt;=2,0.5,0.6)))),IF(H41="普",IF(H52&lt;=0.2,0,IF(H52&lt;=0.5,0.3,IF(H52&lt;=1,0.4,IF(H52&lt;=2,0.5,0.6)))),0))</f>
        <v>0</v>
      </c>
      <c r="I53" s="175">
        <f t="shared" ref="I53" si="49">IF(OR(I41="非普",I41="其他"),IF(I52&lt;=0,0,IF(I52&lt;=0.5,0.3,IF(I52&lt;=1,0.4,IF(I52&lt;=2,0.5,0.6)))),IF(I41="普",IF(I52&lt;=0.2,0,IF(I52&lt;=0.5,0.3,IF(I52&lt;=1,0.4,IF(I52&lt;=2,0.5,0.6)))),0))</f>
        <v>0</v>
      </c>
      <c r="J53" s="175">
        <f t="shared" ref="J53" si="50">IF(OR(J41="非普",J41="其他"),IF(J52&lt;=0,0,IF(J52&lt;=0.5,0.3,IF(J52&lt;=1,0.4,IF(J52&lt;=2,0.5,0.6)))),IF(J41="普",IF(J52&lt;=0.2,0,IF(J52&lt;=0.5,0.3,IF(J52&lt;=1,0.4,IF(J52&lt;=2,0.5,0.6)))),0))</f>
        <v>0</v>
      </c>
      <c r="K53" s="175">
        <f t="shared" ref="K53" si="51">IF(OR(K41="非普",K41="其他"),IF(K52&lt;=0,0,IF(K52&lt;=0.5,0.3,IF(K52&lt;=1,0.4,IF(K52&lt;=2,0.5,0.6)))),IF(K41="普",IF(K52&lt;=0.2,0,IF(K52&lt;=0.5,0.3,IF(K52&lt;=1,0.4,IF(K52&lt;=2,0.5,0.6)))),0))</f>
        <v>0</v>
      </c>
      <c r="L53" s="175">
        <f t="shared" ref="L53" si="52">IF(OR(L41="非普",L41="其他"),IF(L52&lt;=0,0,IF(L52&lt;=0.5,0.3,IF(L52&lt;=1,0.4,IF(L52&lt;=2,0.5,0.6)))),IF(L41="普",IF(L52&lt;=0.2,0,IF(L52&lt;=0.5,0.3,IF(L52&lt;=1,0.4,IF(L52&lt;=2,0.5,0.6)))),0))</f>
        <v>0</v>
      </c>
      <c r="M53" s="175">
        <f t="shared" ref="M53" si="53">IF(OR(M41="非普",M41="其他"),IF(M52&lt;=0,0,IF(M52&lt;=0.5,0.3,IF(M52&lt;=1,0.4,IF(M52&lt;=2,0.5,0.6)))),IF(M41="普",IF(M52&lt;=0.2,0,IF(M52&lt;=0.5,0.3,IF(M52&lt;=1,0.4,IF(M52&lt;=2,0.5,0.6)))),0))</f>
        <v>0</v>
      </c>
      <c r="N53" s="175">
        <f t="shared" ref="N53:O53" si="54">IF(OR(N41="非普",N41="其他"),IF(N52&lt;=0,0,IF(N52&lt;=0.5,0.3,IF(N52&lt;=1,0.4,IF(N52&lt;=2,0.5,0.6)))),IF(N41="普",IF(N52&lt;=0.2,0,IF(N52&lt;=0.5,0.3,IF(N52&lt;=1,0.4,IF(N52&lt;=2,0.5,0.6)))),0))</f>
        <v>0</v>
      </c>
      <c r="O53" s="192">
        <f t="shared" si="54"/>
        <v>0</v>
      </c>
      <c r="P53" s="204">
        <f>IF(P52&lt;=0.2,0,IF(P52&lt;=0.5,0.3,IF(P52&lt;=1,0.4,IF(P52&lt;=2,0.5,0.6))))</f>
        <v>0</v>
      </c>
      <c r="Q53" s="215">
        <f>IF(Q52&lt;=0,0,IF(Q52&lt;=0.5,0.3,IF(Q52&lt;=1,0.4,IF(Q52&lt;=2,0.5,0.6))))</f>
        <v>0</v>
      </c>
      <c r="R53" s="215">
        <f ca="1">IF(R52&lt;=0,0,IF(R52&lt;=0.5,0.3,IF(R52&lt;=1,0.4,IF(R52&lt;=2,0.5,0.6))))</f>
        <v>0</v>
      </c>
      <c r="S53" s="216"/>
      <c r="T53" s="85"/>
      <c r="U53" s="85"/>
      <c r="V53" s="85"/>
      <c r="W53" s="85"/>
      <c r="X53" s="85"/>
      <c r="Y53" s="85"/>
      <c r="Z53" s="85"/>
      <c r="AA53" s="85"/>
      <c r="AB53" s="85"/>
      <c r="AC53" s="85"/>
      <c r="AD53" s="85"/>
      <c r="AE53" s="85"/>
      <c r="AF53" s="85"/>
      <c r="AG53" s="85"/>
      <c r="AH53" s="85"/>
      <c r="AI53" s="85"/>
      <c r="AJ53" s="85"/>
      <c r="AK53" s="85"/>
      <c r="AL53" s="85"/>
      <c r="AM53" s="85"/>
      <c r="AN53" s="85"/>
      <c r="AO53" s="85"/>
      <c r="AP53" s="85"/>
      <c r="AQ53" s="85"/>
      <c r="AR53" s="85"/>
      <c r="AS53" s="85"/>
      <c r="AT53" s="85"/>
      <c r="AU53" s="85"/>
      <c r="AV53" s="85"/>
    </row>
    <row r="54" spans="1:48" s="75" customFormat="1" ht="15" hidden="1" customHeight="1">
      <c r="A54" s="1997"/>
      <c r="B54" s="165" t="s">
        <v>608</v>
      </c>
      <c r="C54" s="166" t="s">
        <v>607</v>
      </c>
      <c r="D54" s="176">
        <f>IF(D53=0.4,0.05,IF(D53=0.5,0.15,IF(D53=0.6,0.35,0)))</f>
        <v>0</v>
      </c>
      <c r="E54" s="177">
        <f t="shared" ref="E54:R54" si="55">IF(E53=0.4,0.05,IF(E53=0.5,0.15,IF(E53=0.6,0.35,0)))</f>
        <v>0</v>
      </c>
      <c r="F54" s="177">
        <f t="shared" si="55"/>
        <v>0</v>
      </c>
      <c r="G54" s="177">
        <f t="shared" si="55"/>
        <v>0</v>
      </c>
      <c r="H54" s="177">
        <f t="shared" si="55"/>
        <v>0</v>
      </c>
      <c r="I54" s="177">
        <f t="shared" si="55"/>
        <v>0</v>
      </c>
      <c r="J54" s="177">
        <f t="shared" si="55"/>
        <v>0</v>
      </c>
      <c r="K54" s="177">
        <f t="shared" si="55"/>
        <v>0</v>
      </c>
      <c r="L54" s="177">
        <f t="shared" si="55"/>
        <v>0</v>
      </c>
      <c r="M54" s="177">
        <f t="shared" si="55"/>
        <v>0</v>
      </c>
      <c r="N54" s="177">
        <f t="shared" si="55"/>
        <v>0</v>
      </c>
      <c r="O54" s="195">
        <f t="shared" si="55"/>
        <v>0</v>
      </c>
      <c r="P54" s="204">
        <f t="shared" si="55"/>
        <v>0</v>
      </c>
      <c r="Q54" s="215">
        <f t="shared" si="55"/>
        <v>0</v>
      </c>
      <c r="R54" s="215">
        <f t="shared" ca="1" si="55"/>
        <v>0</v>
      </c>
      <c r="S54" s="216"/>
      <c r="T54" s="85"/>
      <c r="U54" s="85"/>
      <c r="V54" s="85"/>
      <c r="W54" s="85"/>
      <c r="X54" s="85"/>
      <c r="Y54" s="85"/>
      <c r="Z54" s="85"/>
      <c r="AA54" s="85"/>
      <c r="AB54" s="85"/>
      <c r="AC54" s="85"/>
      <c r="AD54" s="85"/>
      <c r="AE54" s="85"/>
      <c r="AF54" s="85"/>
      <c r="AG54" s="85"/>
      <c r="AH54" s="85"/>
      <c r="AI54" s="85"/>
      <c r="AJ54" s="85"/>
      <c r="AK54" s="85"/>
      <c r="AL54" s="85"/>
      <c r="AM54" s="85"/>
      <c r="AN54" s="85"/>
      <c r="AO54" s="85"/>
      <c r="AP54" s="85"/>
      <c r="AQ54" s="85"/>
      <c r="AR54" s="85"/>
      <c r="AS54" s="85"/>
      <c r="AT54" s="85"/>
      <c r="AU54" s="85"/>
      <c r="AV54" s="85"/>
    </row>
    <row r="55" spans="1:48" s="75" customFormat="1" ht="15" hidden="1" customHeight="1">
      <c r="A55" s="1997"/>
      <c r="B55" s="165" t="s">
        <v>937</v>
      </c>
      <c r="C55" s="166">
        <f ca="1">SUM(D55:O55)</f>
        <v>0</v>
      </c>
      <c r="D55" s="167">
        <f ca="1">D57-D56</f>
        <v>0</v>
      </c>
      <c r="E55" s="168">
        <f t="shared" ref="E55:P55" ca="1" si="56">E57-E56</f>
        <v>0</v>
      </c>
      <c r="F55" s="168">
        <f t="shared" ca="1" si="56"/>
        <v>0</v>
      </c>
      <c r="G55" s="168">
        <f t="shared" ca="1" si="56"/>
        <v>0</v>
      </c>
      <c r="H55" s="168">
        <f t="shared" ca="1" si="56"/>
        <v>0</v>
      </c>
      <c r="I55" s="168">
        <f t="shared" ca="1" si="56"/>
        <v>0</v>
      </c>
      <c r="J55" s="168">
        <f t="shared" ca="1" si="56"/>
        <v>0</v>
      </c>
      <c r="K55" s="168">
        <f t="shared" ca="1" si="56"/>
        <v>0</v>
      </c>
      <c r="L55" s="168">
        <f t="shared" ca="1" si="56"/>
        <v>0</v>
      </c>
      <c r="M55" s="168">
        <f t="shared" ca="1" si="56"/>
        <v>0</v>
      </c>
      <c r="N55" s="168">
        <f t="shared" ca="1" si="56"/>
        <v>0</v>
      </c>
      <c r="O55" s="189">
        <f t="shared" ca="1" si="56"/>
        <v>0</v>
      </c>
      <c r="P55" s="202">
        <f t="shared" si="56"/>
        <v>0</v>
      </c>
      <c r="Q55" s="202">
        <f t="shared" ref="Q55:R55" si="57">Q57-Q56</f>
        <v>0</v>
      </c>
      <c r="R55" s="202">
        <f t="shared" ca="1" si="57"/>
        <v>0</v>
      </c>
      <c r="S55" s="212"/>
      <c r="T55" s="85"/>
      <c r="U55" s="85"/>
      <c r="V55" s="85"/>
      <c r="W55" s="85"/>
      <c r="X55" s="85"/>
      <c r="Y55" s="85"/>
      <c r="Z55" s="85"/>
      <c r="AA55" s="85"/>
      <c r="AB55" s="85"/>
      <c r="AC55" s="85"/>
      <c r="AD55" s="85"/>
      <c r="AE55" s="85"/>
      <c r="AF55" s="85"/>
      <c r="AG55" s="85"/>
      <c r="AH55" s="85"/>
      <c r="AI55" s="85"/>
      <c r="AJ55" s="85"/>
      <c r="AK55" s="85"/>
      <c r="AL55" s="85"/>
      <c r="AM55" s="85"/>
      <c r="AN55" s="85"/>
      <c r="AO55" s="85"/>
      <c r="AP55" s="85"/>
      <c r="AQ55" s="85"/>
      <c r="AR55" s="85"/>
      <c r="AS55" s="85"/>
      <c r="AT55" s="85"/>
      <c r="AU55" s="85"/>
      <c r="AV55" s="85"/>
    </row>
    <row r="56" spans="1:48" s="75" customFormat="1" ht="15" hidden="1" customHeight="1">
      <c r="A56" s="1997"/>
      <c r="B56" s="165" t="s">
        <v>610</v>
      </c>
      <c r="C56" s="166">
        <f>SUM(D56:O56)</f>
        <v>0</v>
      </c>
      <c r="D56" s="178">
        <f>IF(D41="普",'11.销售及回款表'!D228/1.1*'2.税率表'!$D$20,IF(D41="非普",'11.销售及回款表'!D228/1.1*'2.税率表'!$D$21,IF(D41="其他",'11.销售及回款表'!D228/1.1*'2.税率表'!$D$22,0)))</f>
        <v>0</v>
      </c>
      <c r="E56" s="179">
        <f>IF(E41="普",'11.销售及回款表'!D233/1.1*'2.税率表'!$D$20,IF(E41="非普",'11.销售及回款表'!D233/1.1*'2.税率表'!$D$21,IF(E41="其他",'11.销售及回款表'!D233/1.1*'2.税率表'!$D$22,0)))</f>
        <v>0</v>
      </c>
      <c r="F56" s="179">
        <f>IF(F41="普",'11.销售及回款表'!D238/1.1*'2.税率表'!$D$20,IF(F41="非普",'11.销售及回款表'!D238/1.1*'2.税率表'!$D$21,IF(F41="其他",'11.销售及回款表'!D238/1.1*'2.税率表'!$D$22,0)))</f>
        <v>0</v>
      </c>
      <c r="G56" s="179">
        <f>IF(G41="普",'11.销售及回款表'!D243/1.1*'2.税率表'!$D$20,IF(G41="非普",'11.销售及回款表'!D243/1.1*'2.税率表'!$D$21,IF(G41="其他",'11.销售及回款表'!D243/1.1*'2.税率表'!$D$22,0)))</f>
        <v>0</v>
      </c>
      <c r="H56" s="179">
        <f>IF(H41="普",'11.销售及回款表'!D248/1.1*'2.税率表'!$D$20,IF(H41="非普",'11.销售及回款表'!D248/1.1*'2.税率表'!$D$21,IF(H41="其他",'11.销售及回款表'!D248/1.1*'2.税率表'!$D$22,0)))</f>
        <v>0</v>
      </c>
      <c r="I56" s="179">
        <f>IF(I41="普",'11.销售及回款表'!D253/1.1*'2.税率表'!$D$20,IF(I41="非普",'11.销售及回款表'!D253/1.1*'2.税率表'!$D$21,IF(I41="其他",'11.销售及回款表'!D253/1.1*'2.税率表'!$D$22,0)))</f>
        <v>0</v>
      </c>
      <c r="J56" s="179">
        <f>IF(J41="普",'11.销售及回款表'!D258/1.1*'2.税率表'!$D$20,IF(J41="非普",'11.销售及回款表'!D258/1.1*'2.税率表'!$D$21,IF(J41="其他",'11.销售及回款表'!D258/1.1*'2.税率表'!$D$22,0)))</f>
        <v>0</v>
      </c>
      <c r="K56" s="179">
        <f>IF(K41="普",'11.销售及回款表'!D263/1.1*'2.税率表'!$D$20,IF(K41="非普",'11.销售及回款表'!D263/1.1*'2.税率表'!$D$21,IF(K41="其他",'11.销售及回款表'!D263/1.1*'2.税率表'!$D$22,0)))</f>
        <v>0</v>
      </c>
      <c r="L56" s="179">
        <f>IF(L41="普",'11.销售及回款表'!D268/1.1*'2.税率表'!$D$20,IF(L41="非普",'11.销售及回款表'!D268/1.1*'2.税率表'!$D$21,IF(L41="其他",'11.销售及回款表'!D268/1.1*'2.税率表'!$D$22,0)))</f>
        <v>0</v>
      </c>
      <c r="M56" s="179">
        <f>IF(M41="普",'11.销售及回款表'!D273/1.1*'2.税率表'!$D$20,IF(M41="非普",'11.销售及回款表'!D273/1.1*'2.税率表'!$D$21,IF(M41="其他",'11.销售及回款表'!D273/1.1*'2.税率表'!$D$22,0)))</f>
        <v>0</v>
      </c>
      <c r="N56" s="168">
        <f>IF(N41="普",N43*'2.税率表'!$D$20,IF(N41="非普",N43*'2.税率表'!$D$21,IF(N41="其他",N43*'2.税率表'!$D$22,0)))</f>
        <v>0</v>
      </c>
      <c r="O56" s="189">
        <f>IF(O41="普",O43*'2.税率表'!$D$20,IF(O41="非普",O43*'2.税率表'!$D$21,IF(O41="其他",O43*'2.税率表'!$D$22,0)))</f>
        <v>0</v>
      </c>
      <c r="P56" s="202">
        <f>P43*'2.税率表'!$D$20</f>
        <v>0</v>
      </c>
      <c r="Q56" s="211">
        <f>Q43*'2.税率表'!$D$21</f>
        <v>0</v>
      </c>
      <c r="R56" s="211">
        <f>R43*'2.税率表'!$D$22</f>
        <v>0</v>
      </c>
      <c r="S56" s="212"/>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row>
    <row r="57" spans="1:48" s="75" customFormat="1" ht="15" hidden="1" customHeight="1">
      <c r="A57" s="1997"/>
      <c r="B57" s="165" t="s">
        <v>609</v>
      </c>
      <c r="C57" s="180">
        <f ca="1">IFERROR(SUM(D57:O57),0)</f>
        <v>0</v>
      </c>
      <c r="D57" s="181">
        <f ca="1">IFERROR(IF($R41="合并清算",$Q57/$Q43*D43,IF(($R41="两分法")*(D41="普"),$P57/$P43*D43,IF(($R41="两分法")*(D41="非普"),$Q57/$Q43*D43,IF(($R41="两分法")*(D41="其他"),$Q57/$Q43*D43,IF(D41="普",$P57/$P43*D43,IF(D41="非普",$Q57/$Q43*D43,$R57/$R43*D43)))))),0)</f>
        <v>0</v>
      </c>
      <c r="E57" s="182">
        <f t="shared" ref="E57:O57" ca="1" si="58">IFERROR(IF($R41="合并清算",$Q57/$Q43*E43,IF(($R41="两分法")*(E41="普"),$P57/$P43*E43,IF(($R41="两分法")*(E41="非普"),$Q57/$Q43*E43,IF(($R41="两分法")*(E41="其他"),$Q57/$Q43*E43,IF(E41="普",$P57/$P43*E43,IF(E41="非普",$Q57/$Q43*E43,$R57/$R43*E43)))))),0)</f>
        <v>0</v>
      </c>
      <c r="F57" s="182">
        <f t="shared" ca="1" si="58"/>
        <v>0</v>
      </c>
      <c r="G57" s="182">
        <f t="shared" ca="1" si="58"/>
        <v>0</v>
      </c>
      <c r="H57" s="182">
        <f t="shared" ca="1" si="58"/>
        <v>0</v>
      </c>
      <c r="I57" s="182">
        <f t="shared" ca="1" si="58"/>
        <v>0</v>
      </c>
      <c r="J57" s="182">
        <f t="shared" ca="1" si="58"/>
        <v>0</v>
      </c>
      <c r="K57" s="182">
        <f t="shared" ca="1" si="58"/>
        <v>0</v>
      </c>
      <c r="L57" s="182">
        <f t="shared" ca="1" si="58"/>
        <v>0</v>
      </c>
      <c r="M57" s="182">
        <f t="shared" ca="1" si="58"/>
        <v>0</v>
      </c>
      <c r="N57" s="182">
        <f t="shared" ca="1" si="58"/>
        <v>0</v>
      </c>
      <c r="O57" s="199">
        <f t="shared" ca="1" si="58"/>
        <v>0</v>
      </c>
      <c r="P57" s="205">
        <f>P51*P53-P50*P54</f>
        <v>0</v>
      </c>
      <c r="Q57" s="205">
        <f t="shared" ref="Q57:R57" si="59">Q51*Q53-Q50*Q54</f>
        <v>0</v>
      </c>
      <c r="R57" s="205">
        <f t="shared" ca="1" si="59"/>
        <v>0</v>
      </c>
      <c r="S57" s="212"/>
      <c r="T57" s="85"/>
      <c r="U57" s="85"/>
      <c r="V57" s="85"/>
      <c r="W57" s="85"/>
      <c r="X57" s="85"/>
      <c r="Y57" s="85"/>
      <c r="Z57" s="85"/>
      <c r="AA57" s="85"/>
      <c r="AB57" s="85"/>
      <c r="AC57" s="85"/>
      <c r="AD57" s="85"/>
      <c r="AE57" s="85"/>
      <c r="AF57" s="85"/>
      <c r="AG57" s="85"/>
      <c r="AH57" s="85"/>
      <c r="AI57" s="85"/>
      <c r="AJ57" s="85"/>
      <c r="AK57" s="85"/>
      <c r="AL57" s="85"/>
      <c r="AM57" s="85"/>
      <c r="AN57" s="85"/>
      <c r="AO57" s="85"/>
      <c r="AP57" s="85"/>
      <c r="AQ57" s="85"/>
      <c r="AR57" s="85"/>
      <c r="AS57" s="85"/>
      <c r="AT57" s="85"/>
      <c r="AU57" s="85"/>
      <c r="AV57" s="85"/>
    </row>
    <row r="58" spans="1:48" hidden="1">
      <c r="A58" s="78"/>
      <c r="B58" s="78"/>
      <c r="C58" s="78"/>
      <c r="D58" s="78"/>
      <c r="E58" s="78"/>
      <c r="F58" s="78"/>
      <c r="G58" s="78"/>
      <c r="H58" s="78"/>
      <c r="I58" s="78"/>
      <c r="J58" s="78"/>
      <c r="K58" s="78"/>
      <c r="L58" s="78"/>
      <c r="M58" s="78"/>
      <c r="N58" s="78"/>
      <c r="O58" s="78"/>
      <c r="P58" s="78"/>
      <c r="Q58" s="78"/>
      <c r="R58" s="115"/>
      <c r="S58" s="115"/>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row>
    <row r="59" spans="1:48" ht="15" hidden="1" customHeight="1">
      <c r="A59" s="156"/>
      <c r="B59" s="156"/>
      <c r="C59" s="157" t="s">
        <v>596</v>
      </c>
      <c r="D59" s="183"/>
      <c r="E59" s="160"/>
      <c r="F59" s="160"/>
      <c r="G59" s="160"/>
      <c r="H59" s="160"/>
      <c r="I59" s="160"/>
      <c r="J59" s="160"/>
      <c r="K59" s="160"/>
      <c r="L59" s="160"/>
      <c r="M59" s="160"/>
      <c r="N59" s="160"/>
      <c r="O59" s="186"/>
      <c r="P59" s="1992" t="s">
        <v>597</v>
      </c>
      <c r="Q59" s="1991"/>
      <c r="R59" s="221" t="s">
        <v>938</v>
      </c>
      <c r="S59" s="209"/>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c r="AT59" s="78"/>
      <c r="AU59" s="78"/>
      <c r="AV59" s="78"/>
    </row>
    <row r="60" spans="1:48" s="75" customFormat="1" ht="15" hidden="1" customHeight="1">
      <c r="A60" s="161" t="s">
        <v>598</v>
      </c>
      <c r="B60" s="161" t="s">
        <v>183</v>
      </c>
      <c r="C60" s="162" t="s">
        <v>599</v>
      </c>
      <c r="D60" s="163" t="str">
        <f>D42</f>
        <v>高层</v>
      </c>
      <c r="E60" s="164" t="str">
        <f t="shared" ref="E60:O60" si="60">E42</f>
        <v>商铺</v>
      </c>
      <c r="F60" s="164" t="str">
        <f t="shared" si="60"/>
        <v>回迁商业</v>
      </c>
      <c r="G60" s="164">
        <f t="shared" si="60"/>
        <v>0</v>
      </c>
      <c r="H60" s="164">
        <f t="shared" si="60"/>
        <v>0</v>
      </c>
      <c r="I60" s="164">
        <f t="shared" si="60"/>
        <v>0</v>
      </c>
      <c r="J60" s="164">
        <f t="shared" si="60"/>
        <v>0</v>
      </c>
      <c r="K60" s="164">
        <f t="shared" si="60"/>
        <v>0</v>
      </c>
      <c r="L60" s="164">
        <f t="shared" si="60"/>
        <v>0</v>
      </c>
      <c r="M60" s="164" t="str">
        <f t="shared" si="60"/>
        <v>自持物业</v>
      </c>
      <c r="N60" s="164" t="str">
        <f t="shared" si="60"/>
        <v>有产权车库(个)</v>
      </c>
      <c r="O60" s="187" t="str">
        <f t="shared" si="60"/>
        <v>无产权车库(个)</v>
      </c>
      <c r="P60" s="201" t="s">
        <v>600</v>
      </c>
      <c r="Q60" s="161" t="s">
        <v>601</v>
      </c>
      <c r="R60" s="161" t="s">
        <v>164</v>
      </c>
      <c r="S60" s="210"/>
      <c r="T60" s="85"/>
      <c r="U60" s="85"/>
      <c r="V60" s="85"/>
      <c r="W60" s="85"/>
      <c r="X60" s="85"/>
      <c r="Y60" s="85"/>
      <c r="Z60" s="85"/>
      <c r="AA60" s="85"/>
      <c r="AB60" s="85"/>
      <c r="AC60" s="85"/>
      <c r="AD60" s="85"/>
      <c r="AE60" s="85"/>
      <c r="AF60" s="85"/>
      <c r="AG60" s="85"/>
      <c r="AH60" s="85"/>
      <c r="AI60" s="85"/>
      <c r="AJ60" s="85"/>
      <c r="AK60" s="85"/>
      <c r="AL60" s="85"/>
      <c r="AM60" s="85"/>
      <c r="AN60" s="85"/>
      <c r="AO60" s="85"/>
      <c r="AP60" s="85"/>
      <c r="AQ60" s="85"/>
      <c r="AR60" s="85"/>
      <c r="AS60" s="85"/>
      <c r="AT60" s="85"/>
      <c r="AU60" s="85"/>
      <c r="AV60" s="85"/>
    </row>
    <row r="61" spans="1:48" s="75" customFormat="1" ht="15" hidden="1" customHeight="1">
      <c r="A61" s="1998" t="s">
        <v>22</v>
      </c>
      <c r="B61" s="165" t="s">
        <v>454</v>
      </c>
      <c r="C61" s="166">
        <f>SUM(D61:O61)</f>
        <v>0</v>
      </c>
      <c r="D61" s="167">
        <f>'11.销售及回款表'!D298/1.1+D163+'12.土地成本表'!G72</f>
        <v>0</v>
      </c>
      <c r="E61" s="168">
        <f>'11.销售及回款表'!D303/1.1+E163+'12.土地成本表'!G73</f>
        <v>0</v>
      </c>
      <c r="F61" s="168">
        <f>'11.销售及回款表'!D308/1.1+F163+'12.土地成本表'!G74</f>
        <v>0</v>
      </c>
      <c r="G61" s="168">
        <f>'11.销售及回款表'!D313/1.1+G163+'12.土地成本表'!G75</f>
        <v>0</v>
      </c>
      <c r="H61" s="168">
        <f>'11.销售及回款表'!D318/1.1+H163+'12.土地成本表'!G76</f>
        <v>0</v>
      </c>
      <c r="I61" s="168">
        <f>'11.销售及回款表'!D323/1.1+I163+'12.土地成本表'!G77</f>
        <v>0</v>
      </c>
      <c r="J61" s="168">
        <f>'11.销售及回款表'!D328/1.1+J163+'12.土地成本表'!G78</f>
        <v>0</v>
      </c>
      <c r="K61" s="168">
        <f>'11.销售及回款表'!D333/1.1+K163+'12.土地成本表'!G79</f>
        <v>0</v>
      </c>
      <c r="L61" s="168">
        <f>'11.销售及回款表'!D338/1.1+L163+'12.土地成本表'!G80</f>
        <v>0</v>
      </c>
      <c r="M61" s="90"/>
      <c r="N61" s="168">
        <f>'11.销售及回款表'!D348/1.1+N163</f>
        <v>0</v>
      </c>
      <c r="O61" s="189">
        <f>'11.销售及回款表'!D353/1.1+O163</f>
        <v>0</v>
      </c>
      <c r="P61" s="202">
        <f>IF($R596="合并清算",0,SUMIF(D59:O59,"普",D61:O61))</f>
        <v>0</v>
      </c>
      <c r="Q61" s="211">
        <f>IF($R596="合并清算",C61,IF($R596="两分法",C61-P61,SUMIF(D59:O59,"非普",D61:O61)))</f>
        <v>0</v>
      </c>
      <c r="R61" s="211">
        <f t="shared" ref="R61:R66" si="61">IF($R$59="三分法",C61-P61-Q61,0)</f>
        <v>0</v>
      </c>
      <c r="S61" s="212"/>
      <c r="T61" s="85"/>
      <c r="U61" s="85"/>
      <c r="V61" s="85"/>
      <c r="W61" s="85"/>
      <c r="X61" s="85"/>
      <c r="Y61" s="85"/>
      <c r="Z61" s="85"/>
      <c r="AA61" s="85"/>
      <c r="AB61" s="85"/>
      <c r="AC61" s="85"/>
      <c r="AD61" s="85"/>
      <c r="AE61" s="85"/>
      <c r="AF61" s="85"/>
      <c r="AG61" s="85"/>
      <c r="AH61" s="85"/>
      <c r="AI61" s="85"/>
      <c r="AJ61" s="85"/>
      <c r="AK61" s="85"/>
      <c r="AL61" s="85"/>
      <c r="AM61" s="85"/>
      <c r="AN61" s="85"/>
      <c r="AO61" s="85"/>
      <c r="AP61" s="85"/>
      <c r="AQ61" s="85"/>
      <c r="AR61" s="85"/>
      <c r="AS61" s="85"/>
      <c r="AT61" s="85"/>
      <c r="AU61" s="85"/>
      <c r="AV61" s="85"/>
    </row>
    <row r="62" spans="1:48" s="75" customFormat="1" ht="15" hidden="1" customHeight="1">
      <c r="A62" s="1999"/>
      <c r="B62" s="165" t="s">
        <v>368</v>
      </c>
      <c r="C62" s="166">
        <f>SUM(D62:O62)</f>
        <v>0</v>
      </c>
      <c r="D62" s="185">
        <f>'12.土地成本表'!G25-D144-D153-'12.土地成本表'!G87</f>
        <v>0</v>
      </c>
      <c r="E62" s="171">
        <f>'12.土地成本表'!G26-E144-E153-'12.土地成本表'!G88</f>
        <v>0</v>
      </c>
      <c r="F62" s="171">
        <f>'12.土地成本表'!G27-F144-F153-'12.土地成本表'!G89</f>
        <v>0</v>
      </c>
      <c r="G62" s="171">
        <f>'12.土地成本表'!G28-G144-G153-'12.土地成本表'!G90</f>
        <v>0</v>
      </c>
      <c r="H62" s="171">
        <f>'12.土地成本表'!G29-H144-H153-'12.土地成本表'!G91</f>
        <v>0</v>
      </c>
      <c r="I62" s="171">
        <f>'12.土地成本表'!G30-I144-I153-'12.土地成本表'!G92</f>
        <v>0</v>
      </c>
      <c r="J62" s="171">
        <f>'12.土地成本表'!G31-J144-J153-'12.土地成本表'!G93</f>
        <v>0</v>
      </c>
      <c r="K62" s="171">
        <f>'12.土地成本表'!G32-K144-K153-'12.土地成本表'!G94</f>
        <v>0</v>
      </c>
      <c r="L62" s="171">
        <f>'12.土地成本表'!G33-L144-L153-'12.土地成本表'!G95</f>
        <v>0</v>
      </c>
      <c r="M62" s="90"/>
      <c r="N62" s="206"/>
      <c r="O62" s="207"/>
      <c r="P62" s="202">
        <f>IF($R596="合并清算",0,SUMIF(D59:O59,"普",D62:O62))</f>
        <v>0</v>
      </c>
      <c r="Q62" s="211">
        <f>IF($R596="合并清算",C62,IF($R596="两分法",C62-P62,SUMIF(D59:O59,"非普",D62:O62)))</f>
        <v>0</v>
      </c>
      <c r="R62" s="211">
        <f t="shared" si="61"/>
        <v>0</v>
      </c>
      <c r="S62" s="212"/>
      <c r="T62" s="85"/>
      <c r="U62" s="85"/>
      <c r="V62" s="85"/>
      <c r="W62" s="85"/>
      <c r="X62" s="85"/>
      <c r="Y62" s="85"/>
      <c r="Z62" s="85"/>
      <c r="AA62" s="85"/>
      <c r="AB62" s="85"/>
      <c r="AC62" s="85"/>
      <c r="AD62" s="85"/>
      <c r="AE62" s="85"/>
      <c r="AF62" s="85"/>
      <c r="AG62" s="85"/>
      <c r="AH62" s="85"/>
      <c r="AI62" s="85"/>
      <c r="AJ62" s="85"/>
      <c r="AK62" s="85"/>
      <c r="AL62" s="85"/>
      <c r="AM62" s="85"/>
      <c r="AN62" s="85"/>
      <c r="AO62" s="85"/>
      <c r="AP62" s="85"/>
      <c r="AQ62" s="85"/>
      <c r="AR62" s="85"/>
      <c r="AS62" s="85"/>
      <c r="AT62" s="85"/>
      <c r="AU62" s="85"/>
      <c r="AV62" s="85"/>
    </row>
    <row r="63" spans="1:48" s="75" customFormat="1" ht="15" hidden="1" customHeight="1">
      <c r="A63" s="1999"/>
      <c r="B63" s="165" t="s">
        <v>578</v>
      </c>
      <c r="C63" s="166">
        <f t="shared" ref="C63:C69" si="62">SUM(D63:O63)</f>
        <v>0</v>
      </c>
      <c r="D63" s="168">
        <f>'13.建安成本表'!$N214-'13.建安成本表'!$F230</f>
        <v>0</v>
      </c>
      <c r="E63" s="168">
        <f>'13.建安成本表'!$N215-'13.建安成本表'!$F231</f>
        <v>0</v>
      </c>
      <c r="F63" s="168">
        <f>'13.建安成本表'!$N216-'13.建安成本表'!$F232</f>
        <v>0</v>
      </c>
      <c r="G63" s="168">
        <f>'13.建安成本表'!$N217-'13.建安成本表'!$F233</f>
        <v>0</v>
      </c>
      <c r="H63" s="168">
        <f>'13.建安成本表'!$N218-'13.建安成本表'!$F234</f>
        <v>0</v>
      </c>
      <c r="I63" s="168">
        <f>'13.建安成本表'!$N219-'13.建安成本表'!$F235</f>
        <v>0</v>
      </c>
      <c r="J63" s="168">
        <f>'13.建安成本表'!$N220-'13.建安成本表'!$F236</f>
        <v>0</v>
      </c>
      <c r="K63" s="168">
        <f>'13.建安成本表'!$N221-'13.建安成本表'!$F237</f>
        <v>0</v>
      </c>
      <c r="L63" s="168">
        <f>'13.建安成本表'!$N222-'13.建安成本表'!$F238</f>
        <v>0</v>
      </c>
      <c r="M63" s="90"/>
      <c r="N63" s="168">
        <f>'13.建安成本表'!$N224-'13.建安成本表'!$F240</f>
        <v>0</v>
      </c>
      <c r="O63" s="168">
        <f>'13.建安成本表'!$N225-'13.建安成本表'!$F241</f>
        <v>0</v>
      </c>
      <c r="P63" s="202">
        <f>IF($R596="合并清算",0,SUMIF(D59:O59,"普",D63:O63))</f>
        <v>0</v>
      </c>
      <c r="Q63" s="211">
        <f>IF($R596="合并清算",C63,IF($R596="两分法",C63-P63,SUMIF(D59:O59,"非普",D63:O63)))</f>
        <v>0</v>
      </c>
      <c r="R63" s="211">
        <f t="shared" si="61"/>
        <v>0</v>
      </c>
      <c r="S63" s="212"/>
      <c r="T63" s="85"/>
      <c r="U63" s="85"/>
      <c r="V63" s="85"/>
      <c r="W63" s="85"/>
      <c r="X63" s="85"/>
      <c r="Y63" s="85"/>
      <c r="Z63" s="85"/>
      <c r="AA63" s="85"/>
      <c r="AB63" s="85"/>
      <c r="AC63" s="85"/>
      <c r="AD63" s="85"/>
      <c r="AE63" s="85"/>
      <c r="AF63" s="85"/>
      <c r="AG63" s="85"/>
      <c r="AH63" s="85"/>
      <c r="AI63" s="85"/>
      <c r="AJ63" s="85"/>
      <c r="AK63" s="85"/>
      <c r="AL63" s="85"/>
      <c r="AM63" s="85"/>
      <c r="AN63" s="85"/>
      <c r="AO63" s="85"/>
      <c r="AP63" s="85"/>
      <c r="AQ63" s="85"/>
      <c r="AR63" s="85"/>
      <c r="AS63" s="85"/>
      <c r="AT63" s="85"/>
      <c r="AU63" s="85"/>
      <c r="AV63" s="85"/>
    </row>
    <row r="64" spans="1:48" s="75" customFormat="1" ht="15" hidden="1" customHeight="1">
      <c r="A64" s="1999"/>
      <c r="B64" s="165" t="s">
        <v>602</v>
      </c>
      <c r="C64" s="166">
        <f t="shared" si="62"/>
        <v>0</v>
      </c>
      <c r="D64" s="168">
        <f>D61*1.11*('2.税率表'!$D$10*('2.税率表'!$D$13+'2.税率表'!$D$14+'2.税率表'!$D$17)+'2.税率表'!$D$16+'2.税率表'!$D$18)</f>
        <v>0</v>
      </c>
      <c r="E64" s="168">
        <f>E61*1.11*('2.税率表'!$D$10*('2.税率表'!$D$13+'2.税率表'!$D$14+'2.税率表'!$D$17)+'2.税率表'!$D$16+'2.税率表'!$D$18)</f>
        <v>0</v>
      </c>
      <c r="F64" s="168">
        <f>F61*1.11*('2.税率表'!$D$10*('2.税率表'!$D$13+'2.税率表'!$D$14+'2.税率表'!$D$17)+'2.税率表'!$D$16+'2.税率表'!$D$18)</f>
        <v>0</v>
      </c>
      <c r="G64" s="168">
        <f>G61*1.11*('2.税率表'!$D$10*('2.税率表'!$D$13+'2.税率表'!$D$14+'2.税率表'!$D$17)+'2.税率表'!$D$16+'2.税率表'!$D$18)</f>
        <v>0</v>
      </c>
      <c r="H64" s="168">
        <f>H61*1.11*('2.税率表'!$D$10*('2.税率表'!$D$13+'2.税率表'!$D$14+'2.税率表'!$D$17)+'2.税率表'!$D$16+'2.税率表'!$D$18)</f>
        <v>0</v>
      </c>
      <c r="I64" s="168">
        <f>I61*1.11*('2.税率表'!$D$10*('2.税率表'!$D$13+'2.税率表'!$D$14+'2.税率表'!$D$17)+'2.税率表'!$D$16+'2.税率表'!$D$18)</f>
        <v>0</v>
      </c>
      <c r="J64" s="168">
        <f>J61*1.11*('2.税率表'!$D$10*('2.税率表'!$D$13+'2.税率表'!$D$14+'2.税率表'!$D$17)+'2.税率表'!$D$16+'2.税率表'!$D$18)</f>
        <v>0</v>
      </c>
      <c r="K64" s="168">
        <f>K61*1.11*('2.税率表'!$D$10*('2.税率表'!$D$13+'2.税率表'!$D$14+'2.税率表'!$D$17)+'2.税率表'!$D$16+'2.税率表'!$D$18)</f>
        <v>0</v>
      </c>
      <c r="L64" s="168">
        <f>L61*1.11*('2.税率表'!$D$10*('2.税率表'!$D$13+'2.税率表'!$D$14+'2.税率表'!$D$17)+'2.税率表'!$D$16+'2.税率表'!$D$18)</f>
        <v>0</v>
      </c>
      <c r="M64" s="90"/>
      <c r="N64" s="168">
        <f>N61*1.11*('2.税率表'!$D$10*('2.税率表'!$D$13+'2.税率表'!$D$14+'2.税率表'!$D$17)+'2.税率表'!$D$16+'2.税率表'!$D$18)</f>
        <v>0</v>
      </c>
      <c r="O64" s="168">
        <f>O61*1.11*('2.税率表'!$D$10*('2.税率表'!$D$13+'2.税率表'!$D$14+'2.税率表'!$D$17)+'2.税率表'!$D$16+'2.税率表'!$D$18)</f>
        <v>0</v>
      </c>
      <c r="P64" s="202">
        <f>IF($R596="合并清算",0,SUMIF(D59:O59,"普",D64:O64))</f>
        <v>0</v>
      </c>
      <c r="Q64" s="211">
        <f>IF($R596="合并清算",C64,IF($R596="两分法",C64-P64,SUMIF(D59:O59,"非普",D64:O64)))</f>
        <v>0</v>
      </c>
      <c r="R64" s="211">
        <f t="shared" si="61"/>
        <v>0</v>
      </c>
      <c r="S64" s="212"/>
      <c r="T64" s="85"/>
      <c r="U64" s="85"/>
      <c r="V64" s="85"/>
      <c r="W64" s="85"/>
      <c r="X64" s="85"/>
      <c r="Y64" s="85"/>
      <c r="Z64" s="85"/>
      <c r="AA64" s="85"/>
      <c r="AB64" s="85"/>
      <c r="AC64" s="85"/>
      <c r="AD64" s="85"/>
      <c r="AE64" s="85"/>
      <c r="AF64" s="85"/>
      <c r="AG64" s="85"/>
      <c r="AH64" s="85"/>
      <c r="AI64" s="85"/>
      <c r="AJ64" s="85"/>
      <c r="AK64" s="85"/>
      <c r="AL64" s="85"/>
      <c r="AM64" s="85"/>
      <c r="AN64" s="85"/>
      <c r="AO64" s="85"/>
      <c r="AP64" s="85"/>
      <c r="AQ64" s="85"/>
      <c r="AR64" s="85"/>
      <c r="AS64" s="85"/>
      <c r="AT64" s="85"/>
      <c r="AU64" s="85"/>
      <c r="AV64" s="85"/>
    </row>
    <row r="65" spans="1:48" s="75" customFormat="1" ht="15" hidden="1" customHeight="1">
      <c r="A65" s="1999"/>
      <c r="B65" s="165" t="s">
        <v>373</v>
      </c>
      <c r="C65" s="166">
        <f t="shared" ca="1" si="62"/>
        <v>0</v>
      </c>
      <c r="D65" s="184">
        <f ca="1">IF('17.财务费用测算表'!$C$54&gt;($C$62+$C$63)*5%,'17.财务费用测算表'!D54,(D62+D63)*5%)-'17.财务费用测算表'!G61</f>
        <v>0</v>
      </c>
      <c r="E65" s="184">
        <f ca="1">IF('17.财务费用测算表'!$C$54&gt;($C$62+$C$63)*5%,'17.财务费用测算表'!E54,(E62+E63)*5%)-'17.财务费用测算表'!G62</f>
        <v>0</v>
      </c>
      <c r="F65" s="184">
        <f ca="1">IF('17.财务费用测算表'!$C$54&gt;($C$62+$C$63)*5%,'17.财务费用测算表'!F54,(F62+F63)*5%)-'17.财务费用测算表'!G63</f>
        <v>0</v>
      </c>
      <c r="G65" s="184">
        <f ca="1">IF('17.财务费用测算表'!$C$54&gt;($C$62+$C$63)*5%,'17.财务费用测算表'!G54,(G62+G63)*5%)-'17.财务费用测算表'!G64</f>
        <v>0</v>
      </c>
      <c r="H65" s="184">
        <f ca="1">IF('17.财务费用测算表'!$C$54&gt;($C$62+$C$63)*5%,'17.财务费用测算表'!H54,(H62+H63)*5%)-'17.财务费用测算表'!G65</f>
        <v>0</v>
      </c>
      <c r="I65" s="184">
        <f ca="1">IF('17.财务费用测算表'!$C$54&gt;($C$62+$C$63)*5%,'17.财务费用测算表'!I54,(I62+I63)*5%)-'17.财务费用测算表'!G66</f>
        <v>0</v>
      </c>
      <c r="J65" s="184">
        <f ca="1">IF('17.财务费用测算表'!$C$54&gt;($C$62+$C$63)*5%,'17.财务费用测算表'!J54,(J62+J63)*5%)-'17.财务费用测算表'!G67</f>
        <v>0</v>
      </c>
      <c r="K65" s="184">
        <f ca="1">IF('17.财务费用测算表'!$C$54&gt;($C$62+$C$63)*5%,'17.财务费用测算表'!K54,(K62+K63)*5%)-'17.财务费用测算表'!G68</f>
        <v>0</v>
      </c>
      <c r="L65" s="184">
        <f ca="1">IF('17.财务费用测算表'!$C$54&gt;($C$62+$C$63)*5%,'17.财务费用测算表'!L54,(L62+L63)*5%)-'17.财务费用测算表'!G69</f>
        <v>0</v>
      </c>
      <c r="M65" s="90"/>
      <c r="N65" s="184">
        <f ca="1">IF('17.财务费用测算表'!$C$54&gt;($C$62+$C$63)*5%,'17.财务费用测算表'!N54,(N62+N63)*5%)-'17.财务费用测算表'!G71</f>
        <v>0</v>
      </c>
      <c r="O65" s="184">
        <f ca="1">IF('17.财务费用测算表'!$C$54&gt;($C$62+$C$63)*5%,'17.财务费用测算表'!O54,(O62+O63)*5%)-'17.财务费用测算表'!G72</f>
        <v>0</v>
      </c>
      <c r="P65" s="202">
        <f>IF($R596="合并清算",0,SUMIF(D59:O59,"普",D65:O65))</f>
        <v>0</v>
      </c>
      <c r="Q65" s="211">
        <f>IF($R596="合并清算",C65,IF($R596="两分法",C65-P65,SUMIF(D59:O59,"非普",D65:O65)))</f>
        <v>0</v>
      </c>
      <c r="R65" s="211">
        <f t="shared" ca="1" si="61"/>
        <v>0</v>
      </c>
      <c r="S65" s="212"/>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row>
    <row r="66" spans="1:48" s="75" customFormat="1" ht="15" hidden="1" customHeight="1">
      <c r="A66" s="1999"/>
      <c r="B66" s="165" t="s">
        <v>603</v>
      </c>
      <c r="C66" s="166">
        <f t="shared" si="62"/>
        <v>0</v>
      </c>
      <c r="D66" s="184">
        <f>(D62+D63)*5%</f>
        <v>0</v>
      </c>
      <c r="E66" s="184">
        <f t="shared" ref="E66:O66" si="63">(E62+E63)*5%</f>
        <v>0</v>
      </c>
      <c r="F66" s="184">
        <f t="shared" si="63"/>
        <v>0</v>
      </c>
      <c r="G66" s="184">
        <f t="shared" si="63"/>
        <v>0</v>
      </c>
      <c r="H66" s="184">
        <f t="shared" si="63"/>
        <v>0</v>
      </c>
      <c r="I66" s="184">
        <f t="shared" si="63"/>
        <v>0</v>
      </c>
      <c r="J66" s="184">
        <f t="shared" si="63"/>
        <v>0</v>
      </c>
      <c r="K66" s="184">
        <f t="shared" si="63"/>
        <v>0</v>
      </c>
      <c r="L66" s="184">
        <f t="shared" si="63"/>
        <v>0</v>
      </c>
      <c r="M66" s="90"/>
      <c r="N66" s="184">
        <f t="shared" si="63"/>
        <v>0</v>
      </c>
      <c r="O66" s="184">
        <f t="shared" si="63"/>
        <v>0</v>
      </c>
      <c r="P66" s="202">
        <f>IF($R596="合并清算",0,SUMIF(D59:O59,"普",D66:O66))</f>
        <v>0</v>
      </c>
      <c r="Q66" s="211">
        <f>IF($R596="合并清算",C66,IF($R596="两分法",C66-P66,SUMIF(D59:O59,"非普",D66:O66)))</f>
        <v>0</v>
      </c>
      <c r="R66" s="211">
        <f t="shared" si="61"/>
        <v>0</v>
      </c>
      <c r="S66" s="212"/>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row>
    <row r="67" spans="1:48" s="75" customFormat="1" ht="15" hidden="1" customHeight="1">
      <c r="A67" s="1999"/>
      <c r="B67" s="165" t="s">
        <v>604</v>
      </c>
      <c r="C67" s="166">
        <f t="shared" si="62"/>
        <v>0</v>
      </c>
      <c r="D67" s="167">
        <f>(D62+D63)*20%</f>
        <v>0</v>
      </c>
      <c r="E67" s="168">
        <f t="shared" ref="E67:R67" si="64">(E62+E63)*20%</f>
        <v>0</v>
      </c>
      <c r="F67" s="168">
        <f t="shared" si="64"/>
        <v>0</v>
      </c>
      <c r="G67" s="168">
        <f t="shared" si="64"/>
        <v>0</v>
      </c>
      <c r="H67" s="168">
        <f t="shared" si="64"/>
        <v>0</v>
      </c>
      <c r="I67" s="168">
        <f t="shared" si="64"/>
        <v>0</v>
      </c>
      <c r="J67" s="168">
        <f t="shared" si="64"/>
        <v>0</v>
      </c>
      <c r="K67" s="168">
        <f t="shared" si="64"/>
        <v>0</v>
      </c>
      <c r="L67" s="168">
        <f t="shared" si="64"/>
        <v>0</v>
      </c>
      <c r="M67" s="90"/>
      <c r="N67" s="168">
        <f t="shared" si="64"/>
        <v>0</v>
      </c>
      <c r="O67" s="189">
        <f t="shared" si="64"/>
        <v>0</v>
      </c>
      <c r="P67" s="202">
        <f t="shared" si="64"/>
        <v>0</v>
      </c>
      <c r="Q67" s="211">
        <f t="shared" si="64"/>
        <v>0</v>
      </c>
      <c r="R67" s="211">
        <f t="shared" si="64"/>
        <v>0</v>
      </c>
      <c r="S67" s="212"/>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row>
    <row r="68" spans="1:48" s="75" customFormat="1" ht="15" hidden="1" customHeight="1">
      <c r="A68" s="1999"/>
      <c r="B68" s="165" t="s">
        <v>605</v>
      </c>
      <c r="C68" s="166">
        <f t="shared" ca="1" si="62"/>
        <v>0</v>
      </c>
      <c r="D68" s="167">
        <f ca="1">SUM(D62:D67)</f>
        <v>0</v>
      </c>
      <c r="E68" s="168">
        <f t="shared" ref="E68:R68" ca="1" si="65">SUM(E62:E67)</f>
        <v>0</v>
      </c>
      <c r="F68" s="168">
        <f t="shared" ca="1" si="65"/>
        <v>0</v>
      </c>
      <c r="G68" s="168">
        <f t="shared" ca="1" si="65"/>
        <v>0</v>
      </c>
      <c r="H68" s="168">
        <f t="shared" ca="1" si="65"/>
        <v>0</v>
      </c>
      <c r="I68" s="168">
        <f t="shared" ca="1" si="65"/>
        <v>0</v>
      </c>
      <c r="J68" s="168">
        <f t="shared" ca="1" si="65"/>
        <v>0</v>
      </c>
      <c r="K68" s="168">
        <f t="shared" ca="1" si="65"/>
        <v>0</v>
      </c>
      <c r="L68" s="168">
        <f t="shared" ca="1" si="65"/>
        <v>0</v>
      </c>
      <c r="M68" s="90"/>
      <c r="N68" s="168">
        <f t="shared" ca="1" si="65"/>
        <v>0</v>
      </c>
      <c r="O68" s="189">
        <f t="shared" ca="1" si="65"/>
        <v>0</v>
      </c>
      <c r="P68" s="202">
        <f t="shared" si="65"/>
        <v>0</v>
      </c>
      <c r="Q68" s="211">
        <f t="shared" si="65"/>
        <v>0</v>
      </c>
      <c r="R68" s="211">
        <f t="shared" ca="1" si="65"/>
        <v>0</v>
      </c>
      <c r="S68" s="212"/>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row>
    <row r="69" spans="1:48" s="75" customFormat="1" ht="15" hidden="1" customHeight="1">
      <c r="A69" s="1999"/>
      <c r="B69" s="165" t="s">
        <v>419</v>
      </c>
      <c r="C69" s="166">
        <f t="shared" ca="1" si="62"/>
        <v>0</v>
      </c>
      <c r="D69" s="167">
        <f ca="1">D61-D68</f>
        <v>0</v>
      </c>
      <c r="E69" s="168">
        <f t="shared" ref="E69:R69" ca="1" si="66">E61-E68</f>
        <v>0</v>
      </c>
      <c r="F69" s="168">
        <f t="shared" ca="1" si="66"/>
        <v>0</v>
      </c>
      <c r="G69" s="168">
        <f t="shared" ca="1" si="66"/>
        <v>0</v>
      </c>
      <c r="H69" s="168">
        <f t="shared" ca="1" si="66"/>
        <v>0</v>
      </c>
      <c r="I69" s="168">
        <f t="shared" ca="1" si="66"/>
        <v>0</v>
      </c>
      <c r="J69" s="168">
        <f t="shared" ca="1" si="66"/>
        <v>0</v>
      </c>
      <c r="K69" s="168">
        <f t="shared" ca="1" si="66"/>
        <v>0</v>
      </c>
      <c r="L69" s="168">
        <f t="shared" ca="1" si="66"/>
        <v>0</v>
      </c>
      <c r="M69" s="90"/>
      <c r="N69" s="168">
        <f t="shared" ca="1" si="66"/>
        <v>0</v>
      </c>
      <c r="O69" s="189">
        <f t="shared" ca="1" si="66"/>
        <v>0</v>
      </c>
      <c r="P69" s="202">
        <f t="shared" si="66"/>
        <v>0</v>
      </c>
      <c r="Q69" s="211">
        <f t="shared" si="66"/>
        <v>0</v>
      </c>
      <c r="R69" s="211">
        <f t="shared" ca="1" si="66"/>
        <v>0</v>
      </c>
      <c r="S69" s="212"/>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row>
    <row r="70" spans="1:48" s="75" customFormat="1" ht="15" hidden="1" customHeight="1">
      <c r="A70" s="1999"/>
      <c r="B70" s="165" t="s">
        <v>420</v>
      </c>
      <c r="C70" s="173">
        <f ca="1">IF(C68&lt;&gt;0,C69/C68,0)</f>
        <v>0</v>
      </c>
      <c r="D70" s="174">
        <f ca="1">IF(D68&lt;&gt;0,D69/D68,0)</f>
        <v>0</v>
      </c>
      <c r="E70" s="175">
        <f t="shared" ref="E70:R70" ca="1" si="67">IF(E68&lt;&gt;0,E69/E68,0)</f>
        <v>0</v>
      </c>
      <c r="F70" s="175">
        <f t="shared" ca="1" si="67"/>
        <v>0</v>
      </c>
      <c r="G70" s="175">
        <f t="shared" ca="1" si="67"/>
        <v>0</v>
      </c>
      <c r="H70" s="175">
        <f t="shared" ca="1" si="67"/>
        <v>0</v>
      </c>
      <c r="I70" s="175">
        <f t="shared" ca="1" si="67"/>
        <v>0</v>
      </c>
      <c r="J70" s="175">
        <f t="shared" ca="1" si="67"/>
        <v>0</v>
      </c>
      <c r="K70" s="175">
        <f t="shared" ca="1" si="67"/>
        <v>0</v>
      </c>
      <c r="L70" s="175">
        <f t="shared" ca="1" si="67"/>
        <v>0</v>
      </c>
      <c r="M70" s="175">
        <f t="shared" si="67"/>
        <v>0</v>
      </c>
      <c r="N70" s="175">
        <f t="shared" ca="1" si="67"/>
        <v>0</v>
      </c>
      <c r="O70" s="192">
        <f t="shared" ca="1" si="67"/>
        <v>0</v>
      </c>
      <c r="P70" s="203">
        <f t="shared" si="67"/>
        <v>0</v>
      </c>
      <c r="Q70" s="213">
        <f t="shared" si="67"/>
        <v>0</v>
      </c>
      <c r="R70" s="213">
        <f t="shared" ca="1" si="67"/>
        <v>0</v>
      </c>
      <c r="S70" s="214"/>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row>
    <row r="71" spans="1:48" s="75" customFormat="1" ht="15" hidden="1" customHeight="1">
      <c r="A71" s="1999"/>
      <c r="B71" s="165" t="s">
        <v>606</v>
      </c>
      <c r="C71" s="166" t="s">
        <v>607</v>
      </c>
      <c r="D71" s="174">
        <f>IF(OR(D59="非普",D59="其他"),IF(D70&lt;=0,0,IF(D70&lt;=0.5,0.3,IF(D70&lt;=1,0.4,IF(D70&lt;=2,0.5,0.6)))),IF(D59="普",IF(D70&lt;=0.2,0,IF(D70&lt;=0.5,0.3,IF(D70&lt;=1,0.4,IF(D70&lt;=2,0.5,0.6)))),0))</f>
        <v>0</v>
      </c>
      <c r="E71" s="175">
        <f t="shared" ref="E71" si="68">IF(OR(E59="非普",E59="其他"),IF(E70&lt;=0,0,IF(E70&lt;=0.5,0.3,IF(E70&lt;=1,0.4,IF(E70&lt;=2,0.5,0.6)))),IF(E59="普",IF(E70&lt;=0.2,0,IF(E70&lt;=0.5,0.3,IF(E70&lt;=1,0.4,IF(E70&lt;=2,0.5,0.6)))),0))</f>
        <v>0</v>
      </c>
      <c r="F71" s="175">
        <f t="shared" ref="F71" si="69">IF(OR(F59="非普",F59="其他"),IF(F70&lt;=0,0,IF(F70&lt;=0.5,0.3,IF(F70&lt;=1,0.4,IF(F70&lt;=2,0.5,0.6)))),IF(F59="普",IF(F70&lt;=0.2,0,IF(F70&lt;=0.5,0.3,IF(F70&lt;=1,0.4,IF(F70&lt;=2,0.5,0.6)))),0))</f>
        <v>0</v>
      </c>
      <c r="G71" s="175">
        <f t="shared" ref="G71" si="70">IF(OR(G59="非普",G59="其他"),IF(G70&lt;=0,0,IF(G70&lt;=0.5,0.3,IF(G70&lt;=1,0.4,IF(G70&lt;=2,0.5,0.6)))),IF(G59="普",IF(G70&lt;=0.2,0,IF(G70&lt;=0.5,0.3,IF(G70&lt;=1,0.4,IF(G70&lt;=2,0.5,0.6)))),0))</f>
        <v>0</v>
      </c>
      <c r="H71" s="175">
        <f t="shared" ref="H71" si="71">IF(OR(H59="非普",H59="其他"),IF(H70&lt;=0,0,IF(H70&lt;=0.5,0.3,IF(H70&lt;=1,0.4,IF(H70&lt;=2,0.5,0.6)))),IF(H59="普",IF(H70&lt;=0.2,0,IF(H70&lt;=0.5,0.3,IF(H70&lt;=1,0.4,IF(H70&lt;=2,0.5,0.6)))),0))</f>
        <v>0</v>
      </c>
      <c r="I71" s="175">
        <f t="shared" ref="I71:J71" si="72">IF(OR(I59="非普",I59="其他"),IF(I70&lt;=0,0,IF(I70&lt;=0.5,0.3,IF(I70&lt;=1,0.4,IF(I70&lt;=2,0.5,0.6)))),IF(I59="普",IF(I70&lt;=0.2,0,IF(I70&lt;=0.5,0.3,IF(I70&lt;=1,0.4,IF(I70&lt;=2,0.5,0.6)))),0))</f>
        <v>0</v>
      </c>
      <c r="J71" s="175">
        <f t="shared" si="72"/>
        <v>0</v>
      </c>
      <c r="K71" s="175">
        <f t="shared" ref="K71" si="73">IF(OR(K59="非普",K59="其他"),IF(K70&lt;=0,0,IF(K70&lt;=0.5,0.3,IF(K70&lt;=1,0.4,IF(K70&lt;=2,0.5,0.6)))),IF(K59="普",IF(K70&lt;=0.2,0,IF(K70&lt;=0.5,0.3,IF(K70&lt;=1,0.4,IF(K70&lt;=2,0.5,0.6)))),0))</f>
        <v>0</v>
      </c>
      <c r="L71" s="175">
        <f t="shared" ref="L71" si="74">IF(OR(L59="非普",L59="其他"),IF(L70&lt;=0,0,IF(L70&lt;=0.5,0.3,IF(L70&lt;=1,0.4,IF(L70&lt;=2,0.5,0.6)))),IF(L59="普",IF(L70&lt;=0.2,0,IF(L70&lt;=0.5,0.3,IF(L70&lt;=1,0.4,IF(L70&lt;=2,0.5,0.6)))),0))</f>
        <v>0</v>
      </c>
      <c r="M71" s="175">
        <f t="shared" ref="M71" si="75">IF(OR(M59="非普",M59="其他"),IF(M70&lt;=0,0,IF(M70&lt;=0.5,0.3,IF(M70&lt;=1,0.4,IF(M70&lt;=2,0.5,0.6)))),IF(M59="普",IF(M70&lt;=0.2,0,IF(M70&lt;=0.5,0.3,IF(M70&lt;=1,0.4,IF(M70&lt;=2,0.5,0.6)))),0))</f>
        <v>0</v>
      </c>
      <c r="N71" s="175">
        <f t="shared" ref="N71:O71" si="76">IF(OR(N59="非普",N59="其他"),IF(N70&lt;=0,0,IF(N70&lt;=0.5,0.3,IF(N70&lt;=1,0.4,IF(N70&lt;=2,0.5,0.6)))),IF(N59="普",IF(N70&lt;=0.2,0,IF(N70&lt;=0.5,0.3,IF(N70&lt;=1,0.4,IF(N70&lt;=2,0.5,0.6)))),0))</f>
        <v>0</v>
      </c>
      <c r="O71" s="192">
        <f t="shared" si="76"/>
        <v>0</v>
      </c>
      <c r="P71" s="204">
        <f>IF(P70&lt;=0.2,0,IF(P70&lt;=0.5,0.3,IF(P70&lt;=1,0.4,IF(P70&lt;=2,0.5,0.6))))</f>
        <v>0</v>
      </c>
      <c r="Q71" s="215">
        <f>IF(Q70&lt;=0,0,IF(Q70&lt;=0.5,0.3,IF(Q70&lt;=1,0.4,IF(Q70&lt;=2,0.5,0.6))))</f>
        <v>0</v>
      </c>
      <c r="R71" s="215">
        <f ca="1">IF(R70&lt;=0,0,IF(R70&lt;=0.5,0.3,IF(R70&lt;=1,0.4,IF(R70&lt;=2,0.5,0.6))))</f>
        <v>0</v>
      </c>
      <c r="S71" s="216"/>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row>
    <row r="72" spans="1:48" s="75" customFormat="1" ht="15" hidden="1" customHeight="1">
      <c r="A72" s="1999"/>
      <c r="B72" s="165" t="s">
        <v>608</v>
      </c>
      <c r="C72" s="166" t="s">
        <v>607</v>
      </c>
      <c r="D72" s="176">
        <f>IF(D71=0.4,0.05,IF(D71=0.5,0.15,IF(D71=0.6,0.35,0)))</f>
        <v>0</v>
      </c>
      <c r="E72" s="177">
        <f t="shared" ref="E72:R72" si="77">IF(E71=0.4,0.05,IF(E71=0.5,0.15,IF(E71=0.6,0.35,0)))</f>
        <v>0</v>
      </c>
      <c r="F72" s="177">
        <f t="shared" si="77"/>
        <v>0</v>
      </c>
      <c r="G72" s="177">
        <f t="shared" si="77"/>
        <v>0</v>
      </c>
      <c r="H72" s="177">
        <f t="shared" si="77"/>
        <v>0</v>
      </c>
      <c r="I72" s="177">
        <f t="shared" si="77"/>
        <v>0</v>
      </c>
      <c r="J72" s="177">
        <f t="shared" si="77"/>
        <v>0</v>
      </c>
      <c r="K72" s="177">
        <f t="shared" si="77"/>
        <v>0</v>
      </c>
      <c r="L72" s="177">
        <f t="shared" si="77"/>
        <v>0</v>
      </c>
      <c r="M72" s="177">
        <f t="shared" si="77"/>
        <v>0</v>
      </c>
      <c r="N72" s="177">
        <f t="shared" si="77"/>
        <v>0</v>
      </c>
      <c r="O72" s="195">
        <f t="shared" si="77"/>
        <v>0</v>
      </c>
      <c r="P72" s="204">
        <f t="shared" si="77"/>
        <v>0</v>
      </c>
      <c r="Q72" s="215">
        <f t="shared" si="77"/>
        <v>0</v>
      </c>
      <c r="R72" s="215">
        <f t="shared" ca="1" si="77"/>
        <v>0</v>
      </c>
      <c r="S72" s="216"/>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row>
    <row r="73" spans="1:48" s="75" customFormat="1" ht="15" hidden="1" customHeight="1">
      <c r="A73" s="1999"/>
      <c r="B73" s="165" t="s">
        <v>937</v>
      </c>
      <c r="C73" s="166">
        <f ca="1">SUM(D73:O73)</f>
        <v>0</v>
      </c>
      <c r="D73" s="167">
        <f ca="1">D75-D74</f>
        <v>0</v>
      </c>
      <c r="E73" s="168">
        <f t="shared" ref="E73:P73" ca="1" si="78">E75-E74</f>
        <v>0</v>
      </c>
      <c r="F73" s="168">
        <f t="shared" ca="1" si="78"/>
        <v>0</v>
      </c>
      <c r="G73" s="168">
        <f t="shared" ca="1" si="78"/>
        <v>0</v>
      </c>
      <c r="H73" s="168">
        <f t="shared" ca="1" si="78"/>
        <v>0</v>
      </c>
      <c r="I73" s="168">
        <f t="shared" ca="1" si="78"/>
        <v>0</v>
      </c>
      <c r="J73" s="168">
        <f t="shared" ca="1" si="78"/>
        <v>0</v>
      </c>
      <c r="K73" s="168">
        <f t="shared" ca="1" si="78"/>
        <v>0</v>
      </c>
      <c r="L73" s="168">
        <f t="shared" ca="1" si="78"/>
        <v>0</v>
      </c>
      <c r="M73" s="168">
        <f t="shared" ca="1" si="78"/>
        <v>0</v>
      </c>
      <c r="N73" s="168">
        <f t="shared" ca="1" si="78"/>
        <v>0</v>
      </c>
      <c r="O73" s="189">
        <f t="shared" ca="1" si="78"/>
        <v>0</v>
      </c>
      <c r="P73" s="202">
        <f t="shared" si="78"/>
        <v>0</v>
      </c>
      <c r="Q73" s="202">
        <f t="shared" ref="Q73:R73" si="79">Q75-Q74</f>
        <v>0</v>
      </c>
      <c r="R73" s="202">
        <f t="shared" ca="1" si="79"/>
        <v>0</v>
      </c>
      <c r="S73" s="212"/>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row>
    <row r="74" spans="1:48" s="75" customFormat="1" ht="15" hidden="1" customHeight="1">
      <c r="A74" s="1999"/>
      <c r="B74" s="165" t="s">
        <v>610</v>
      </c>
      <c r="C74" s="166">
        <f>SUM(D74:O74)</f>
        <v>0</v>
      </c>
      <c r="D74" s="178">
        <f>IF(D59="普",'11.销售及回款表'!D298/1.1*'2.税率表'!$D$20,IF(D59="非普",'11.销售及回款表'!D298/1.1*'2.税率表'!$D$21,IF(D59="其他",'11.销售及回款表'!D298/1.1*'2.税率表'!$D$22,0)))</f>
        <v>0</v>
      </c>
      <c r="E74" s="179">
        <f>IF(E59="普",'11.销售及回款表'!D303/1.1*'2.税率表'!$D$20,IF(E59="非普",'11.销售及回款表'!D303/1.1*'2.税率表'!$D$21,IF(E59="其他",'11.销售及回款表'!D303/1.1*'2.税率表'!$D$22,0)))</f>
        <v>0</v>
      </c>
      <c r="F74" s="179">
        <f>IF(F59="普",'11.销售及回款表'!D308/1.1*'2.税率表'!$D$20,IF(F59="非普",'11.销售及回款表'!D308/1.1*'2.税率表'!$D$21,IF(F59="其他",'11.销售及回款表'!D308/1.1*'2.税率表'!$D$22,0)))</f>
        <v>0</v>
      </c>
      <c r="G74" s="179">
        <f>IF(G59="普",'11.销售及回款表'!D313/1.1*'2.税率表'!$D$20,IF(G59="非普",'11.销售及回款表'!D313/1.1*'2.税率表'!$D$21,IF(G59="其他",'11.销售及回款表'!D313/1.1*'2.税率表'!$D$22,0)))</f>
        <v>0</v>
      </c>
      <c r="H74" s="179">
        <f>IF(H59="普",'11.销售及回款表'!D318/1.1*'2.税率表'!$D$20,IF(H59="非普",'11.销售及回款表'!D318/1.1*'2.税率表'!$D$21,IF(H59="其他",'11.销售及回款表'!D318/1.1*'2.税率表'!$D$22,0)))</f>
        <v>0</v>
      </c>
      <c r="I74" s="179">
        <f>IF(I59="普",'11.销售及回款表'!D323/1.1*'2.税率表'!$D$20,IF(I59="非普",'11.销售及回款表'!D323/1.1*'2.税率表'!$D$21,IF(I59="其他",'11.销售及回款表'!D323/1.1*'2.税率表'!$D$22,0)))</f>
        <v>0</v>
      </c>
      <c r="J74" s="179">
        <f>IF(J59="普",'11.销售及回款表'!D328/1.1*'2.税率表'!$D$20,IF(J59="非普",'11.销售及回款表'!D328/1.1*'2.税率表'!$D$21,IF(J59="其他",'11.销售及回款表'!D328/1.1*'2.税率表'!$D$22,0)))</f>
        <v>0</v>
      </c>
      <c r="K74" s="179">
        <f>IF(K59="普",'11.销售及回款表'!D333/1.1*'2.税率表'!$D$20,IF(K59="非普",'11.销售及回款表'!D333/1.1*'2.税率表'!$D$21,IF(K59="其他",'11.销售及回款表'!D333/1.1*'2.税率表'!$D$22,0)))</f>
        <v>0</v>
      </c>
      <c r="L74" s="179">
        <f>IF(L59="普",'11.销售及回款表'!D338/1.1*'2.税率表'!$D$20,IF(L59="非普",'11.销售及回款表'!D338/1.1*'2.税率表'!$D$21,IF(L59="其他",'11.销售及回款表'!D338/1.1*'2.税率表'!$D$22,0)))</f>
        <v>0</v>
      </c>
      <c r="M74" s="179">
        <f>IF(M59="普",'11.销售及回款表'!D343/1.1*'2.税率表'!$D$20,IF(M59="非普",'11.销售及回款表'!D343/1.1*'2.税率表'!$D$21,IF(M59="其他",'11.销售及回款表'!D343/1.1*'2.税率表'!$D$22,0)))</f>
        <v>0</v>
      </c>
      <c r="N74" s="168">
        <f>IF(N59="普",N61*'2.税率表'!$D$20,IF(N59="非普",N61*'2.税率表'!$D$21,IF(N59="其他",N61*'2.税率表'!$D$22,0)))</f>
        <v>0</v>
      </c>
      <c r="O74" s="189">
        <f>IF(O59="普",O61*'2.税率表'!$D$20,IF(O59="非普",O61*'2.税率表'!$D$21,IF(O59="其他",O61*'2.税率表'!$D$22,0)))</f>
        <v>0</v>
      </c>
      <c r="P74" s="202">
        <f>P61*'2.税率表'!$D$20</f>
        <v>0</v>
      </c>
      <c r="Q74" s="211">
        <f>Q61*'2.税率表'!$D$21</f>
        <v>0</v>
      </c>
      <c r="R74" s="211">
        <f>R61*'2.税率表'!$D$22</f>
        <v>0</v>
      </c>
      <c r="S74" s="212"/>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row>
    <row r="75" spans="1:48" s="75" customFormat="1" ht="15" hidden="1" customHeight="1">
      <c r="A75" s="2000"/>
      <c r="B75" s="165" t="s">
        <v>609</v>
      </c>
      <c r="C75" s="180">
        <f ca="1">IFERROR(SUM(D75:O75),0)</f>
        <v>0</v>
      </c>
      <c r="D75" s="181">
        <f ca="1">IFERROR(IF($R59="合并清算",$Q75/$Q61*D61,IF(($R59="两分法")*(D59="普"),$P75/$P61*D61,IF(($R59="两分法")*(D59="非普"),$Q75/$Q61*D61,IF(($R59="两分法")*(D59="其他"),$Q75/$Q61*D61,IF(D59="普",$P75/$P61*D61,IF(D59="非普",$Q75/$Q61*D61,$R75/$R61*D61)))))),0)</f>
        <v>0</v>
      </c>
      <c r="E75" s="182">
        <f t="shared" ref="E75:O75" ca="1" si="80">IFERROR(IF($R59="合并清算",$Q75/$Q61*E61,IF(($R59="两分法")*(E59="普"),$P75/$P61*E61,IF(($R59="两分法")*(E59="非普"),$Q75/$Q61*E61,IF(($R59="两分法")*(E59="其他"),$Q75/$Q61*E61,IF(E59="普",$P75/$P61*E61,IF(E59="非普",$Q75/$Q61*E61,$R75/$R61*E61)))))),0)</f>
        <v>0</v>
      </c>
      <c r="F75" s="182">
        <f t="shared" ca="1" si="80"/>
        <v>0</v>
      </c>
      <c r="G75" s="182">
        <f t="shared" ca="1" si="80"/>
        <v>0</v>
      </c>
      <c r="H75" s="182">
        <f t="shared" ca="1" si="80"/>
        <v>0</v>
      </c>
      <c r="I75" s="182">
        <f t="shared" ca="1" si="80"/>
        <v>0</v>
      </c>
      <c r="J75" s="182">
        <f t="shared" ca="1" si="80"/>
        <v>0</v>
      </c>
      <c r="K75" s="182">
        <f t="shared" ca="1" si="80"/>
        <v>0</v>
      </c>
      <c r="L75" s="182">
        <f t="shared" ca="1" si="80"/>
        <v>0</v>
      </c>
      <c r="M75" s="182">
        <f t="shared" ca="1" si="80"/>
        <v>0</v>
      </c>
      <c r="N75" s="182">
        <f t="shared" ca="1" si="80"/>
        <v>0</v>
      </c>
      <c r="O75" s="199">
        <f t="shared" ca="1" si="80"/>
        <v>0</v>
      </c>
      <c r="P75" s="205">
        <f>P69*P71-P68*P72</f>
        <v>0</v>
      </c>
      <c r="Q75" s="205">
        <f t="shared" ref="Q75:R75" si="81">Q69*Q71-Q68*Q72</f>
        <v>0</v>
      </c>
      <c r="R75" s="205">
        <f t="shared" ca="1" si="81"/>
        <v>0</v>
      </c>
      <c r="S75" s="212"/>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row>
    <row r="76" spans="1:48" hidden="1">
      <c r="A76" s="78"/>
      <c r="B76" s="78"/>
      <c r="C76" s="78"/>
      <c r="D76" s="78"/>
      <c r="E76" s="78"/>
      <c r="F76" s="78"/>
      <c r="G76" s="78"/>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c r="AI76" s="78"/>
      <c r="AJ76" s="78"/>
      <c r="AK76" s="78"/>
      <c r="AL76" s="78"/>
      <c r="AM76" s="78"/>
      <c r="AN76" s="78"/>
      <c r="AO76" s="78"/>
      <c r="AP76" s="78"/>
      <c r="AQ76" s="78"/>
      <c r="AR76" s="78"/>
      <c r="AS76" s="78"/>
      <c r="AT76" s="78"/>
      <c r="AU76" s="78"/>
      <c r="AV76" s="78"/>
    </row>
    <row r="77" spans="1:48" ht="15" hidden="1" customHeight="1">
      <c r="A77" s="156"/>
      <c r="B77" s="156"/>
      <c r="C77" s="157" t="s">
        <v>596</v>
      </c>
      <c r="D77" s="183"/>
      <c r="E77" s="160"/>
      <c r="F77" s="160"/>
      <c r="G77" s="160"/>
      <c r="H77" s="160"/>
      <c r="I77" s="160"/>
      <c r="J77" s="160"/>
      <c r="K77" s="160"/>
      <c r="L77" s="160"/>
      <c r="M77" s="160"/>
      <c r="N77" s="160"/>
      <c r="O77" s="186"/>
      <c r="P77" s="1992" t="s">
        <v>597</v>
      </c>
      <c r="Q77" s="1991"/>
      <c r="R77" s="221" t="s">
        <v>938</v>
      </c>
      <c r="S77" s="209"/>
      <c r="T77" s="78"/>
      <c r="U77" s="78"/>
      <c r="V77" s="78"/>
      <c r="W77" s="78"/>
      <c r="X77" s="78"/>
      <c r="Y77" s="78"/>
      <c r="Z77" s="78"/>
      <c r="AA77" s="78"/>
      <c r="AB77" s="78"/>
      <c r="AC77" s="78"/>
      <c r="AD77" s="78"/>
      <c r="AE77" s="78"/>
      <c r="AF77" s="78"/>
      <c r="AG77" s="78"/>
      <c r="AH77" s="78"/>
      <c r="AI77" s="78"/>
      <c r="AJ77" s="78"/>
      <c r="AK77" s="78"/>
      <c r="AL77" s="78"/>
      <c r="AM77" s="78"/>
      <c r="AN77" s="78"/>
      <c r="AO77" s="78"/>
      <c r="AP77" s="78"/>
      <c r="AQ77" s="78"/>
      <c r="AR77" s="78"/>
      <c r="AS77" s="78"/>
      <c r="AT77" s="78"/>
      <c r="AU77" s="78"/>
      <c r="AV77" s="78"/>
    </row>
    <row r="78" spans="1:48" s="75" customFormat="1" ht="15" hidden="1" customHeight="1">
      <c r="A78" s="161" t="s">
        <v>598</v>
      </c>
      <c r="B78" s="161" t="s">
        <v>183</v>
      </c>
      <c r="C78" s="162" t="s">
        <v>599</v>
      </c>
      <c r="D78" s="163" t="str">
        <f>D60</f>
        <v>高层</v>
      </c>
      <c r="E78" s="164" t="str">
        <f t="shared" ref="E78:O78" si="82">E60</f>
        <v>商铺</v>
      </c>
      <c r="F78" s="164" t="str">
        <f t="shared" si="82"/>
        <v>回迁商业</v>
      </c>
      <c r="G78" s="164">
        <f t="shared" si="82"/>
        <v>0</v>
      </c>
      <c r="H78" s="164">
        <f t="shared" si="82"/>
        <v>0</v>
      </c>
      <c r="I78" s="164">
        <f t="shared" si="82"/>
        <v>0</v>
      </c>
      <c r="J78" s="164">
        <f t="shared" si="82"/>
        <v>0</v>
      </c>
      <c r="K78" s="164">
        <f t="shared" si="82"/>
        <v>0</v>
      </c>
      <c r="L78" s="164">
        <f t="shared" si="82"/>
        <v>0</v>
      </c>
      <c r="M78" s="164" t="str">
        <f t="shared" si="82"/>
        <v>自持物业</v>
      </c>
      <c r="N78" s="164" t="str">
        <f t="shared" si="82"/>
        <v>有产权车库(个)</v>
      </c>
      <c r="O78" s="187" t="str">
        <f t="shared" si="82"/>
        <v>无产权车库(个)</v>
      </c>
      <c r="P78" s="201" t="s">
        <v>600</v>
      </c>
      <c r="Q78" s="161" t="s">
        <v>601</v>
      </c>
      <c r="R78" s="161" t="s">
        <v>164</v>
      </c>
      <c r="S78" s="210"/>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row>
    <row r="79" spans="1:48" s="75" customFormat="1" ht="15" hidden="1" customHeight="1">
      <c r="A79" s="1997" t="s">
        <v>23</v>
      </c>
      <c r="B79" s="165" t="s">
        <v>454</v>
      </c>
      <c r="C79" s="166">
        <f>SUM(D79:O79)</f>
        <v>0</v>
      </c>
      <c r="D79" s="167">
        <f>'11.销售及回款表'!D368/1.1+D164+'12.土地成本表'!H72</f>
        <v>0</v>
      </c>
      <c r="E79" s="168">
        <f>'11.销售及回款表'!D373/1.1+E164+'12.土地成本表'!H73</f>
        <v>0</v>
      </c>
      <c r="F79" s="168">
        <f>'11.销售及回款表'!D378/1.1+F164+'12.土地成本表'!H74</f>
        <v>0</v>
      </c>
      <c r="G79" s="168">
        <f>'11.销售及回款表'!D383/1.1+G164+'12.土地成本表'!H75</f>
        <v>0</v>
      </c>
      <c r="H79" s="168">
        <f>'11.销售及回款表'!D388/1.1+H164+'12.土地成本表'!H76</f>
        <v>0</v>
      </c>
      <c r="I79" s="168">
        <f>'11.销售及回款表'!D393/1.1+I164+'12.土地成本表'!H77</f>
        <v>0</v>
      </c>
      <c r="J79" s="168">
        <f>'11.销售及回款表'!D398/1.1+J164+'12.土地成本表'!H78</f>
        <v>0</v>
      </c>
      <c r="K79" s="168">
        <f>'11.销售及回款表'!D403/1.1+K164+'12.土地成本表'!H79</f>
        <v>0</v>
      </c>
      <c r="L79" s="168">
        <f>'11.销售及回款表'!D408/1.1+L164+'12.土地成本表'!H80</f>
        <v>0</v>
      </c>
      <c r="M79" s="90"/>
      <c r="N79" s="168">
        <f>'11.销售及回款表'!D418/1.1+N164</f>
        <v>0</v>
      </c>
      <c r="O79" s="189">
        <f>'11.销售及回款表'!D423/1.1+O164</f>
        <v>0</v>
      </c>
      <c r="P79" s="202">
        <f>IF($R$77="合并清算",0,SUMIF(D77:O77,"普",D79:O79))</f>
        <v>0</v>
      </c>
      <c r="Q79" s="211">
        <f>IF($R$77="合并清算",C79,IF($R$77="两分法",C79-P79,SUMIF(D77:O77,"非普",D79:O79)))</f>
        <v>0</v>
      </c>
      <c r="R79" s="211">
        <f t="shared" ref="R79:R84" si="83">IF($R$77="三分法",C79-P79-Q79,0)</f>
        <v>0</v>
      </c>
      <c r="S79" s="212"/>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row>
    <row r="80" spans="1:48" s="75" customFormat="1" ht="15" hidden="1" customHeight="1">
      <c r="A80" s="1997"/>
      <c r="B80" s="165" t="s">
        <v>368</v>
      </c>
      <c r="C80" s="166">
        <f>SUM(D80:O80)</f>
        <v>0</v>
      </c>
      <c r="D80" s="185">
        <f>'12.土地成本表'!H25-D145-D154-'12.土地成本表'!H87</f>
        <v>0</v>
      </c>
      <c r="E80" s="171">
        <f>'12.土地成本表'!H26-E145-E154-'12.土地成本表'!H88</f>
        <v>0</v>
      </c>
      <c r="F80" s="171">
        <f>'12.土地成本表'!H27-F145-F154-'12.土地成本表'!H89</f>
        <v>0</v>
      </c>
      <c r="G80" s="171">
        <f>'12.土地成本表'!H28-G145-G154-'12.土地成本表'!H90</f>
        <v>0</v>
      </c>
      <c r="H80" s="171">
        <f>'12.土地成本表'!H29-H145-H154-'12.土地成本表'!H91</f>
        <v>0</v>
      </c>
      <c r="I80" s="171">
        <f>'12.土地成本表'!H30-I145-I154-'12.土地成本表'!H92</f>
        <v>0</v>
      </c>
      <c r="J80" s="171">
        <f>'12.土地成本表'!H31-J145-J154-'12.土地成本表'!H93</f>
        <v>0</v>
      </c>
      <c r="K80" s="171">
        <f>'12.土地成本表'!H32-K145-K154-'12.土地成本表'!H94</f>
        <v>0</v>
      </c>
      <c r="L80" s="171">
        <f>'12.土地成本表'!H33-L145-L154-'12.土地成本表'!H95</f>
        <v>0</v>
      </c>
      <c r="M80" s="90"/>
      <c r="N80" s="206"/>
      <c r="O80" s="207"/>
      <c r="P80" s="202">
        <f>IF($R$77="合并清算",0,SUMIF(D77:O77,"普",D80:O80))</f>
        <v>0</v>
      </c>
      <c r="Q80" s="211">
        <f>IF($R$77="合并清算",C80,IF($R$77="两分法",C80-P80,SUMIF(D77:O77,"非普",D80:O80)))</f>
        <v>0</v>
      </c>
      <c r="R80" s="211">
        <f t="shared" si="83"/>
        <v>0</v>
      </c>
      <c r="S80" s="212"/>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row>
    <row r="81" spans="1:48" s="75" customFormat="1" ht="15" hidden="1" customHeight="1">
      <c r="A81" s="1997"/>
      <c r="B81" s="165" t="s">
        <v>578</v>
      </c>
      <c r="C81" s="166">
        <f t="shared" ref="C81:C87" si="84">SUM(D81:O81)</f>
        <v>0</v>
      </c>
      <c r="D81" s="167">
        <f>'13.建安成本表'!$Q214-'13.建安成本表'!$G230</f>
        <v>0</v>
      </c>
      <c r="E81" s="168">
        <f>'13.建安成本表'!$Q215-'13.建安成本表'!$G231</f>
        <v>0</v>
      </c>
      <c r="F81" s="168">
        <f>'13.建安成本表'!$Q216-'13.建安成本表'!$G232</f>
        <v>0</v>
      </c>
      <c r="G81" s="168">
        <f>'13.建安成本表'!$Q217-'13.建安成本表'!$G233</f>
        <v>0</v>
      </c>
      <c r="H81" s="168">
        <f>'13.建安成本表'!$Q218-'13.建安成本表'!$G234</f>
        <v>0</v>
      </c>
      <c r="I81" s="168">
        <f>'13.建安成本表'!$Q219-'13.建安成本表'!$G235</f>
        <v>0</v>
      </c>
      <c r="J81" s="168">
        <f>'13.建安成本表'!$Q220-'13.建安成本表'!$G236</f>
        <v>0</v>
      </c>
      <c r="K81" s="168">
        <f>'13.建安成本表'!$Q221-'13.建安成本表'!$G237</f>
        <v>0</v>
      </c>
      <c r="L81" s="168">
        <f>'13.建安成本表'!$Q222-'13.建安成本表'!$G238</f>
        <v>0</v>
      </c>
      <c r="M81" s="90"/>
      <c r="N81" s="171">
        <f>'13.建安成本表'!$Q224-'13.建安成本表'!$G240</f>
        <v>0</v>
      </c>
      <c r="O81" s="232">
        <f>'13.建安成本表'!$Q225-'13.建安成本表'!$G241</f>
        <v>0</v>
      </c>
      <c r="P81" s="202">
        <f>IF($R$77="合并清算",0,SUMIF(D77:O77,"普",D81:O81))</f>
        <v>0</v>
      </c>
      <c r="Q81" s="211">
        <f>IF($R$77="合并清算",C81,IF($R$77="两分法",C81-P81,SUMIF(D77:O77,"非普",D81:O81)))</f>
        <v>0</v>
      </c>
      <c r="R81" s="211">
        <f t="shared" si="83"/>
        <v>0</v>
      </c>
      <c r="S81" s="212"/>
      <c r="T81" s="85"/>
      <c r="U81" s="85"/>
      <c r="V81" s="85"/>
      <c r="W81" s="85"/>
      <c r="X81" s="85"/>
      <c r="Y81" s="85"/>
      <c r="Z81" s="85"/>
      <c r="AA81" s="85"/>
      <c r="AB81" s="85"/>
      <c r="AC81" s="85"/>
      <c r="AD81" s="85"/>
      <c r="AE81" s="85"/>
      <c r="AF81" s="85"/>
      <c r="AG81" s="85"/>
      <c r="AH81" s="85"/>
      <c r="AI81" s="85"/>
      <c r="AJ81" s="85"/>
      <c r="AK81" s="85"/>
      <c r="AL81" s="85"/>
      <c r="AM81" s="85"/>
      <c r="AN81" s="85"/>
      <c r="AO81" s="85"/>
      <c r="AP81" s="85"/>
      <c r="AQ81" s="85"/>
      <c r="AR81" s="85"/>
      <c r="AS81" s="85"/>
      <c r="AT81" s="85"/>
      <c r="AU81" s="85"/>
      <c r="AV81" s="85"/>
    </row>
    <row r="82" spans="1:48" s="75" customFormat="1" ht="15" hidden="1" customHeight="1">
      <c r="A82" s="1997"/>
      <c r="B82" s="165" t="s">
        <v>602</v>
      </c>
      <c r="C82" s="166">
        <f t="shared" si="84"/>
        <v>0</v>
      </c>
      <c r="D82" s="167">
        <f>D79*1.11*('2.税率表'!$D$11*('2.税率表'!$D$13+'2.税率表'!$D$14+'2.税率表'!$D$17)+'2.税率表'!$D$16+'2.税率表'!$D$18)</f>
        <v>0</v>
      </c>
      <c r="E82" s="168">
        <f>E79*1.11*('2.税率表'!$D$11*('2.税率表'!$D$13+'2.税率表'!$D$14+'2.税率表'!$D$17)+'2.税率表'!$D$16+'2.税率表'!$D$18)</f>
        <v>0</v>
      </c>
      <c r="F82" s="168">
        <f>F79*1.11*('2.税率表'!$D$11*('2.税率表'!$D$13+'2.税率表'!$D$14+'2.税率表'!$D$17)+'2.税率表'!$D$16+'2.税率表'!$D$18)</f>
        <v>0</v>
      </c>
      <c r="G82" s="168">
        <f>G79*1.11*('2.税率表'!$D$11*('2.税率表'!$D$13+'2.税率表'!$D$14+'2.税率表'!$D$17)+'2.税率表'!$D$16+'2.税率表'!$D$18)</f>
        <v>0</v>
      </c>
      <c r="H82" s="168">
        <f>H79*1.11*('2.税率表'!$D$11*('2.税率表'!$D$13+'2.税率表'!$D$14+'2.税率表'!$D$17)+'2.税率表'!$D$16+'2.税率表'!$D$18)</f>
        <v>0</v>
      </c>
      <c r="I82" s="168">
        <f>I79*1.11*('2.税率表'!$D$11*('2.税率表'!$D$13+'2.税率表'!$D$14+'2.税率表'!$D$17)+'2.税率表'!$D$16+'2.税率表'!$D$18)</f>
        <v>0</v>
      </c>
      <c r="J82" s="168">
        <f>J79*1.11*('2.税率表'!$D$11*('2.税率表'!$D$13+'2.税率表'!$D$14+'2.税率表'!$D$17)+'2.税率表'!$D$16+'2.税率表'!$D$18)</f>
        <v>0</v>
      </c>
      <c r="K82" s="168">
        <f>K79*1.11*('2.税率表'!$D$11*('2.税率表'!$D$13+'2.税率表'!$D$14+'2.税率表'!$D$17)+'2.税率表'!$D$16+'2.税率表'!$D$18)</f>
        <v>0</v>
      </c>
      <c r="L82" s="168">
        <f>L79*1.11*('2.税率表'!$D$11*('2.税率表'!$D$13+'2.税率表'!$D$14+'2.税率表'!$D$17)+'2.税率表'!$D$16+'2.税率表'!$D$18)</f>
        <v>0</v>
      </c>
      <c r="M82" s="90"/>
      <c r="N82" s="168">
        <f>N79*1.11*('2.税率表'!$D$11*('2.税率表'!$D$13+'2.税率表'!$D$14+'2.税率表'!$D$17)+'2.税率表'!$D$16+'2.税率表'!$D$18)</f>
        <v>0</v>
      </c>
      <c r="O82" s="189">
        <f>O79*1.11*('2.税率表'!$D$11*('2.税率表'!$D$13+'2.税率表'!$D$14+'2.税率表'!$D$17)+'2.税率表'!$D$16+'2.税率表'!$D$18)</f>
        <v>0</v>
      </c>
      <c r="P82" s="202">
        <f>IF($R$77="合并清算",0,SUMIF(D77:O77,"普",D82:O82))</f>
        <v>0</v>
      </c>
      <c r="Q82" s="211">
        <f>IF($R$77="合并清算",C82,IF($R$77="两分法",C82-P82,SUMIF(D77:O77,"非普",D82:O82)))</f>
        <v>0</v>
      </c>
      <c r="R82" s="211">
        <f t="shared" si="83"/>
        <v>0</v>
      </c>
      <c r="S82" s="212"/>
      <c r="T82" s="85"/>
      <c r="U82" s="85"/>
      <c r="V82" s="85"/>
      <c r="W82" s="85"/>
      <c r="X82" s="85"/>
      <c r="Y82" s="85"/>
      <c r="Z82" s="85"/>
      <c r="AA82" s="85"/>
      <c r="AB82" s="85"/>
      <c r="AC82" s="85"/>
      <c r="AD82" s="85"/>
      <c r="AE82" s="85"/>
      <c r="AF82" s="85"/>
      <c r="AG82" s="85"/>
      <c r="AH82" s="85"/>
      <c r="AI82" s="85"/>
      <c r="AJ82" s="85"/>
      <c r="AK82" s="85"/>
      <c r="AL82" s="85"/>
      <c r="AM82" s="85"/>
      <c r="AN82" s="85"/>
      <c r="AO82" s="85"/>
      <c r="AP82" s="85"/>
      <c r="AQ82" s="85"/>
      <c r="AR82" s="85"/>
      <c r="AS82" s="85"/>
      <c r="AT82" s="85"/>
      <c r="AU82" s="85"/>
      <c r="AV82" s="85"/>
    </row>
    <row r="83" spans="1:48" s="75" customFormat="1" ht="15" hidden="1" customHeight="1">
      <c r="A83" s="1997"/>
      <c r="B83" s="165" t="s">
        <v>373</v>
      </c>
      <c r="C83" s="166">
        <f t="shared" ca="1" si="84"/>
        <v>0</v>
      </c>
      <c r="D83" s="172">
        <f ca="1">IF('17.财务费用测算表'!$C$55&gt;($C$80+$C$81)*5%,'17.财务费用测算表'!D55,(D80+D81)*5%)-'17.财务费用测算表'!H61</f>
        <v>0</v>
      </c>
      <c r="E83" s="172">
        <f ca="1">IF('17.财务费用测算表'!$C$55&gt;($C$80+$C$81)*5%,'17.财务费用测算表'!E55,(E80+E81)*5%)-'17.财务费用测算表'!H62</f>
        <v>0</v>
      </c>
      <c r="F83" s="172">
        <f ca="1">IF('17.财务费用测算表'!$C$55&gt;($C$80+$C$81)*5%,'17.财务费用测算表'!F55,(F80+F81)*5%)-'17.财务费用测算表'!H63</f>
        <v>0</v>
      </c>
      <c r="G83" s="172">
        <f ca="1">IF('17.财务费用测算表'!$C$55&gt;($C$80+$C$81)*5%,'17.财务费用测算表'!G55,(G80+G81)*5%)-'17.财务费用测算表'!H64</f>
        <v>0</v>
      </c>
      <c r="H83" s="172">
        <f ca="1">IF('17.财务费用测算表'!$C$55&gt;($C$80+$C$81)*5%,'17.财务费用测算表'!H55,(H80+H81)*5%)-'17.财务费用测算表'!H65</f>
        <v>0</v>
      </c>
      <c r="I83" s="172">
        <f ca="1">IF('17.财务费用测算表'!$C$55&gt;($C$80+$C$81)*5%,'17.财务费用测算表'!I55,(I80+I81)*5%)-'17.财务费用测算表'!H66</f>
        <v>0</v>
      </c>
      <c r="J83" s="172">
        <f ca="1">IF('17.财务费用测算表'!$C$55&gt;($C$80+$C$81)*5%,'17.财务费用测算表'!J55,(J80+J81)*5%)-'17.财务费用测算表'!H67</f>
        <v>0</v>
      </c>
      <c r="K83" s="172">
        <f ca="1">IF('17.财务费用测算表'!$C$55&gt;($C$80+$C$81)*5%,'17.财务费用测算表'!K55,(K80+K81)*5%)-'17.财务费用测算表'!H68</f>
        <v>0</v>
      </c>
      <c r="L83" s="172">
        <f ca="1">IF('17.财务费用测算表'!$C$55&gt;($C$80+$C$81)*5%,'17.财务费用测算表'!L55,(L80+L81)*5%)-'17.财务费用测算表'!H69</f>
        <v>0</v>
      </c>
      <c r="M83" s="90"/>
      <c r="N83" s="172">
        <f ca="1">IF('17.财务费用测算表'!$C$55&gt;($C$80+$C$81)*5%,'17.财务费用测算表'!N55,(N80+N81)*5%)-'17.财务费用测算表'!H71</f>
        <v>0</v>
      </c>
      <c r="O83" s="172">
        <f ca="1">IF('17.财务费用测算表'!$C$55&gt;($C$80+$C$81)*5%,'17.财务费用测算表'!O55,(O80+O81)*5%)-'17.财务费用测算表'!H72</f>
        <v>0</v>
      </c>
      <c r="P83" s="167">
        <f ca="1">IF('17.财务费用测算表'!$C$55&gt;($C$80+$C$81)*5%,'17.财务费用测算表'!P55,(P80+P81)*5%)</f>
        <v>0</v>
      </c>
      <c r="Q83" s="167">
        <f ca="1">IF('17.财务费用测算表'!$C$55&gt;($C$80+$C$81)*5%,'17.财务费用测算表'!Q55,(Q80+Q81)*5%)</f>
        <v>0</v>
      </c>
      <c r="R83" s="211">
        <f t="shared" ca="1" si="83"/>
        <v>0</v>
      </c>
      <c r="S83" s="212"/>
      <c r="T83" s="85"/>
      <c r="U83" s="85"/>
      <c r="V83" s="85"/>
      <c r="W83" s="85"/>
      <c r="X83" s="85"/>
      <c r="Y83" s="85"/>
      <c r="Z83" s="85"/>
      <c r="AA83" s="85"/>
      <c r="AB83" s="85"/>
      <c r="AC83" s="85"/>
      <c r="AD83" s="85"/>
      <c r="AE83" s="85"/>
      <c r="AF83" s="85"/>
      <c r="AG83" s="85"/>
      <c r="AH83" s="85"/>
      <c r="AI83" s="85"/>
      <c r="AJ83" s="85"/>
      <c r="AK83" s="85"/>
      <c r="AL83" s="85"/>
      <c r="AM83" s="85"/>
      <c r="AN83" s="85"/>
      <c r="AO83" s="85"/>
      <c r="AP83" s="85"/>
      <c r="AQ83" s="85"/>
      <c r="AR83" s="85"/>
      <c r="AS83" s="85"/>
      <c r="AT83" s="85"/>
      <c r="AU83" s="85"/>
      <c r="AV83" s="85"/>
    </row>
    <row r="84" spans="1:48" s="75" customFormat="1" ht="15" hidden="1" customHeight="1">
      <c r="A84" s="1997"/>
      <c r="B84" s="165" t="s">
        <v>603</v>
      </c>
      <c r="C84" s="166">
        <f t="shared" si="84"/>
        <v>0</v>
      </c>
      <c r="D84" s="172">
        <f>(D80+D81)*5%</f>
        <v>0</v>
      </c>
      <c r="E84" s="184">
        <f t="shared" ref="E84:N84" si="85">(E80+E81)*5%</f>
        <v>0</v>
      </c>
      <c r="F84" s="184">
        <f t="shared" si="85"/>
        <v>0</v>
      </c>
      <c r="G84" s="184">
        <f t="shared" si="85"/>
        <v>0</v>
      </c>
      <c r="H84" s="184">
        <f t="shared" si="85"/>
        <v>0</v>
      </c>
      <c r="I84" s="184">
        <f t="shared" si="85"/>
        <v>0</v>
      </c>
      <c r="J84" s="184">
        <f t="shared" si="85"/>
        <v>0</v>
      </c>
      <c r="K84" s="184">
        <f t="shared" si="85"/>
        <v>0</v>
      </c>
      <c r="L84" s="184">
        <f t="shared" si="85"/>
        <v>0</v>
      </c>
      <c r="M84" s="90"/>
      <c r="N84" s="184">
        <f t="shared" si="85"/>
        <v>0</v>
      </c>
      <c r="O84" s="233"/>
      <c r="P84" s="202">
        <f>IF($R$77="合并清算",0,SUMIF(D77:O77,"普",D84:O84))</f>
        <v>0</v>
      </c>
      <c r="Q84" s="211">
        <f>IF($R$77="合并清算",C84,IF($R$77="两分法",C84-P84,SUMIF(D77:O77,"非普",D84:O84)))</f>
        <v>0</v>
      </c>
      <c r="R84" s="211">
        <f t="shared" si="83"/>
        <v>0</v>
      </c>
      <c r="S84" s="212"/>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row>
    <row r="85" spans="1:48" s="75" customFormat="1" ht="15" hidden="1" customHeight="1">
      <c r="A85" s="1997"/>
      <c r="B85" s="165" t="s">
        <v>604</v>
      </c>
      <c r="C85" s="166">
        <f t="shared" si="84"/>
        <v>0</v>
      </c>
      <c r="D85" s="172">
        <f>(D80+D81)*20%</f>
        <v>0</v>
      </c>
      <c r="E85" s="184">
        <f t="shared" ref="E85:R85" si="86">(E80+E81)*20%</f>
        <v>0</v>
      </c>
      <c r="F85" s="184">
        <f t="shared" si="86"/>
        <v>0</v>
      </c>
      <c r="G85" s="184">
        <f t="shared" si="86"/>
        <v>0</v>
      </c>
      <c r="H85" s="184">
        <f t="shared" si="86"/>
        <v>0</v>
      </c>
      <c r="I85" s="184">
        <f t="shared" si="86"/>
        <v>0</v>
      </c>
      <c r="J85" s="184">
        <f t="shared" si="86"/>
        <v>0</v>
      </c>
      <c r="K85" s="184">
        <f t="shared" si="86"/>
        <v>0</v>
      </c>
      <c r="L85" s="184">
        <f t="shared" si="86"/>
        <v>0</v>
      </c>
      <c r="M85" s="90"/>
      <c r="N85" s="184">
        <f t="shared" si="86"/>
        <v>0</v>
      </c>
      <c r="O85" s="197">
        <f t="shared" si="86"/>
        <v>0</v>
      </c>
      <c r="P85" s="202">
        <f t="shared" si="86"/>
        <v>0</v>
      </c>
      <c r="Q85" s="211">
        <f t="shared" si="86"/>
        <v>0</v>
      </c>
      <c r="R85" s="211">
        <f t="shared" si="86"/>
        <v>0</v>
      </c>
      <c r="S85" s="212"/>
      <c r="T85" s="85"/>
      <c r="U85" s="85"/>
      <c r="V85" s="85"/>
      <c r="W85" s="85"/>
      <c r="X85" s="85"/>
      <c r="Y85" s="85"/>
      <c r="Z85" s="85"/>
      <c r="AA85" s="85"/>
      <c r="AB85" s="85"/>
      <c r="AC85" s="85"/>
      <c r="AD85" s="85"/>
      <c r="AE85" s="85"/>
      <c r="AF85" s="85"/>
      <c r="AG85" s="85"/>
      <c r="AH85" s="85"/>
      <c r="AI85" s="85"/>
      <c r="AJ85" s="85"/>
      <c r="AK85" s="85"/>
      <c r="AL85" s="85"/>
      <c r="AM85" s="85"/>
      <c r="AN85" s="85"/>
      <c r="AO85" s="85"/>
      <c r="AP85" s="85"/>
      <c r="AQ85" s="85"/>
      <c r="AR85" s="85"/>
      <c r="AS85" s="85"/>
      <c r="AT85" s="85"/>
      <c r="AU85" s="85"/>
      <c r="AV85" s="85"/>
    </row>
    <row r="86" spans="1:48" s="75" customFormat="1" ht="15" hidden="1" customHeight="1">
      <c r="A86" s="1997"/>
      <c r="B86" s="165" t="s">
        <v>605</v>
      </c>
      <c r="C86" s="166">
        <f t="shared" ca="1" si="84"/>
        <v>0</v>
      </c>
      <c r="D86" s="167">
        <f t="shared" ref="D86:R86" ca="1" si="87">SUM(D80:D85)</f>
        <v>0</v>
      </c>
      <c r="E86" s="168">
        <f t="shared" ca="1" si="87"/>
        <v>0</v>
      </c>
      <c r="F86" s="168">
        <f t="shared" ca="1" si="87"/>
        <v>0</v>
      </c>
      <c r="G86" s="168">
        <f t="shared" ca="1" si="87"/>
        <v>0</v>
      </c>
      <c r="H86" s="168">
        <f t="shared" ca="1" si="87"/>
        <v>0</v>
      </c>
      <c r="I86" s="168">
        <f t="shared" ca="1" si="87"/>
        <v>0</v>
      </c>
      <c r="J86" s="168">
        <f t="shared" ca="1" si="87"/>
        <v>0</v>
      </c>
      <c r="K86" s="168">
        <f t="shared" ca="1" si="87"/>
        <v>0</v>
      </c>
      <c r="L86" s="168">
        <f t="shared" ca="1" si="87"/>
        <v>0</v>
      </c>
      <c r="M86" s="90"/>
      <c r="N86" s="168">
        <f t="shared" ca="1" si="87"/>
        <v>0</v>
      </c>
      <c r="O86" s="189">
        <f t="shared" ca="1" si="87"/>
        <v>0</v>
      </c>
      <c r="P86" s="202">
        <f t="shared" ca="1" si="87"/>
        <v>0</v>
      </c>
      <c r="Q86" s="211">
        <f t="shared" ca="1" si="87"/>
        <v>0</v>
      </c>
      <c r="R86" s="211">
        <f t="shared" ca="1" si="87"/>
        <v>0</v>
      </c>
      <c r="S86" s="212"/>
      <c r="T86" s="85"/>
      <c r="U86" s="85"/>
      <c r="V86" s="85"/>
      <c r="W86" s="85"/>
      <c r="X86" s="85"/>
      <c r="Y86" s="85"/>
      <c r="Z86" s="85"/>
      <c r="AA86" s="85"/>
      <c r="AB86" s="85"/>
      <c r="AC86" s="85"/>
      <c r="AD86" s="85"/>
      <c r="AE86" s="85"/>
      <c r="AF86" s="85"/>
      <c r="AG86" s="85"/>
      <c r="AH86" s="85"/>
      <c r="AI86" s="85"/>
      <c r="AJ86" s="85"/>
      <c r="AK86" s="85"/>
      <c r="AL86" s="85"/>
      <c r="AM86" s="85"/>
      <c r="AN86" s="85"/>
      <c r="AO86" s="85"/>
      <c r="AP86" s="85"/>
      <c r="AQ86" s="85"/>
      <c r="AR86" s="85"/>
      <c r="AS86" s="85"/>
      <c r="AT86" s="85"/>
      <c r="AU86" s="85"/>
      <c r="AV86" s="85"/>
    </row>
    <row r="87" spans="1:48" s="75" customFormat="1" ht="15" hidden="1" customHeight="1">
      <c r="A87" s="1997"/>
      <c r="B87" s="165" t="s">
        <v>419</v>
      </c>
      <c r="C87" s="166">
        <f t="shared" ca="1" si="84"/>
        <v>0</v>
      </c>
      <c r="D87" s="167">
        <f ca="1">D79-D86</f>
        <v>0</v>
      </c>
      <c r="E87" s="168">
        <f t="shared" ref="E87:R87" ca="1" si="88">E79-E86</f>
        <v>0</v>
      </c>
      <c r="F87" s="168">
        <f t="shared" ca="1" si="88"/>
        <v>0</v>
      </c>
      <c r="G87" s="168">
        <f t="shared" ca="1" si="88"/>
        <v>0</v>
      </c>
      <c r="H87" s="168">
        <f t="shared" ca="1" si="88"/>
        <v>0</v>
      </c>
      <c r="I87" s="168">
        <f t="shared" ca="1" si="88"/>
        <v>0</v>
      </c>
      <c r="J87" s="168">
        <f t="shared" ca="1" si="88"/>
        <v>0</v>
      </c>
      <c r="K87" s="168">
        <f t="shared" ca="1" si="88"/>
        <v>0</v>
      </c>
      <c r="L87" s="168">
        <f t="shared" ca="1" si="88"/>
        <v>0</v>
      </c>
      <c r="M87" s="90"/>
      <c r="N87" s="168">
        <f t="shared" ca="1" si="88"/>
        <v>0</v>
      </c>
      <c r="O87" s="189">
        <f t="shared" ca="1" si="88"/>
        <v>0</v>
      </c>
      <c r="P87" s="202">
        <f t="shared" ca="1" si="88"/>
        <v>0</v>
      </c>
      <c r="Q87" s="211">
        <f t="shared" ca="1" si="88"/>
        <v>0</v>
      </c>
      <c r="R87" s="211">
        <f t="shared" ca="1" si="88"/>
        <v>0</v>
      </c>
      <c r="S87" s="212"/>
      <c r="T87" s="85"/>
      <c r="U87" s="85"/>
      <c r="V87" s="85"/>
      <c r="W87" s="85"/>
      <c r="X87" s="85"/>
      <c r="Y87" s="85"/>
      <c r="Z87" s="85"/>
      <c r="AA87" s="85"/>
      <c r="AB87" s="85"/>
      <c r="AC87" s="85"/>
      <c r="AD87" s="85"/>
      <c r="AE87" s="85"/>
      <c r="AF87" s="85"/>
      <c r="AG87" s="85"/>
      <c r="AH87" s="85"/>
      <c r="AI87" s="85"/>
      <c r="AJ87" s="85"/>
      <c r="AK87" s="85"/>
      <c r="AL87" s="85"/>
      <c r="AM87" s="85"/>
      <c r="AN87" s="85"/>
      <c r="AO87" s="85"/>
      <c r="AP87" s="85"/>
      <c r="AQ87" s="85"/>
      <c r="AR87" s="85"/>
      <c r="AS87" s="85"/>
      <c r="AT87" s="85"/>
      <c r="AU87" s="85"/>
      <c r="AV87" s="85"/>
    </row>
    <row r="88" spans="1:48" s="75" customFormat="1" ht="15" hidden="1" customHeight="1">
      <c r="A88" s="1997"/>
      <c r="B88" s="165" t="s">
        <v>420</v>
      </c>
      <c r="C88" s="173">
        <f ca="1">IF(C86&lt;&gt;0,C87/C86,0)</f>
        <v>0</v>
      </c>
      <c r="D88" s="174">
        <f ca="1">IF(D86&lt;&gt;0,D87/D86,0)</f>
        <v>0</v>
      </c>
      <c r="E88" s="175">
        <f t="shared" ref="E88:R88" ca="1" si="89">IF(E86&lt;&gt;0,E87/E86,0)</f>
        <v>0</v>
      </c>
      <c r="F88" s="175">
        <f t="shared" ca="1" si="89"/>
        <v>0</v>
      </c>
      <c r="G88" s="175">
        <f t="shared" ca="1" si="89"/>
        <v>0</v>
      </c>
      <c r="H88" s="175">
        <f t="shared" ca="1" si="89"/>
        <v>0</v>
      </c>
      <c r="I88" s="175">
        <f t="shared" ca="1" si="89"/>
        <v>0</v>
      </c>
      <c r="J88" s="175">
        <f t="shared" ca="1" si="89"/>
        <v>0</v>
      </c>
      <c r="K88" s="175">
        <f t="shared" ca="1" si="89"/>
        <v>0</v>
      </c>
      <c r="L88" s="175">
        <f t="shared" ca="1" si="89"/>
        <v>0</v>
      </c>
      <c r="M88" s="175">
        <f t="shared" si="89"/>
        <v>0</v>
      </c>
      <c r="N88" s="175">
        <f t="shared" ca="1" si="89"/>
        <v>0</v>
      </c>
      <c r="O88" s="192">
        <f t="shared" ca="1" si="89"/>
        <v>0</v>
      </c>
      <c r="P88" s="203">
        <f t="shared" ca="1" si="89"/>
        <v>0</v>
      </c>
      <c r="Q88" s="213">
        <f t="shared" ca="1" si="89"/>
        <v>0</v>
      </c>
      <c r="R88" s="213">
        <f t="shared" ca="1" si="89"/>
        <v>0</v>
      </c>
      <c r="S88" s="214"/>
      <c r="T88" s="85"/>
      <c r="U88" s="85"/>
      <c r="V88" s="85"/>
      <c r="W88" s="85"/>
      <c r="X88" s="85"/>
      <c r="Y88" s="85"/>
      <c r="Z88" s="85"/>
      <c r="AA88" s="85"/>
      <c r="AB88" s="85"/>
      <c r="AC88" s="85"/>
      <c r="AD88" s="85"/>
      <c r="AE88" s="85"/>
      <c r="AF88" s="85"/>
      <c r="AG88" s="85"/>
      <c r="AH88" s="85"/>
      <c r="AI88" s="85"/>
      <c r="AJ88" s="85"/>
      <c r="AK88" s="85"/>
      <c r="AL88" s="85"/>
      <c r="AM88" s="85"/>
      <c r="AN88" s="85"/>
      <c r="AO88" s="85"/>
      <c r="AP88" s="85"/>
      <c r="AQ88" s="85"/>
      <c r="AR88" s="85"/>
      <c r="AS88" s="85"/>
      <c r="AT88" s="85"/>
      <c r="AU88" s="85"/>
      <c r="AV88" s="85"/>
    </row>
    <row r="89" spans="1:48" s="75" customFormat="1" ht="15" hidden="1" customHeight="1">
      <c r="A89" s="1997"/>
      <c r="B89" s="165" t="s">
        <v>606</v>
      </c>
      <c r="C89" s="166" t="s">
        <v>607</v>
      </c>
      <c r="D89" s="174">
        <f>IF(OR(D77="非普",D77="其他"),IF(D88&lt;=0,0,IF(D88&lt;=0.5,0.3,IF(D88&lt;=1,0.4,IF(D88&lt;=2,0.5,0.6)))),IF(D77="普",IF(D88&lt;=0.2,0,IF(D88&lt;=0.5,0.3,IF(D88&lt;=1,0.4,IF(D88&lt;=2,0.5,0.6)))),0))</f>
        <v>0</v>
      </c>
      <c r="E89" s="175">
        <f t="shared" ref="E89" si="90">IF(OR(E77="非普",E77="其他"),IF(E88&lt;=0,0,IF(E88&lt;=0.5,0.3,IF(E88&lt;=1,0.4,IF(E88&lt;=2,0.5,0.6)))),IF(E77="普",IF(E88&lt;=0.2,0,IF(E88&lt;=0.5,0.3,IF(E88&lt;=1,0.4,IF(E88&lt;=2,0.5,0.6)))),0))</f>
        <v>0</v>
      </c>
      <c r="F89" s="175">
        <f t="shared" ref="F89" si="91">IF(OR(F77="非普",F77="其他"),IF(F88&lt;=0,0,IF(F88&lt;=0.5,0.3,IF(F88&lt;=1,0.4,IF(F88&lt;=2,0.5,0.6)))),IF(F77="普",IF(F88&lt;=0.2,0,IF(F88&lt;=0.5,0.3,IF(F88&lt;=1,0.4,IF(F88&lt;=2,0.5,0.6)))),0))</f>
        <v>0</v>
      </c>
      <c r="G89" s="175">
        <f t="shared" ref="G89" si="92">IF(OR(G77="非普",G77="其他"),IF(G88&lt;=0,0,IF(G88&lt;=0.5,0.3,IF(G88&lt;=1,0.4,IF(G88&lt;=2,0.5,0.6)))),IF(G77="普",IF(G88&lt;=0.2,0,IF(G88&lt;=0.5,0.3,IF(G88&lt;=1,0.4,IF(G88&lt;=2,0.5,0.6)))),0))</f>
        <v>0</v>
      </c>
      <c r="H89" s="175">
        <f t="shared" ref="H89" si="93">IF(OR(H77="非普",H77="其他"),IF(H88&lt;=0,0,IF(H88&lt;=0.5,0.3,IF(H88&lt;=1,0.4,IF(H88&lt;=2,0.5,0.6)))),IF(H77="普",IF(H88&lt;=0.2,0,IF(H88&lt;=0.5,0.3,IF(H88&lt;=1,0.4,IF(H88&lt;=2,0.5,0.6)))),0))</f>
        <v>0</v>
      </c>
      <c r="I89" s="175">
        <f t="shared" ref="I89:J89" si="94">IF(OR(I77="非普",I77="其他"),IF(I88&lt;=0,0,IF(I88&lt;=0.5,0.3,IF(I88&lt;=1,0.4,IF(I88&lt;=2,0.5,0.6)))),IF(I77="普",IF(I88&lt;=0.2,0,IF(I88&lt;=0.5,0.3,IF(I88&lt;=1,0.4,IF(I88&lt;=2,0.5,0.6)))),0))</f>
        <v>0</v>
      </c>
      <c r="J89" s="175">
        <f t="shared" si="94"/>
        <v>0</v>
      </c>
      <c r="K89" s="175">
        <f t="shared" ref="K89" si="95">IF(OR(K77="非普",K77="其他"),IF(K88&lt;=0,0,IF(K88&lt;=0.5,0.3,IF(K88&lt;=1,0.4,IF(K88&lt;=2,0.5,0.6)))),IF(K77="普",IF(K88&lt;=0.2,0,IF(K88&lt;=0.5,0.3,IF(K88&lt;=1,0.4,IF(K88&lt;=2,0.5,0.6)))),0))</f>
        <v>0</v>
      </c>
      <c r="L89" s="175">
        <f t="shared" ref="L89" si="96">IF(OR(L77="非普",L77="其他"),IF(L88&lt;=0,0,IF(L88&lt;=0.5,0.3,IF(L88&lt;=1,0.4,IF(L88&lt;=2,0.5,0.6)))),IF(L77="普",IF(L88&lt;=0.2,0,IF(L88&lt;=0.5,0.3,IF(L88&lt;=1,0.4,IF(L88&lt;=2,0.5,0.6)))),0))</f>
        <v>0</v>
      </c>
      <c r="M89" s="175">
        <f t="shared" ref="M89" si="97">IF(OR(M77="非普",M77="其他"),IF(M88&lt;=0,0,IF(M88&lt;=0.5,0.3,IF(M88&lt;=1,0.4,IF(M88&lt;=2,0.5,0.6)))),IF(M77="普",IF(M88&lt;=0.2,0,IF(M88&lt;=0.5,0.3,IF(M88&lt;=1,0.4,IF(M88&lt;=2,0.5,0.6)))),0))</f>
        <v>0</v>
      </c>
      <c r="N89" s="175">
        <f t="shared" ref="N89:O89" si="98">IF(OR(N77="非普",N77="其他"),IF(N88&lt;=0,0,IF(N88&lt;=0.5,0.3,IF(N88&lt;=1,0.4,IF(N88&lt;=2,0.5,0.6)))),IF(N77="普",IF(N88&lt;=0.2,0,IF(N88&lt;=0.5,0.3,IF(N88&lt;=1,0.4,IF(N88&lt;=2,0.5,0.6)))),0))</f>
        <v>0</v>
      </c>
      <c r="O89" s="192">
        <f t="shared" si="98"/>
        <v>0</v>
      </c>
      <c r="P89" s="204">
        <f ca="1">IF(P88&lt;=0.2,0,IF(P88&lt;=0.5,0.3,IF(P88&lt;=1,0.4,IF(P88&lt;=2,0.5,0.6))))</f>
        <v>0</v>
      </c>
      <c r="Q89" s="215">
        <f ca="1">IF(Q88&lt;=0,0,IF(Q88&lt;=0.5,0.3,IF(Q88&lt;=1,0.4,IF(Q88&lt;=2,0.5,0.6))))</f>
        <v>0</v>
      </c>
      <c r="R89" s="215">
        <f ca="1">IF(R88&lt;=0,0,IF(R88&lt;=0.5,0.3,IF(R88&lt;=1,0.4,IF(R88&lt;=2,0.5,0.6))))</f>
        <v>0</v>
      </c>
      <c r="S89" s="216"/>
      <c r="T89" s="85"/>
      <c r="U89" s="85"/>
      <c r="V89" s="85"/>
      <c r="W89" s="85"/>
      <c r="X89" s="85"/>
      <c r="Y89" s="85"/>
      <c r="Z89" s="85"/>
      <c r="AA89" s="85"/>
      <c r="AB89" s="85"/>
      <c r="AC89" s="85"/>
      <c r="AD89" s="85"/>
      <c r="AE89" s="85"/>
      <c r="AF89" s="85"/>
      <c r="AG89" s="85"/>
      <c r="AH89" s="85"/>
      <c r="AI89" s="85"/>
      <c r="AJ89" s="85"/>
      <c r="AK89" s="85"/>
      <c r="AL89" s="85"/>
      <c r="AM89" s="85"/>
      <c r="AN89" s="85"/>
      <c r="AO89" s="85"/>
      <c r="AP89" s="85"/>
      <c r="AQ89" s="85"/>
      <c r="AR89" s="85"/>
      <c r="AS89" s="85"/>
      <c r="AT89" s="85"/>
      <c r="AU89" s="85"/>
      <c r="AV89" s="85"/>
    </row>
    <row r="90" spans="1:48" s="75" customFormat="1" ht="15" hidden="1" customHeight="1">
      <c r="A90" s="1997"/>
      <c r="B90" s="165" t="s">
        <v>608</v>
      </c>
      <c r="C90" s="166" t="s">
        <v>607</v>
      </c>
      <c r="D90" s="176">
        <f>IF(D89=0.4,0.05,IF(D89=0.5,0.15,IF(D89=0.6,0.35,0)))</f>
        <v>0</v>
      </c>
      <c r="E90" s="177">
        <f t="shared" ref="E90:R90" si="99">IF(E89=0.4,0.05,IF(E89=0.5,0.15,IF(E89=0.6,0.35,0)))</f>
        <v>0</v>
      </c>
      <c r="F90" s="177">
        <f t="shared" si="99"/>
        <v>0</v>
      </c>
      <c r="G90" s="177">
        <f t="shared" si="99"/>
        <v>0</v>
      </c>
      <c r="H90" s="177">
        <f t="shared" si="99"/>
        <v>0</v>
      </c>
      <c r="I90" s="177">
        <f t="shared" si="99"/>
        <v>0</v>
      </c>
      <c r="J90" s="177">
        <f t="shared" si="99"/>
        <v>0</v>
      </c>
      <c r="K90" s="177">
        <f t="shared" si="99"/>
        <v>0</v>
      </c>
      <c r="L90" s="177">
        <f t="shared" si="99"/>
        <v>0</v>
      </c>
      <c r="M90" s="177">
        <f t="shared" si="99"/>
        <v>0</v>
      </c>
      <c r="N90" s="177">
        <f t="shared" si="99"/>
        <v>0</v>
      </c>
      <c r="O90" s="195">
        <f t="shared" si="99"/>
        <v>0</v>
      </c>
      <c r="P90" s="204">
        <f t="shared" ca="1" si="99"/>
        <v>0</v>
      </c>
      <c r="Q90" s="215">
        <f t="shared" ca="1" si="99"/>
        <v>0</v>
      </c>
      <c r="R90" s="215">
        <f t="shared" ca="1" si="99"/>
        <v>0</v>
      </c>
      <c r="S90" s="216"/>
      <c r="T90" s="85"/>
      <c r="U90" s="85"/>
      <c r="V90" s="85"/>
      <c r="W90" s="85"/>
      <c r="X90" s="85"/>
      <c r="Y90" s="85"/>
      <c r="Z90" s="85"/>
      <c r="AA90" s="85"/>
      <c r="AB90" s="85"/>
      <c r="AC90" s="85"/>
      <c r="AD90" s="85"/>
      <c r="AE90" s="85"/>
      <c r="AF90" s="85"/>
      <c r="AG90" s="85"/>
      <c r="AH90" s="85"/>
      <c r="AI90" s="85"/>
      <c r="AJ90" s="85"/>
      <c r="AK90" s="85"/>
      <c r="AL90" s="85"/>
      <c r="AM90" s="85"/>
      <c r="AN90" s="85"/>
      <c r="AO90" s="85"/>
      <c r="AP90" s="85"/>
      <c r="AQ90" s="85"/>
      <c r="AR90" s="85"/>
      <c r="AS90" s="85"/>
      <c r="AT90" s="85"/>
      <c r="AU90" s="85"/>
      <c r="AV90" s="85"/>
    </row>
    <row r="91" spans="1:48" s="75" customFormat="1" ht="15" hidden="1" customHeight="1">
      <c r="A91" s="1997"/>
      <c r="B91" s="165" t="s">
        <v>937</v>
      </c>
      <c r="C91" s="166">
        <f ca="1">SUM(D91:O91)</f>
        <v>0</v>
      </c>
      <c r="D91" s="167">
        <f ca="1">D93-D92</f>
        <v>0</v>
      </c>
      <c r="E91" s="168">
        <f t="shared" ref="E91:P91" ca="1" si="100">E93-E92</f>
        <v>0</v>
      </c>
      <c r="F91" s="168">
        <f t="shared" ca="1" si="100"/>
        <v>0</v>
      </c>
      <c r="G91" s="168">
        <f t="shared" ca="1" si="100"/>
        <v>0</v>
      </c>
      <c r="H91" s="168">
        <f t="shared" ca="1" si="100"/>
        <v>0</v>
      </c>
      <c r="I91" s="168">
        <f t="shared" ca="1" si="100"/>
        <v>0</v>
      </c>
      <c r="J91" s="168">
        <f t="shared" ca="1" si="100"/>
        <v>0</v>
      </c>
      <c r="K91" s="168">
        <f t="shared" ca="1" si="100"/>
        <v>0</v>
      </c>
      <c r="L91" s="168">
        <f t="shared" ca="1" si="100"/>
        <v>0</v>
      </c>
      <c r="M91" s="168">
        <f t="shared" ca="1" si="100"/>
        <v>0</v>
      </c>
      <c r="N91" s="168">
        <f t="shared" ca="1" si="100"/>
        <v>0</v>
      </c>
      <c r="O91" s="189">
        <f t="shared" ca="1" si="100"/>
        <v>0</v>
      </c>
      <c r="P91" s="202">
        <f t="shared" ca="1" si="100"/>
        <v>0</v>
      </c>
      <c r="Q91" s="202">
        <f t="shared" ref="Q91:R91" ca="1" si="101">Q93-Q92</f>
        <v>0</v>
      </c>
      <c r="R91" s="202">
        <f t="shared" ca="1" si="101"/>
        <v>0</v>
      </c>
      <c r="S91" s="212"/>
      <c r="T91" s="85"/>
      <c r="U91" s="85"/>
      <c r="V91" s="85"/>
      <c r="W91" s="85"/>
      <c r="X91" s="85"/>
      <c r="Y91" s="85"/>
      <c r="Z91" s="85"/>
      <c r="AA91" s="85"/>
      <c r="AB91" s="85"/>
      <c r="AC91" s="85"/>
      <c r="AD91" s="85"/>
      <c r="AE91" s="85"/>
      <c r="AF91" s="85"/>
      <c r="AG91" s="85"/>
      <c r="AH91" s="85"/>
      <c r="AI91" s="85"/>
      <c r="AJ91" s="85"/>
      <c r="AK91" s="85"/>
      <c r="AL91" s="85"/>
      <c r="AM91" s="85"/>
      <c r="AN91" s="85"/>
      <c r="AO91" s="85"/>
      <c r="AP91" s="85"/>
      <c r="AQ91" s="85"/>
      <c r="AR91" s="85"/>
      <c r="AS91" s="85"/>
      <c r="AT91" s="85"/>
      <c r="AU91" s="85"/>
      <c r="AV91" s="85"/>
    </row>
    <row r="92" spans="1:48" s="75" customFormat="1" ht="15" hidden="1" customHeight="1">
      <c r="A92" s="1997"/>
      <c r="B92" s="165" t="s">
        <v>610</v>
      </c>
      <c r="C92" s="166">
        <f>SUM(D92:O92)</f>
        <v>0</v>
      </c>
      <c r="D92" s="178">
        <f>IF(D77="普",'11.销售及回款表'!D368/1.1*'2.税率表'!$D$20,IF(D77="非普",'11.销售及回款表'!D368/1.1*'2.税率表'!$D$21,IF(D77="其他",'11.销售及回款表'!D368/1.1*'2.税率表'!$D$22,0)))</f>
        <v>0</v>
      </c>
      <c r="E92" s="179">
        <f>IF(E77="普",'11.销售及回款表'!D373/1.1*'2.税率表'!$D$20,IF(E77="非普",'11.销售及回款表'!D373/1.1*'2.税率表'!$D$21,IF(E77="其他",'11.销售及回款表'!D373/1.1*'2.税率表'!$D$22,0)))</f>
        <v>0</v>
      </c>
      <c r="F92" s="179">
        <f>IF(F77="普",'11.销售及回款表'!D378/1.1*'2.税率表'!$D$20,IF(F77="非普",'11.销售及回款表'!D378/1.1*'2.税率表'!$D$21,IF(F77="其他",'11.销售及回款表'!D378/1.1*'2.税率表'!$D$22,0)))</f>
        <v>0</v>
      </c>
      <c r="G92" s="179">
        <f>IF(G77="普",'11.销售及回款表'!D383/1.1*'2.税率表'!$D$20,IF(G77="非普",'11.销售及回款表'!D383/1.1*'2.税率表'!$D$21,IF(G77="其他",'11.销售及回款表'!D383/1.1*'2.税率表'!$D$22,0)))</f>
        <v>0</v>
      </c>
      <c r="H92" s="179">
        <f>IF(H77="普",'11.销售及回款表'!D388/1.1*'2.税率表'!$D$20,IF(H77="非普",'11.销售及回款表'!D388/1.1*'2.税率表'!$D$21,IF(H77="其他",'11.销售及回款表'!D388/1.1*'2.税率表'!$D$22,0)))</f>
        <v>0</v>
      </c>
      <c r="I92" s="179">
        <f>IF(I77="普",'11.销售及回款表'!D393/1.1*'2.税率表'!$D$20,IF(I77="非普",'11.销售及回款表'!D393/1.1*'2.税率表'!$D$21,IF(I77="其他",'11.销售及回款表'!D393/1.1*'2.税率表'!$D$22,0)))</f>
        <v>0</v>
      </c>
      <c r="J92" s="179">
        <f>IF(J77="普",'11.销售及回款表'!D398/1.1*'2.税率表'!$D$20,IF(J77="非普",'11.销售及回款表'!D398/1.1*'2.税率表'!$D$21,IF(J77="其他",'11.销售及回款表'!D398/1.1*'2.税率表'!$D$22,0)))</f>
        <v>0</v>
      </c>
      <c r="K92" s="179">
        <f>IF(K77="普",'11.销售及回款表'!D403/1.1*'2.税率表'!$D$20,IF(K77="非普",'11.销售及回款表'!D403/1.1*'2.税率表'!$D$21,IF(K77="其他",'11.销售及回款表'!D403/1.1*'2.税率表'!$D$22,0)))</f>
        <v>0</v>
      </c>
      <c r="L92" s="179">
        <f>IF(L77="普",'11.销售及回款表'!D408/1.1*'2.税率表'!$D$20,IF(L77="非普",'11.销售及回款表'!D408/1.1*'2.税率表'!$D$21,IF(L77="其他",'11.销售及回款表'!D408/1.1*'2.税率表'!$D$22,0)))</f>
        <v>0</v>
      </c>
      <c r="M92" s="179">
        <f>IF(M77="普",'11.销售及回款表'!D413/1.1*'2.税率表'!$D$20,IF(M77="非普",'11.销售及回款表'!D413/1.1*'2.税率表'!$D$21,IF(M77="其他",'11.销售及回款表'!D413/1.1*'2.税率表'!$D$22,0)))</f>
        <v>0</v>
      </c>
      <c r="N92" s="168">
        <f>IF(N77="普",N79*'2.税率表'!$D$20,IF(N77="非普",N79*'2.税率表'!$D$21,IF(N77="其他",N79*'2.税率表'!$D$22,0)))</f>
        <v>0</v>
      </c>
      <c r="O92" s="189">
        <f>IF(O77="普",O79*'2.税率表'!$D$20,IF(O77="非普",O79*'2.税率表'!$D$21,IF(O77="其他",O79*'2.税率表'!$D$22,0)))</f>
        <v>0</v>
      </c>
      <c r="P92" s="202">
        <f>P79*'2.税率表'!$D$20</f>
        <v>0</v>
      </c>
      <c r="Q92" s="211">
        <f>Q79*'2.税率表'!$D$21</f>
        <v>0</v>
      </c>
      <c r="R92" s="211">
        <f>R79*'2.税率表'!$D$22</f>
        <v>0</v>
      </c>
      <c r="S92" s="212"/>
      <c r="T92" s="85"/>
      <c r="U92" s="85"/>
      <c r="V92" s="85"/>
      <c r="W92" s="85"/>
      <c r="X92" s="85"/>
      <c r="Y92" s="85"/>
      <c r="Z92" s="85"/>
      <c r="AA92" s="85"/>
      <c r="AB92" s="85"/>
      <c r="AC92" s="85"/>
      <c r="AD92" s="85"/>
      <c r="AE92" s="85"/>
      <c r="AF92" s="85"/>
      <c r="AG92" s="85"/>
      <c r="AH92" s="85"/>
      <c r="AI92" s="85"/>
      <c r="AJ92" s="85"/>
      <c r="AK92" s="85"/>
      <c r="AL92" s="85"/>
      <c r="AM92" s="85"/>
      <c r="AN92" s="85"/>
      <c r="AO92" s="85"/>
      <c r="AP92" s="85"/>
      <c r="AQ92" s="85"/>
      <c r="AR92" s="85"/>
      <c r="AS92" s="85"/>
      <c r="AT92" s="85"/>
      <c r="AU92" s="85"/>
      <c r="AV92" s="85"/>
    </row>
    <row r="93" spans="1:48" s="75" customFormat="1" ht="15" hidden="1" customHeight="1">
      <c r="A93" s="1997"/>
      <c r="B93" s="165" t="s">
        <v>609</v>
      </c>
      <c r="C93" s="180">
        <f ca="1">IFERROR(SUM(D93:O93),0)</f>
        <v>0</v>
      </c>
      <c r="D93" s="181">
        <f ca="1">IFERROR(IF($R77="合并清算",$Q93/$Q79*D79,IF(($R77="两分法")*(D77="普"),$P93/$P79*D79,IF(($R77="两分法")*(D77="非普"),$Q93/$Q79*D79,IF(($R77="两分法")*(D77="其他"),$Q93/$Q79*D79,IF(D77="普",$P93/$P79*D79,IF(D77="非普",$Q93/$Q79*D79,$R93/$R79*D79)))))),0)</f>
        <v>0</v>
      </c>
      <c r="E93" s="182">
        <f t="shared" ref="E93:O93" ca="1" si="102">IFERROR(IF($R77="合并清算",$Q93/$Q79*E79,IF(($R77="两分法")*(E77="普"),$P93/$P79*E79,IF(($R77="两分法")*(E77="非普"),$Q93/$Q79*E79,IF(($R77="两分法")*(E77="其他"),$Q93/$Q79*E79,IF(E77="普",$P93/$P79*E79,IF(E77="非普",$Q93/$Q79*E79,$R93/$R79*E79)))))),0)</f>
        <v>0</v>
      </c>
      <c r="F93" s="182">
        <f t="shared" ca="1" si="102"/>
        <v>0</v>
      </c>
      <c r="G93" s="182">
        <f t="shared" ca="1" si="102"/>
        <v>0</v>
      </c>
      <c r="H93" s="182">
        <f t="shared" ca="1" si="102"/>
        <v>0</v>
      </c>
      <c r="I93" s="182">
        <f t="shared" ca="1" si="102"/>
        <v>0</v>
      </c>
      <c r="J93" s="182">
        <f t="shared" ca="1" si="102"/>
        <v>0</v>
      </c>
      <c r="K93" s="182">
        <f t="shared" ca="1" si="102"/>
        <v>0</v>
      </c>
      <c r="L93" s="182">
        <f t="shared" ca="1" si="102"/>
        <v>0</v>
      </c>
      <c r="M93" s="182">
        <f t="shared" ca="1" si="102"/>
        <v>0</v>
      </c>
      <c r="N93" s="182">
        <f t="shared" ca="1" si="102"/>
        <v>0</v>
      </c>
      <c r="O93" s="199">
        <f t="shared" ca="1" si="102"/>
        <v>0</v>
      </c>
      <c r="P93" s="205">
        <f ca="1">P87*P89-P86*P90</f>
        <v>0</v>
      </c>
      <c r="Q93" s="205">
        <f t="shared" ref="Q93:R93" ca="1" si="103">Q87*Q89-Q86*Q90</f>
        <v>0</v>
      </c>
      <c r="R93" s="205">
        <f t="shared" ca="1" si="103"/>
        <v>0</v>
      </c>
      <c r="S93" s="212"/>
      <c r="T93" s="85"/>
      <c r="U93" s="85"/>
      <c r="V93" s="85"/>
      <c r="W93" s="85"/>
      <c r="X93" s="85"/>
      <c r="Y93" s="85"/>
      <c r="Z93" s="85"/>
      <c r="AA93" s="85"/>
      <c r="AB93" s="85"/>
      <c r="AC93" s="85"/>
      <c r="AD93" s="85"/>
      <c r="AE93" s="85"/>
      <c r="AF93" s="85"/>
      <c r="AG93" s="85"/>
      <c r="AH93" s="85"/>
      <c r="AI93" s="85"/>
      <c r="AJ93" s="85"/>
      <c r="AK93" s="85"/>
      <c r="AL93" s="85"/>
      <c r="AM93" s="85"/>
      <c r="AN93" s="85"/>
      <c r="AO93" s="85"/>
      <c r="AP93" s="85"/>
      <c r="AQ93" s="85"/>
      <c r="AR93" s="85"/>
      <c r="AS93" s="85"/>
      <c r="AT93" s="85"/>
      <c r="AU93" s="85"/>
      <c r="AV93" s="85"/>
    </row>
    <row r="94" spans="1:48" ht="15" hidden="1" customHeight="1">
      <c r="A94" s="78"/>
      <c r="B94" s="78"/>
      <c r="C94" s="78"/>
      <c r="D94" s="78"/>
      <c r="E94" s="78"/>
      <c r="F94" s="78"/>
      <c r="G94" s="78"/>
      <c r="H94" s="78"/>
      <c r="I94" s="78"/>
      <c r="J94" s="78"/>
      <c r="K94" s="78"/>
      <c r="L94" s="78"/>
      <c r="M94" s="78"/>
      <c r="N94" s="78"/>
      <c r="O94" s="78"/>
      <c r="P94" s="78"/>
      <c r="Q94" s="78"/>
      <c r="R94" s="115"/>
      <c r="S94" s="115"/>
      <c r="T94" s="78"/>
      <c r="U94" s="78"/>
      <c r="V94" s="78"/>
      <c r="W94" s="78"/>
      <c r="X94" s="78"/>
      <c r="Y94" s="78"/>
      <c r="Z94" s="78"/>
      <c r="AA94" s="78"/>
      <c r="AB94" s="78"/>
      <c r="AC94" s="78"/>
      <c r="AD94" s="78"/>
      <c r="AE94" s="78"/>
      <c r="AF94" s="78"/>
      <c r="AG94" s="78"/>
      <c r="AH94" s="78"/>
      <c r="AI94" s="78"/>
      <c r="AJ94" s="78"/>
      <c r="AK94" s="78"/>
      <c r="AL94" s="78"/>
      <c r="AM94" s="78"/>
      <c r="AN94" s="78"/>
      <c r="AO94" s="78"/>
      <c r="AP94" s="78"/>
      <c r="AQ94" s="78"/>
      <c r="AR94" s="78"/>
      <c r="AS94" s="78"/>
      <c r="AT94" s="78"/>
      <c r="AU94" s="78"/>
      <c r="AV94" s="78"/>
    </row>
    <row r="95" spans="1:48" ht="15" hidden="1" customHeight="1">
      <c r="A95" s="156"/>
      <c r="B95" s="156"/>
      <c r="C95" s="157" t="s">
        <v>596</v>
      </c>
      <c r="D95" s="183"/>
      <c r="E95" s="160"/>
      <c r="F95" s="160"/>
      <c r="G95" s="160"/>
      <c r="H95" s="160"/>
      <c r="I95" s="160"/>
      <c r="J95" s="160"/>
      <c r="K95" s="160"/>
      <c r="L95" s="160"/>
      <c r="M95" s="160"/>
      <c r="N95" s="160"/>
      <c r="O95" s="186"/>
      <c r="P95" s="1992" t="s">
        <v>597</v>
      </c>
      <c r="Q95" s="1991"/>
      <c r="R95" s="221" t="s">
        <v>938</v>
      </c>
      <c r="S95" s="209"/>
      <c r="T95" s="78"/>
      <c r="U95" s="78"/>
      <c r="V95" s="78"/>
      <c r="W95" s="78"/>
      <c r="X95" s="78"/>
      <c r="Y95" s="78"/>
      <c r="Z95" s="78"/>
      <c r="AA95" s="78"/>
      <c r="AB95" s="78"/>
      <c r="AC95" s="78"/>
      <c r="AD95" s="78"/>
      <c r="AE95" s="78"/>
      <c r="AF95" s="78"/>
      <c r="AG95" s="78"/>
      <c r="AH95" s="78"/>
      <c r="AI95" s="78"/>
      <c r="AJ95" s="78"/>
      <c r="AK95" s="78"/>
      <c r="AL95" s="78"/>
      <c r="AM95" s="78"/>
      <c r="AN95" s="78"/>
      <c r="AO95" s="78"/>
      <c r="AP95" s="78"/>
      <c r="AQ95" s="78"/>
      <c r="AR95" s="78"/>
      <c r="AS95" s="78"/>
      <c r="AT95" s="78"/>
      <c r="AU95" s="78"/>
      <c r="AV95" s="78"/>
    </row>
    <row r="96" spans="1:48" s="75" customFormat="1" ht="15" hidden="1" customHeight="1">
      <c r="A96" s="161" t="s">
        <v>598</v>
      </c>
      <c r="B96" s="161" t="s">
        <v>183</v>
      </c>
      <c r="C96" s="162" t="s">
        <v>599</v>
      </c>
      <c r="D96" s="163" t="str">
        <f>D78</f>
        <v>高层</v>
      </c>
      <c r="E96" s="164" t="str">
        <f t="shared" ref="E96:O96" si="104">E78</f>
        <v>商铺</v>
      </c>
      <c r="F96" s="164" t="str">
        <f t="shared" si="104"/>
        <v>回迁商业</v>
      </c>
      <c r="G96" s="164">
        <f t="shared" si="104"/>
        <v>0</v>
      </c>
      <c r="H96" s="164">
        <f t="shared" si="104"/>
        <v>0</v>
      </c>
      <c r="I96" s="164">
        <f t="shared" si="104"/>
        <v>0</v>
      </c>
      <c r="J96" s="164">
        <f t="shared" si="104"/>
        <v>0</v>
      </c>
      <c r="K96" s="164">
        <f t="shared" si="104"/>
        <v>0</v>
      </c>
      <c r="L96" s="164">
        <f t="shared" si="104"/>
        <v>0</v>
      </c>
      <c r="M96" s="164" t="str">
        <f t="shared" si="104"/>
        <v>自持物业</v>
      </c>
      <c r="N96" s="164" t="str">
        <f t="shared" si="104"/>
        <v>有产权车库(个)</v>
      </c>
      <c r="O96" s="187" t="str">
        <f t="shared" si="104"/>
        <v>无产权车库(个)</v>
      </c>
      <c r="P96" s="201" t="s">
        <v>600</v>
      </c>
      <c r="Q96" s="161" t="s">
        <v>601</v>
      </c>
      <c r="R96" s="161" t="s">
        <v>164</v>
      </c>
      <c r="S96" s="210"/>
      <c r="T96" s="85"/>
      <c r="U96" s="85"/>
      <c r="V96" s="85"/>
      <c r="W96" s="85"/>
      <c r="X96" s="85"/>
      <c r="Y96" s="85"/>
      <c r="Z96" s="85"/>
      <c r="AA96" s="85"/>
      <c r="AB96" s="85"/>
      <c r="AC96" s="85"/>
      <c r="AD96" s="85"/>
      <c r="AE96" s="85"/>
      <c r="AF96" s="85"/>
      <c r="AG96" s="85"/>
      <c r="AH96" s="85"/>
      <c r="AI96" s="85"/>
      <c r="AJ96" s="85"/>
      <c r="AK96" s="85"/>
      <c r="AL96" s="85"/>
      <c r="AM96" s="85"/>
      <c r="AN96" s="85"/>
      <c r="AO96" s="85"/>
      <c r="AP96" s="85"/>
      <c r="AQ96" s="85"/>
      <c r="AR96" s="85"/>
      <c r="AS96" s="85"/>
      <c r="AT96" s="85"/>
      <c r="AU96" s="85"/>
      <c r="AV96" s="85"/>
    </row>
    <row r="97" spans="1:48" s="75" customFormat="1" ht="15" hidden="1" customHeight="1">
      <c r="A97" s="1997" t="s">
        <v>24</v>
      </c>
      <c r="B97" s="165" t="s">
        <v>454</v>
      </c>
      <c r="C97" s="166">
        <f>SUM(D97:O97)</f>
        <v>0</v>
      </c>
      <c r="D97" s="167">
        <f>'11.销售及回款表'!D438/1.1+D165+'12.土地成本表'!I72</f>
        <v>0</v>
      </c>
      <c r="E97" s="168">
        <f>'11.销售及回款表'!D443/1.1+E165+'12.土地成本表'!I73</f>
        <v>0</v>
      </c>
      <c r="F97" s="168">
        <f>'11.销售及回款表'!D448/1.1+F165+'12.土地成本表'!I74</f>
        <v>0</v>
      </c>
      <c r="G97" s="168">
        <f>'11.销售及回款表'!D453/1.1+G165+'12.土地成本表'!I75</f>
        <v>0</v>
      </c>
      <c r="H97" s="168">
        <f>'11.销售及回款表'!D458/1.1+H165+'12.土地成本表'!I76</f>
        <v>0</v>
      </c>
      <c r="I97" s="168">
        <f>'11.销售及回款表'!D463/1.1+I165+'12.土地成本表'!I77</f>
        <v>0</v>
      </c>
      <c r="J97" s="168">
        <f>'11.销售及回款表'!D468/1.1+J165+'12.土地成本表'!I78</f>
        <v>0</v>
      </c>
      <c r="K97" s="168">
        <f>'11.销售及回款表'!D473/1.1+K165+'12.土地成本表'!I79</f>
        <v>0</v>
      </c>
      <c r="L97" s="168">
        <f>'11.销售及回款表'!D478/1.1+L165+'12.土地成本表'!I80</f>
        <v>0</v>
      </c>
      <c r="M97" s="90"/>
      <c r="N97" s="168">
        <f>'11.销售及回款表'!D488/1.1+N165</f>
        <v>0</v>
      </c>
      <c r="O97" s="189">
        <f>'11.销售及回款表'!D493/1.1+O165</f>
        <v>0</v>
      </c>
      <c r="P97" s="202">
        <f>IF($R$95="合并清算",0,SUMIF(D95:O95,"普",D97:O97))</f>
        <v>0</v>
      </c>
      <c r="Q97" s="211">
        <f>IF($R$95="合并清算",C97,IF($R$95="两分法",C97-P97,SUMIF(D95:O95,"非普",D97:O97)))</f>
        <v>0</v>
      </c>
      <c r="R97" s="211">
        <f t="shared" ref="R97:R102" si="105">IF($R$95="三分法",C97-P97-Q97,0)</f>
        <v>0</v>
      </c>
      <c r="S97" s="212"/>
      <c r="T97" s="85"/>
      <c r="U97" s="85"/>
      <c r="V97" s="85"/>
      <c r="W97" s="85"/>
      <c r="X97" s="85"/>
      <c r="Y97" s="85"/>
      <c r="Z97" s="85"/>
      <c r="AA97" s="85"/>
      <c r="AB97" s="85"/>
      <c r="AC97" s="85"/>
      <c r="AD97" s="85"/>
      <c r="AE97" s="85"/>
      <c r="AF97" s="85"/>
      <c r="AG97" s="85"/>
      <c r="AH97" s="85"/>
      <c r="AI97" s="85"/>
      <c r="AJ97" s="85"/>
      <c r="AK97" s="85"/>
      <c r="AL97" s="85"/>
      <c r="AM97" s="85"/>
      <c r="AN97" s="85"/>
      <c r="AO97" s="85"/>
      <c r="AP97" s="85"/>
      <c r="AQ97" s="85"/>
      <c r="AR97" s="85"/>
      <c r="AS97" s="85"/>
      <c r="AT97" s="85"/>
      <c r="AU97" s="85"/>
      <c r="AV97" s="85"/>
    </row>
    <row r="98" spans="1:48" s="75" customFormat="1" ht="15" hidden="1" customHeight="1">
      <c r="A98" s="1997"/>
      <c r="B98" s="165" t="s">
        <v>368</v>
      </c>
      <c r="C98" s="166">
        <f>SUM(D98:O98)</f>
        <v>0</v>
      </c>
      <c r="D98" s="185">
        <f>'12.土地成本表'!I25-D146-D155-'12.土地成本表'!I87</f>
        <v>0</v>
      </c>
      <c r="E98" s="171">
        <f>'12.土地成本表'!I26-E146-E155-'12.土地成本表'!I88</f>
        <v>0</v>
      </c>
      <c r="F98" s="171">
        <f>'12.土地成本表'!I27-F146-F155-'12.土地成本表'!I89</f>
        <v>0</v>
      </c>
      <c r="G98" s="171">
        <f>'12.土地成本表'!I28-G146-G155-'12.土地成本表'!I90</f>
        <v>0</v>
      </c>
      <c r="H98" s="171">
        <f>'12.土地成本表'!I29-H146-H155-'12.土地成本表'!I91</f>
        <v>0</v>
      </c>
      <c r="I98" s="171">
        <f>'12.土地成本表'!I30-I146-I155-'12.土地成本表'!I92+'12.土地成本表'!I77</f>
        <v>0</v>
      </c>
      <c r="J98" s="171">
        <f>'12.土地成本表'!I31-J146-J155-'12.土地成本表'!I93</f>
        <v>0</v>
      </c>
      <c r="K98" s="171">
        <f>'12.土地成本表'!I32-K146-K155-'12.土地成本表'!I94</f>
        <v>0</v>
      </c>
      <c r="L98" s="171">
        <f>'12.土地成本表'!I33-L146-L155-'12.土地成本表'!I95</f>
        <v>0</v>
      </c>
      <c r="M98" s="90"/>
      <c r="N98" s="171">
        <f>0</f>
        <v>0</v>
      </c>
      <c r="O98" s="234">
        <f>0</f>
        <v>0</v>
      </c>
      <c r="P98" s="202">
        <f>IF($R$95="合并清算",0,SUMIF(D95:O95,"普",D98:O98))</f>
        <v>0</v>
      </c>
      <c r="Q98" s="211">
        <f>IF($R$95="合并清算",C98,IF($R$95="两分法",C98-P98,SUMIF(D95:O95,"非普",D98:O98)))</f>
        <v>0</v>
      </c>
      <c r="R98" s="211">
        <f t="shared" si="105"/>
        <v>0</v>
      </c>
      <c r="S98" s="212"/>
      <c r="T98" s="85"/>
      <c r="U98" s="85"/>
      <c r="V98" s="85"/>
      <c r="W98" s="85"/>
      <c r="X98" s="85"/>
      <c r="Y98" s="85"/>
      <c r="Z98" s="85"/>
      <c r="AA98" s="85"/>
      <c r="AB98" s="85"/>
      <c r="AC98" s="85"/>
      <c r="AD98" s="85"/>
      <c r="AE98" s="85"/>
      <c r="AF98" s="85"/>
      <c r="AG98" s="85"/>
      <c r="AH98" s="85"/>
      <c r="AI98" s="85"/>
      <c r="AJ98" s="85"/>
      <c r="AK98" s="85"/>
      <c r="AL98" s="85"/>
      <c r="AM98" s="85"/>
      <c r="AN98" s="85"/>
      <c r="AO98" s="85"/>
      <c r="AP98" s="85"/>
      <c r="AQ98" s="85"/>
      <c r="AR98" s="85"/>
      <c r="AS98" s="85"/>
      <c r="AT98" s="85"/>
      <c r="AU98" s="85"/>
      <c r="AV98" s="85"/>
    </row>
    <row r="99" spans="1:48" s="75" customFormat="1" ht="15" hidden="1" customHeight="1">
      <c r="A99" s="1997"/>
      <c r="B99" s="165" t="s">
        <v>578</v>
      </c>
      <c r="C99" s="166">
        <f t="shared" ref="C99:C105" si="106">SUM(D99:O99)</f>
        <v>0</v>
      </c>
      <c r="D99" s="167">
        <f>'13.建安成本表'!$T214-'13.建安成本表'!$H230</f>
        <v>0</v>
      </c>
      <c r="E99" s="168">
        <f>'13.建安成本表'!$T215-'13.建安成本表'!$H231</f>
        <v>0</v>
      </c>
      <c r="F99" s="168">
        <f>'13.建安成本表'!$T216-'13.建安成本表'!$H232</f>
        <v>0</v>
      </c>
      <c r="G99" s="168">
        <f>'13.建安成本表'!$T217-'13.建安成本表'!$H233</f>
        <v>0</v>
      </c>
      <c r="H99" s="168">
        <f>'13.建安成本表'!$T218-'13.建安成本表'!$H234</f>
        <v>0</v>
      </c>
      <c r="I99" s="168">
        <f>'13.建安成本表'!$T219-'13.建安成本表'!$H235</f>
        <v>0</v>
      </c>
      <c r="J99" s="168">
        <f>'13.建安成本表'!$T220-'13.建安成本表'!$H236</f>
        <v>0</v>
      </c>
      <c r="K99" s="168">
        <f>'13.建安成本表'!$T221-'13.建安成本表'!$H237</f>
        <v>0</v>
      </c>
      <c r="L99" s="168">
        <f>'13.建安成本表'!$T222-'13.建安成本表'!$H238</f>
        <v>0</v>
      </c>
      <c r="M99" s="90"/>
      <c r="N99" s="171">
        <f>'13.建安成本表'!$T224-'13.建安成本表'!$H240</f>
        <v>0</v>
      </c>
      <c r="O99" s="232">
        <f>'13.建安成本表'!$T225-'13.建安成本表'!$H241</f>
        <v>0</v>
      </c>
      <c r="P99" s="202">
        <f>IF($R$95="合并清算",0,SUMIF(D95:O95,"普",D99:O99))</f>
        <v>0</v>
      </c>
      <c r="Q99" s="211">
        <f>IF($R$95="合并清算",C99,IF($R$95="两分法",C99-P99,SUMIF(D95:O95,"非普",D99:O99)))</f>
        <v>0</v>
      </c>
      <c r="R99" s="211">
        <f t="shared" si="105"/>
        <v>0</v>
      </c>
      <c r="S99" s="212"/>
      <c r="T99" s="85"/>
      <c r="U99" s="85"/>
      <c r="V99" s="85"/>
      <c r="W99" s="85"/>
      <c r="X99" s="85"/>
      <c r="Y99" s="85"/>
      <c r="Z99" s="85"/>
      <c r="AA99" s="85"/>
      <c r="AB99" s="85"/>
      <c r="AC99" s="85"/>
      <c r="AD99" s="85"/>
      <c r="AE99" s="85"/>
      <c r="AF99" s="85"/>
      <c r="AG99" s="85"/>
      <c r="AH99" s="85"/>
      <c r="AI99" s="85"/>
      <c r="AJ99" s="85"/>
      <c r="AK99" s="85"/>
      <c r="AL99" s="85"/>
      <c r="AM99" s="85"/>
      <c r="AN99" s="85"/>
      <c r="AO99" s="85"/>
      <c r="AP99" s="85"/>
      <c r="AQ99" s="85"/>
      <c r="AR99" s="85"/>
      <c r="AS99" s="85"/>
      <c r="AT99" s="85"/>
      <c r="AU99" s="85"/>
      <c r="AV99" s="85"/>
    </row>
    <row r="100" spans="1:48" s="75" customFormat="1" ht="15" hidden="1" customHeight="1">
      <c r="A100" s="1997"/>
      <c r="B100" s="165" t="s">
        <v>602</v>
      </c>
      <c r="C100" s="166">
        <f t="shared" si="106"/>
        <v>0</v>
      </c>
      <c r="D100" s="167">
        <f>D97*1.11*('2.税率表'!$D$12*('2.税率表'!$D$13+'2.税率表'!$D$14+'2.税率表'!$D$17)+'2.税率表'!$D$16+'2.税率表'!$D$18)</f>
        <v>0</v>
      </c>
      <c r="E100" s="168">
        <f>E97*1.11*('2.税率表'!$D$12*('2.税率表'!$D$13+'2.税率表'!$D$14+'2.税率表'!$D$17)+'2.税率表'!$D$16+'2.税率表'!$D$18)</f>
        <v>0</v>
      </c>
      <c r="F100" s="168">
        <f>F97*1.11*('2.税率表'!$D$12*('2.税率表'!$D$13+'2.税率表'!$D$14+'2.税率表'!$D$17)+'2.税率表'!$D$16+'2.税率表'!$D$18)</f>
        <v>0</v>
      </c>
      <c r="G100" s="168">
        <f>G97*1.11*('2.税率表'!$D$12*('2.税率表'!$D$13+'2.税率表'!$D$14+'2.税率表'!$D$17)+'2.税率表'!$D$16+'2.税率表'!$D$18)</f>
        <v>0</v>
      </c>
      <c r="H100" s="168">
        <f>H97*1.11*('2.税率表'!$D$12*('2.税率表'!$D$13+'2.税率表'!$D$14+'2.税率表'!$D$17)+'2.税率表'!$D$16+'2.税率表'!$D$18)</f>
        <v>0</v>
      </c>
      <c r="I100" s="168">
        <f>I97*1.11*('2.税率表'!$D$12*('2.税率表'!$D$13+'2.税率表'!$D$14+'2.税率表'!$D$17)+'2.税率表'!$D$16+'2.税率表'!$D$18)</f>
        <v>0</v>
      </c>
      <c r="J100" s="168">
        <f>J97*1.11*('2.税率表'!$D$12*('2.税率表'!$D$13+'2.税率表'!$D$14+'2.税率表'!$D$17)+'2.税率表'!$D$16+'2.税率表'!$D$18)</f>
        <v>0</v>
      </c>
      <c r="K100" s="168">
        <f>K97*1.11*('2.税率表'!$D$12*('2.税率表'!$D$13+'2.税率表'!$D$14+'2.税率表'!$D$17)+'2.税率表'!$D$16+'2.税率表'!$D$18)</f>
        <v>0</v>
      </c>
      <c r="L100" s="168">
        <f>L97*1.11*('2.税率表'!$D$12*('2.税率表'!$D$13+'2.税率表'!$D$14+'2.税率表'!$D$17)+'2.税率表'!$D$16+'2.税率表'!$D$18)</f>
        <v>0</v>
      </c>
      <c r="M100" s="90"/>
      <c r="N100" s="168">
        <f>N97*1.11*('2.税率表'!$D$12*('2.税率表'!$D$13+'2.税率表'!$D$14+'2.税率表'!$D$17)+'2.税率表'!$D$16+'2.税率表'!$D$18)</f>
        <v>0</v>
      </c>
      <c r="O100" s="189">
        <f>O97*1.11*('2.税率表'!$D$12*('2.税率表'!$D$13+'2.税率表'!$D$14+'2.税率表'!$D$17)+'2.税率表'!$D$16+'2.税率表'!$D$18)</f>
        <v>0</v>
      </c>
      <c r="P100" s="202">
        <f>IF($R$95="合并清算",0,SUMIF(D95:O95,"普",D100:O100))</f>
        <v>0</v>
      </c>
      <c r="Q100" s="211">
        <f>IF($R$95="合并清算",C100,IF($R$95="两分法",C100-P100,SUMIF(D95:O95,"非普",D100:O100)))</f>
        <v>0</v>
      </c>
      <c r="R100" s="211">
        <f t="shared" si="105"/>
        <v>0</v>
      </c>
      <c r="S100" s="212"/>
      <c r="T100" s="85"/>
      <c r="U100" s="85"/>
      <c r="V100" s="85"/>
      <c r="W100" s="85"/>
      <c r="X100" s="85"/>
      <c r="Y100" s="85"/>
      <c r="Z100" s="85"/>
      <c r="AA100" s="85"/>
      <c r="AB100" s="85"/>
      <c r="AC100" s="85"/>
      <c r="AD100" s="85"/>
      <c r="AE100" s="85"/>
      <c r="AF100" s="85"/>
      <c r="AG100" s="85"/>
      <c r="AH100" s="85"/>
      <c r="AI100" s="85"/>
      <c r="AJ100" s="85"/>
      <c r="AK100" s="85"/>
      <c r="AL100" s="85"/>
      <c r="AM100" s="85"/>
      <c r="AN100" s="85"/>
      <c r="AO100" s="85"/>
      <c r="AP100" s="85"/>
      <c r="AQ100" s="85"/>
      <c r="AR100" s="85"/>
      <c r="AS100" s="85"/>
      <c r="AT100" s="85"/>
      <c r="AU100" s="85"/>
      <c r="AV100" s="85"/>
    </row>
    <row r="101" spans="1:48" s="75" customFormat="1" ht="15" hidden="1" customHeight="1">
      <c r="A101" s="1997"/>
      <c r="B101" s="165" t="s">
        <v>373</v>
      </c>
      <c r="C101" s="166">
        <f t="shared" ca="1" si="106"/>
        <v>0</v>
      </c>
      <c r="D101" s="172">
        <f ca="1">IF('17.财务费用测算表'!$C$56&gt;($C$98+$C$99)*5%,'17.财务费用测算表'!D56,(D98+D99)*5%)-'17.财务费用测算表'!I61</f>
        <v>0</v>
      </c>
      <c r="E101" s="172">
        <f ca="1">IF('17.财务费用测算表'!$C$56&gt;($C$98+$C$99)*5%,'17.财务费用测算表'!E56,(E98+E99)*5%)-'17.财务费用测算表'!I62</f>
        <v>0</v>
      </c>
      <c r="F101" s="172">
        <f ca="1">IF('17.财务费用测算表'!$C$56&gt;($C$98+$C$99)*5%,'17.财务费用测算表'!F56,(F98+F99)*5%)-'17.财务费用测算表'!I63</f>
        <v>0</v>
      </c>
      <c r="G101" s="172">
        <f ca="1">IF('17.财务费用测算表'!$C$56&gt;($C$98+$C$99)*5%,'17.财务费用测算表'!G56,(G98+G99)*5%)-'17.财务费用测算表'!I64</f>
        <v>0</v>
      </c>
      <c r="H101" s="172">
        <f ca="1">IF('17.财务费用测算表'!$C$56&gt;($C$98+$C$99)*5%,'17.财务费用测算表'!H56,(H98+H99)*5%)-'17.财务费用测算表'!I65</f>
        <v>0</v>
      </c>
      <c r="I101" s="172">
        <f ca="1">IF('17.财务费用测算表'!$C$56&gt;($C$98+$C$99)*5%,'17.财务费用测算表'!I56,(I98+I99)*5%)-'17.财务费用测算表'!I66</f>
        <v>0</v>
      </c>
      <c r="J101" s="172">
        <f ca="1">IF('17.财务费用测算表'!$C$56&gt;($C$98+$C$99)*5%,'17.财务费用测算表'!J56,(J98+J99)*5%)-'17.财务费用测算表'!I67</f>
        <v>0</v>
      </c>
      <c r="K101" s="172">
        <f ca="1">IF('17.财务费用测算表'!$C$56&gt;($C$98+$C$99)*5%,'17.财务费用测算表'!K56,(K98+K99)*5%)-'17.财务费用测算表'!I68</f>
        <v>0</v>
      </c>
      <c r="L101" s="172">
        <f ca="1">IF('17.财务费用测算表'!$C$56&gt;($C$98+$C$99)*5%,'17.财务费用测算表'!L56,(L98+L99)*5%)-'17.财务费用测算表'!I69</f>
        <v>0</v>
      </c>
      <c r="M101" s="90"/>
      <c r="N101" s="172">
        <f ca="1">IF('17.财务费用测算表'!$C$56&gt;($C$98+$C$99)*5%,'17.财务费用测算表'!N56,(N98+N99)*5%)-'17.财务费用测算表'!I71</f>
        <v>0</v>
      </c>
      <c r="O101" s="172">
        <f ca="1">IF('17.财务费用测算表'!$C$56&gt;($C$98+$C$99)*5%,'17.财务费用测算表'!O56,(O98+O99)*5%)-'17.财务费用测算表'!I72</f>
        <v>0</v>
      </c>
      <c r="P101" s="202">
        <f>IF($R$95="合并清算",0,SUMIF(D95:O95,"普",D101:O101))</f>
        <v>0</v>
      </c>
      <c r="Q101" s="211">
        <f>IF($R$95="合并清算",C101,IF($R$95="两分法",C101-P101,SUMIF(D95:O95,"非普",D101:O101)))</f>
        <v>0</v>
      </c>
      <c r="R101" s="211">
        <f t="shared" ca="1" si="105"/>
        <v>0</v>
      </c>
      <c r="S101" s="212"/>
      <c r="T101" s="85"/>
      <c r="U101" s="85"/>
      <c r="V101" s="85"/>
      <c r="W101" s="85"/>
      <c r="X101" s="85"/>
      <c r="Y101" s="85"/>
      <c r="Z101" s="85"/>
      <c r="AA101" s="85"/>
      <c r="AB101" s="85"/>
      <c r="AC101" s="85"/>
      <c r="AD101" s="85"/>
      <c r="AE101" s="85"/>
      <c r="AF101" s="85"/>
      <c r="AG101" s="85"/>
      <c r="AH101" s="85"/>
      <c r="AI101" s="85"/>
      <c r="AJ101" s="85"/>
      <c r="AK101" s="85"/>
      <c r="AL101" s="85"/>
      <c r="AM101" s="85"/>
      <c r="AN101" s="85"/>
      <c r="AO101" s="85"/>
      <c r="AP101" s="85"/>
      <c r="AQ101" s="85"/>
      <c r="AR101" s="85"/>
      <c r="AS101" s="85"/>
      <c r="AT101" s="85"/>
      <c r="AU101" s="85"/>
      <c r="AV101" s="85"/>
    </row>
    <row r="102" spans="1:48" s="75" customFormat="1" ht="15" hidden="1" customHeight="1">
      <c r="A102" s="1997"/>
      <c r="B102" s="165" t="s">
        <v>603</v>
      </c>
      <c r="C102" s="166">
        <f t="shared" si="106"/>
        <v>0</v>
      </c>
      <c r="D102" s="172">
        <f>(D98+D99)*5%</f>
        <v>0</v>
      </c>
      <c r="E102" s="184">
        <f t="shared" ref="E102:N102" si="107">(E98+E99)*5%</f>
        <v>0</v>
      </c>
      <c r="F102" s="184">
        <f t="shared" si="107"/>
        <v>0</v>
      </c>
      <c r="G102" s="184">
        <f t="shared" si="107"/>
        <v>0</v>
      </c>
      <c r="H102" s="184">
        <f t="shared" si="107"/>
        <v>0</v>
      </c>
      <c r="I102" s="184">
        <f t="shared" si="107"/>
        <v>0</v>
      </c>
      <c r="J102" s="184">
        <f t="shared" si="107"/>
        <v>0</v>
      </c>
      <c r="K102" s="184">
        <f t="shared" si="107"/>
        <v>0</v>
      </c>
      <c r="L102" s="184">
        <f t="shared" si="107"/>
        <v>0</v>
      </c>
      <c r="M102" s="90"/>
      <c r="N102" s="184">
        <f t="shared" si="107"/>
        <v>0</v>
      </c>
      <c r="O102" s="233"/>
      <c r="P102" s="202">
        <f>IF($R$95="合并清算",0,SUMIF(D95:O95,"普",D102:O102))</f>
        <v>0</v>
      </c>
      <c r="Q102" s="211">
        <f>IF($R$95="合并清算",C102,IF($R$95="两分法",C102-P102,SUMIF(D95:O95,"非普",D102:O102)))</f>
        <v>0</v>
      </c>
      <c r="R102" s="211">
        <f t="shared" si="105"/>
        <v>0</v>
      </c>
      <c r="S102" s="212"/>
      <c r="T102" s="85"/>
      <c r="U102" s="85"/>
      <c r="V102" s="85"/>
      <c r="W102" s="85"/>
      <c r="X102" s="85"/>
      <c r="Y102" s="85"/>
      <c r="Z102" s="85"/>
      <c r="AA102" s="85"/>
      <c r="AB102" s="85"/>
      <c r="AC102" s="85"/>
      <c r="AD102" s="85"/>
      <c r="AE102" s="85"/>
      <c r="AF102" s="85"/>
      <c r="AG102" s="85"/>
      <c r="AH102" s="85"/>
      <c r="AI102" s="85"/>
      <c r="AJ102" s="85"/>
      <c r="AK102" s="85"/>
      <c r="AL102" s="85"/>
      <c r="AM102" s="85"/>
      <c r="AN102" s="85"/>
      <c r="AO102" s="85"/>
      <c r="AP102" s="85"/>
      <c r="AQ102" s="85"/>
      <c r="AR102" s="85"/>
      <c r="AS102" s="85"/>
      <c r="AT102" s="85"/>
      <c r="AU102" s="85"/>
      <c r="AV102" s="85"/>
    </row>
    <row r="103" spans="1:48" s="75" customFormat="1" ht="15" hidden="1" customHeight="1">
      <c r="A103" s="1997"/>
      <c r="B103" s="165" t="s">
        <v>604</v>
      </c>
      <c r="C103" s="166">
        <f t="shared" si="106"/>
        <v>0</v>
      </c>
      <c r="D103" s="167">
        <f>(D98+D99)*20%</f>
        <v>0</v>
      </c>
      <c r="E103" s="168">
        <f t="shared" ref="E103:R103" si="108">(E98+E99)*20%</f>
        <v>0</v>
      </c>
      <c r="F103" s="168">
        <f t="shared" si="108"/>
        <v>0</v>
      </c>
      <c r="G103" s="168">
        <f t="shared" si="108"/>
        <v>0</v>
      </c>
      <c r="H103" s="168">
        <f t="shared" si="108"/>
        <v>0</v>
      </c>
      <c r="I103" s="168">
        <f t="shared" si="108"/>
        <v>0</v>
      </c>
      <c r="J103" s="168">
        <f t="shared" si="108"/>
        <v>0</v>
      </c>
      <c r="K103" s="168">
        <f t="shared" si="108"/>
        <v>0</v>
      </c>
      <c r="L103" s="168">
        <f t="shared" si="108"/>
        <v>0</v>
      </c>
      <c r="M103" s="90"/>
      <c r="N103" s="168">
        <f t="shared" si="108"/>
        <v>0</v>
      </c>
      <c r="O103" s="189">
        <f t="shared" si="108"/>
        <v>0</v>
      </c>
      <c r="P103" s="202">
        <f t="shared" si="108"/>
        <v>0</v>
      </c>
      <c r="Q103" s="211">
        <f t="shared" si="108"/>
        <v>0</v>
      </c>
      <c r="R103" s="211">
        <f t="shared" si="108"/>
        <v>0</v>
      </c>
      <c r="S103" s="212"/>
      <c r="T103" s="85"/>
      <c r="U103" s="85"/>
      <c r="V103" s="85"/>
      <c r="W103" s="85"/>
      <c r="X103" s="85"/>
      <c r="Y103" s="85"/>
      <c r="Z103" s="85"/>
      <c r="AA103" s="85"/>
      <c r="AB103" s="85"/>
      <c r="AC103" s="85"/>
      <c r="AD103" s="85"/>
      <c r="AE103" s="85"/>
      <c r="AF103" s="85"/>
      <c r="AG103" s="85"/>
      <c r="AH103" s="85"/>
      <c r="AI103" s="85"/>
      <c r="AJ103" s="85"/>
      <c r="AK103" s="85"/>
      <c r="AL103" s="85"/>
      <c r="AM103" s="85"/>
      <c r="AN103" s="85"/>
      <c r="AO103" s="85"/>
      <c r="AP103" s="85"/>
      <c r="AQ103" s="85"/>
      <c r="AR103" s="85"/>
      <c r="AS103" s="85"/>
      <c r="AT103" s="85"/>
      <c r="AU103" s="85"/>
      <c r="AV103" s="85"/>
    </row>
    <row r="104" spans="1:48" s="75" customFormat="1" ht="15" hidden="1" customHeight="1">
      <c r="A104" s="1997"/>
      <c r="B104" s="165" t="s">
        <v>605</v>
      </c>
      <c r="C104" s="166">
        <f t="shared" ca="1" si="106"/>
        <v>0</v>
      </c>
      <c r="D104" s="167">
        <f t="shared" ref="D104:R104" ca="1" si="109">SUM(D98:D103)</f>
        <v>0</v>
      </c>
      <c r="E104" s="168">
        <f t="shared" ca="1" si="109"/>
        <v>0</v>
      </c>
      <c r="F104" s="168">
        <f t="shared" ca="1" si="109"/>
        <v>0</v>
      </c>
      <c r="G104" s="168">
        <f t="shared" ca="1" si="109"/>
        <v>0</v>
      </c>
      <c r="H104" s="168">
        <f t="shared" ca="1" si="109"/>
        <v>0</v>
      </c>
      <c r="I104" s="168">
        <f t="shared" ca="1" si="109"/>
        <v>0</v>
      </c>
      <c r="J104" s="168">
        <f t="shared" ca="1" si="109"/>
        <v>0</v>
      </c>
      <c r="K104" s="168">
        <f t="shared" ca="1" si="109"/>
        <v>0</v>
      </c>
      <c r="L104" s="168">
        <f t="shared" ca="1" si="109"/>
        <v>0</v>
      </c>
      <c r="M104" s="90"/>
      <c r="N104" s="168">
        <f t="shared" ca="1" si="109"/>
        <v>0</v>
      </c>
      <c r="O104" s="189">
        <f t="shared" ca="1" si="109"/>
        <v>0</v>
      </c>
      <c r="P104" s="202">
        <f t="shared" si="109"/>
        <v>0</v>
      </c>
      <c r="Q104" s="211">
        <f t="shared" si="109"/>
        <v>0</v>
      </c>
      <c r="R104" s="211">
        <f t="shared" ca="1" si="109"/>
        <v>0</v>
      </c>
      <c r="S104" s="212"/>
      <c r="T104" s="85"/>
      <c r="U104" s="85"/>
      <c r="V104" s="85"/>
      <c r="W104" s="85"/>
      <c r="X104" s="85"/>
      <c r="Y104" s="85"/>
      <c r="Z104" s="85"/>
      <c r="AA104" s="85"/>
      <c r="AB104" s="85"/>
      <c r="AC104" s="85"/>
      <c r="AD104" s="85"/>
      <c r="AE104" s="85"/>
      <c r="AF104" s="85"/>
      <c r="AG104" s="85"/>
      <c r="AH104" s="85"/>
      <c r="AI104" s="85"/>
      <c r="AJ104" s="85"/>
      <c r="AK104" s="85"/>
      <c r="AL104" s="85"/>
      <c r="AM104" s="85"/>
      <c r="AN104" s="85"/>
      <c r="AO104" s="85"/>
      <c r="AP104" s="85"/>
      <c r="AQ104" s="85"/>
      <c r="AR104" s="85"/>
      <c r="AS104" s="85"/>
      <c r="AT104" s="85"/>
      <c r="AU104" s="85"/>
      <c r="AV104" s="85"/>
    </row>
    <row r="105" spans="1:48" s="75" customFormat="1" ht="15" hidden="1" customHeight="1">
      <c r="A105" s="1997"/>
      <c r="B105" s="165" t="s">
        <v>419</v>
      </c>
      <c r="C105" s="166">
        <f t="shared" ca="1" si="106"/>
        <v>0</v>
      </c>
      <c r="D105" s="167">
        <f ca="1">D97-D104</f>
        <v>0</v>
      </c>
      <c r="E105" s="168">
        <f t="shared" ref="E105:R105" ca="1" si="110">E97-E104</f>
        <v>0</v>
      </c>
      <c r="F105" s="168">
        <f t="shared" ca="1" si="110"/>
        <v>0</v>
      </c>
      <c r="G105" s="168">
        <f t="shared" ca="1" si="110"/>
        <v>0</v>
      </c>
      <c r="H105" s="168">
        <f t="shared" ca="1" si="110"/>
        <v>0</v>
      </c>
      <c r="I105" s="168">
        <f t="shared" ca="1" si="110"/>
        <v>0</v>
      </c>
      <c r="J105" s="168">
        <f t="shared" ca="1" si="110"/>
        <v>0</v>
      </c>
      <c r="K105" s="168">
        <f t="shared" ca="1" si="110"/>
        <v>0</v>
      </c>
      <c r="L105" s="168">
        <f t="shared" ca="1" si="110"/>
        <v>0</v>
      </c>
      <c r="M105" s="90"/>
      <c r="N105" s="168">
        <f t="shared" ca="1" si="110"/>
        <v>0</v>
      </c>
      <c r="O105" s="189">
        <f t="shared" ca="1" si="110"/>
        <v>0</v>
      </c>
      <c r="P105" s="202">
        <f t="shared" si="110"/>
        <v>0</v>
      </c>
      <c r="Q105" s="211">
        <f t="shared" si="110"/>
        <v>0</v>
      </c>
      <c r="R105" s="211">
        <f t="shared" ca="1" si="110"/>
        <v>0</v>
      </c>
      <c r="S105" s="212"/>
      <c r="T105" s="85"/>
      <c r="U105" s="85"/>
      <c r="V105" s="85"/>
      <c r="W105" s="85"/>
      <c r="X105" s="85"/>
      <c r="Y105" s="85"/>
      <c r="Z105" s="85"/>
      <c r="AA105" s="85"/>
      <c r="AB105" s="85"/>
      <c r="AC105" s="85"/>
      <c r="AD105" s="85"/>
      <c r="AE105" s="85"/>
      <c r="AF105" s="85"/>
      <c r="AG105" s="85"/>
      <c r="AH105" s="85"/>
      <c r="AI105" s="85"/>
      <c r="AJ105" s="85"/>
      <c r="AK105" s="85"/>
      <c r="AL105" s="85"/>
      <c r="AM105" s="85"/>
      <c r="AN105" s="85"/>
      <c r="AO105" s="85"/>
      <c r="AP105" s="85"/>
      <c r="AQ105" s="85"/>
      <c r="AR105" s="85"/>
      <c r="AS105" s="85"/>
      <c r="AT105" s="85"/>
      <c r="AU105" s="85"/>
      <c r="AV105" s="85"/>
    </row>
    <row r="106" spans="1:48" s="75" customFormat="1" ht="15" hidden="1" customHeight="1">
      <c r="A106" s="1997"/>
      <c r="B106" s="165" t="s">
        <v>420</v>
      </c>
      <c r="C106" s="173">
        <f ca="1">IF(C104&lt;&gt;0,C105/C104,0)</f>
        <v>0</v>
      </c>
      <c r="D106" s="174">
        <f ca="1">IF(D104&lt;&gt;0,D105/D104,0)</f>
        <v>0</v>
      </c>
      <c r="E106" s="175">
        <f t="shared" ref="E106:R106" ca="1" si="111">IF(E104&lt;&gt;0,E105/E104,0)</f>
        <v>0</v>
      </c>
      <c r="F106" s="175">
        <f t="shared" ca="1" si="111"/>
        <v>0</v>
      </c>
      <c r="G106" s="175">
        <f t="shared" ca="1" si="111"/>
        <v>0</v>
      </c>
      <c r="H106" s="175">
        <f t="shared" ca="1" si="111"/>
        <v>0</v>
      </c>
      <c r="I106" s="175">
        <f t="shared" ca="1" si="111"/>
        <v>0</v>
      </c>
      <c r="J106" s="175">
        <f t="shared" ca="1" si="111"/>
        <v>0</v>
      </c>
      <c r="K106" s="175">
        <f t="shared" ca="1" si="111"/>
        <v>0</v>
      </c>
      <c r="L106" s="175">
        <f t="shared" ca="1" si="111"/>
        <v>0</v>
      </c>
      <c r="M106" s="175">
        <f t="shared" si="111"/>
        <v>0</v>
      </c>
      <c r="N106" s="175">
        <f t="shared" ca="1" si="111"/>
        <v>0</v>
      </c>
      <c r="O106" s="192">
        <f t="shared" ca="1" si="111"/>
        <v>0</v>
      </c>
      <c r="P106" s="203">
        <f t="shared" si="111"/>
        <v>0</v>
      </c>
      <c r="Q106" s="213">
        <f t="shared" si="111"/>
        <v>0</v>
      </c>
      <c r="R106" s="213">
        <f t="shared" ca="1" si="111"/>
        <v>0</v>
      </c>
      <c r="S106" s="214"/>
      <c r="T106" s="85"/>
      <c r="U106" s="85"/>
      <c r="V106" s="85"/>
      <c r="W106" s="85"/>
      <c r="X106" s="85"/>
      <c r="Y106" s="85"/>
      <c r="Z106" s="85"/>
      <c r="AA106" s="85"/>
      <c r="AB106" s="85"/>
      <c r="AC106" s="85"/>
      <c r="AD106" s="85"/>
      <c r="AE106" s="85"/>
      <c r="AF106" s="85"/>
      <c r="AG106" s="85"/>
      <c r="AH106" s="85"/>
      <c r="AI106" s="85"/>
      <c r="AJ106" s="85"/>
      <c r="AK106" s="85"/>
      <c r="AL106" s="85"/>
      <c r="AM106" s="85"/>
      <c r="AN106" s="85"/>
      <c r="AO106" s="85"/>
      <c r="AP106" s="85"/>
      <c r="AQ106" s="85"/>
      <c r="AR106" s="85"/>
      <c r="AS106" s="85"/>
      <c r="AT106" s="85"/>
      <c r="AU106" s="85"/>
      <c r="AV106" s="85"/>
    </row>
    <row r="107" spans="1:48" s="75" customFormat="1" ht="15" hidden="1" customHeight="1">
      <c r="A107" s="1997"/>
      <c r="B107" s="165" t="s">
        <v>606</v>
      </c>
      <c r="C107" s="166" t="s">
        <v>607</v>
      </c>
      <c r="D107" s="174">
        <f>IF(OR(D95="非普",D95="其他"),IF(D106&lt;=0,0,IF(D106&lt;=0.5,0.3,IF(D106&lt;=1,0.4,IF(D106&lt;=2,0.5,0.6)))),IF(D95="普",IF(D106&lt;=0.2,0,IF(D106&lt;=0.5,0.3,IF(D106&lt;=1,0.4,IF(D106&lt;=2,0.5,0.6)))),0))</f>
        <v>0</v>
      </c>
      <c r="E107" s="175">
        <f t="shared" ref="E107" si="112">IF(OR(E95="非普",E95="其他"),IF(E106&lt;=0,0,IF(E106&lt;=0.5,0.3,IF(E106&lt;=1,0.4,IF(E106&lt;=2,0.5,0.6)))),IF(E95="普",IF(E106&lt;=0.2,0,IF(E106&lt;=0.5,0.3,IF(E106&lt;=1,0.4,IF(E106&lt;=2,0.5,0.6)))),0))</f>
        <v>0</v>
      </c>
      <c r="F107" s="175">
        <f t="shared" ref="F107" si="113">IF(OR(F95="非普",F95="其他"),IF(F106&lt;=0,0,IF(F106&lt;=0.5,0.3,IF(F106&lt;=1,0.4,IF(F106&lt;=2,0.5,0.6)))),IF(F95="普",IF(F106&lt;=0.2,0,IF(F106&lt;=0.5,0.3,IF(F106&lt;=1,0.4,IF(F106&lt;=2,0.5,0.6)))),0))</f>
        <v>0</v>
      </c>
      <c r="G107" s="175">
        <f t="shared" ref="G107" si="114">IF(OR(G95="非普",G95="其他"),IF(G106&lt;=0,0,IF(G106&lt;=0.5,0.3,IF(G106&lt;=1,0.4,IF(G106&lt;=2,0.5,0.6)))),IF(G95="普",IF(G106&lt;=0.2,0,IF(G106&lt;=0.5,0.3,IF(G106&lt;=1,0.4,IF(G106&lt;=2,0.5,0.6)))),0))</f>
        <v>0</v>
      </c>
      <c r="H107" s="175">
        <f t="shared" ref="H107" si="115">IF(OR(H95="非普",H95="其他"),IF(H106&lt;=0,0,IF(H106&lt;=0.5,0.3,IF(H106&lt;=1,0.4,IF(H106&lt;=2,0.5,0.6)))),IF(H95="普",IF(H106&lt;=0.2,0,IF(H106&lt;=0.5,0.3,IF(H106&lt;=1,0.4,IF(H106&lt;=2,0.5,0.6)))),0))</f>
        <v>0</v>
      </c>
      <c r="I107" s="175">
        <f t="shared" ref="I107" si="116">IF(OR(I95="非普",I95="其他"),IF(I106&lt;=0,0,IF(I106&lt;=0.5,0.3,IF(I106&lt;=1,0.4,IF(I106&lt;=2,0.5,0.6)))),IF(I95="普",IF(I106&lt;=0.2,0,IF(I106&lt;=0.5,0.3,IF(I106&lt;=1,0.4,IF(I106&lt;=2,0.5,0.6)))),0))</f>
        <v>0</v>
      </c>
      <c r="J107" s="175">
        <f t="shared" ref="J107" si="117">IF(OR(J95="非普",J95="其他"),IF(J106&lt;=0,0,IF(J106&lt;=0.5,0.3,IF(J106&lt;=1,0.4,IF(J106&lt;=2,0.5,0.6)))),IF(J95="普",IF(J106&lt;=0.2,0,IF(J106&lt;=0.5,0.3,IF(J106&lt;=1,0.4,IF(J106&lt;=2,0.5,0.6)))),0))</f>
        <v>0</v>
      </c>
      <c r="K107" s="175">
        <f t="shared" ref="K107" si="118">IF(OR(K95="非普",K95="其他"),IF(K106&lt;=0,0,IF(K106&lt;=0.5,0.3,IF(K106&lt;=1,0.4,IF(K106&lt;=2,0.5,0.6)))),IF(K95="普",IF(K106&lt;=0.2,0,IF(K106&lt;=0.5,0.3,IF(K106&lt;=1,0.4,IF(K106&lt;=2,0.5,0.6)))),0))</f>
        <v>0</v>
      </c>
      <c r="L107" s="175">
        <f t="shared" ref="L107" si="119">IF(OR(L95="非普",L95="其他"),IF(L106&lt;=0,0,IF(L106&lt;=0.5,0.3,IF(L106&lt;=1,0.4,IF(L106&lt;=2,0.5,0.6)))),IF(L95="普",IF(L106&lt;=0.2,0,IF(L106&lt;=0.5,0.3,IF(L106&lt;=1,0.4,IF(L106&lt;=2,0.5,0.6)))),0))</f>
        <v>0</v>
      </c>
      <c r="M107" s="175">
        <f t="shared" ref="M107" si="120">IF(OR(M95="非普",M95="其他"),IF(M106&lt;=0,0,IF(M106&lt;=0.5,0.3,IF(M106&lt;=1,0.4,IF(M106&lt;=2,0.5,0.6)))),IF(M95="普",IF(M106&lt;=0.2,0,IF(M106&lt;=0.5,0.3,IF(M106&lt;=1,0.4,IF(M106&lt;=2,0.5,0.6)))),0))</f>
        <v>0</v>
      </c>
      <c r="N107" s="175">
        <f t="shared" ref="N107:O107" si="121">IF(OR(N95="非普",N95="其他"),IF(N106&lt;=0,0,IF(N106&lt;=0.5,0.3,IF(N106&lt;=1,0.4,IF(N106&lt;=2,0.5,0.6)))),IF(N95="普",IF(N106&lt;=0.2,0,IF(N106&lt;=0.5,0.3,IF(N106&lt;=1,0.4,IF(N106&lt;=2,0.5,0.6)))),0))</f>
        <v>0</v>
      </c>
      <c r="O107" s="192">
        <f t="shared" si="121"/>
        <v>0</v>
      </c>
      <c r="P107" s="204">
        <f>IF(P106&lt;=0.2,0,IF(P106&lt;=0.5,0.3,IF(P106&lt;=1,0.4,IF(P106&lt;=2,0.5,0.6))))</f>
        <v>0</v>
      </c>
      <c r="Q107" s="215">
        <f>IF(Q106&lt;=0,0,IF(Q106&lt;=0.5,0.3,IF(Q106&lt;=1,0.4,IF(Q106&lt;=2,0.5,0.6))))</f>
        <v>0</v>
      </c>
      <c r="R107" s="215">
        <f ca="1">IF(R106&lt;=0,0,IF(R106&lt;=0.5,0.3,IF(R106&lt;=1,0.4,IF(R106&lt;=2,0.5,0.6))))</f>
        <v>0</v>
      </c>
      <c r="S107" s="216"/>
      <c r="T107" s="85"/>
      <c r="U107" s="85"/>
      <c r="V107" s="85"/>
      <c r="W107" s="85"/>
      <c r="X107" s="85"/>
      <c r="Y107" s="85"/>
      <c r="Z107" s="85"/>
      <c r="AA107" s="85"/>
      <c r="AB107" s="85"/>
      <c r="AC107" s="85"/>
      <c r="AD107" s="85"/>
      <c r="AE107" s="85"/>
      <c r="AF107" s="85"/>
      <c r="AG107" s="85"/>
      <c r="AH107" s="85"/>
      <c r="AI107" s="85"/>
      <c r="AJ107" s="85"/>
      <c r="AK107" s="85"/>
      <c r="AL107" s="85"/>
      <c r="AM107" s="85"/>
      <c r="AN107" s="85"/>
      <c r="AO107" s="85"/>
      <c r="AP107" s="85"/>
      <c r="AQ107" s="85"/>
      <c r="AR107" s="85"/>
      <c r="AS107" s="85"/>
      <c r="AT107" s="85"/>
      <c r="AU107" s="85"/>
      <c r="AV107" s="85"/>
    </row>
    <row r="108" spans="1:48" s="75" customFormat="1" ht="15" hidden="1" customHeight="1">
      <c r="A108" s="1997"/>
      <c r="B108" s="165" t="s">
        <v>608</v>
      </c>
      <c r="C108" s="166" t="s">
        <v>607</v>
      </c>
      <c r="D108" s="176">
        <f>IF(D107=0.4,0.05,IF(D107=0.5,0.15,IF(D107=0.6,0.35,0)))</f>
        <v>0</v>
      </c>
      <c r="E108" s="177">
        <f t="shared" ref="E108:R108" si="122">IF(E107=0.4,0.05,IF(E107=0.5,0.15,IF(E107=0.6,0.35,0)))</f>
        <v>0</v>
      </c>
      <c r="F108" s="177">
        <f t="shared" si="122"/>
        <v>0</v>
      </c>
      <c r="G108" s="177">
        <f t="shared" si="122"/>
        <v>0</v>
      </c>
      <c r="H108" s="177">
        <f t="shared" si="122"/>
        <v>0</v>
      </c>
      <c r="I108" s="177">
        <f t="shared" si="122"/>
        <v>0</v>
      </c>
      <c r="J108" s="177">
        <f t="shared" si="122"/>
        <v>0</v>
      </c>
      <c r="K108" s="177">
        <f t="shared" si="122"/>
        <v>0</v>
      </c>
      <c r="L108" s="177">
        <f t="shared" si="122"/>
        <v>0</v>
      </c>
      <c r="M108" s="177">
        <f t="shared" si="122"/>
        <v>0</v>
      </c>
      <c r="N108" s="177">
        <f t="shared" si="122"/>
        <v>0</v>
      </c>
      <c r="O108" s="195">
        <f t="shared" si="122"/>
        <v>0</v>
      </c>
      <c r="P108" s="204">
        <f t="shared" si="122"/>
        <v>0</v>
      </c>
      <c r="Q108" s="215">
        <f t="shared" si="122"/>
        <v>0</v>
      </c>
      <c r="R108" s="215">
        <f t="shared" ca="1" si="122"/>
        <v>0</v>
      </c>
      <c r="S108" s="216"/>
      <c r="T108" s="85"/>
      <c r="U108" s="85"/>
      <c r="V108" s="85"/>
      <c r="W108" s="85"/>
      <c r="X108" s="85"/>
      <c r="Y108" s="85"/>
      <c r="Z108" s="85"/>
      <c r="AA108" s="85"/>
      <c r="AB108" s="85"/>
      <c r="AC108" s="85"/>
      <c r="AD108" s="85"/>
      <c r="AE108" s="85"/>
      <c r="AF108" s="85"/>
      <c r="AG108" s="85"/>
      <c r="AH108" s="85"/>
      <c r="AI108" s="85"/>
      <c r="AJ108" s="85"/>
      <c r="AK108" s="85"/>
      <c r="AL108" s="85"/>
      <c r="AM108" s="85"/>
      <c r="AN108" s="85"/>
      <c r="AO108" s="85"/>
      <c r="AP108" s="85"/>
      <c r="AQ108" s="85"/>
      <c r="AR108" s="85"/>
      <c r="AS108" s="85"/>
      <c r="AT108" s="85"/>
      <c r="AU108" s="85"/>
      <c r="AV108" s="85"/>
    </row>
    <row r="109" spans="1:48" s="75" customFormat="1" ht="15" hidden="1" customHeight="1">
      <c r="A109" s="1997"/>
      <c r="B109" s="165" t="s">
        <v>937</v>
      </c>
      <c r="C109" s="166">
        <f ca="1">SUM(D109:O109)</f>
        <v>0</v>
      </c>
      <c r="D109" s="167">
        <f ca="1">D111-D110</f>
        <v>0</v>
      </c>
      <c r="E109" s="168">
        <f t="shared" ref="E109:P109" ca="1" si="123">E111-E110</f>
        <v>0</v>
      </c>
      <c r="F109" s="168">
        <f t="shared" ca="1" si="123"/>
        <v>0</v>
      </c>
      <c r="G109" s="168">
        <f t="shared" ca="1" si="123"/>
        <v>0</v>
      </c>
      <c r="H109" s="168">
        <f t="shared" ca="1" si="123"/>
        <v>0</v>
      </c>
      <c r="I109" s="168">
        <f t="shared" ca="1" si="123"/>
        <v>0</v>
      </c>
      <c r="J109" s="168">
        <f t="shared" ca="1" si="123"/>
        <v>0</v>
      </c>
      <c r="K109" s="168">
        <f t="shared" ca="1" si="123"/>
        <v>0</v>
      </c>
      <c r="L109" s="168">
        <f t="shared" ca="1" si="123"/>
        <v>0</v>
      </c>
      <c r="M109" s="168">
        <f t="shared" ca="1" si="123"/>
        <v>0</v>
      </c>
      <c r="N109" s="168">
        <f t="shared" ca="1" si="123"/>
        <v>0</v>
      </c>
      <c r="O109" s="189">
        <f t="shared" ca="1" si="123"/>
        <v>0</v>
      </c>
      <c r="P109" s="202">
        <f t="shared" si="123"/>
        <v>0</v>
      </c>
      <c r="Q109" s="202">
        <f t="shared" ref="Q109:R109" si="124">Q111-Q110</f>
        <v>0</v>
      </c>
      <c r="R109" s="202">
        <f t="shared" ca="1" si="124"/>
        <v>0</v>
      </c>
      <c r="S109" s="212"/>
      <c r="T109" s="85"/>
      <c r="U109" s="85"/>
      <c r="V109" s="85"/>
      <c r="W109" s="85"/>
      <c r="X109" s="85"/>
      <c r="Y109" s="85"/>
      <c r="Z109" s="85"/>
      <c r="AA109" s="85"/>
      <c r="AB109" s="85"/>
      <c r="AC109" s="85"/>
      <c r="AD109" s="85"/>
      <c r="AE109" s="85"/>
      <c r="AF109" s="85"/>
      <c r="AG109" s="85"/>
      <c r="AH109" s="85"/>
      <c r="AI109" s="85"/>
      <c r="AJ109" s="85"/>
      <c r="AK109" s="85"/>
      <c r="AL109" s="85"/>
      <c r="AM109" s="85"/>
      <c r="AN109" s="85"/>
      <c r="AO109" s="85"/>
      <c r="AP109" s="85"/>
      <c r="AQ109" s="85"/>
      <c r="AR109" s="85"/>
      <c r="AS109" s="85"/>
      <c r="AT109" s="85"/>
      <c r="AU109" s="85"/>
      <c r="AV109" s="85"/>
    </row>
    <row r="110" spans="1:48" s="75" customFormat="1" ht="15" hidden="1" customHeight="1">
      <c r="A110" s="1997"/>
      <c r="B110" s="165" t="s">
        <v>610</v>
      </c>
      <c r="C110" s="166">
        <f>SUM(D110:O110)</f>
        <v>0</v>
      </c>
      <c r="D110" s="178">
        <f>IF(D95="普",'11.销售及回款表'!D438/1.1*'2.税率表'!$D$20,IF(D95="非普",'11.销售及回款表'!D438/1.1*'2.税率表'!$D$21,IF(D95="其他",'11.销售及回款表'!D438/1.1*'2.税率表'!$D$22,0)))</f>
        <v>0</v>
      </c>
      <c r="E110" s="179">
        <f>IF(E95="普",'11.销售及回款表'!D443/1.1*'2.税率表'!$D$20,IF(E95="非普",'11.销售及回款表'!D443/1.1*'2.税率表'!$D$21,IF(E95="其他",'11.销售及回款表'!D443/1.1*'2.税率表'!$D$22,0)))</f>
        <v>0</v>
      </c>
      <c r="F110" s="179">
        <f>IF(F95="普",'11.销售及回款表'!D448/1.1*'2.税率表'!$D$20,IF(F95="非普",'11.销售及回款表'!D448/1.1*'2.税率表'!$D$21,IF(F95="其他",'11.销售及回款表'!D448/1.1*'2.税率表'!$D$22,0)))</f>
        <v>0</v>
      </c>
      <c r="G110" s="179">
        <f>IF(G95="普",'11.销售及回款表'!D453/1.1*'2.税率表'!$D$20,IF(G95="非普",'11.销售及回款表'!D453/1.1*'2.税率表'!$D$21,IF(G95="其他",'11.销售及回款表'!D453/1.1*'2.税率表'!$D$22,0)))</f>
        <v>0</v>
      </c>
      <c r="H110" s="179">
        <f>IF(H95="普",'11.销售及回款表'!D458/1.1*'2.税率表'!$D$20,IF(H95="非普",'11.销售及回款表'!D458/1.1*'2.税率表'!$D$21,IF(H95="其他",'11.销售及回款表'!D458/1.1*'2.税率表'!$D$22,0)))</f>
        <v>0</v>
      </c>
      <c r="I110" s="179">
        <f>IF(I95="普",'11.销售及回款表'!D463/1.1*'2.税率表'!$D$20,IF(I95="非普",'11.销售及回款表'!D463/1.1*'2.税率表'!$D$21,IF(I95="其他",'11.销售及回款表'!D463/1.1*'2.税率表'!$D$22,0)))</f>
        <v>0</v>
      </c>
      <c r="J110" s="179">
        <f>IF(J95="普",'11.销售及回款表'!D468/1.1*'2.税率表'!$D$20,IF(J95="非普",'11.销售及回款表'!D468/1.1*'2.税率表'!$D$21,IF(J95="其他",'11.销售及回款表'!D468/1.1*'2.税率表'!$D$22,0)))</f>
        <v>0</v>
      </c>
      <c r="K110" s="179">
        <f>IF(K95="普",'11.销售及回款表'!D473/1.1*'2.税率表'!$D$20,IF(K95="非普",'11.销售及回款表'!D473/1.1*'2.税率表'!$D$21,IF(K95="其他",'11.销售及回款表'!D473/1.1*'2.税率表'!$D$22,0)))</f>
        <v>0</v>
      </c>
      <c r="L110" s="179">
        <f>IF(L95="普",'11.销售及回款表'!D478/1.1*'2.税率表'!$D$20,IF(L95="非普",'11.销售及回款表'!D478/1.1*'2.税率表'!$D$21,IF(L95="其他",'11.销售及回款表'!D478/1.1*'2.税率表'!$D$22,0)))</f>
        <v>0</v>
      </c>
      <c r="M110" s="179">
        <f>IF(M95="普",'11.销售及回款表'!D483/1.1*'2.税率表'!$D$20,IF(M95="非普",'11.销售及回款表'!D483/1.1*'2.税率表'!$D$21,IF(M95="其他",'11.销售及回款表'!D483/1.1*'2.税率表'!$D$22,0)))</f>
        <v>0</v>
      </c>
      <c r="N110" s="168">
        <f>IF(N95="普",N97*'2.税率表'!$D$20,IF(N95="非普",N97*'2.税率表'!$D$21,IF(N95="其他",N97*'2.税率表'!$D$22,0)))</f>
        <v>0</v>
      </c>
      <c r="O110" s="189">
        <f>IF(O95="普",O97*'2.税率表'!$D$20,IF(O95="非普",O97*'2.税率表'!$D$21,IF(O95="其他",O97*'2.税率表'!$D$22,0)))</f>
        <v>0</v>
      </c>
      <c r="P110" s="202">
        <f>P97*'2.税率表'!$D$20</f>
        <v>0</v>
      </c>
      <c r="Q110" s="211">
        <f>Q97*'2.税率表'!$D$21</f>
        <v>0</v>
      </c>
      <c r="R110" s="211">
        <f>R97*'2.税率表'!$D$22</f>
        <v>0</v>
      </c>
      <c r="S110" s="212"/>
      <c r="T110" s="85"/>
      <c r="U110" s="85"/>
      <c r="V110" s="85"/>
      <c r="W110" s="85"/>
      <c r="X110" s="85"/>
      <c r="Y110" s="85"/>
      <c r="Z110" s="85"/>
      <c r="AA110" s="85"/>
      <c r="AB110" s="85"/>
      <c r="AC110" s="85"/>
      <c r="AD110" s="85"/>
      <c r="AE110" s="85"/>
      <c r="AF110" s="85"/>
      <c r="AG110" s="85"/>
      <c r="AH110" s="85"/>
      <c r="AI110" s="85"/>
      <c r="AJ110" s="85"/>
      <c r="AK110" s="85"/>
      <c r="AL110" s="85"/>
      <c r="AM110" s="85"/>
      <c r="AN110" s="85"/>
      <c r="AO110" s="85"/>
      <c r="AP110" s="85"/>
      <c r="AQ110" s="85"/>
      <c r="AR110" s="85"/>
      <c r="AS110" s="85"/>
      <c r="AT110" s="85"/>
      <c r="AU110" s="85"/>
      <c r="AV110" s="85"/>
    </row>
    <row r="111" spans="1:48" s="75" customFormat="1" ht="15" hidden="1" customHeight="1">
      <c r="A111" s="1997"/>
      <c r="B111" s="165" t="s">
        <v>609</v>
      </c>
      <c r="C111" s="180">
        <f ca="1">IFERROR(SUM(D111:O111),0)</f>
        <v>0</v>
      </c>
      <c r="D111" s="181">
        <f ca="1">IFERROR(IF($R95="合并清算",$Q111/$Q97*D97,IF(($R95="两分法")*(D95="普"),$P111/$P97*D97,IF(($R95="两分法")*(D95="非普"),$Q111/$Q97*D97,IF(($R95="两分法")*(D95="其他"),$Q111/$Q97*D97,IF(D95="普",$P111/$P97*D97,IF(D95="非普",$Q111/$Q97*D97,$R111/$R97*D97)))))),0)</f>
        <v>0</v>
      </c>
      <c r="E111" s="182">
        <f t="shared" ref="E111:O111" ca="1" si="125">IFERROR(IF($R95="合并清算",$Q111/$Q97*E97,IF(($R95="两分法")*(E95="普"),$P111/$P97*E97,IF(($R95="两分法")*(E95="非普"),$Q111/$Q97*E97,IF(($R95="两分法")*(E95="其他"),$Q111/$Q97*E97,IF(E95="普",$P111/$P97*E97,IF(E95="非普",$Q111/$Q97*E97,$R111/$R97*E97)))))),0)</f>
        <v>0</v>
      </c>
      <c r="F111" s="182">
        <f t="shared" ca="1" si="125"/>
        <v>0</v>
      </c>
      <c r="G111" s="182">
        <f t="shared" ca="1" si="125"/>
        <v>0</v>
      </c>
      <c r="H111" s="182">
        <f t="shared" ca="1" si="125"/>
        <v>0</v>
      </c>
      <c r="I111" s="182">
        <f t="shared" ca="1" si="125"/>
        <v>0</v>
      </c>
      <c r="J111" s="182">
        <f t="shared" ca="1" si="125"/>
        <v>0</v>
      </c>
      <c r="K111" s="182">
        <f t="shared" ca="1" si="125"/>
        <v>0</v>
      </c>
      <c r="L111" s="182">
        <f t="shared" ca="1" si="125"/>
        <v>0</v>
      </c>
      <c r="M111" s="182">
        <f t="shared" ca="1" si="125"/>
        <v>0</v>
      </c>
      <c r="N111" s="182">
        <f t="shared" ca="1" si="125"/>
        <v>0</v>
      </c>
      <c r="O111" s="199">
        <f t="shared" ca="1" si="125"/>
        <v>0</v>
      </c>
      <c r="P111" s="205">
        <f>P105*P107-P104*P108</f>
        <v>0</v>
      </c>
      <c r="Q111" s="205">
        <f t="shared" ref="Q111:R111" si="126">Q105*Q107-Q104*Q108</f>
        <v>0</v>
      </c>
      <c r="R111" s="205">
        <f t="shared" ca="1" si="126"/>
        <v>0</v>
      </c>
      <c r="S111" s="212"/>
      <c r="T111" s="85"/>
      <c r="U111" s="85"/>
      <c r="V111" s="85"/>
      <c r="W111" s="85"/>
      <c r="X111" s="85"/>
      <c r="Y111" s="85"/>
      <c r="Z111" s="85"/>
      <c r="AA111" s="85"/>
      <c r="AB111" s="85"/>
      <c r="AC111" s="85"/>
      <c r="AD111" s="85"/>
      <c r="AE111" s="85"/>
      <c r="AF111" s="85"/>
      <c r="AG111" s="85"/>
      <c r="AH111" s="85"/>
      <c r="AI111" s="85"/>
      <c r="AJ111" s="85"/>
      <c r="AK111" s="85"/>
      <c r="AL111" s="85"/>
      <c r="AM111" s="85"/>
      <c r="AN111" s="85"/>
      <c r="AO111" s="85"/>
      <c r="AP111" s="85"/>
      <c r="AQ111" s="85"/>
      <c r="AR111" s="85"/>
      <c r="AS111" s="85"/>
      <c r="AT111" s="85"/>
      <c r="AU111" s="85"/>
      <c r="AV111" s="85"/>
    </row>
    <row r="112" spans="1:48">
      <c r="A112" s="78"/>
      <c r="B112" s="78"/>
      <c r="C112" s="78"/>
      <c r="D112" s="78"/>
      <c r="E112" s="78"/>
      <c r="F112" s="78"/>
      <c r="G112" s="78"/>
      <c r="H112" s="78"/>
      <c r="I112" s="78"/>
      <c r="J112" s="78"/>
      <c r="K112" s="78"/>
      <c r="L112" s="78"/>
      <c r="M112" s="78"/>
      <c r="N112" s="78"/>
      <c r="O112" s="78"/>
      <c r="P112" s="78"/>
      <c r="Q112" s="78"/>
      <c r="R112" s="115"/>
      <c r="S112" s="115"/>
      <c r="T112" s="78"/>
      <c r="U112" s="78"/>
      <c r="V112" s="78"/>
      <c r="W112" s="78"/>
      <c r="X112" s="78"/>
      <c r="Y112" s="78"/>
      <c r="Z112" s="78"/>
      <c r="AA112" s="78"/>
      <c r="AB112" s="78"/>
      <c r="AC112" s="78"/>
      <c r="AD112" s="78"/>
      <c r="AE112" s="78"/>
      <c r="AF112" s="78"/>
      <c r="AG112" s="78"/>
      <c r="AH112" s="78"/>
      <c r="AI112" s="78"/>
      <c r="AJ112" s="78"/>
      <c r="AK112" s="78"/>
      <c r="AL112" s="78"/>
      <c r="AM112" s="78"/>
      <c r="AN112" s="78"/>
      <c r="AO112" s="78"/>
      <c r="AP112" s="78"/>
      <c r="AQ112" s="78"/>
      <c r="AR112" s="78"/>
      <c r="AS112" s="78"/>
      <c r="AT112" s="78"/>
      <c r="AU112" s="78"/>
      <c r="AV112" s="78"/>
    </row>
    <row r="113" spans="1:48">
      <c r="A113" s="78"/>
      <c r="B113" s="78"/>
      <c r="C113" s="78"/>
      <c r="D113" s="78"/>
      <c r="E113" s="78"/>
      <c r="F113" s="78"/>
      <c r="G113" s="78"/>
      <c r="H113" s="78"/>
      <c r="I113" s="78"/>
      <c r="J113" s="78"/>
      <c r="K113" s="78"/>
      <c r="L113" s="78"/>
      <c r="M113" s="78"/>
      <c r="N113" s="78"/>
      <c r="O113" s="78"/>
      <c r="P113" s="78"/>
      <c r="Q113" s="78"/>
      <c r="R113" s="115"/>
      <c r="S113" s="115"/>
      <c r="T113" s="78"/>
      <c r="U113" s="78"/>
      <c r="V113" s="78"/>
      <c r="W113" s="78"/>
      <c r="X113" s="78"/>
      <c r="Y113" s="78"/>
      <c r="Z113" s="78"/>
      <c r="AA113" s="78"/>
      <c r="AB113" s="78"/>
      <c r="AC113" s="78"/>
      <c r="AD113" s="78"/>
      <c r="AE113" s="78"/>
      <c r="AF113" s="78"/>
      <c r="AG113" s="78"/>
      <c r="AH113" s="78"/>
      <c r="AI113" s="78"/>
      <c r="AJ113" s="78"/>
      <c r="AK113" s="78"/>
      <c r="AL113" s="78"/>
      <c r="AM113" s="78"/>
      <c r="AN113" s="78"/>
      <c r="AO113" s="78"/>
      <c r="AP113" s="78"/>
      <c r="AQ113" s="78"/>
      <c r="AR113" s="78"/>
      <c r="AS113" s="78"/>
      <c r="AT113" s="78"/>
      <c r="AU113" s="78"/>
      <c r="AV113" s="78"/>
    </row>
    <row r="114" spans="1:48" ht="15" customHeight="1">
      <c r="A114" s="82" t="s">
        <v>612</v>
      </c>
      <c r="B114" s="78"/>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78"/>
      <c r="AH114" s="78"/>
      <c r="AI114" s="78"/>
      <c r="AJ114" s="78"/>
      <c r="AK114" s="78"/>
      <c r="AL114" s="78"/>
      <c r="AM114" s="78"/>
      <c r="AN114" s="78"/>
      <c r="AO114" s="78"/>
      <c r="AP114" s="78"/>
      <c r="AQ114" s="78"/>
      <c r="AR114" s="78"/>
      <c r="AS114" s="78"/>
      <c r="AT114" s="78"/>
      <c r="AU114" s="78"/>
      <c r="AV114" s="78"/>
    </row>
    <row r="115" spans="1:48" ht="15" customHeight="1">
      <c r="A115" s="141" t="s">
        <v>613</v>
      </c>
      <c r="B115" s="78"/>
      <c r="C115" s="78"/>
      <c r="D115" s="78"/>
      <c r="E115" s="78"/>
      <c r="F115" s="78"/>
      <c r="G115" s="78"/>
      <c r="H115" s="78"/>
      <c r="I115" s="78"/>
      <c r="J115" s="78"/>
      <c r="K115" s="78"/>
      <c r="L115" s="78"/>
      <c r="M115" s="78"/>
      <c r="N115" s="78"/>
      <c r="O115" s="78"/>
      <c r="P115" s="78"/>
      <c r="Q115" s="78"/>
      <c r="R115" s="78"/>
      <c r="S115" s="78"/>
      <c r="T115" s="78"/>
      <c r="U115" s="78"/>
      <c r="V115" s="78"/>
      <c r="W115" s="78"/>
      <c r="X115" s="78"/>
      <c r="Y115" s="78"/>
      <c r="Z115" s="78"/>
      <c r="AA115" s="78"/>
      <c r="AB115" s="78"/>
      <c r="AC115" s="78"/>
      <c r="AD115" s="78"/>
      <c r="AE115" s="78"/>
      <c r="AF115" s="78"/>
      <c r="AG115" s="78"/>
      <c r="AH115" s="78"/>
      <c r="AI115" s="78"/>
      <c r="AJ115" s="78"/>
      <c r="AK115" s="78"/>
      <c r="AL115" s="78"/>
      <c r="AM115" s="78"/>
      <c r="AN115" s="78"/>
      <c r="AO115" s="78"/>
      <c r="AP115" s="78"/>
      <c r="AQ115" s="78"/>
      <c r="AR115" s="78"/>
      <c r="AS115" s="78"/>
      <c r="AT115" s="78"/>
      <c r="AU115" s="78"/>
      <c r="AV115" s="78"/>
    </row>
    <row r="116" spans="1:48" s="75" customFormat="1" ht="16.5" customHeight="1">
      <c r="A116" s="1855" t="s">
        <v>598</v>
      </c>
      <c r="B116" s="1855" t="s">
        <v>614</v>
      </c>
      <c r="C116" s="1855" t="s">
        <v>251</v>
      </c>
      <c r="D116" s="1993">
        <f>'1.参数设置'!C4</f>
        <v>2018</v>
      </c>
      <c r="E116" s="1993"/>
      <c r="F116" s="1993"/>
      <c r="G116" s="1993"/>
      <c r="H116" s="1993">
        <f>D116+1</f>
        <v>2019</v>
      </c>
      <c r="I116" s="1993"/>
      <c r="J116" s="1993"/>
      <c r="K116" s="1993"/>
      <c r="L116" s="1993">
        <f>H116+1</f>
        <v>2020</v>
      </c>
      <c r="M116" s="1993"/>
      <c r="N116" s="1993"/>
      <c r="O116" s="1993"/>
      <c r="P116" s="1994">
        <f>L116+1</f>
        <v>2021</v>
      </c>
      <c r="Q116" s="1995"/>
      <c r="R116" s="1995"/>
      <c r="S116" s="1996"/>
      <c r="T116" s="1993">
        <f>P116+1</f>
        <v>2022</v>
      </c>
      <c r="U116" s="1993"/>
      <c r="V116" s="1993"/>
      <c r="W116" s="1993"/>
      <c r="X116" s="1993">
        <f>T116+1</f>
        <v>2023</v>
      </c>
      <c r="Y116" s="1993"/>
      <c r="Z116" s="1993"/>
      <c r="AA116" s="1993"/>
      <c r="AB116" s="1993">
        <f>X116+1</f>
        <v>2024</v>
      </c>
      <c r="AC116" s="1993"/>
      <c r="AD116" s="1993"/>
      <c r="AE116" s="1993"/>
      <c r="AF116" s="1993">
        <f>AB116+1</f>
        <v>2025</v>
      </c>
      <c r="AG116" s="1993"/>
      <c r="AH116" s="1993"/>
      <c r="AI116" s="1993"/>
      <c r="AJ116" s="1993">
        <f>AF116+1</f>
        <v>2026</v>
      </c>
      <c r="AK116" s="1993"/>
      <c r="AL116" s="1993"/>
      <c r="AM116" s="1993"/>
      <c r="AN116" s="1993">
        <f>AJ116+1</f>
        <v>2027</v>
      </c>
      <c r="AO116" s="1993"/>
      <c r="AP116" s="1993"/>
      <c r="AQ116" s="1993"/>
      <c r="AR116" s="1993">
        <f>AN116+1</f>
        <v>2028</v>
      </c>
      <c r="AS116" s="1993"/>
      <c r="AT116" s="1993"/>
      <c r="AU116" s="1993"/>
      <c r="AV116" s="85"/>
    </row>
    <row r="117" spans="1:48" s="75" customFormat="1" ht="15.75" customHeight="1">
      <c r="A117" s="1855"/>
      <c r="B117" s="1855"/>
      <c r="C117" s="1855"/>
      <c r="D117" s="222">
        <v>1</v>
      </c>
      <c r="E117" s="223">
        <v>2</v>
      </c>
      <c r="F117" s="223">
        <v>3</v>
      </c>
      <c r="G117" s="224">
        <v>4</v>
      </c>
      <c r="H117" s="222">
        <v>1</v>
      </c>
      <c r="I117" s="223">
        <v>2</v>
      </c>
      <c r="J117" s="223">
        <v>3</v>
      </c>
      <c r="K117" s="224">
        <v>4</v>
      </c>
      <c r="L117" s="222">
        <v>1</v>
      </c>
      <c r="M117" s="223">
        <v>2</v>
      </c>
      <c r="N117" s="223">
        <v>3</v>
      </c>
      <c r="O117" s="224">
        <v>4</v>
      </c>
      <c r="P117" s="222">
        <v>1</v>
      </c>
      <c r="Q117" s="223">
        <v>2</v>
      </c>
      <c r="R117" s="223">
        <v>3</v>
      </c>
      <c r="S117" s="224">
        <v>4</v>
      </c>
      <c r="T117" s="222">
        <v>1</v>
      </c>
      <c r="U117" s="223">
        <v>2</v>
      </c>
      <c r="V117" s="223">
        <v>3</v>
      </c>
      <c r="W117" s="224">
        <v>4</v>
      </c>
      <c r="X117" s="222">
        <v>1</v>
      </c>
      <c r="Y117" s="223">
        <v>2</v>
      </c>
      <c r="Z117" s="223">
        <v>3</v>
      </c>
      <c r="AA117" s="224">
        <v>4</v>
      </c>
      <c r="AB117" s="222">
        <v>1</v>
      </c>
      <c r="AC117" s="223">
        <v>2</v>
      </c>
      <c r="AD117" s="223">
        <v>3</v>
      </c>
      <c r="AE117" s="224">
        <v>4</v>
      </c>
      <c r="AF117" s="222">
        <v>1</v>
      </c>
      <c r="AG117" s="223">
        <v>2</v>
      </c>
      <c r="AH117" s="223">
        <v>3</v>
      </c>
      <c r="AI117" s="224">
        <v>4</v>
      </c>
      <c r="AJ117" s="222">
        <v>1</v>
      </c>
      <c r="AK117" s="223">
        <v>2</v>
      </c>
      <c r="AL117" s="223">
        <v>3</v>
      </c>
      <c r="AM117" s="224">
        <v>4</v>
      </c>
      <c r="AN117" s="222">
        <v>1</v>
      </c>
      <c r="AO117" s="223">
        <v>2</v>
      </c>
      <c r="AP117" s="223">
        <v>3</v>
      </c>
      <c r="AQ117" s="224">
        <v>4</v>
      </c>
      <c r="AR117" s="222">
        <v>1</v>
      </c>
      <c r="AS117" s="223">
        <v>2</v>
      </c>
      <c r="AT117" s="223">
        <v>3</v>
      </c>
      <c r="AU117" s="224">
        <v>4</v>
      </c>
      <c r="AV117" s="85"/>
    </row>
    <row r="118" spans="1:48" s="75" customFormat="1" ht="17.25" customHeight="1">
      <c r="A118" s="225" t="s">
        <v>19</v>
      </c>
      <c r="B118" s="226" t="s">
        <v>615</v>
      </c>
      <c r="C118" s="227">
        <f t="shared" ref="C118:C123" si="127">SUM(D118:AU118)</f>
        <v>1890.1599083636363</v>
      </c>
      <c r="D118" s="228">
        <f>('11.销售及回款表'!E78+'11.销售及回款表'!E83)*$AV118</f>
        <v>0</v>
      </c>
      <c r="E118" s="171">
        <f>('11.销售及回款表'!F78+'11.销售及回款表'!F83)*$AV118</f>
        <v>0</v>
      </c>
      <c r="F118" s="171">
        <f>('11.销售及回款表'!G78+'11.销售及回款表'!G83)*$AV118</f>
        <v>0</v>
      </c>
      <c r="G118" s="229">
        <f>('11.销售及回款表'!H78+'11.销售及回款表'!H83)*$AV118</f>
        <v>0</v>
      </c>
      <c r="H118" s="228">
        <f>('11.销售及回款表'!I78+'11.销售及回款表'!I83)*$AV118</f>
        <v>0</v>
      </c>
      <c r="I118" s="171">
        <f>('11.销售及回款表'!J78+'11.销售及回款表'!J83)*$AV118</f>
        <v>553.41650817648906</v>
      </c>
      <c r="J118" s="171">
        <f>('11.销售及回款表'!K78+'11.销售及回款表'!K83)*$AV118</f>
        <v>575.55316850354859</v>
      </c>
      <c r="K118" s="229">
        <f>('11.销售及回款表'!L78+'11.销售及回款表'!L83)*$AV118</f>
        <v>251.59895651726555</v>
      </c>
      <c r="L118" s="228">
        <f>('11.销售及回款表'!M78+'11.销售及回款表'!M83)*$AV118</f>
        <v>256.63093564761084</v>
      </c>
      <c r="M118" s="171">
        <f>('11.销售及回款表'!N78+'11.销售及回款表'!N83)*$AV118</f>
        <v>131.32050903467777</v>
      </c>
      <c r="N118" s="171">
        <f>('11.销售及回款表'!O78+'11.销售及回款表'!O83)*$AV118</f>
        <v>66.133765968185074</v>
      </c>
      <c r="O118" s="229">
        <f>('11.销售及回款表'!P78+'11.销售及回款表'!P83)*$AV118</f>
        <v>33.303638709515639</v>
      </c>
      <c r="P118" s="228">
        <f>('11.销售及回款表'!Q78+'11.销售及回款表'!Q83)*$AV118</f>
        <v>22.202425806343754</v>
      </c>
      <c r="Q118" s="171">
        <f>('11.销售及回款表'!R78+'11.销售及回款表'!R83)*$AV118</f>
        <v>0</v>
      </c>
      <c r="R118" s="171">
        <f>('11.销售及回款表'!S78+'11.销售及回款表'!S83)*$AV118</f>
        <v>0</v>
      </c>
      <c r="S118" s="235">
        <f>('11.销售及回款表'!T78+'11.销售及回款表'!T83)*$AV118</f>
        <v>0</v>
      </c>
      <c r="T118" s="228">
        <f>('11.销售及回款表'!U78+'11.销售及回款表'!U83)*$AV118</f>
        <v>0</v>
      </c>
      <c r="U118" s="171">
        <f>('11.销售及回款表'!V78+'11.销售及回款表'!V83)*$AV118</f>
        <v>0</v>
      </c>
      <c r="V118" s="171">
        <f>('11.销售及回款表'!W78+'11.销售及回款表'!W83)*$AV118</f>
        <v>0</v>
      </c>
      <c r="W118" s="229">
        <f>('11.销售及回款表'!X78+'11.销售及回款表'!X83)*$AV118</f>
        <v>0</v>
      </c>
      <c r="X118" s="228">
        <f>('11.销售及回款表'!Y78+'11.销售及回款表'!Y83)*$AV118</f>
        <v>0</v>
      </c>
      <c r="Y118" s="171">
        <f>('11.销售及回款表'!Z78+'11.销售及回款表'!Z83)*$AV118</f>
        <v>0</v>
      </c>
      <c r="Z118" s="171">
        <f>('11.销售及回款表'!AA78+'11.销售及回款表'!AA83)*$AV118</f>
        <v>0</v>
      </c>
      <c r="AA118" s="229">
        <f>('11.销售及回款表'!AB78+'11.销售及回款表'!AB83)*$AV118</f>
        <v>0</v>
      </c>
      <c r="AB118" s="228">
        <f>('11.销售及回款表'!AC78+'11.销售及回款表'!AC83)*$AV118</f>
        <v>0</v>
      </c>
      <c r="AC118" s="171">
        <f>('11.销售及回款表'!AD78+'11.销售及回款表'!AD83)*$AV118</f>
        <v>0</v>
      </c>
      <c r="AD118" s="171">
        <f>('11.销售及回款表'!AE78+'11.销售及回款表'!AE83)*$AV118</f>
        <v>0</v>
      </c>
      <c r="AE118" s="229">
        <f>('11.销售及回款表'!AF78+'11.销售及回款表'!AF83)*$AV118</f>
        <v>0</v>
      </c>
      <c r="AF118" s="228">
        <f>('11.销售及回款表'!AG78+'11.销售及回款表'!AG83)*$AV118</f>
        <v>0</v>
      </c>
      <c r="AG118" s="171">
        <f>('11.销售及回款表'!AH78+'11.销售及回款表'!AH83)*$AV118</f>
        <v>0</v>
      </c>
      <c r="AH118" s="171">
        <f>('11.销售及回款表'!AI78+'11.销售及回款表'!AI83)*$AV118</f>
        <v>0</v>
      </c>
      <c r="AI118" s="229">
        <f>('11.销售及回款表'!AJ78+'11.销售及回款表'!AJ83)*$AV118</f>
        <v>0</v>
      </c>
      <c r="AJ118" s="228">
        <f>('11.销售及回款表'!AK78+'11.销售及回款表'!AK83)*$AV118</f>
        <v>0</v>
      </c>
      <c r="AK118" s="171">
        <f>('11.销售及回款表'!AL78+'11.销售及回款表'!AL83)*$AV118</f>
        <v>0</v>
      </c>
      <c r="AL118" s="171">
        <f>('11.销售及回款表'!AM78+'11.销售及回款表'!AM83)*$AV118</f>
        <v>0</v>
      </c>
      <c r="AM118" s="229">
        <f>('11.销售及回款表'!AN78+'11.销售及回款表'!AN83)*$AV118</f>
        <v>0</v>
      </c>
      <c r="AN118" s="228">
        <f>('11.销售及回款表'!AO78+'11.销售及回款表'!AO83)*$AV118</f>
        <v>0</v>
      </c>
      <c r="AO118" s="171">
        <f>('11.销售及回款表'!AP78+'11.销售及回款表'!AP83)*$AV118</f>
        <v>0</v>
      </c>
      <c r="AP118" s="171">
        <f>('11.销售及回款表'!AQ78+'11.销售及回款表'!AQ83)*$AV118</f>
        <v>0</v>
      </c>
      <c r="AQ118" s="229">
        <f>('11.销售及回款表'!AR78+'11.销售及回款表'!AR83)*$AV118</f>
        <v>0</v>
      </c>
      <c r="AR118" s="228">
        <f>('11.销售及回款表'!AS78+'11.销售及回款表'!AS83)*$AV118</f>
        <v>0</v>
      </c>
      <c r="AS118" s="171">
        <f>('11.销售及回款表'!AT78+'11.销售及回款表'!AT83)*$AV118</f>
        <v>0</v>
      </c>
      <c r="AT118" s="171">
        <f>('11.销售及回款表'!AU78+'11.销售及回款表'!AU83)*$AV118</f>
        <v>0</v>
      </c>
      <c r="AU118" s="229">
        <f>('11.销售及回款表'!AV78+'11.销售及回款表'!AV83)*$AV118</f>
        <v>0</v>
      </c>
      <c r="AV118" s="104">
        <f>IFERROR(C20/('11.销售及回款表'!D78+'11.销售及回款表'!D83),0)</f>
        <v>1.8790136938341025E-2</v>
      </c>
    </row>
    <row r="119" spans="1:48" s="75" customFormat="1" ht="17.25" customHeight="1">
      <c r="A119" s="225" t="s">
        <v>20</v>
      </c>
      <c r="B119" s="226" t="s">
        <v>615</v>
      </c>
      <c r="C119" s="227">
        <f t="shared" si="127"/>
        <v>0</v>
      </c>
      <c r="D119" s="228">
        <f>('11.销售及回款表'!E148+'11.销售及回款表'!E153)*$AV119</f>
        <v>0</v>
      </c>
      <c r="E119" s="171">
        <f>('11.销售及回款表'!F148+'11.销售及回款表'!F153)*$AV119</f>
        <v>0</v>
      </c>
      <c r="F119" s="171">
        <f>('11.销售及回款表'!G148+'11.销售及回款表'!G153)*$AV119</f>
        <v>0</v>
      </c>
      <c r="G119" s="229">
        <f>('11.销售及回款表'!H148+'11.销售及回款表'!H153)*$AV119</f>
        <v>0</v>
      </c>
      <c r="H119" s="228">
        <f>('11.销售及回款表'!I148+'11.销售及回款表'!I153)*$AV119</f>
        <v>0</v>
      </c>
      <c r="I119" s="171">
        <f>('11.销售及回款表'!J148+'11.销售及回款表'!J153)*$AV119</f>
        <v>0</v>
      </c>
      <c r="J119" s="171">
        <f>('11.销售及回款表'!K148+'11.销售及回款表'!K153)*$AV119</f>
        <v>0</v>
      </c>
      <c r="K119" s="229">
        <f>('11.销售及回款表'!L148+'11.销售及回款表'!L153)*$AV119</f>
        <v>0</v>
      </c>
      <c r="L119" s="228">
        <f>('11.销售及回款表'!M148+'11.销售及回款表'!M153)*$AV119</f>
        <v>0</v>
      </c>
      <c r="M119" s="171">
        <f>('11.销售及回款表'!N148+'11.销售及回款表'!N153)*$AV119</f>
        <v>0</v>
      </c>
      <c r="N119" s="171">
        <f>('11.销售及回款表'!O148+'11.销售及回款表'!O153)*$AV119</f>
        <v>0</v>
      </c>
      <c r="O119" s="229">
        <f>('11.销售及回款表'!P148+'11.销售及回款表'!P153)*$AV119</f>
        <v>0</v>
      </c>
      <c r="P119" s="228">
        <f>('11.销售及回款表'!Q148+'11.销售及回款表'!Q153)*$AV119</f>
        <v>0</v>
      </c>
      <c r="Q119" s="171">
        <f>('11.销售及回款表'!R148+'11.销售及回款表'!R153)*$AV119</f>
        <v>0</v>
      </c>
      <c r="R119" s="171">
        <f>('11.销售及回款表'!S148+'11.销售及回款表'!S153)*$AV119</f>
        <v>0</v>
      </c>
      <c r="S119" s="235">
        <f>('11.销售及回款表'!T148+'11.销售及回款表'!T153)*$AV119</f>
        <v>0</v>
      </c>
      <c r="T119" s="228">
        <f>('11.销售及回款表'!U148+'11.销售及回款表'!U153)*$AV119</f>
        <v>0</v>
      </c>
      <c r="U119" s="171">
        <f>('11.销售及回款表'!V148+'11.销售及回款表'!V153)*$AV119</f>
        <v>0</v>
      </c>
      <c r="V119" s="171">
        <f>('11.销售及回款表'!W148+'11.销售及回款表'!W153)*$AV119</f>
        <v>0</v>
      </c>
      <c r="W119" s="229">
        <f>('11.销售及回款表'!X148+'11.销售及回款表'!X153)*$AV119</f>
        <v>0</v>
      </c>
      <c r="X119" s="228">
        <f>('11.销售及回款表'!Y148+'11.销售及回款表'!Y153)*$AV119</f>
        <v>0</v>
      </c>
      <c r="Y119" s="171">
        <f>('11.销售及回款表'!Z148+'11.销售及回款表'!Z153)*$AV119</f>
        <v>0</v>
      </c>
      <c r="Z119" s="171">
        <f>('11.销售及回款表'!AA148+'11.销售及回款表'!AA153)*$AV119</f>
        <v>0</v>
      </c>
      <c r="AA119" s="229">
        <f>('11.销售及回款表'!AB148+'11.销售及回款表'!AB153)*$AV119</f>
        <v>0</v>
      </c>
      <c r="AB119" s="228">
        <f>('11.销售及回款表'!AC148+'11.销售及回款表'!AC153)*$AV119</f>
        <v>0</v>
      </c>
      <c r="AC119" s="171">
        <f>('11.销售及回款表'!AD148+'11.销售及回款表'!AD153)*$AV119</f>
        <v>0</v>
      </c>
      <c r="AD119" s="171">
        <f>('11.销售及回款表'!AE148+'11.销售及回款表'!AE153)*$AV119</f>
        <v>0</v>
      </c>
      <c r="AE119" s="229">
        <f>('11.销售及回款表'!AF148+'11.销售及回款表'!AF153)*$AV119</f>
        <v>0</v>
      </c>
      <c r="AF119" s="228">
        <f>('11.销售及回款表'!AG148+'11.销售及回款表'!AG153)*$AV119</f>
        <v>0</v>
      </c>
      <c r="AG119" s="171">
        <f>('11.销售及回款表'!AH148+'11.销售及回款表'!AH153)*$AV119</f>
        <v>0</v>
      </c>
      <c r="AH119" s="171">
        <f>('11.销售及回款表'!AI148+'11.销售及回款表'!AI153)*$AV119</f>
        <v>0</v>
      </c>
      <c r="AI119" s="229">
        <f>('11.销售及回款表'!AJ148+'11.销售及回款表'!AJ153)*$AV119</f>
        <v>0</v>
      </c>
      <c r="AJ119" s="228">
        <f>('11.销售及回款表'!AK148+'11.销售及回款表'!AK153)*$AV119</f>
        <v>0</v>
      </c>
      <c r="AK119" s="171">
        <f>('11.销售及回款表'!AL148+'11.销售及回款表'!AL153)*$AV119</f>
        <v>0</v>
      </c>
      <c r="AL119" s="171">
        <f>('11.销售及回款表'!AM148+'11.销售及回款表'!AM153)*$AV119</f>
        <v>0</v>
      </c>
      <c r="AM119" s="229">
        <f>('11.销售及回款表'!AN148+'11.销售及回款表'!AN153)*$AV119</f>
        <v>0</v>
      </c>
      <c r="AN119" s="228">
        <f>('11.销售及回款表'!AO148+'11.销售及回款表'!AO153)*$AV119</f>
        <v>0</v>
      </c>
      <c r="AO119" s="171">
        <f>('11.销售及回款表'!AP148+'11.销售及回款表'!AP153)*$AV119</f>
        <v>0</v>
      </c>
      <c r="AP119" s="171">
        <f>('11.销售及回款表'!AQ148+'11.销售及回款表'!AQ153)*$AV119</f>
        <v>0</v>
      </c>
      <c r="AQ119" s="229">
        <f>('11.销售及回款表'!AR148+'11.销售及回款表'!AR153)*$AV119</f>
        <v>0</v>
      </c>
      <c r="AR119" s="228">
        <f>('11.销售及回款表'!AS148+'11.销售及回款表'!AS153)*$AV119</f>
        <v>0</v>
      </c>
      <c r="AS119" s="171">
        <f>('11.销售及回款表'!AT148+'11.销售及回款表'!AT153)*$AV119</f>
        <v>0</v>
      </c>
      <c r="AT119" s="171">
        <f>('11.销售及回款表'!AU148+'11.销售及回款表'!AU153)*$AV119</f>
        <v>0</v>
      </c>
      <c r="AU119" s="229">
        <f>('11.销售及回款表'!AV148+'11.销售及回款表'!AV153)*$AV119</f>
        <v>0</v>
      </c>
      <c r="AV119" s="104">
        <f>IFERROR(C38/('11.销售及回款表'!D148+'11.销售及回款表'!D153),0)</f>
        <v>0</v>
      </c>
    </row>
    <row r="120" spans="1:48" s="75" customFormat="1" ht="17.25" customHeight="1">
      <c r="A120" s="225" t="s">
        <v>21</v>
      </c>
      <c r="B120" s="226" t="s">
        <v>615</v>
      </c>
      <c r="C120" s="227">
        <f t="shared" si="127"/>
        <v>0</v>
      </c>
      <c r="D120" s="228">
        <f>('11.销售及回款表'!E218+'11.销售及回款表'!E223)*$AV120</f>
        <v>0</v>
      </c>
      <c r="E120" s="171">
        <f>('11.销售及回款表'!F218+'11.销售及回款表'!F223)*$AV120</f>
        <v>0</v>
      </c>
      <c r="F120" s="171">
        <f>('11.销售及回款表'!G218+'11.销售及回款表'!G223)*$AV120</f>
        <v>0</v>
      </c>
      <c r="G120" s="229">
        <f>('11.销售及回款表'!H218+'11.销售及回款表'!H223)*$AV120</f>
        <v>0</v>
      </c>
      <c r="H120" s="228">
        <f>('11.销售及回款表'!I218+'11.销售及回款表'!I223)*$AV120</f>
        <v>0</v>
      </c>
      <c r="I120" s="171">
        <f>('11.销售及回款表'!J218+'11.销售及回款表'!J223)*$AV120</f>
        <v>0</v>
      </c>
      <c r="J120" s="171">
        <f>('11.销售及回款表'!K218+'11.销售及回款表'!K223)*$AV120</f>
        <v>0</v>
      </c>
      <c r="K120" s="229">
        <f>('11.销售及回款表'!L218+'11.销售及回款表'!L223)*$AV120</f>
        <v>0</v>
      </c>
      <c r="L120" s="228">
        <f>('11.销售及回款表'!M218+'11.销售及回款表'!M223)*$AV120</f>
        <v>0</v>
      </c>
      <c r="M120" s="171">
        <f>('11.销售及回款表'!N218+'11.销售及回款表'!N223)*$AV120</f>
        <v>0</v>
      </c>
      <c r="N120" s="171">
        <f>('11.销售及回款表'!O218+'11.销售及回款表'!O223)*$AV120</f>
        <v>0</v>
      </c>
      <c r="O120" s="229">
        <f>('11.销售及回款表'!P218+'11.销售及回款表'!P223)*$AV120</f>
        <v>0</v>
      </c>
      <c r="P120" s="228">
        <f>('11.销售及回款表'!Q218+'11.销售及回款表'!Q223)*$AV120</f>
        <v>0</v>
      </c>
      <c r="Q120" s="171">
        <f>('11.销售及回款表'!R218+'11.销售及回款表'!R223)*$AV120</f>
        <v>0</v>
      </c>
      <c r="R120" s="171">
        <f>('11.销售及回款表'!S218+'11.销售及回款表'!S223)*$AV120</f>
        <v>0</v>
      </c>
      <c r="S120" s="235">
        <f>('11.销售及回款表'!T218+'11.销售及回款表'!T223)*$AV120</f>
        <v>0</v>
      </c>
      <c r="T120" s="228">
        <f>('11.销售及回款表'!U218+'11.销售及回款表'!U223)*$AV120</f>
        <v>0</v>
      </c>
      <c r="U120" s="171">
        <f>('11.销售及回款表'!V218+'11.销售及回款表'!V223)*$AV120</f>
        <v>0</v>
      </c>
      <c r="V120" s="171">
        <f>('11.销售及回款表'!W218+'11.销售及回款表'!W223)*$AV120</f>
        <v>0</v>
      </c>
      <c r="W120" s="229">
        <f>('11.销售及回款表'!X218+'11.销售及回款表'!X223)*$AV120</f>
        <v>0</v>
      </c>
      <c r="X120" s="228">
        <f>('11.销售及回款表'!Y218+'11.销售及回款表'!Y223)*$AV120</f>
        <v>0</v>
      </c>
      <c r="Y120" s="171">
        <f>('11.销售及回款表'!Z218+'11.销售及回款表'!Z223)*$AV120</f>
        <v>0</v>
      </c>
      <c r="Z120" s="171">
        <f>('11.销售及回款表'!AA218+'11.销售及回款表'!AA223)*$AV120</f>
        <v>0</v>
      </c>
      <c r="AA120" s="229">
        <f>('11.销售及回款表'!AB218+'11.销售及回款表'!AB223)*$AV120</f>
        <v>0</v>
      </c>
      <c r="AB120" s="228">
        <f>('11.销售及回款表'!AC218+'11.销售及回款表'!AC223)*$AV120</f>
        <v>0</v>
      </c>
      <c r="AC120" s="171">
        <f>('11.销售及回款表'!AD218+'11.销售及回款表'!AD223)*$AV120</f>
        <v>0</v>
      </c>
      <c r="AD120" s="171">
        <f>('11.销售及回款表'!AE218+'11.销售及回款表'!AE223)*$AV120</f>
        <v>0</v>
      </c>
      <c r="AE120" s="229">
        <f>('11.销售及回款表'!AF218+'11.销售及回款表'!AF223)*$AV120</f>
        <v>0</v>
      </c>
      <c r="AF120" s="228">
        <f>('11.销售及回款表'!AG218+'11.销售及回款表'!AG223)*$AV120</f>
        <v>0</v>
      </c>
      <c r="AG120" s="171">
        <f>('11.销售及回款表'!AH218+'11.销售及回款表'!AH223)*$AV120</f>
        <v>0</v>
      </c>
      <c r="AH120" s="171">
        <f>('11.销售及回款表'!AI218+'11.销售及回款表'!AI223)*$AV120</f>
        <v>0</v>
      </c>
      <c r="AI120" s="229">
        <f>('11.销售及回款表'!AJ218+'11.销售及回款表'!AJ223)*$AV120</f>
        <v>0</v>
      </c>
      <c r="AJ120" s="228">
        <f>('11.销售及回款表'!AK218+'11.销售及回款表'!AK223)*$AV120</f>
        <v>0</v>
      </c>
      <c r="AK120" s="171">
        <f>('11.销售及回款表'!AL218+'11.销售及回款表'!AL223)*$AV120</f>
        <v>0</v>
      </c>
      <c r="AL120" s="171">
        <f>('11.销售及回款表'!AM218+'11.销售及回款表'!AM223)*$AV120</f>
        <v>0</v>
      </c>
      <c r="AM120" s="229">
        <f>('11.销售及回款表'!AN218+'11.销售及回款表'!AN223)*$AV120</f>
        <v>0</v>
      </c>
      <c r="AN120" s="228">
        <f>('11.销售及回款表'!AO218+'11.销售及回款表'!AO223)*$AV120</f>
        <v>0</v>
      </c>
      <c r="AO120" s="171">
        <f>('11.销售及回款表'!AP218+'11.销售及回款表'!AP223)*$AV120</f>
        <v>0</v>
      </c>
      <c r="AP120" s="171">
        <f>('11.销售及回款表'!AQ218+'11.销售及回款表'!AQ223)*$AV120</f>
        <v>0</v>
      </c>
      <c r="AQ120" s="229">
        <f>('11.销售及回款表'!AR218+'11.销售及回款表'!AR223)*$AV120</f>
        <v>0</v>
      </c>
      <c r="AR120" s="228">
        <f>('11.销售及回款表'!AS218+'11.销售及回款表'!AS223)*$AV120</f>
        <v>0</v>
      </c>
      <c r="AS120" s="171">
        <f>('11.销售及回款表'!AT218+'11.销售及回款表'!AT223)*$AV120</f>
        <v>0</v>
      </c>
      <c r="AT120" s="171">
        <f>('11.销售及回款表'!AU218+'11.销售及回款表'!AU223)*$AV120</f>
        <v>0</v>
      </c>
      <c r="AU120" s="229">
        <f>('11.销售及回款表'!AV218+'11.销售及回款表'!AV223)*$AV120</f>
        <v>0</v>
      </c>
      <c r="AV120" s="104">
        <f>IFERROR(C56/('11.销售及回款表'!D218+'11.销售及回款表'!D223),0)</f>
        <v>0</v>
      </c>
    </row>
    <row r="121" spans="1:48" s="75" customFormat="1" ht="17.25" customHeight="1">
      <c r="A121" s="225" t="s">
        <v>22</v>
      </c>
      <c r="B121" s="226" t="s">
        <v>615</v>
      </c>
      <c r="C121" s="227">
        <f t="shared" si="127"/>
        <v>0</v>
      </c>
      <c r="D121" s="228">
        <f>('11.销售及回款表'!E288+'11.销售及回款表'!E293)*$AV121</f>
        <v>0</v>
      </c>
      <c r="E121" s="171">
        <f>('11.销售及回款表'!F288+'11.销售及回款表'!F293)*$AV121</f>
        <v>0</v>
      </c>
      <c r="F121" s="171">
        <f>('11.销售及回款表'!G288+'11.销售及回款表'!G293)*$AV121</f>
        <v>0</v>
      </c>
      <c r="G121" s="229">
        <f>('11.销售及回款表'!H288+'11.销售及回款表'!H293)*$AV121</f>
        <v>0</v>
      </c>
      <c r="H121" s="228">
        <f>('11.销售及回款表'!I288+'11.销售及回款表'!I293)*$AV121</f>
        <v>0</v>
      </c>
      <c r="I121" s="171">
        <f>('11.销售及回款表'!J288+'11.销售及回款表'!J293)*$AV121</f>
        <v>0</v>
      </c>
      <c r="J121" s="171">
        <f>('11.销售及回款表'!K288+'11.销售及回款表'!K293)*$AV121</f>
        <v>0</v>
      </c>
      <c r="K121" s="229">
        <f>('11.销售及回款表'!L288+'11.销售及回款表'!L293)*$AV121</f>
        <v>0</v>
      </c>
      <c r="L121" s="228">
        <f>('11.销售及回款表'!M288+'11.销售及回款表'!M293)*$AV121</f>
        <v>0</v>
      </c>
      <c r="M121" s="171">
        <f>('11.销售及回款表'!N288+'11.销售及回款表'!N293)*$AV121</f>
        <v>0</v>
      </c>
      <c r="N121" s="171">
        <f>('11.销售及回款表'!O288+'11.销售及回款表'!O293)*$AV121</f>
        <v>0</v>
      </c>
      <c r="O121" s="229">
        <f>('11.销售及回款表'!P288+'11.销售及回款表'!P293)*$AV121</f>
        <v>0</v>
      </c>
      <c r="P121" s="228">
        <f>('11.销售及回款表'!Q288+'11.销售及回款表'!Q293)*$AV121</f>
        <v>0</v>
      </c>
      <c r="Q121" s="171">
        <f>('11.销售及回款表'!R288+'11.销售及回款表'!R293)*$AV121</f>
        <v>0</v>
      </c>
      <c r="R121" s="171">
        <f>('11.销售及回款表'!S288+'11.销售及回款表'!S293)*$AV121</f>
        <v>0</v>
      </c>
      <c r="S121" s="235">
        <f>('11.销售及回款表'!T288+'11.销售及回款表'!T293)*$AV121</f>
        <v>0</v>
      </c>
      <c r="T121" s="228">
        <f>('11.销售及回款表'!U288+'11.销售及回款表'!U293)*$AV121</f>
        <v>0</v>
      </c>
      <c r="U121" s="171">
        <f>('11.销售及回款表'!V288+'11.销售及回款表'!V293)*$AV121</f>
        <v>0</v>
      </c>
      <c r="V121" s="171">
        <f>('11.销售及回款表'!W288+'11.销售及回款表'!W293)*$AV121</f>
        <v>0</v>
      </c>
      <c r="W121" s="229">
        <f>('11.销售及回款表'!X288+'11.销售及回款表'!X293)*$AV121</f>
        <v>0</v>
      </c>
      <c r="X121" s="228">
        <f>('11.销售及回款表'!Y288+'11.销售及回款表'!Y293)*$AV121</f>
        <v>0</v>
      </c>
      <c r="Y121" s="171">
        <f>('11.销售及回款表'!Z288+'11.销售及回款表'!Z293)*$AV121</f>
        <v>0</v>
      </c>
      <c r="Z121" s="171">
        <f>('11.销售及回款表'!AA288+'11.销售及回款表'!AA293)*$AV121</f>
        <v>0</v>
      </c>
      <c r="AA121" s="229">
        <f>('11.销售及回款表'!AB288+'11.销售及回款表'!AB293)*$AV121</f>
        <v>0</v>
      </c>
      <c r="AB121" s="228">
        <f>('11.销售及回款表'!AC288+'11.销售及回款表'!AC293)*$AV121</f>
        <v>0</v>
      </c>
      <c r="AC121" s="171">
        <f>('11.销售及回款表'!AD288+'11.销售及回款表'!AD293)*$AV121</f>
        <v>0</v>
      </c>
      <c r="AD121" s="171">
        <f>('11.销售及回款表'!AE288+'11.销售及回款表'!AE293)*$AV121</f>
        <v>0</v>
      </c>
      <c r="AE121" s="229">
        <f>('11.销售及回款表'!AF288+'11.销售及回款表'!AF293)*$AV121</f>
        <v>0</v>
      </c>
      <c r="AF121" s="228">
        <f>('11.销售及回款表'!AG288+'11.销售及回款表'!AG293)*$AV121</f>
        <v>0</v>
      </c>
      <c r="AG121" s="171">
        <f>('11.销售及回款表'!AH288+'11.销售及回款表'!AH293)*$AV121</f>
        <v>0</v>
      </c>
      <c r="AH121" s="171">
        <f>('11.销售及回款表'!AI288+'11.销售及回款表'!AI293)*$AV121</f>
        <v>0</v>
      </c>
      <c r="AI121" s="229">
        <f>('11.销售及回款表'!AJ288+'11.销售及回款表'!AJ293)*$AV121</f>
        <v>0</v>
      </c>
      <c r="AJ121" s="228">
        <f>('11.销售及回款表'!AK288+'11.销售及回款表'!AK293)*$AV121</f>
        <v>0</v>
      </c>
      <c r="AK121" s="171">
        <f>('11.销售及回款表'!AL288+'11.销售及回款表'!AL293)*$AV121</f>
        <v>0</v>
      </c>
      <c r="AL121" s="171">
        <f>('11.销售及回款表'!AM288+'11.销售及回款表'!AM293)*$AV121</f>
        <v>0</v>
      </c>
      <c r="AM121" s="229">
        <f>('11.销售及回款表'!AN288+'11.销售及回款表'!AN293)*$AV121</f>
        <v>0</v>
      </c>
      <c r="AN121" s="228">
        <f>('11.销售及回款表'!AO288+'11.销售及回款表'!AO293)*$AV121</f>
        <v>0</v>
      </c>
      <c r="AO121" s="171">
        <f>('11.销售及回款表'!AP288+'11.销售及回款表'!AP293)*$AV121</f>
        <v>0</v>
      </c>
      <c r="AP121" s="171">
        <f>('11.销售及回款表'!AQ288+'11.销售及回款表'!AQ293)*$AV121</f>
        <v>0</v>
      </c>
      <c r="AQ121" s="229">
        <f>('11.销售及回款表'!AR288+'11.销售及回款表'!AR293)*$AV121</f>
        <v>0</v>
      </c>
      <c r="AR121" s="228">
        <f>('11.销售及回款表'!AS288+'11.销售及回款表'!AS293)*$AV121</f>
        <v>0</v>
      </c>
      <c r="AS121" s="171">
        <f>('11.销售及回款表'!AT288+'11.销售及回款表'!AT293)*$AV121</f>
        <v>0</v>
      </c>
      <c r="AT121" s="171">
        <f>('11.销售及回款表'!AU288+'11.销售及回款表'!AU293)*$AV121</f>
        <v>0</v>
      </c>
      <c r="AU121" s="229">
        <f>('11.销售及回款表'!AV288+'11.销售及回款表'!AV293)*$AV121</f>
        <v>0</v>
      </c>
      <c r="AV121" s="104">
        <f>IFERROR(C74/('11.销售及回款表'!D288+'11.销售及回款表'!D293),0)</f>
        <v>0</v>
      </c>
    </row>
    <row r="122" spans="1:48" s="75" customFormat="1" ht="17.25" customHeight="1">
      <c r="A122" s="225" t="s">
        <v>23</v>
      </c>
      <c r="B122" s="226" t="s">
        <v>615</v>
      </c>
      <c r="C122" s="227">
        <f t="shared" si="127"/>
        <v>0</v>
      </c>
      <c r="D122" s="228">
        <f>('11.销售及回款表'!E358+'11.销售及回款表'!E363)*$AV122</f>
        <v>0</v>
      </c>
      <c r="E122" s="171">
        <f>('11.销售及回款表'!F358+'11.销售及回款表'!F363)*$AV122</f>
        <v>0</v>
      </c>
      <c r="F122" s="171">
        <f>('11.销售及回款表'!G358+'11.销售及回款表'!G363)*$AV122</f>
        <v>0</v>
      </c>
      <c r="G122" s="229">
        <f>('11.销售及回款表'!H358+'11.销售及回款表'!H363)*$AV122</f>
        <v>0</v>
      </c>
      <c r="H122" s="228">
        <f>('11.销售及回款表'!I358+'11.销售及回款表'!I363)*$AV122</f>
        <v>0</v>
      </c>
      <c r="I122" s="171">
        <f>('11.销售及回款表'!J358+'11.销售及回款表'!J363)*$AV122</f>
        <v>0</v>
      </c>
      <c r="J122" s="171">
        <f>('11.销售及回款表'!K358+'11.销售及回款表'!K363)*$AV122</f>
        <v>0</v>
      </c>
      <c r="K122" s="229">
        <f>('11.销售及回款表'!L358+'11.销售及回款表'!L363)*$AV122</f>
        <v>0</v>
      </c>
      <c r="L122" s="228">
        <f>('11.销售及回款表'!M358+'11.销售及回款表'!M363)*$AV122</f>
        <v>0</v>
      </c>
      <c r="M122" s="171">
        <f>('11.销售及回款表'!N358+'11.销售及回款表'!N363)*$AV122</f>
        <v>0</v>
      </c>
      <c r="N122" s="171">
        <f>('11.销售及回款表'!O358+'11.销售及回款表'!O363)*$AV122</f>
        <v>0</v>
      </c>
      <c r="O122" s="229">
        <f>('11.销售及回款表'!P358+'11.销售及回款表'!P363)*$AV122</f>
        <v>0</v>
      </c>
      <c r="P122" s="228">
        <f>('11.销售及回款表'!Q358+'11.销售及回款表'!Q363)*$AV122</f>
        <v>0</v>
      </c>
      <c r="Q122" s="171">
        <f>('11.销售及回款表'!R358+'11.销售及回款表'!R363)*$AV122</f>
        <v>0</v>
      </c>
      <c r="R122" s="171">
        <f>('11.销售及回款表'!S358+'11.销售及回款表'!S363)*$AV122</f>
        <v>0</v>
      </c>
      <c r="S122" s="235">
        <f>('11.销售及回款表'!T358+'11.销售及回款表'!T363)*$AV122</f>
        <v>0</v>
      </c>
      <c r="T122" s="228">
        <f>('11.销售及回款表'!U358+'11.销售及回款表'!U363)*$AV122</f>
        <v>0</v>
      </c>
      <c r="U122" s="171">
        <f>('11.销售及回款表'!V358+'11.销售及回款表'!V363)*$AV122</f>
        <v>0</v>
      </c>
      <c r="V122" s="171">
        <f>('11.销售及回款表'!W358+'11.销售及回款表'!W363)*$AV122</f>
        <v>0</v>
      </c>
      <c r="W122" s="229">
        <f>('11.销售及回款表'!X358+'11.销售及回款表'!X363)*$AV122</f>
        <v>0</v>
      </c>
      <c r="X122" s="228">
        <f>('11.销售及回款表'!Y358+'11.销售及回款表'!Y363)*$AV122</f>
        <v>0</v>
      </c>
      <c r="Y122" s="171">
        <f>('11.销售及回款表'!Z358+'11.销售及回款表'!Z363)*$AV122</f>
        <v>0</v>
      </c>
      <c r="Z122" s="171">
        <f>('11.销售及回款表'!AA358+'11.销售及回款表'!AA363)*$AV122</f>
        <v>0</v>
      </c>
      <c r="AA122" s="229">
        <f>('11.销售及回款表'!AB358+'11.销售及回款表'!AB363)*$AV122</f>
        <v>0</v>
      </c>
      <c r="AB122" s="228">
        <f>('11.销售及回款表'!AC358+'11.销售及回款表'!AC363)*$AV122</f>
        <v>0</v>
      </c>
      <c r="AC122" s="171">
        <f>('11.销售及回款表'!AD358+'11.销售及回款表'!AD363)*$AV122</f>
        <v>0</v>
      </c>
      <c r="AD122" s="171">
        <f>('11.销售及回款表'!AE358+'11.销售及回款表'!AE363)*$AV122</f>
        <v>0</v>
      </c>
      <c r="AE122" s="229">
        <f>('11.销售及回款表'!AF358+'11.销售及回款表'!AF363)*$AV122</f>
        <v>0</v>
      </c>
      <c r="AF122" s="228">
        <f>('11.销售及回款表'!AG358+'11.销售及回款表'!AG363)*$AV122</f>
        <v>0</v>
      </c>
      <c r="AG122" s="171">
        <f>('11.销售及回款表'!AH358+'11.销售及回款表'!AH363)*$AV122</f>
        <v>0</v>
      </c>
      <c r="AH122" s="171">
        <f>('11.销售及回款表'!AI358+'11.销售及回款表'!AI363)*$AV122</f>
        <v>0</v>
      </c>
      <c r="AI122" s="229">
        <f>('11.销售及回款表'!AJ358+'11.销售及回款表'!AJ363)*$AV122</f>
        <v>0</v>
      </c>
      <c r="AJ122" s="228">
        <f>('11.销售及回款表'!AK358+'11.销售及回款表'!AK363)*$AV122</f>
        <v>0</v>
      </c>
      <c r="AK122" s="171">
        <f>('11.销售及回款表'!AL358+'11.销售及回款表'!AL363)*$AV122</f>
        <v>0</v>
      </c>
      <c r="AL122" s="171">
        <f>('11.销售及回款表'!AM358+'11.销售及回款表'!AM363)*$AV122</f>
        <v>0</v>
      </c>
      <c r="AM122" s="229">
        <f>('11.销售及回款表'!AN358+'11.销售及回款表'!AN363)*$AV122</f>
        <v>0</v>
      </c>
      <c r="AN122" s="228">
        <f>('11.销售及回款表'!AO358+'11.销售及回款表'!AO363)*$AV122</f>
        <v>0</v>
      </c>
      <c r="AO122" s="171">
        <f>('11.销售及回款表'!AP358+'11.销售及回款表'!AP363)*$AV122</f>
        <v>0</v>
      </c>
      <c r="AP122" s="171">
        <f>('11.销售及回款表'!AQ358+'11.销售及回款表'!AQ363)*$AV122</f>
        <v>0</v>
      </c>
      <c r="AQ122" s="229">
        <f>('11.销售及回款表'!AR358+'11.销售及回款表'!AR363)*$AV122</f>
        <v>0</v>
      </c>
      <c r="AR122" s="228">
        <f>('11.销售及回款表'!AS358+'11.销售及回款表'!AS363)*$AV122</f>
        <v>0</v>
      </c>
      <c r="AS122" s="171">
        <f>('11.销售及回款表'!AT358+'11.销售及回款表'!AT363)*$AV122</f>
        <v>0</v>
      </c>
      <c r="AT122" s="171">
        <f>('11.销售及回款表'!AU358+'11.销售及回款表'!AU363)*$AV122</f>
        <v>0</v>
      </c>
      <c r="AU122" s="229">
        <f>('11.销售及回款表'!AV358+'11.销售及回款表'!AV363)*$AV122</f>
        <v>0</v>
      </c>
      <c r="AV122" s="104">
        <f>IFERROR(C92/('11.销售及回款表'!D358+'11.销售及回款表'!D363),0)</f>
        <v>0</v>
      </c>
    </row>
    <row r="123" spans="1:48" s="75" customFormat="1" ht="17.25" customHeight="1">
      <c r="A123" s="225" t="s">
        <v>24</v>
      </c>
      <c r="B123" s="226" t="s">
        <v>615</v>
      </c>
      <c r="C123" s="227">
        <f t="shared" si="127"/>
        <v>0</v>
      </c>
      <c r="D123" s="228">
        <f>('11.销售及回款表'!E428+'11.销售及回款表'!E433)*$AV123</f>
        <v>0</v>
      </c>
      <c r="E123" s="171">
        <f>('11.销售及回款表'!F428+'11.销售及回款表'!F433)*$AV123</f>
        <v>0</v>
      </c>
      <c r="F123" s="171">
        <f>('11.销售及回款表'!G428+'11.销售及回款表'!G433)*$AV123</f>
        <v>0</v>
      </c>
      <c r="G123" s="229">
        <f>('11.销售及回款表'!H428+'11.销售及回款表'!H433)*$AV123</f>
        <v>0</v>
      </c>
      <c r="H123" s="228">
        <f>('11.销售及回款表'!I428+'11.销售及回款表'!I433)*$AV123</f>
        <v>0</v>
      </c>
      <c r="I123" s="171">
        <f>('11.销售及回款表'!J428+'11.销售及回款表'!J433)*$AV123</f>
        <v>0</v>
      </c>
      <c r="J123" s="171">
        <f>('11.销售及回款表'!K428+'11.销售及回款表'!K433)*$AV123</f>
        <v>0</v>
      </c>
      <c r="K123" s="229">
        <f>('11.销售及回款表'!L428+'11.销售及回款表'!L433)*$AV123</f>
        <v>0</v>
      </c>
      <c r="L123" s="228">
        <f>('11.销售及回款表'!M428+'11.销售及回款表'!M433)*$AV123</f>
        <v>0</v>
      </c>
      <c r="M123" s="171">
        <f>('11.销售及回款表'!N428+'11.销售及回款表'!N433)*$AV123</f>
        <v>0</v>
      </c>
      <c r="N123" s="171">
        <f>('11.销售及回款表'!O428+'11.销售及回款表'!O433)*$AV123</f>
        <v>0</v>
      </c>
      <c r="O123" s="229">
        <f>('11.销售及回款表'!P428+'11.销售及回款表'!P433)*$AV123</f>
        <v>0</v>
      </c>
      <c r="P123" s="228">
        <f>('11.销售及回款表'!Q428+'11.销售及回款表'!Q433)*$AV123</f>
        <v>0</v>
      </c>
      <c r="Q123" s="171">
        <f>('11.销售及回款表'!R428+'11.销售及回款表'!R433)*$AV123</f>
        <v>0</v>
      </c>
      <c r="R123" s="171">
        <f>('11.销售及回款表'!S428+'11.销售及回款表'!S433)*$AV123</f>
        <v>0</v>
      </c>
      <c r="S123" s="235">
        <f>('11.销售及回款表'!T428+'11.销售及回款表'!T433)*$AV123</f>
        <v>0</v>
      </c>
      <c r="T123" s="228">
        <f>('11.销售及回款表'!U428+'11.销售及回款表'!U433)*$AV123</f>
        <v>0</v>
      </c>
      <c r="U123" s="171">
        <f>('11.销售及回款表'!V428+'11.销售及回款表'!V433)*$AV123</f>
        <v>0</v>
      </c>
      <c r="V123" s="171">
        <f>('11.销售及回款表'!W428+'11.销售及回款表'!W433)*$AV123</f>
        <v>0</v>
      </c>
      <c r="W123" s="229">
        <f>('11.销售及回款表'!X428+'11.销售及回款表'!X433)*$AV123</f>
        <v>0</v>
      </c>
      <c r="X123" s="228">
        <f>('11.销售及回款表'!Y428+'11.销售及回款表'!Y433)*$AV123</f>
        <v>0</v>
      </c>
      <c r="Y123" s="171">
        <f>('11.销售及回款表'!Z428+'11.销售及回款表'!Z433)*$AV123</f>
        <v>0</v>
      </c>
      <c r="Z123" s="171">
        <f>('11.销售及回款表'!AA428+'11.销售及回款表'!AA433)*$AV123</f>
        <v>0</v>
      </c>
      <c r="AA123" s="229">
        <f>('11.销售及回款表'!AB428+'11.销售及回款表'!AB433)*$AV123</f>
        <v>0</v>
      </c>
      <c r="AB123" s="228">
        <f>('11.销售及回款表'!AC428+'11.销售及回款表'!AC433)*$AV123</f>
        <v>0</v>
      </c>
      <c r="AC123" s="171">
        <f>('11.销售及回款表'!AD428+'11.销售及回款表'!AD433)*$AV123</f>
        <v>0</v>
      </c>
      <c r="AD123" s="171">
        <f>('11.销售及回款表'!AE428+'11.销售及回款表'!AE433)*$AV123</f>
        <v>0</v>
      </c>
      <c r="AE123" s="229">
        <f>('11.销售及回款表'!AF428+'11.销售及回款表'!AF433)*$AV123</f>
        <v>0</v>
      </c>
      <c r="AF123" s="228">
        <f>('11.销售及回款表'!AG428+'11.销售及回款表'!AG433)*$AV123</f>
        <v>0</v>
      </c>
      <c r="AG123" s="171">
        <f>('11.销售及回款表'!AH428+'11.销售及回款表'!AH433)*$AV123</f>
        <v>0</v>
      </c>
      <c r="AH123" s="171">
        <f>('11.销售及回款表'!AI428+'11.销售及回款表'!AI433)*$AV123</f>
        <v>0</v>
      </c>
      <c r="AI123" s="229">
        <f>('11.销售及回款表'!AJ428+'11.销售及回款表'!AJ433)*$AV123</f>
        <v>0</v>
      </c>
      <c r="AJ123" s="228">
        <f>('11.销售及回款表'!AK428+'11.销售及回款表'!AK433)*$AV123</f>
        <v>0</v>
      </c>
      <c r="AK123" s="171">
        <f>('11.销售及回款表'!AL428+'11.销售及回款表'!AL433)*$AV123</f>
        <v>0</v>
      </c>
      <c r="AL123" s="171">
        <f>('11.销售及回款表'!AM428+'11.销售及回款表'!AM433)*$AV123</f>
        <v>0</v>
      </c>
      <c r="AM123" s="229">
        <f>('11.销售及回款表'!AN428+'11.销售及回款表'!AN433)*$AV123</f>
        <v>0</v>
      </c>
      <c r="AN123" s="228">
        <f>('11.销售及回款表'!AO428+'11.销售及回款表'!AO433)*$AV123</f>
        <v>0</v>
      </c>
      <c r="AO123" s="171">
        <f>('11.销售及回款表'!AP428+'11.销售及回款表'!AP433)*$AV123</f>
        <v>0</v>
      </c>
      <c r="AP123" s="171">
        <f>('11.销售及回款表'!AQ428+'11.销售及回款表'!AQ433)*$AV123</f>
        <v>0</v>
      </c>
      <c r="AQ123" s="229">
        <f>('11.销售及回款表'!AR428+'11.销售及回款表'!AR433)*$AV123</f>
        <v>0</v>
      </c>
      <c r="AR123" s="228">
        <f>('11.销售及回款表'!AS428+'11.销售及回款表'!AS433)*$AV123</f>
        <v>0</v>
      </c>
      <c r="AS123" s="171">
        <f>('11.销售及回款表'!AT428+'11.销售及回款表'!AT433)*$AV123</f>
        <v>0</v>
      </c>
      <c r="AT123" s="171">
        <f>('11.销售及回款表'!AU428+'11.销售及回款表'!AU433)*$AV123</f>
        <v>0</v>
      </c>
      <c r="AU123" s="229">
        <f>('11.销售及回款表'!AV428+'11.销售及回款表'!AV433)*$AV123</f>
        <v>0</v>
      </c>
      <c r="AV123" s="104">
        <f>IFERROR(C110/('11.销售及回款表'!D428+'11.销售及回款表'!D433),0)</f>
        <v>0</v>
      </c>
    </row>
    <row r="124" spans="1:48">
      <c r="A124" s="78"/>
      <c r="B124" s="78"/>
      <c r="C124" s="78"/>
      <c r="D124" s="78"/>
      <c r="E124" s="78"/>
      <c r="F124" s="78"/>
      <c r="G124" s="78"/>
      <c r="H124" s="78"/>
      <c r="I124" s="78"/>
      <c r="J124" s="78"/>
      <c r="K124" s="78"/>
      <c r="L124" s="78"/>
      <c r="M124" s="78"/>
      <c r="N124" s="78"/>
      <c r="O124" s="78"/>
      <c r="P124" s="78"/>
      <c r="Q124" s="78"/>
      <c r="R124" s="78"/>
      <c r="S124" s="78"/>
      <c r="T124" s="78"/>
      <c r="U124" s="78"/>
      <c r="V124" s="78"/>
      <c r="W124" s="78"/>
      <c r="X124" s="78"/>
      <c r="Y124" s="78"/>
      <c r="Z124" s="78"/>
      <c r="AA124" s="78"/>
      <c r="AB124" s="78"/>
      <c r="AC124" s="78"/>
      <c r="AD124" s="78"/>
      <c r="AE124" s="78"/>
      <c r="AF124" s="78"/>
      <c r="AG124" s="78"/>
      <c r="AH124" s="78"/>
      <c r="AI124" s="78"/>
      <c r="AJ124" s="78"/>
      <c r="AK124" s="78"/>
      <c r="AL124" s="78"/>
      <c r="AM124" s="78"/>
      <c r="AN124" s="78"/>
      <c r="AO124" s="78"/>
      <c r="AP124" s="78"/>
      <c r="AQ124" s="78"/>
      <c r="AR124" s="78"/>
      <c r="AS124" s="78"/>
      <c r="AT124" s="78"/>
      <c r="AU124" s="78"/>
      <c r="AV124" s="78"/>
    </row>
    <row r="125" spans="1:48">
      <c r="A125" s="141" t="s">
        <v>616</v>
      </c>
      <c r="B125" s="78"/>
      <c r="C125" s="78"/>
      <c r="D125" s="78"/>
      <c r="E125" s="78"/>
      <c r="F125" s="78"/>
      <c r="G125" s="78"/>
      <c r="H125" s="78"/>
      <c r="I125" s="78"/>
      <c r="J125" s="78"/>
      <c r="K125" s="78"/>
      <c r="L125" s="78"/>
      <c r="M125" s="78"/>
      <c r="N125" s="78"/>
      <c r="O125" s="78"/>
      <c r="P125" s="78"/>
      <c r="Q125" s="78"/>
      <c r="R125" s="78"/>
      <c r="S125" s="78"/>
      <c r="T125" s="78"/>
      <c r="U125" s="78"/>
      <c r="V125" s="78"/>
      <c r="W125" s="78"/>
      <c r="X125" s="78"/>
      <c r="Y125" s="78"/>
      <c r="Z125" s="78"/>
      <c r="AA125" s="78"/>
      <c r="AB125" s="78"/>
      <c r="AC125" s="78"/>
      <c r="AD125" s="78"/>
      <c r="AE125" s="78"/>
      <c r="AF125" s="78"/>
      <c r="AG125" s="78"/>
      <c r="AH125" s="78"/>
      <c r="AI125" s="78"/>
      <c r="AJ125" s="78"/>
      <c r="AK125" s="78"/>
      <c r="AL125" s="78"/>
      <c r="AM125" s="78"/>
      <c r="AN125" s="78"/>
      <c r="AO125" s="78"/>
      <c r="AP125" s="78"/>
      <c r="AQ125" s="78"/>
      <c r="AR125" s="78"/>
      <c r="AS125" s="78"/>
      <c r="AT125" s="78"/>
      <c r="AU125" s="78"/>
      <c r="AV125" s="78"/>
    </row>
    <row r="126" spans="1:48" s="75" customFormat="1" ht="18" customHeight="1">
      <c r="A126" s="2001" t="str">
        <f>A116</f>
        <v>分期</v>
      </c>
      <c r="B126" s="2001" t="str">
        <f>B116</f>
        <v>产品类型</v>
      </c>
      <c r="C126" s="2001" t="str">
        <f t="shared" ref="C126:H126" si="128">C116</f>
        <v>合计</v>
      </c>
      <c r="D126" s="1993">
        <f t="shared" si="128"/>
        <v>2018</v>
      </c>
      <c r="E126" s="1993"/>
      <c r="F126" s="1993"/>
      <c r="G126" s="1993"/>
      <c r="H126" s="1993">
        <f t="shared" si="128"/>
        <v>2019</v>
      </c>
      <c r="I126" s="1993"/>
      <c r="J126" s="1993"/>
      <c r="K126" s="1993"/>
      <c r="L126" s="1993">
        <f>L116</f>
        <v>2020</v>
      </c>
      <c r="M126" s="1993"/>
      <c r="N126" s="1993"/>
      <c r="O126" s="1993"/>
      <c r="P126" s="1994">
        <f>P116</f>
        <v>2021</v>
      </c>
      <c r="Q126" s="1995"/>
      <c r="R126" s="1995"/>
      <c r="S126" s="1996"/>
      <c r="T126" s="1993">
        <f>T116</f>
        <v>2022</v>
      </c>
      <c r="U126" s="1993"/>
      <c r="V126" s="1993"/>
      <c r="W126" s="1993"/>
      <c r="X126" s="1993">
        <f>X116</f>
        <v>2023</v>
      </c>
      <c r="Y126" s="1993"/>
      <c r="Z126" s="1993"/>
      <c r="AA126" s="1993"/>
      <c r="AB126" s="1993">
        <f>AB116</f>
        <v>2024</v>
      </c>
      <c r="AC126" s="1993"/>
      <c r="AD126" s="1993"/>
      <c r="AE126" s="1993"/>
      <c r="AF126" s="1993">
        <f>AF116</f>
        <v>2025</v>
      </c>
      <c r="AG126" s="1993"/>
      <c r="AH126" s="1993"/>
      <c r="AI126" s="1993"/>
      <c r="AJ126" s="1993">
        <f>AJ116</f>
        <v>2026</v>
      </c>
      <c r="AK126" s="1993"/>
      <c r="AL126" s="1993"/>
      <c r="AM126" s="1993"/>
      <c r="AN126" s="1993">
        <f>AN116</f>
        <v>2027</v>
      </c>
      <c r="AO126" s="1993"/>
      <c r="AP126" s="1993"/>
      <c r="AQ126" s="1993"/>
      <c r="AR126" s="1993">
        <f>AR116</f>
        <v>2028</v>
      </c>
      <c r="AS126" s="1993"/>
      <c r="AT126" s="1993"/>
      <c r="AU126" s="1993"/>
      <c r="AV126" s="85"/>
    </row>
    <row r="127" spans="1:48" s="75" customFormat="1">
      <c r="A127" s="2001"/>
      <c r="B127" s="2001"/>
      <c r="C127" s="2001"/>
      <c r="D127" s="230">
        <v>1</v>
      </c>
      <c r="E127" s="230">
        <v>2</v>
      </c>
      <c r="F127" s="230">
        <v>3</v>
      </c>
      <c r="G127" s="230">
        <v>4</v>
      </c>
      <c r="H127" s="230">
        <v>5</v>
      </c>
      <c r="I127" s="230">
        <v>6</v>
      </c>
      <c r="J127" s="230">
        <v>7</v>
      </c>
      <c r="K127" s="230">
        <v>8</v>
      </c>
      <c r="L127" s="230">
        <v>9</v>
      </c>
      <c r="M127" s="230">
        <v>10</v>
      </c>
      <c r="N127" s="230">
        <v>11</v>
      </c>
      <c r="O127" s="230">
        <v>12</v>
      </c>
      <c r="P127" s="230">
        <v>13</v>
      </c>
      <c r="Q127" s="230">
        <v>14</v>
      </c>
      <c r="R127" s="230">
        <v>15</v>
      </c>
      <c r="S127" s="230">
        <v>16</v>
      </c>
      <c r="T127" s="230">
        <v>17</v>
      </c>
      <c r="U127" s="230">
        <v>18</v>
      </c>
      <c r="V127" s="230">
        <v>19</v>
      </c>
      <c r="W127" s="230">
        <v>20</v>
      </c>
      <c r="X127" s="230">
        <v>21</v>
      </c>
      <c r="Y127" s="230">
        <v>22</v>
      </c>
      <c r="Z127" s="230">
        <v>23</v>
      </c>
      <c r="AA127" s="230">
        <v>24</v>
      </c>
      <c r="AB127" s="230">
        <v>25</v>
      </c>
      <c r="AC127" s="230">
        <v>26</v>
      </c>
      <c r="AD127" s="230">
        <v>27</v>
      </c>
      <c r="AE127" s="230">
        <v>28</v>
      </c>
      <c r="AF127" s="230">
        <v>29</v>
      </c>
      <c r="AG127" s="230">
        <v>30</v>
      </c>
      <c r="AH127" s="230">
        <v>31</v>
      </c>
      <c r="AI127" s="230">
        <v>32</v>
      </c>
      <c r="AJ127" s="230">
        <v>33</v>
      </c>
      <c r="AK127" s="230">
        <v>34</v>
      </c>
      <c r="AL127" s="230">
        <v>35</v>
      </c>
      <c r="AM127" s="230">
        <v>36</v>
      </c>
      <c r="AN127" s="230">
        <v>37</v>
      </c>
      <c r="AO127" s="230">
        <v>38</v>
      </c>
      <c r="AP127" s="230">
        <v>39</v>
      </c>
      <c r="AQ127" s="230">
        <v>40</v>
      </c>
      <c r="AR127" s="230">
        <v>41</v>
      </c>
      <c r="AS127" s="230">
        <v>42</v>
      </c>
      <c r="AT127" s="230">
        <v>43</v>
      </c>
      <c r="AU127" s="230">
        <v>44</v>
      </c>
      <c r="AV127" s="236" t="s">
        <v>617</v>
      </c>
    </row>
    <row r="128" spans="1:48" s="75" customFormat="1" ht="18" customHeight="1">
      <c r="A128" s="2001"/>
      <c r="B128" s="2001"/>
      <c r="C128" s="2001"/>
      <c r="D128" s="231">
        <f t="shared" ref="D128:AU128" si="129">D117</f>
        <v>1</v>
      </c>
      <c r="E128" s="231">
        <f t="shared" si="129"/>
        <v>2</v>
      </c>
      <c r="F128" s="231">
        <f t="shared" si="129"/>
        <v>3</v>
      </c>
      <c r="G128" s="231">
        <f t="shared" si="129"/>
        <v>4</v>
      </c>
      <c r="H128" s="222">
        <f t="shared" si="129"/>
        <v>1</v>
      </c>
      <c r="I128" s="223">
        <f t="shared" si="129"/>
        <v>2</v>
      </c>
      <c r="J128" s="223">
        <f t="shared" si="129"/>
        <v>3</v>
      </c>
      <c r="K128" s="224">
        <f t="shared" si="129"/>
        <v>4</v>
      </c>
      <c r="L128" s="222">
        <f t="shared" si="129"/>
        <v>1</v>
      </c>
      <c r="M128" s="223">
        <f t="shared" si="129"/>
        <v>2</v>
      </c>
      <c r="N128" s="223">
        <f t="shared" si="129"/>
        <v>3</v>
      </c>
      <c r="O128" s="224">
        <f t="shared" si="129"/>
        <v>4</v>
      </c>
      <c r="P128" s="222">
        <f t="shared" si="129"/>
        <v>1</v>
      </c>
      <c r="Q128" s="223">
        <f t="shared" si="129"/>
        <v>2</v>
      </c>
      <c r="R128" s="223">
        <f t="shared" si="129"/>
        <v>3</v>
      </c>
      <c r="S128" s="224">
        <v>4</v>
      </c>
      <c r="T128" s="222">
        <f t="shared" si="129"/>
        <v>1</v>
      </c>
      <c r="U128" s="223">
        <f t="shared" si="129"/>
        <v>2</v>
      </c>
      <c r="V128" s="223">
        <f t="shared" si="129"/>
        <v>3</v>
      </c>
      <c r="W128" s="224">
        <f t="shared" si="129"/>
        <v>4</v>
      </c>
      <c r="X128" s="222">
        <f t="shared" si="129"/>
        <v>1</v>
      </c>
      <c r="Y128" s="223">
        <f t="shared" si="129"/>
        <v>2</v>
      </c>
      <c r="Z128" s="223">
        <f t="shared" si="129"/>
        <v>3</v>
      </c>
      <c r="AA128" s="224">
        <f t="shared" si="129"/>
        <v>4</v>
      </c>
      <c r="AB128" s="222">
        <f t="shared" si="129"/>
        <v>1</v>
      </c>
      <c r="AC128" s="223">
        <f t="shared" si="129"/>
        <v>2</v>
      </c>
      <c r="AD128" s="223">
        <f t="shared" si="129"/>
        <v>3</v>
      </c>
      <c r="AE128" s="224">
        <f t="shared" si="129"/>
        <v>4</v>
      </c>
      <c r="AF128" s="222">
        <f t="shared" si="129"/>
        <v>1</v>
      </c>
      <c r="AG128" s="223">
        <f t="shared" si="129"/>
        <v>2</v>
      </c>
      <c r="AH128" s="223">
        <f t="shared" si="129"/>
        <v>3</v>
      </c>
      <c r="AI128" s="224">
        <f t="shared" si="129"/>
        <v>4</v>
      </c>
      <c r="AJ128" s="222">
        <f t="shared" si="129"/>
        <v>1</v>
      </c>
      <c r="AK128" s="223">
        <f t="shared" si="129"/>
        <v>2</v>
      </c>
      <c r="AL128" s="223">
        <f t="shared" si="129"/>
        <v>3</v>
      </c>
      <c r="AM128" s="224">
        <f t="shared" si="129"/>
        <v>4</v>
      </c>
      <c r="AN128" s="222">
        <f t="shared" si="129"/>
        <v>1</v>
      </c>
      <c r="AO128" s="223">
        <f t="shared" si="129"/>
        <v>2</v>
      </c>
      <c r="AP128" s="223">
        <f t="shared" si="129"/>
        <v>3</v>
      </c>
      <c r="AQ128" s="224">
        <f t="shared" si="129"/>
        <v>4</v>
      </c>
      <c r="AR128" s="222">
        <f t="shared" si="129"/>
        <v>1</v>
      </c>
      <c r="AS128" s="223">
        <f t="shared" si="129"/>
        <v>2</v>
      </c>
      <c r="AT128" s="223">
        <f t="shared" si="129"/>
        <v>3</v>
      </c>
      <c r="AU128" s="224">
        <f t="shared" si="129"/>
        <v>4</v>
      </c>
      <c r="AV128" s="85"/>
    </row>
    <row r="129" spans="1:48" s="75" customFormat="1" ht="18" customHeight="1">
      <c r="A129" s="225" t="s">
        <v>19</v>
      </c>
      <c r="B129" s="237" t="str">
        <f t="shared" ref="B129:B134" si="130">B118</f>
        <v>所有产品</v>
      </c>
      <c r="C129" s="227">
        <f ca="1">C21-C20</f>
        <v>7632.9854964831366</v>
      </c>
      <c r="D129" s="238">
        <f>IF(($D$126='1.参数设置'!$C$10)*('15.土地增值税'!D$128='1.参数设置'!$D$10),$C129,0)</f>
        <v>0</v>
      </c>
      <c r="E129" s="239">
        <f>IF(($D$126='1.参数设置'!$C$10)*('15.土地增值税'!E$128='1.参数设置'!$D$10),$C129,0)</f>
        <v>0</v>
      </c>
      <c r="F129" s="239">
        <f>IF(($D$126='1.参数设置'!$C$10)*('15.土地增值税'!F$128='1.参数设置'!$D$10),$C129,0)</f>
        <v>0</v>
      </c>
      <c r="G129" s="240">
        <f>IF(($D$126='1.参数设置'!$C$10)*('15.土地增值税'!G$128='1.参数设置'!$D$10),$C129,0)</f>
        <v>0</v>
      </c>
      <c r="H129" s="238">
        <f>IF(($H$126='1.参数设置'!$C$10)*('15.土地增值税'!H$128='1.参数设置'!$D$10),$C129,0)</f>
        <v>0</v>
      </c>
      <c r="I129" s="239">
        <f>IF(($H$126='1.参数设置'!$C$10)*('15.土地增值税'!I$128='1.参数设置'!$D$10),$C129,0)</f>
        <v>0</v>
      </c>
      <c r="J129" s="239">
        <f>IF(($H$126='1.参数设置'!$C$10)*('15.土地增值税'!J$128='1.参数设置'!$D$10),$C129,0)</f>
        <v>0</v>
      </c>
      <c r="K129" s="240">
        <f>IF(($H$126='1.参数设置'!$C$10)*('15.土地增值税'!K$128='1.参数设置'!$D$10),$C129,0)</f>
        <v>0</v>
      </c>
      <c r="L129" s="238">
        <f ca="1">IF(($L$126='1.参数设置'!$C$10)*('15.土地增值税'!L$128='1.参数设置'!$D$10),$C129,0)</f>
        <v>7632.9854964831366</v>
      </c>
      <c r="M129" s="239">
        <f>IF(($L$126='1.参数设置'!$C$10)*('15.土地增值税'!M$128='1.参数设置'!$D$10),$C129,0)</f>
        <v>0</v>
      </c>
      <c r="N129" s="239">
        <f>IF(($L$126='1.参数设置'!$C$10)*('15.土地增值税'!N$128='1.参数设置'!$D$10),$C129,0)</f>
        <v>0</v>
      </c>
      <c r="O129" s="240">
        <f>IF(($L$126='1.参数设置'!$C$10)*('15.土地增值税'!O$128='1.参数设置'!$D$10),$C129,0)</f>
        <v>0</v>
      </c>
      <c r="P129" s="238">
        <f>IF(($P$126='1.参数设置'!$C$10)*('15.土地增值税'!P$128='1.参数设置'!$D$10),$C129,0)</f>
        <v>0</v>
      </c>
      <c r="Q129" s="239">
        <f>IF(($P$126='1.参数设置'!$C$10)*('15.土地增值税'!Q$128='1.参数设置'!$D$10),$C129,0)</f>
        <v>0</v>
      </c>
      <c r="R129" s="239">
        <f>IF(($P$126='1.参数设置'!$C$10)*('15.土地增值税'!R$128='1.参数设置'!$D$10),$C129,0)</f>
        <v>0</v>
      </c>
      <c r="S129" s="254">
        <f>IF(($P$126='1.参数设置'!$C$10)*('15.土地增值税'!S$128='1.参数设置'!$D$10),$C129,0)</f>
        <v>0</v>
      </c>
      <c r="T129" s="238">
        <f>IF(($T$126='1.参数设置'!$C$10)*('15.土地增值税'!T$128='1.参数设置'!$D$10),$C129,0)</f>
        <v>0</v>
      </c>
      <c r="U129" s="239">
        <f>IF(($T$126='1.参数设置'!$C$10)*('15.土地增值税'!U$128='1.参数设置'!$D$10),$C129,0)</f>
        <v>0</v>
      </c>
      <c r="V129" s="239">
        <f>IF(($T$126='1.参数设置'!$C$10)*('15.土地增值税'!V$128='1.参数设置'!$D$10),$C129,0)</f>
        <v>0</v>
      </c>
      <c r="W129" s="240">
        <f>IF(($T$126='1.参数设置'!$C$10)*('15.土地增值税'!W$128='1.参数设置'!$D$10),$C129,0)</f>
        <v>0</v>
      </c>
      <c r="X129" s="238">
        <f>IF(($X$126='1.参数设置'!$C$10)*('15.土地增值税'!X$128='1.参数设置'!$D$10),$C129,0)</f>
        <v>0</v>
      </c>
      <c r="Y129" s="239">
        <f>IF(($X$126='1.参数设置'!$C$10)*('15.土地增值税'!Y$128='1.参数设置'!$D$10),$C129,0)</f>
        <v>0</v>
      </c>
      <c r="Z129" s="239">
        <f>IF(($X$126='1.参数设置'!$C$10)*('15.土地增值税'!Z$128='1.参数设置'!$D$10),$C129,0)</f>
        <v>0</v>
      </c>
      <c r="AA129" s="240">
        <f>IF(($X$126='1.参数设置'!$C$10)*('15.土地增值税'!AA$128='1.参数设置'!$D$10),$C129,0)</f>
        <v>0</v>
      </c>
      <c r="AB129" s="238">
        <f>IF(($AB$126='1.参数设置'!$C$10)*('15.土地增值税'!AB$128='1.参数设置'!$D$10),$C129,0)</f>
        <v>0</v>
      </c>
      <c r="AC129" s="239">
        <f>IF(($AB$126='1.参数设置'!$C$10)*('15.土地增值税'!AC$128='1.参数设置'!$D$10),$C129,0)</f>
        <v>0</v>
      </c>
      <c r="AD129" s="239">
        <f>IF(($AB$126='1.参数设置'!$C$10)*('15.土地增值税'!AD$128='1.参数设置'!$D$10),$C129,0)</f>
        <v>0</v>
      </c>
      <c r="AE129" s="240">
        <f>IF(($AB$126='1.参数设置'!$C$10)*('15.土地增值税'!AE$128='1.参数设置'!$D$10),$C129,0)</f>
        <v>0</v>
      </c>
      <c r="AF129" s="238">
        <f>IF(($AF$126='1.参数设置'!$C$10)*('15.土地增值税'!AF$128='1.参数设置'!$D$10),$C129,0)</f>
        <v>0</v>
      </c>
      <c r="AG129" s="239">
        <f>IF(($AF$126='1.参数设置'!$C$10)*('15.土地增值税'!AG$128='1.参数设置'!$D$10),$C129,0)</f>
        <v>0</v>
      </c>
      <c r="AH129" s="239">
        <f>IF(($AF$126='1.参数设置'!$C$10)*('15.土地增值税'!AH$128='1.参数设置'!$D$10),$C129,0)</f>
        <v>0</v>
      </c>
      <c r="AI129" s="240">
        <f>IF(($AF$126='1.参数设置'!$C$10)*('15.土地增值税'!AI$128='1.参数设置'!$D$10),$C129,0)</f>
        <v>0</v>
      </c>
      <c r="AJ129" s="238">
        <f>IF(($AJ$126='1.参数设置'!$C$10)*('15.土地增值税'!AJ$128='1.参数设置'!$D$10),$C129,0)</f>
        <v>0</v>
      </c>
      <c r="AK129" s="239">
        <f>IF(($AJ$126='1.参数设置'!$C$10)*('15.土地增值税'!AK$128='1.参数设置'!$D$10),$C129,0)</f>
        <v>0</v>
      </c>
      <c r="AL129" s="239">
        <f>IF(($AJ$126='1.参数设置'!$C$10)*('15.土地增值税'!AL$128='1.参数设置'!$D$10),$C129,0)</f>
        <v>0</v>
      </c>
      <c r="AM129" s="240">
        <f>IF(($AJ$126='1.参数设置'!$C$10)*('15.土地增值税'!AM$128='1.参数设置'!$D$10),$C129,0)</f>
        <v>0</v>
      </c>
      <c r="AN129" s="238">
        <f>IF(($AN$126='1.参数设置'!$C$10)*('15.土地增值税'!AN$128='1.参数设置'!$D$10),$C129,0)</f>
        <v>0</v>
      </c>
      <c r="AO129" s="239">
        <f>IF(($AN$126='1.参数设置'!$C$10)*('15.土地增值税'!AO$128='1.参数设置'!$D$10),$C129,0)</f>
        <v>0</v>
      </c>
      <c r="AP129" s="239">
        <f>IF(($AN$126='1.参数设置'!$C$10)*('15.土地增值税'!AP$128='1.参数设置'!$D$10),$C129,0)</f>
        <v>0</v>
      </c>
      <c r="AQ129" s="240">
        <f>IF(($AN$126='1.参数设置'!$C$10)*('15.土地增值税'!AQ$128='1.参数设置'!$D$10),$C129,0)</f>
        <v>0</v>
      </c>
      <c r="AR129" s="238">
        <f>IF(($AR$126='1.参数设置'!$C$10)*('15.土地增值税'!AR$128='1.参数设置'!$D$10),$C129,0)</f>
        <v>0</v>
      </c>
      <c r="AS129" s="239">
        <f>IF(($AR$126='1.参数设置'!$C$10)*('15.土地增值税'!AS$128='1.参数设置'!$D$10),$C129,0)</f>
        <v>0</v>
      </c>
      <c r="AT129" s="239">
        <f>IF(($AR$126='1.参数设置'!$C$10)*('15.土地增值税'!AT$128='1.参数设置'!$D$10),$C129,0)</f>
        <v>0</v>
      </c>
      <c r="AU129" s="240">
        <f>IF(($AR$126='1.参数设置'!$C$10)*('15.土地增值税'!AU$128='1.参数设置'!$D$10),$C129,0)</f>
        <v>0</v>
      </c>
      <c r="AV129" s="255">
        <f>IF(ISERROR(MATCH('1.参数设置'!$C10,$D$126:$AU$126,0)),0,MATCH('1.参数设置'!$C10,$D$126:$AU$126,0))</f>
        <v>9</v>
      </c>
    </row>
    <row r="130" spans="1:48" s="75" customFormat="1" ht="18" customHeight="1">
      <c r="A130" s="225" t="s">
        <v>20</v>
      </c>
      <c r="B130" s="237" t="str">
        <f t="shared" si="130"/>
        <v>所有产品</v>
      </c>
      <c r="C130" s="227">
        <f ca="1">C39-C38</f>
        <v>0</v>
      </c>
      <c r="D130" s="238">
        <f>IF(($D$126='1.参数设置'!$C$11)*('15.土地增值税'!D$128='1.参数设置'!$D$11),$C130,0)</f>
        <v>0</v>
      </c>
      <c r="E130" s="239">
        <f>IF(($D$126='1.参数设置'!$C$11)*('15.土地增值税'!E$128='1.参数设置'!$D$11),$C130,0)</f>
        <v>0</v>
      </c>
      <c r="F130" s="239">
        <f>IF(($D$126='1.参数设置'!$C$11)*('15.土地增值税'!F$128='1.参数设置'!$D$11),$C130,0)</f>
        <v>0</v>
      </c>
      <c r="G130" s="240">
        <f>IF(($D$126='1.参数设置'!$C$11)*('15.土地增值税'!G$128='1.参数设置'!$D$11),$C130,0)</f>
        <v>0</v>
      </c>
      <c r="H130" s="238">
        <f>IF(($H$126='1.参数设置'!$C$11)*('15.土地增值税'!H$128='1.参数设置'!$D$11),$C130,0)</f>
        <v>0</v>
      </c>
      <c r="I130" s="239">
        <f>IF(($H$126='1.参数设置'!$C$11)*('15.土地增值税'!I$128='1.参数设置'!$D$11),$C130,0)</f>
        <v>0</v>
      </c>
      <c r="J130" s="239">
        <f>IF(($H$126='1.参数设置'!$C$11)*('15.土地增值税'!J$128='1.参数设置'!$D$11),$C130,0)</f>
        <v>0</v>
      </c>
      <c r="K130" s="240">
        <f>IF(($H$126='1.参数设置'!$C$11)*('15.土地增值税'!K$128='1.参数设置'!$D$11),$C130,0)</f>
        <v>0</v>
      </c>
      <c r="L130" s="238">
        <f>IF(($L$126='1.参数设置'!$C$11)*('15.土地增值税'!L$128='1.参数设置'!$D$11),$C130,0)</f>
        <v>0</v>
      </c>
      <c r="M130" s="239">
        <f>IF(($L$126='1.参数设置'!$C$11)*('15.土地增值税'!M$128='1.参数设置'!$D$11),$C130,0)</f>
        <v>0</v>
      </c>
      <c r="N130" s="239">
        <f>IF(($L$126='1.参数设置'!$C$11)*('15.土地增值税'!N$128='1.参数设置'!$D$11),$C130,0)</f>
        <v>0</v>
      </c>
      <c r="O130" s="240">
        <f>IF(($L$126='1.参数设置'!$C$11)*('15.土地增值税'!O$128='1.参数设置'!$D$11),$C130,0)</f>
        <v>0</v>
      </c>
      <c r="P130" s="238">
        <f>IF(($P$126='1.参数设置'!$C$11)*('15.土地增值税'!P$128='1.参数设置'!$D$11),$C130,0)</f>
        <v>0</v>
      </c>
      <c r="Q130" s="239">
        <f>IF(($P$126='1.参数设置'!$C$11)*('15.土地增值税'!Q$128='1.参数设置'!$D$11),$C130,0)</f>
        <v>0</v>
      </c>
      <c r="R130" s="239">
        <f>IF(($P$126='1.参数设置'!$C$11)*('15.土地增值税'!R$128='1.参数设置'!$D$11),$C130,0)</f>
        <v>0</v>
      </c>
      <c r="S130" s="254">
        <f>IF(($P$126='1.参数设置'!$C$11)*('15.土地增值税'!S$128='1.参数设置'!$D$11),$C130,0)</f>
        <v>0</v>
      </c>
      <c r="T130" s="238">
        <f>IF(($T$126='1.参数设置'!$C$11)*('15.土地增值税'!T$128='1.参数设置'!$D$11),$C130,0)</f>
        <v>0</v>
      </c>
      <c r="U130" s="239">
        <f>IF(($T$126='1.参数设置'!$C$11)*('15.土地增值税'!U$128='1.参数设置'!$D$11),$C130,0)</f>
        <v>0</v>
      </c>
      <c r="V130" s="239">
        <f>IF(($T$126='1.参数设置'!$C$11)*('15.土地增值税'!V$128='1.参数设置'!$D$11),$C130,0)</f>
        <v>0</v>
      </c>
      <c r="W130" s="240">
        <f>IF(($T$126='1.参数设置'!$C$11)*('15.土地增值税'!W$128='1.参数设置'!$D$11),$C130,0)</f>
        <v>0</v>
      </c>
      <c r="X130" s="238">
        <f>IF(($X$126='1.参数设置'!$C$11)*('15.土地增值税'!X$128='1.参数设置'!$D$11),$C130,0)</f>
        <v>0</v>
      </c>
      <c r="Y130" s="239">
        <f>IF(($X$126='1.参数设置'!$C$11)*('15.土地增值税'!Y$128='1.参数设置'!$D$11),$C130,0)</f>
        <v>0</v>
      </c>
      <c r="Z130" s="239">
        <f>IF(($X$126='1.参数设置'!$C$11)*('15.土地增值税'!Z$128='1.参数设置'!$D$11),$C130,0)</f>
        <v>0</v>
      </c>
      <c r="AA130" s="240">
        <f>IF(($X$126='1.参数设置'!$C$11)*('15.土地增值税'!AA$128='1.参数设置'!$D$11),$C130,0)</f>
        <v>0</v>
      </c>
      <c r="AB130" s="238">
        <f>IF(($AB$126='1.参数设置'!$C$11)*('15.土地增值税'!AB$128='1.参数设置'!$D$11),$C130,0)</f>
        <v>0</v>
      </c>
      <c r="AC130" s="239">
        <f>IF(($AB$126='1.参数设置'!$C$11)*('15.土地增值税'!AC$128='1.参数设置'!$D$11),$C130,0)</f>
        <v>0</v>
      </c>
      <c r="AD130" s="239">
        <f>IF(($AB$126='1.参数设置'!$C$11)*('15.土地增值税'!AD$128='1.参数设置'!$D$11),$C130,0)</f>
        <v>0</v>
      </c>
      <c r="AE130" s="240">
        <f>IF(($AB$126='1.参数设置'!$C$11)*('15.土地增值税'!AE$128='1.参数设置'!$D$11),$C130,0)</f>
        <v>0</v>
      </c>
      <c r="AF130" s="238">
        <f>IF(($AF$126='1.参数设置'!$C$11)*('15.土地增值税'!AF$128='1.参数设置'!$D$11),$C130,0)</f>
        <v>0</v>
      </c>
      <c r="AG130" s="239">
        <f>IF(($AF$126='1.参数设置'!$C$11)*('15.土地增值税'!AG$128='1.参数设置'!$D$11),$C130,0)</f>
        <v>0</v>
      </c>
      <c r="AH130" s="239">
        <f>IF(($AF$126='1.参数设置'!$C$11)*('15.土地增值税'!AH$128='1.参数设置'!$D$11),$C130,0)</f>
        <v>0</v>
      </c>
      <c r="AI130" s="240">
        <f>IF(($AF$126='1.参数设置'!$C$11)*('15.土地增值税'!AI$128='1.参数设置'!$D$11),$C130,0)</f>
        <v>0</v>
      </c>
      <c r="AJ130" s="238">
        <f>IF(($AJ$126='1.参数设置'!$C$11)*('15.土地增值税'!AJ$128='1.参数设置'!$D$11),$C130,0)</f>
        <v>0</v>
      </c>
      <c r="AK130" s="239">
        <f>IF(($AJ$126='1.参数设置'!$C$11)*('15.土地增值税'!AK$128='1.参数设置'!$D$11),$C130,0)</f>
        <v>0</v>
      </c>
      <c r="AL130" s="239">
        <f>IF(($AJ$126='1.参数设置'!$C$11)*('15.土地增值税'!AL$128='1.参数设置'!$D$11),$C130,0)</f>
        <v>0</v>
      </c>
      <c r="AM130" s="240">
        <f>IF(($AJ$126='1.参数设置'!$C$11)*('15.土地增值税'!AM$128='1.参数设置'!$D$11),$C130,0)</f>
        <v>0</v>
      </c>
      <c r="AN130" s="238">
        <f>IF(($AN$126='1.参数设置'!$C$11)*('15.土地增值税'!AN$128='1.参数设置'!$D$11),$C130,0)</f>
        <v>0</v>
      </c>
      <c r="AO130" s="239">
        <f>IF(($AN$126='1.参数设置'!$C$11)*('15.土地增值税'!AO$128='1.参数设置'!$D$11),$C130,0)</f>
        <v>0</v>
      </c>
      <c r="AP130" s="239">
        <f>IF(($AN$126='1.参数设置'!$C$11)*('15.土地增值税'!AP$128='1.参数设置'!$D$11),$C130,0)</f>
        <v>0</v>
      </c>
      <c r="AQ130" s="240">
        <f>IF(($AN$126='1.参数设置'!$C$11)*('15.土地增值税'!AQ$128='1.参数设置'!$D$11),$C130,0)</f>
        <v>0</v>
      </c>
      <c r="AR130" s="238">
        <f>IF(($AR$126='1.参数设置'!$C$11)*('15.土地增值税'!AR$128='1.参数设置'!$D$11),$C130,0)</f>
        <v>0</v>
      </c>
      <c r="AS130" s="239">
        <f>IF(($AR$126='1.参数设置'!$C$11)*('15.土地增值税'!AS$128='1.参数设置'!$D$11),$C130,0)</f>
        <v>0</v>
      </c>
      <c r="AT130" s="239">
        <f>IF(($AR$126='1.参数设置'!$C$11)*('15.土地增值税'!AT$128='1.参数设置'!$D$11),$C130,0)</f>
        <v>0</v>
      </c>
      <c r="AU130" s="240">
        <f>IF(($AR$126='1.参数设置'!$C$11)*('15.土地增值税'!AU$128='1.参数设置'!$D$11),$C130,0)</f>
        <v>0</v>
      </c>
      <c r="AV130" s="255">
        <f>IF(ISERROR(MATCH('1.参数设置'!$C11,$D$126:$AU$126,0)),0,MATCH('1.参数设置'!$C11,$D$126:$AU$126,0))</f>
        <v>0</v>
      </c>
    </row>
    <row r="131" spans="1:48" s="75" customFormat="1" ht="18" customHeight="1">
      <c r="A131" s="225" t="s">
        <v>21</v>
      </c>
      <c r="B131" s="237" t="str">
        <f t="shared" si="130"/>
        <v>所有产品</v>
      </c>
      <c r="C131" s="227">
        <f ca="1">C57-C56</f>
        <v>0</v>
      </c>
      <c r="D131" s="238">
        <f>IF(($D$126='1.参数设置'!$C$12)*('15.土地增值税'!D$128='1.参数设置'!$D$12),$C131,0)</f>
        <v>0</v>
      </c>
      <c r="E131" s="239">
        <f>IF(($D$126='1.参数设置'!$C$12)*('15.土地增值税'!E$128='1.参数设置'!$D$12),$C131,0)</f>
        <v>0</v>
      </c>
      <c r="F131" s="239">
        <f>IF(($D$126='1.参数设置'!$C$12)*('15.土地增值税'!F$128='1.参数设置'!$D$12),$C131,0)</f>
        <v>0</v>
      </c>
      <c r="G131" s="240">
        <f>IF(($D$126='1.参数设置'!$C$12)*('15.土地增值税'!G$128='1.参数设置'!$D$12),$C131,0)</f>
        <v>0</v>
      </c>
      <c r="H131" s="238">
        <f>IF(($H$126='1.参数设置'!$C$12)*('15.土地增值税'!H$128='1.参数设置'!$D$12),$C131,0)</f>
        <v>0</v>
      </c>
      <c r="I131" s="239">
        <f>IF(($H$126='1.参数设置'!$C$12)*('15.土地增值税'!I$128='1.参数设置'!$D$12),$C131,0)</f>
        <v>0</v>
      </c>
      <c r="J131" s="239">
        <f>IF(($H$126='1.参数设置'!$C$12)*('15.土地增值税'!J$128='1.参数设置'!$D$12),$C131,0)</f>
        <v>0</v>
      </c>
      <c r="K131" s="240">
        <f>IF(($H$126='1.参数设置'!$C$12)*('15.土地增值税'!K$128='1.参数设置'!$D$12),$C131,0)</f>
        <v>0</v>
      </c>
      <c r="L131" s="238">
        <f>IF(($L$126='1.参数设置'!$C$12)*('15.土地增值税'!L$128='1.参数设置'!$D$12),$C131,0)</f>
        <v>0</v>
      </c>
      <c r="M131" s="239">
        <f>IF(($L$126='1.参数设置'!$C$12)*('15.土地增值税'!M$128='1.参数设置'!$D$12),$C131,0)</f>
        <v>0</v>
      </c>
      <c r="N131" s="239">
        <f>IF(($L$126='1.参数设置'!$C$12)*('15.土地增值税'!N$128='1.参数设置'!$D$12),$C131,0)</f>
        <v>0</v>
      </c>
      <c r="O131" s="240">
        <f>IF(($L$126='1.参数设置'!$C$12)*('15.土地增值税'!O$128='1.参数设置'!$D$12),$C131,0)</f>
        <v>0</v>
      </c>
      <c r="P131" s="238">
        <f>IF(($P$126='1.参数设置'!$C$12)*('15.土地增值税'!P$128='1.参数设置'!$D$12),$C131,0)</f>
        <v>0</v>
      </c>
      <c r="Q131" s="239">
        <f>IF(($P$126='1.参数设置'!$C$12)*('15.土地增值税'!Q$128='1.参数设置'!$D$12),$C131,0)</f>
        <v>0</v>
      </c>
      <c r="R131" s="239">
        <f>IF(($P$126='1.参数设置'!$C$12)*('15.土地增值税'!R$128='1.参数设置'!$D$12),$C131,0)</f>
        <v>0</v>
      </c>
      <c r="S131" s="254">
        <f>IF(($P$126='1.参数设置'!$C$12)*('15.土地增值税'!S$128='1.参数设置'!$D$12),$C131,0)</f>
        <v>0</v>
      </c>
      <c r="T131" s="238">
        <f>IF(($T$126='1.参数设置'!$C$12)*('15.土地增值税'!T$128='1.参数设置'!$D$12),$C131,0)</f>
        <v>0</v>
      </c>
      <c r="U131" s="239">
        <f>IF(($T$126='1.参数设置'!$C$12)*('15.土地增值税'!U$128='1.参数设置'!$D$12),$C131,0)</f>
        <v>0</v>
      </c>
      <c r="V131" s="239">
        <f>IF(($T$126='1.参数设置'!$C$12)*('15.土地增值税'!V$128='1.参数设置'!$D$12),$C131,0)</f>
        <v>0</v>
      </c>
      <c r="W131" s="240">
        <f>IF(($T$126='1.参数设置'!$C$12)*('15.土地增值税'!W$128='1.参数设置'!$D$12),$C131,0)</f>
        <v>0</v>
      </c>
      <c r="X131" s="238">
        <f>IF(($X$126='1.参数设置'!$C$12)*('15.土地增值税'!X$128='1.参数设置'!$D$12),$C131,0)</f>
        <v>0</v>
      </c>
      <c r="Y131" s="239">
        <f>IF(($X$126='1.参数设置'!$C$12)*('15.土地增值税'!Y$128='1.参数设置'!$D$12),$C131,0)</f>
        <v>0</v>
      </c>
      <c r="Z131" s="239">
        <f>IF(($X$126='1.参数设置'!$C$12)*('15.土地增值税'!Z$128='1.参数设置'!$D$12),$C131,0)</f>
        <v>0</v>
      </c>
      <c r="AA131" s="240">
        <f>IF(($X$126='1.参数设置'!$C$12)*('15.土地增值税'!AA$128='1.参数设置'!$D$12),$C131,0)</f>
        <v>0</v>
      </c>
      <c r="AB131" s="238">
        <f>IF(($AB$126='1.参数设置'!$C$12)*('15.土地增值税'!AB$128='1.参数设置'!$D$12),$C131,0)</f>
        <v>0</v>
      </c>
      <c r="AC131" s="239">
        <f>IF(($AB$126='1.参数设置'!$C$12)*('15.土地增值税'!AC$128='1.参数设置'!$D$12),$C131,0)</f>
        <v>0</v>
      </c>
      <c r="AD131" s="239">
        <f>IF(($AB$126='1.参数设置'!$C$12)*('15.土地增值税'!AD$128='1.参数设置'!$D$12),$C131,0)</f>
        <v>0</v>
      </c>
      <c r="AE131" s="240">
        <f>IF(($AB$126='1.参数设置'!$C$12)*('15.土地增值税'!AE$128='1.参数设置'!$D$12),$C131,0)</f>
        <v>0</v>
      </c>
      <c r="AF131" s="238">
        <f>IF(($AF$126='1.参数设置'!$C$12)*('15.土地增值税'!AF$128='1.参数设置'!$D$12),$C131,0)</f>
        <v>0</v>
      </c>
      <c r="AG131" s="239">
        <f>IF(($AF$126='1.参数设置'!$C$12)*('15.土地增值税'!AG$128='1.参数设置'!$D$12),$C131,0)</f>
        <v>0</v>
      </c>
      <c r="AH131" s="239">
        <f>IF(($AF$126='1.参数设置'!$C$12)*('15.土地增值税'!AH$128='1.参数设置'!$D$12),$C131,0)</f>
        <v>0</v>
      </c>
      <c r="AI131" s="240">
        <f>IF(($AF$126='1.参数设置'!$C$12)*('15.土地增值税'!AI$128='1.参数设置'!$D$12),$C131,0)</f>
        <v>0</v>
      </c>
      <c r="AJ131" s="238">
        <f>IF(($AJ$126='1.参数设置'!$C$12)*('15.土地增值税'!AJ$128='1.参数设置'!$D$12),$C131,0)</f>
        <v>0</v>
      </c>
      <c r="AK131" s="239">
        <f>IF(($AJ$126='1.参数设置'!$C$12)*('15.土地增值税'!AK$128='1.参数设置'!$D$12),$C131,0)</f>
        <v>0</v>
      </c>
      <c r="AL131" s="239">
        <f>IF(($AJ$126='1.参数设置'!$C$12)*('15.土地增值税'!AL$128='1.参数设置'!$D$12),$C131,0)</f>
        <v>0</v>
      </c>
      <c r="AM131" s="240">
        <f>IF(($AJ$126='1.参数设置'!$C$12)*('15.土地增值税'!AM$128='1.参数设置'!$D$12),$C131,0)</f>
        <v>0</v>
      </c>
      <c r="AN131" s="238">
        <f>IF(($AN$126='1.参数设置'!$C$12)*('15.土地增值税'!AN$128='1.参数设置'!$D$12),$C131,0)</f>
        <v>0</v>
      </c>
      <c r="AO131" s="239">
        <f>IF(($AN$126='1.参数设置'!$C$12)*('15.土地增值税'!AO$128='1.参数设置'!$D$12),$C131,0)</f>
        <v>0</v>
      </c>
      <c r="AP131" s="239">
        <f>IF(($AN$126='1.参数设置'!$C$12)*('15.土地增值税'!AP$128='1.参数设置'!$D$12),$C131,0)</f>
        <v>0</v>
      </c>
      <c r="AQ131" s="240">
        <f>IF(($AN$126='1.参数设置'!$C$12)*('15.土地增值税'!AQ$128='1.参数设置'!$D$12),$C131,0)</f>
        <v>0</v>
      </c>
      <c r="AR131" s="238">
        <f>IF(($AR$126='1.参数设置'!$C$12)*('15.土地增值税'!AR$128='1.参数设置'!$D$12),$C131,0)</f>
        <v>0</v>
      </c>
      <c r="AS131" s="239">
        <f>IF(($AR$126='1.参数设置'!$C$12)*('15.土地增值税'!AS$128='1.参数设置'!$D$12),$C131,0)</f>
        <v>0</v>
      </c>
      <c r="AT131" s="239">
        <f>IF(($AR$126='1.参数设置'!$C$12)*('15.土地增值税'!AT$128='1.参数设置'!$D$12),$C131,0)</f>
        <v>0</v>
      </c>
      <c r="AU131" s="240">
        <f>IF(($AR$126='1.参数设置'!$C$12)*('15.土地增值税'!AU$128='1.参数设置'!$D$12),$C131,0)</f>
        <v>0</v>
      </c>
      <c r="AV131" s="255">
        <f>IF(ISERROR(MATCH('1.参数设置'!C12,$D$126:$AU$126,0)),0,MATCH('1.参数设置'!C12,$D$126:$AU$126,0))</f>
        <v>0</v>
      </c>
    </row>
    <row r="132" spans="1:48" s="75" customFormat="1" ht="18" customHeight="1">
      <c r="A132" s="225" t="s">
        <v>22</v>
      </c>
      <c r="B132" s="237" t="str">
        <f t="shared" si="130"/>
        <v>所有产品</v>
      </c>
      <c r="C132" s="227">
        <f ca="1">C75-C74</f>
        <v>0</v>
      </c>
      <c r="D132" s="238">
        <f>IF(($D$126='1.参数设置'!$F$10)*('15.土地增值税'!D$128='1.参数设置'!$G$10),$C132,0)</f>
        <v>0</v>
      </c>
      <c r="E132" s="239">
        <f>IF(($D$126='1.参数设置'!$F$10)*('15.土地增值税'!E$128='1.参数设置'!$G$10),$C132,0)</f>
        <v>0</v>
      </c>
      <c r="F132" s="239">
        <f>IF(($D$126='1.参数设置'!$F$10)*('15.土地增值税'!F$128='1.参数设置'!$G$10),$C132,0)</f>
        <v>0</v>
      </c>
      <c r="G132" s="240">
        <f>IF(($D$126='1.参数设置'!$F$10)*('15.土地增值税'!G$128='1.参数设置'!$G$10),$C132,0)</f>
        <v>0</v>
      </c>
      <c r="H132" s="238">
        <f>IF(($H$126='1.参数设置'!$F$10)*('15.土地增值税'!H$128='1.参数设置'!$G$10),$C132,0)</f>
        <v>0</v>
      </c>
      <c r="I132" s="239">
        <f>IF(($H$126='1.参数设置'!$F$10)*('15.土地增值税'!I$128='1.参数设置'!$G$10),$C132,0)</f>
        <v>0</v>
      </c>
      <c r="J132" s="239">
        <f>IF(($H$126='1.参数设置'!$F$10)*('15.土地增值税'!J$128='1.参数设置'!$G$10),$C132,0)</f>
        <v>0</v>
      </c>
      <c r="K132" s="240">
        <f>IF(($H$126='1.参数设置'!$F$10)*('15.土地增值税'!K$128='1.参数设置'!$G$10),$C132,0)</f>
        <v>0</v>
      </c>
      <c r="L132" s="238">
        <f>IF(($L$126='1.参数设置'!$F$10)*('15.土地增值税'!L$128='1.参数设置'!$G$10),$C132,0)</f>
        <v>0</v>
      </c>
      <c r="M132" s="239">
        <f>IF(($L$126='1.参数设置'!$F$10)*('15.土地增值税'!M$128='1.参数设置'!$G$10),$C132,0)</f>
        <v>0</v>
      </c>
      <c r="N132" s="239">
        <f>IF(($L$126='1.参数设置'!$F$10)*('15.土地增值税'!N$128='1.参数设置'!$G$10),$C132,0)</f>
        <v>0</v>
      </c>
      <c r="O132" s="240">
        <f>IF(($L$126='1.参数设置'!$F$10)*('15.土地增值税'!O$128='1.参数设置'!$G$10),$C132,0)</f>
        <v>0</v>
      </c>
      <c r="P132" s="238">
        <f>IF(($P$126='1.参数设置'!$F$10)*('15.土地增值税'!P$128='1.参数设置'!$G$10),$C132,0)</f>
        <v>0</v>
      </c>
      <c r="Q132" s="239">
        <f>IF(($P$126='1.参数设置'!$F$10)*('15.土地增值税'!Q$128='1.参数设置'!$G$10),$C132,0)</f>
        <v>0</v>
      </c>
      <c r="R132" s="239">
        <f>IF(($P$126='1.参数设置'!$F$10)*('15.土地增值税'!R$128='1.参数设置'!$G$10),$C132,0)</f>
        <v>0</v>
      </c>
      <c r="S132" s="254">
        <f>IF(($P$126='1.参数设置'!$F$10)*('15.土地增值税'!S$128='1.参数设置'!$G$10),$C132,0)</f>
        <v>0</v>
      </c>
      <c r="T132" s="238">
        <f>IF(($T$126='1.参数设置'!$F$10)*('15.土地增值税'!T$128='1.参数设置'!$G$10),$C132,0)</f>
        <v>0</v>
      </c>
      <c r="U132" s="239">
        <f>IF(($T$126='1.参数设置'!$F$10)*('15.土地增值税'!U$128='1.参数设置'!$G$10),$C132,0)</f>
        <v>0</v>
      </c>
      <c r="V132" s="239">
        <f>IF(($T$126='1.参数设置'!$F$10)*('15.土地增值税'!V$128='1.参数设置'!$G$10),$C132,0)</f>
        <v>0</v>
      </c>
      <c r="W132" s="240">
        <f>IF(($T$126='1.参数设置'!$F$10)*('15.土地增值税'!W$128='1.参数设置'!$G$10),$C132,0)</f>
        <v>0</v>
      </c>
      <c r="X132" s="238">
        <f>IF(($X$126='1.参数设置'!$F$10)*('15.土地增值税'!X$128='1.参数设置'!$G$10),$C132,0)</f>
        <v>0</v>
      </c>
      <c r="Y132" s="239">
        <f>IF(($X$126='1.参数设置'!$F$10)*('15.土地增值税'!Y$128='1.参数设置'!$G$10),$C132,0)</f>
        <v>0</v>
      </c>
      <c r="Z132" s="239">
        <f>IF(($X$126='1.参数设置'!$F$10)*('15.土地增值税'!Z$128='1.参数设置'!$G$10),$C132,0)</f>
        <v>0</v>
      </c>
      <c r="AA132" s="240">
        <f>IF(($X$126='1.参数设置'!$F$10)*('15.土地增值税'!AA$128='1.参数设置'!$G$10),$C132,0)</f>
        <v>0</v>
      </c>
      <c r="AB132" s="238">
        <f>IF(($AB$126='1.参数设置'!$F$10)*('15.土地增值税'!AB$128='1.参数设置'!$G$10),$C132,0)</f>
        <v>0</v>
      </c>
      <c r="AC132" s="239">
        <f>IF(($AB$126='1.参数设置'!$F$10)*('15.土地增值税'!AC$128='1.参数设置'!$G$10),$C132,0)</f>
        <v>0</v>
      </c>
      <c r="AD132" s="239">
        <f>IF(($AB$126='1.参数设置'!$F$10)*('15.土地增值税'!AD$128='1.参数设置'!$G$10),$C132,0)</f>
        <v>0</v>
      </c>
      <c r="AE132" s="240">
        <f>IF(($AB$126='1.参数设置'!$F$10)*('15.土地增值税'!AE$128='1.参数设置'!$G$10),$C132,0)</f>
        <v>0</v>
      </c>
      <c r="AF132" s="238">
        <f>IF(($AF$126='1.参数设置'!$F$10)*('15.土地增值税'!AF$128='1.参数设置'!$G$10),$C132,0)</f>
        <v>0</v>
      </c>
      <c r="AG132" s="239">
        <f>IF(($AF$126='1.参数设置'!$F$10)*('15.土地增值税'!AG$128='1.参数设置'!$G$10),$C132,0)</f>
        <v>0</v>
      </c>
      <c r="AH132" s="239">
        <f>IF(($AF$126='1.参数设置'!$F$10)*('15.土地增值税'!AH$128='1.参数设置'!$G$10),$C132,0)</f>
        <v>0</v>
      </c>
      <c r="AI132" s="240">
        <f>IF(($AF$126='1.参数设置'!$F$10)*('15.土地增值税'!AI$128='1.参数设置'!$G$10),$C132,0)</f>
        <v>0</v>
      </c>
      <c r="AJ132" s="238">
        <f>IF(($AJ$126='1.参数设置'!$F$10)*('15.土地增值税'!AJ$128='1.参数设置'!$G$10),$C132,0)</f>
        <v>0</v>
      </c>
      <c r="AK132" s="239">
        <f>IF(($AJ$126='1.参数设置'!$F$10)*('15.土地增值税'!AK$128='1.参数设置'!$G$10),$C132,0)</f>
        <v>0</v>
      </c>
      <c r="AL132" s="239">
        <f>IF(($AJ$126='1.参数设置'!$F$10)*('15.土地增值税'!AL$128='1.参数设置'!$G$10),$C132,0)</f>
        <v>0</v>
      </c>
      <c r="AM132" s="240">
        <f>IF(($AJ$126='1.参数设置'!$F$10)*('15.土地增值税'!AM$128='1.参数设置'!$G$10),$C132,0)</f>
        <v>0</v>
      </c>
      <c r="AN132" s="238">
        <f>IF(($AN$126='1.参数设置'!$F$10)*('15.土地增值税'!AN$128='1.参数设置'!$G$10),$C132,0)</f>
        <v>0</v>
      </c>
      <c r="AO132" s="239">
        <f>IF(($AN$126='1.参数设置'!$F$10)*('15.土地增值税'!AO$128='1.参数设置'!$G$10),$C132,0)</f>
        <v>0</v>
      </c>
      <c r="AP132" s="239">
        <f>IF(($AN$126='1.参数设置'!$F$10)*('15.土地增值税'!AP$128='1.参数设置'!$G$10),$C132,0)</f>
        <v>0</v>
      </c>
      <c r="AQ132" s="240">
        <f>IF(($AN$126='1.参数设置'!$F$10)*('15.土地增值税'!AQ$128='1.参数设置'!$G$10),$C132,0)</f>
        <v>0</v>
      </c>
      <c r="AR132" s="238">
        <f>IF(($AR$126='1.参数设置'!$F$10)*('15.土地增值税'!AR$128='1.参数设置'!$G$10),$C132,0)</f>
        <v>0</v>
      </c>
      <c r="AS132" s="239">
        <f>IF(($AR$126='1.参数设置'!$F$10)*('15.土地增值税'!AS$128='1.参数设置'!$G$10),$C132,0)</f>
        <v>0</v>
      </c>
      <c r="AT132" s="239">
        <f>IF(($AR$126='1.参数设置'!$F$10)*('15.土地增值税'!AT$128='1.参数设置'!$G$10),$C132,0)</f>
        <v>0</v>
      </c>
      <c r="AU132" s="240">
        <f>IF(($AR$126='1.参数设置'!$F$10)*('15.土地增值税'!AU$128='1.参数设置'!$G$10),$C132,0)</f>
        <v>0</v>
      </c>
      <c r="AV132" s="255">
        <f>IF(ISERROR(MATCH('1.参数设置'!$F10,$D$126:$AU$126,0)),0,MATCH('1.参数设置'!$F10,$D$126:$AU$126,0))</f>
        <v>0</v>
      </c>
    </row>
    <row r="133" spans="1:48" s="75" customFormat="1" ht="18" customHeight="1">
      <c r="A133" s="225" t="s">
        <v>23</v>
      </c>
      <c r="B133" s="237" t="str">
        <f t="shared" si="130"/>
        <v>所有产品</v>
      </c>
      <c r="C133" s="227">
        <f ca="1">C93-C92</f>
        <v>0</v>
      </c>
      <c r="D133" s="238">
        <f>IF(($D$126='1.参数设置'!$F$11)*('15.土地增值税'!D$128='1.参数设置'!$G$11),$C133,0)</f>
        <v>0</v>
      </c>
      <c r="E133" s="239">
        <f>IF(($D$126='1.参数设置'!$F$11)*('15.土地增值税'!E$128='1.参数设置'!$G$11),$C133,0)</f>
        <v>0</v>
      </c>
      <c r="F133" s="239">
        <f>IF(($D$126='1.参数设置'!$F$11)*('15.土地增值税'!F$128='1.参数设置'!$G$11),$C133,0)</f>
        <v>0</v>
      </c>
      <c r="G133" s="240">
        <f>IF(($D$126='1.参数设置'!$F$11)*('15.土地增值税'!G$128='1.参数设置'!$G$11),$C133,0)</f>
        <v>0</v>
      </c>
      <c r="H133" s="238">
        <f>IF(($H$126='1.参数设置'!$F$11)*('15.土地增值税'!H$128='1.参数设置'!$G$11),$C133,0)</f>
        <v>0</v>
      </c>
      <c r="I133" s="239">
        <f>IF(($H$126='1.参数设置'!$F$11)*('15.土地增值税'!I$128='1.参数设置'!$G$11),$C133,0)</f>
        <v>0</v>
      </c>
      <c r="J133" s="239">
        <f>IF(($H$126='1.参数设置'!$F$11)*('15.土地增值税'!J$128='1.参数设置'!$G$11),$C133,0)</f>
        <v>0</v>
      </c>
      <c r="K133" s="240">
        <f>IF(($H$126='1.参数设置'!$F$11)*('15.土地增值税'!K$128='1.参数设置'!$G$11),$C133,0)</f>
        <v>0</v>
      </c>
      <c r="L133" s="238">
        <f>IF(($L$126='1.参数设置'!$F$11)*('15.土地增值税'!L$128='1.参数设置'!$G$11),$C133,0)</f>
        <v>0</v>
      </c>
      <c r="M133" s="239">
        <f>IF(($L$126='1.参数设置'!$F$11)*('15.土地增值税'!M$128='1.参数设置'!$G$11),$C133,0)</f>
        <v>0</v>
      </c>
      <c r="N133" s="239">
        <f>IF(($L$126='1.参数设置'!$F$11)*('15.土地增值税'!N$128='1.参数设置'!$G$11),$C133,0)</f>
        <v>0</v>
      </c>
      <c r="O133" s="240">
        <f>IF(($L$126='1.参数设置'!$F$11)*('15.土地增值税'!O$128='1.参数设置'!$G$11),$C133,0)</f>
        <v>0</v>
      </c>
      <c r="P133" s="238">
        <f>IF(($P$126='1.参数设置'!$F$11)*('15.土地增值税'!P$128='1.参数设置'!$G$11),$C133,0)</f>
        <v>0</v>
      </c>
      <c r="Q133" s="239">
        <f>IF(($P$126='1.参数设置'!$F$11)*('15.土地增值税'!Q$128='1.参数设置'!$G$11),$C133,0)</f>
        <v>0</v>
      </c>
      <c r="R133" s="239">
        <f>IF(($P$126='1.参数设置'!$F$11)*('15.土地增值税'!R$128='1.参数设置'!$G$11),$C133,0)</f>
        <v>0</v>
      </c>
      <c r="S133" s="254">
        <f>IF(($P$126='1.参数设置'!$F$11)*('15.土地增值税'!S$128='1.参数设置'!$G$11),$C133,0)</f>
        <v>0</v>
      </c>
      <c r="T133" s="238">
        <f>IF(($T$126='1.参数设置'!$F$11)*('15.土地增值税'!T$128='1.参数设置'!$G$11),$C133,0)</f>
        <v>0</v>
      </c>
      <c r="U133" s="239">
        <f>IF(($T$126='1.参数设置'!$F$11)*('15.土地增值税'!U$128='1.参数设置'!$G$11),$C133,0)</f>
        <v>0</v>
      </c>
      <c r="V133" s="239">
        <f>IF(($T$126='1.参数设置'!$F$11)*('15.土地增值税'!V$128='1.参数设置'!$G$11),$C133,0)</f>
        <v>0</v>
      </c>
      <c r="W133" s="240">
        <f>IF(($T$126='1.参数设置'!$F$11)*('15.土地增值税'!W$128='1.参数设置'!$G$11),$C133,0)</f>
        <v>0</v>
      </c>
      <c r="X133" s="238">
        <f>IF(($X$126='1.参数设置'!$F$11)*('15.土地增值税'!X$128='1.参数设置'!$G$11),$C133,0)</f>
        <v>0</v>
      </c>
      <c r="Y133" s="239">
        <f>IF(($X$126='1.参数设置'!$F$11)*('15.土地增值税'!Y$128='1.参数设置'!$G$11),$C133,0)</f>
        <v>0</v>
      </c>
      <c r="Z133" s="239">
        <f>IF(($X$126='1.参数设置'!$F$11)*('15.土地增值税'!Z$128='1.参数设置'!$G$11),$C133,0)</f>
        <v>0</v>
      </c>
      <c r="AA133" s="240">
        <f>IF(($X$126='1.参数设置'!$F$11)*('15.土地增值税'!AA$128='1.参数设置'!$G$11),$C133,0)</f>
        <v>0</v>
      </c>
      <c r="AB133" s="238">
        <f>IF(($AB$126='1.参数设置'!$F$11)*('15.土地增值税'!AB$128='1.参数设置'!$G$11),$C133,0)</f>
        <v>0</v>
      </c>
      <c r="AC133" s="239">
        <f>IF(($AB$126='1.参数设置'!$F$11)*('15.土地增值税'!AC$128='1.参数设置'!$G$11),$C133,0)</f>
        <v>0</v>
      </c>
      <c r="AD133" s="239">
        <f>IF(($AB$126='1.参数设置'!$F$11)*('15.土地增值税'!AD$128='1.参数设置'!$G$11),$C133,0)</f>
        <v>0</v>
      </c>
      <c r="AE133" s="240">
        <f>IF(($AB$126='1.参数设置'!$F$11)*('15.土地增值税'!AE$128='1.参数设置'!$G$11),$C133,0)</f>
        <v>0</v>
      </c>
      <c r="AF133" s="238">
        <f>IF(($AF$126='1.参数设置'!$F$11)*('15.土地增值税'!AF$128='1.参数设置'!$G$11),$C133,0)</f>
        <v>0</v>
      </c>
      <c r="AG133" s="239">
        <f>IF(($AF$126='1.参数设置'!$F$11)*('15.土地增值税'!AG$128='1.参数设置'!$G$11),$C133,0)</f>
        <v>0</v>
      </c>
      <c r="AH133" s="239">
        <f>IF(($AF$126='1.参数设置'!$F$11)*('15.土地增值税'!AH$128='1.参数设置'!$G$11),$C133,0)</f>
        <v>0</v>
      </c>
      <c r="AI133" s="240">
        <f>IF(($AF$126='1.参数设置'!$F$11)*('15.土地增值税'!AI$128='1.参数设置'!$G$11),$C133,0)</f>
        <v>0</v>
      </c>
      <c r="AJ133" s="238">
        <f>IF(($AJ$126='1.参数设置'!$F$11)*('15.土地增值税'!AJ$128='1.参数设置'!$G$11),$C133,0)</f>
        <v>0</v>
      </c>
      <c r="AK133" s="239">
        <f>IF(($AJ$126='1.参数设置'!$F$11)*('15.土地增值税'!AK$128='1.参数设置'!$G$11),$C133,0)</f>
        <v>0</v>
      </c>
      <c r="AL133" s="239">
        <f>IF(($AJ$126='1.参数设置'!$F$11)*('15.土地增值税'!AL$128='1.参数设置'!$G$11),$C133,0)</f>
        <v>0</v>
      </c>
      <c r="AM133" s="240">
        <f>IF(($AJ$126='1.参数设置'!$F$11)*('15.土地增值税'!AM$128='1.参数设置'!$G$11),$C133,0)</f>
        <v>0</v>
      </c>
      <c r="AN133" s="238">
        <f>IF(($AN$126='1.参数设置'!$F$11)*('15.土地增值税'!AN$128='1.参数设置'!$G$11),$C133,0)</f>
        <v>0</v>
      </c>
      <c r="AO133" s="239">
        <f>IF(($AN$126='1.参数设置'!$F$11)*('15.土地增值税'!AO$128='1.参数设置'!$G$11),$C133,0)</f>
        <v>0</v>
      </c>
      <c r="AP133" s="239">
        <f>IF(($AN$126='1.参数设置'!$F$11)*('15.土地增值税'!AP$128='1.参数设置'!$G$11),$C133,0)</f>
        <v>0</v>
      </c>
      <c r="AQ133" s="240">
        <f>IF(($AN$126='1.参数设置'!$F$11)*('15.土地增值税'!AQ$128='1.参数设置'!$G$11),$C133,0)</f>
        <v>0</v>
      </c>
      <c r="AR133" s="238">
        <f>IF(($AR$126='1.参数设置'!$F$11)*('15.土地增值税'!AR$128='1.参数设置'!$G$11),$C133,0)</f>
        <v>0</v>
      </c>
      <c r="AS133" s="239">
        <f>IF(($AR$126='1.参数设置'!$F$11)*('15.土地增值税'!AS$128='1.参数设置'!$G$11),$C133,0)</f>
        <v>0</v>
      </c>
      <c r="AT133" s="239">
        <f>IF(($AR$126='1.参数设置'!$F$11)*('15.土地增值税'!AT$128='1.参数设置'!$G$11),$C133,0)</f>
        <v>0</v>
      </c>
      <c r="AU133" s="240">
        <f>IF(($AR$126='1.参数设置'!$F$11)*('15.土地增值税'!AU$128='1.参数设置'!$G$11),$C133,0)</f>
        <v>0</v>
      </c>
      <c r="AV133" s="255">
        <f>IF(ISERROR(MATCH('1.参数设置'!$F11,$D$126:$AU$126,0)),0,MATCH('1.参数设置'!$F11,$D$126:$AU$126,0))</f>
        <v>0</v>
      </c>
    </row>
    <row r="134" spans="1:48" s="75" customFormat="1" ht="18" customHeight="1">
      <c r="A134" s="225" t="s">
        <v>24</v>
      </c>
      <c r="B134" s="237" t="str">
        <f t="shared" si="130"/>
        <v>所有产品</v>
      </c>
      <c r="C134" s="227">
        <f ca="1">C111-C110</f>
        <v>0</v>
      </c>
      <c r="D134" s="238">
        <f>IF(($D$126='1.参数设置'!$F$12)*('15.土地增值税'!D$128='1.参数设置'!$G$12),$C134,0)</f>
        <v>0</v>
      </c>
      <c r="E134" s="239">
        <f>IF(($D$126='1.参数设置'!$F$12)*('15.土地增值税'!E$128='1.参数设置'!$G$12),$C134,0)</f>
        <v>0</v>
      </c>
      <c r="F134" s="239">
        <f>IF(($D$126='1.参数设置'!$F$12)*('15.土地增值税'!F$128='1.参数设置'!$G$12),$C134,0)</f>
        <v>0</v>
      </c>
      <c r="G134" s="240">
        <f>IF(($D$126='1.参数设置'!$F$12)*('15.土地增值税'!G$128='1.参数设置'!$G$12),$C134,0)</f>
        <v>0</v>
      </c>
      <c r="H134" s="238">
        <f>IF(($H$126='1.参数设置'!$F$12)*('15.土地增值税'!H$128='1.参数设置'!$G$12),$C134,0)</f>
        <v>0</v>
      </c>
      <c r="I134" s="239">
        <f>IF(($H$126='1.参数设置'!$F$12)*('15.土地增值税'!I$128='1.参数设置'!$G$12),$C134,0)</f>
        <v>0</v>
      </c>
      <c r="J134" s="239">
        <f>IF(($H$126='1.参数设置'!$F$12)*('15.土地增值税'!J$128='1.参数设置'!$G$12),$C134,0)</f>
        <v>0</v>
      </c>
      <c r="K134" s="240">
        <f>IF(($H$126='1.参数设置'!$F$12)*('15.土地增值税'!K$128='1.参数设置'!$G$12),$C134,0)</f>
        <v>0</v>
      </c>
      <c r="L134" s="238">
        <f>IF(($L$126='1.参数设置'!$F$12)*('15.土地增值税'!L$128='1.参数设置'!$G$12),$C134,0)</f>
        <v>0</v>
      </c>
      <c r="M134" s="239">
        <f>IF(($L$126='1.参数设置'!$F$12)*('15.土地增值税'!M$128='1.参数设置'!$G$12),$C134,0)</f>
        <v>0</v>
      </c>
      <c r="N134" s="239">
        <f>IF(($L$126='1.参数设置'!$F$12)*('15.土地增值税'!N$128='1.参数设置'!$G$12),$C134,0)</f>
        <v>0</v>
      </c>
      <c r="O134" s="240">
        <f>IF(($L$126='1.参数设置'!$F$12)*('15.土地增值税'!O$128='1.参数设置'!$G$12),$C134,0)</f>
        <v>0</v>
      </c>
      <c r="P134" s="238">
        <f>IF(($P$126='1.参数设置'!$F$12)*('15.土地增值税'!P$128='1.参数设置'!$G$12),$C134,0)</f>
        <v>0</v>
      </c>
      <c r="Q134" s="239">
        <f>IF(($P$126='1.参数设置'!$F$12)*('15.土地增值税'!Q$128='1.参数设置'!$G$12),$C134,0)</f>
        <v>0</v>
      </c>
      <c r="R134" s="239">
        <f>IF(($P$126='1.参数设置'!$F$12)*('15.土地增值税'!R$128='1.参数设置'!$G$12),$C134,0)</f>
        <v>0</v>
      </c>
      <c r="S134" s="254">
        <f>IF(($P$126='1.参数设置'!$F$12)*('15.土地增值税'!S$128='1.参数设置'!$G$12),$C134,0)</f>
        <v>0</v>
      </c>
      <c r="T134" s="238">
        <f>IF(($T$126='1.参数设置'!$F$12)*('15.土地增值税'!T$128='1.参数设置'!$G$12),$C134,0)</f>
        <v>0</v>
      </c>
      <c r="U134" s="239">
        <f>IF(($T$126='1.参数设置'!$F$12)*('15.土地增值税'!U$128='1.参数设置'!$G$12),$C134,0)</f>
        <v>0</v>
      </c>
      <c r="V134" s="239">
        <f>IF(($T$126='1.参数设置'!$F$12)*('15.土地增值税'!V$128='1.参数设置'!$G$12),$C134,0)</f>
        <v>0</v>
      </c>
      <c r="W134" s="240">
        <f>IF(($T$126='1.参数设置'!$F$12)*('15.土地增值税'!W$128='1.参数设置'!$G$12),$C134,0)</f>
        <v>0</v>
      </c>
      <c r="X134" s="238">
        <f>IF(($X$126='1.参数设置'!$F$12)*('15.土地增值税'!X$128='1.参数设置'!$G$12),$C134,0)</f>
        <v>0</v>
      </c>
      <c r="Y134" s="239">
        <f>IF(($X$126='1.参数设置'!$F$12)*('15.土地增值税'!Y$128='1.参数设置'!$G$12),$C134,0)</f>
        <v>0</v>
      </c>
      <c r="Z134" s="239">
        <f>IF(($X$126='1.参数设置'!$F$12)*('15.土地增值税'!Z$128='1.参数设置'!$G$12),$C134,0)</f>
        <v>0</v>
      </c>
      <c r="AA134" s="240">
        <f>IF(($X$126='1.参数设置'!$F$12)*('15.土地增值税'!AA$128='1.参数设置'!$G$12),$C134,0)</f>
        <v>0</v>
      </c>
      <c r="AB134" s="238">
        <f>IF(($AB$126='1.参数设置'!$F$12)*('15.土地增值税'!AB$128='1.参数设置'!$G$12),$C134,0)</f>
        <v>0</v>
      </c>
      <c r="AC134" s="239">
        <f>IF(($AB$126='1.参数设置'!$F$12)*('15.土地增值税'!AC$128='1.参数设置'!$G$12),$C134,0)</f>
        <v>0</v>
      </c>
      <c r="AD134" s="239">
        <f>IF(($AB$126='1.参数设置'!$F$12)*('15.土地增值税'!AD$128='1.参数设置'!$G$12),$C134,0)</f>
        <v>0</v>
      </c>
      <c r="AE134" s="240">
        <f>IF(($AB$126='1.参数设置'!$F$12)*('15.土地增值税'!AE$128='1.参数设置'!$G$12),$C134,0)</f>
        <v>0</v>
      </c>
      <c r="AF134" s="238">
        <f>IF(($AF$126='1.参数设置'!$F$12)*('15.土地增值税'!AF$128='1.参数设置'!$G$12),$C134,0)</f>
        <v>0</v>
      </c>
      <c r="AG134" s="239">
        <f>IF(($AF$126='1.参数设置'!$F$12)*('15.土地增值税'!AG$128='1.参数设置'!$G$12),$C134,0)</f>
        <v>0</v>
      </c>
      <c r="AH134" s="239">
        <f>IF(($AF$126='1.参数设置'!$F$12)*('15.土地增值税'!AH$128='1.参数设置'!$G$12),$C134,0)</f>
        <v>0</v>
      </c>
      <c r="AI134" s="240">
        <f>IF(($AF$126='1.参数设置'!$F$12)*('15.土地增值税'!AI$128='1.参数设置'!$G$12),$C134,0)</f>
        <v>0</v>
      </c>
      <c r="AJ134" s="238">
        <f>IF(($AJ$126='1.参数设置'!$F$12)*('15.土地增值税'!AJ$128='1.参数设置'!$G$12),$C134,0)</f>
        <v>0</v>
      </c>
      <c r="AK134" s="239">
        <f>IF(($AJ$126='1.参数设置'!$F$12)*('15.土地增值税'!AK$128='1.参数设置'!$G$12),$C134,0)</f>
        <v>0</v>
      </c>
      <c r="AL134" s="239">
        <f>IF(($AJ$126='1.参数设置'!$F$12)*('15.土地增值税'!AL$128='1.参数设置'!$G$12),$C134,0)</f>
        <v>0</v>
      </c>
      <c r="AM134" s="240">
        <f>IF(($AJ$126='1.参数设置'!$F$12)*('15.土地增值税'!AM$128='1.参数设置'!$G$12),$C134,0)</f>
        <v>0</v>
      </c>
      <c r="AN134" s="238">
        <f>IF(($AN$126='1.参数设置'!$F$12)*('15.土地增值税'!AN$128='1.参数设置'!$G$12),$C134,0)</f>
        <v>0</v>
      </c>
      <c r="AO134" s="239">
        <f>IF(($AN$126='1.参数设置'!$F$12)*('15.土地增值税'!AO$128='1.参数设置'!$G$12),$C134,0)</f>
        <v>0</v>
      </c>
      <c r="AP134" s="239">
        <f>IF(($AN$126='1.参数设置'!$F$12)*('15.土地增值税'!AP$128='1.参数设置'!$G$12),$C134,0)</f>
        <v>0</v>
      </c>
      <c r="AQ134" s="240">
        <f>IF(($AN$126='1.参数设置'!$F$12)*('15.土地增值税'!AQ$128='1.参数设置'!$G$12),$C134,0)</f>
        <v>0</v>
      </c>
      <c r="AR134" s="238">
        <f>IF(($AR$126='1.参数设置'!$F$12)*('15.土地增值税'!AR$128='1.参数设置'!$G$12),$C134,0)</f>
        <v>0</v>
      </c>
      <c r="AS134" s="239">
        <f>IF(($AR$126='1.参数设置'!$F$12)*('15.土地增值税'!AS$128='1.参数设置'!$G$12),$C134,0)</f>
        <v>0</v>
      </c>
      <c r="AT134" s="239">
        <f>IF(($AR$126='1.参数设置'!$F$12)*('15.土地增值税'!AT$128='1.参数设置'!$G$12),$C134,0)</f>
        <v>0</v>
      </c>
      <c r="AU134" s="240">
        <f>IF(($AR$126='1.参数设置'!$F$12)*('15.土地增值税'!AU$128='1.参数设置'!$G$12),$C134,0)</f>
        <v>0</v>
      </c>
      <c r="AV134" s="255">
        <f>IF(ISERROR(MATCH('1.参数设置'!$F12,$D$126:$AU$126,0)),0,MATCH('1.参数设置'!$F12,$D$126:$AU$126,0))</f>
        <v>0</v>
      </c>
    </row>
    <row r="135" spans="1:48" ht="14.25" customHeight="1">
      <c r="A135" s="78"/>
      <c r="B135" s="241" t="s">
        <v>553</v>
      </c>
      <c r="C135" s="242">
        <f ca="1">SUM(C118:C123,C129:C134)-'7.现金流量表'!C17-'7.现金流量表'!C23</f>
        <v>0</v>
      </c>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row>
    <row r="137" spans="1:48">
      <c r="Q137" s="251"/>
    </row>
    <row r="138" spans="1:48" ht="18.75" customHeight="1">
      <c r="A138" s="141" t="s">
        <v>939</v>
      </c>
      <c r="N138" s="251"/>
      <c r="Q138" s="251"/>
    </row>
    <row r="139" spans="1:48" ht="17.25" customHeight="1">
      <c r="A139" s="188" t="s">
        <v>598</v>
      </c>
      <c r="B139" s="161" t="s">
        <v>940</v>
      </c>
      <c r="C139" s="243" t="s">
        <v>251</v>
      </c>
      <c r="D139" s="164" t="str">
        <f>'8.项目规划指标表'!$B5</f>
        <v>高层</v>
      </c>
      <c r="E139" s="164" t="str">
        <f>'8.项目规划指标表'!$B6</f>
        <v>商铺</v>
      </c>
      <c r="F139" s="164" t="str">
        <f>'8.项目规划指标表'!$B7</f>
        <v>回迁商业</v>
      </c>
      <c r="G139" s="164">
        <f>'8.项目规划指标表'!$B8</f>
        <v>0</v>
      </c>
      <c r="H139" s="164">
        <f>'8.项目规划指标表'!$B9</f>
        <v>0</v>
      </c>
      <c r="I139" s="164">
        <f>'8.项目规划指标表'!$B10</f>
        <v>0</v>
      </c>
      <c r="J139" s="164">
        <f>'8.项目规划指标表'!$B11</f>
        <v>0</v>
      </c>
      <c r="K139" s="164">
        <f>'8.项目规划指标表'!$B12</f>
        <v>0</v>
      </c>
      <c r="L139" s="164">
        <f>'8.项目规划指标表'!$B13</f>
        <v>0</v>
      </c>
      <c r="M139" s="164" t="str">
        <f>'8.项目规划指标表'!$B14</f>
        <v>自持物业</v>
      </c>
      <c r="N139" s="164" t="str">
        <f>'8.项目规划指标表'!$B18</f>
        <v>有产权车库(个)</v>
      </c>
      <c r="O139" s="187" t="str">
        <f>'8.项目规划指标表'!$B19</f>
        <v>无产权车库(个)</v>
      </c>
    </row>
    <row r="140" spans="1:48" ht="17.25" customHeight="1">
      <c r="A140" s="201" t="s">
        <v>251</v>
      </c>
      <c r="B140" s="161"/>
      <c r="C140" s="243"/>
      <c r="D140" s="164"/>
      <c r="E140" s="164"/>
      <c r="F140" s="164"/>
      <c r="G140" s="164"/>
      <c r="H140" s="164"/>
      <c r="I140" s="164"/>
      <c r="J140" s="164"/>
      <c r="K140" s="164"/>
      <c r="L140" s="164"/>
      <c r="M140" s="164"/>
      <c r="N140" s="164"/>
      <c r="O140" s="252"/>
    </row>
    <row r="141" spans="1:48" ht="17.25" customHeight="1">
      <c r="A141" s="225" t="s">
        <v>19</v>
      </c>
      <c r="B141" s="237" t="str">
        <f t="shared" ref="B141:B146" si="131">B129</f>
        <v>所有产品</v>
      </c>
      <c r="C141" s="244">
        <f>SUM(D141:O141)</f>
        <v>240.00000000000182</v>
      </c>
      <c r="D141" s="245">
        <f>'12.土地成本表'!$R$25</f>
        <v>155.4700080892726</v>
      </c>
      <c r="E141" s="245">
        <f>'12.土地成本表'!$R$26</f>
        <v>84.529991910729223</v>
      </c>
      <c r="F141" s="245">
        <f>'12.土地成本表'!$R$27</f>
        <v>0</v>
      </c>
      <c r="G141" s="245">
        <f>'12.土地成本表'!$R$28</f>
        <v>0</v>
      </c>
      <c r="H141" s="245">
        <f>'12.土地成本表'!$R$29</f>
        <v>0</v>
      </c>
      <c r="I141" s="245">
        <f>'12.土地成本表'!$R$30</f>
        <v>0</v>
      </c>
      <c r="J141" s="245">
        <f>'12.土地成本表'!$R$31</f>
        <v>0</v>
      </c>
      <c r="K141" s="245">
        <f>'12.土地成本表'!$R$32</f>
        <v>0</v>
      </c>
      <c r="L141" s="245">
        <f>'12.土地成本表'!$R$33</f>
        <v>0</v>
      </c>
      <c r="M141" s="90"/>
      <c r="N141" s="245">
        <f>'12.土地成本表'!$R$35</f>
        <v>0</v>
      </c>
      <c r="O141" s="253">
        <f>'12.土地成本表'!$R$36</f>
        <v>0</v>
      </c>
    </row>
    <row r="142" spans="1:48" ht="17.25" customHeight="1">
      <c r="A142" s="225" t="s">
        <v>20</v>
      </c>
      <c r="B142" s="237" t="str">
        <f t="shared" si="131"/>
        <v>所有产品</v>
      </c>
      <c r="C142" s="244">
        <f t="shared" ref="C142:C146" si="132">SUM(D142:O142)</f>
        <v>0</v>
      </c>
      <c r="D142" s="245">
        <f>'12.土地成本表'!$S$25</f>
        <v>0</v>
      </c>
      <c r="E142" s="245">
        <f>'12.土地成本表'!$S$26</f>
        <v>0</v>
      </c>
      <c r="F142" s="245">
        <f>'12.土地成本表'!$S$27</f>
        <v>0</v>
      </c>
      <c r="G142" s="245">
        <f>'12.土地成本表'!$S$28</f>
        <v>0</v>
      </c>
      <c r="H142" s="245">
        <f>'12.土地成本表'!$S$29</f>
        <v>0</v>
      </c>
      <c r="I142" s="245">
        <f>'12.土地成本表'!$S$30</f>
        <v>0</v>
      </c>
      <c r="J142" s="245">
        <f>'12.土地成本表'!$S$31</f>
        <v>0</v>
      </c>
      <c r="K142" s="245">
        <f>'12.土地成本表'!$S$32</f>
        <v>0</v>
      </c>
      <c r="L142" s="245">
        <f>'12.土地成本表'!$S$33</f>
        <v>0</v>
      </c>
      <c r="M142" s="90"/>
      <c r="N142" s="245">
        <f>'12.土地成本表'!$S$35</f>
        <v>0</v>
      </c>
      <c r="O142" s="253">
        <f>'12.土地成本表'!$S$36</f>
        <v>0</v>
      </c>
    </row>
    <row r="143" spans="1:48" ht="17.25" customHeight="1">
      <c r="A143" s="225" t="s">
        <v>21</v>
      </c>
      <c r="B143" s="237" t="str">
        <f t="shared" si="131"/>
        <v>所有产品</v>
      </c>
      <c r="C143" s="244">
        <f t="shared" si="132"/>
        <v>0</v>
      </c>
      <c r="D143" s="245">
        <f>'12.土地成本表'!$T$25</f>
        <v>0</v>
      </c>
      <c r="E143" s="245">
        <f>'12.土地成本表'!$T$26</f>
        <v>0</v>
      </c>
      <c r="F143" s="245">
        <f>'12.土地成本表'!$T$27</f>
        <v>0</v>
      </c>
      <c r="G143" s="245">
        <f>'12.土地成本表'!$T$28</f>
        <v>0</v>
      </c>
      <c r="H143" s="245">
        <f>'12.土地成本表'!$T$29</f>
        <v>0</v>
      </c>
      <c r="I143" s="245">
        <f>'12.土地成本表'!$T$30</f>
        <v>0</v>
      </c>
      <c r="J143" s="245">
        <f>'12.土地成本表'!$T$31</f>
        <v>0</v>
      </c>
      <c r="K143" s="245">
        <f>'12.土地成本表'!$T$32</f>
        <v>0</v>
      </c>
      <c r="L143" s="245">
        <f>'12.土地成本表'!$T$33</f>
        <v>0</v>
      </c>
      <c r="M143" s="90"/>
      <c r="N143" s="245">
        <f>'12.土地成本表'!$T$35</f>
        <v>0</v>
      </c>
      <c r="O143" s="253">
        <f>'12.土地成本表'!$T$36</f>
        <v>0</v>
      </c>
    </row>
    <row r="144" spans="1:48" ht="17.25" customHeight="1">
      <c r="A144" s="225" t="s">
        <v>22</v>
      </c>
      <c r="B144" s="237" t="str">
        <f t="shared" si="131"/>
        <v>所有产品</v>
      </c>
      <c r="C144" s="244">
        <f t="shared" si="132"/>
        <v>0</v>
      </c>
      <c r="D144" s="245">
        <f>'12.土地成本表'!$U$25</f>
        <v>0</v>
      </c>
      <c r="E144" s="245">
        <f>'12.土地成本表'!$U$26</f>
        <v>0</v>
      </c>
      <c r="F144" s="245">
        <f>'12.土地成本表'!$U$27</f>
        <v>0</v>
      </c>
      <c r="G144" s="245">
        <f>'12.土地成本表'!$U$28</f>
        <v>0</v>
      </c>
      <c r="H144" s="245">
        <f>'12.土地成本表'!$U$29</f>
        <v>0</v>
      </c>
      <c r="I144" s="245">
        <f>'12.土地成本表'!$U$30</f>
        <v>0</v>
      </c>
      <c r="J144" s="245">
        <f>'12.土地成本表'!$U$31</f>
        <v>0</v>
      </c>
      <c r="K144" s="245">
        <f>'12.土地成本表'!$U$32</f>
        <v>0</v>
      </c>
      <c r="L144" s="245">
        <f>'12.土地成本表'!$U$33</f>
        <v>0</v>
      </c>
      <c r="M144" s="90"/>
      <c r="N144" s="245">
        <f>'12.土地成本表'!$U$35</f>
        <v>0</v>
      </c>
      <c r="O144" s="253">
        <f>'12.土地成本表'!$U$36</f>
        <v>0</v>
      </c>
    </row>
    <row r="145" spans="1:15" ht="17.25" customHeight="1">
      <c r="A145" s="225" t="s">
        <v>23</v>
      </c>
      <c r="B145" s="237" t="str">
        <f t="shared" si="131"/>
        <v>所有产品</v>
      </c>
      <c r="C145" s="244">
        <f t="shared" si="132"/>
        <v>0</v>
      </c>
      <c r="D145" s="245">
        <f>'12.土地成本表'!$V$25</f>
        <v>0</v>
      </c>
      <c r="E145" s="245">
        <f>'12.土地成本表'!$V$26</f>
        <v>0</v>
      </c>
      <c r="F145" s="245">
        <f>'12.土地成本表'!$V$27</f>
        <v>0</v>
      </c>
      <c r="G145" s="245">
        <f>'12.土地成本表'!$V$28</f>
        <v>0</v>
      </c>
      <c r="H145" s="245">
        <f>'12.土地成本表'!$V$29</f>
        <v>0</v>
      </c>
      <c r="I145" s="245">
        <f>'12.土地成本表'!$V$30</f>
        <v>0</v>
      </c>
      <c r="J145" s="245">
        <f>'12.土地成本表'!$V$31</f>
        <v>0</v>
      </c>
      <c r="K145" s="245">
        <f>'12.土地成本表'!$V$32</f>
        <v>0</v>
      </c>
      <c r="L145" s="245">
        <f>'12.土地成本表'!$V$33</f>
        <v>0</v>
      </c>
      <c r="M145" s="90"/>
      <c r="N145" s="245">
        <f>'12.土地成本表'!$V$35</f>
        <v>0</v>
      </c>
      <c r="O145" s="253">
        <f>'12.土地成本表'!$V$36</f>
        <v>0</v>
      </c>
    </row>
    <row r="146" spans="1:15" ht="17.25" customHeight="1">
      <c r="A146" s="225" t="s">
        <v>24</v>
      </c>
      <c r="B146" s="237" t="str">
        <f t="shared" si="131"/>
        <v>所有产品</v>
      </c>
      <c r="C146" s="244">
        <f t="shared" si="132"/>
        <v>0</v>
      </c>
      <c r="D146" s="245">
        <f>'12.土地成本表'!$W$25</f>
        <v>0</v>
      </c>
      <c r="E146" s="245">
        <f>'12.土地成本表'!$W$26</f>
        <v>0</v>
      </c>
      <c r="F146" s="245">
        <f>'12.土地成本表'!$W$27</f>
        <v>0</v>
      </c>
      <c r="G146" s="245">
        <f>'12.土地成本表'!$W$28</f>
        <v>0</v>
      </c>
      <c r="H146" s="245">
        <f>'12.土地成本表'!$W$29</f>
        <v>0</v>
      </c>
      <c r="I146" s="245">
        <f>'12.土地成本表'!$W$30</f>
        <v>0</v>
      </c>
      <c r="J146" s="245">
        <f>'12.土地成本表'!$W$31</f>
        <v>0</v>
      </c>
      <c r="K146" s="245">
        <f>'12.土地成本表'!$W$32</f>
        <v>0</v>
      </c>
      <c r="L146" s="245">
        <f>'12.土地成本表'!$W$33</f>
        <v>0</v>
      </c>
      <c r="M146" s="90"/>
      <c r="N146" s="245">
        <f>'12.土地成本表'!$W$35</f>
        <v>0</v>
      </c>
      <c r="O146" s="253">
        <f>'12.土地成本表'!$W$36</f>
        <v>0</v>
      </c>
    </row>
    <row r="148" spans="1:15">
      <c r="A148" s="246" t="s">
        <v>941</v>
      </c>
      <c r="B148" s="247"/>
    </row>
    <row r="149" spans="1:15">
      <c r="A149" s="188" t="str">
        <f>A139</f>
        <v>分期</v>
      </c>
      <c r="B149" s="188" t="str">
        <f t="shared" ref="B149:O149" si="133">B139</f>
        <v>分类</v>
      </c>
      <c r="C149" s="188" t="str">
        <f t="shared" si="133"/>
        <v>合计</v>
      </c>
      <c r="D149" s="188" t="str">
        <f t="shared" si="133"/>
        <v>高层</v>
      </c>
      <c r="E149" s="188" t="str">
        <f t="shared" si="133"/>
        <v>商铺</v>
      </c>
      <c r="F149" s="188" t="str">
        <f t="shared" si="133"/>
        <v>回迁商业</v>
      </c>
      <c r="G149" s="188">
        <f t="shared" si="133"/>
        <v>0</v>
      </c>
      <c r="H149" s="188">
        <f t="shared" si="133"/>
        <v>0</v>
      </c>
      <c r="I149" s="188">
        <f t="shared" si="133"/>
        <v>0</v>
      </c>
      <c r="J149" s="188">
        <f t="shared" si="133"/>
        <v>0</v>
      </c>
      <c r="K149" s="188">
        <f t="shared" si="133"/>
        <v>0</v>
      </c>
      <c r="L149" s="188">
        <f t="shared" si="133"/>
        <v>0</v>
      </c>
      <c r="M149" s="188" t="str">
        <f t="shared" si="133"/>
        <v>自持物业</v>
      </c>
      <c r="N149" s="188" t="str">
        <f t="shared" si="133"/>
        <v>有产权车库(个)</v>
      </c>
      <c r="O149" s="188" t="str">
        <f t="shared" si="133"/>
        <v>无产权车库(个)</v>
      </c>
    </row>
    <row r="150" spans="1:15" ht="18" customHeight="1">
      <c r="A150" s="248" t="str">
        <f>A141</f>
        <v>一期</v>
      </c>
      <c r="B150" s="248" t="str">
        <f>B141</f>
        <v>所有产品</v>
      </c>
      <c r="C150" s="249">
        <f t="shared" ref="C150:C155" si="134">SUM(D150:O150)</f>
        <v>0</v>
      </c>
      <c r="D150" s="250"/>
      <c r="E150" s="250"/>
      <c r="F150" s="250"/>
      <c r="G150" s="250"/>
      <c r="H150" s="250"/>
      <c r="I150" s="250"/>
      <c r="J150" s="250"/>
      <c r="K150" s="250"/>
      <c r="L150" s="250"/>
      <c r="M150" s="90"/>
      <c r="N150" s="250"/>
      <c r="O150" s="250"/>
    </row>
    <row r="151" spans="1:15" ht="18" customHeight="1">
      <c r="A151" s="248" t="str">
        <f t="shared" ref="A151:B155" si="135">A142</f>
        <v>二期</v>
      </c>
      <c r="B151" s="248" t="str">
        <f t="shared" si="135"/>
        <v>所有产品</v>
      </c>
      <c r="C151" s="249">
        <f t="shared" si="134"/>
        <v>0</v>
      </c>
      <c r="D151" s="250"/>
      <c r="E151" s="250"/>
      <c r="F151" s="250"/>
      <c r="G151" s="250"/>
      <c r="H151" s="250"/>
      <c r="I151" s="250"/>
      <c r="J151" s="250"/>
      <c r="K151" s="250"/>
      <c r="L151" s="250"/>
      <c r="M151" s="90"/>
      <c r="N151" s="250"/>
      <c r="O151" s="250"/>
    </row>
    <row r="152" spans="1:15" ht="18" customHeight="1">
      <c r="A152" s="248" t="str">
        <f t="shared" si="135"/>
        <v>三期</v>
      </c>
      <c r="B152" s="248" t="str">
        <f t="shared" si="135"/>
        <v>所有产品</v>
      </c>
      <c r="C152" s="249">
        <f t="shared" si="134"/>
        <v>0</v>
      </c>
      <c r="D152" s="250"/>
      <c r="E152" s="250"/>
      <c r="F152" s="250"/>
      <c r="G152" s="250"/>
      <c r="H152" s="250"/>
      <c r="I152" s="250"/>
      <c r="J152" s="250"/>
      <c r="K152" s="250"/>
      <c r="L152" s="250"/>
      <c r="M152" s="90"/>
      <c r="N152" s="250"/>
      <c r="O152" s="250"/>
    </row>
    <row r="153" spans="1:15" ht="18" customHeight="1">
      <c r="A153" s="248" t="str">
        <f t="shared" si="135"/>
        <v>四期</v>
      </c>
      <c r="B153" s="248" t="str">
        <f t="shared" si="135"/>
        <v>所有产品</v>
      </c>
      <c r="C153" s="249">
        <f t="shared" si="134"/>
        <v>0</v>
      </c>
      <c r="D153" s="250"/>
      <c r="E153" s="250"/>
      <c r="F153" s="250"/>
      <c r="G153" s="250"/>
      <c r="H153" s="250"/>
      <c r="I153" s="250"/>
      <c r="J153" s="250"/>
      <c r="K153" s="250"/>
      <c r="L153" s="250"/>
      <c r="M153" s="90"/>
      <c r="N153" s="250"/>
      <c r="O153" s="250"/>
    </row>
    <row r="154" spans="1:15" ht="18" customHeight="1">
      <c r="A154" s="248" t="str">
        <f t="shared" si="135"/>
        <v>五期</v>
      </c>
      <c r="B154" s="248" t="str">
        <f t="shared" si="135"/>
        <v>所有产品</v>
      </c>
      <c r="C154" s="249">
        <f t="shared" si="134"/>
        <v>0</v>
      </c>
      <c r="D154" s="250"/>
      <c r="E154" s="250"/>
      <c r="F154" s="250"/>
      <c r="G154" s="250"/>
      <c r="H154" s="250"/>
      <c r="I154" s="250"/>
      <c r="J154" s="250"/>
      <c r="K154" s="250"/>
      <c r="L154" s="250"/>
      <c r="M154" s="90"/>
      <c r="N154" s="250"/>
      <c r="O154" s="250"/>
    </row>
    <row r="155" spans="1:15" ht="18" customHeight="1">
      <c r="A155" s="248" t="str">
        <f t="shared" si="135"/>
        <v>六期</v>
      </c>
      <c r="B155" s="248" t="str">
        <f t="shared" si="135"/>
        <v>所有产品</v>
      </c>
      <c r="C155" s="249">
        <f t="shared" si="134"/>
        <v>0</v>
      </c>
      <c r="D155" s="250"/>
      <c r="E155" s="250"/>
      <c r="F155" s="250"/>
      <c r="G155" s="250"/>
      <c r="H155" s="250"/>
      <c r="I155" s="250"/>
      <c r="J155" s="250"/>
      <c r="K155" s="250"/>
      <c r="L155" s="250"/>
      <c r="M155" s="90"/>
      <c r="N155" s="250"/>
      <c r="O155" s="250"/>
    </row>
    <row r="158" spans="1:15">
      <c r="A158" s="246" t="s">
        <v>942</v>
      </c>
      <c r="B158" s="247"/>
      <c r="D158" s="78"/>
      <c r="E158" s="78"/>
      <c r="F158" s="78"/>
      <c r="G158" s="78"/>
      <c r="H158" s="78"/>
      <c r="I158" s="78"/>
      <c r="J158" s="78"/>
      <c r="K158" s="78"/>
      <c r="L158" s="78"/>
      <c r="M158" s="78"/>
      <c r="N158" s="78"/>
      <c r="O158" s="78"/>
    </row>
    <row r="159" spans="1:15">
      <c r="A159" s="188" t="str">
        <f t="shared" ref="A159:O159" si="136">A149</f>
        <v>分期</v>
      </c>
      <c r="B159" s="188" t="str">
        <f t="shared" si="136"/>
        <v>分类</v>
      </c>
      <c r="C159" s="188" t="str">
        <f t="shared" si="136"/>
        <v>合计</v>
      </c>
      <c r="D159" s="188" t="str">
        <f t="shared" si="136"/>
        <v>高层</v>
      </c>
      <c r="E159" s="188" t="str">
        <f t="shared" si="136"/>
        <v>商铺</v>
      </c>
      <c r="F159" s="188" t="str">
        <f t="shared" si="136"/>
        <v>回迁商业</v>
      </c>
      <c r="G159" s="188">
        <f t="shared" si="136"/>
        <v>0</v>
      </c>
      <c r="H159" s="188">
        <f t="shared" si="136"/>
        <v>0</v>
      </c>
      <c r="I159" s="188">
        <f t="shared" si="136"/>
        <v>0</v>
      </c>
      <c r="J159" s="188">
        <f t="shared" si="136"/>
        <v>0</v>
      </c>
      <c r="K159" s="188">
        <f t="shared" si="136"/>
        <v>0</v>
      </c>
      <c r="L159" s="188">
        <f t="shared" si="136"/>
        <v>0</v>
      </c>
      <c r="M159" s="188" t="str">
        <f t="shared" si="136"/>
        <v>自持物业</v>
      </c>
      <c r="N159" s="188" t="str">
        <f t="shared" si="136"/>
        <v>有产权车库(个)</v>
      </c>
      <c r="O159" s="188" t="str">
        <f t="shared" si="136"/>
        <v>无产权车库(个)</v>
      </c>
    </row>
    <row r="160" spans="1:15" ht="16.5" customHeight="1">
      <c r="A160" s="248" t="str">
        <f>A150</f>
        <v>一期</v>
      </c>
      <c r="B160" s="248" t="str">
        <f>B150</f>
        <v>所有产品</v>
      </c>
      <c r="C160" s="249">
        <f t="shared" ref="C160:C165" si="137">SUM(D160:O160)</f>
        <v>0</v>
      </c>
      <c r="D160" s="250"/>
      <c r="E160" s="250"/>
      <c r="F160" s="250"/>
      <c r="G160" s="250"/>
      <c r="H160" s="250"/>
      <c r="I160" s="250"/>
      <c r="J160" s="250"/>
      <c r="K160" s="250"/>
      <c r="L160" s="250"/>
      <c r="M160" s="90"/>
      <c r="N160" s="250"/>
      <c r="O160" s="250"/>
    </row>
    <row r="161" spans="1:15" ht="16.5" customHeight="1">
      <c r="A161" s="248" t="str">
        <f t="shared" ref="A161:B164" si="138">A151</f>
        <v>二期</v>
      </c>
      <c r="B161" s="248" t="str">
        <f t="shared" si="138"/>
        <v>所有产品</v>
      </c>
      <c r="C161" s="249">
        <f t="shared" si="137"/>
        <v>0</v>
      </c>
      <c r="D161" s="250"/>
      <c r="E161" s="250"/>
      <c r="F161" s="250"/>
      <c r="G161" s="250"/>
      <c r="H161" s="250"/>
      <c r="I161" s="250"/>
      <c r="J161" s="250"/>
      <c r="K161" s="250"/>
      <c r="L161" s="250"/>
      <c r="M161" s="90"/>
      <c r="N161" s="250"/>
      <c r="O161" s="250"/>
    </row>
    <row r="162" spans="1:15" ht="16.5" customHeight="1">
      <c r="A162" s="248" t="str">
        <f t="shared" si="138"/>
        <v>三期</v>
      </c>
      <c r="B162" s="248" t="str">
        <f t="shared" si="138"/>
        <v>所有产品</v>
      </c>
      <c r="C162" s="249">
        <f t="shared" si="137"/>
        <v>0</v>
      </c>
      <c r="D162" s="250"/>
      <c r="E162" s="250"/>
      <c r="F162" s="250"/>
      <c r="G162" s="250"/>
      <c r="H162" s="250"/>
      <c r="I162" s="250"/>
      <c r="J162" s="250"/>
      <c r="K162" s="250"/>
      <c r="L162" s="250"/>
      <c r="M162" s="90"/>
      <c r="N162" s="250"/>
      <c r="O162" s="250"/>
    </row>
    <row r="163" spans="1:15" ht="16.5" customHeight="1">
      <c r="A163" s="248" t="str">
        <f t="shared" si="138"/>
        <v>四期</v>
      </c>
      <c r="B163" s="248" t="str">
        <f t="shared" si="138"/>
        <v>所有产品</v>
      </c>
      <c r="C163" s="249">
        <f t="shared" si="137"/>
        <v>0</v>
      </c>
      <c r="D163" s="250"/>
      <c r="E163" s="250"/>
      <c r="F163" s="250"/>
      <c r="G163" s="250"/>
      <c r="H163" s="250"/>
      <c r="I163" s="250"/>
      <c r="J163" s="250"/>
      <c r="K163" s="250"/>
      <c r="L163" s="250"/>
      <c r="M163" s="90"/>
      <c r="N163" s="250"/>
      <c r="O163" s="250"/>
    </row>
    <row r="164" spans="1:15" ht="16.5" customHeight="1">
      <c r="A164" s="248" t="str">
        <f t="shared" si="138"/>
        <v>五期</v>
      </c>
      <c r="B164" s="248" t="str">
        <f t="shared" si="138"/>
        <v>所有产品</v>
      </c>
      <c r="C164" s="249">
        <f t="shared" si="137"/>
        <v>0</v>
      </c>
      <c r="D164" s="250"/>
      <c r="E164" s="250"/>
      <c r="F164" s="250"/>
      <c r="G164" s="250"/>
      <c r="H164" s="250"/>
      <c r="I164" s="250"/>
      <c r="J164" s="250"/>
      <c r="K164" s="250"/>
      <c r="L164" s="250"/>
      <c r="M164" s="90"/>
      <c r="N164" s="250"/>
      <c r="O164" s="250"/>
    </row>
    <row r="165" spans="1:15" ht="16.5" customHeight="1">
      <c r="A165" s="248" t="str">
        <f>A155</f>
        <v>六期</v>
      </c>
      <c r="B165" s="248" t="str">
        <f t="shared" ref="B165" si="139">B155</f>
        <v>所有产品</v>
      </c>
      <c r="C165" s="249">
        <f t="shared" si="137"/>
        <v>0</v>
      </c>
      <c r="D165" s="250"/>
      <c r="E165" s="250"/>
      <c r="F165" s="250"/>
      <c r="G165" s="250"/>
      <c r="H165" s="250"/>
      <c r="I165" s="250"/>
      <c r="J165" s="250"/>
      <c r="K165" s="250"/>
      <c r="L165" s="250"/>
      <c r="M165" s="90"/>
      <c r="N165" s="250"/>
      <c r="O165" s="250"/>
    </row>
    <row r="168" spans="1:15">
      <c r="D168" s="93"/>
      <c r="F168" s="81" t="s">
        <v>996</v>
      </c>
      <c r="I168" s="81" t="s">
        <v>997</v>
      </c>
      <c r="K168" s="81" t="s">
        <v>998</v>
      </c>
    </row>
    <row r="169" spans="1:15">
      <c r="B169" s="93"/>
      <c r="D169" s="93"/>
      <c r="F169" s="77" t="s">
        <v>596</v>
      </c>
      <c r="I169" s="77" t="s">
        <v>596</v>
      </c>
    </row>
    <row r="170" spans="1:15">
      <c r="B170" s="93"/>
      <c r="D170" s="93"/>
      <c r="E170" s="77" t="s">
        <v>183</v>
      </c>
      <c r="F170" s="77" t="s">
        <v>599</v>
      </c>
      <c r="H170" s="77" t="s">
        <v>183</v>
      </c>
      <c r="I170" s="77" t="s">
        <v>599</v>
      </c>
    </row>
    <row r="171" spans="1:15">
      <c r="B171" s="93"/>
      <c r="D171" s="93"/>
      <c r="E171" s="77" t="s">
        <v>454</v>
      </c>
      <c r="F171" s="77">
        <v>92507.703327272728</v>
      </c>
      <c r="H171" s="77" t="s">
        <v>454</v>
      </c>
      <c r="I171" s="77">
        <v>92741.850330181798</v>
      </c>
      <c r="K171" s="77">
        <f>F171-I171</f>
        <v>-234.14700290907058</v>
      </c>
    </row>
    <row r="172" spans="1:15">
      <c r="B172" s="93"/>
      <c r="D172" s="93"/>
      <c r="E172" s="77" t="s">
        <v>368</v>
      </c>
      <c r="F172" s="77">
        <v>20834.771314965787</v>
      </c>
      <c r="H172" s="77" t="s">
        <v>368</v>
      </c>
      <c r="I172" s="77">
        <v>19930.239814965786</v>
      </c>
      <c r="K172" s="77">
        <f t="shared" ref="K172:K185" si="140">F172-I172</f>
        <v>904.53150000000096</v>
      </c>
    </row>
    <row r="173" spans="1:15">
      <c r="B173" s="93"/>
      <c r="D173" s="93"/>
      <c r="E173" s="77" t="s">
        <v>578</v>
      </c>
      <c r="F173" s="77">
        <v>28554.886510068965</v>
      </c>
      <c r="H173" s="77" t="s">
        <v>578</v>
      </c>
      <c r="I173" s="77">
        <v>29874.314857291476</v>
      </c>
      <c r="K173" s="77">
        <f t="shared" si="140"/>
        <v>-1319.4283472225106</v>
      </c>
    </row>
    <row r="174" spans="1:15">
      <c r="B174" s="93"/>
      <c r="D174" s="93"/>
      <c r="E174" s="77" t="s">
        <v>602</v>
      </c>
      <c r="F174" s="77">
        <v>568.07665970545565</v>
      </c>
      <c r="H174" s="77" t="s">
        <v>602</v>
      </c>
      <c r="I174" s="77">
        <v>564.47052652770992</v>
      </c>
      <c r="K174" s="77">
        <f t="shared" si="140"/>
        <v>3.6061331777457326</v>
      </c>
    </row>
    <row r="175" spans="1:15">
      <c r="B175" s="93"/>
      <c r="D175" s="93"/>
      <c r="E175" s="77" t="s">
        <v>373</v>
      </c>
      <c r="F175" s="77">
        <v>2469.4828912517382</v>
      </c>
      <c r="H175" s="77" t="s">
        <v>373</v>
      </c>
      <c r="I175" s="77">
        <v>2490.2277336128627</v>
      </c>
      <c r="K175" s="77">
        <f t="shared" si="140"/>
        <v>-20.744842361124483</v>
      </c>
    </row>
    <row r="176" spans="1:15">
      <c r="B176" s="93"/>
      <c r="D176" s="93"/>
      <c r="E176" s="77" t="s">
        <v>603</v>
      </c>
      <c r="F176" s="77">
        <v>2469.4828912517382</v>
      </c>
      <c r="H176" s="77" t="s">
        <v>603</v>
      </c>
      <c r="I176" s="77">
        <v>2490.2277336128627</v>
      </c>
      <c r="K176" s="77">
        <f t="shared" si="140"/>
        <v>-20.744842361124483</v>
      </c>
    </row>
    <row r="177" spans="2:11">
      <c r="B177" s="93"/>
      <c r="D177" s="93"/>
      <c r="E177" s="77" t="s">
        <v>604</v>
      </c>
      <c r="F177" s="77">
        <v>9877.931565006953</v>
      </c>
      <c r="H177" s="77" t="s">
        <v>604</v>
      </c>
      <c r="I177" s="77">
        <v>9960.9109344514509</v>
      </c>
      <c r="K177" s="77">
        <f t="shared" si="140"/>
        <v>-82.979369444497934</v>
      </c>
    </row>
    <row r="178" spans="2:11">
      <c r="B178" s="93"/>
      <c r="D178" s="93"/>
      <c r="E178" s="77" t="s">
        <v>605</v>
      </c>
      <c r="F178" s="77">
        <v>64774.631832250627</v>
      </c>
      <c r="H178" s="77" t="s">
        <v>605</v>
      </c>
      <c r="I178" s="77">
        <v>65310.391600462157</v>
      </c>
      <c r="K178" s="77">
        <f t="shared" si="140"/>
        <v>-535.75976821153017</v>
      </c>
    </row>
    <row r="179" spans="2:11">
      <c r="B179" s="93"/>
      <c r="D179" s="93"/>
      <c r="E179" s="77" t="s">
        <v>419</v>
      </c>
      <c r="F179" s="77">
        <v>27733.071495022097</v>
      </c>
      <c r="H179" s="77" t="s">
        <v>419</v>
      </c>
      <c r="I179" s="77">
        <v>27431.458729719638</v>
      </c>
      <c r="K179" s="77">
        <f t="shared" si="140"/>
        <v>301.61276530245959</v>
      </c>
    </row>
    <row r="180" spans="2:11">
      <c r="D180" s="93"/>
      <c r="E180" s="77" t="s">
        <v>420</v>
      </c>
      <c r="F180" s="77">
        <v>0.42814711115369219</v>
      </c>
      <c r="H180" s="77" t="s">
        <v>420</v>
      </c>
      <c r="I180" s="77">
        <v>0.42001675472308031</v>
      </c>
      <c r="K180" s="77">
        <f t="shared" si="140"/>
        <v>8.1303564306118847E-3</v>
      </c>
    </row>
    <row r="181" spans="2:11">
      <c r="E181" s="77" t="s">
        <v>606</v>
      </c>
      <c r="F181" s="77" t="s">
        <v>607</v>
      </c>
      <c r="H181" s="77" t="s">
        <v>606</v>
      </c>
      <c r="I181" s="77" t="s">
        <v>607</v>
      </c>
    </row>
    <row r="182" spans="2:11">
      <c r="E182" s="77" t="s">
        <v>608</v>
      </c>
      <c r="F182" s="77" t="s">
        <v>607</v>
      </c>
      <c r="H182" s="77" t="s">
        <v>608</v>
      </c>
      <c r="I182" s="77" t="s">
        <v>607</v>
      </c>
    </row>
    <row r="183" spans="2:11">
      <c r="E183" s="77" t="s">
        <v>937</v>
      </c>
      <c r="F183" s="77">
        <v>7418.2393920881805</v>
      </c>
      <c r="H183" s="77" t="s">
        <v>937</v>
      </c>
      <c r="I183" s="77">
        <v>6337.5930777668018</v>
      </c>
      <c r="K183" s="77">
        <f t="shared" si="140"/>
        <v>1080.6463143213787</v>
      </c>
    </row>
    <row r="184" spans="2:11">
      <c r="E184" s="77" t="s">
        <v>610</v>
      </c>
      <c r="F184" s="77">
        <v>1898.4326356363636</v>
      </c>
      <c r="H184" s="77" t="s">
        <v>610</v>
      </c>
      <c r="I184" s="77">
        <v>1891.8445411490907</v>
      </c>
      <c r="K184" s="77">
        <f t="shared" si="140"/>
        <v>6.5880944872728833</v>
      </c>
    </row>
    <row r="185" spans="2:11">
      <c r="E185" s="77" t="s">
        <v>609</v>
      </c>
      <c r="F185" s="77">
        <v>9316.672027724544</v>
      </c>
      <c r="H185" s="77" t="s">
        <v>609</v>
      </c>
      <c r="I185" s="77">
        <v>8229.4376189158938</v>
      </c>
      <c r="K185" s="77">
        <f t="shared" si="140"/>
        <v>1087.2344088086502</v>
      </c>
    </row>
  </sheetData>
  <sheetProtection formatCells="0" formatColumns="0" formatRows="0" autoFilter="0"/>
  <protectedRanges>
    <protectedRange sqref="E5:F5 D23:O23 D41:O41 D59:O59 D77:O77 D95:O95 H5:M5 O5" name="区域1"/>
    <protectedRange sqref="D5" name="区域1_1"/>
    <protectedRange sqref="G5" name="区域1_2"/>
    <protectedRange sqref="N5" name="区域1_3"/>
  </protectedRanges>
  <mergeCells count="40">
    <mergeCell ref="C116:C117"/>
    <mergeCell ref="C126:C128"/>
    <mergeCell ref="A97:A111"/>
    <mergeCell ref="A116:A117"/>
    <mergeCell ref="A126:A128"/>
    <mergeCell ref="B116:B117"/>
    <mergeCell ref="B126:B128"/>
    <mergeCell ref="A7:A21"/>
    <mergeCell ref="A25:A39"/>
    <mergeCell ref="A43:A57"/>
    <mergeCell ref="A61:A75"/>
    <mergeCell ref="A79:A93"/>
    <mergeCell ref="AN116:AQ116"/>
    <mergeCell ref="AR116:AU116"/>
    <mergeCell ref="D126:G126"/>
    <mergeCell ref="H126:K126"/>
    <mergeCell ref="L126:O126"/>
    <mergeCell ref="P126:S126"/>
    <mergeCell ref="T126:W126"/>
    <mergeCell ref="X126:AA126"/>
    <mergeCell ref="AB126:AE126"/>
    <mergeCell ref="AF126:AI126"/>
    <mergeCell ref="AJ126:AM126"/>
    <mergeCell ref="AN126:AQ126"/>
    <mergeCell ref="AR126:AU126"/>
    <mergeCell ref="T116:W116"/>
    <mergeCell ref="X116:AA116"/>
    <mergeCell ref="AB116:AE116"/>
    <mergeCell ref="AF116:AI116"/>
    <mergeCell ref="AJ116:AM116"/>
    <mergeCell ref="P95:Q95"/>
    <mergeCell ref="D116:G116"/>
    <mergeCell ref="H116:K116"/>
    <mergeCell ref="L116:O116"/>
    <mergeCell ref="P116:S116"/>
    <mergeCell ref="P5:Q5"/>
    <mergeCell ref="P23:Q23"/>
    <mergeCell ref="P41:Q41"/>
    <mergeCell ref="P59:Q59"/>
    <mergeCell ref="P77:Q77"/>
  </mergeCells>
  <phoneticPr fontId="102" type="noConversion"/>
  <dataValidations count="2">
    <dataValidation type="list" allowBlank="1" showInputMessage="1" showErrorMessage="1" sqref="D5:O5 D23:O23 D41:O41 D59:O59 D77:O77 D95:O95">
      <formula1>"普,非普,其他"</formula1>
    </dataValidation>
    <dataValidation type="list" allowBlank="1" showInputMessage="1" showErrorMessage="1" sqref="R5:S5 R23:S23 R41:S41 R59:S59 R77:S77 R95:S95">
      <formula1>"合并清算,两分法,三分法"</formula1>
    </dataValidation>
  </dataValidations>
  <hyperlinks>
    <hyperlink ref="D1" location="目录!A1" display="返回目录"/>
  </hyperlinks>
  <pageMargins left="0.69930555555555596" right="0.69930555555555596"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topLeftCell="A7" workbookViewId="0">
      <selection activeCell="A7" sqref="A1:I1048576"/>
    </sheetView>
  </sheetViews>
  <sheetFormatPr defaultColWidth="9" defaultRowHeight="13.5"/>
  <sheetData/>
  <phoneticPr fontId="102" type="noConversion"/>
  <pageMargins left="0.69930555555555596" right="0.69930555555555596" top="0.75" bottom="0.75" header="0.3" footer="0.3"/>
  <pageSetup paperSize="9" orientation="portrait" horizontalDpi="300" verticalDpi="30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heetViews>
  <sheetFormatPr defaultColWidth="9" defaultRowHeight="13.5"/>
  <sheetData/>
  <phoneticPr fontId="102" type="noConversion"/>
  <pageMargins left="0.69930555555555596" right="0.69930555555555596"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outlinePr summaryBelow="0" summaryRight="0"/>
  </sheetPr>
  <dimension ref="A1:AW255"/>
  <sheetViews>
    <sheetView showGridLines="0" workbookViewId="0">
      <pane xSplit="3" ySplit="5" topLeftCell="D6" activePane="bottomRight" state="frozen"/>
      <selection pane="topRight"/>
      <selection pane="bottomLeft"/>
      <selection pane="bottomRight" activeCell="L17" sqref="L17"/>
    </sheetView>
  </sheetViews>
  <sheetFormatPr defaultColWidth="9" defaultRowHeight="12.75" outlineLevelRow="1"/>
  <cols>
    <col min="1" max="1" width="2.5" style="77" customWidth="1"/>
    <col min="2" max="2" width="18.375" style="77" customWidth="1"/>
    <col min="3" max="3" width="13.375" style="77" customWidth="1"/>
    <col min="4" max="4" width="21.25" style="77" customWidth="1"/>
    <col min="5" max="5" width="18.875" style="77" customWidth="1"/>
    <col min="6" max="6" width="20.125" style="77" customWidth="1"/>
    <col min="7" max="7" width="21.125" style="77" customWidth="1"/>
    <col min="8" max="8" width="18.25" style="77" customWidth="1"/>
    <col min="9" max="9" width="20.875" style="77" customWidth="1"/>
    <col min="10" max="10" width="7.375" style="77" customWidth="1"/>
    <col min="11" max="20" width="9" style="77"/>
    <col min="21" max="21" width="10.125" style="77" customWidth="1"/>
    <col min="22" max="24" width="9" style="77"/>
    <col min="25" max="25" width="10.125" style="77" customWidth="1"/>
    <col min="26" max="26" width="10.375" style="77" customWidth="1"/>
    <col min="27" max="29" width="9" style="77"/>
    <col min="30" max="30" width="10.375" style="77" customWidth="1"/>
    <col min="31" max="31" width="9.5" style="77" customWidth="1"/>
    <col min="32" max="32" width="11.125" style="77" customWidth="1"/>
    <col min="33" max="33" width="9" style="77"/>
    <col min="34" max="34" width="10.125" style="77" customWidth="1"/>
    <col min="35" max="48" width="9" style="77"/>
    <col min="49" max="49" width="10.625" style="77" customWidth="1"/>
    <col min="50" max="16384" width="9" style="77"/>
  </cols>
  <sheetData>
    <row r="1" spans="1:48" ht="18.75">
      <c r="A1" s="78"/>
      <c r="B1" s="79" t="s">
        <v>618</v>
      </c>
      <c r="C1" s="78"/>
      <c r="D1" s="80" t="s">
        <v>117</v>
      </c>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row>
    <row r="2" spans="1:48">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row>
    <row r="3" spans="1:48">
      <c r="A3" s="78"/>
      <c r="B3" s="81" t="s">
        <v>118</v>
      </c>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c r="AT3" s="78"/>
      <c r="AU3" s="78"/>
      <c r="AV3" s="78"/>
    </row>
    <row r="4" spans="1:48" ht="14.25" customHeight="1">
      <c r="A4" s="78"/>
      <c r="B4" s="82" t="s">
        <v>619</v>
      </c>
      <c r="C4" s="78"/>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row>
    <row r="5" spans="1:48" s="74" customFormat="1" ht="16.5" customHeight="1">
      <c r="A5" s="83"/>
      <c r="B5" s="84" t="s">
        <v>620</v>
      </c>
      <c r="C5" s="84" t="s">
        <v>251</v>
      </c>
      <c r="D5" s="84" t="s">
        <v>19</v>
      </c>
      <c r="E5" s="84" t="s">
        <v>20</v>
      </c>
      <c r="F5" s="84" t="s">
        <v>21</v>
      </c>
      <c r="G5" s="84" t="s">
        <v>22</v>
      </c>
      <c r="H5" s="84" t="s">
        <v>23</v>
      </c>
      <c r="I5" s="84" t="s">
        <v>24</v>
      </c>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row>
    <row r="6" spans="1:48" s="75" customFormat="1" ht="14.25" customHeight="1">
      <c r="A6" s="85"/>
      <c r="B6" s="86" t="s">
        <v>621</v>
      </c>
      <c r="C6" s="87">
        <f>SUM(D6:I6)</f>
        <v>91448.359054545435</v>
      </c>
      <c r="D6" s="87">
        <f>SUM(D7:D18)</f>
        <v>91448.359054545435</v>
      </c>
      <c r="E6" s="87">
        <f>SUM(E7:E18)</f>
        <v>0</v>
      </c>
      <c r="F6" s="87">
        <f>SUM(F7:F18)</f>
        <v>0</v>
      </c>
      <c r="G6" s="87">
        <f>SUM(G7:G18)</f>
        <v>0</v>
      </c>
      <c r="H6" s="87">
        <f t="shared" ref="H6:I6" si="0">SUM(H7:H18)</f>
        <v>0</v>
      </c>
      <c r="I6" s="87">
        <f t="shared" si="0"/>
        <v>0</v>
      </c>
      <c r="J6" s="92">
        <f>C6*1.1</f>
        <v>100593.19495999999</v>
      </c>
      <c r="K6" s="78"/>
      <c r="L6" s="78"/>
      <c r="M6" s="78"/>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row>
    <row r="7" spans="1:48" s="75" customFormat="1" outlineLevel="1">
      <c r="B7" s="88" t="str">
        <f>'8.项目规划指标表'!B$5</f>
        <v>高层</v>
      </c>
      <c r="C7" s="89">
        <f>SUM(D7:I7)</f>
        <v>79209.813599999994</v>
      </c>
      <c r="D7" s="89">
        <f>'11.销售及回款表'!D88/1.1</f>
        <v>79209.813599999994</v>
      </c>
      <c r="E7" s="89">
        <f>'11.销售及回款表'!D158/1.1</f>
        <v>0</v>
      </c>
      <c r="F7" s="89">
        <f>'11.销售及回款表'!D228/1.1</f>
        <v>0</v>
      </c>
      <c r="G7" s="89">
        <f>'11.销售及回款表'!D298/1.1</f>
        <v>0</v>
      </c>
      <c r="H7" s="89">
        <f>'11.销售及回款表'!D368/1.1</f>
        <v>0</v>
      </c>
      <c r="I7" s="89">
        <f>'11.销售及回款表'!D438/1.1</f>
        <v>0</v>
      </c>
      <c r="J7" s="93"/>
      <c r="K7" s="77"/>
      <c r="L7" s="77"/>
      <c r="M7" s="77"/>
    </row>
    <row r="8" spans="1:48" s="75" customFormat="1" outlineLevel="1">
      <c r="B8" s="88" t="str">
        <f>'8.项目规划指标表'!B$6</f>
        <v>商铺</v>
      </c>
      <c r="C8" s="89">
        <f>SUM(D8:I8)</f>
        <v>7941.8181818181811</v>
      </c>
      <c r="D8" s="89">
        <f>'11.销售及回款表'!D93/1.1</f>
        <v>7941.8181818181811</v>
      </c>
      <c r="E8" s="89">
        <f>'11.销售及回款表'!D163/1.1</f>
        <v>0</v>
      </c>
      <c r="F8" s="89">
        <f>'11.销售及回款表'!D233/1.1</f>
        <v>0</v>
      </c>
      <c r="G8" s="89">
        <f>'11.销售及回款表'!D303/1.1</f>
        <v>0</v>
      </c>
      <c r="H8" s="89">
        <f>'11.销售及回款表'!D373/1.1</f>
        <v>0</v>
      </c>
      <c r="I8" s="89">
        <f>'11.销售及回款表'!D443/1.1</f>
        <v>0</v>
      </c>
      <c r="J8" s="93"/>
      <c r="K8" s="77"/>
      <c r="L8" s="77"/>
      <c r="M8" s="77"/>
    </row>
    <row r="9" spans="1:48" s="75" customFormat="1" outlineLevel="1">
      <c r="B9" s="88" t="str">
        <f>'8.项目规划指标表'!B$7</f>
        <v>回迁商业</v>
      </c>
      <c r="C9" s="89">
        <f>SUM(D9:I9)</f>
        <v>0</v>
      </c>
      <c r="D9" s="89">
        <f>'11.销售及回款表'!D98/1.1</f>
        <v>0</v>
      </c>
      <c r="E9" s="89">
        <f>'11.销售及回款表'!D168/1.1</f>
        <v>0</v>
      </c>
      <c r="F9" s="89">
        <f>'11.销售及回款表'!D238/1.1</f>
        <v>0</v>
      </c>
      <c r="G9" s="89">
        <f>'11.销售及回款表'!D308/1.1</f>
        <v>0</v>
      </c>
      <c r="H9" s="89">
        <f>'11.销售及回款表'!D378/1.1</f>
        <v>0</v>
      </c>
      <c r="I9" s="89">
        <f>'11.销售及回款表'!D448/1.1</f>
        <v>0</v>
      </c>
      <c r="J9" s="93"/>
      <c r="K9" s="77"/>
      <c r="L9" s="77"/>
      <c r="M9" s="77"/>
    </row>
    <row r="10" spans="1:48" s="75" customFormat="1" outlineLevel="1">
      <c r="B10" s="88">
        <f>'8.项目规划指标表'!B$8</f>
        <v>0</v>
      </c>
      <c r="C10" s="89">
        <f>SUM(D10:I10)</f>
        <v>0</v>
      </c>
      <c r="D10" s="89">
        <f>'11.销售及回款表'!D103/1.1</f>
        <v>0</v>
      </c>
      <c r="E10" s="89">
        <f>'11.销售及回款表'!D173/1.1</f>
        <v>0</v>
      </c>
      <c r="F10" s="89">
        <f>'11.销售及回款表'!D243/1.1</f>
        <v>0</v>
      </c>
      <c r="G10" s="89">
        <f>'11.销售及回款表'!D313/1.1</f>
        <v>0</v>
      </c>
      <c r="H10" s="89">
        <f>'11.销售及回款表'!D383/1.1</f>
        <v>0</v>
      </c>
      <c r="I10" s="89">
        <f>'11.销售及回款表'!D453/1.1</f>
        <v>0</v>
      </c>
      <c r="J10" s="93"/>
      <c r="K10" s="77"/>
      <c r="L10" s="77"/>
      <c r="M10" s="77"/>
    </row>
    <row r="11" spans="1:48" s="75" customFormat="1" outlineLevel="1">
      <c r="B11" s="88">
        <f>'8.项目规划指标表'!B$9</f>
        <v>0</v>
      </c>
      <c r="C11" s="89">
        <f t="shared" ref="C11:C21" si="1">SUM(D11:I11)</f>
        <v>0</v>
      </c>
      <c r="D11" s="89">
        <f>'11.销售及回款表'!D108/1.1</f>
        <v>0</v>
      </c>
      <c r="E11" s="89">
        <f>'11.销售及回款表'!D178/1.1</f>
        <v>0</v>
      </c>
      <c r="F11" s="89">
        <f>'11.销售及回款表'!D248/1.1</f>
        <v>0</v>
      </c>
      <c r="G11" s="89">
        <f>'11.销售及回款表'!D318/1.1</f>
        <v>0</v>
      </c>
      <c r="H11" s="89">
        <f>'11.销售及回款表'!D388/1.1</f>
        <v>0</v>
      </c>
      <c r="I11" s="89">
        <f>'11.销售及回款表'!D458/1.1</f>
        <v>0</v>
      </c>
      <c r="J11" s="93"/>
      <c r="K11" s="77"/>
      <c r="L11" s="77"/>
      <c r="M11" s="77"/>
    </row>
    <row r="12" spans="1:48" s="75" customFormat="1" outlineLevel="1">
      <c r="B12" s="88">
        <f>'8.项目规划指标表'!B$10</f>
        <v>0</v>
      </c>
      <c r="C12" s="89">
        <f t="shared" si="1"/>
        <v>0</v>
      </c>
      <c r="D12" s="89">
        <f>'11.销售及回款表'!D113/1.1</f>
        <v>0</v>
      </c>
      <c r="E12" s="89">
        <f>'11.销售及回款表'!D183/1.1</f>
        <v>0</v>
      </c>
      <c r="F12" s="89">
        <f>'11.销售及回款表'!D253/1.1</f>
        <v>0</v>
      </c>
      <c r="G12" s="89">
        <f>'11.销售及回款表'!D323/1.1</f>
        <v>0</v>
      </c>
      <c r="H12" s="89">
        <f>'11.销售及回款表'!D393/1.1</f>
        <v>0</v>
      </c>
      <c r="I12" s="89">
        <f>'11.销售及回款表'!D463/1.1</f>
        <v>0</v>
      </c>
      <c r="J12" s="93"/>
      <c r="K12" s="77"/>
      <c r="L12" s="77"/>
      <c r="M12" s="77"/>
    </row>
    <row r="13" spans="1:48" s="75" customFormat="1" outlineLevel="1">
      <c r="B13" s="88">
        <f>'8.项目规划指标表'!B$11</f>
        <v>0</v>
      </c>
      <c r="C13" s="89">
        <f t="shared" si="1"/>
        <v>0</v>
      </c>
      <c r="D13" s="89">
        <f>'11.销售及回款表'!D118/1.1</f>
        <v>0</v>
      </c>
      <c r="E13" s="89">
        <f>'11.销售及回款表'!D188/1.1</f>
        <v>0</v>
      </c>
      <c r="F13" s="89">
        <f>'11.销售及回款表'!D258/1.1</f>
        <v>0</v>
      </c>
      <c r="G13" s="89">
        <f>'11.销售及回款表'!D328/1.1</f>
        <v>0</v>
      </c>
      <c r="H13" s="89">
        <f>'11.销售及回款表'!D398/1.1</f>
        <v>0</v>
      </c>
      <c r="I13" s="89">
        <f>'11.销售及回款表'!D468/1.1</f>
        <v>0</v>
      </c>
      <c r="J13" s="93"/>
      <c r="K13" s="77"/>
      <c r="L13" s="77"/>
      <c r="M13" s="77"/>
    </row>
    <row r="14" spans="1:48" s="75" customFormat="1" outlineLevel="1">
      <c r="B14" s="88">
        <f>'8.项目规划指标表'!B$12</f>
        <v>0</v>
      </c>
      <c r="C14" s="89">
        <f t="shared" si="1"/>
        <v>0</v>
      </c>
      <c r="D14" s="89">
        <f>'11.销售及回款表'!D123/1.1</f>
        <v>0</v>
      </c>
      <c r="E14" s="89">
        <f>'11.销售及回款表'!D193/1.1</f>
        <v>0</v>
      </c>
      <c r="F14" s="89">
        <f>'11.销售及回款表'!D263/1.1</f>
        <v>0</v>
      </c>
      <c r="G14" s="89">
        <f>'11.销售及回款表'!D333/1.1</f>
        <v>0</v>
      </c>
      <c r="H14" s="89">
        <f>'11.销售及回款表'!D403/1.1</f>
        <v>0</v>
      </c>
      <c r="I14" s="89">
        <f>'11.销售及回款表'!D473/1.1</f>
        <v>0</v>
      </c>
      <c r="J14" s="93"/>
      <c r="K14" s="77"/>
      <c r="L14" s="77"/>
      <c r="M14" s="77"/>
    </row>
    <row r="15" spans="1:48" s="75" customFormat="1" outlineLevel="1">
      <c r="B15" s="88">
        <f>'8.项目规划指标表'!B$13</f>
        <v>0</v>
      </c>
      <c r="C15" s="89">
        <f t="shared" si="1"/>
        <v>0</v>
      </c>
      <c r="D15" s="89">
        <f>'11.销售及回款表'!D128/1.1</f>
        <v>0</v>
      </c>
      <c r="E15" s="89">
        <f>'11.销售及回款表'!D198/1.1</f>
        <v>0</v>
      </c>
      <c r="F15" s="89">
        <f>'11.销售及回款表'!D268/1.1</f>
        <v>0</v>
      </c>
      <c r="G15" s="89">
        <f>'11.销售及回款表'!D338/1.1</f>
        <v>0</v>
      </c>
      <c r="H15" s="89">
        <f>'11.销售及回款表'!D408/1.1</f>
        <v>0</v>
      </c>
      <c r="I15" s="89">
        <f>'11.销售及回款表'!D478/1.1</f>
        <v>0</v>
      </c>
      <c r="J15" s="93"/>
      <c r="K15" s="77"/>
      <c r="L15" s="77"/>
      <c r="M15" s="77"/>
    </row>
    <row r="16" spans="1:48" s="75" customFormat="1" outlineLevel="1">
      <c r="B16" s="88" t="str">
        <f>'8.项目规划指标表'!B$14</f>
        <v>自持物业</v>
      </c>
      <c r="C16" s="90"/>
      <c r="D16" s="90"/>
      <c r="E16" s="90"/>
      <c r="F16" s="90"/>
      <c r="G16" s="90"/>
      <c r="H16" s="90"/>
      <c r="I16" s="90"/>
      <c r="J16" s="93"/>
      <c r="K16" s="77"/>
      <c r="L16" s="77"/>
      <c r="M16" s="77"/>
    </row>
    <row r="17" spans="1:48" s="75" customFormat="1" outlineLevel="1">
      <c r="B17" s="88" t="str">
        <f>'8.项目规划指标表'!B$18</f>
        <v>有产权车库(个)</v>
      </c>
      <c r="C17" s="89">
        <f t="shared" si="1"/>
        <v>4296.7272727272721</v>
      </c>
      <c r="D17" s="89">
        <f>'11.销售及回款表'!D138/1.1</f>
        <v>4296.7272727272721</v>
      </c>
      <c r="E17" s="89">
        <f>'11.销售及回款表'!D208/1.1</f>
        <v>0</v>
      </c>
      <c r="F17" s="89">
        <f>'11.销售及回款表'!D278/1.1</f>
        <v>0</v>
      </c>
      <c r="G17" s="89">
        <f>'11.销售及回款表'!D348/1.1</f>
        <v>0</v>
      </c>
      <c r="H17" s="89">
        <f>'11.销售及回款表'!D418/1.1</f>
        <v>0</v>
      </c>
      <c r="I17" s="89">
        <f>'11.销售及回款表'!D488/1.1</f>
        <v>0</v>
      </c>
      <c r="J17" s="93"/>
      <c r="K17" s="77"/>
      <c r="L17" s="77"/>
      <c r="M17" s="77"/>
    </row>
    <row r="18" spans="1:48" s="75" customFormat="1" outlineLevel="1">
      <c r="B18" s="88" t="str">
        <f>'8.项目规划指标表'!B$19</f>
        <v>无产权车库(个)</v>
      </c>
      <c r="C18" s="89">
        <f t="shared" si="1"/>
        <v>0</v>
      </c>
      <c r="D18" s="89">
        <f>'11.销售及回款表'!D143/1.1</f>
        <v>0</v>
      </c>
      <c r="E18" s="89">
        <f>'11.销售及回款表'!D213/1.1</f>
        <v>0</v>
      </c>
      <c r="F18" s="89">
        <f>'11.销售及回款表'!D283/1.1</f>
        <v>0</v>
      </c>
      <c r="G18" s="89">
        <f>'11.销售及回款表'!D353/1.1</f>
        <v>0</v>
      </c>
      <c r="H18" s="89">
        <f>'11.销售及回款表'!D423/1.1</f>
        <v>0</v>
      </c>
      <c r="I18" s="89">
        <f>'11.销售及回款表'!D493/1.1</f>
        <v>0</v>
      </c>
      <c r="J18" s="93"/>
      <c r="K18" s="77"/>
      <c r="L18" s="77"/>
      <c r="M18" s="77"/>
    </row>
    <row r="19" spans="1:48" s="75" customFormat="1" ht="14.25" customHeight="1">
      <c r="A19" s="85"/>
      <c r="B19" s="86" t="s">
        <v>622</v>
      </c>
      <c r="C19" s="87">
        <f t="shared" si="1"/>
        <v>48078.929250142937</v>
      </c>
      <c r="D19" s="87">
        <f t="shared" ref="D19:I19" si="2">SUM(D20:D31)</f>
        <v>48078.929250142937</v>
      </c>
      <c r="E19" s="87">
        <f t="shared" si="2"/>
        <v>0</v>
      </c>
      <c r="F19" s="87">
        <f t="shared" si="2"/>
        <v>0</v>
      </c>
      <c r="G19" s="87">
        <f t="shared" si="2"/>
        <v>0</v>
      </c>
      <c r="H19" s="87">
        <f t="shared" si="2"/>
        <v>0</v>
      </c>
      <c r="I19" s="87">
        <f t="shared" si="2"/>
        <v>0</v>
      </c>
      <c r="J19" s="92"/>
      <c r="K19" s="78"/>
      <c r="L19" s="78"/>
      <c r="M19" s="78"/>
      <c r="N19" s="85"/>
      <c r="O19" s="85"/>
      <c r="P19" s="85"/>
      <c r="Q19" s="85"/>
      <c r="R19" s="85"/>
      <c r="S19" s="85"/>
      <c r="T19" s="85"/>
      <c r="U19" s="85"/>
      <c r="V19" s="85"/>
      <c r="W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row>
    <row r="20" spans="1:48" s="75" customFormat="1" ht="12" customHeight="1" outlineLevel="1">
      <c r="B20" s="88" t="str">
        <f>'8.项目规划指标表'!B$5</f>
        <v>高层</v>
      </c>
      <c r="C20" s="89">
        <f t="shared" si="1"/>
        <v>37510.9836793293</v>
      </c>
      <c r="D20" s="91">
        <f>'12.土地成本表'!$K72+'13.建安成本表'!$E214-'12.土地成本表'!$D87-'13.建安成本表'!$C230</f>
        <v>37510.9836793293</v>
      </c>
      <c r="E20" s="91">
        <f>'12.土地成本表'!$L72+'13.建安成本表'!$H214-'12.土地成本表'!$E87-'13.建安成本表'!$D230</f>
        <v>0</v>
      </c>
      <c r="F20" s="91">
        <f>'12.土地成本表'!$M72+'13.建安成本表'!$K214-'12.土地成本表'!$F87-'13.建安成本表'!$E230</f>
        <v>0</v>
      </c>
      <c r="G20" s="91">
        <f>'12.土地成本表'!$N72+'13.建安成本表'!$N214-'12.土地成本表'!$G87-'13.建安成本表'!$F230</f>
        <v>0</v>
      </c>
      <c r="H20" s="91">
        <f>'12.土地成本表'!$O72+'13.建安成本表'!$Q214-'13.建安成本表'!$G230-'12.土地成本表'!$H87</f>
        <v>0</v>
      </c>
      <c r="I20" s="91">
        <f>'12.土地成本表'!$P72+'13.建安成本表'!$T214-'12.土地成本表'!$I87-'13.建安成本表'!$H230</f>
        <v>0</v>
      </c>
      <c r="J20" s="93"/>
      <c r="K20" s="81"/>
      <c r="L20" s="77"/>
      <c r="M20" s="77"/>
    </row>
    <row r="21" spans="1:48" s="75" customFormat="1" outlineLevel="1">
      <c r="B21" s="88" t="str">
        <f>'8.项目规划指标表'!B$6</f>
        <v>商铺</v>
      </c>
      <c r="C21" s="89">
        <f t="shared" si="1"/>
        <v>8870.1298464300671</v>
      </c>
      <c r="D21" s="91">
        <f>'12.土地成本表'!$K73+'13.建安成本表'!$E215-'12.土地成本表'!$D88-'13.建安成本表'!$C231</f>
        <v>8870.1298464300671</v>
      </c>
      <c r="E21" s="91">
        <f>'12.土地成本表'!$L73+'13.建安成本表'!$H215-'12.土地成本表'!$E88-'13.建安成本表'!$D231</f>
        <v>0</v>
      </c>
      <c r="F21" s="91">
        <f>'12.土地成本表'!$M73+'13.建安成本表'!$K215-'12.土地成本表'!$F88-'13.建安成本表'!$E231</f>
        <v>0</v>
      </c>
      <c r="G21" s="91">
        <f>'12.土地成本表'!$N73+'13.建安成本表'!$N215-'12.土地成本表'!$G88-'13.建安成本表'!$F231</f>
        <v>0</v>
      </c>
      <c r="H21" s="91">
        <f>'12.土地成本表'!$O73+'13.建安成本表'!$Q215-'13.建安成本表'!$G231-'12.土地成本表'!$H88</f>
        <v>0</v>
      </c>
      <c r="I21" s="91">
        <f>'12.土地成本表'!$P73+'13.建安成本表'!$T215-'12.土地成本表'!$I88-'13.建安成本表'!$H231</f>
        <v>0</v>
      </c>
      <c r="J21" s="93"/>
      <c r="K21" s="81"/>
      <c r="L21" s="77"/>
      <c r="M21" s="77"/>
    </row>
    <row r="22" spans="1:48" s="75" customFormat="1" outlineLevel="1">
      <c r="B22" s="88" t="str">
        <f>'8.项目规划指标表'!B$7</f>
        <v>回迁商业</v>
      </c>
      <c r="C22" s="89">
        <f t="shared" ref="C22:C31" si="3">SUM(D22:I22)</f>
        <v>0</v>
      </c>
      <c r="D22" s="91">
        <f>'12.土地成本表'!$K74+'13.建安成本表'!$E216-'12.土地成本表'!$D89-'13.建安成本表'!$C232</f>
        <v>0</v>
      </c>
      <c r="E22" s="91">
        <f>'12.土地成本表'!$L74+'13.建安成本表'!$H216-'12.土地成本表'!$E89-'13.建安成本表'!$D232</f>
        <v>0</v>
      </c>
      <c r="F22" s="91">
        <f>'12.土地成本表'!$M74+'13.建安成本表'!$K216-'12.土地成本表'!$F89-'13.建安成本表'!$E232</f>
        <v>0</v>
      </c>
      <c r="G22" s="91">
        <f>'12.土地成本表'!$N74+'13.建安成本表'!$N216-'12.土地成本表'!$G89-'13.建安成本表'!$F232</f>
        <v>0</v>
      </c>
      <c r="H22" s="91">
        <f>'12.土地成本表'!$O74+'13.建安成本表'!$Q216-'13.建安成本表'!$G232-'12.土地成本表'!$H89</f>
        <v>0</v>
      </c>
      <c r="I22" s="91">
        <f>'12.土地成本表'!$P74+'13.建安成本表'!$T216-'12.土地成本表'!$I89-'13.建安成本表'!$H232</f>
        <v>0</v>
      </c>
      <c r="J22" s="93"/>
      <c r="K22" s="81"/>
      <c r="L22" s="77"/>
      <c r="M22" s="77"/>
    </row>
    <row r="23" spans="1:48" s="75" customFormat="1" outlineLevel="1">
      <c r="B23" s="88">
        <f>'8.项目规划指标表'!B$8</f>
        <v>0</v>
      </c>
      <c r="C23" s="89">
        <f t="shared" si="3"/>
        <v>0</v>
      </c>
      <c r="D23" s="91">
        <f>'12.土地成本表'!$K75+'13.建安成本表'!$E217-'12.土地成本表'!$D90-'13.建安成本表'!$C233</f>
        <v>0</v>
      </c>
      <c r="E23" s="91">
        <f>'12.土地成本表'!$L75+'13.建安成本表'!$H217-'12.土地成本表'!$E90-'13.建安成本表'!$D233</f>
        <v>0</v>
      </c>
      <c r="F23" s="91">
        <f>'12.土地成本表'!$M75+'13.建安成本表'!$K217-'12.土地成本表'!$F90-'13.建安成本表'!$E233</f>
        <v>0</v>
      </c>
      <c r="G23" s="91">
        <f>'12.土地成本表'!$N75+'13.建安成本表'!$N217-'12.土地成本表'!$G90-'13.建安成本表'!$F233</f>
        <v>0</v>
      </c>
      <c r="H23" s="91">
        <f>'12.土地成本表'!$O75+'13.建安成本表'!$Q217-'13.建安成本表'!$G233-'12.土地成本表'!$H90</f>
        <v>0</v>
      </c>
      <c r="I23" s="91">
        <f>'12.土地成本表'!$P75+'13.建安成本表'!$T217-'12.土地成本表'!$I90-'13.建安成本表'!$H233</f>
        <v>0</v>
      </c>
      <c r="J23" s="93"/>
      <c r="K23" s="77"/>
      <c r="L23" s="77"/>
      <c r="M23" s="77"/>
    </row>
    <row r="24" spans="1:48" s="75" customFormat="1" outlineLevel="1">
      <c r="B24" s="88">
        <f>'8.项目规划指标表'!B$9</f>
        <v>0</v>
      </c>
      <c r="C24" s="89">
        <f t="shared" si="3"/>
        <v>0</v>
      </c>
      <c r="D24" s="91">
        <f>'12.土地成本表'!$K76+'13.建安成本表'!$E218-'12.土地成本表'!$D91-'13.建安成本表'!$C234</f>
        <v>0</v>
      </c>
      <c r="E24" s="91">
        <f>'12.土地成本表'!$L76+'13.建安成本表'!$H218-'12.土地成本表'!$E91-'13.建安成本表'!$D234</f>
        <v>0</v>
      </c>
      <c r="F24" s="91">
        <f>'12.土地成本表'!$M76+'13.建安成本表'!$K218-'12.土地成本表'!$F91-'13.建安成本表'!$E234</f>
        <v>0</v>
      </c>
      <c r="G24" s="91">
        <f>'12.土地成本表'!$N76+'13.建安成本表'!$N218-'12.土地成本表'!$G91-'13.建安成本表'!$F234</f>
        <v>0</v>
      </c>
      <c r="H24" s="91">
        <f>'12.土地成本表'!$O76+'13.建安成本表'!$Q218-'13.建安成本表'!$G234-'12.土地成本表'!$H91</f>
        <v>0</v>
      </c>
      <c r="I24" s="91">
        <f>'12.土地成本表'!$P76+'13.建安成本表'!$T218-'12.土地成本表'!$I91-'13.建安成本表'!$H234</f>
        <v>0</v>
      </c>
      <c r="J24" s="93"/>
      <c r="K24" s="77"/>
      <c r="L24" s="77"/>
      <c r="M24" s="77"/>
    </row>
    <row r="25" spans="1:48" s="75" customFormat="1" outlineLevel="1">
      <c r="B25" s="88">
        <f>'8.项目规划指标表'!B$10</f>
        <v>0</v>
      </c>
      <c r="C25" s="89">
        <f t="shared" si="3"/>
        <v>0</v>
      </c>
      <c r="D25" s="91">
        <f>'12.土地成本表'!$K77+'13.建安成本表'!$E219-'12.土地成本表'!$D92-'13.建安成本表'!$C235</f>
        <v>0</v>
      </c>
      <c r="E25" s="91">
        <f>'12.土地成本表'!$L77+'13.建安成本表'!$H219-'12.土地成本表'!$E92-'13.建安成本表'!$D235</f>
        <v>0</v>
      </c>
      <c r="F25" s="91">
        <f>'12.土地成本表'!$M77+'13.建安成本表'!$K219-'12.土地成本表'!$F92-'13.建安成本表'!$E235</f>
        <v>0</v>
      </c>
      <c r="G25" s="91">
        <f>'12.土地成本表'!$N77+'13.建安成本表'!$N219-'12.土地成本表'!$G92-'13.建安成本表'!$F235</f>
        <v>0</v>
      </c>
      <c r="H25" s="91">
        <f>'12.土地成本表'!$O77+'13.建安成本表'!$Q219-'13.建安成本表'!$G235-'12.土地成本表'!$H92</f>
        <v>0</v>
      </c>
      <c r="I25" s="91">
        <f>'12.土地成本表'!$P77+'13.建安成本表'!$T219-'12.土地成本表'!$I92-'13.建安成本表'!$H235</f>
        <v>0</v>
      </c>
      <c r="J25" s="93"/>
      <c r="K25" s="77"/>
      <c r="L25" s="77"/>
      <c r="M25" s="77"/>
    </row>
    <row r="26" spans="1:48" s="75" customFormat="1" outlineLevel="1">
      <c r="B26" s="88">
        <f>'8.项目规划指标表'!B$11</f>
        <v>0</v>
      </c>
      <c r="C26" s="89">
        <f t="shared" si="3"/>
        <v>0</v>
      </c>
      <c r="D26" s="91">
        <f>'12.土地成本表'!$K78+'13.建安成本表'!$E220-'12.土地成本表'!$D93-'13.建安成本表'!$C236</f>
        <v>0</v>
      </c>
      <c r="E26" s="91">
        <f>'12.土地成本表'!$L78+'13.建安成本表'!$H220-'12.土地成本表'!$E93-'13.建安成本表'!$D236</f>
        <v>0</v>
      </c>
      <c r="F26" s="91">
        <f>'12.土地成本表'!$M78+'13.建安成本表'!$K220-'12.土地成本表'!$F93-'13.建安成本表'!$E236</f>
        <v>0</v>
      </c>
      <c r="G26" s="91">
        <f>'12.土地成本表'!$N78+'13.建安成本表'!$N220-'12.土地成本表'!$G93-'13.建安成本表'!$F236</f>
        <v>0</v>
      </c>
      <c r="H26" s="91">
        <f>'12.土地成本表'!$O78+'13.建安成本表'!$Q220-'13.建安成本表'!$G236-'12.土地成本表'!$H93</f>
        <v>0</v>
      </c>
      <c r="I26" s="91">
        <f>'12.土地成本表'!$P78+'13.建安成本表'!$T220-'12.土地成本表'!$I93-'13.建安成本表'!$H236</f>
        <v>0</v>
      </c>
      <c r="J26" s="93"/>
      <c r="K26" s="77"/>
      <c r="L26" s="77"/>
      <c r="M26" s="77"/>
    </row>
    <row r="27" spans="1:48" s="75" customFormat="1" outlineLevel="1">
      <c r="B27" s="88">
        <f>'8.项目规划指标表'!B$12</f>
        <v>0</v>
      </c>
      <c r="C27" s="89">
        <f t="shared" si="3"/>
        <v>0</v>
      </c>
      <c r="D27" s="91">
        <f>'12.土地成本表'!$K79+'13.建安成本表'!$E221-'12.土地成本表'!$D94-'13.建安成本表'!$C237</f>
        <v>0</v>
      </c>
      <c r="E27" s="91">
        <f>'12.土地成本表'!$L79+'13.建安成本表'!$H221-'12.土地成本表'!$E94-'13.建安成本表'!$D237</f>
        <v>0</v>
      </c>
      <c r="F27" s="91">
        <f>'12.土地成本表'!$M79+'13.建安成本表'!$K221-'12.土地成本表'!$F94-'13.建安成本表'!$E237</f>
        <v>0</v>
      </c>
      <c r="G27" s="91">
        <f>'12.土地成本表'!$N79+'13.建安成本表'!$N221-'12.土地成本表'!$G94-'13.建安成本表'!$F237</f>
        <v>0</v>
      </c>
      <c r="H27" s="91">
        <f>'12.土地成本表'!$O79+'13.建安成本表'!$Q221-'13.建安成本表'!$G237-'12.土地成本表'!$H94</f>
        <v>0</v>
      </c>
      <c r="I27" s="91">
        <f>'12.土地成本表'!$P79+'13.建安成本表'!$T221-'12.土地成本表'!$I94-'13.建安成本表'!$H237</f>
        <v>0</v>
      </c>
      <c r="J27" s="93"/>
      <c r="K27" s="77"/>
      <c r="L27" s="77"/>
      <c r="M27" s="77"/>
    </row>
    <row r="28" spans="1:48" s="75" customFormat="1" outlineLevel="1">
      <c r="B28" s="88">
        <f>'8.项目规划指标表'!B$13</f>
        <v>0</v>
      </c>
      <c r="C28" s="89">
        <f t="shared" si="3"/>
        <v>0</v>
      </c>
      <c r="D28" s="91">
        <f>'12.土地成本表'!$K80+'13.建安成本表'!$E222-'12.土地成本表'!$D95-'13.建安成本表'!$C238</f>
        <v>0</v>
      </c>
      <c r="E28" s="91">
        <f>'12.土地成本表'!$L80+'13.建安成本表'!$H222-'12.土地成本表'!$E95-'13.建安成本表'!$D238</f>
        <v>0</v>
      </c>
      <c r="F28" s="91">
        <f>'12.土地成本表'!$M80+'13.建安成本表'!$K222-'12.土地成本表'!$F95-'13.建安成本表'!$E238</f>
        <v>0</v>
      </c>
      <c r="G28" s="91">
        <f>'12.土地成本表'!$N80+'13.建安成本表'!$N222-'12.土地成本表'!$G95-'13.建安成本表'!$F238</f>
        <v>0</v>
      </c>
      <c r="H28" s="91">
        <f>'12.土地成本表'!$O80+'13.建安成本表'!$Q222-'13.建安成本表'!$G238-'12.土地成本表'!$H95</f>
        <v>0</v>
      </c>
      <c r="I28" s="91">
        <f>'12.土地成本表'!$P80+'13.建安成本表'!$T222-'12.土地成本表'!$I95-'13.建安成本表'!$H238</f>
        <v>0</v>
      </c>
      <c r="J28" s="93"/>
      <c r="K28" s="77"/>
      <c r="L28" s="77"/>
      <c r="M28" s="77"/>
    </row>
    <row r="29" spans="1:48" s="75" customFormat="1" outlineLevel="1">
      <c r="B29" s="88" t="str">
        <f>'8.项目规划指标表'!B$14</f>
        <v>自持物业</v>
      </c>
      <c r="C29" s="90"/>
      <c r="D29" s="90"/>
      <c r="E29" s="90"/>
      <c r="F29" s="90"/>
      <c r="G29" s="90"/>
      <c r="H29" s="90"/>
      <c r="I29" s="90"/>
      <c r="J29" s="93"/>
      <c r="K29" s="77"/>
      <c r="L29" s="77"/>
      <c r="M29" s="77"/>
    </row>
    <row r="30" spans="1:48" s="75" customFormat="1" outlineLevel="1">
      <c r="B30" s="88" t="str">
        <f>'8.项目规划指标表'!B$18</f>
        <v>有产权车库(个)</v>
      </c>
      <c r="C30" s="89">
        <f>SUM(D30:I30)</f>
        <v>1697.8157243835692</v>
      </c>
      <c r="D30" s="91">
        <f>'13.建安成本表'!$E224-'13.建安成本表'!$C240</f>
        <v>1697.8157243835692</v>
      </c>
      <c r="E30" s="91">
        <f>'13.建安成本表'!$H224-'13.建安成本表'!$D240</f>
        <v>0</v>
      </c>
      <c r="F30" s="91">
        <f>'13.建安成本表'!$K224-'13.建安成本表'!$E240</f>
        <v>0</v>
      </c>
      <c r="G30" s="91">
        <f>'13.建安成本表'!$N224-'13.建安成本表'!$F240</f>
        <v>0</v>
      </c>
      <c r="H30" s="91">
        <f>'13.建安成本表'!$Q224-'13.建安成本表'!$G240</f>
        <v>0</v>
      </c>
      <c r="I30" s="91">
        <f>'13.建安成本表'!$T224-'13.建安成本表'!$H240</f>
        <v>0</v>
      </c>
      <c r="J30" s="93"/>
      <c r="K30" s="77"/>
      <c r="L30" s="77"/>
      <c r="M30" s="77"/>
    </row>
    <row r="31" spans="1:48" s="75" customFormat="1" outlineLevel="1">
      <c r="B31" s="88" t="str">
        <f>'8.项目规划指标表'!B$19</f>
        <v>无产权车库(个)</v>
      </c>
      <c r="C31" s="89">
        <f t="shared" si="3"/>
        <v>0</v>
      </c>
      <c r="D31" s="91">
        <f>'13.建安成本表'!$E225-'13.建安成本表'!$C241</f>
        <v>0</v>
      </c>
      <c r="E31" s="91">
        <f>'13.建安成本表'!$H225-'13.建安成本表'!$D241</f>
        <v>0</v>
      </c>
      <c r="F31" s="91">
        <f>'13.建安成本表'!$K225-'13.建安成本表'!$E241</f>
        <v>0</v>
      </c>
      <c r="G31" s="91">
        <f>'13.建安成本表'!$N225-'13.建安成本表'!$F241</f>
        <v>0</v>
      </c>
      <c r="H31" s="91">
        <f>'13.建安成本表'!$Q225-'13.建安成本表'!$G241</f>
        <v>0</v>
      </c>
      <c r="I31" s="91">
        <f>'13.建安成本表'!$T225-'13.建安成本表'!$H241</f>
        <v>0</v>
      </c>
      <c r="J31" s="93"/>
      <c r="K31" s="77"/>
      <c r="L31" s="77"/>
      <c r="M31" s="77"/>
    </row>
    <row r="32" spans="1:48" s="75" customFormat="1" ht="14.25" customHeight="1">
      <c r="A32" s="85"/>
      <c r="B32" s="86" t="s">
        <v>581</v>
      </c>
      <c r="C32" s="87">
        <f t="shared" ref="C32:C46" si="4">SUM(D32:I32)</f>
        <v>557.31218406316918</v>
      </c>
      <c r="D32" s="87">
        <f>'14.增值税计算表'!D355+'14.增值税计算表'!D366</f>
        <v>557.31218406316918</v>
      </c>
      <c r="E32" s="87">
        <f>'14.增值税计算表'!D356+'14.增值税计算表'!D367</f>
        <v>0</v>
      </c>
      <c r="F32" s="87">
        <f>'14.增值税计算表'!D357+'14.增值税计算表'!D368</f>
        <v>0</v>
      </c>
      <c r="G32" s="87">
        <f>'14.增值税计算表'!D358+'14.增值税计算表'!D369</f>
        <v>0</v>
      </c>
      <c r="H32" s="87">
        <f>'14.增值税计算表'!D359+'14.增值税计算表'!D370</f>
        <v>0</v>
      </c>
      <c r="I32" s="87">
        <f>'14.增值税计算表'!D360+'14.增值税计算表'!D371</f>
        <v>0</v>
      </c>
      <c r="J32" s="92"/>
      <c r="K32" s="78"/>
      <c r="L32" s="94"/>
      <c r="M32" s="78"/>
      <c r="N32" s="85"/>
      <c r="O32" s="85"/>
      <c r="P32" s="78"/>
      <c r="Q32" s="94"/>
      <c r="R32" s="78"/>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row>
    <row r="33" spans="1:48" s="75" customFormat="1" ht="12" customHeight="1" outlineLevel="1">
      <c r="B33" s="88" t="str">
        <f>'8.项目规划指标表'!B$5</f>
        <v>高层</v>
      </c>
      <c r="C33" s="89">
        <f t="shared" si="4"/>
        <v>482.72702400621495</v>
      </c>
      <c r="D33" s="91">
        <f>IFERROR($D$32/$D$6*D7,0)</f>
        <v>482.72702400621495</v>
      </c>
      <c r="E33" s="91">
        <f>IFERROR($E$32/$E$6*E7,0)</f>
        <v>0</v>
      </c>
      <c r="F33" s="91">
        <f>IFERROR($F$32/$F$6*F7,0)</f>
        <v>0</v>
      </c>
      <c r="G33" s="91">
        <f>IFERROR($G$32/$G$6*G7,0)</f>
        <v>0</v>
      </c>
      <c r="H33" s="91">
        <f>IFERROR($H$32/$H$6*H7,0)</f>
        <v>0</v>
      </c>
      <c r="I33" s="91">
        <f>IFERROR($I$32/$I$6*I7,0)</f>
        <v>0</v>
      </c>
      <c r="J33" s="93"/>
      <c r="K33" s="77"/>
      <c r="L33" s="77"/>
      <c r="M33" s="77"/>
    </row>
    <row r="34" spans="1:48" s="75" customFormat="1" outlineLevel="1">
      <c r="B34" s="88" t="str">
        <f>'8.项目规划指标表'!B$6</f>
        <v>商铺</v>
      </c>
      <c r="C34" s="89">
        <f t="shared" si="4"/>
        <v>48.399687890536072</v>
      </c>
      <c r="D34" s="91">
        <f t="shared" ref="D34:D44" si="5">IFERROR($D$32/$D$6*D8,0)</f>
        <v>48.399687890536072</v>
      </c>
      <c r="E34" s="91">
        <f t="shared" ref="E34:E44" si="6">IFERROR($E$32/$E$6*E8,0)</f>
        <v>0</v>
      </c>
      <c r="F34" s="91">
        <f t="shared" ref="F34:F44" si="7">IFERROR($F$32/$F$6*F8,0)</f>
        <v>0</v>
      </c>
      <c r="G34" s="91">
        <f t="shared" ref="G34:G44" si="8">IFERROR($G$32/$G$6*G8,0)</f>
        <v>0</v>
      </c>
      <c r="H34" s="91">
        <f t="shared" ref="H34:H44" si="9">IFERROR($H$32/$H$6*H8,0)</f>
        <v>0</v>
      </c>
      <c r="I34" s="91">
        <f>IFERROR($I$32/$I$6*I8,0)</f>
        <v>0</v>
      </c>
      <c r="J34" s="93"/>
      <c r="K34" s="77"/>
      <c r="L34" s="77"/>
      <c r="M34" s="77"/>
    </row>
    <row r="35" spans="1:48" s="75" customFormat="1" outlineLevel="1">
      <c r="B35" s="88" t="str">
        <f>'8.项目规划指标表'!B$7</f>
        <v>回迁商业</v>
      </c>
      <c r="C35" s="89">
        <f t="shared" si="4"/>
        <v>0</v>
      </c>
      <c r="D35" s="91">
        <f t="shared" si="5"/>
        <v>0</v>
      </c>
      <c r="E35" s="91">
        <f t="shared" si="6"/>
        <v>0</v>
      </c>
      <c r="F35" s="91">
        <f t="shared" si="7"/>
        <v>0</v>
      </c>
      <c r="G35" s="91">
        <f t="shared" si="8"/>
        <v>0</v>
      </c>
      <c r="H35" s="91">
        <f t="shared" si="9"/>
        <v>0</v>
      </c>
      <c r="I35" s="91">
        <f t="shared" ref="I35:I44" si="10">IFERROR($I$32/$I$6*I9,0)</f>
        <v>0</v>
      </c>
      <c r="J35" s="93"/>
      <c r="K35" s="77"/>
      <c r="L35" s="77"/>
      <c r="M35" s="77"/>
    </row>
    <row r="36" spans="1:48" s="75" customFormat="1" outlineLevel="1">
      <c r="B36" s="88">
        <f>'8.项目规划指标表'!B$8</f>
        <v>0</v>
      </c>
      <c r="C36" s="89">
        <f t="shared" si="4"/>
        <v>0</v>
      </c>
      <c r="D36" s="91">
        <f t="shared" si="5"/>
        <v>0</v>
      </c>
      <c r="E36" s="91">
        <f t="shared" si="6"/>
        <v>0</v>
      </c>
      <c r="F36" s="91">
        <f t="shared" si="7"/>
        <v>0</v>
      </c>
      <c r="G36" s="91">
        <f t="shared" si="8"/>
        <v>0</v>
      </c>
      <c r="H36" s="91">
        <f t="shared" si="9"/>
        <v>0</v>
      </c>
      <c r="I36" s="91">
        <f t="shared" si="10"/>
        <v>0</v>
      </c>
      <c r="J36" s="93"/>
      <c r="K36" s="77"/>
      <c r="L36" s="77"/>
      <c r="M36" s="77"/>
    </row>
    <row r="37" spans="1:48" s="75" customFormat="1" outlineLevel="1">
      <c r="B37" s="88">
        <f>'8.项目规划指标表'!B$9</f>
        <v>0</v>
      </c>
      <c r="C37" s="89">
        <f t="shared" si="4"/>
        <v>0</v>
      </c>
      <c r="D37" s="91">
        <f t="shared" si="5"/>
        <v>0</v>
      </c>
      <c r="E37" s="91">
        <f t="shared" si="6"/>
        <v>0</v>
      </c>
      <c r="F37" s="91">
        <f t="shared" si="7"/>
        <v>0</v>
      </c>
      <c r="G37" s="91">
        <f t="shared" si="8"/>
        <v>0</v>
      </c>
      <c r="H37" s="91">
        <f t="shared" si="9"/>
        <v>0</v>
      </c>
      <c r="I37" s="91">
        <f t="shared" si="10"/>
        <v>0</v>
      </c>
      <c r="J37" s="93"/>
      <c r="K37" s="77"/>
      <c r="L37" s="77"/>
      <c r="M37" s="77"/>
    </row>
    <row r="38" spans="1:48" s="75" customFormat="1" outlineLevel="1">
      <c r="B38" s="88">
        <f>'8.项目规划指标表'!B$10</f>
        <v>0</v>
      </c>
      <c r="C38" s="89">
        <f t="shared" si="4"/>
        <v>0</v>
      </c>
      <c r="D38" s="91">
        <f t="shared" si="5"/>
        <v>0</v>
      </c>
      <c r="E38" s="91">
        <f t="shared" si="6"/>
        <v>0</v>
      </c>
      <c r="F38" s="91">
        <f t="shared" si="7"/>
        <v>0</v>
      </c>
      <c r="G38" s="91">
        <f t="shared" si="8"/>
        <v>0</v>
      </c>
      <c r="H38" s="91">
        <f t="shared" si="9"/>
        <v>0</v>
      </c>
      <c r="I38" s="91">
        <f t="shared" si="10"/>
        <v>0</v>
      </c>
      <c r="J38" s="93"/>
      <c r="K38" s="77"/>
      <c r="L38" s="77"/>
      <c r="M38" s="77"/>
    </row>
    <row r="39" spans="1:48" s="75" customFormat="1" outlineLevel="1">
      <c r="B39" s="88">
        <f>'8.项目规划指标表'!B$11</f>
        <v>0</v>
      </c>
      <c r="C39" s="89">
        <f t="shared" si="4"/>
        <v>0</v>
      </c>
      <c r="D39" s="91">
        <f t="shared" si="5"/>
        <v>0</v>
      </c>
      <c r="E39" s="91">
        <f t="shared" si="6"/>
        <v>0</v>
      </c>
      <c r="F39" s="91">
        <f t="shared" si="7"/>
        <v>0</v>
      </c>
      <c r="G39" s="91">
        <f t="shared" si="8"/>
        <v>0</v>
      </c>
      <c r="H39" s="91">
        <f t="shared" si="9"/>
        <v>0</v>
      </c>
      <c r="I39" s="91">
        <f t="shared" si="10"/>
        <v>0</v>
      </c>
      <c r="J39" s="93"/>
      <c r="K39" s="77"/>
      <c r="L39" s="77"/>
      <c r="M39" s="77"/>
    </row>
    <row r="40" spans="1:48" s="75" customFormat="1" outlineLevel="1">
      <c r="B40" s="88">
        <f>'8.项目规划指标表'!B$12</f>
        <v>0</v>
      </c>
      <c r="C40" s="89">
        <f t="shared" si="4"/>
        <v>0</v>
      </c>
      <c r="D40" s="91">
        <f t="shared" si="5"/>
        <v>0</v>
      </c>
      <c r="E40" s="91">
        <f t="shared" si="6"/>
        <v>0</v>
      </c>
      <c r="F40" s="91">
        <f t="shared" si="7"/>
        <v>0</v>
      </c>
      <c r="G40" s="91">
        <f t="shared" si="8"/>
        <v>0</v>
      </c>
      <c r="H40" s="91">
        <f t="shared" si="9"/>
        <v>0</v>
      </c>
      <c r="I40" s="91">
        <f t="shared" si="10"/>
        <v>0</v>
      </c>
      <c r="J40" s="93"/>
      <c r="K40" s="77"/>
      <c r="L40" s="77"/>
      <c r="M40" s="77"/>
    </row>
    <row r="41" spans="1:48" s="75" customFormat="1" outlineLevel="1">
      <c r="B41" s="88">
        <f>'8.项目规划指标表'!B$13</f>
        <v>0</v>
      </c>
      <c r="C41" s="89">
        <f t="shared" si="4"/>
        <v>0</v>
      </c>
      <c r="D41" s="91">
        <f t="shared" si="5"/>
        <v>0</v>
      </c>
      <c r="E41" s="91">
        <f t="shared" si="6"/>
        <v>0</v>
      </c>
      <c r="F41" s="91">
        <f t="shared" si="7"/>
        <v>0</v>
      </c>
      <c r="G41" s="91">
        <f t="shared" si="8"/>
        <v>0</v>
      </c>
      <c r="H41" s="91">
        <f t="shared" si="9"/>
        <v>0</v>
      </c>
      <c r="I41" s="91">
        <f t="shared" si="10"/>
        <v>0</v>
      </c>
      <c r="J41" s="93"/>
      <c r="K41" s="77"/>
      <c r="L41" s="77"/>
      <c r="M41" s="77"/>
    </row>
    <row r="42" spans="1:48" s="75" customFormat="1" outlineLevel="1">
      <c r="B42" s="88" t="str">
        <f>'8.项目规划指标表'!B$14</f>
        <v>自持物业</v>
      </c>
      <c r="C42" s="90"/>
      <c r="D42" s="90"/>
      <c r="E42" s="90"/>
      <c r="F42" s="90"/>
      <c r="G42" s="90"/>
      <c r="H42" s="90"/>
      <c r="I42" s="90"/>
      <c r="J42" s="93"/>
      <c r="K42" s="77"/>
      <c r="L42" s="77"/>
      <c r="M42" s="77"/>
    </row>
    <row r="43" spans="1:48" s="75" customFormat="1" outlineLevel="1">
      <c r="B43" s="88" t="str">
        <f>'8.项目规划指标表'!B$18</f>
        <v>有产权车库(个)</v>
      </c>
      <c r="C43" s="89">
        <f t="shared" si="4"/>
        <v>26.185472166418233</v>
      </c>
      <c r="D43" s="91">
        <f t="shared" si="5"/>
        <v>26.185472166418233</v>
      </c>
      <c r="E43" s="91">
        <f t="shared" si="6"/>
        <v>0</v>
      </c>
      <c r="F43" s="91">
        <f t="shared" si="7"/>
        <v>0</v>
      </c>
      <c r="G43" s="91">
        <f t="shared" si="8"/>
        <v>0</v>
      </c>
      <c r="H43" s="91">
        <f t="shared" si="9"/>
        <v>0</v>
      </c>
      <c r="I43" s="91">
        <f t="shared" si="10"/>
        <v>0</v>
      </c>
      <c r="J43" s="93"/>
      <c r="K43" s="77"/>
      <c r="L43" s="77"/>
      <c r="M43" s="77"/>
    </row>
    <row r="44" spans="1:48" s="75" customFormat="1" outlineLevel="1">
      <c r="B44" s="88" t="str">
        <f>'8.项目规划指标表'!B$19</f>
        <v>无产权车库(个)</v>
      </c>
      <c r="C44" s="89">
        <f t="shared" si="4"/>
        <v>0</v>
      </c>
      <c r="D44" s="91">
        <f t="shared" si="5"/>
        <v>0</v>
      </c>
      <c r="E44" s="91">
        <f t="shared" si="6"/>
        <v>0</v>
      </c>
      <c r="F44" s="91">
        <f t="shared" si="7"/>
        <v>0</v>
      </c>
      <c r="G44" s="91">
        <f t="shared" si="8"/>
        <v>0</v>
      </c>
      <c r="H44" s="91">
        <f t="shared" si="9"/>
        <v>0</v>
      </c>
      <c r="I44" s="91">
        <f t="shared" si="10"/>
        <v>0</v>
      </c>
      <c r="J44" s="93"/>
      <c r="K44" s="77"/>
      <c r="L44" s="77"/>
      <c r="M44" s="77"/>
    </row>
    <row r="45" spans="1:48" s="75" customFormat="1" ht="14.25" customHeight="1">
      <c r="A45" s="85"/>
      <c r="B45" s="86" t="s">
        <v>602</v>
      </c>
      <c r="C45" s="87">
        <f t="shared" si="4"/>
        <v>50.296597480000003</v>
      </c>
      <c r="D45" s="87">
        <f>SUM(D46:D57)</f>
        <v>50.296597480000003</v>
      </c>
      <c r="E45" s="87">
        <f>SUM(E46:E57)</f>
        <v>0</v>
      </c>
      <c r="F45" s="87">
        <f>SUM(F46:F57)</f>
        <v>0</v>
      </c>
      <c r="G45" s="87">
        <f>SUM(G46:G57)</f>
        <v>0</v>
      </c>
      <c r="H45" s="87">
        <f t="shared" ref="H45:I45" si="11">SUM(H46:H57)</f>
        <v>0</v>
      </c>
      <c r="I45" s="87">
        <f t="shared" si="11"/>
        <v>0</v>
      </c>
      <c r="J45" s="95"/>
      <c r="K45" s="94"/>
      <c r="L45" s="92"/>
      <c r="M45" s="78"/>
      <c r="N45" s="85"/>
      <c r="O45" s="85"/>
      <c r="P45" s="94"/>
      <c r="Q45" s="92"/>
      <c r="R45" s="78"/>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c r="AU45" s="85"/>
      <c r="AV45" s="85"/>
    </row>
    <row r="46" spans="1:48" s="75" customFormat="1" ht="12" customHeight="1" outlineLevel="1">
      <c r="B46" s="88" t="str">
        <f>'8.项目规划指标表'!B$5</f>
        <v>高层</v>
      </c>
      <c r="C46" s="89">
        <f t="shared" si="4"/>
        <v>43.565397480000001</v>
      </c>
      <c r="D46" s="91">
        <f>D7*1.1*('2.税率表'!$D$15+'2.税率表'!$D$16+'2.税率表'!$D$18)</f>
        <v>43.565397480000001</v>
      </c>
      <c r="E46" s="91">
        <f>E7*1.1*('2.税率表'!$D$15+'2.税率表'!$D$16+'2.税率表'!$D$18)</f>
        <v>0</v>
      </c>
      <c r="F46" s="91">
        <f>F7*1.1*('2.税率表'!$D$15+'2.税率表'!$D$16+'2.税率表'!$D$18)</f>
        <v>0</v>
      </c>
      <c r="G46" s="91">
        <f>G7*1.1*('2.税率表'!$D$15+'2.税率表'!$D$16+'2.税率表'!$D$18)</f>
        <v>0</v>
      </c>
      <c r="H46" s="91">
        <f>H7*1.1*('2.税率表'!$D$15+'2.税率表'!$D$16+'2.税率表'!$D$18)</f>
        <v>0</v>
      </c>
      <c r="I46" s="91">
        <f>I7*1.1*('2.税率表'!$D$15+'2.税率表'!$D$16+'2.税率表'!$D$18)</f>
        <v>0</v>
      </c>
      <c r="J46" s="96"/>
      <c r="K46" s="77"/>
      <c r="L46" s="77"/>
      <c r="M46" s="77"/>
    </row>
    <row r="47" spans="1:48" s="75" customFormat="1" outlineLevel="1">
      <c r="B47" s="88" t="str">
        <f>'8.项目规划指标表'!B$6</f>
        <v>商铺</v>
      </c>
      <c r="C47" s="89">
        <f t="shared" ref="C47:C58" si="12">SUM(D47:I47)</f>
        <v>4.3680000000000003</v>
      </c>
      <c r="D47" s="91">
        <f>D8*1.1*('2.税率表'!$D$15+'2.税率表'!$D$16+'2.税率表'!$D$18)</f>
        <v>4.3680000000000003</v>
      </c>
      <c r="E47" s="91">
        <f>E8*1.1*('2.税率表'!$D$15+'2.税率表'!$D$16+'2.税率表'!$D$18)</f>
        <v>0</v>
      </c>
      <c r="F47" s="91">
        <f>F8*1.1*('2.税率表'!$D$15+'2.税率表'!$D$16+'2.税率表'!$D$18)</f>
        <v>0</v>
      </c>
      <c r="G47" s="91">
        <f>G8*1.1*('2.税率表'!$D$15+'2.税率表'!$D$16+'2.税率表'!$D$18)</f>
        <v>0</v>
      </c>
      <c r="H47" s="91">
        <f>H8*1.1*('2.税率表'!$D$15+'2.税率表'!$D$16+'2.税率表'!$D$18)</f>
        <v>0</v>
      </c>
      <c r="I47" s="91">
        <f>I8*1.1*('2.税率表'!$D$15+'2.税率表'!$D$16+'2.税率表'!$D$18)</f>
        <v>0</v>
      </c>
      <c r="J47" s="96"/>
      <c r="K47" s="77"/>
      <c r="L47" s="77"/>
      <c r="M47" s="77"/>
    </row>
    <row r="48" spans="1:48" s="75" customFormat="1" outlineLevel="1">
      <c r="B48" s="88" t="str">
        <f>'8.项目规划指标表'!B$7</f>
        <v>回迁商业</v>
      </c>
      <c r="C48" s="89">
        <f t="shared" si="12"/>
        <v>0</v>
      </c>
      <c r="D48" s="91">
        <f>D9*1.1*('2.税率表'!$D$15+'2.税率表'!$D$16+'2.税率表'!$D$18)</f>
        <v>0</v>
      </c>
      <c r="E48" s="91">
        <f>E9*1.1*('2.税率表'!$D$15+'2.税率表'!$D$16+'2.税率表'!$D$18)</f>
        <v>0</v>
      </c>
      <c r="F48" s="91">
        <f>F9*1.1*('2.税率表'!$D$15+'2.税率表'!$D$16+'2.税率表'!$D$18)</f>
        <v>0</v>
      </c>
      <c r="G48" s="91">
        <f>G9*1.1*('2.税率表'!$D$15+'2.税率表'!$D$16+'2.税率表'!$D$18)</f>
        <v>0</v>
      </c>
      <c r="H48" s="91">
        <f>H9*1.1*('2.税率表'!$D$15+'2.税率表'!$D$16+'2.税率表'!$D$18)</f>
        <v>0</v>
      </c>
      <c r="I48" s="91">
        <f>I9*1.1*('2.税率表'!$D$15+'2.税率表'!$D$16+'2.税率表'!$D$18)</f>
        <v>0</v>
      </c>
      <c r="J48" s="96"/>
      <c r="K48" s="77"/>
      <c r="L48" s="77"/>
      <c r="M48" s="77"/>
    </row>
    <row r="49" spans="1:48" s="75" customFormat="1" outlineLevel="1">
      <c r="B49" s="88">
        <f>'8.项目规划指标表'!B$8</f>
        <v>0</v>
      </c>
      <c r="C49" s="89">
        <f t="shared" si="12"/>
        <v>0</v>
      </c>
      <c r="D49" s="91">
        <f>D10*1.1*('2.税率表'!$D$15+'2.税率表'!$D$16+'2.税率表'!$D$18)</f>
        <v>0</v>
      </c>
      <c r="E49" s="91">
        <f>E10*1.1*('2.税率表'!$D$15+'2.税率表'!$D$16+'2.税率表'!$D$18)</f>
        <v>0</v>
      </c>
      <c r="F49" s="91">
        <f>F10*1.1*('2.税率表'!$D$15+'2.税率表'!$D$16+'2.税率表'!$D$18)</f>
        <v>0</v>
      </c>
      <c r="G49" s="91">
        <f>G10*1.1*('2.税率表'!$D$15+'2.税率表'!$D$16+'2.税率表'!$D$18)</f>
        <v>0</v>
      </c>
      <c r="H49" s="91">
        <f>H10*1.1*('2.税率表'!$D$15+'2.税率表'!$D$16+'2.税率表'!$D$18)</f>
        <v>0</v>
      </c>
      <c r="I49" s="91">
        <f>I10*1.1*('2.税率表'!$D$15+'2.税率表'!$D$16+'2.税率表'!$D$18)</f>
        <v>0</v>
      </c>
      <c r="J49" s="96"/>
      <c r="K49" s="77"/>
      <c r="L49" s="77"/>
      <c r="M49" s="77"/>
    </row>
    <row r="50" spans="1:48" s="75" customFormat="1" outlineLevel="1">
      <c r="B50" s="88">
        <f>'8.项目规划指标表'!B$9</f>
        <v>0</v>
      </c>
      <c r="C50" s="89">
        <f t="shared" si="12"/>
        <v>0</v>
      </c>
      <c r="D50" s="91">
        <f>D11*1.1*('2.税率表'!$D$15+'2.税率表'!$D$16+'2.税率表'!$D$18)</f>
        <v>0</v>
      </c>
      <c r="E50" s="91">
        <f>E11*1.1*('2.税率表'!$D$15+'2.税率表'!$D$16+'2.税率表'!$D$18)</f>
        <v>0</v>
      </c>
      <c r="F50" s="91">
        <f>F11*1.1*('2.税率表'!$D$15+'2.税率表'!$D$16+'2.税率表'!$D$18)</f>
        <v>0</v>
      </c>
      <c r="G50" s="91">
        <f>G11*1.1*('2.税率表'!$D$15+'2.税率表'!$D$16+'2.税率表'!$D$18)</f>
        <v>0</v>
      </c>
      <c r="H50" s="91">
        <f>H11*1.1*('2.税率表'!$D$15+'2.税率表'!$D$16+'2.税率表'!$D$18)</f>
        <v>0</v>
      </c>
      <c r="I50" s="91">
        <f>I11*1.1*('2.税率表'!$D$15+'2.税率表'!$D$16+'2.税率表'!$D$18)</f>
        <v>0</v>
      </c>
      <c r="J50" s="96"/>
      <c r="K50" s="77"/>
      <c r="L50" s="77"/>
      <c r="M50" s="77"/>
    </row>
    <row r="51" spans="1:48" s="75" customFormat="1" outlineLevel="1">
      <c r="B51" s="88">
        <f>'8.项目规划指标表'!B$10</f>
        <v>0</v>
      </c>
      <c r="C51" s="89">
        <f t="shared" si="12"/>
        <v>0</v>
      </c>
      <c r="D51" s="91">
        <f>D12*1.1*('2.税率表'!$D$15+'2.税率表'!$D$16+'2.税率表'!$D$18)</f>
        <v>0</v>
      </c>
      <c r="E51" s="91">
        <f>E12*1.1*('2.税率表'!$D$15+'2.税率表'!$D$16+'2.税率表'!$D$18)</f>
        <v>0</v>
      </c>
      <c r="F51" s="91">
        <f>F12*1.1*('2.税率表'!$D$15+'2.税率表'!$D$16+'2.税率表'!$D$18)</f>
        <v>0</v>
      </c>
      <c r="G51" s="91">
        <f>G12*1.1*('2.税率表'!$D$15+'2.税率表'!$D$16+'2.税率表'!$D$18)</f>
        <v>0</v>
      </c>
      <c r="H51" s="91">
        <f>H12*1.1*('2.税率表'!$D$15+'2.税率表'!$D$16+'2.税率表'!$D$18)</f>
        <v>0</v>
      </c>
      <c r="I51" s="91">
        <f>I12*1.1*('2.税率表'!$D$15+'2.税率表'!$D$16+'2.税率表'!$D$18)</f>
        <v>0</v>
      </c>
      <c r="J51" s="96"/>
      <c r="K51" s="77"/>
      <c r="L51" s="77"/>
      <c r="M51" s="77"/>
    </row>
    <row r="52" spans="1:48" s="75" customFormat="1" outlineLevel="1">
      <c r="B52" s="88">
        <f>'8.项目规划指标表'!B$11</f>
        <v>0</v>
      </c>
      <c r="C52" s="89">
        <f t="shared" si="12"/>
        <v>0</v>
      </c>
      <c r="D52" s="91">
        <f>D13*1.1*('2.税率表'!$D$15+'2.税率表'!$D$16+'2.税率表'!$D$18)</f>
        <v>0</v>
      </c>
      <c r="E52" s="91">
        <f>E13*1.1*('2.税率表'!$D$15+'2.税率表'!$D$16+'2.税率表'!$D$18)</f>
        <v>0</v>
      </c>
      <c r="F52" s="91">
        <f>F13*1.1*('2.税率表'!$D$15+'2.税率表'!$D$16+'2.税率表'!$D$18)</f>
        <v>0</v>
      </c>
      <c r="G52" s="91">
        <f>G13*1.1*('2.税率表'!$D$15+'2.税率表'!$D$16+'2.税率表'!$D$18)</f>
        <v>0</v>
      </c>
      <c r="H52" s="91">
        <f>H13*1.1*('2.税率表'!$D$15+'2.税率表'!$D$16+'2.税率表'!$D$18)</f>
        <v>0</v>
      </c>
      <c r="I52" s="91">
        <f>I13*1.1*('2.税率表'!$D$15+'2.税率表'!$D$16+'2.税率表'!$D$18)</f>
        <v>0</v>
      </c>
      <c r="J52" s="96"/>
      <c r="K52" s="77"/>
      <c r="L52" s="77"/>
      <c r="M52" s="77"/>
    </row>
    <row r="53" spans="1:48" s="75" customFormat="1" outlineLevel="1">
      <c r="B53" s="88">
        <f>'8.项目规划指标表'!B$12</f>
        <v>0</v>
      </c>
      <c r="C53" s="89">
        <f t="shared" si="12"/>
        <v>0</v>
      </c>
      <c r="D53" s="91">
        <f>D14*1.1*('2.税率表'!$D$15+'2.税率表'!$D$16+'2.税率表'!$D$18)</f>
        <v>0</v>
      </c>
      <c r="E53" s="91">
        <f>E14*1.1*('2.税率表'!$D$15+'2.税率表'!$D$16+'2.税率表'!$D$18)</f>
        <v>0</v>
      </c>
      <c r="F53" s="91">
        <f>F14*1.1*('2.税率表'!$D$15+'2.税率表'!$D$16+'2.税率表'!$D$18)</f>
        <v>0</v>
      </c>
      <c r="G53" s="91">
        <f>G14*1.1*('2.税率表'!$D$15+'2.税率表'!$D$16+'2.税率表'!$D$18)</f>
        <v>0</v>
      </c>
      <c r="H53" s="91">
        <f>H14*1.1*('2.税率表'!$D$15+'2.税率表'!$D$16+'2.税率表'!$D$18)</f>
        <v>0</v>
      </c>
      <c r="I53" s="91">
        <f>I14*1.1*('2.税率表'!$D$15+'2.税率表'!$D$16+'2.税率表'!$D$18)</f>
        <v>0</v>
      </c>
      <c r="J53" s="96"/>
      <c r="K53" s="77"/>
      <c r="L53" s="77"/>
      <c r="M53" s="77"/>
    </row>
    <row r="54" spans="1:48" s="75" customFormat="1" outlineLevel="1">
      <c r="B54" s="88">
        <f>'8.项目规划指标表'!B$13</f>
        <v>0</v>
      </c>
      <c r="C54" s="89">
        <f t="shared" si="12"/>
        <v>0</v>
      </c>
      <c r="D54" s="91">
        <f>D15*1.1*('2.税率表'!$D$15+'2.税率表'!$D$16+'2.税率表'!$D$18)</f>
        <v>0</v>
      </c>
      <c r="E54" s="91">
        <f>E15*1.1*('2.税率表'!$D$15+'2.税率表'!$D$16+'2.税率表'!$D$18)</f>
        <v>0</v>
      </c>
      <c r="F54" s="91">
        <f>F15*1.1*('2.税率表'!$D$15+'2.税率表'!$D$16+'2.税率表'!$D$18)</f>
        <v>0</v>
      </c>
      <c r="G54" s="91">
        <f>G15*1.1*('2.税率表'!$D$15+'2.税率表'!$D$16+'2.税率表'!$D$18)</f>
        <v>0</v>
      </c>
      <c r="H54" s="91">
        <f>H15*1.1*('2.税率表'!$D$15+'2.税率表'!$D$16+'2.税率表'!$D$18)</f>
        <v>0</v>
      </c>
      <c r="I54" s="91">
        <f>I15*1.1*('2.税率表'!$D$15+'2.税率表'!$D$16+'2.税率表'!$D$18)</f>
        <v>0</v>
      </c>
      <c r="J54" s="96"/>
      <c r="K54" s="77"/>
      <c r="L54" s="77"/>
      <c r="M54" s="77"/>
    </row>
    <row r="55" spans="1:48" s="75" customFormat="1" outlineLevel="1">
      <c r="B55" s="88" t="str">
        <f>'8.项目规划指标表'!B$14</f>
        <v>自持物业</v>
      </c>
      <c r="C55" s="90"/>
      <c r="D55" s="90"/>
      <c r="E55" s="90"/>
      <c r="F55" s="90"/>
      <c r="G55" s="90"/>
      <c r="H55" s="90"/>
      <c r="I55" s="90"/>
      <c r="J55" s="96"/>
      <c r="K55" s="77"/>
      <c r="L55" s="77"/>
      <c r="M55" s="77"/>
    </row>
    <row r="56" spans="1:48" s="75" customFormat="1" outlineLevel="1">
      <c r="B56" s="88" t="str">
        <f>'8.项目规划指标表'!B$18</f>
        <v>有产权车库(个)</v>
      </c>
      <c r="C56" s="89">
        <f t="shared" si="12"/>
        <v>2.3632</v>
      </c>
      <c r="D56" s="91">
        <f>D17*1.1*('2.税率表'!$D$15+'2.税率表'!$D$16+'2.税率表'!$D$18)</f>
        <v>2.3632</v>
      </c>
      <c r="E56" s="91">
        <f>E17*1.1*('2.税率表'!$D$15+'2.税率表'!$D$16+'2.税率表'!$D$18)</f>
        <v>0</v>
      </c>
      <c r="F56" s="91">
        <f>F17*1.1*('2.税率表'!$D$15+'2.税率表'!$D$16+'2.税率表'!$D$18)</f>
        <v>0</v>
      </c>
      <c r="G56" s="91">
        <f>G17*1.1*('2.税率表'!$D$15+'2.税率表'!$D$16+'2.税率表'!$D$18)</f>
        <v>0</v>
      </c>
      <c r="H56" s="91">
        <f>H17*1.1*('2.税率表'!$D$15+'2.税率表'!$D$16+'2.税率表'!$D$18)</f>
        <v>0</v>
      </c>
      <c r="I56" s="91">
        <f>I17*1.1*('2.税率表'!$D$15+'2.税率表'!$D$16+'2.税率表'!$D$18)</f>
        <v>0</v>
      </c>
      <c r="J56" s="96"/>
      <c r="K56" s="77"/>
      <c r="L56" s="77"/>
      <c r="M56" s="77"/>
    </row>
    <row r="57" spans="1:48" s="75" customFormat="1" outlineLevel="1">
      <c r="B57" s="88" t="str">
        <f>'8.项目规划指标表'!B$19</f>
        <v>无产权车库(个)</v>
      </c>
      <c r="C57" s="89">
        <f t="shared" si="12"/>
        <v>0</v>
      </c>
      <c r="D57" s="91">
        <f>D18*1.1*('2.税率表'!$D$15+'2.税率表'!$D$16+'2.税率表'!$D$18)</f>
        <v>0</v>
      </c>
      <c r="E57" s="91">
        <f>E18*1.1*('2.税率表'!$D$15+'2.税率表'!$D$16+'2.税率表'!$D$18)</f>
        <v>0</v>
      </c>
      <c r="F57" s="91">
        <f>F18*1.1*('2.税率表'!$D$15+'2.税率表'!$D$16+'2.税率表'!$D$18)</f>
        <v>0</v>
      </c>
      <c r="G57" s="91">
        <f>G18*1.1*('2.税率表'!$D$15+'2.税率表'!$D$16+'2.税率表'!$D$18)</f>
        <v>0</v>
      </c>
      <c r="H57" s="91">
        <f>H18*1.1*('2.税率表'!$D$15+'2.税率表'!$D$16+'2.税率表'!$D$18)</f>
        <v>0</v>
      </c>
      <c r="I57" s="91">
        <f>I18*1.1*('2.税率表'!$D$15+'2.税率表'!$D$16+'2.税率表'!$D$18)</f>
        <v>0</v>
      </c>
      <c r="J57" s="96"/>
      <c r="K57" s="77"/>
      <c r="L57" s="77"/>
      <c r="M57" s="77"/>
    </row>
    <row r="58" spans="1:48" s="75" customFormat="1" ht="14.25" customHeight="1">
      <c r="A58" s="85"/>
      <c r="B58" s="86" t="s">
        <v>377</v>
      </c>
      <c r="C58" s="87">
        <f t="shared" ca="1" si="12"/>
        <v>9523.1454048467731</v>
      </c>
      <c r="D58" s="87">
        <f ca="1">'15.土地增值税'!C21</f>
        <v>9523.1454048467731</v>
      </c>
      <c r="E58" s="87">
        <f ca="1">'15.土地增值税'!C39</f>
        <v>0</v>
      </c>
      <c r="F58" s="87">
        <f ca="1">'15.土地增值税'!C57</f>
        <v>0</v>
      </c>
      <c r="G58" s="87">
        <f ca="1">'15.土地增值税'!C75</f>
        <v>0</v>
      </c>
      <c r="H58" s="87">
        <f ca="1">'15.土地增值税'!C93</f>
        <v>0</v>
      </c>
      <c r="I58" s="87">
        <f ca="1">'15.土地增值税'!C111</f>
        <v>0</v>
      </c>
      <c r="J58" s="92"/>
      <c r="K58" s="94"/>
      <c r="L58" s="92"/>
      <c r="M58" s="78"/>
      <c r="N58" s="85"/>
      <c r="O58" s="85"/>
      <c r="P58" s="94"/>
      <c r="Q58" s="92"/>
      <c r="R58" s="78"/>
      <c r="S58" s="85"/>
      <c r="T58" s="85"/>
      <c r="U58" s="85"/>
      <c r="V58" s="85"/>
      <c r="W58" s="85"/>
      <c r="X58" s="85"/>
      <c r="Y58" s="85"/>
      <c r="Z58" s="85"/>
      <c r="AA58" s="85"/>
      <c r="AB58" s="85"/>
      <c r="AC58" s="85"/>
      <c r="AD58" s="85"/>
      <c r="AE58" s="85"/>
      <c r="AF58" s="85"/>
      <c r="AG58" s="85"/>
      <c r="AH58" s="85"/>
      <c r="AI58" s="85"/>
      <c r="AJ58" s="85"/>
      <c r="AK58" s="85"/>
      <c r="AL58" s="85"/>
      <c r="AM58" s="85"/>
      <c r="AN58" s="85"/>
      <c r="AO58" s="85"/>
      <c r="AP58" s="85"/>
      <c r="AQ58" s="85"/>
      <c r="AR58" s="85"/>
      <c r="AS58" s="85"/>
      <c r="AT58" s="85"/>
      <c r="AU58" s="85"/>
      <c r="AV58" s="85"/>
    </row>
    <row r="59" spans="1:48" s="75" customFormat="1" ht="13.5" customHeight="1" outlineLevel="1">
      <c r="B59" s="88" t="str">
        <f>'8.项目规划指标表'!B$5</f>
        <v>高层</v>
      </c>
      <c r="C59" s="89">
        <f t="shared" ref="C59:C71" ca="1" si="13">SUM(D59:I59)</f>
        <v>9523.1454048467731</v>
      </c>
      <c r="D59" s="89">
        <f ca="1">'15.土地增值税'!$D$21</f>
        <v>9523.1454048467731</v>
      </c>
      <c r="E59" s="89">
        <f ca="1">'15.土地增值税'!$D$39</f>
        <v>0</v>
      </c>
      <c r="F59" s="89">
        <f ca="1">'15.土地增值税'!$D$57</f>
        <v>0</v>
      </c>
      <c r="G59" s="89">
        <f ca="1">'15.土地增值税'!$D$75</f>
        <v>0</v>
      </c>
      <c r="H59" s="89">
        <f ca="1">'15.土地增值税'!$D$93</f>
        <v>0</v>
      </c>
      <c r="I59" s="89">
        <f ca="1">'15.土地增值税'!$D$111</f>
        <v>0</v>
      </c>
      <c r="J59" s="93"/>
      <c r="K59" s="77"/>
      <c r="L59" s="77"/>
      <c r="M59" s="77"/>
    </row>
    <row r="60" spans="1:48" s="75" customFormat="1" outlineLevel="1">
      <c r="B60" s="88" t="str">
        <f>'8.项目规划指标表'!B$6</f>
        <v>商铺</v>
      </c>
      <c r="C60" s="89">
        <f t="shared" ca="1" si="13"/>
        <v>0</v>
      </c>
      <c r="D60" s="89">
        <f ca="1">'15.土地增值税'!$E$21</f>
        <v>0</v>
      </c>
      <c r="E60" s="89">
        <f ca="1">'15.土地增值税'!$E$39</f>
        <v>0</v>
      </c>
      <c r="F60" s="89">
        <f ca="1">'15.土地增值税'!$E$57</f>
        <v>0</v>
      </c>
      <c r="G60" s="89">
        <f ca="1">'15.土地增值税'!$E$75</f>
        <v>0</v>
      </c>
      <c r="H60" s="89">
        <f ca="1">'15.土地增值税'!$E$93</f>
        <v>0</v>
      </c>
      <c r="I60" s="89">
        <f ca="1">'15.土地增值税'!$E$111</f>
        <v>0</v>
      </c>
      <c r="J60" s="93"/>
      <c r="K60" s="77"/>
      <c r="L60" s="77"/>
      <c r="M60" s="77"/>
    </row>
    <row r="61" spans="1:48" s="75" customFormat="1" outlineLevel="1">
      <c r="B61" s="88" t="str">
        <f>'8.项目规划指标表'!B$7</f>
        <v>回迁商业</v>
      </c>
      <c r="C61" s="89">
        <f t="shared" ca="1" si="13"/>
        <v>0</v>
      </c>
      <c r="D61" s="89">
        <f>'15.土地增值税'!$F$21</f>
        <v>0</v>
      </c>
      <c r="E61" s="89">
        <f ca="1">'15.土地增值税'!$F$39</f>
        <v>0</v>
      </c>
      <c r="F61" s="89">
        <f ca="1">'15.土地增值税'!$F$57</f>
        <v>0</v>
      </c>
      <c r="G61" s="89">
        <f ca="1">'15.土地增值税'!$F$75</f>
        <v>0</v>
      </c>
      <c r="H61" s="89">
        <f ca="1">'15.土地增值税'!$F$93</f>
        <v>0</v>
      </c>
      <c r="I61" s="89">
        <f ca="1">'15.土地增值税'!$F$111</f>
        <v>0</v>
      </c>
      <c r="J61" s="93"/>
      <c r="K61" s="77"/>
      <c r="L61" s="77"/>
      <c r="M61" s="77"/>
    </row>
    <row r="62" spans="1:48" s="75" customFormat="1" outlineLevel="1">
      <c r="B62" s="88">
        <f>'8.项目规划指标表'!B$8</f>
        <v>0</v>
      </c>
      <c r="C62" s="89">
        <f t="shared" ca="1" si="13"/>
        <v>0</v>
      </c>
      <c r="D62" s="89">
        <f>'15.土地增值税'!$G$21</f>
        <v>0</v>
      </c>
      <c r="E62" s="89">
        <f ca="1">'15.土地增值税'!$G$39</f>
        <v>0</v>
      </c>
      <c r="F62" s="89">
        <f ca="1">'15.土地增值税'!$G$57</f>
        <v>0</v>
      </c>
      <c r="G62" s="89">
        <f ca="1">'15.土地增值税'!$G$75</f>
        <v>0</v>
      </c>
      <c r="H62" s="89">
        <f ca="1">'15.土地增值税'!$G$93</f>
        <v>0</v>
      </c>
      <c r="I62" s="89">
        <f ca="1">'15.土地增值税'!$G$111</f>
        <v>0</v>
      </c>
      <c r="J62" s="93"/>
      <c r="K62" s="77"/>
      <c r="L62" s="77"/>
      <c r="M62" s="77"/>
    </row>
    <row r="63" spans="1:48" s="75" customFormat="1" outlineLevel="1">
      <c r="B63" s="88">
        <f>'8.项目规划指标表'!B$9</f>
        <v>0</v>
      </c>
      <c r="C63" s="89">
        <f t="shared" ca="1" si="13"/>
        <v>0</v>
      </c>
      <c r="D63" s="89">
        <f>'15.土地增值税'!$H$21</f>
        <v>0</v>
      </c>
      <c r="E63" s="89">
        <f ca="1">'15.土地增值税'!$H$39</f>
        <v>0</v>
      </c>
      <c r="F63" s="89">
        <f ca="1">'15.土地增值税'!$H$57</f>
        <v>0</v>
      </c>
      <c r="G63" s="89">
        <f ca="1">'15.土地增值税'!$H$75</f>
        <v>0</v>
      </c>
      <c r="H63" s="89">
        <f ca="1">'15.土地增值税'!$H$93</f>
        <v>0</v>
      </c>
      <c r="I63" s="89">
        <f ca="1">'15.土地增值税'!$H$111</f>
        <v>0</v>
      </c>
      <c r="J63" s="93"/>
      <c r="K63" s="77"/>
      <c r="L63" s="77"/>
      <c r="M63" s="77"/>
    </row>
    <row r="64" spans="1:48" s="75" customFormat="1" outlineLevel="1">
      <c r="B64" s="88">
        <f>'8.项目规划指标表'!B$10</f>
        <v>0</v>
      </c>
      <c r="C64" s="89">
        <f t="shared" ca="1" si="13"/>
        <v>0</v>
      </c>
      <c r="D64" s="89">
        <f>'15.土地增值税'!$I$21</f>
        <v>0</v>
      </c>
      <c r="E64" s="89">
        <f ca="1">'15.土地增值税'!$I$39</f>
        <v>0</v>
      </c>
      <c r="F64" s="89">
        <f ca="1">'15.土地增值税'!$I$57</f>
        <v>0</v>
      </c>
      <c r="G64" s="89">
        <f ca="1">'15.土地增值税'!$I$75</f>
        <v>0</v>
      </c>
      <c r="H64" s="89">
        <f ca="1">'15.土地增值税'!$I$93</f>
        <v>0</v>
      </c>
      <c r="I64" s="89">
        <f ca="1">'15.土地增值税'!$I$111</f>
        <v>0</v>
      </c>
      <c r="J64" s="93"/>
      <c r="K64" s="77"/>
      <c r="L64" s="77"/>
      <c r="M64" s="77"/>
    </row>
    <row r="65" spans="1:48" s="75" customFormat="1" outlineLevel="1">
      <c r="B65" s="88">
        <f>'8.项目规划指标表'!B$11</f>
        <v>0</v>
      </c>
      <c r="C65" s="89">
        <f t="shared" ca="1" si="13"/>
        <v>0</v>
      </c>
      <c r="D65" s="89">
        <f>'15.土地增值税'!$J$21</f>
        <v>0</v>
      </c>
      <c r="E65" s="89">
        <f ca="1">'15.土地增值税'!$J$39</f>
        <v>0</v>
      </c>
      <c r="F65" s="89">
        <f ca="1">'15.土地增值税'!$J$57</f>
        <v>0</v>
      </c>
      <c r="G65" s="89">
        <f ca="1">'15.土地增值税'!$J$75</f>
        <v>0</v>
      </c>
      <c r="H65" s="89">
        <f ca="1">'15.土地增值税'!$J$93</f>
        <v>0</v>
      </c>
      <c r="I65" s="89">
        <f ca="1">'15.土地增值税'!$J$111</f>
        <v>0</v>
      </c>
      <c r="J65" s="93"/>
      <c r="K65" s="77"/>
      <c r="L65" s="77"/>
      <c r="M65" s="77"/>
    </row>
    <row r="66" spans="1:48" s="75" customFormat="1" outlineLevel="1">
      <c r="B66" s="88">
        <f>'8.项目规划指标表'!B$12</f>
        <v>0</v>
      </c>
      <c r="C66" s="89">
        <f t="shared" ca="1" si="13"/>
        <v>0</v>
      </c>
      <c r="D66" s="89">
        <f>'15.土地增值税'!$K$21</f>
        <v>0</v>
      </c>
      <c r="E66" s="89">
        <f ca="1">'15.土地增值税'!$K$39</f>
        <v>0</v>
      </c>
      <c r="F66" s="89">
        <f ca="1">'15.土地增值税'!$K$57</f>
        <v>0</v>
      </c>
      <c r="G66" s="89">
        <f ca="1">'15.土地增值税'!$K$75</f>
        <v>0</v>
      </c>
      <c r="H66" s="89">
        <f ca="1">'15.土地增值税'!$K$93</f>
        <v>0</v>
      </c>
      <c r="I66" s="89">
        <f ca="1">'15.土地增值税'!$K$111</f>
        <v>0</v>
      </c>
      <c r="J66" s="93"/>
      <c r="K66" s="77"/>
      <c r="L66" s="77"/>
      <c r="M66" s="77"/>
    </row>
    <row r="67" spans="1:48" s="75" customFormat="1" outlineLevel="1">
      <c r="B67" s="88">
        <f>'8.项目规划指标表'!B$13</f>
        <v>0</v>
      </c>
      <c r="C67" s="89">
        <f t="shared" ca="1" si="13"/>
        <v>0</v>
      </c>
      <c r="D67" s="89">
        <f>'15.土地增值税'!$L$21</f>
        <v>0</v>
      </c>
      <c r="E67" s="89">
        <f ca="1">'15.土地增值税'!$L$39</f>
        <v>0</v>
      </c>
      <c r="F67" s="89">
        <f ca="1">'15.土地增值税'!$L$57</f>
        <v>0</v>
      </c>
      <c r="G67" s="89">
        <f ca="1">'15.土地增值税'!$L$75</f>
        <v>0</v>
      </c>
      <c r="H67" s="89">
        <f ca="1">'15.土地增值税'!$L$93</f>
        <v>0</v>
      </c>
      <c r="I67" s="89">
        <f ca="1">'15.土地增值税'!$L$111</f>
        <v>0</v>
      </c>
      <c r="J67" s="93"/>
      <c r="K67" s="77"/>
      <c r="L67" s="77"/>
      <c r="M67" s="77"/>
    </row>
    <row r="68" spans="1:48" s="75" customFormat="1" outlineLevel="1">
      <c r="B68" s="88" t="str">
        <f>'8.项目规划指标表'!B$14</f>
        <v>自持物业</v>
      </c>
      <c r="C68" s="90"/>
      <c r="D68" s="90"/>
      <c r="E68" s="90"/>
      <c r="F68" s="90"/>
      <c r="G68" s="90"/>
      <c r="H68" s="90"/>
      <c r="I68" s="90"/>
      <c r="J68" s="93"/>
      <c r="K68" s="77"/>
      <c r="L68" s="77"/>
      <c r="M68" s="77"/>
    </row>
    <row r="69" spans="1:48" s="75" customFormat="1" outlineLevel="1">
      <c r="B69" s="88" t="str">
        <f>'8.项目规划指标表'!B$18</f>
        <v>有产权车库(个)</v>
      </c>
      <c r="C69" s="89">
        <f t="shared" ca="1" si="13"/>
        <v>0</v>
      </c>
      <c r="D69" s="89">
        <f ca="1">'15.土地增值税'!$N$21</f>
        <v>0</v>
      </c>
      <c r="E69" s="89">
        <f ca="1">'15.土地增值税'!$N$39</f>
        <v>0</v>
      </c>
      <c r="F69" s="89">
        <f ca="1">'15.土地增值税'!$N$57</f>
        <v>0</v>
      </c>
      <c r="G69" s="89">
        <f ca="1">'15.土地增值税'!$N$75</f>
        <v>0</v>
      </c>
      <c r="H69" s="89">
        <f ca="1">'15.土地增值税'!$N$93</f>
        <v>0</v>
      </c>
      <c r="I69" s="89">
        <f ca="1">'15.土地增值税'!$N$111</f>
        <v>0</v>
      </c>
      <c r="J69" s="93"/>
      <c r="K69" s="77"/>
      <c r="L69" s="77"/>
      <c r="M69" s="77"/>
    </row>
    <row r="70" spans="1:48" s="75" customFormat="1" outlineLevel="1">
      <c r="B70" s="88" t="str">
        <f>'8.项目规划指标表'!B$19</f>
        <v>无产权车库(个)</v>
      </c>
      <c r="C70" s="89">
        <f t="shared" ca="1" si="13"/>
        <v>0</v>
      </c>
      <c r="D70" s="89">
        <f>'15.土地增值税'!$O$21</f>
        <v>0</v>
      </c>
      <c r="E70" s="89">
        <f ca="1">'15.土地增值税'!$O$39</f>
        <v>0</v>
      </c>
      <c r="F70" s="89">
        <f ca="1">'15.土地增值税'!$O$57</f>
        <v>0</v>
      </c>
      <c r="G70" s="89">
        <f ca="1">'15.土地增值税'!$O$75</f>
        <v>0</v>
      </c>
      <c r="H70" s="89">
        <f ca="1">'15.土地增值税'!$O$93</f>
        <v>0</v>
      </c>
      <c r="I70" s="89">
        <f ca="1">'15.土地增值税'!$O$111</f>
        <v>0</v>
      </c>
      <c r="J70" s="93"/>
      <c r="K70" s="77"/>
      <c r="L70" s="77"/>
      <c r="M70" s="77"/>
    </row>
    <row r="71" spans="1:48" s="75" customFormat="1" ht="14.25" customHeight="1">
      <c r="A71" s="85"/>
      <c r="B71" s="86" t="s">
        <v>583</v>
      </c>
      <c r="C71" s="87">
        <f t="shared" si="13"/>
        <v>2011.8638991999999</v>
      </c>
      <c r="D71" s="87">
        <f>'1.参数设置'!$E$5*D$6*1.1</f>
        <v>2011.8638991999999</v>
      </c>
      <c r="E71" s="87">
        <f>'1.参数设置'!$E$5*E$6*1.1</f>
        <v>0</v>
      </c>
      <c r="F71" s="87">
        <f>'1.参数设置'!$E$5*F$6*1.1</f>
        <v>0</v>
      </c>
      <c r="G71" s="87">
        <f>'1.参数设置'!$E$5*G$6*1.1</f>
        <v>0</v>
      </c>
      <c r="H71" s="87">
        <f>'1.参数设置'!$E$5*H$6*1.1</f>
        <v>0</v>
      </c>
      <c r="I71" s="87">
        <f>'1.参数设置'!$E$5*I$6*1.1</f>
        <v>0</v>
      </c>
      <c r="J71" s="92"/>
      <c r="K71" s="94"/>
      <c r="L71" s="92"/>
      <c r="M71" s="78"/>
      <c r="N71" s="85"/>
      <c r="O71" s="85"/>
      <c r="P71" s="94"/>
      <c r="Q71" s="92"/>
      <c r="R71" s="78"/>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row>
    <row r="72" spans="1:48" s="75" customFormat="1" ht="12" customHeight="1" outlineLevel="1">
      <c r="B72" s="88" t="str">
        <f>'8.项目规划指标表'!B$5</f>
        <v>高层</v>
      </c>
      <c r="C72" s="89">
        <f t="shared" ref="C72:C84" si="14">SUM(D72:I72)</f>
        <v>1742.6158992000001</v>
      </c>
      <c r="D72" s="89">
        <f>'1.参数设置'!$E$5*D7*1.1</f>
        <v>1742.6158992000001</v>
      </c>
      <c r="E72" s="89">
        <f>'1.参数设置'!$E$5*E7*1.1</f>
        <v>0</v>
      </c>
      <c r="F72" s="89">
        <f>'1.参数设置'!$E$5*F7*1.1</f>
        <v>0</v>
      </c>
      <c r="G72" s="89">
        <f>'1.参数设置'!$E$5*G7*1.1</f>
        <v>0</v>
      </c>
      <c r="H72" s="89">
        <f>'1.参数设置'!$E$5*H7*1.1</f>
        <v>0</v>
      </c>
      <c r="I72" s="89">
        <f>'1.参数设置'!$E$5*I7*1.1</f>
        <v>0</v>
      </c>
      <c r="J72" s="93"/>
      <c r="K72" s="77"/>
      <c r="L72" s="77"/>
      <c r="M72" s="77"/>
    </row>
    <row r="73" spans="1:48" s="75" customFormat="1" outlineLevel="1">
      <c r="B73" s="88" t="str">
        <f>'8.项目规划指标表'!B$6</f>
        <v>商铺</v>
      </c>
      <c r="C73" s="89">
        <f t="shared" si="14"/>
        <v>174.72</v>
      </c>
      <c r="D73" s="89">
        <f>'1.参数设置'!$E$5*D8*1.1</f>
        <v>174.72</v>
      </c>
      <c r="E73" s="89">
        <f>'1.参数设置'!$E$5*E8*1.1</f>
        <v>0</v>
      </c>
      <c r="F73" s="89">
        <f>'1.参数设置'!$E$5*F8*1.1</f>
        <v>0</v>
      </c>
      <c r="G73" s="89">
        <f>'1.参数设置'!$E$5*G8*1.1</f>
        <v>0</v>
      </c>
      <c r="H73" s="89">
        <f>'1.参数设置'!$E$5*H8*1.1</f>
        <v>0</v>
      </c>
      <c r="I73" s="89">
        <f>'1.参数设置'!$E$5*I8*1.1</f>
        <v>0</v>
      </c>
      <c r="J73" s="93"/>
      <c r="K73" s="77"/>
      <c r="L73" s="77"/>
      <c r="M73" s="77"/>
    </row>
    <row r="74" spans="1:48" s="75" customFormat="1" outlineLevel="1">
      <c r="B74" s="88" t="str">
        <f>'8.项目规划指标表'!B$7</f>
        <v>回迁商业</v>
      </c>
      <c r="C74" s="89">
        <f t="shared" si="14"/>
        <v>0</v>
      </c>
      <c r="D74" s="89">
        <f>'1.参数设置'!$E$5*D9*1.1</f>
        <v>0</v>
      </c>
      <c r="E74" s="89">
        <f>'1.参数设置'!$E$5*E9*1.1</f>
        <v>0</v>
      </c>
      <c r="F74" s="89">
        <f>'1.参数设置'!$E$5*F9*1.1</f>
        <v>0</v>
      </c>
      <c r="G74" s="89">
        <f>'1.参数设置'!$E$5*G9*1.1</f>
        <v>0</v>
      </c>
      <c r="H74" s="89">
        <f>'1.参数设置'!$E$5*H9*1.1</f>
        <v>0</v>
      </c>
      <c r="I74" s="89">
        <f>'1.参数设置'!$E$5*I9*1.1</f>
        <v>0</v>
      </c>
      <c r="J74" s="93"/>
      <c r="K74" s="77"/>
      <c r="L74" s="77"/>
      <c r="M74" s="77"/>
    </row>
    <row r="75" spans="1:48" s="75" customFormat="1" outlineLevel="1">
      <c r="B75" s="88">
        <f>'8.项目规划指标表'!B$8</f>
        <v>0</v>
      </c>
      <c r="C75" s="89">
        <f t="shared" si="14"/>
        <v>0</v>
      </c>
      <c r="D75" s="89">
        <f>'1.参数设置'!$E$5*D10*1.1</f>
        <v>0</v>
      </c>
      <c r="E75" s="89">
        <f>'1.参数设置'!$E$5*E10*1.1</f>
        <v>0</v>
      </c>
      <c r="F75" s="89">
        <f>'1.参数设置'!$E$5*F10*1.1</f>
        <v>0</v>
      </c>
      <c r="G75" s="89">
        <f>'1.参数设置'!$E$5*G10*1.1</f>
        <v>0</v>
      </c>
      <c r="H75" s="89">
        <f>'1.参数设置'!$E$5*H10*1.1</f>
        <v>0</v>
      </c>
      <c r="I75" s="89">
        <f>'1.参数设置'!$E$5*I10*1.1</f>
        <v>0</v>
      </c>
      <c r="J75" s="93"/>
      <c r="K75" s="77"/>
      <c r="L75" s="77"/>
      <c r="M75" s="77"/>
    </row>
    <row r="76" spans="1:48" s="75" customFormat="1" outlineLevel="1">
      <c r="B76" s="88">
        <f>'8.项目规划指标表'!B$9</f>
        <v>0</v>
      </c>
      <c r="C76" s="89">
        <f t="shared" si="14"/>
        <v>0</v>
      </c>
      <c r="D76" s="89">
        <f>'1.参数设置'!$E$5*D11*1.1</f>
        <v>0</v>
      </c>
      <c r="E76" s="89">
        <f>'1.参数设置'!$E$5*E11*1.1</f>
        <v>0</v>
      </c>
      <c r="F76" s="89">
        <f>'1.参数设置'!$E$5*F11*1.1</f>
        <v>0</v>
      </c>
      <c r="G76" s="89">
        <f>'1.参数设置'!$E$5*G11*1.1</f>
        <v>0</v>
      </c>
      <c r="H76" s="89">
        <f>'1.参数设置'!$E$5*H11*1.1</f>
        <v>0</v>
      </c>
      <c r="I76" s="89">
        <f>'1.参数设置'!$E$5*I11*1.1</f>
        <v>0</v>
      </c>
      <c r="J76" s="93"/>
      <c r="K76" s="77"/>
      <c r="L76" s="77"/>
      <c r="M76" s="77"/>
    </row>
    <row r="77" spans="1:48" s="75" customFormat="1" outlineLevel="1">
      <c r="B77" s="88">
        <f>'8.项目规划指标表'!B$10</f>
        <v>0</v>
      </c>
      <c r="C77" s="89">
        <f t="shared" si="14"/>
        <v>0</v>
      </c>
      <c r="D77" s="89">
        <f>'1.参数设置'!$E$5*D12*1.1</f>
        <v>0</v>
      </c>
      <c r="E77" s="89">
        <f>'1.参数设置'!$E$5*E12*1.1</f>
        <v>0</v>
      </c>
      <c r="F77" s="89">
        <f>'1.参数设置'!$E$5*F12*1.1</f>
        <v>0</v>
      </c>
      <c r="G77" s="89">
        <f>'1.参数设置'!$E$5*G12*1.1</f>
        <v>0</v>
      </c>
      <c r="H77" s="89">
        <f>'1.参数设置'!$E$5*H12*1.1</f>
        <v>0</v>
      </c>
      <c r="I77" s="89">
        <f>'1.参数设置'!$E$5*I12*1.1</f>
        <v>0</v>
      </c>
      <c r="J77" s="93"/>
      <c r="K77" s="77"/>
      <c r="L77" s="77"/>
      <c r="M77" s="77"/>
    </row>
    <row r="78" spans="1:48" s="75" customFormat="1" outlineLevel="1">
      <c r="B78" s="88">
        <f>'8.项目规划指标表'!B$11</f>
        <v>0</v>
      </c>
      <c r="C78" s="89">
        <f t="shared" si="14"/>
        <v>0</v>
      </c>
      <c r="D78" s="89">
        <f>'1.参数设置'!$E$5*D13*1.1</f>
        <v>0</v>
      </c>
      <c r="E78" s="89">
        <f>'1.参数设置'!$E$5*E13*1.1</f>
        <v>0</v>
      </c>
      <c r="F78" s="89">
        <f>'1.参数设置'!$E$5*F13*1.1</f>
        <v>0</v>
      </c>
      <c r="G78" s="89">
        <f>'1.参数设置'!$E$5*G13*1.1</f>
        <v>0</v>
      </c>
      <c r="H78" s="89">
        <f>'1.参数设置'!$E$5*H13*1.1</f>
        <v>0</v>
      </c>
      <c r="I78" s="89">
        <f>'1.参数设置'!$E$5*I13*1.1</f>
        <v>0</v>
      </c>
      <c r="J78" s="93"/>
      <c r="K78" s="77"/>
      <c r="L78" s="77"/>
      <c r="M78" s="77"/>
    </row>
    <row r="79" spans="1:48" s="75" customFormat="1" outlineLevel="1">
      <c r="B79" s="88">
        <f>'8.项目规划指标表'!B$12</f>
        <v>0</v>
      </c>
      <c r="C79" s="89">
        <f t="shared" si="14"/>
        <v>0</v>
      </c>
      <c r="D79" s="89">
        <f>'1.参数设置'!$E$5*D14*1.1</f>
        <v>0</v>
      </c>
      <c r="E79" s="89">
        <f>'1.参数设置'!$E$5*E14*1.1</f>
        <v>0</v>
      </c>
      <c r="F79" s="89">
        <f>'1.参数设置'!$E$5*F14*1.1</f>
        <v>0</v>
      </c>
      <c r="G79" s="89">
        <f>'1.参数设置'!$E$5*G14*1.1</f>
        <v>0</v>
      </c>
      <c r="H79" s="89">
        <f>'1.参数设置'!$E$5*H14*1.1</f>
        <v>0</v>
      </c>
      <c r="I79" s="89">
        <f>'1.参数设置'!$E$5*I14*1.1</f>
        <v>0</v>
      </c>
      <c r="J79" s="93"/>
      <c r="K79" s="77"/>
      <c r="L79" s="77"/>
      <c r="M79" s="77"/>
    </row>
    <row r="80" spans="1:48" s="75" customFormat="1" outlineLevel="1">
      <c r="B80" s="88">
        <f>'8.项目规划指标表'!B$13</f>
        <v>0</v>
      </c>
      <c r="C80" s="89">
        <f t="shared" si="14"/>
        <v>0</v>
      </c>
      <c r="D80" s="89">
        <f>'1.参数设置'!$E$5*D15*1.1</f>
        <v>0</v>
      </c>
      <c r="E80" s="89">
        <f>'1.参数设置'!$E$5*E15*1.1</f>
        <v>0</v>
      </c>
      <c r="F80" s="89">
        <f>'1.参数设置'!$E$5*F15*1.1</f>
        <v>0</v>
      </c>
      <c r="G80" s="89">
        <f>'1.参数设置'!$E$5*G15*1.1</f>
        <v>0</v>
      </c>
      <c r="H80" s="89">
        <f>'1.参数设置'!$E$5*H15*1.1</f>
        <v>0</v>
      </c>
      <c r="I80" s="89">
        <f>'1.参数设置'!$E$5*I15*1.1</f>
        <v>0</v>
      </c>
      <c r="J80" s="93"/>
      <c r="K80" s="77"/>
      <c r="L80" s="77"/>
      <c r="M80" s="77"/>
    </row>
    <row r="81" spans="1:48" s="75" customFormat="1" outlineLevel="1">
      <c r="B81" s="88" t="str">
        <f>'8.项目规划指标表'!B$14</f>
        <v>自持物业</v>
      </c>
      <c r="C81" s="90"/>
      <c r="D81" s="90"/>
      <c r="E81" s="90"/>
      <c r="F81" s="90"/>
      <c r="G81" s="90"/>
      <c r="H81" s="90"/>
      <c r="I81" s="90"/>
      <c r="J81" s="93"/>
      <c r="K81" s="77"/>
      <c r="L81" s="77"/>
      <c r="M81" s="77"/>
    </row>
    <row r="82" spans="1:48" s="75" customFormat="1" outlineLevel="1">
      <c r="B82" s="88" t="str">
        <f>'8.项目规划指标表'!B$18</f>
        <v>有产权车库(个)</v>
      </c>
      <c r="C82" s="89">
        <f t="shared" si="14"/>
        <v>94.527999999999992</v>
      </c>
      <c r="D82" s="89">
        <f>'1.参数设置'!$E$5*D17*1.1</f>
        <v>94.527999999999992</v>
      </c>
      <c r="E82" s="89">
        <f>'1.参数设置'!$E$5*E17*1.1</f>
        <v>0</v>
      </c>
      <c r="F82" s="89">
        <f>'1.参数设置'!$E$5*F17*1.1</f>
        <v>0</v>
      </c>
      <c r="G82" s="89">
        <f>'1.参数设置'!$E$5*G17*1.1</f>
        <v>0</v>
      </c>
      <c r="H82" s="89">
        <f>'1.参数设置'!$E$5*H17*1.1</f>
        <v>0</v>
      </c>
      <c r="I82" s="89">
        <f>'1.参数设置'!$E$5*I17*1.1</f>
        <v>0</v>
      </c>
      <c r="J82" s="93"/>
      <c r="K82" s="77"/>
      <c r="L82" s="77"/>
      <c r="M82" s="77"/>
    </row>
    <row r="83" spans="1:48" s="75" customFormat="1" outlineLevel="1">
      <c r="B83" s="88" t="str">
        <f>'8.项目规划指标表'!B$19</f>
        <v>无产权车库(个)</v>
      </c>
      <c r="C83" s="89">
        <f t="shared" si="14"/>
        <v>0</v>
      </c>
      <c r="D83" s="89">
        <f>'1.参数设置'!$E$5*D18*1.1</f>
        <v>0</v>
      </c>
      <c r="E83" s="89">
        <f>'1.参数设置'!$E$5*E18*1.1</f>
        <v>0</v>
      </c>
      <c r="F83" s="89">
        <f>'1.参数设置'!$E$5*F18*1.1</f>
        <v>0</v>
      </c>
      <c r="G83" s="89">
        <f>'1.参数设置'!$E$5*G18*1.1</f>
        <v>0</v>
      </c>
      <c r="H83" s="89">
        <f>'1.参数设置'!$E$5*H18*1.1</f>
        <v>0</v>
      </c>
      <c r="I83" s="89">
        <f>'1.参数设置'!$E$5*I18*1.1</f>
        <v>0</v>
      </c>
      <c r="J83" s="93"/>
      <c r="K83" s="77"/>
      <c r="L83" s="77"/>
      <c r="M83" s="77"/>
    </row>
    <row r="84" spans="1:48" s="75" customFormat="1" ht="14.25" customHeight="1">
      <c r="A84" s="85"/>
      <c r="B84" s="86" t="s">
        <v>623</v>
      </c>
      <c r="C84" s="87">
        <f t="shared" si="14"/>
        <v>2514.8298739999996</v>
      </c>
      <c r="D84" s="87">
        <f>'1.参数设置'!$C$5*D$6*1.1</f>
        <v>2514.8298739999996</v>
      </c>
      <c r="E84" s="87">
        <f>'1.参数设置'!$C$5*E$6*1.1</f>
        <v>0</v>
      </c>
      <c r="F84" s="87">
        <f>'1.参数设置'!$C$5*F$6*1.1</f>
        <v>0</v>
      </c>
      <c r="G84" s="87">
        <f>'1.参数设置'!$C$5*G$6*1.1</f>
        <v>0</v>
      </c>
      <c r="H84" s="87">
        <f>'1.参数设置'!$C$5*H$6*1.1</f>
        <v>0</v>
      </c>
      <c r="I84" s="87">
        <f>'1.参数设置'!$C$5*I$6*1.1</f>
        <v>0</v>
      </c>
      <c r="J84" s="92"/>
      <c r="K84" s="94"/>
      <c r="L84" s="94"/>
      <c r="M84" s="78"/>
      <c r="N84" s="85"/>
      <c r="O84" s="85"/>
      <c r="P84" s="94"/>
      <c r="Q84" s="94"/>
      <c r="R84" s="78"/>
      <c r="S84" s="85"/>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row>
    <row r="85" spans="1:48" s="75" customFormat="1" ht="12" customHeight="1" outlineLevel="1">
      <c r="B85" s="88" t="str">
        <f>'8.项目规划指标表'!B$5</f>
        <v>高层</v>
      </c>
      <c r="C85" s="89">
        <f t="shared" ref="C85:C97" si="15">SUM(D85:I85)</f>
        <v>2178.2698740000001</v>
      </c>
      <c r="D85" s="89">
        <f>'1.参数设置'!$C$5*D7*1.1</f>
        <v>2178.2698740000001</v>
      </c>
      <c r="E85" s="89">
        <f>'1.参数设置'!$C$5*E7*1.1</f>
        <v>0</v>
      </c>
      <c r="F85" s="89">
        <f>'1.参数设置'!$C$5*F7*1.1</f>
        <v>0</v>
      </c>
      <c r="G85" s="89">
        <f>'1.参数设置'!$C$5*G7*1.1</f>
        <v>0</v>
      </c>
      <c r="H85" s="89">
        <f>'1.参数设置'!$C$5*H7*1.1</f>
        <v>0</v>
      </c>
      <c r="I85" s="89">
        <f>'1.参数设置'!$C$5*I7*1.1</f>
        <v>0</v>
      </c>
      <c r="J85" s="93"/>
      <c r="K85" s="77"/>
      <c r="L85" s="77"/>
      <c r="M85" s="77"/>
    </row>
    <row r="86" spans="1:48" s="75" customFormat="1" outlineLevel="1">
      <c r="B86" s="88" t="str">
        <f>'8.项目规划指标表'!B$6</f>
        <v>商铺</v>
      </c>
      <c r="C86" s="89">
        <f t="shared" si="15"/>
        <v>218.4</v>
      </c>
      <c r="D86" s="89">
        <f>'1.参数设置'!$C$5*D8*1.1</f>
        <v>218.4</v>
      </c>
      <c r="E86" s="89">
        <f>'1.参数设置'!$C$5*E8*1.1</f>
        <v>0</v>
      </c>
      <c r="F86" s="89">
        <f>'1.参数设置'!$C$5*F8*1.1</f>
        <v>0</v>
      </c>
      <c r="G86" s="89">
        <f>'1.参数设置'!$C$5*G8*1.1</f>
        <v>0</v>
      </c>
      <c r="H86" s="89">
        <f>'1.参数设置'!$C$5*H8*1.1</f>
        <v>0</v>
      </c>
      <c r="I86" s="89">
        <f>'1.参数设置'!$C$5*I8*1.1</f>
        <v>0</v>
      </c>
      <c r="J86" s="93"/>
      <c r="K86" s="77"/>
      <c r="L86" s="77"/>
      <c r="M86" s="77"/>
    </row>
    <row r="87" spans="1:48" s="75" customFormat="1" outlineLevel="1">
      <c r="B87" s="88" t="str">
        <f>'8.项目规划指标表'!B$7</f>
        <v>回迁商业</v>
      </c>
      <c r="C87" s="89">
        <f t="shared" si="15"/>
        <v>0</v>
      </c>
      <c r="D87" s="89">
        <f>'1.参数设置'!$C$5*D9*1.1</f>
        <v>0</v>
      </c>
      <c r="E87" s="89">
        <f>'1.参数设置'!$C$5*E9*1.1</f>
        <v>0</v>
      </c>
      <c r="F87" s="89">
        <f>'1.参数设置'!$C$5*F9*1.1</f>
        <v>0</v>
      </c>
      <c r="G87" s="89">
        <f>'1.参数设置'!$C$5*G9*1.1</f>
        <v>0</v>
      </c>
      <c r="H87" s="89">
        <f>'1.参数设置'!$C$5*H9*1.1</f>
        <v>0</v>
      </c>
      <c r="I87" s="89">
        <f>'1.参数设置'!$C$5*I9*1.1</f>
        <v>0</v>
      </c>
      <c r="J87" s="93"/>
      <c r="K87" s="77"/>
      <c r="L87" s="77"/>
      <c r="M87" s="77"/>
    </row>
    <row r="88" spans="1:48" s="75" customFormat="1" outlineLevel="1">
      <c r="B88" s="88">
        <f>'8.项目规划指标表'!B$8</f>
        <v>0</v>
      </c>
      <c r="C88" s="89">
        <f t="shared" si="15"/>
        <v>0</v>
      </c>
      <c r="D88" s="89">
        <f>'1.参数设置'!$C$5*D10*1.1</f>
        <v>0</v>
      </c>
      <c r="E88" s="89">
        <f>'1.参数设置'!$C$5*E10*1.1</f>
        <v>0</v>
      </c>
      <c r="F88" s="89">
        <f>'1.参数设置'!$C$5*F10*1.1</f>
        <v>0</v>
      </c>
      <c r="G88" s="89">
        <f>'1.参数设置'!$C$5*G10*1.1</f>
        <v>0</v>
      </c>
      <c r="H88" s="89">
        <f>'1.参数设置'!$C$5*H10*1.1</f>
        <v>0</v>
      </c>
      <c r="I88" s="89">
        <f>'1.参数设置'!$C$5*I10*1.1</f>
        <v>0</v>
      </c>
      <c r="J88" s="93"/>
      <c r="K88" s="77"/>
      <c r="L88" s="77"/>
      <c r="M88" s="77"/>
    </row>
    <row r="89" spans="1:48" s="75" customFormat="1" outlineLevel="1">
      <c r="B89" s="88">
        <f>'8.项目规划指标表'!B$9</f>
        <v>0</v>
      </c>
      <c r="C89" s="89">
        <f t="shared" si="15"/>
        <v>0</v>
      </c>
      <c r="D89" s="89">
        <f>'1.参数设置'!$C$5*D11*1.1</f>
        <v>0</v>
      </c>
      <c r="E89" s="89">
        <f>'1.参数设置'!$C$5*E11*1.1</f>
        <v>0</v>
      </c>
      <c r="F89" s="89">
        <f>'1.参数设置'!$C$5*F11*1.1</f>
        <v>0</v>
      </c>
      <c r="G89" s="89">
        <f>'1.参数设置'!$C$5*G11*1.1</f>
        <v>0</v>
      </c>
      <c r="H89" s="89">
        <f>'1.参数设置'!$C$5*H11*1.1</f>
        <v>0</v>
      </c>
      <c r="I89" s="89">
        <f>'1.参数设置'!$C$5*I11*1.1</f>
        <v>0</v>
      </c>
      <c r="J89" s="93"/>
      <c r="K89" s="77"/>
      <c r="L89" s="77"/>
      <c r="M89" s="77"/>
    </row>
    <row r="90" spans="1:48" s="75" customFormat="1" outlineLevel="1">
      <c r="B90" s="88">
        <f>'8.项目规划指标表'!B$10</f>
        <v>0</v>
      </c>
      <c r="C90" s="89">
        <f t="shared" si="15"/>
        <v>0</v>
      </c>
      <c r="D90" s="89">
        <f>'1.参数设置'!$C$5*D12*1.1</f>
        <v>0</v>
      </c>
      <c r="E90" s="89">
        <f>'1.参数设置'!$C$5*E12*1.1</f>
        <v>0</v>
      </c>
      <c r="F90" s="89">
        <f>'1.参数设置'!$C$5*F12*1.1</f>
        <v>0</v>
      </c>
      <c r="G90" s="89">
        <f>'1.参数设置'!$C$5*G12*1.1</f>
        <v>0</v>
      </c>
      <c r="H90" s="89">
        <f>'1.参数设置'!$C$5*H12*1.1</f>
        <v>0</v>
      </c>
      <c r="I90" s="89">
        <f>'1.参数设置'!$C$5*I12*1.1</f>
        <v>0</v>
      </c>
      <c r="J90" s="93"/>
      <c r="K90" s="77"/>
      <c r="L90" s="77"/>
      <c r="M90" s="77"/>
    </row>
    <row r="91" spans="1:48" s="75" customFormat="1" outlineLevel="1">
      <c r="B91" s="88">
        <f>'8.项目规划指标表'!B$11</f>
        <v>0</v>
      </c>
      <c r="C91" s="89">
        <f t="shared" si="15"/>
        <v>0</v>
      </c>
      <c r="D91" s="89">
        <f>'1.参数设置'!$C$5*D13*1.1</f>
        <v>0</v>
      </c>
      <c r="E91" s="89">
        <f>'1.参数设置'!$C$5*E13*1.1</f>
        <v>0</v>
      </c>
      <c r="F91" s="89">
        <f>'1.参数设置'!$C$5*F13*1.1</f>
        <v>0</v>
      </c>
      <c r="G91" s="89">
        <f>'1.参数设置'!$C$5*G13*1.1</f>
        <v>0</v>
      </c>
      <c r="H91" s="89">
        <f>'1.参数设置'!$C$5*H13*1.1</f>
        <v>0</v>
      </c>
      <c r="I91" s="89">
        <f>'1.参数设置'!$C$5*I13*1.1</f>
        <v>0</v>
      </c>
      <c r="J91" s="93"/>
      <c r="K91" s="77"/>
      <c r="L91" s="77"/>
      <c r="M91" s="77"/>
    </row>
    <row r="92" spans="1:48" s="75" customFormat="1" outlineLevel="1">
      <c r="B92" s="88">
        <f>'8.项目规划指标表'!B$12</f>
        <v>0</v>
      </c>
      <c r="C92" s="89">
        <f t="shared" si="15"/>
        <v>0</v>
      </c>
      <c r="D92" s="89">
        <f>'1.参数设置'!$C$5*D14*1.1</f>
        <v>0</v>
      </c>
      <c r="E92" s="89">
        <f>'1.参数设置'!$C$5*E14*1.1</f>
        <v>0</v>
      </c>
      <c r="F92" s="89">
        <f>'1.参数设置'!$C$5*F14*1.1</f>
        <v>0</v>
      </c>
      <c r="G92" s="89">
        <f>'1.参数设置'!$C$5*G14*1.1</f>
        <v>0</v>
      </c>
      <c r="H92" s="89">
        <f>'1.参数设置'!$C$5*H14*1.1</f>
        <v>0</v>
      </c>
      <c r="I92" s="89">
        <f>'1.参数设置'!$C$5*I14*1.1</f>
        <v>0</v>
      </c>
      <c r="J92" s="93"/>
      <c r="K92" s="77"/>
      <c r="L92" s="77"/>
      <c r="M92" s="77"/>
    </row>
    <row r="93" spans="1:48" s="75" customFormat="1" outlineLevel="1">
      <c r="B93" s="88">
        <f>'8.项目规划指标表'!B$13</f>
        <v>0</v>
      </c>
      <c r="C93" s="89">
        <f t="shared" si="15"/>
        <v>0</v>
      </c>
      <c r="D93" s="89">
        <f>'1.参数设置'!$C$5*D15*1.1</f>
        <v>0</v>
      </c>
      <c r="E93" s="89">
        <f>'1.参数设置'!$C$5*E15*1.1</f>
        <v>0</v>
      </c>
      <c r="F93" s="89">
        <f>'1.参数设置'!$C$5*F15*1.1</f>
        <v>0</v>
      </c>
      <c r="G93" s="89">
        <f>'1.参数设置'!$C$5*G15*1.1</f>
        <v>0</v>
      </c>
      <c r="H93" s="89">
        <f>'1.参数设置'!$C$5*H15*1.1</f>
        <v>0</v>
      </c>
      <c r="I93" s="89">
        <f>'1.参数设置'!$C$5*I15*1.1</f>
        <v>0</v>
      </c>
      <c r="J93" s="93"/>
      <c r="K93" s="77"/>
      <c r="L93" s="77"/>
      <c r="M93" s="77"/>
    </row>
    <row r="94" spans="1:48" s="75" customFormat="1" outlineLevel="1">
      <c r="B94" s="88" t="str">
        <f>'8.项目规划指标表'!B$14</f>
        <v>自持物业</v>
      </c>
      <c r="C94" s="90"/>
      <c r="D94" s="90"/>
      <c r="E94" s="90"/>
      <c r="F94" s="90"/>
      <c r="G94" s="90"/>
      <c r="H94" s="90"/>
      <c r="I94" s="90"/>
      <c r="J94" s="93"/>
      <c r="K94" s="77"/>
      <c r="L94" s="77"/>
      <c r="M94" s="77"/>
    </row>
    <row r="95" spans="1:48" s="75" customFormat="1" outlineLevel="1">
      <c r="B95" s="88" t="str">
        <f>'8.项目规划指标表'!B$18</f>
        <v>有产权车库(个)</v>
      </c>
      <c r="C95" s="89">
        <f t="shared" si="15"/>
        <v>118.16</v>
      </c>
      <c r="D95" s="89">
        <f>'1.参数设置'!$C$5*D17*1.1</f>
        <v>118.16</v>
      </c>
      <c r="E95" s="89">
        <f>'1.参数设置'!$C$5*E17*1.1</f>
        <v>0</v>
      </c>
      <c r="F95" s="89">
        <f>'1.参数设置'!$C$5*F17*1.1</f>
        <v>0</v>
      </c>
      <c r="G95" s="89">
        <f>'1.参数设置'!$C$5*G17*1.1</f>
        <v>0</v>
      </c>
      <c r="H95" s="89">
        <f>'1.参数设置'!$C$5*H17*1.1</f>
        <v>0</v>
      </c>
      <c r="I95" s="89">
        <f>'1.参数设置'!$C$5*I17*1.1</f>
        <v>0</v>
      </c>
      <c r="J95" s="93"/>
      <c r="K95" s="77"/>
      <c r="L95" s="77"/>
      <c r="M95" s="77"/>
    </row>
    <row r="96" spans="1:48" s="75" customFormat="1" outlineLevel="1">
      <c r="B96" s="88" t="str">
        <f>'8.项目规划指标表'!B$19</f>
        <v>无产权车库(个)</v>
      </c>
      <c r="C96" s="89">
        <f t="shared" si="15"/>
        <v>0</v>
      </c>
      <c r="D96" s="89">
        <f>'1.参数设置'!$C$5*D18*1.1</f>
        <v>0</v>
      </c>
      <c r="E96" s="89">
        <f>'1.参数设置'!$C$5*E18*1.1</f>
        <v>0</v>
      </c>
      <c r="F96" s="89">
        <f>'1.参数设置'!$C$5*F18*1.1</f>
        <v>0</v>
      </c>
      <c r="G96" s="89">
        <f>'1.参数设置'!$C$5*G18*1.1</f>
        <v>0</v>
      </c>
      <c r="H96" s="89">
        <f>'1.参数设置'!$C$5*H18*1.1</f>
        <v>0</v>
      </c>
      <c r="I96" s="89">
        <f>'1.参数设置'!$C$5*I18*1.1</f>
        <v>0</v>
      </c>
      <c r="J96" s="102"/>
      <c r="K96" s="77"/>
      <c r="L96" s="77"/>
      <c r="M96" s="77"/>
    </row>
    <row r="97" spans="1:48" s="75" customFormat="1" ht="14.25" customHeight="1">
      <c r="A97" s="85"/>
      <c r="B97" s="86" t="s">
        <v>373</v>
      </c>
      <c r="C97" s="87">
        <f t="shared" ca="1" si="15"/>
        <v>901.5</v>
      </c>
      <c r="D97" s="87">
        <f ca="1">SUM(D98:D106,D108:D109)</f>
        <v>901.5</v>
      </c>
      <c r="E97" s="87">
        <f t="shared" ref="E97:I97" ca="1" si="16">SUM(E98:E106,E108:E109)</f>
        <v>0</v>
      </c>
      <c r="F97" s="87">
        <f t="shared" ca="1" si="16"/>
        <v>0</v>
      </c>
      <c r="G97" s="87">
        <f t="shared" ca="1" si="16"/>
        <v>0</v>
      </c>
      <c r="H97" s="87">
        <f t="shared" ca="1" si="16"/>
        <v>0</v>
      </c>
      <c r="I97" s="87">
        <f t="shared" ca="1" si="16"/>
        <v>0</v>
      </c>
      <c r="J97" s="103"/>
      <c r="K97" s="94"/>
      <c r="L97" s="78"/>
      <c r="M97" s="78"/>
      <c r="N97" s="104"/>
      <c r="O97" s="85"/>
      <c r="P97" s="94"/>
      <c r="Q97" s="78"/>
      <c r="R97" s="78"/>
      <c r="S97" s="104"/>
      <c r="T97" s="85"/>
      <c r="U97" s="85"/>
      <c r="V97" s="85"/>
      <c r="W97" s="85"/>
      <c r="X97" s="85"/>
      <c r="Y97" s="85"/>
      <c r="Z97" s="85"/>
      <c r="AA97" s="85"/>
      <c r="AB97" s="85"/>
      <c r="AC97" s="85"/>
      <c r="AD97" s="85"/>
      <c r="AE97" s="85"/>
      <c r="AF97" s="85"/>
      <c r="AG97" s="85"/>
      <c r="AH97" s="85"/>
      <c r="AI97" s="85"/>
      <c r="AJ97" s="85"/>
      <c r="AK97" s="85"/>
      <c r="AL97" s="85"/>
      <c r="AM97" s="85"/>
      <c r="AN97" s="85"/>
      <c r="AO97" s="85"/>
      <c r="AP97" s="85"/>
      <c r="AQ97" s="85"/>
      <c r="AR97" s="85"/>
      <c r="AS97" s="85"/>
      <c r="AT97" s="85"/>
      <c r="AU97" s="85"/>
      <c r="AV97" s="85"/>
    </row>
    <row r="98" spans="1:48" s="75" customFormat="1" ht="12" customHeight="1" outlineLevel="1">
      <c r="B98" s="88" t="str">
        <f>'8.项目规划指标表'!B$5</f>
        <v>高层</v>
      </c>
      <c r="C98" s="89">
        <f t="shared" ref="C98:C109" ca="1" si="17">SUM(D98:I98)</f>
        <v>786.4312016661313</v>
      </c>
      <c r="D98" s="97">
        <f ca="1">'17.财务费用测算表'!$D$30-'17.财务费用测算表'!D61</f>
        <v>786.4312016661313</v>
      </c>
      <c r="E98" s="97">
        <f ca="1">'17.财务费用测算表'!$D$31-'17.财务费用测算表'!E61</f>
        <v>0</v>
      </c>
      <c r="F98" s="97">
        <f ca="1">'17.财务费用测算表'!$D$32-'17.财务费用测算表'!F61</f>
        <v>0</v>
      </c>
      <c r="G98" s="97">
        <f ca="1">'17.财务费用测算表'!$D$33-'17.财务费用测算表'!G61</f>
        <v>0</v>
      </c>
      <c r="H98" s="97">
        <f ca="1">'17.财务费用测算表'!$D$34-'17.财务费用测算表'!H61</f>
        <v>0</v>
      </c>
      <c r="I98" s="97">
        <f ca="1">'17.财务费用测算表'!$D$35-'17.财务费用测算表'!I61</f>
        <v>0</v>
      </c>
      <c r="J98" s="105"/>
      <c r="K98" s="77"/>
      <c r="L98" s="77"/>
      <c r="M98" s="77"/>
    </row>
    <row r="99" spans="1:48" s="75" customFormat="1" outlineLevel="1">
      <c r="B99" s="88" t="str">
        <f>'8.项目规划指标表'!B$6</f>
        <v>商铺</v>
      </c>
      <c r="C99" s="89">
        <f t="shared" ca="1" si="17"/>
        <v>61.074823354538523</v>
      </c>
      <c r="D99" s="97">
        <f ca="1">'17.财务费用测算表'!$E$30-'17.财务费用测算表'!D62</f>
        <v>61.074823354538523</v>
      </c>
      <c r="E99" s="97">
        <f ca="1">'17.财务费用测算表'!$E$31-'17.财务费用测算表'!E62</f>
        <v>0</v>
      </c>
      <c r="F99" s="97">
        <f ca="1">'17.财务费用测算表'!$E$32-'17.财务费用测算表'!F62</f>
        <v>0</v>
      </c>
      <c r="G99" s="97">
        <f ca="1">'17.财务费用测算表'!$E$33-'17.财务费用测算表'!G62</f>
        <v>0</v>
      </c>
      <c r="H99" s="97">
        <f ca="1">'17.财务费用测算表'!$E$34-'17.财务费用测算表'!H62</f>
        <v>0</v>
      </c>
      <c r="I99" s="97">
        <f ca="1">'17.财务费用测算表'!$E$35-'17.财务费用测算表'!I62</f>
        <v>0</v>
      </c>
      <c r="J99" s="105"/>
      <c r="K99" s="77"/>
      <c r="L99" s="77"/>
      <c r="M99" s="77"/>
    </row>
    <row r="100" spans="1:48" s="75" customFormat="1" outlineLevel="1">
      <c r="B100" s="88" t="str">
        <f>'8.项目规划指标表'!B$7</f>
        <v>回迁商业</v>
      </c>
      <c r="C100" s="89">
        <f t="shared" si="17"/>
        <v>0</v>
      </c>
      <c r="D100" s="97">
        <f>'17.财务费用测算表'!$F$30-'17.财务费用测算表'!D63</f>
        <v>0</v>
      </c>
      <c r="E100" s="97">
        <f>'17.财务费用测算表'!$F$31-'17.财务费用测算表'!E63</f>
        <v>0</v>
      </c>
      <c r="F100" s="97">
        <f>'17.财务费用测算表'!$F$32-'17.财务费用测算表'!F63</f>
        <v>0</v>
      </c>
      <c r="G100" s="97">
        <f>'17.财务费用测算表'!$F$33-'17.财务费用测算表'!G63</f>
        <v>0</v>
      </c>
      <c r="H100" s="97">
        <f>'17.财务费用测算表'!$F$34-'17.财务费用测算表'!H63</f>
        <v>0</v>
      </c>
      <c r="I100" s="97">
        <f>'17.财务费用测算表'!$F$35-'17.财务费用测算表'!I63</f>
        <v>0</v>
      </c>
      <c r="J100" s="105"/>
      <c r="K100" s="77"/>
      <c r="L100" s="77"/>
      <c r="M100" s="77"/>
    </row>
    <row r="101" spans="1:48" s="75" customFormat="1" outlineLevel="1">
      <c r="B101" s="88">
        <f>'8.项目规划指标表'!B$8</f>
        <v>0</v>
      </c>
      <c r="C101" s="89">
        <f t="shared" ca="1" si="17"/>
        <v>0</v>
      </c>
      <c r="D101" s="97">
        <f ca="1">'17.财务费用测算表'!$G$30-'17.财务费用测算表'!D64</f>
        <v>0</v>
      </c>
      <c r="E101" s="97">
        <f ca="1">'17.财务费用测算表'!$G$31-'17.财务费用测算表'!E64</f>
        <v>0</v>
      </c>
      <c r="F101" s="97">
        <f ca="1">'17.财务费用测算表'!$G$32-'17.财务费用测算表'!F64</f>
        <v>0</v>
      </c>
      <c r="G101" s="97">
        <f ca="1">'17.财务费用测算表'!$G$33-'17.财务费用测算表'!G64</f>
        <v>0</v>
      </c>
      <c r="H101" s="97">
        <f ca="1">'17.财务费用测算表'!$G$34-'17.财务费用测算表'!H64</f>
        <v>0</v>
      </c>
      <c r="I101" s="97">
        <f ca="1">'17.财务费用测算表'!$G$35-'17.财务费用测算表'!I64</f>
        <v>0</v>
      </c>
      <c r="J101" s="105"/>
      <c r="K101" s="77"/>
      <c r="L101" s="77"/>
      <c r="M101" s="77"/>
    </row>
    <row r="102" spans="1:48" s="75" customFormat="1" outlineLevel="1">
      <c r="B102" s="88">
        <f>'8.项目规划指标表'!B$9</f>
        <v>0</v>
      </c>
      <c r="C102" s="89">
        <f t="shared" ca="1" si="17"/>
        <v>0</v>
      </c>
      <c r="D102" s="97">
        <f ca="1">'17.财务费用测算表'!$H$30-'17.财务费用测算表'!D65</f>
        <v>0</v>
      </c>
      <c r="E102" s="97">
        <f ca="1">'17.财务费用测算表'!$H$31-'17.财务费用测算表'!E65</f>
        <v>0</v>
      </c>
      <c r="F102" s="97">
        <f ca="1">'17.财务费用测算表'!$H$32-'17.财务费用测算表'!F65</f>
        <v>0</v>
      </c>
      <c r="G102" s="97">
        <f ca="1">'17.财务费用测算表'!$H$33-'17.财务费用测算表'!G65</f>
        <v>0</v>
      </c>
      <c r="H102" s="97">
        <f ca="1">'17.财务费用测算表'!$H$34-'17.财务费用测算表'!H65</f>
        <v>0</v>
      </c>
      <c r="I102" s="97">
        <f ca="1">'17.财务费用测算表'!$H$35-'17.财务费用测算表'!I65</f>
        <v>0</v>
      </c>
      <c r="J102" s="105"/>
      <c r="K102" s="77"/>
      <c r="L102" s="77"/>
      <c r="M102" s="77"/>
    </row>
    <row r="103" spans="1:48" s="75" customFormat="1" outlineLevel="1">
      <c r="B103" s="88">
        <f>'8.项目规划指标表'!B$10</f>
        <v>0</v>
      </c>
      <c r="C103" s="89">
        <f t="shared" ca="1" si="17"/>
        <v>0</v>
      </c>
      <c r="D103" s="97">
        <f ca="1">'17.财务费用测算表'!$I$30-'17.财务费用测算表'!D66</f>
        <v>0</v>
      </c>
      <c r="E103" s="97">
        <f ca="1">'17.财务费用测算表'!$I$31-'17.财务费用测算表'!E66</f>
        <v>0</v>
      </c>
      <c r="F103" s="97">
        <f ca="1">'17.财务费用测算表'!$I$32-'17.财务费用测算表'!F66</f>
        <v>0</v>
      </c>
      <c r="G103" s="97">
        <f ca="1">'17.财务费用测算表'!$I$33-'17.财务费用测算表'!G66</f>
        <v>0</v>
      </c>
      <c r="H103" s="97">
        <f ca="1">'17.财务费用测算表'!$I$34-'17.财务费用测算表'!H66</f>
        <v>0</v>
      </c>
      <c r="I103" s="97">
        <f ca="1">'17.财务费用测算表'!$I$35-'17.财务费用测算表'!I66</f>
        <v>0</v>
      </c>
      <c r="J103" s="105"/>
      <c r="K103" s="77"/>
      <c r="L103" s="77"/>
      <c r="M103" s="77"/>
    </row>
    <row r="104" spans="1:48" s="75" customFormat="1" outlineLevel="1">
      <c r="B104" s="88">
        <f>'8.项目规划指标表'!B$11</f>
        <v>0</v>
      </c>
      <c r="C104" s="89">
        <f t="shared" ca="1" si="17"/>
        <v>0</v>
      </c>
      <c r="D104" s="97">
        <f ca="1">'17.财务费用测算表'!$J$30-'17.财务费用测算表'!D67</f>
        <v>0</v>
      </c>
      <c r="E104" s="97">
        <f ca="1">'17.财务费用测算表'!$J$31-'17.财务费用测算表'!E67</f>
        <v>0</v>
      </c>
      <c r="F104" s="97">
        <f ca="1">'17.财务费用测算表'!$J$32-'17.财务费用测算表'!F67</f>
        <v>0</v>
      </c>
      <c r="G104" s="97">
        <f ca="1">'17.财务费用测算表'!$J$33-'17.财务费用测算表'!G67</f>
        <v>0</v>
      </c>
      <c r="H104" s="97">
        <f ca="1">'17.财务费用测算表'!$J$34-'17.财务费用测算表'!H67</f>
        <v>0</v>
      </c>
      <c r="I104" s="97">
        <f ca="1">'17.财务费用测算表'!$J$35-'17.财务费用测算表'!I67</f>
        <v>0</v>
      </c>
      <c r="J104" s="105"/>
      <c r="K104" s="77"/>
      <c r="L104" s="77"/>
      <c r="M104" s="77"/>
    </row>
    <row r="105" spans="1:48" s="75" customFormat="1" outlineLevel="1">
      <c r="B105" s="88">
        <f>'8.项目规划指标表'!B$12</f>
        <v>0</v>
      </c>
      <c r="C105" s="89">
        <f t="shared" ca="1" si="17"/>
        <v>0</v>
      </c>
      <c r="D105" s="97">
        <f ca="1">'17.财务费用测算表'!$K$30-'17.财务费用测算表'!D68</f>
        <v>0</v>
      </c>
      <c r="E105" s="97">
        <f ca="1">'17.财务费用测算表'!$K$31-'17.财务费用测算表'!E68</f>
        <v>0</v>
      </c>
      <c r="F105" s="97">
        <f ca="1">'17.财务费用测算表'!$K$32-'17.财务费用测算表'!F68</f>
        <v>0</v>
      </c>
      <c r="G105" s="97">
        <f ca="1">'17.财务费用测算表'!$K$33-'17.财务费用测算表'!G68</f>
        <v>0</v>
      </c>
      <c r="H105" s="97">
        <f ca="1">'17.财务费用测算表'!$K$34-'17.财务费用测算表'!H68</f>
        <v>0</v>
      </c>
      <c r="I105" s="97">
        <f ca="1">'17.财务费用测算表'!$K$35-'17.财务费用测算表'!I68</f>
        <v>0</v>
      </c>
      <c r="J105" s="105"/>
      <c r="K105" s="77"/>
      <c r="L105" s="77"/>
      <c r="M105" s="77"/>
    </row>
    <row r="106" spans="1:48" s="75" customFormat="1" outlineLevel="1">
      <c r="B106" s="88">
        <f>'8.项目规划指标表'!B$13</f>
        <v>0</v>
      </c>
      <c r="C106" s="89">
        <f t="shared" ca="1" si="17"/>
        <v>0</v>
      </c>
      <c r="D106" s="97">
        <f ca="1">'17.财务费用测算表'!$L$30-'17.财务费用测算表'!D69</f>
        <v>0</v>
      </c>
      <c r="E106" s="97">
        <f ca="1">'17.财务费用测算表'!$L$31-'17.财务费用测算表'!E69</f>
        <v>0</v>
      </c>
      <c r="F106" s="97">
        <f ca="1">'17.财务费用测算表'!$L$32-'17.财务费用测算表'!F69</f>
        <v>0</v>
      </c>
      <c r="G106" s="97">
        <f ca="1">'17.财务费用测算表'!$L$33-'17.财务费用测算表'!G69</f>
        <v>0</v>
      </c>
      <c r="H106" s="97">
        <f ca="1">'17.财务费用测算表'!$L$34-'17.财务费用测算表'!H69</f>
        <v>0</v>
      </c>
      <c r="I106" s="97">
        <f ca="1">'17.财务费用测算表'!$L$35-'17.财务费用测算表'!I69</f>
        <v>0</v>
      </c>
      <c r="J106" s="105"/>
      <c r="K106" s="77"/>
      <c r="L106" s="77"/>
      <c r="M106" s="77"/>
    </row>
    <row r="107" spans="1:48" s="75" customFormat="1" outlineLevel="1">
      <c r="B107" s="88" t="str">
        <f>'8.项目规划指标表'!B$14</f>
        <v>自持物业</v>
      </c>
      <c r="C107" s="90"/>
      <c r="D107" s="90"/>
      <c r="E107" s="90"/>
      <c r="F107" s="90"/>
      <c r="G107" s="90"/>
      <c r="H107" s="90"/>
      <c r="I107" s="90"/>
      <c r="J107" s="105"/>
      <c r="K107" s="77"/>
      <c r="L107" s="77"/>
      <c r="M107" s="77"/>
    </row>
    <row r="108" spans="1:48" s="75" customFormat="1" outlineLevel="1">
      <c r="B108" s="88" t="str">
        <f>'8.项目规划指标表'!B$18</f>
        <v>有产权车库(个)</v>
      </c>
      <c r="C108" s="89">
        <f t="shared" ca="1" si="17"/>
        <v>53.993974979330268</v>
      </c>
      <c r="D108" s="97">
        <f ca="1">'17.财务费用测算表'!$N$30-'17.财务费用测算表'!D71</f>
        <v>53.993974979330268</v>
      </c>
      <c r="E108" s="97">
        <f ca="1">'17.财务费用测算表'!$N$31-'17.财务费用测算表'!E71</f>
        <v>0</v>
      </c>
      <c r="F108" s="97">
        <f ca="1">'17.财务费用测算表'!$N$32-'17.财务费用测算表'!F71</f>
        <v>0</v>
      </c>
      <c r="G108" s="97">
        <f ca="1">'17.财务费用测算表'!$N$33-'17.财务费用测算表'!G71</f>
        <v>0</v>
      </c>
      <c r="H108" s="97">
        <f ca="1">'17.财务费用测算表'!$N$34-'17.财务费用测算表'!H71</f>
        <v>0</v>
      </c>
      <c r="I108" s="97">
        <f ca="1">'17.财务费用测算表'!$N$35-'17.财务费用测算表'!I71</f>
        <v>0</v>
      </c>
      <c r="J108" s="105"/>
      <c r="K108" s="77"/>
      <c r="L108" s="77"/>
      <c r="M108" s="77"/>
    </row>
    <row r="109" spans="1:48" s="75" customFormat="1" outlineLevel="1">
      <c r="B109" s="88" t="str">
        <f>'8.项目规划指标表'!B$19</f>
        <v>无产权车库(个)</v>
      </c>
      <c r="C109" s="89">
        <f t="shared" ca="1" si="17"/>
        <v>0</v>
      </c>
      <c r="D109" s="97">
        <f ca="1">'17.财务费用测算表'!$O$30-'17.财务费用测算表'!D72</f>
        <v>0</v>
      </c>
      <c r="E109" s="97">
        <f ca="1">'17.财务费用测算表'!$O$31-'17.财务费用测算表'!E72</f>
        <v>0</v>
      </c>
      <c r="F109" s="97">
        <f ca="1">'17.财务费用测算表'!$O$32-'17.财务费用测算表'!F72</f>
        <v>0</v>
      </c>
      <c r="G109" s="97">
        <f ca="1">'17.财务费用测算表'!$O$33-'17.财务费用测算表'!G72</f>
        <v>0</v>
      </c>
      <c r="H109" s="97">
        <f ca="1">'17.财务费用测算表'!$O$34-'17.财务费用测算表'!H72</f>
        <v>0</v>
      </c>
      <c r="I109" s="97">
        <f ca="1">'17.财务费用测算表'!$O$35-'17.财务费用测算表'!I72</f>
        <v>0</v>
      </c>
      <c r="J109" s="105"/>
      <c r="K109" s="77"/>
      <c r="L109" s="77"/>
      <c r="M109" s="77"/>
    </row>
    <row r="110" spans="1:48" s="75" customFormat="1" ht="14.25" hidden="1" customHeight="1">
      <c r="A110" s="85"/>
      <c r="B110" s="86" t="s">
        <v>943</v>
      </c>
      <c r="C110" s="87">
        <f t="shared" ref="C110" si="18">SUM(D110:I110)</f>
        <v>0</v>
      </c>
      <c r="D110" s="98">
        <f t="shared" ref="D110:I110" si="19">SUM(D111:D122)</f>
        <v>0</v>
      </c>
      <c r="E110" s="98">
        <f t="shared" si="19"/>
        <v>0</v>
      </c>
      <c r="F110" s="98">
        <f t="shared" si="19"/>
        <v>0</v>
      </c>
      <c r="G110" s="98">
        <f t="shared" si="19"/>
        <v>0</v>
      </c>
      <c r="H110" s="98">
        <f t="shared" si="19"/>
        <v>0</v>
      </c>
      <c r="I110" s="98">
        <f t="shared" si="19"/>
        <v>0</v>
      </c>
      <c r="J110" s="105">
        <v>13</v>
      </c>
      <c r="K110" s="94"/>
      <c r="L110" s="78"/>
      <c r="M110" s="78"/>
      <c r="N110" s="104"/>
      <c r="O110" s="85"/>
      <c r="P110" s="94"/>
      <c r="Q110" s="78"/>
      <c r="R110" s="78"/>
      <c r="S110" s="104"/>
      <c r="T110" s="85"/>
      <c r="U110" s="85"/>
      <c r="V110" s="85"/>
      <c r="W110" s="85"/>
      <c r="X110" s="85"/>
      <c r="Y110" s="85"/>
      <c r="Z110" s="85"/>
      <c r="AA110" s="85"/>
      <c r="AB110" s="85"/>
      <c r="AC110" s="85"/>
      <c r="AD110" s="85"/>
      <c r="AE110" s="85"/>
      <c r="AF110" s="85"/>
      <c r="AG110" s="85"/>
      <c r="AH110" s="85"/>
      <c r="AI110" s="85"/>
      <c r="AJ110" s="85"/>
      <c r="AK110" s="85"/>
      <c r="AL110" s="85"/>
      <c r="AM110" s="85"/>
      <c r="AN110" s="85"/>
      <c r="AO110" s="85"/>
      <c r="AP110" s="85"/>
      <c r="AQ110" s="85"/>
      <c r="AR110" s="85"/>
      <c r="AS110" s="85"/>
      <c r="AT110" s="85"/>
      <c r="AU110" s="85"/>
      <c r="AV110" s="85"/>
    </row>
    <row r="111" spans="1:48" s="75" customFormat="1" ht="12" hidden="1" customHeight="1" outlineLevel="1">
      <c r="B111" s="88" t="str">
        <f>'8.项目规划指标表'!B$5</f>
        <v>高层</v>
      </c>
      <c r="C111" s="89">
        <f t="shared" ref="C111:C122" si="20">SUM(D111:I111)</f>
        <v>0</v>
      </c>
      <c r="D111" s="99"/>
      <c r="E111" s="99"/>
      <c r="F111" s="99"/>
      <c r="G111" s="99"/>
      <c r="H111" s="99"/>
      <c r="I111" s="99"/>
      <c r="J111" s="105">
        <v>14</v>
      </c>
      <c r="K111" s="77"/>
      <c r="L111" s="77"/>
      <c r="M111" s="77"/>
    </row>
    <row r="112" spans="1:48" s="75" customFormat="1" hidden="1" outlineLevel="1">
      <c r="B112" s="88" t="str">
        <f>'8.项目规划指标表'!B$6</f>
        <v>商铺</v>
      </c>
      <c r="C112" s="89">
        <f t="shared" si="20"/>
        <v>0</v>
      </c>
      <c r="D112" s="99"/>
      <c r="E112" s="85"/>
      <c r="F112" s="99"/>
      <c r="G112" s="99"/>
      <c r="H112" s="99"/>
      <c r="I112" s="99"/>
      <c r="J112" s="105">
        <v>15</v>
      </c>
      <c r="K112" s="77"/>
      <c r="L112" s="77"/>
      <c r="M112" s="77"/>
    </row>
    <row r="113" spans="1:48" s="75" customFormat="1" hidden="1" outlineLevel="1">
      <c r="B113" s="88" t="str">
        <f>'8.项目规划指标表'!B$7</f>
        <v>回迁商业</v>
      </c>
      <c r="C113" s="89">
        <f t="shared" si="20"/>
        <v>0</v>
      </c>
      <c r="D113" s="99"/>
      <c r="E113" s="99"/>
      <c r="F113" s="99"/>
      <c r="G113" s="99"/>
      <c r="H113" s="99"/>
      <c r="I113" s="99"/>
      <c r="J113" s="105">
        <v>16</v>
      </c>
      <c r="K113" s="77"/>
      <c r="L113" s="77"/>
      <c r="M113" s="77"/>
    </row>
    <row r="114" spans="1:48" s="75" customFormat="1" hidden="1" outlineLevel="1">
      <c r="B114" s="88">
        <f>'8.项目规划指标表'!B$8</f>
        <v>0</v>
      </c>
      <c r="C114" s="89">
        <f t="shared" si="20"/>
        <v>0</v>
      </c>
      <c r="D114" s="99"/>
      <c r="E114" s="99"/>
      <c r="F114" s="99"/>
      <c r="G114" s="99"/>
      <c r="H114" s="99"/>
      <c r="I114" s="99"/>
      <c r="J114" s="105">
        <v>17</v>
      </c>
      <c r="K114" s="77"/>
      <c r="L114" s="77"/>
      <c r="M114" s="77"/>
    </row>
    <row r="115" spans="1:48" s="75" customFormat="1" hidden="1" outlineLevel="1">
      <c r="B115" s="88">
        <f>'8.项目规划指标表'!B$9</f>
        <v>0</v>
      </c>
      <c r="C115" s="89">
        <f t="shared" si="20"/>
        <v>0</v>
      </c>
      <c r="D115" s="99"/>
      <c r="E115" s="99"/>
      <c r="F115" s="99"/>
      <c r="G115" s="99"/>
      <c r="H115" s="99"/>
      <c r="I115" s="99"/>
      <c r="J115" s="105">
        <v>18</v>
      </c>
      <c r="K115" s="77"/>
      <c r="L115" s="77"/>
      <c r="M115" s="77"/>
    </row>
    <row r="116" spans="1:48" s="75" customFormat="1" hidden="1" outlineLevel="1">
      <c r="B116" s="88">
        <f>'8.项目规划指标表'!B$10</f>
        <v>0</v>
      </c>
      <c r="C116" s="89">
        <f t="shared" si="20"/>
        <v>0</v>
      </c>
      <c r="D116" s="99"/>
      <c r="E116" s="99"/>
      <c r="F116" s="99"/>
      <c r="G116" s="99"/>
      <c r="H116" s="99"/>
      <c r="I116" s="99"/>
      <c r="J116" s="105">
        <v>19</v>
      </c>
      <c r="K116" s="77"/>
      <c r="L116" s="77"/>
      <c r="M116" s="77"/>
    </row>
    <row r="117" spans="1:48" s="75" customFormat="1" hidden="1" outlineLevel="1">
      <c r="B117" s="88">
        <f>'8.项目规划指标表'!B$11</f>
        <v>0</v>
      </c>
      <c r="C117" s="89">
        <f t="shared" si="20"/>
        <v>0</v>
      </c>
      <c r="D117" s="99"/>
      <c r="E117" s="99"/>
      <c r="F117" s="99"/>
      <c r="G117" s="99"/>
      <c r="H117" s="99"/>
      <c r="I117" s="99"/>
      <c r="J117" s="105">
        <v>20</v>
      </c>
      <c r="K117" s="77"/>
      <c r="L117" s="77"/>
      <c r="M117" s="77"/>
    </row>
    <row r="118" spans="1:48" s="75" customFormat="1" hidden="1" outlineLevel="1">
      <c r="B118" s="88">
        <f>'8.项目规划指标表'!B$12</f>
        <v>0</v>
      </c>
      <c r="C118" s="89">
        <f t="shared" si="20"/>
        <v>0</v>
      </c>
      <c r="D118" s="99"/>
      <c r="E118" s="99"/>
      <c r="F118" s="99"/>
      <c r="G118" s="99"/>
      <c r="H118" s="99"/>
      <c r="I118" s="99"/>
      <c r="J118" s="105">
        <v>21</v>
      </c>
      <c r="K118" s="77"/>
      <c r="L118" s="77"/>
      <c r="M118" s="77"/>
    </row>
    <row r="119" spans="1:48" s="75" customFormat="1" hidden="1" outlineLevel="1">
      <c r="B119" s="88">
        <f>'8.项目规划指标表'!B$13</f>
        <v>0</v>
      </c>
      <c r="C119" s="89">
        <f t="shared" si="20"/>
        <v>0</v>
      </c>
      <c r="D119" s="99"/>
      <c r="E119" s="99"/>
      <c r="F119" s="99"/>
      <c r="G119" s="99"/>
      <c r="H119" s="99"/>
      <c r="I119" s="99"/>
      <c r="J119" s="105">
        <v>22</v>
      </c>
      <c r="K119" s="77"/>
      <c r="L119" s="77"/>
      <c r="M119" s="77"/>
    </row>
    <row r="120" spans="1:48" s="75" customFormat="1" hidden="1" outlineLevel="1">
      <c r="B120" s="88" t="str">
        <f>'8.项目规划指标表'!B$14</f>
        <v>自持物业</v>
      </c>
      <c r="C120" s="89">
        <f t="shared" si="20"/>
        <v>0</v>
      </c>
      <c r="D120" s="99"/>
      <c r="E120" s="99"/>
      <c r="F120" s="99"/>
      <c r="G120" s="99"/>
      <c r="H120" s="99"/>
      <c r="I120" s="99"/>
      <c r="J120" s="105">
        <v>23</v>
      </c>
      <c r="K120" s="77"/>
      <c r="L120" s="77"/>
      <c r="M120" s="77"/>
    </row>
    <row r="121" spans="1:48" s="75" customFormat="1" hidden="1" outlineLevel="1">
      <c r="B121" s="88" t="str">
        <f>'8.项目规划指标表'!B$18</f>
        <v>有产权车库(个)</v>
      </c>
      <c r="C121" s="89">
        <f t="shared" si="20"/>
        <v>0</v>
      </c>
      <c r="D121" s="99"/>
      <c r="E121" s="99"/>
      <c r="F121" s="99"/>
      <c r="G121" s="99"/>
      <c r="H121" s="99"/>
      <c r="I121" s="99"/>
      <c r="J121" s="105">
        <v>24</v>
      </c>
      <c r="K121" s="77"/>
      <c r="L121" s="77"/>
      <c r="M121" s="77"/>
    </row>
    <row r="122" spans="1:48" s="75" customFormat="1" hidden="1" outlineLevel="1">
      <c r="B122" s="88" t="str">
        <f>'8.项目规划指标表'!B$19</f>
        <v>无产权车库(个)</v>
      </c>
      <c r="C122" s="89">
        <f t="shared" si="20"/>
        <v>0</v>
      </c>
      <c r="D122" s="99"/>
      <c r="E122" s="99"/>
      <c r="F122" s="99"/>
      <c r="G122" s="99"/>
      <c r="H122" s="99"/>
      <c r="I122" s="99"/>
      <c r="J122" s="105">
        <v>25</v>
      </c>
      <c r="K122" s="77"/>
      <c r="L122" s="77"/>
      <c r="M122" s="77"/>
    </row>
    <row r="123" spans="1:48" s="75" customFormat="1" ht="14.25" customHeight="1">
      <c r="A123" s="85"/>
      <c r="B123" s="100" t="s">
        <v>625</v>
      </c>
      <c r="C123" s="101">
        <f ca="1">SUM(D123:M123)</f>
        <v>27810.481844812555</v>
      </c>
      <c r="D123" s="87">
        <f ca="1">D6-D19-D32-D58-D71-D84-D97-D110-D45</f>
        <v>27810.481844812555</v>
      </c>
      <c r="E123" s="87">
        <f t="shared" ref="D123:I135" ca="1" si="21">E6-E19-E32-E58-E71-E84-E97-E110-E45</f>
        <v>0</v>
      </c>
      <c r="F123" s="87">
        <f t="shared" ca="1" si="21"/>
        <v>0</v>
      </c>
      <c r="G123" s="87">
        <f t="shared" ca="1" si="21"/>
        <v>0</v>
      </c>
      <c r="H123" s="87">
        <f t="shared" ca="1" si="21"/>
        <v>0</v>
      </c>
      <c r="I123" s="87">
        <f t="shared" ca="1" si="21"/>
        <v>0</v>
      </c>
      <c r="J123" s="103"/>
      <c r="K123" s="94"/>
      <c r="L123" s="78"/>
      <c r="M123" s="78"/>
      <c r="N123" s="104"/>
      <c r="O123" s="85"/>
      <c r="P123" s="94"/>
      <c r="Q123" s="78"/>
      <c r="R123" s="78"/>
      <c r="S123" s="104"/>
      <c r="T123" s="85"/>
      <c r="U123" s="85"/>
      <c r="V123" s="85"/>
      <c r="W123" s="85"/>
      <c r="X123" s="85"/>
      <c r="Y123" s="85"/>
      <c r="Z123" s="85"/>
      <c r="AA123" s="85"/>
      <c r="AB123" s="85"/>
      <c r="AC123" s="85"/>
      <c r="AD123" s="85"/>
      <c r="AE123" s="85"/>
      <c r="AF123" s="85"/>
      <c r="AG123" s="85"/>
      <c r="AH123" s="85"/>
      <c r="AI123" s="85"/>
      <c r="AJ123" s="85"/>
      <c r="AK123" s="85"/>
      <c r="AL123" s="85"/>
      <c r="AM123" s="85"/>
      <c r="AN123" s="85"/>
      <c r="AO123" s="85"/>
      <c r="AP123" s="85"/>
      <c r="AQ123" s="85"/>
      <c r="AR123" s="85"/>
      <c r="AS123" s="85"/>
      <c r="AT123" s="85"/>
      <c r="AU123" s="85"/>
      <c r="AV123" s="85"/>
    </row>
    <row r="124" spans="1:48" s="75" customFormat="1" ht="12" customHeight="1" outlineLevel="1">
      <c r="B124" s="88" t="str">
        <f>'8.项目规划指标表'!B$5</f>
        <v>高层</v>
      </c>
      <c r="C124" s="89">
        <f t="shared" ref="C124:C135" ca="1" si="22">SUM(D124:I124)</f>
        <v>26942.075119471578</v>
      </c>
      <c r="D124" s="89">
        <f t="shared" ca="1" si="21"/>
        <v>26942.075119471578</v>
      </c>
      <c r="E124" s="89">
        <f t="shared" ca="1" si="21"/>
        <v>0</v>
      </c>
      <c r="F124" s="89">
        <f t="shared" ca="1" si="21"/>
        <v>0</v>
      </c>
      <c r="G124" s="89">
        <f t="shared" ca="1" si="21"/>
        <v>0</v>
      </c>
      <c r="H124" s="89">
        <f t="shared" ca="1" si="21"/>
        <v>0</v>
      </c>
      <c r="I124" s="89">
        <f t="shared" ca="1" si="21"/>
        <v>0</v>
      </c>
      <c r="J124" s="102"/>
      <c r="K124" s="77"/>
      <c r="L124" s="77"/>
      <c r="M124" s="77"/>
    </row>
    <row r="125" spans="1:48" s="75" customFormat="1" outlineLevel="1">
      <c r="B125" s="88" t="str">
        <f>'8.项目规划指标表'!B$6</f>
        <v>商铺</v>
      </c>
      <c r="C125" s="89">
        <f t="shared" ca="1" si="22"/>
        <v>-1435.2741758569605</v>
      </c>
      <c r="D125" s="89">
        <f t="shared" ca="1" si="21"/>
        <v>-1435.2741758569605</v>
      </c>
      <c r="E125" s="89">
        <f t="shared" ca="1" si="21"/>
        <v>0</v>
      </c>
      <c r="F125" s="89">
        <f t="shared" ca="1" si="21"/>
        <v>0</v>
      </c>
      <c r="G125" s="89">
        <f t="shared" ca="1" si="21"/>
        <v>0</v>
      </c>
      <c r="H125" s="89">
        <f t="shared" ca="1" si="21"/>
        <v>0</v>
      </c>
      <c r="I125" s="89">
        <f t="shared" ca="1" si="21"/>
        <v>0</v>
      </c>
      <c r="J125" s="102"/>
      <c r="K125" s="77"/>
      <c r="L125" s="77"/>
      <c r="M125" s="77"/>
    </row>
    <row r="126" spans="1:48" s="75" customFormat="1" outlineLevel="1">
      <c r="B126" s="88" t="str">
        <f>'8.项目规划指标表'!B$7</f>
        <v>回迁商业</v>
      </c>
      <c r="C126" s="89">
        <f t="shared" ca="1" si="22"/>
        <v>0</v>
      </c>
      <c r="D126" s="89">
        <f t="shared" si="21"/>
        <v>0</v>
      </c>
      <c r="E126" s="89">
        <f t="shared" ca="1" si="21"/>
        <v>0</v>
      </c>
      <c r="F126" s="89">
        <f t="shared" ca="1" si="21"/>
        <v>0</v>
      </c>
      <c r="G126" s="89">
        <f t="shared" ca="1" si="21"/>
        <v>0</v>
      </c>
      <c r="H126" s="89">
        <f t="shared" ca="1" si="21"/>
        <v>0</v>
      </c>
      <c r="I126" s="89">
        <f t="shared" ca="1" si="21"/>
        <v>0</v>
      </c>
      <c r="J126" s="93"/>
      <c r="K126" s="77"/>
      <c r="L126" s="77"/>
      <c r="M126" s="77"/>
    </row>
    <row r="127" spans="1:48" s="75" customFormat="1" outlineLevel="1">
      <c r="B127" s="88">
        <f>'8.项目规划指标表'!B$8</f>
        <v>0</v>
      </c>
      <c r="C127" s="89">
        <f t="shared" ca="1" si="22"/>
        <v>0</v>
      </c>
      <c r="D127" s="89">
        <f t="shared" ca="1" si="21"/>
        <v>0</v>
      </c>
      <c r="E127" s="89">
        <f t="shared" ca="1" si="21"/>
        <v>0</v>
      </c>
      <c r="F127" s="89">
        <f t="shared" ca="1" si="21"/>
        <v>0</v>
      </c>
      <c r="G127" s="89">
        <f t="shared" ca="1" si="21"/>
        <v>0</v>
      </c>
      <c r="H127" s="89">
        <f t="shared" ca="1" si="21"/>
        <v>0</v>
      </c>
      <c r="I127" s="89">
        <f t="shared" ca="1" si="21"/>
        <v>0</v>
      </c>
      <c r="J127" s="93"/>
      <c r="K127" s="77"/>
      <c r="L127" s="77"/>
      <c r="M127" s="77"/>
    </row>
    <row r="128" spans="1:48" s="75" customFormat="1" outlineLevel="1">
      <c r="B128" s="88">
        <f>'8.项目规划指标表'!B$9</f>
        <v>0</v>
      </c>
      <c r="C128" s="89">
        <f t="shared" ca="1" si="22"/>
        <v>0</v>
      </c>
      <c r="D128" s="89">
        <f t="shared" ca="1" si="21"/>
        <v>0</v>
      </c>
      <c r="E128" s="89">
        <f t="shared" ca="1" si="21"/>
        <v>0</v>
      </c>
      <c r="F128" s="89">
        <f t="shared" ca="1" si="21"/>
        <v>0</v>
      </c>
      <c r="G128" s="89">
        <f t="shared" ca="1" si="21"/>
        <v>0</v>
      </c>
      <c r="H128" s="89">
        <f t="shared" ca="1" si="21"/>
        <v>0</v>
      </c>
      <c r="I128" s="89">
        <f t="shared" ca="1" si="21"/>
        <v>0</v>
      </c>
      <c r="J128" s="93"/>
      <c r="K128" s="77"/>
      <c r="L128" s="77"/>
      <c r="M128" s="77"/>
    </row>
    <row r="129" spans="1:48" s="75" customFormat="1" outlineLevel="1">
      <c r="B129" s="88">
        <f>'8.项目规划指标表'!B$10</f>
        <v>0</v>
      </c>
      <c r="C129" s="89">
        <f t="shared" ca="1" si="22"/>
        <v>0</v>
      </c>
      <c r="D129" s="89">
        <f t="shared" ca="1" si="21"/>
        <v>0</v>
      </c>
      <c r="E129" s="89">
        <f t="shared" ca="1" si="21"/>
        <v>0</v>
      </c>
      <c r="F129" s="89">
        <f t="shared" ca="1" si="21"/>
        <v>0</v>
      </c>
      <c r="G129" s="89">
        <f t="shared" ca="1" si="21"/>
        <v>0</v>
      </c>
      <c r="H129" s="89">
        <f t="shared" ca="1" si="21"/>
        <v>0</v>
      </c>
      <c r="I129" s="89">
        <f t="shared" ca="1" si="21"/>
        <v>0</v>
      </c>
      <c r="J129" s="93"/>
      <c r="K129" s="77"/>
      <c r="L129" s="77"/>
      <c r="M129" s="77"/>
    </row>
    <row r="130" spans="1:48" s="75" customFormat="1" outlineLevel="1">
      <c r="B130" s="88">
        <f>'8.项目规划指标表'!B$11</f>
        <v>0</v>
      </c>
      <c r="C130" s="89">
        <f t="shared" ca="1" si="22"/>
        <v>0</v>
      </c>
      <c r="D130" s="89">
        <f t="shared" ca="1" si="21"/>
        <v>0</v>
      </c>
      <c r="E130" s="89">
        <f t="shared" ca="1" si="21"/>
        <v>0</v>
      </c>
      <c r="F130" s="89">
        <f t="shared" ca="1" si="21"/>
        <v>0</v>
      </c>
      <c r="G130" s="89">
        <f t="shared" ca="1" si="21"/>
        <v>0</v>
      </c>
      <c r="H130" s="89">
        <f t="shared" ca="1" si="21"/>
        <v>0</v>
      </c>
      <c r="I130" s="89">
        <f t="shared" ca="1" si="21"/>
        <v>0</v>
      </c>
      <c r="J130" s="93"/>
      <c r="K130" s="77"/>
      <c r="L130" s="77"/>
      <c r="M130" s="77"/>
    </row>
    <row r="131" spans="1:48" s="75" customFormat="1" outlineLevel="1">
      <c r="B131" s="88">
        <f>'8.项目规划指标表'!B$12</f>
        <v>0</v>
      </c>
      <c r="C131" s="89">
        <f t="shared" ca="1" si="22"/>
        <v>0</v>
      </c>
      <c r="D131" s="89">
        <f t="shared" ca="1" si="21"/>
        <v>0</v>
      </c>
      <c r="E131" s="89">
        <f t="shared" ca="1" si="21"/>
        <v>0</v>
      </c>
      <c r="F131" s="89">
        <f t="shared" ca="1" si="21"/>
        <v>0</v>
      </c>
      <c r="G131" s="89">
        <f t="shared" ca="1" si="21"/>
        <v>0</v>
      </c>
      <c r="H131" s="89">
        <f t="shared" ca="1" si="21"/>
        <v>0</v>
      </c>
      <c r="I131" s="89">
        <f t="shared" ca="1" si="21"/>
        <v>0</v>
      </c>
      <c r="J131" s="93"/>
      <c r="K131" s="77"/>
      <c r="L131" s="77"/>
      <c r="M131" s="77"/>
    </row>
    <row r="132" spans="1:48" s="75" customFormat="1" outlineLevel="1">
      <c r="B132" s="88">
        <f>'8.项目规划指标表'!B$13</f>
        <v>0</v>
      </c>
      <c r="C132" s="89">
        <f t="shared" ca="1" si="22"/>
        <v>0</v>
      </c>
      <c r="D132" s="89">
        <f t="shared" ca="1" si="21"/>
        <v>0</v>
      </c>
      <c r="E132" s="89">
        <f t="shared" ca="1" si="21"/>
        <v>0</v>
      </c>
      <c r="F132" s="89">
        <f t="shared" ca="1" si="21"/>
        <v>0</v>
      </c>
      <c r="G132" s="89">
        <f t="shared" ca="1" si="21"/>
        <v>0</v>
      </c>
      <c r="H132" s="89">
        <f t="shared" ca="1" si="21"/>
        <v>0</v>
      </c>
      <c r="I132" s="89">
        <f t="shared" ca="1" si="21"/>
        <v>0</v>
      </c>
      <c r="J132" s="93"/>
      <c r="K132" s="77"/>
      <c r="L132" s="77"/>
      <c r="M132" s="77"/>
    </row>
    <row r="133" spans="1:48" s="75" customFormat="1" outlineLevel="1">
      <c r="B133" s="88" t="str">
        <f>'8.项目规划指标表'!B$14</f>
        <v>自持物业</v>
      </c>
      <c r="C133" s="90"/>
      <c r="D133" s="90"/>
      <c r="E133" s="90"/>
      <c r="F133" s="90"/>
      <c r="G133" s="90"/>
      <c r="H133" s="90"/>
      <c r="I133" s="90"/>
      <c r="J133" s="93"/>
      <c r="K133" s="77"/>
      <c r="L133" s="77"/>
      <c r="M133" s="77"/>
    </row>
    <row r="134" spans="1:48" s="75" customFormat="1" outlineLevel="1">
      <c r="B134" s="88" t="str">
        <f>'8.项目规划指标表'!B$18</f>
        <v>有产权车库(个)</v>
      </c>
      <c r="C134" s="89">
        <f t="shared" ca="1" si="22"/>
        <v>2303.6809011979549</v>
      </c>
      <c r="D134" s="89">
        <f t="shared" ca="1" si="21"/>
        <v>2303.6809011979549</v>
      </c>
      <c r="E134" s="89">
        <f t="shared" ca="1" si="21"/>
        <v>0</v>
      </c>
      <c r="F134" s="89">
        <f t="shared" ca="1" si="21"/>
        <v>0</v>
      </c>
      <c r="G134" s="89">
        <f t="shared" ca="1" si="21"/>
        <v>0</v>
      </c>
      <c r="H134" s="89">
        <f t="shared" ca="1" si="21"/>
        <v>0</v>
      </c>
      <c r="I134" s="89">
        <f t="shared" ca="1" si="21"/>
        <v>0</v>
      </c>
      <c r="J134" s="93"/>
      <c r="K134" s="77"/>
      <c r="L134" s="77"/>
      <c r="M134" s="77"/>
    </row>
    <row r="135" spans="1:48" s="75" customFormat="1" outlineLevel="1">
      <c r="B135" s="88" t="str">
        <f>'8.项目规划指标表'!B$19</f>
        <v>无产权车库(个)</v>
      </c>
      <c r="C135" s="89">
        <f t="shared" ca="1" si="22"/>
        <v>0</v>
      </c>
      <c r="D135" s="89">
        <f t="shared" ca="1" si="21"/>
        <v>0</v>
      </c>
      <c r="E135" s="89">
        <f t="shared" ca="1" si="21"/>
        <v>0</v>
      </c>
      <c r="F135" s="89">
        <f t="shared" ca="1" si="21"/>
        <v>0</v>
      </c>
      <c r="G135" s="89">
        <f t="shared" ca="1" si="21"/>
        <v>0</v>
      </c>
      <c r="H135" s="89">
        <f t="shared" ca="1" si="21"/>
        <v>0</v>
      </c>
      <c r="I135" s="89">
        <f t="shared" ca="1" si="21"/>
        <v>0</v>
      </c>
      <c r="J135" s="93"/>
      <c r="K135" s="77"/>
      <c r="L135" s="77"/>
      <c r="M135" s="77"/>
    </row>
    <row r="136" spans="1:48" s="75" customFormat="1" ht="14.25" customHeight="1">
      <c r="A136" s="85"/>
      <c r="B136" s="86" t="s">
        <v>626</v>
      </c>
      <c r="C136" s="87">
        <f t="shared" ref="C136" ca="1" si="23">SUM(D136:M136)</f>
        <v>504.00000000000364</v>
      </c>
      <c r="D136" s="87">
        <f ca="1">SUM(D149,D162,D175)</f>
        <v>504.00000000000364</v>
      </c>
      <c r="E136" s="87">
        <f t="shared" ref="E136:I136" ca="1" si="24">SUM(E149,E162,E175)</f>
        <v>0</v>
      </c>
      <c r="F136" s="87">
        <f t="shared" ca="1" si="24"/>
        <v>0</v>
      </c>
      <c r="G136" s="87">
        <f t="shared" ca="1" si="24"/>
        <v>0</v>
      </c>
      <c r="H136" s="87">
        <f t="shared" ca="1" si="24"/>
        <v>0</v>
      </c>
      <c r="I136" s="87">
        <f t="shared" ca="1" si="24"/>
        <v>0</v>
      </c>
      <c r="J136" s="78"/>
      <c r="K136" s="94"/>
      <c r="L136" s="78"/>
      <c r="M136" s="78"/>
      <c r="N136" s="104"/>
      <c r="O136" s="85"/>
      <c r="P136" s="94"/>
      <c r="Q136" s="78"/>
      <c r="R136" s="78"/>
      <c r="S136" s="104"/>
      <c r="T136" s="85"/>
      <c r="U136" s="85"/>
      <c r="V136" s="85"/>
      <c r="W136" s="85"/>
      <c r="X136" s="85"/>
      <c r="Y136" s="85"/>
      <c r="Z136" s="85"/>
      <c r="AA136" s="85"/>
      <c r="AB136" s="85"/>
      <c r="AC136" s="85"/>
      <c r="AD136" s="85"/>
      <c r="AE136" s="85"/>
      <c r="AF136" s="85"/>
      <c r="AG136" s="85"/>
      <c r="AH136" s="85"/>
      <c r="AI136" s="85"/>
      <c r="AJ136" s="85"/>
      <c r="AK136" s="85"/>
      <c r="AL136" s="85"/>
      <c r="AM136" s="85"/>
      <c r="AN136" s="85"/>
      <c r="AO136" s="85"/>
      <c r="AP136" s="85"/>
      <c r="AQ136" s="85"/>
      <c r="AR136" s="85"/>
      <c r="AS136" s="85"/>
      <c r="AT136" s="85"/>
      <c r="AU136" s="85"/>
      <c r="AV136" s="85"/>
    </row>
    <row r="137" spans="1:48" s="75" customFormat="1" ht="12" customHeight="1" outlineLevel="1">
      <c r="B137" s="88" t="str">
        <f>'8.项目规划指标表'!B$5</f>
        <v>高层</v>
      </c>
      <c r="C137" s="89">
        <f t="shared" ref="C137:C149" ca="1" si="25">SUM(D137:I137)</f>
        <v>385.77265616454565</v>
      </c>
      <c r="D137" s="89">
        <f ca="1">SUM(D150,D163,D176)</f>
        <v>385.77265616454565</v>
      </c>
      <c r="E137" s="89">
        <f t="shared" ref="E137:I137" ca="1" si="26">SUM(E150,E163,E176)</f>
        <v>0</v>
      </c>
      <c r="F137" s="89">
        <f t="shared" ca="1" si="26"/>
        <v>0</v>
      </c>
      <c r="G137" s="89">
        <f t="shared" ca="1" si="26"/>
        <v>0</v>
      </c>
      <c r="H137" s="89">
        <f t="shared" ca="1" si="26"/>
        <v>0</v>
      </c>
      <c r="I137" s="89">
        <f t="shared" ca="1" si="26"/>
        <v>0</v>
      </c>
      <c r="J137" s="93"/>
      <c r="K137" s="77"/>
      <c r="L137" s="77"/>
      <c r="M137" s="77"/>
    </row>
    <row r="138" spans="1:48" s="75" customFormat="1" outlineLevel="1">
      <c r="B138" s="88" t="str">
        <f>'8.项目规划指标表'!B$6</f>
        <v>商铺</v>
      </c>
      <c r="C138" s="89">
        <f t="shared" ca="1" si="25"/>
        <v>102.4154643073994</v>
      </c>
      <c r="D138" s="89">
        <f t="shared" ref="D138:I138" ca="1" si="27">SUM(D151,D164,D177)</f>
        <v>102.4154643073994</v>
      </c>
      <c r="E138" s="89">
        <f t="shared" ca="1" si="27"/>
        <v>0</v>
      </c>
      <c r="F138" s="89">
        <f t="shared" ca="1" si="27"/>
        <v>0</v>
      </c>
      <c r="G138" s="89">
        <f ca="1">SUM(G151,G164,G176)</f>
        <v>0</v>
      </c>
      <c r="H138" s="89">
        <f t="shared" ca="1" si="27"/>
        <v>0</v>
      </c>
      <c r="I138" s="89">
        <f t="shared" ca="1" si="27"/>
        <v>0</v>
      </c>
      <c r="J138" s="93"/>
      <c r="K138" s="77"/>
      <c r="L138" s="77"/>
      <c r="M138" s="77"/>
    </row>
    <row r="139" spans="1:48" s="75" customFormat="1" outlineLevel="1">
      <c r="B139" s="88" t="str">
        <f>'8.项目规划指标表'!B$7</f>
        <v>回迁商业</v>
      </c>
      <c r="C139" s="89">
        <f t="shared" ca="1" si="25"/>
        <v>0</v>
      </c>
      <c r="D139" s="89">
        <f t="shared" ref="D139:I139" ca="1" si="28">SUM(D152,D165,D178)</f>
        <v>0</v>
      </c>
      <c r="E139" s="89">
        <f t="shared" ca="1" si="28"/>
        <v>0</v>
      </c>
      <c r="F139" s="89">
        <f t="shared" ca="1" si="28"/>
        <v>0</v>
      </c>
      <c r="G139" s="89">
        <f t="shared" ca="1" si="28"/>
        <v>0</v>
      </c>
      <c r="H139" s="89">
        <f t="shared" ca="1" si="28"/>
        <v>0</v>
      </c>
      <c r="I139" s="89">
        <f t="shared" ca="1" si="28"/>
        <v>0</v>
      </c>
      <c r="J139" s="93"/>
      <c r="K139" s="77"/>
      <c r="L139" s="77"/>
      <c r="M139" s="77"/>
    </row>
    <row r="140" spans="1:48" s="75" customFormat="1" outlineLevel="1">
      <c r="B140" s="88">
        <f>'8.项目规划指标表'!B$8</f>
        <v>0</v>
      </c>
      <c r="C140" s="89">
        <f t="shared" ca="1" si="25"/>
        <v>0</v>
      </c>
      <c r="D140" s="89">
        <f t="shared" ref="D140:I140" ca="1" si="29">SUM(D153,D166,D179)</f>
        <v>0</v>
      </c>
      <c r="E140" s="89">
        <f t="shared" ca="1" si="29"/>
        <v>0</v>
      </c>
      <c r="F140" s="89">
        <f t="shared" ca="1" si="29"/>
        <v>0</v>
      </c>
      <c r="G140" s="89">
        <f t="shared" ca="1" si="29"/>
        <v>0</v>
      </c>
      <c r="H140" s="89">
        <f t="shared" ca="1" si="29"/>
        <v>0</v>
      </c>
      <c r="I140" s="89">
        <f t="shared" ca="1" si="29"/>
        <v>0</v>
      </c>
      <c r="J140" s="93"/>
      <c r="K140" s="77"/>
      <c r="L140" s="77"/>
      <c r="M140" s="77"/>
    </row>
    <row r="141" spans="1:48" s="75" customFormat="1" outlineLevel="1">
      <c r="B141" s="88">
        <f>'8.项目规划指标表'!B$9</f>
        <v>0</v>
      </c>
      <c r="C141" s="89">
        <f t="shared" ca="1" si="25"/>
        <v>0</v>
      </c>
      <c r="D141" s="89">
        <f ca="1">SUM(D154,D167,D180)</f>
        <v>0</v>
      </c>
      <c r="E141" s="89">
        <f t="shared" ref="E141:I141" ca="1" si="30">SUM(E154,E167,E180)</f>
        <v>0</v>
      </c>
      <c r="F141" s="89">
        <f t="shared" ca="1" si="30"/>
        <v>0</v>
      </c>
      <c r="G141" s="89">
        <f t="shared" ca="1" si="30"/>
        <v>0</v>
      </c>
      <c r="H141" s="89">
        <f t="shared" ca="1" si="30"/>
        <v>0</v>
      </c>
      <c r="I141" s="89">
        <f t="shared" ca="1" si="30"/>
        <v>0</v>
      </c>
      <c r="J141" s="93"/>
      <c r="K141" s="77"/>
      <c r="L141" s="77"/>
      <c r="M141" s="77"/>
    </row>
    <row r="142" spans="1:48" s="75" customFormat="1" outlineLevel="1">
      <c r="B142" s="88">
        <f>'8.项目规划指标表'!B$10</f>
        <v>0</v>
      </c>
      <c r="C142" s="89">
        <f t="shared" ca="1" si="25"/>
        <v>0</v>
      </c>
      <c r="D142" s="89">
        <f t="shared" ref="D142:I142" ca="1" si="31">SUM(D155,D168,D181)</f>
        <v>0</v>
      </c>
      <c r="E142" s="89">
        <f t="shared" ca="1" si="31"/>
        <v>0</v>
      </c>
      <c r="F142" s="89">
        <f t="shared" ca="1" si="31"/>
        <v>0</v>
      </c>
      <c r="G142" s="89">
        <f t="shared" ca="1" si="31"/>
        <v>0</v>
      </c>
      <c r="H142" s="89">
        <f t="shared" ca="1" si="31"/>
        <v>0</v>
      </c>
      <c r="I142" s="89">
        <f t="shared" ca="1" si="31"/>
        <v>0</v>
      </c>
      <c r="J142" s="93"/>
      <c r="K142" s="77"/>
      <c r="L142" s="77"/>
      <c r="M142" s="77"/>
    </row>
    <row r="143" spans="1:48" s="75" customFormat="1" outlineLevel="1">
      <c r="B143" s="88">
        <f>'8.项目规划指标表'!B$11</f>
        <v>0</v>
      </c>
      <c r="C143" s="89">
        <f t="shared" ca="1" si="25"/>
        <v>0</v>
      </c>
      <c r="D143" s="89">
        <f t="shared" ref="D143:I143" ca="1" si="32">SUM(D156,D169,D182)</f>
        <v>0</v>
      </c>
      <c r="E143" s="89">
        <f t="shared" ca="1" si="32"/>
        <v>0</v>
      </c>
      <c r="F143" s="89">
        <f t="shared" ca="1" si="32"/>
        <v>0</v>
      </c>
      <c r="G143" s="89">
        <f t="shared" ca="1" si="32"/>
        <v>0</v>
      </c>
      <c r="H143" s="89">
        <f t="shared" ca="1" si="32"/>
        <v>0</v>
      </c>
      <c r="I143" s="89">
        <f t="shared" ca="1" si="32"/>
        <v>0</v>
      </c>
      <c r="J143" s="93"/>
      <c r="K143" s="77"/>
      <c r="L143" s="77"/>
      <c r="M143" s="77"/>
    </row>
    <row r="144" spans="1:48" s="75" customFormat="1" outlineLevel="1">
      <c r="B144" s="88">
        <f>'8.项目规划指标表'!B$12</f>
        <v>0</v>
      </c>
      <c r="C144" s="89">
        <f t="shared" ca="1" si="25"/>
        <v>0</v>
      </c>
      <c r="D144" s="89">
        <f t="shared" ref="D144:I144" ca="1" si="33">SUM(D157,D170,D183)</f>
        <v>0</v>
      </c>
      <c r="E144" s="89">
        <f t="shared" ca="1" si="33"/>
        <v>0</v>
      </c>
      <c r="F144" s="89">
        <f t="shared" ca="1" si="33"/>
        <v>0</v>
      </c>
      <c r="G144" s="89">
        <f t="shared" ca="1" si="33"/>
        <v>0</v>
      </c>
      <c r="H144" s="89">
        <f t="shared" ca="1" si="33"/>
        <v>0</v>
      </c>
      <c r="I144" s="89">
        <f t="shared" ca="1" si="33"/>
        <v>0</v>
      </c>
      <c r="J144" s="93"/>
      <c r="K144" s="77"/>
      <c r="L144" s="77"/>
      <c r="M144" s="77"/>
    </row>
    <row r="145" spans="1:48" s="75" customFormat="1" outlineLevel="1">
      <c r="B145" s="88">
        <f>'8.项目规划指标表'!B$13</f>
        <v>0</v>
      </c>
      <c r="C145" s="89">
        <f t="shared" ca="1" si="25"/>
        <v>0</v>
      </c>
      <c r="D145" s="89">
        <f t="shared" ref="D145:I145" ca="1" si="34">SUM(D158,D171,D184)</f>
        <v>0</v>
      </c>
      <c r="E145" s="89">
        <f t="shared" ca="1" si="34"/>
        <v>0</v>
      </c>
      <c r="F145" s="89">
        <f t="shared" ca="1" si="34"/>
        <v>0</v>
      </c>
      <c r="G145" s="89">
        <f t="shared" ca="1" si="34"/>
        <v>0</v>
      </c>
      <c r="H145" s="89">
        <f t="shared" ca="1" si="34"/>
        <v>0</v>
      </c>
      <c r="I145" s="89">
        <f t="shared" ca="1" si="34"/>
        <v>0</v>
      </c>
      <c r="J145" s="93"/>
      <c r="K145" s="77"/>
      <c r="L145" s="77"/>
      <c r="M145" s="77"/>
    </row>
    <row r="146" spans="1:48" s="75" customFormat="1" outlineLevel="1">
      <c r="B146" s="88" t="str">
        <f>'8.项目规划指标表'!B$14</f>
        <v>自持物业</v>
      </c>
      <c r="C146" s="90"/>
      <c r="D146" s="90"/>
      <c r="E146" s="90"/>
      <c r="F146" s="90"/>
      <c r="G146" s="90"/>
      <c r="H146" s="90"/>
      <c r="I146" s="90"/>
      <c r="J146" s="93"/>
      <c r="K146" s="77"/>
      <c r="L146" s="77"/>
      <c r="M146" s="77"/>
    </row>
    <row r="147" spans="1:48" s="75" customFormat="1" outlineLevel="1">
      <c r="B147" s="88" t="str">
        <f>'8.项目规划指标表'!B$18</f>
        <v>有产权车库(个)</v>
      </c>
      <c r="C147" s="89">
        <f t="shared" ca="1" si="25"/>
        <v>15.811879528056783</v>
      </c>
      <c r="D147" s="89">
        <f t="shared" ref="D147:I147" ca="1" si="35">SUM(D160,D173,D186)</f>
        <v>15.811879528056783</v>
      </c>
      <c r="E147" s="89">
        <f t="shared" ca="1" si="35"/>
        <v>0</v>
      </c>
      <c r="F147" s="89">
        <f t="shared" ca="1" si="35"/>
        <v>0</v>
      </c>
      <c r="G147" s="89">
        <f t="shared" ca="1" si="35"/>
        <v>0</v>
      </c>
      <c r="H147" s="89">
        <f t="shared" ca="1" si="35"/>
        <v>0</v>
      </c>
      <c r="I147" s="89">
        <f t="shared" ca="1" si="35"/>
        <v>0</v>
      </c>
      <c r="J147" s="93"/>
      <c r="K147" s="77"/>
      <c r="L147" s="77"/>
      <c r="M147" s="77"/>
    </row>
    <row r="148" spans="1:48" s="75" customFormat="1" outlineLevel="1">
      <c r="B148" s="88" t="str">
        <f>'8.项目规划指标表'!B$19</f>
        <v>无产权车库(个)</v>
      </c>
      <c r="C148" s="89">
        <f t="shared" ca="1" si="25"/>
        <v>0</v>
      </c>
      <c r="D148" s="89">
        <f t="shared" ref="D148:I148" ca="1" si="36">SUM(D161,D174,D187)</f>
        <v>0</v>
      </c>
      <c r="E148" s="89">
        <f t="shared" ca="1" si="36"/>
        <v>0</v>
      </c>
      <c r="F148" s="89">
        <f t="shared" ca="1" si="36"/>
        <v>0</v>
      </c>
      <c r="G148" s="89">
        <f t="shared" ca="1" si="36"/>
        <v>0</v>
      </c>
      <c r="H148" s="89">
        <f t="shared" ca="1" si="36"/>
        <v>0</v>
      </c>
      <c r="I148" s="89">
        <f t="shared" ca="1" si="36"/>
        <v>0</v>
      </c>
      <c r="J148" s="93"/>
      <c r="K148" s="77"/>
      <c r="L148" s="77"/>
      <c r="M148" s="77"/>
    </row>
    <row r="149" spans="1:48" s="75" customFormat="1" ht="14.25" customHeight="1">
      <c r="A149" s="85"/>
      <c r="B149" s="106" t="s">
        <v>627</v>
      </c>
      <c r="C149" s="107">
        <f t="shared" si="25"/>
        <v>240.00000000000364</v>
      </c>
      <c r="D149" s="107">
        <f>'12.土地成本表'!D37-'12.土地成本表'!K37</f>
        <v>240.00000000000364</v>
      </c>
      <c r="E149" s="107">
        <f>'12.土地成本表'!E37-'12.土地成本表'!L37</f>
        <v>0</v>
      </c>
      <c r="F149" s="107">
        <f>'12.土地成本表'!F37-'12.土地成本表'!M37</f>
        <v>0</v>
      </c>
      <c r="G149" s="107">
        <f>'12.土地成本表'!G37-'12.土地成本表'!N37</f>
        <v>0</v>
      </c>
      <c r="H149" s="107">
        <f>'12.土地成本表'!H37-'12.土地成本表'!O37</f>
        <v>0</v>
      </c>
      <c r="I149" s="107">
        <f>'12.土地成本表'!I37-'12.土地成本表'!P37</f>
        <v>0</v>
      </c>
      <c r="J149" s="78"/>
      <c r="K149" s="94"/>
      <c r="L149" s="78"/>
      <c r="M149" s="78"/>
      <c r="N149" s="104"/>
      <c r="O149" s="85"/>
      <c r="P149" s="94"/>
      <c r="Q149" s="78"/>
      <c r="R149" s="78"/>
      <c r="S149" s="104"/>
      <c r="T149" s="85"/>
      <c r="U149" s="85"/>
      <c r="V149" s="85"/>
      <c r="W149" s="85"/>
      <c r="X149" s="85"/>
      <c r="Y149" s="85"/>
      <c r="Z149" s="85"/>
      <c r="AA149" s="85"/>
      <c r="AB149" s="85"/>
      <c r="AC149" s="85"/>
      <c r="AD149" s="85"/>
      <c r="AE149" s="85"/>
      <c r="AF149" s="85"/>
      <c r="AG149" s="85"/>
      <c r="AH149" s="85"/>
      <c r="AI149" s="85"/>
      <c r="AJ149" s="85"/>
      <c r="AK149" s="85"/>
      <c r="AL149" s="85"/>
      <c r="AM149" s="85"/>
      <c r="AN149" s="85"/>
      <c r="AO149" s="85"/>
      <c r="AP149" s="85"/>
      <c r="AQ149" s="85"/>
      <c r="AR149" s="85"/>
      <c r="AS149" s="85"/>
      <c r="AT149" s="85"/>
      <c r="AU149" s="85"/>
      <c r="AV149" s="85"/>
    </row>
    <row r="150" spans="1:48" s="75" customFormat="1" ht="12" customHeight="1" outlineLevel="1">
      <c r="B150" s="88" t="str">
        <f>'8.项目规划指标表'!B$5</f>
        <v>高层</v>
      </c>
      <c r="C150" s="89">
        <f t="shared" ref="C150:C162" si="37">SUM(D150:I150)</f>
        <v>155.4700080892726</v>
      </c>
      <c r="D150" s="89">
        <f>'12.土地成本表'!R25</f>
        <v>155.4700080892726</v>
      </c>
      <c r="E150" s="89">
        <f>'12.土地成本表'!S25</f>
        <v>0</v>
      </c>
      <c r="F150" s="89">
        <f>'12.土地成本表'!T25</f>
        <v>0</v>
      </c>
      <c r="G150" s="89">
        <f>'12.土地成本表'!U25</f>
        <v>0</v>
      </c>
      <c r="H150" s="89">
        <f>'12.土地成本表'!V25</f>
        <v>0</v>
      </c>
      <c r="I150" s="89">
        <f>'12.土地成本表'!W25</f>
        <v>0</v>
      </c>
      <c r="J150" s="93"/>
      <c r="K150" s="77"/>
      <c r="L150" s="77"/>
      <c r="M150" s="77"/>
    </row>
    <row r="151" spans="1:48" s="75" customFormat="1" outlineLevel="1">
      <c r="B151" s="88" t="str">
        <f>'8.项目规划指标表'!B$6</f>
        <v>商铺</v>
      </c>
      <c r="C151" s="89">
        <f t="shared" si="37"/>
        <v>84.529991910729223</v>
      </c>
      <c r="D151" s="89">
        <f>'12.土地成本表'!R26</f>
        <v>84.529991910729223</v>
      </c>
      <c r="E151" s="89">
        <f>'12.土地成本表'!S26</f>
        <v>0</v>
      </c>
      <c r="F151" s="89">
        <f>'12.土地成本表'!T26</f>
        <v>0</v>
      </c>
      <c r="G151" s="89">
        <f>'12.土地成本表'!U26</f>
        <v>0</v>
      </c>
      <c r="H151" s="89">
        <f>'12.土地成本表'!V26</f>
        <v>0</v>
      </c>
      <c r="I151" s="89">
        <f>'12.土地成本表'!W26</f>
        <v>0</v>
      </c>
      <c r="J151" s="93"/>
      <c r="K151" s="77"/>
      <c r="L151" s="77"/>
      <c r="M151" s="77"/>
    </row>
    <row r="152" spans="1:48" s="75" customFormat="1" outlineLevel="1">
      <c r="B152" s="88" t="str">
        <f>'8.项目规划指标表'!B$7</f>
        <v>回迁商业</v>
      </c>
      <c r="C152" s="89">
        <f t="shared" si="37"/>
        <v>0</v>
      </c>
      <c r="D152" s="89">
        <f>'12.土地成本表'!R27</f>
        <v>0</v>
      </c>
      <c r="E152" s="89">
        <f>'12.土地成本表'!S27</f>
        <v>0</v>
      </c>
      <c r="F152" s="89">
        <f>'12.土地成本表'!T27</f>
        <v>0</v>
      </c>
      <c r="G152" s="89">
        <f>'12.土地成本表'!U27</f>
        <v>0</v>
      </c>
      <c r="H152" s="89">
        <f>'12.土地成本表'!V27</f>
        <v>0</v>
      </c>
      <c r="I152" s="89">
        <f>'12.土地成本表'!W27</f>
        <v>0</v>
      </c>
      <c r="J152" s="93"/>
      <c r="K152" s="77"/>
      <c r="L152" s="77"/>
      <c r="M152" s="77"/>
    </row>
    <row r="153" spans="1:48" s="75" customFormat="1" outlineLevel="1">
      <c r="B153" s="88">
        <f>'8.项目规划指标表'!B$8</f>
        <v>0</v>
      </c>
      <c r="C153" s="89">
        <f t="shared" si="37"/>
        <v>0</v>
      </c>
      <c r="D153" s="89">
        <f>'12.土地成本表'!R28</f>
        <v>0</v>
      </c>
      <c r="E153" s="89">
        <f>'12.土地成本表'!S28</f>
        <v>0</v>
      </c>
      <c r="F153" s="89">
        <f>'12.土地成本表'!T28</f>
        <v>0</v>
      </c>
      <c r="G153" s="89">
        <f>'12.土地成本表'!U28</f>
        <v>0</v>
      </c>
      <c r="H153" s="89">
        <f>'12.土地成本表'!V28</f>
        <v>0</v>
      </c>
      <c r="I153" s="89">
        <f>'12.土地成本表'!W28</f>
        <v>0</v>
      </c>
      <c r="J153" s="93"/>
      <c r="K153" s="77"/>
      <c r="L153" s="77"/>
      <c r="M153" s="77"/>
    </row>
    <row r="154" spans="1:48" s="75" customFormat="1" outlineLevel="1">
      <c r="B154" s="88">
        <f>'8.项目规划指标表'!B$9</f>
        <v>0</v>
      </c>
      <c r="C154" s="89">
        <f t="shared" si="37"/>
        <v>0</v>
      </c>
      <c r="D154" s="89">
        <f>'12.土地成本表'!R29</f>
        <v>0</v>
      </c>
      <c r="E154" s="89">
        <f>'12.土地成本表'!S29</f>
        <v>0</v>
      </c>
      <c r="F154" s="89">
        <f>'12.土地成本表'!T29</f>
        <v>0</v>
      </c>
      <c r="G154" s="89">
        <f>'12.土地成本表'!U29</f>
        <v>0</v>
      </c>
      <c r="H154" s="89">
        <f>'12.土地成本表'!V29</f>
        <v>0</v>
      </c>
      <c r="I154" s="89">
        <f>'12.土地成本表'!W29</f>
        <v>0</v>
      </c>
      <c r="J154" s="93"/>
      <c r="K154" s="77"/>
      <c r="L154" s="77"/>
      <c r="M154" s="77"/>
    </row>
    <row r="155" spans="1:48" s="75" customFormat="1" outlineLevel="1">
      <c r="B155" s="88">
        <f>'8.项目规划指标表'!B$10</f>
        <v>0</v>
      </c>
      <c r="C155" s="89">
        <f t="shared" si="37"/>
        <v>0</v>
      </c>
      <c r="D155" s="89">
        <f>'12.土地成本表'!R30</f>
        <v>0</v>
      </c>
      <c r="E155" s="89">
        <f>'12.土地成本表'!S30</f>
        <v>0</v>
      </c>
      <c r="F155" s="89">
        <f>'12.土地成本表'!T30</f>
        <v>0</v>
      </c>
      <c r="G155" s="89">
        <f>'12.土地成本表'!U30</f>
        <v>0</v>
      </c>
      <c r="H155" s="89">
        <f>'12.土地成本表'!V30</f>
        <v>0</v>
      </c>
      <c r="I155" s="89">
        <f>'12.土地成本表'!W30</f>
        <v>0</v>
      </c>
      <c r="J155" s="93"/>
      <c r="K155" s="77"/>
      <c r="L155" s="77"/>
      <c r="M155" s="77"/>
    </row>
    <row r="156" spans="1:48" s="75" customFormat="1" outlineLevel="1">
      <c r="B156" s="88">
        <f>'8.项目规划指标表'!B$11</f>
        <v>0</v>
      </c>
      <c r="C156" s="89">
        <f t="shared" si="37"/>
        <v>0</v>
      </c>
      <c r="D156" s="89">
        <f>'12.土地成本表'!R31</f>
        <v>0</v>
      </c>
      <c r="E156" s="89">
        <f>'12.土地成本表'!S31</f>
        <v>0</v>
      </c>
      <c r="F156" s="89">
        <f>'12.土地成本表'!T31</f>
        <v>0</v>
      </c>
      <c r="G156" s="89">
        <f>'12.土地成本表'!U31</f>
        <v>0</v>
      </c>
      <c r="H156" s="89">
        <f>'12.土地成本表'!V31</f>
        <v>0</v>
      </c>
      <c r="I156" s="89">
        <f>'12.土地成本表'!W31</f>
        <v>0</v>
      </c>
      <c r="J156" s="93"/>
      <c r="K156" s="77"/>
      <c r="L156" s="77"/>
      <c r="M156" s="77"/>
    </row>
    <row r="157" spans="1:48" s="75" customFormat="1" outlineLevel="1">
      <c r="B157" s="88">
        <f>'8.项目规划指标表'!B$12</f>
        <v>0</v>
      </c>
      <c r="C157" s="89">
        <f t="shared" si="37"/>
        <v>0</v>
      </c>
      <c r="D157" s="89">
        <f>'12.土地成本表'!R32</f>
        <v>0</v>
      </c>
      <c r="E157" s="89">
        <f>'12.土地成本表'!S32</f>
        <v>0</v>
      </c>
      <c r="F157" s="89">
        <f>'12.土地成本表'!T32</f>
        <v>0</v>
      </c>
      <c r="G157" s="89">
        <f>'12.土地成本表'!U32</f>
        <v>0</v>
      </c>
      <c r="H157" s="89">
        <f>'12.土地成本表'!V32</f>
        <v>0</v>
      </c>
      <c r="I157" s="89">
        <f>'12.土地成本表'!W32</f>
        <v>0</v>
      </c>
      <c r="J157" s="93"/>
      <c r="K157" s="77"/>
      <c r="L157" s="77"/>
      <c r="M157" s="77"/>
    </row>
    <row r="158" spans="1:48" s="75" customFormat="1" outlineLevel="1">
      <c r="B158" s="88">
        <f>'8.项目规划指标表'!B$13</f>
        <v>0</v>
      </c>
      <c r="C158" s="89">
        <f t="shared" si="37"/>
        <v>0</v>
      </c>
      <c r="D158" s="89">
        <f>'12.土地成本表'!R33</f>
        <v>0</v>
      </c>
      <c r="E158" s="89">
        <f>'12.土地成本表'!S33</f>
        <v>0</v>
      </c>
      <c r="F158" s="89">
        <f>'12.土地成本表'!T33</f>
        <v>0</v>
      </c>
      <c r="G158" s="89">
        <f>'12.土地成本表'!U33</f>
        <v>0</v>
      </c>
      <c r="H158" s="89">
        <f>'12.土地成本表'!V33</f>
        <v>0</v>
      </c>
      <c r="I158" s="89">
        <f>'12.土地成本表'!W33</f>
        <v>0</v>
      </c>
      <c r="J158" s="93"/>
      <c r="K158" s="77"/>
      <c r="L158" s="77"/>
      <c r="M158" s="77"/>
    </row>
    <row r="159" spans="1:48" s="75" customFormat="1" outlineLevel="1">
      <c r="B159" s="88" t="str">
        <f>'8.项目规划指标表'!B$14</f>
        <v>自持物业</v>
      </c>
      <c r="C159" s="90"/>
      <c r="D159" s="90"/>
      <c r="E159" s="90"/>
      <c r="F159" s="90"/>
      <c r="G159" s="90"/>
      <c r="H159" s="90"/>
      <c r="I159" s="90"/>
      <c r="J159" s="93"/>
      <c r="K159" s="77"/>
      <c r="L159" s="77"/>
      <c r="M159" s="77"/>
    </row>
    <row r="160" spans="1:48" s="75" customFormat="1" outlineLevel="1">
      <c r="B160" s="88" t="str">
        <f>'8.项目规划指标表'!B$18</f>
        <v>有产权车库(个)</v>
      </c>
      <c r="C160" s="89">
        <f t="shared" si="37"/>
        <v>0</v>
      </c>
      <c r="D160" s="89">
        <v>0</v>
      </c>
      <c r="E160" s="89">
        <v>0</v>
      </c>
      <c r="F160" s="89">
        <v>0</v>
      </c>
      <c r="G160" s="89">
        <v>0</v>
      </c>
      <c r="H160" s="89">
        <v>0</v>
      </c>
      <c r="I160" s="89">
        <v>0</v>
      </c>
      <c r="J160" s="93"/>
      <c r="K160" s="77"/>
      <c r="L160" s="77"/>
      <c r="M160" s="77"/>
    </row>
    <row r="161" spans="1:48" s="75" customFormat="1" outlineLevel="1">
      <c r="B161" s="88" t="str">
        <f>'8.项目规划指标表'!B$19</f>
        <v>无产权车库(个)</v>
      </c>
      <c r="C161" s="89">
        <f t="shared" si="37"/>
        <v>0</v>
      </c>
      <c r="D161" s="89">
        <v>0</v>
      </c>
      <c r="E161" s="89">
        <v>0</v>
      </c>
      <c r="F161" s="89">
        <v>0</v>
      </c>
      <c r="G161" s="89">
        <v>0</v>
      </c>
      <c r="H161" s="89">
        <v>0</v>
      </c>
      <c r="I161" s="89">
        <v>0</v>
      </c>
      <c r="J161" s="93"/>
      <c r="K161" s="77"/>
      <c r="L161" s="77"/>
      <c r="M161" s="77"/>
    </row>
    <row r="162" spans="1:48" s="75" customFormat="1" ht="14.25" customHeight="1">
      <c r="A162" s="85"/>
      <c r="B162" s="106" t="s">
        <v>628</v>
      </c>
      <c r="C162" s="107">
        <f t="shared" ca="1" si="37"/>
        <v>264</v>
      </c>
      <c r="D162" s="107">
        <f ca="1">'17.财务费用测算表'!C30-'17.财务费用测算表'!C51</f>
        <v>264</v>
      </c>
      <c r="E162" s="107">
        <f ca="1">'17.财务费用测算表'!C31-'17.财务费用测算表'!C52</f>
        <v>0</v>
      </c>
      <c r="F162" s="107">
        <f ca="1">'17.财务费用测算表'!C32-'17.财务费用测算表'!C53</f>
        <v>0</v>
      </c>
      <c r="G162" s="107">
        <f ca="1">'17.财务费用测算表'!C33-'17.财务费用测算表'!C54</f>
        <v>0</v>
      </c>
      <c r="H162" s="107">
        <f ca="1">'17.财务费用测算表'!C34-'17.财务费用测算表'!C55</f>
        <v>0</v>
      </c>
      <c r="I162" s="107">
        <f ca="1">'17.财务费用测算表'!C35-'17.财务费用测算表'!C56</f>
        <v>0</v>
      </c>
      <c r="J162" s="78"/>
      <c r="K162" s="94"/>
      <c r="L162" s="78"/>
      <c r="M162" s="78"/>
      <c r="N162" s="85"/>
      <c r="O162" s="85"/>
      <c r="P162" s="94"/>
      <c r="Q162" s="78"/>
      <c r="R162" s="78"/>
      <c r="S162" s="85"/>
      <c r="T162" s="85"/>
      <c r="U162" s="85"/>
      <c r="V162" s="85"/>
      <c r="W162" s="85"/>
      <c r="X162" s="85"/>
      <c r="Y162" s="85"/>
      <c r="Z162" s="85"/>
      <c r="AA162" s="85"/>
      <c r="AB162" s="85"/>
      <c r="AC162" s="85"/>
      <c r="AD162" s="85"/>
      <c r="AE162" s="85"/>
      <c r="AF162" s="85"/>
      <c r="AG162" s="85"/>
      <c r="AH162" s="85"/>
      <c r="AI162" s="85"/>
      <c r="AJ162" s="85"/>
      <c r="AK162" s="85"/>
      <c r="AL162" s="85"/>
      <c r="AM162" s="85"/>
      <c r="AN162" s="85"/>
      <c r="AO162" s="85"/>
      <c r="AP162" s="85"/>
      <c r="AQ162" s="85"/>
      <c r="AR162" s="85"/>
      <c r="AS162" s="85"/>
      <c r="AT162" s="85"/>
      <c r="AU162" s="85"/>
      <c r="AV162" s="85"/>
    </row>
    <row r="163" spans="1:48" s="75" customFormat="1" ht="12" customHeight="1" outlineLevel="1">
      <c r="B163" s="88" t="str">
        <f>'8.项目规划指标表'!B$5</f>
        <v>高层</v>
      </c>
      <c r="C163" s="89">
        <f t="shared" ref="C163:C175" ca="1" si="38">SUM(D163:I163)</f>
        <v>230.30264807527305</v>
      </c>
      <c r="D163" s="89">
        <f t="shared" ref="D163:D174" ca="1" si="39">IFERROR($D$162*D98/$D$97,0)</f>
        <v>230.30264807527305</v>
      </c>
      <c r="E163" s="89">
        <f t="shared" ref="E163:I174" ca="1" si="40">IFERROR(E$162*E98/E$97,0)</f>
        <v>0</v>
      </c>
      <c r="F163" s="89">
        <f t="shared" ca="1" si="40"/>
        <v>0</v>
      </c>
      <c r="G163" s="89">
        <f t="shared" ca="1" si="40"/>
        <v>0</v>
      </c>
      <c r="H163" s="89">
        <f t="shared" ca="1" si="40"/>
        <v>0</v>
      </c>
      <c r="I163" s="89">
        <f t="shared" ca="1" si="40"/>
        <v>0</v>
      </c>
      <c r="J163" s="93"/>
      <c r="K163" s="77"/>
      <c r="L163" s="77"/>
      <c r="M163" s="77"/>
    </row>
    <row r="164" spans="1:48" s="75" customFormat="1" outlineLevel="1">
      <c r="B164" s="88" t="str">
        <f>'8.项目规划指标表'!B$6</f>
        <v>商铺</v>
      </c>
      <c r="C164" s="89">
        <f t="shared" ca="1" si="38"/>
        <v>17.885472396670181</v>
      </c>
      <c r="D164" s="89">
        <f t="shared" ca="1" si="39"/>
        <v>17.885472396670181</v>
      </c>
      <c r="E164" s="89">
        <f t="shared" ca="1" si="40"/>
        <v>0</v>
      </c>
      <c r="F164" s="89">
        <f t="shared" ca="1" si="40"/>
        <v>0</v>
      </c>
      <c r="G164" s="89">
        <f t="shared" ca="1" si="40"/>
        <v>0</v>
      </c>
      <c r="H164" s="89">
        <f t="shared" ca="1" si="40"/>
        <v>0</v>
      </c>
      <c r="I164" s="89">
        <f t="shared" ca="1" si="40"/>
        <v>0</v>
      </c>
      <c r="J164" s="93"/>
      <c r="K164" s="77"/>
      <c r="L164" s="77"/>
      <c r="M164" s="77"/>
    </row>
    <row r="165" spans="1:48" s="75" customFormat="1" outlineLevel="1">
      <c r="B165" s="88" t="str">
        <f>'8.项目规划指标表'!B$7</f>
        <v>回迁商业</v>
      </c>
      <c r="C165" s="89">
        <f t="shared" ca="1" si="38"/>
        <v>0</v>
      </c>
      <c r="D165" s="89">
        <f t="shared" ca="1" si="39"/>
        <v>0</v>
      </c>
      <c r="E165" s="89">
        <f t="shared" ca="1" si="40"/>
        <v>0</v>
      </c>
      <c r="F165" s="89">
        <f t="shared" ca="1" si="40"/>
        <v>0</v>
      </c>
      <c r="G165" s="89">
        <f t="shared" ca="1" si="40"/>
        <v>0</v>
      </c>
      <c r="H165" s="89">
        <f t="shared" ca="1" si="40"/>
        <v>0</v>
      </c>
      <c r="I165" s="89">
        <f t="shared" ca="1" si="40"/>
        <v>0</v>
      </c>
      <c r="J165" s="93"/>
      <c r="K165" s="77"/>
      <c r="L165" s="77"/>
      <c r="M165" s="77"/>
    </row>
    <row r="166" spans="1:48" s="75" customFormat="1" outlineLevel="1">
      <c r="B166" s="88">
        <f>'8.项目规划指标表'!B$8</f>
        <v>0</v>
      </c>
      <c r="C166" s="89">
        <f t="shared" ca="1" si="38"/>
        <v>0</v>
      </c>
      <c r="D166" s="89">
        <f t="shared" ca="1" si="39"/>
        <v>0</v>
      </c>
      <c r="E166" s="89">
        <f t="shared" ca="1" si="40"/>
        <v>0</v>
      </c>
      <c r="F166" s="89">
        <f t="shared" ca="1" si="40"/>
        <v>0</v>
      </c>
      <c r="G166" s="89">
        <f t="shared" ca="1" si="40"/>
        <v>0</v>
      </c>
      <c r="H166" s="89">
        <f t="shared" ca="1" si="40"/>
        <v>0</v>
      </c>
      <c r="I166" s="89">
        <f t="shared" ca="1" si="40"/>
        <v>0</v>
      </c>
      <c r="J166" s="93"/>
      <c r="K166" s="77"/>
      <c r="L166" s="77"/>
      <c r="M166" s="77"/>
    </row>
    <row r="167" spans="1:48" s="75" customFormat="1" outlineLevel="1">
      <c r="B167" s="88">
        <f>'8.项目规划指标表'!B$9</f>
        <v>0</v>
      </c>
      <c r="C167" s="89">
        <f t="shared" ca="1" si="38"/>
        <v>0</v>
      </c>
      <c r="D167" s="89">
        <f t="shared" ca="1" si="39"/>
        <v>0</v>
      </c>
      <c r="E167" s="89">
        <f t="shared" ca="1" si="40"/>
        <v>0</v>
      </c>
      <c r="F167" s="89">
        <f t="shared" ca="1" si="40"/>
        <v>0</v>
      </c>
      <c r="G167" s="89">
        <f t="shared" ca="1" si="40"/>
        <v>0</v>
      </c>
      <c r="H167" s="89">
        <f t="shared" ca="1" si="40"/>
        <v>0</v>
      </c>
      <c r="I167" s="89">
        <f t="shared" ca="1" si="40"/>
        <v>0</v>
      </c>
      <c r="J167" s="93"/>
      <c r="K167" s="77"/>
      <c r="L167" s="77"/>
      <c r="M167" s="77"/>
    </row>
    <row r="168" spans="1:48" s="75" customFormat="1" outlineLevel="1">
      <c r="B168" s="88">
        <f>'8.项目规划指标表'!B$10</f>
        <v>0</v>
      </c>
      <c r="C168" s="89">
        <f t="shared" ca="1" si="38"/>
        <v>0</v>
      </c>
      <c r="D168" s="89">
        <f t="shared" ca="1" si="39"/>
        <v>0</v>
      </c>
      <c r="E168" s="89">
        <f t="shared" ca="1" si="40"/>
        <v>0</v>
      </c>
      <c r="F168" s="89">
        <f t="shared" ca="1" si="40"/>
        <v>0</v>
      </c>
      <c r="G168" s="89">
        <f t="shared" ca="1" si="40"/>
        <v>0</v>
      </c>
      <c r="H168" s="89">
        <f t="shared" ca="1" si="40"/>
        <v>0</v>
      </c>
      <c r="I168" s="89">
        <f t="shared" ca="1" si="40"/>
        <v>0</v>
      </c>
      <c r="J168" s="93"/>
      <c r="K168" s="77"/>
      <c r="L168" s="77"/>
      <c r="M168" s="77"/>
    </row>
    <row r="169" spans="1:48" s="75" customFormat="1" outlineLevel="1">
      <c r="B169" s="88">
        <f>'8.项目规划指标表'!B$11</f>
        <v>0</v>
      </c>
      <c r="C169" s="89">
        <f t="shared" ca="1" si="38"/>
        <v>0</v>
      </c>
      <c r="D169" s="89">
        <f t="shared" ca="1" si="39"/>
        <v>0</v>
      </c>
      <c r="E169" s="89">
        <f t="shared" ca="1" si="40"/>
        <v>0</v>
      </c>
      <c r="F169" s="89">
        <f t="shared" ca="1" si="40"/>
        <v>0</v>
      </c>
      <c r="G169" s="89">
        <f t="shared" ca="1" si="40"/>
        <v>0</v>
      </c>
      <c r="H169" s="89">
        <f t="shared" ca="1" si="40"/>
        <v>0</v>
      </c>
      <c r="I169" s="89">
        <f t="shared" ca="1" si="40"/>
        <v>0</v>
      </c>
      <c r="J169" s="93"/>
      <c r="K169" s="77"/>
      <c r="L169" s="77"/>
      <c r="M169" s="77"/>
    </row>
    <row r="170" spans="1:48" s="75" customFormat="1" outlineLevel="1">
      <c r="B170" s="88">
        <f>'8.项目规划指标表'!B$12</f>
        <v>0</v>
      </c>
      <c r="C170" s="89">
        <f t="shared" ca="1" si="38"/>
        <v>0</v>
      </c>
      <c r="D170" s="89">
        <f t="shared" ca="1" si="39"/>
        <v>0</v>
      </c>
      <c r="E170" s="89">
        <f t="shared" ca="1" si="40"/>
        <v>0</v>
      </c>
      <c r="F170" s="89">
        <f t="shared" ca="1" si="40"/>
        <v>0</v>
      </c>
      <c r="G170" s="89">
        <f t="shared" ca="1" si="40"/>
        <v>0</v>
      </c>
      <c r="H170" s="89">
        <f t="shared" ca="1" si="40"/>
        <v>0</v>
      </c>
      <c r="I170" s="89">
        <f t="shared" ca="1" si="40"/>
        <v>0</v>
      </c>
      <c r="J170" s="93"/>
      <c r="K170" s="77"/>
      <c r="L170" s="77"/>
      <c r="M170" s="77"/>
    </row>
    <row r="171" spans="1:48" s="75" customFormat="1" outlineLevel="1">
      <c r="B171" s="88">
        <f>'8.项目规划指标表'!B$13</f>
        <v>0</v>
      </c>
      <c r="C171" s="89">
        <f t="shared" ca="1" si="38"/>
        <v>0</v>
      </c>
      <c r="D171" s="89">
        <f t="shared" ca="1" si="39"/>
        <v>0</v>
      </c>
      <c r="E171" s="89">
        <f t="shared" ca="1" si="40"/>
        <v>0</v>
      </c>
      <c r="F171" s="89">
        <f t="shared" ca="1" si="40"/>
        <v>0</v>
      </c>
      <c r="G171" s="89">
        <f t="shared" ca="1" si="40"/>
        <v>0</v>
      </c>
      <c r="H171" s="89">
        <f t="shared" ca="1" si="40"/>
        <v>0</v>
      </c>
      <c r="I171" s="89">
        <f t="shared" ca="1" si="40"/>
        <v>0</v>
      </c>
      <c r="J171" s="93"/>
      <c r="K171" s="77"/>
      <c r="L171" s="77"/>
      <c r="M171" s="77"/>
    </row>
    <row r="172" spans="1:48" s="75" customFormat="1" outlineLevel="1">
      <c r="B172" s="88" t="str">
        <f>'8.项目规划指标表'!B$14</f>
        <v>自持物业</v>
      </c>
      <c r="C172" s="90"/>
      <c r="D172" s="90"/>
      <c r="E172" s="90"/>
      <c r="F172" s="90"/>
      <c r="G172" s="90"/>
      <c r="H172" s="90"/>
      <c r="I172" s="90"/>
      <c r="J172" s="93"/>
      <c r="K172" s="77"/>
      <c r="L172" s="77"/>
      <c r="M172" s="77"/>
    </row>
    <row r="173" spans="1:48" s="75" customFormat="1" outlineLevel="1">
      <c r="B173" s="88" t="str">
        <f>'8.项目规划指标表'!B$18</f>
        <v>有产权车库(个)</v>
      </c>
      <c r="C173" s="89">
        <f t="shared" ca="1" si="38"/>
        <v>15.811879528056783</v>
      </c>
      <c r="D173" s="89">
        <f t="shared" ca="1" si="39"/>
        <v>15.811879528056783</v>
      </c>
      <c r="E173" s="89">
        <f t="shared" ca="1" si="40"/>
        <v>0</v>
      </c>
      <c r="F173" s="89">
        <f t="shared" ca="1" si="40"/>
        <v>0</v>
      </c>
      <c r="G173" s="89">
        <f t="shared" ca="1" si="40"/>
        <v>0</v>
      </c>
      <c r="H173" s="89">
        <f t="shared" ca="1" si="40"/>
        <v>0</v>
      </c>
      <c r="I173" s="89">
        <f t="shared" ca="1" si="40"/>
        <v>0</v>
      </c>
      <c r="J173" s="93"/>
      <c r="K173" s="77"/>
      <c r="L173" s="77"/>
      <c r="M173" s="77"/>
    </row>
    <row r="174" spans="1:48" s="75" customFormat="1" outlineLevel="1">
      <c r="B174" s="88" t="str">
        <f>'8.项目规划指标表'!B$19</f>
        <v>无产权车库(个)</v>
      </c>
      <c r="C174" s="89">
        <f t="shared" ca="1" si="38"/>
        <v>0</v>
      </c>
      <c r="D174" s="89">
        <f t="shared" ca="1" si="39"/>
        <v>0</v>
      </c>
      <c r="E174" s="89">
        <f t="shared" ca="1" si="40"/>
        <v>0</v>
      </c>
      <c r="F174" s="89">
        <f t="shared" ca="1" si="40"/>
        <v>0</v>
      </c>
      <c r="G174" s="89">
        <f t="shared" ca="1" si="40"/>
        <v>0</v>
      </c>
      <c r="H174" s="89">
        <f t="shared" ca="1" si="40"/>
        <v>0</v>
      </c>
      <c r="I174" s="89">
        <f t="shared" ca="1" si="40"/>
        <v>0</v>
      </c>
      <c r="J174" s="93"/>
      <c r="K174" s="77"/>
      <c r="L174" s="77"/>
      <c r="M174" s="77"/>
    </row>
    <row r="175" spans="1:48" s="75" customFormat="1" ht="14.25" customHeight="1">
      <c r="A175" s="85"/>
      <c r="B175" s="108" t="s">
        <v>944</v>
      </c>
      <c r="C175" s="107">
        <f t="shared" si="38"/>
        <v>0</v>
      </c>
      <c r="D175" s="98">
        <f t="shared" ref="D175:I175" si="41">SUM(D176:D187)</f>
        <v>0</v>
      </c>
      <c r="E175" s="98">
        <f t="shared" si="41"/>
        <v>0</v>
      </c>
      <c r="F175" s="98">
        <f t="shared" si="41"/>
        <v>0</v>
      </c>
      <c r="G175" s="98">
        <f t="shared" si="41"/>
        <v>0</v>
      </c>
      <c r="H175" s="98">
        <f t="shared" si="41"/>
        <v>0</v>
      </c>
      <c r="I175" s="98">
        <f t="shared" si="41"/>
        <v>0</v>
      </c>
      <c r="J175" s="94" t="s">
        <v>945</v>
      </c>
      <c r="K175" s="78"/>
      <c r="L175" s="78"/>
      <c r="M175" s="78"/>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5"/>
      <c r="AK175" s="85"/>
      <c r="AL175" s="85"/>
      <c r="AM175" s="85"/>
      <c r="AN175" s="85"/>
      <c r="AO175" s="85"/>
      <c r="AP175" s="85"/>
      <c r="AQ175" s="85"/>
      <c r="AR175" s="85"/>
      <c r="AS175" s="85"/>
      <c r="AT175" s="85"/>
      <c r="AU175" s="85"/>
      <c r="AV175" s="85"/>
    </row>
    <row r="176" spans="1:48" s="75" customFormat="1" ht="12" customHeight="1" outlineLevel="1">
      <c r="B176" s="88" t="str">
        <f>'8.项目规划指标表'!B$5</f>
        <v>高层</v>
      </c>
      <c r="C176" s="89">
        <f t="shared" ref="C176:C188" si="42">SUM(D176:I176)</f>
        <v>0</v>
      </c>
      <c r="D176" s="99"/>
      <c r="E176" s="99"/>
      <c r="F176" s="99"/>
      <c r="G176" s="99"/>
      <c r="H176" s="99"/>
      <c r="I176" s="99"/>
      <c r="J176" s="93"/>
      <c r="K176" s="77"/>
      <c r="L176" s="77"/>
      <c r="M176" s="77"/>
    </row>
    <row r="177" spans="1:48" s="75" customFormat="1" outlineLevel="1">
      <c r="B177" s="88" t="str">
        <f>'8.项目规划指标表'!B$6</f>
        <v>商铺</v>
      </c>
      <c r="C177" s="89">
        <f t="shared" si="42"/>
        <v>0</v>
      </c>
      <c r="D177" s="99"/>
      <c r="E177" s="99"/>
      <c r="F177" s="99"/>
      <c r="G177" s="99"/>
      <c r="H177" s="99"/>
      <c r="I177" s="99"/>
      <c r="J177" s="93"/>
      <c r="K177" s="77"/>
      <c r="L177" s="77"/>
      <c r="M177" s="77"/>
    </row>
    <row r="178" spans="1:48" s="75" customFormat="1" outlineLevel="1">
      <c r="B178" s="88" t="str">
        <f>'8.项目规划指标表'!B$7</f>
        <v>回迁商业</v>
      </c>
      <c r="C178" s="89">
        <f t="shared" si="42"/>
        <v>0</v>
      </c>
      <c r="D178" s="99"/>
      <c r="E178" s="99"/>
      <c r="F178" s="99"/>
      <c r="G178" s="99"/>
      <c r="H178" s="99"/>
      <c r="I178" s="99"/>
      <c r="J178" s="93"/>
      <c r="K178" s="77"/>
      <c r="L178" s="77"/>
      <c r="M178" s="77"/>
    </row>
    <row r="179" spans="1:48" s="75" customFormat="1" outlineLevel="1">
      <c r="B179" s="88">
        <f>'8.项目规划指标表'!B$8</f>
        <v>0</v>
      </c>
      <c r="C179" s="89">
        <f t="shared" si="42"/>
        <v>0</v>
      </c>
      <c r="D179" s="99"/>
      <c r="E179" s="99"/>
      <c r="F179" s="99"/>
      <c r="G179" s="99"/>
      <c r="H179" s="99"/>
      <c r="I179" s="99"/>
      <c r="J179" s="93"/>
      <c r="K179" s="77"/>
      <c r="L179" s="77"/>
      <c r="M179" s="77"/>
    </row>
    <row r="180" spans="1:48" s="75" customFormat="1" outlineLevel="1">
      <c r="B180" s="88">
        <f>'8.项目规划指标表'!B$9</f>
        <v>0</v>
      </c>
      <c r="C180" s="89">
        <f t="shared" si="42"/>
        <v>0</v>
      </c>
      <c r="D180" s="99"/>
      <c r="E180" s="99"/>
      <c r="F180" s="99"/>
      <c r="G180" s="99"/>
      <c r="H180" s="99"/>
      <c r="I180" s="99"/>
      <c r="J180" s="93"/>
      <c r="K180" s="77"/>
      <c r="L180" s="77"/>
      <c r="M180" s="77"/>
    </row>
    <row r="181" spans="1:48" s="75" customFormat="1" outlineLevel="1">
      <c r="B181" s="88">
        <f>'8.项目规划指标表'!B$10</f>
        <v>0</v>
      </c>
      <c r="C181" s="89">
        <f t="shared" si="42"/>
        <v>0</v>
      </c>
      <c r="D181" s="99"/>
      <c r="E181" s="99"/>
      <c r="F181" s="99"/>
      <c r="G181" s="99"/>
      <c r="H181" s="99"/>
      <c r="I181" s="99"/>
      <c r="J181" s="93"/>
      <c r="K181" s="77"/>
      <c r="L181" s="77"/>
      <c r="M181" s="77"/>
    </row>
    <row r="182" spans="1:48" s="75" customFormat="1" outlineLevel="1">
      <c r="B182" s="88">
        <f>'8.项目规划指标表'!B$11</f>
        <v>0</v>
      </c>
      <c r="C182" s="89">
        <f t="shared" si="42"/>
        <v>0</v>
      </c>
      <c r="D182" s="99"/>
      <c r="E182" s="99"/>
      <c r="F182" s="99"/>
      <c r="G182" s="99"/>
      <c r="H182" s="99"/>
      <c r="I182" s="99"/>
      <c r="J182" s="93"/>
      <c r="K182" s="77"/>
      <c r="L182" s="77"/>
      <c r="M182" s="77"/>
    </row>
    <row r="183" spans="1:48" s="75" customFormat="1" outlineLevel="1">
      <c r="B183" s="88">
        <f>'8.项目规划指标表'!B$12</f>
        <v>0</v>
      </c>
      <c r="C183" s="89">
        <f t="shared" si="42"/>
        <v>0</v>
      </c>
      <c r="D183" s="99"/>
      <c r="E183" s="99"/>
      <c r="F183" s="99"/>
      <c r="G183" s="99"/>
      <c r="H183" s="99"/>
      <c r="I183" s="99"/>
      <c r="J183" s="93"/>
      <c r="K183" s="77"/>
      <c r="L183" s="77"/>
      <c r="M183" s="77"/>
    </row>
    <row r="184" spans="1:48" s="75" customFormat="1" outlineLevel="1">
      <c r="B184" s="88">
        <f>'8.项目规划指标表'!B$13</f>
        <v>0</v>
      </c>
      <c r="C184" s="89">
        <f t="shared" si="42"/>
        <v>0</v>
      </c>
      <c r="D184" s="99"/>
      <c r="E184" s="99"/>
      <c r="F184" s="99"/>
      <c r="G184" s="99"/>
      <c r="H184" s="99"/>
      <c r="I184" s="99"/>
      <c r="J184" s="93"/>
      <c r="K184" s="77"/>
      <c r="L184" s="77"/>
      <c r="M184" s="77"/>
    </row>
    <row r="185" spans="1:48" s="75" customFormat="1" outlineLevel="1">
      <c r="B185" s="88" t="str">
        <f>'8.项目规划指标表'!B$14</f>
        <v>自持物业</v>
      </c>
      <c r="C185" s="90"/>
      <c r="D185" s="90"/>
      <c r="E185" s="90"/>
      <c r="F185" s="90"/>
      <c r="G185" s="90"/>
      <c r="H185" s="90"/>
      <c r="I185" s="90"/>
      <c r="J185" s="93"/>
      <c r="K185" s="77"/>
      <c r="L185" s="77"/>
      <c r="M185" s="77"/>
    </row>
    <row r="186" spans="1:48" s="75" customFormat="1" outlineLevel="1">
      <c r="B186" s="88" t="str">
        <f>'8.项目规划指标表'!B$18</f>
        <v>有产权车库(个)</v>
      </c>
      <c r="C186" s="89">
        <f t="shared" si="42"/>
        <v>0</v>
      </c>
      <c r="D186" s="99"/>
      <c r="E186" s="99"/>
      <c r="F186" s="99"/>
      <c r="G186" s="99"/>
      <c r="H186" s="99"/>
      <c r="I186" s="99"/>
      <c r="J186" s="93"/>
      <c r="K186" s="77"/>
      <c r="L186" s="77"/>
      <c r="M186" s="77"/>
    </row>
    <row r="187" spans="1:48" s="75" customFormat="1" outlineLevel="1">
      <c r="B187" s="88" t="str">
        <f>'8.项目规划指标表'!B$19</f>
        <v>无产权车库(个)</v>
      </c>
      <c r="C187" s="89">
        <f t="shared" si="42"/>
        <v>0</v>
      </c>
      <c r="D187" s="99"/>
      <c r="E187" s="99"/>
      <c r="F187" s="99"/>
      <c r="G187" s="99"/>
      <c r="H187" s="99"/>
      <c r="I187" s="99"/>
      <c r="J187" s="93"/>
      <c r="K187" s="77"/>
      <c r="L187" s="77"/>
      <c r="M187" s="77"/>
    </row>
    <row r="188" spans="1:48" s="75" customFormat="1" ht="14.25" customHeight="1">
      <c r="A188" s="85"/>
      <c r="B188" s="100" t="s">
        <v>225</v>
      </c>
      <c r="C188" s="101">
        <f t="shared" ca="1" si="42"/>
        <v>28314.481844812559</v>
      </c>
      <c r="D188" s="109">
        <f t="shared" ref="D188:I188" ca="1" si="43">D123+D136</f>
        <v>28314.481844812559</v>
      </c>
      <c r="E188" s="109">
        <f t="shared" ca="1" si="43"/>
        <v>0</v>
      </c>
      <c r="F188" s="109">
        <f t="shared" ca="1" si="43"/>
        <v>0</v>
      </c>
      <c r="G188" s="109">
        <f t="shared" ca="1" si="43"/>
        <v>0</v>
      </c>
      <c r="H188" s="109">
        <f t="shared" ca="1" si="43"/>
        <v>0</v>
      </c>
      <c r="I188" s="109">
        <f t="shared" ca="1" si="43"/>
        <v>0</v>
      </c>
      <c r="J188" s="78"/>
      <c r="K188" s="78"/>
      <c r="L188" s="78"/>
      <c r="M188" s="78"/>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5"/>
      <c r="AK188" s="85"/>
      <c r="AL188" s="85"/>
      <c r="AM188" s="85"/>
      <c r="AN188" s="85"/>
      <c r="AO188" s="85"/>
      <c r="AP188" s="85"/>
      <c r="AQ188" s="85"/>
      <c r="AR188" s="85"/>
      <c r="AS188" s="85"/>
      <c r="AT188" s="85"/>
      <c r="AU188" s="85"/>
      <c r="AV188" s="85"/>
    </row>
    <row r="189" spans="1:48" s="75" customFormat="1" ht="12" customHeight="1" outlineLevel="1">
      <c r="B189" s="88" t="str">
        <f>'8.项目规划指标表'!B$5</f>
        <v>高层</v>
      </c>
      <c r="C189" s="89">
        <f t="shared" ref="C189:C200" ca="1" si="44">SUM(D189:I189)</f>
        <v>27327.847775636124</v>
      </c>
      <c r="D189" s="91">
        <f ca="1">D124+D137</f>
        <v>27327.847775636124</v>
      </c>
      <c r="E189" s="91">
        <f ca="1">E124+E137</f>
        <v>0</v>
      </c>
      <c r="F189" s="91">
        <f ca="1">F124+F137</f>
        <v>0</v>
      </c>
      <c r="G189" s="91">
        <f ca="1">G124+G137</f>
        <v>0</v>
      </c>
      <c r="H189" s="91">
        <f t="shared" ref="H189:I189" ca="1" si="45">H124+H137</f>
        <v>0</v>
      </c>
      <c r="I189" s="91">
        <f t="shared" ca="1" si="45"/>
        <v>0</v>
      </c>
      <c r="J189" s="93"/>
      <c r="K189" s="77"/>
      <c r="L189" s="77"/>
      <c r="M189" s="77"/>
    </row>
    <row r="190" spans="1:48" s="75" customFormat="1" outlineLevel="1">
      <c r="B190" s="88" t="str">
        <f>'8.项目规划指标表'!B$6</f>
        <v>商铺</v>
      </c>
      <c r="C190" s="89">
        <f t="shared" ca="1" si="44"/>
        <v>-1332.8587115495611</v>
      </c>
      <c r="D190" s="91">
        <f ca="1">D125+D138</f>
        <v>-1332.8587115495611</v>
      </c>
      <c r="E190" s="91">
        <f t="shared" ref="E190:I190" ca="1" si="46">E125+E138</f>
        <v>0</v>
      </c>
      <c r="F190" s="91">
        <f t="shared" ca="1" si="46"/>
        <v>0</v>
      </c>
      <c r="G190" s="91">
        <f t="shared" ca="1" si="46"/>
        <v>0</v>
      </c>
      <c r="H190" s="91">
        <f t="shared" ca="1" si="46"/>
        <v>0</v>
      </c>
      <c r="I190" s="91">
        <f t="shared" ca="1" si="46"/>
        <v>0</v>
      </c>
      <c r="J190" s="93"/>
      <c r="K190" s="77"/>
      <c r="L190" s="77"/>
      <c r="M190" s="77"/>
    </row>
    <row r="191" spans="1:48" s="75" customFormat="1" outlineLevel="1">
      <c r="B191" s="88" t="str">
        <f>'8.项目规划指标表'!B$7</f>
        <v>回迁商业</v>
      </c>
      <c r="C191" s="89">
        <f t="shared" ca="1" si="44"/>
        <v>0</v>
      </c>
      <c r="D191" s="91">
        <f t="shared" ref="D191:I191" ca="1" si="47">D126+D139</f>
        <v>0</v>
      </c>
      <c r="E191" s="91">
        <f t="shared" ca="1" si="47"/>
        <v>0</v>
      </c>
      <c r="F191" s="91">
        <f t="shared" ca="1" si="47"/>
        <v>0</v>
      </c>
      <c r="G191" s="91">
        <f t="shared" ca="1" si="47"/>
        <v>0</v>
      </c>
      <c r="H191" s="91">
        <f t="shared" ca="1" si="47"/>
        <v>0</v>
      </c>
      <c r="I191" s="91">
        <f t="shared" ca="1" si="47"/>
        <v>0</v>
      </c>
      <c r="J191" s="93"/>
      <c r="K191" s="77"/>
      <c r="L191" s="77"/>
      <c r="M191" s="77"/>
    </row>
    <row r="192" spans="1:48" s="75" customFormat="1" outlineLevel="1">
      <c r="B192" s="88">
        <f>'8.项目规划指标表'!B$8</f>
        <v>0</v>
      </c>
      <c r="C192" s="89">
        <f t="shared" ca="1" si="44"/>
        <v>0</v>
      </c>
      <c r="D192" s="91">
        <f t="shared" ref="D192:I192" ca="1" si="48">D127+D140</f>
        <v>0</v>
      </c>
      <c r="E192" s="91">
        <f t="shared" ca="1" si="48"/>
        <v>0</v>
      </c>
      <c r="F192" s="91">
        <f t="shared" ca="1" si="48"/>
        <v>0</v>
      </c>
      <c r="G192" s="91">
        <f t="shared" ca="1" si="48"/>
        <v>0</v>
      </c>
      <c r="H192" s="91">
        <f t="shared" ca="1" si="48"/>
        <v>0</v>
      </c>
      <c r="I192" s="91">
        <f t="shared" ca="1" si="48"/>
        <v>0</v>
      </c>
      <c r="J192" s="93"/>
      <c r="K192" s="77"/>
      <c r="L192" s="77"/>
      <c r="M192" s="77"/>
    </row>
    <row r="193" spans="1:48" s="75" customFormat="1" outlineLevel="1">
      <c r="B193" s="88">
        <f>'8.项目规划指标表'!B$9</f>
        <v>0</v>
      </c>
      <c r="C193" s="89">
        <f t="shared" ca="1" si="44"/>
        <v>0</v>
      </c>
      <c r="D193" s="91">
        <f t="shared" ref="D193:I193" ca="1" si="49">D128+D141</f>
        <v>0</v>
      </c>
      <c r="E193" s="91">
        <f t="shared" ca="1" si="49"/>
        <v>0</v>
      </c>
      <c r="F193" s="91">
        <f t="shared" ca="1" si="49"/>
        <v>0</v>
      </c>
      <c r="G193" s="91">
        <f t="shared" ca="1" si="49"/>
        <v>0</v>
      </c>
      <c r="H193" s="91">
        <f t="shared" ca="1" si="49"/>
        <v>0</v>
      </c>
      <c r="I193" s="91">
        <f t="shared" ca="1" si="49"/>
        <v>0</v>
      </c>
      <c r="J193" s="93"/>
      <c r="K193" s="77"/>
      <c r="L193" s="77"/>
      <c r="M193" s="77"/>
    </row>
    <row r="194" spans="1:48" s="75" customFormat="1" outlineLevel="1">
      <c r="B194" s="88">
        <f>'8.项目规划指标表'!B$10</f>
        <v>0</v>
      </c>
      <c r="C194" s="89">
        <f t="shared" ca="1" si="44"/>
        <v>0</v>
      </c>
      <c r="D194" s="91">
        <f t="shared" ref="D194:I194" ca="1" si="50">D129+D142</f>
        <v>0</v>
      </c>
      <c r="E194" s="91">
        <f t="shared" ca="1" si="50"/>
        <v>0</v>
      </c>
      <c r="F194" s="91">
        <f t="shared" ca="1" si="50"/>
        <v>0</v>
      </c>
      <c r="G194" s="91">
        <f t="shared" ca="1" si="50"/>
        <v>0</v>
      </c>
      <c r="H194" s="91">
        <f t="shared" ca="1" si="50"/>
        <v>0</v>
      </c>
      <c r="I194" s="91">
        <f t="shared" ca="1" si="50"/>
        <v>0</v>
      </c>
      <c r="J194" s="93"/>
      <c r="K194" s="77"/>
      <c r="L194" s="77"/>
      <c r="M194" s="77"/>
    </row>
    <row r="195" spans="1:48" s="75" customFormat="1" outlineLevel="1">
      <c r="B195" s="88">
        <f>'8.项目规划指标表'!B$11</f>
        <v>0</v>
      </c>
      <c r="C195" s="89">
        <f t="shared" ca="1" si="44"/>
        <v>0</v>
      </c>
      <c r="D195" s="91">
        <f t="shared" ref="D195:I195" ca="1" si="51">D130+D143</f>
        <v>0</v>
      </c>
      <c r="E195" s="91">
        <f t="shared" ca="1" si="51"/>
        <v>0</v>
      </c>
      <c r="F195" s="91">
        <f t="shared" ca="1" si="51"/>
        <v>0</v>
      </c>
      <c r="G195" s="91">
        <f t="shared" ca="1" si="51"/>
        <v>0</v>
      </c>
      <c r="H195" s="91">
        <f t="shared" ca="1" si="51"/>
        <v>0</v>
      </c>
      <c r="I195" s="91">
        <f t="shared" ca="1" si="51"/>
        <v>0</v>
      </c>
      <c r="J195" s="93"/>
      <c r="K195" s="77"/>
      <c r="L195" s="77"/>
      <c r="M195" s="77"/>
    </row>
    <row r="196" spans="1:48" s="75" customFormat="1" outlineLevel="1">
      <c r="B196" s="88">
        <f>'8.项目规划指标表'!B$12</f>
        <v>0</v>
      </c>
      <c r="C196" s="89">
        <f t="shared" ca="1" si="44"/>
        <v>0</v>
      </c>
      <c r="D196" s="91">
        <f t="shared" ref="D196:I196" ca="1" si="52">D131+D144</f>
        <v>0</v>
      </c>
      <c r="E196" s="91">
        <f t="shared" ca="1" si="52"/>
        <v>0</v>
      </c>
      <c r="F196" s="91">
        <f t="shared" ca="1" si="52"/>
        <v>0</v>
      </c>
      <c r="G196" s="91">
        <f t="shared" ca="1" si="52"/>
        <v>0</v>
      </c>
      <c r="H196" s="91">
        <f t="shared" ca="1" si="52"/>
        <v>0</v>
      </c>
      <c r="I196" s="91">
        <f t="shared" ca="1" si="52"/>
        <v>0</v>
      </c>
      <c r="J196" s="93"/>
      <c r="K196" s="77"/>
      <c r="L196" s="77"/>
      <c r="M196" s="77"/>
    </row>
    <row r="197" spans="1:48" s="75" customFormat="1" outlineLevel="1">
      <c r="B197" s="88">
        <f>'8.项目规划指标表'!B$13</f>
        <v>0</v>
      </c>
      <c r="C197" s="89">
        <f t="shared" ca="1" si="44"/>
        <v>0</v>
      </c>
      <c r="D197" s="91">
        <f t="shared" ref="D197:I197" ca="1" si="53">D132+D145</f>
        <v>0</v>
      </c>
      <c r="E197" s="91">
        <f t="shared" ca="1" si="53"/>
        <v>0</v>
      </c>
      <c r="F197" s="91">
        <f t="shared" ca="1" si="53"/>
        <v>0</v>
      </c>
      <c r="G197" s="91">
        <f t="shared" ca="1" si="53"/>
        <v>0</v>
      </c>
      <c r="H197" s="91">
        <f t="shared" ca="1" si="53"/>
        <v>0</v>
      </c>
      <c r="I197" s="91">
        <f t="shared" ca="1" si="53"/>
        <v>0</v>
      </c>
      <c r="J197" s="93"/>
      <c r="K197" s="77"/>
      <c r="L197" s="77"/>
      <c r="M197" s="77"/>
    </row>
    <row r="198" spans="1:48" s="75" customFormat="1" outlineLevel="1">
      <c r="B198" s="88" t="str">
        <f>'8.项目规划指标表'!B$14</f>
        <v>自持物业</v>
      </c>
      <c r="C198" s="90"/>
      <c r="D198" s="90"/>
      <c r="E198" s="90"/>
      <c r="F198" s="90"/>
      <c r="G198" s="90"/>
      <c r="H198" s="90"/>
      <c r="I198" s="90"/>
      <c r="J198" s="93"/>
      <c r="K198" s="77"/>
      <c r="L198" s="77"/>
      <c r="M198" s="77"/>
    </row>
    <row r="199" spans="1:48" s="75" customFormat="1" outlineLevel="1">
      <c r="B199" s="88" t="str">
        <f>'8.项目规划指标表'!B$18</f>
        <v>有产权车库(个)</v>
      </c>
      <c r="C199" s="89">
        <f t="shared" ca="1" si="44"/>
        <v>2319.4927807260115</v>
      </c>
      <c r="D199" s="91">
        <f t="shared" ref="D199:I199" ca="1" si="54">D134+D147</f>
        <v>2319.4927807260115</v>
      </c>
      <c r="E199" s="91">
        <f t="shared" ca="1" si="54"/>
        <v>0</v>
      </c>
      <c r="F199" s="91">
        <f t="shared" ca="1" si="54"/>
        <v>0</v>
      </c>
      <c r="G199" s="91">
        <f t="shared" ca="1" si="54"/>
        <v>0</v>
      </c>
      <c r="H199" s="91">
        <f t="shared" ca="1" si="54"/>
        <v>0</v>
      </c>
      <c r="I199" s="91">
        <f t="shared" ca="1" si="54"/>
        <v>0</v>
      </c>
      <c r="J199" s="93"/>
      <c r="K199" s="77"/>
      <c r="L199" s="77"/>
      <c r="M199" s="77"/>
    </row>
    <row r="200" spans="1:48" s="75" customFormat="1" outlineLevel="1">
      <c r="B200" s="88" t="str">
        <f>'8.项目规划指标表'!B$19</f>
        <v>无产权车库(个)</v>
      </c>
      <c r="C200" s="89">
        <f t="shared" ca="1" si="44"/>
        <v>0</v>
      </c>
      <c r="D200" s="91">
        <f t="shared" ref="D200:I200" ca="1" si="55">D135+D148</f>
        <v>0</v>
      </c>
      <c r="E200" s="91">
        <f t="shared" ca="1" si="55"/>
        <v>0</v>
      </c>
      <c r="F200" s="91">
        <f t="shared" ca="1" si="55"/>
        <v>0</v>
      </c>
      <c r="G200" s="91">
        <f t="shared" ca="1" si="55"/>
        <v>0</v>
      </c>
      <c r="H200" s="91">
        <f t="shared" ca="1" si="55"/>
        <v>0</v>
      </c>
      <c r="I200" s="91">
        <f t="shared" ca="1" si="55"/>
        <v>0</v>
      </c>
      <c r="J200" s="93"/>
      <c r="K200" s="77"/>
      <c r="L200" s="77"/>
      <c r="M200" s="77"/>
    </row>
    <row r="201" spans="1:48" s="75" customFormat="1" ht="14.25" customHeight="1">
      <c r="A201" s="85"/>
      <c r="B201" s="100" t="s">
        <v>609</v>
      </c>
      <c r="C201" s="101">
        <f ca="1">D254</f>
        <v>7078.6204612031397</v>
      </c>
      <c r="D201" s="87">
        <f ca="1">IF(D188&gt;0,$D$254/SUMIF($D$188:$I$188,"&gt;0")*D188,0)</f>
        <v>7078.6204612031397</v>
      </c>
      <c r="E201" s="87">
        <f ca="1">IF(E188&gt;0,$D$254/SUMIF($D$188:$I$188,"&gt;0")*E188,0)</f>
        <v>0</v>
      </c>
      <c r="F201" s="87">
        <f t="shared" ref="F201:I201" ca="1" si="56">IF(F188&gt;0,$D$254/SUMIF($D$188:$I$188,"&gt;0")*F188,0)</f>
        <v>0</v>
      </c>
      <c r="G201" s="87">
        <f t="shared" ca="1" si="56"/>
        <v>0</v>
      </c>
      <c r="H201" s="87">
        <f t="shared" ca="1" si="56"/>
        <v>0</v>
      </c>
      <c r="I201" s="87">
        <f t="shared" ca="1" si="56"/>
        <v>0</v>
      </c>
      <c r="J201" s="152" t="s">
        <v>946</v>
      </c>
      <c r="K201" s="92"/>
      <c r="L201" s="78"/>
      <c r="M201" s="78"/>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5"/>
      <c r="AK201" s="85"/>
      <c r="AL201" s="85"/>
      <c r="AM201" s="85"/>
      <c r="AN201" s="85"/>
      <c r="AO201" s="85"/>
      <c r="AP201" s="85"/>
      <c r="AQ201" s="85"/>
      <c r="AR201" s="85"/>
      <c r="AS201" s="85"/>
      <c r="AT201" s="85"/>
      <c r="AU201" s="85"/>
      <c r="AV201" s="85"/>
    </row>
    <row r="202" spans="1:48" s="75" customFormat="1" ht="12" customHeight="1" outlineLevel="1">
      <c r="B202" s="88" t="str">
        <f>'8.项目规划指标表'!B$5</f>
        <v>高层</v>
      </c>
      <c r="C202" s="89">
        <f ca="1">SUM(D202:I202)</f>
        <v>6831.9619439090311</v>
      </c>
      <c r="D202" s="91">
        <f ca="1">IF(($D$188&gt;0),$D$201/$D$188*D189,0)</f>
        <v>6831.9619439090311</v>
      </c>
      <c r="E202" s="91">
        <f ca="1">IF(($E$188&gt;0),$E$201/$E$188*E189,0)</f>
        <v>0</v>
      </c>
      <c r="F202" s="91">
        <f ca="1">IF(($F$188&gt;0),$F$201/$F$188*F189,0)</f>
        <v>0</v>
      </c>
      <c r="G202" s="91">
        <f ca="1">IF(($G$188&gt;0),$G$201/$G$188*$G189,0)</f>
        <v>0</v>
      </c>
      <c r="H202" s="91">
        <f ca="1">IF(($H$188&gt;0),$H$201/$H$188*H189,0)</f>
        <v>0</v>
      </c>
      <c r="I202" s="91">
        <f ca="1">IF(($I$188&gt;0),$I$201/$I$188*I189,0)</f>
        <v>0</v>
      </c>
      <c r="J202" s="93"/>
      <c r="K202" s="77"/>
      <c r="L202" s="77"/>
      <c r="M202" s="77"/>
    </row>
    <row r="203" spans="1:48" s="75" customFormat="1" outlineLevel="1">
      <c r="B203" s="88" t="str">
        <f>'8.项目规划指标表'!B$6</f>
        <v>商铺</v>
      </c>
      <c r="C203" s="89">
        <f t="shared" ref="C203:C213" ca="1" si="57">SUM(D203:I203)</f>
        <v>-333.21467788739028</v>
      </c>
      <c r="D203" s="91">
        <f ca="1">IF(($D$188&gt;0),$D$201/$D$188*D190,0)</f>
        <v>-333.21467788739028</v>
      </c>
      <c r="E203" s="91">
        <f t="shared" ref="E203:E213" ca="1" si="58">IF(($E$188&gt;0),$E$201/$E$188*E190,0)</f>
        <v>0</v>
      </c>
      <c r="F203" s="91">
        <f t="shared" ref="F203:F213" ca="1" si="59">IF(($F$188&gt;0),$F$201/$F$188*F190,0)</f>
        <v>0</v>
      </c>
      <c r="G203" s="91">
        <f t="shared" ref="G203:G213" ca="1" si="60">IF(($G$188&gt;0),$G$201/$G$188*$G190,0)</f>
        <v>0</v>
      </c>
      <c r="H203" s="91">
        <f t="shared" ref="H203:H213" ca="1" si="61">IF(($H$188&gt;0),$H$201/$H$188*H190,0)</f>
        <v>0</v>
      </c>
      <c r="I203" s="91">
        <f t="shared" ref="I203:I213" ca="1" si="62">IF(($I$188&gt;0),$I$201/$I$188*I190,0)</f>
        <v>0</v>
      </c>
      <c r="J203" s="93"/>
      <c r="K203" s="77"/>
      <c r="L203" s="77"/>
      <c r="M203" s="77"/>
    </row>
    <row r="204" spans="1:48" s="75" customFormat="1" outlineLevel="1">
      <c r="B204" s="88" t="str">
        <f>'8.项目规划指标表'!B$7</f>
        <v>回迁商业</v>
      </c>
      <c r="C204" s="89">
        <f t="shared" ca="1" si="57"/>
        <v>0</v>
      </c>
      <c r="D204" s="91">
        <f t="shared" ref="D204:D213" ca="1" si="63">IF(($D$188&gt;0),$D$201/$D$188*D191,0)</f>
        <v>0</v>
      </c>
      <c r="E204" s="91">
        <f t="shared" ca="1" si="58"/>
        <v>0</v>
      </c>
      <c r="F204" s="91">
        <f t="shared" ca="1" si="59"/>
        <v>0</v>
      </c>
      <c r="G204" s="91">
        <f t="shared" ca="1" si="60"/>
        <v>0</v>
      </c>
      <c r="H204" s="91">
        <f t="shared" ca="1" si="61"/>
        <v>0</v>
      </c>
      <c r="I204" s="91">
        <f t="shared" ca="1" si="62"/>
        <v>0</v>
      </c>
      <c r="J204" s="93"/>
      <c r="K204" s="77"/>
      <c r="L204" s="77"/>
      <c r="M204" s="77"/>
    </row>
    <row r="205" spans="1:48" s="75" customFormat="1" outlineLevel="1">
      <c r="B205" s="88">
        <f>'8.项目规划指标表'!B$8</f>
        <v>0</v>
      </c>
      <c r="C205" s="89">
        <f t="shared" ca="1" si="57"/>
        <v>0</v>
      </c>
      <c r="D205" s="91">
        <f t="shared" ca="1" si="63"/>
        <v>0</v>
      </c>
      <c r="E205" s="91">
        <f t="shared" ca="1" si="58"/>
        <v>0</v>
      </c>
      <c r="F205" s="91">
        <f t="shared" ca="1" si="59"/>
        <v>0</v>
      </c>
      <c r="G205" s="91">
        <f t="shared" ca="1" si="60"/>
        <v>0</v>
      </c>
      <c r="H205" s="91">
        <f t="shared" ca="1" si="61"/>
        <v>0</v>
      </c>
      <c r="I205" s="91">
        <f t="shared" ca="1" si="62"/>
        <v>0</v>
      </c>
      <c r="J205" s="93"/>
      <c r="K205" s="77"/>
      <c r="L205" s="81"/>
      <c r="M205" s="77"/>
    </row>
    <row r="206" spans="1:48" s="75" customFormat="1" outlineLevel="1">
      <c r="B206" s="88">
        <f>'8.项目规划指标表'!B$9</f>
        <v>0</v>
      </c>
      <c r="C206" s="89">
        <f t="shared" ca="1" si="57"/>
        <v>0</v>
      </c>
      <c r="D206" s="91">
        <f t="shared" ca="1" si="63"/>
        <v>0</v>
      </c>
      <c r="E206" s="91">
        <f t="shared" ca="1" si="58"/>
        <v>0</v>
      </c>
      <c r="F206" s="91">
        <f t="shared" ca="1" si="59"/>
        <v>0</v>
      </c>
      <c r="G206" s="91">
        <f t="shared" ca="1" si="60"/>
        <v>0</v>
      </c>
      <c r="H206" s="91">
        <f t="shared" ca="1" si="61"/>
        <v>0</v>
      </c>
      <c r="I206" s="91">
        <f t="shared" ca="1" si="62"/>
        <v>0</v>
      </c>
      <c r="J206" s="93"/>
      <c r="K206" s="77"/>
      <c r="L206" s="77"/>
      <c r="M206" s="77"/>
    </row>
    <row r="207" spans="1:48" s="75" customFormat="1" outlineLevel="1">
      <c r="B207" s="88">
        <f>'8.项目规划指标表'!B$10</f>
        <v>0</v>
      </c>
      <c r="C207" s="89">
        <f t="shared" ca="1" si="57"/>
        <v>0</v>
      </c>
      <c r="D207" s="91">
        <f t="shared" ca="1" si="63"/>
        <v>0</v>
      </c>
      <c r="E207" s="91">
        <f t="shared" ca="1" si="58"/>
        <v>0</v>
      </c>
      <c r="F207" s="91">
        <f t="shared" ca="1" si="59"/>
        <v>0</v>
      </c>
      <c r="G207" s="91">
        <f t="shared" ca="1" si="60"/>
        <v>0</v>
      </c>
      <c r="H207" s="91">
        <f t="shared" ca="1" si="61"/>
        <v>0</v>
      </c>
      <c r="I207" s="91">
        <f t="shared" ca="1" si="62"/>
        <v>0</v>
      </c>
      <c r="J207" s="93"/>
      <c r="K207" s="77"/>
      <c r="L207" s="77"/>
      <c r="M207" s="77"/>
    </row>
    <row r="208" spans="1:48" s="75" customFormat="1" outlineLevel="1">
      <c r="B208" s="88">
        <f>'8.项目规划指标表'!B$11</f>
        <v>0</v>
      </c>
      <c r="C208" s="89">
        <f t="shared" ca="1" si="57"/>
        <v>0</v>
      </c>
      <c r="D208" s="91">
        <f t="shared" ca="1" si="63"/>
        <v>0</v>
      </c>
      <c r="E208" s="91">
        <f t="shared" ca="1" si="58"/>
        <v>0</v>
      </c>
      <c r="F208" s="91">
        <f t="shared" ca="1" si="59"/>
        <v>0</v>
      </c>
      <c r="G208" s="91">
        <f t="shared" ca="1" si="60"/>
        <v>0</v>
      </c>
      <c r="H208" s="91">
        <f t="shared" ca="1" si="61"/>
        <v>0</v>
      </c>
      <c r="I208" s="91">
        <f t="shared" ca="1" si="62"/>
        <v>0</v>
      </c>
      <c r="J208" s="93"/>
      <c r="K208" s="77"/>
      <c r="L208" s="77"/>
      <c r="M208" s="77"/>
    </row>
    <row r="209" spans="1:48" s="75" customFormat="1" outlineLevel="1">
      <c r="B209" s="88">
        <f>'8.项目规划指标表'!B$12</f>
        <v>0</v>
      </c>
      <c r="C209" s="89">
        <f t="shared" ca="1" si="57"/>
        <v>0</v>
      </c>
      <c r="D209" s="91">
        <f t="shared" ca="1" si="63"/>
        <v>0</v>
      </c>
      <c r="E209" s="91">
        <f t="shared" ca="1" si="58"/>
        <v>0</v>
      </c>
      <c r="F209" s="91">
        <f t="shared" ca="1" si="59"/>
        <v>0</v>
      </c>
      <c r="G209" s="91">
        <f t="shared" ca="1" si="60"/>
        <v>0</v>
      </c>
      <c r="H209" s="91">
        <f t="shared" ca="1" si="61"/>
        <v>0</v>
      </c>
      <c r="I209" s="91">
        <f t="shared" ca="1" si="62"/>
        <v>0</v>
      </c>
      <c r="J209" s="93"/>
      <c r="K209" s="77"/>
      <c r="L209" s="77"/>
      <c r="M209" s="77"/>
    </row>
    <row r="210" spans="1:48" s="75" customFormat="1" outlineLevel="1">
      <c r="B210" s="88">
        <f>'8.项目规划指标表'!B$13</f>
        <v>0</v>
      </c>
      <c r="C210" s="89">
        <f t="shared" ca="1" si="57"/>
        <v>0</v>
      </c>
      <c r="D210" s="91">
        <f t="shared" ca="1" si="63"/>
        <v>0</v>
      </c>
      <c r="E210" s="91">
        <f t="shared" ca="1" si="58"/>
        <v>0</v>
      </c>
      <c r="F210" s="91">
        <f t="shared" ca="1" si="59"/>
        <v>0</v>
      </c>
      <c r="G210" s="91">
        <f t="shared" ca="1" si="60"/>
        <v>0</v>
      </c>
      <c r="H210" s="91">
        <f t="shared" ca="1" si="61"/>
        <v>0</v>
      </c>
      <c r="I210" s="91">
        <f t="shared" ca="1" si="62"/>
        <v>0</v>
      </c>
      <c r="J210" s="93"/>
      <c r="K210" s="77"/>
      <c r="L210" s="77"/>
      <c r="M210" s="77"/>
    </row>
    <row r="211" spans="1:48" s="75" customFormat="1" outlineLevel="1">
      <c r="B211" s="88" t="str">
        <f>'8.项目规划指标表'!B$14</f>
        <v>自持物业</v>
      </c>
      <c r="C211" s="90"/>
      <c r="D211" s="90"/>
      <c r="E211" s="90"/>
      <c r="F211" s="90"/>
      <c r="G211" s="90"/>
      <c r="H211" s="90"/>
      <c r="I211" s="90"/>
      <c r="J211" s="93"/>
      <c r="K211" s="77"/>
      <c r="L211" s="77"/>
      <c r="M211" s="77"/>
    </row>
    <row r="212" spans="1:48" s="75" customFormat="1" outlineLevel="1">
      <c r="B212" s="88" t="str">
        <f>'8.项目规划指标表'!B$18</f>
        <v>有产权车库(个)</v>
      </c>
      <c r="C212" s="89">
        <f t="shared" ca="1" si="57"/>
        <v>579.87319518150287</v>
      </c>
      <c r="D212" s="91">
        <f t="shared" ca="1" si="63"/>
        <v>579.87319518150287</v>
      </c>
      <c r="E212" s="91">
        <f t="shared" ca="1" si="58"/>
        <v>0</v>
      </c>
      <c r="F212" s="91">
        <f t="shared" ca="1" si="59"/>
        <v>0</v>
      </c>
      <c r="G212" s="91">
        <f t="shared" ca="1" si="60"/>
        <v>0</v>
      </c>
      <c r="H212" s="91">
        <f t="shared" ca="1" si="61"/>
        <v>0</v>
      </c>
      <c r="I212" s="91">
        <f t="shared" ca="1" si="62"/>
        <v>0</v>
      </c>
      <c r="J212" s="93"/>
      <c r="K212" s="77"/>
      <c r="L212" s="77"/>
      <c r="M212" s="77"/>
    </row>
    <row r="213" spans="1:48" s="75" customFormat="1" outlineLevel="1">
      <c r="B213" s="88" t="str">
        <f>'8.项目规划指标表'!B$19</f>
        <v>无产权车库(个)</v>
      </c>
      <c r="C213" s="89">
        <f t="shared" ca="1" si="57"/>
        <v>0</v>
      </c>
      <c r="D213" s="91">
        <f t="shared" ca="1" si="63"/>
        <v>0</v>
      </c>
      <c r="E213" s="91">
        <f t="shared" ca="1" si="58"/>
        <v>0</v>
      </c>
      <c r="F213" s="91">
        <f t="shared" ca="1" si="59"/>
        <v>0</v>
      </c>
      <c r="G213" s="91">
        <f t="shared" ca="1" si="60"/>
        <v>0</v>
      </c>
      <c r="H213" s="91">
        <f t="shared" ca="1" si="61"/>
        <v>0</v>
      </c>
      <c r="I213" s="91">
        <f t="shared" ca="1" si="62"/>
        <v>0</v>
      </c>
      <c r="J213" s="93"/>
      <c r="K213" s="77"/>
      <c r="L213" s="77"/>
      <c r="M213" s="77"/>
    </row>
    <row r="214" spans="1:48" s="76" customFormat="1">
      <c r="A214" s="110"/>
      <c r="B214" s="111" t="s">
        <v>553</v>
      </c>
      <c r="C214" s="112">
        <f>C32-'14.增值税计算表'!D354-'14.增值税计算表'!D365</f>
        <v>0</v>
      </c>
      <c r="D214" s="113">
        <f t="shared" ref="D214:I214" ca="1" si="64">IFERROR((D6-D19-D97-D32+D149)/D6,0)</f>
        <v>0.46092262404837797</v>
      </c>
      <c r="E214" s="113">
        <f t="shared" ca="1" si="64"/>
        <v>0</v>
      </c>
      <c r="F214" s="113">
        <f t="shared" ca="1" si="64"/>
        <v>0</v>
      </c>
      <c r="G214" s="113">
        <f t="shared" ca="1" si="64"/>
        <v>0</v>
      </c>
      <c r="H214" s="113">
        <f t="shared" ca="1" si="64"/>
        <v>0</v>
      </c>
      <c r="I214" s="113">
        <f t="shared" ca="1" si="64"/>
        <v>0</v>
      </c>
      <c r="J214" s="110"/>
      <c r="K214" s="110"/>
      <c r="L214" s="110"/>
      <c r="M214" s="110"/>
      <c r="N214" s="110"/>
      <c r="O214" s="110"/>
      <c r="P214" s="110"/>
      <c r="Q214" s="110"/>
      <c r="R214" s="110"/>
      <c r="S214" s="110"/>
      <c r="T214" s="110"/>
      <c r="U214" s="110"/>
      <c r="V214" s="110"/>
      <c r="W214" s="110"/>
      <c r="X214" s="110"/>
      <c r="Y214" s="110"/>
      <c r="Z214" s="110"/>
      <c r="AA214" s="110"/>
      <c r="AB214" s="110"/>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row>
    <row r="215" spans="1:48">
      <c r="A215" s="78"/>
      <c r="B215" s="78"/>
      <c r="C215" s="92">
        <f>C32+C45-'15.土地增值税'!C10-'15.土地增值税'!C28-'15.土地增值税'!C46-'15.土地增值税'!C64-'15.土地增值税'!C82-'15.土地增值税'!C100</f>
        <v>40.750475718182656</v>
      </c>
      <c r="D215" s="114"/>
      <c r="E215" s="115"/>
      <c r="F215" s="115"/>
      <c r="G215" s="115"/>
      <c r="H215" s="115"/>
      <c r="I215" s="115"/>
      <c r="J215" s="78"/>
      <c r="K215" s="78"/>
      <c r="L215" s="78"/>
      <c r="M215" s="78"/>
      <c r="N215" s="78"/>
      <c r="O215" s="78"/>
      <c r="P215" s="78"/>
      <c r="Q215" s="78"/>
      <c r="R215" s="78"/>
      <c r="S215" s="78"/>
      <c r="T215" s="78"/>
      <c r="U215" s="78"/>
      <c r="V215" s="78"/>
      <c r="W215" s="78"/>
      <c r="X215" s="78"/>
      <c r="Y215" s="78"/>
      <c r="Z215" s="78"/>
      <c r="AA215" s="78"/>
      <c r="AB215" s="78"/>
      <c r="AC215" s="78"/>
      <c r="AD215" s="78"/>
      <c r="AE215" s="78"/>
      <c r="AF215" s="78"/>
      <c r="AG215" s="78"/>
      <c r="AH215" s="78"/>
      <c r="AI215" s="78"/>
      <c r="AJ215" s="78"/>
      <c r="AK215" s="78"/>
      <c r="AL215" s="78"/>
      <c r="AM215" s="78"/>
      <c r="AN215" s="78"/>
      <c r="AO215" s="78"/>
      <c r="AP215" s="78"/>
      <c r="AQ215" s="78"/>
      <c r="AR215" s="78"/>
      <c r="AS215" s="78"/>
      <c r="AT215" s="78"/>
      <c r="AU215" s="78"/>
      <c r="AV215" s="78"/>
    </row>
    <row r="216" spans="1:48" ht="15.75" customHeight="1">
      <c r="A216" s="78"/>
      <c r="B216" s="82" t="s">
        <v>947</v>
      </c>
      <c r="C216" s="78"/>
      <c r="D216" s="115"/>
      <c r="E216" s="115"/>
      <c r="F216" s="115"/>
      <c r="G216" s="115"/>
      <c r="H216" s="115"/>
      <c r="I216" s="78"/>
      <c r="J216" s="78"/>
      <c r="K216" s="78"/>
      <c r="L216" s="78"/>
      <c r="M216" s="78"/>
      <c r="N216" s="78"/>
      <c r="O216" s="78"/>
      <c r="P216" s="78"/>
      <c r="Q216" s="78"/>
      <c r="R216" s="78"/>
      <c r="S216" s="78"/>
      <c r="T216" s="78"/>
      <c r="U216" s="78"/>
      <c r="V216" s="78"/>
      <c r="W216" s="78"/>
      <c r="X216" s="78"/>
      <c r="Y216" s="78"/>
      <c r="Z216" s="78"/>
      <c r="AA216" s="78"/>
      <c r="AB216" s="78"/>
      <c r="AC216" s="78"/>
      <c r="AD216" s="78"/>
      <c r="AE216" s="78"/>
      <c r="AF216" s="78"/>
      <c r="AG216" s="78"/>
      <c r="AH216" s="78"/>
      <c r="AI216" s="78"/>
      <c r="AJ216" s="78"/>
      <c r="AK216" s="78"/>
      <c r="AL216" s="78"/>
      <c r="AM216" s="78"/>
      <c r="AN216" s="78"/>
      <c r="AO216" s="78"/>
      <c r="AP216" s="78"/>
      <c r="AQ216" s="78"/>
      <c r="AR216" s="78"/>
      <c r="AS216" s="78"/>
      <c r="AT216" s="78"/>
      <c r="AU216" s="78"/>
      <c r="AV216" s="78"/>
    </row>
    <row r="217" spans="1:48" hidden="1">
      <c r="A217" s="78"/>
      <c r="B217" s="116" t="s">
        <v>613</v>
      </c>
      <c r="C217" s="78"/>
      <c r="D217" s="78"/>
      <c r="E217" s="78"/>
      <c r="F217" s="78"/>
      <c r="G217" s="78"/>
      <c r="H217" s="78"/>
      <c r="I217" s="78"/>
      <c r="J217" s="78"/>
      <c r="K217" s="78"/>
      <c r="L217" s="78"/>
      <c r="M217" s="78"/>
      <c r="N217" s="78"/>
      <c r="O217" s="78"/>
      <c r="P217" s="78"/>
      <c r="Q217" s="78"/>
      <c r="R217" s="78"/>
      <c r="S217" s="78"/>
      <c r="T217" s="78"/>
      <c r="U217" s="78"/>
      <c r="V217" s="78"/>
      <c r="W217" s="78"/>
      <c r="X217" s="78"/>
      <c r="Y217" s="78"/>
      <c r="Z217" s="78"/>
      <c r="AA217" s="78"/>
      <c r="AB217" s="78"/>
      <c r="AC217" s="78"/>
      <c r="AD217" s="78"/>
      <c r="AE217" s="78"/>
      <c r="AF217" s="78"/>
      <c r="AG217" s="78"/>
      <c r="AH217" s="78"/>
      <c r="AI217" s="78"/>
      <c r="AJ217" s="78"/>
      <c r="AK217" s="78"/>
      <c r="AL217" s="78"/>
      <c r="AM217" s="78"/>
      <c r="AN217" s="78"/>
      <c r="AO217" s="78"/>
      <c r="AP217" s="78"/>
      <c r="AQ217" s="78"/>
      <c r="AR217" s="78"/>
      <c r="AS217" s="78"/>
      <c r="AT217" s="78"/>
      <c r="AU217" s="78"/>
      <c r="AV217" s="78"/>
    </row>
    <row r="218" spans="1:48" ht="21" customHeight="1">
      <c r="A218" s="78"/>
      <c r="B218" s="117" t="s">
        <v>948</v>
      </c>
      <c r="C218" s="118" t="s">
        <v>949</v>
      </c>
      <c r="D218" s="78"/>
      <c r="E218" s="78"/>
      <c r="F218" s="78"/>
      <c r="G218" s="78"/>
      <c r="H218" s="78"/>
      <c r="I218" s="78"/>
      <c r="J218" s="78"/>
      <c r="K218" s="78"/>
      <c r="L218" s="78"/>
      <c r="M218" s="78"/>
      <c r="N218" s="78"/>
      <c r="O218" s="78"/>
      <c r="P218" s="78"/>
      <c r="Q218" s="78"/>
      <c r="R218" s="78"/>
      <c r="S218" s="78"/>
      <c r="T218" s="78"/>
      <c r="U218" s="78"/>
      <c r="V218" s="78"/>
      <c r="W218" s="78"/>
      <c r="X218" s="78"/>
      <c r="Y218" s="78"/>
      <c r="Z218" s="78"/>
      <c r="AA218" s="78"/>
      <c r="AB218" s="78"/>
      <c r="AC218" s="78"/>
      <c r="AD218" s="78"/>
      <c r="AE218" s="78"/>
      <c r="AF218" s="78"/>
      <c r="AG218" s="78"/>
      <c r="AH218" s="78"/>
      <c r="AI218" s="78"/>
      <c r="AJ218" s="78"/>
      <c r="AK218" s="78"/>
      <c r="AL218" s="78"/>
      <c r="AM218" s="78"/>
      <c r="AN218" s="78"/>
      <c r="AO218" s="78"/>
      <c r="AP218" s="78"/>
      <c r="AQ218" s="78"/>
      <c r="AR218" s="78"/>
      <c r="AS218" s="78"/>
      <c r="AT218" s="78"/>
      <c r="AU218" s="78"/>
      <c r="AV218" s="78"/>
    </row>
    <row r="219" spans="1:48" ht="13.5" customHeight="1">
      <c r="A219" s="78"/>
      <c r="B219" s="2011" t="s">
        <v>598</v>
      </c>
      <c r="C219" s="2008" t="s">
        <v>183</v>
      </c>
      <c r="D219" s="2011" t="s">
        <v>251</v>
      </c>
      <c r="E219" s="2002">
        <f>'1.参数设置'!C4</f>
        <v>2018</v>
      </c>
      <c r="F219" s="2003"/>
      <c r="G219" s="2003"/>
      <c r="H219" s="2004"/>
      <c r="I219" s="2002">
        <f>E219+1</f>
        <v>2019</v>
      </c>
      <c r="J219" s="2003"/>
      <c r="K219" s="2003"/>
      <c r="L219" s="2004"/>
      <c r="M219" s="2002">
        <f>I219+1</f>
        <v>2020</v>
      </c>
      <c r="N219" s="2003"/>
      <c r="O219" s="2003"/>
      <c r="P219" s="2004"/>
      <c r="Q219" s="2002">
        <f>M219+1</f>
        <v>2021</v>
      </c>
      <c r="R219" s="2003"/>
      <c r="S219" s="2003"/>
      <c r="T219" s="2004"/>
      <c r="U219" s="2002">
        <f>Q219+1</f>
        <v>2022</v>
      </c>
      <c r="V219" s="2003"/>
      <c r="W219" s="2003"/>
      <c r="X219" s="2004"/>
      <c r="Y219" s="2002">
        <f>U219+1</f>
        <v>2023</v>
      </c>
      <c r="Z219" s="2003"/>
      <c r="AA219" s="2003"/>
      <c r="AB219" s="2004"/>
      <c r="AC219" s="2002">
        <f>Y219+1</f>
        <v>2024</v>
      </c>
      <c r="AD219" s="2003"/>
      <c r="AE219" s="2003"/>
      <c r="AF219" s="2004"/>
      <c r="AG219" s="2002">
        <f>AC219+1</f>
        <v>2025</v>
      </c>
      <c r="AH219" s="2003"/>
      <c r="AI219" s="2003"/>
      <c r="AJ219" s="2004"/>
      <c r="AK219" s="2002">
        <f>AG219+1</f>
        <v>2026</v>
      </c>
      <c r="AL219" s="2003"/>
      <c r="AM219" s="2003"/>
      <c r="AN219" s="2004"/>
      <c r="AO219" s="2002">
        <f>AK219+1</f>
        <v>2027</v>
      </c>
      <c r="AP219" s="2003"/>
      <c r="AQ219" s="2003"/>
      <c r="AR219" s="2004"/>
      <c r="AS219" s="2002">
        <f>AO219+1</f>
        <v>2028</v>
      </c>
      <c r="AT219" s="2003"/>
      <c r="AU219" s="2003"/>
      <c r="AV219" s="2004"/>
    </row>
    <row r="220" spans="1:48" s="74" customFormat="1" ht="13.5" customHeight="1">
      <c r="A220" s="83"/>
      <c r="B220" s="2012"/>
      <c r="C220" s="1955"/>
      <c r="D220" s="2012"/>
      <c r="E220" s="119">
        <v>1</v>
      </c>
      <c r="F220" s="120">
        <v>2</v>
      </c>
      <c r="G220" s="120">
        <v>3</v>
      </c>
      <c r="H220" s="121">
        <v>4</v>
      </c>
      <c r="I220" s="119">
        <v>1</v>
      </c>
      <c r="J220" s="120">
        <v>2</v>
      </c>
      <c r="K220" s="120">
        <v>3</v>
      </c>
      <c r="L220" s="121">
        <v>4</v>
      </c>
      <c r="M220" s="119">
        <v>1</v>
      </c>
      <c r="N220" s="120">
        <v>2</v>
      </c>
      <c r="O220" s="120">
        <v>3</v>
      </c>
      <c r="P220" s="121">
        <v>4</v>
      </c>
      <c r="Q220" s="119">
        <v>1</v>
      </c>
      <c r="R220" s="120">
        <v>2</v>
      </c>
      <c r="S220" s="120">
        <v>3</v>
      </c>
      <c r="T220" s="121">
        <v>4</v>
      </c>
      <c r="U220" s="119">
        <v>1</v>
      </c>
      <c r="V220" s="120">
        <v>2</v>
      </c>
      <c r="W220" s="120">
        <v>3</v>
      </c>
      <c r="X220" s="121">
        <v>4</v>
      </c>
      <c r="Y220" s="119">
        <v>1</v>
      </c>
      <c r="Z220" s="120">
        <v>2</v>
      </c>
      <c r="AA220" s="120">
        <v>3</v>
      </c>
      <c r="AB220" s="121">
        <v>4</v>
      </c>
      <c r="AC220" s="119">
        <v>1</v>
      </c>
      <c r="AD220" s="120">
        <v>2</v>
      </c>
      <c r="AE220" s="120">
        <v>3</v>
      </c>
      <c r="AF220" s="121">
        <v>4</v>
      </c>
      <c r="AG220" s="119">
        <v>1</v>
      </c>
      <c r="AH220" s="120">
        <v>2</v>
      </c>
      <c r="AI220" s="120">
        <v>3</v>
      </c>
      <c r="AJ220" s="121">
        <v>4</v>
      </c>
      <c r="AK220" s="119">
        <v>1</v>
      </c>
      <c r="AL220" s="120">
        <v>2</v>
      </c>
      <c r="AM220" s="120">
        <v>3</v>
      </c>
      <c r="AN220" s="121">
        <v>4</v>
      </c>
      <c r="AO220" s="119">
        <v>1</v>
      </c>
      <c r="AP220" s="120">
        <v>2</v>
      </c>
      <c r="AQ220" s="120">
        <v>3</v>
      </c>
      <c r="AR220" s="121">
        <v>4</v>
      </c>
      <c r="AS220" s="119">
        <v>1</v>
      </c>
      <c r="AT220" s="120">
        <v>2</v>
      </c>
      <c r="AU220" s="120">
        <v>3</v>
      </c>
      <c r="AV220" s="121">
        <v>4</v>
      </c>
    </row>
    <row r="221" spans="1:48" s="75" customFormat="1" ht="15" customHeight="1">
      <c r="A221" s="85"/>
      <c r="B221" s="122" t="s">
        <v>19</v>
      </c>
      <c r="C221" s="122" t="s">
        <v>208</v>
      </c>
      <c r="D221" s="123">
        <f>SUM(E221:AV221)</f>
        <v>13717.253858181819</v>
      </c>
      <c r="E221" s="124">
        <f>IF($C$218="预计毛利率",('11.销售及回款表'!E79+'11.销售及回款表'!E84)/1.1*'2.税率表'!$D$23*1,0)</f>
        <v>0</v>
      </c>
      <c r="F221" s="125">
        <f>IF($C$218="预计毛利率",('11.销售及回款表'!F79+'11.销售及回款表'!F84)/1.1*'2.税率表'!$D$23*1,0)</f>
        <v>0</v>
      </c>
      <c r="G221" s="125">
        <f>IF($C$218="预计毛利率",('11.销售及回款表'!G79+'11.销售及回款表'!G84)/1.1*'2.税率表'!$D$23*1,0)</f>
        <v>0</v>
      </c>
      <c r="H221" s="126">
        <f>IF($C$218="预计毛利率",('11.销售及回款表'!H79+'11.销售及回款表'!H84)/1.1*'2.税率表'!$D$23*1,0)</f>
        <v>0</v>
      </c>
      <c r="I221" s="124">
        <f>IF($C$218="预计毛利率",('11.销售及回款表'!I79+'11.销售及回款表'!I84)/1.1*'2.税率表'!$D$23*1,0)</f>
        <v>0</v>
      </c>
      <c r="J221" s="125">
        <f>IF($C$218="预计毛利率",('11.销售及回款表'!J79+'11.销售及回款表'!J84)/1.1*'2.税率表'!$D$23*1,0)</f>
        <v>2811.375</v>
      </c>
      <c r="K221" s="125">
        <f>IF($C$218="预计毛利率",('11.销售及回款表'!K79+'11.销售及回款表'!K84)/1.1*'2.税率表'!$D$23*1,0)</f>
        <v>4128.704999999999</v>
      </c>
      <c r="L221" s="126">
        <f>IF($C$218="预计毛利率",('11.销售及回款表'!L79+'11.销售及回款表'!L84)/1.1*'2.税率表'!$D$23*1,0)</f>
        <v>2531.2013999999999</v>
      </c>
      <c r="M221" s="124">
        <f>IF($C$218="预计毛利率",('11.销售及回款表'!M79+'11.销售及回款表'!M84)/1.1*'2.税率表'!$D$23*1,0)</f>
        <v>1851.4646279999997</v>
      </c>
      <c r="N221" s="125">
        <f>IF($C$218="预计毛利率",('11.销售及回款表'!N79+'11.销售及回款表'!N84)/1.1*'2.税率表'!$D$23*1,0)</f>
        <v>1225.8387392727273</v>
      </c>
      <c r="O221" s="125">
        <f>IF($C$218="预计毛利率",('11.销售及回款表'!O79+'11.销售及回款表'!O84)/1.1*'2.税率表'!$D$23*1,0)</f>
        <v>694.37454545454545</v>
      </c>
      <c r="P221" s="126">
        <f>IF($C$218="预计毛利率",('11.销售及回款表'!P79+'11.销售及回款表'!P84)/1.1*'2.税率表'!$D$23*1,0)</f>
        <v>313.16727272727275</v>
      </c>
      <c r="Q221" s="124">
        <f>IF($C$218="预计毛利率",('11.销售及回款表'!Q79+'11.销售及回款表'!Q84)/1.1*'2.税率表'!$D$23*1,0)</f>
        <v>161.1272727272727</v>
      </c>
      <c r="R221" s="125">
        <f>IF($C$218="预计毛利率",('11.销售及回款表'!R79+'11.销售及回款表'!R84)/1.1*'2.税率表'!$D$23*1,0)</f>
        <v>0</v>
      </c>
      <c r="S221" s="125">
        <f>IF($C$218="预计毛利率",('11.销售及回款表'!S79+'11.销售及回款表'!S84)/1.1*'2.税率表'!$D$23*1,0)</f>
        <v>0</v>
      </c>
      <c r="T221" s="126">
        <f>IF($C$218="预计毛利率",('11.销售及回款表'!T79+'11.销售及回款表'!T84)/1.1*'2.税率表'!$D$23*1,0)</f>
        <v>0</v>
      </c>
      <c r="U221" s="124">
        <f>IF($C$218="预计毛利率",('11.销售及回款表'!U79+'11.销售及回款表'!U84)/1.1*'2.税率表'!$D$23*1,0)</f>
        <v>0</v>
      </c>
      <c r="V221" s="125">
        <f>IF($C$218="预计毛利率",('11.销售及回款表'!V79+'11.销售及回款表'!V84)/1.1*'2.税率表'!$D$23*1,0)</f>
        <v>0</v>
      </c>
      <c r="W221" s="125">
        <f>IF($C$218="预计毛利率",('11.销售及回款表'!W79+'11.销售及回款表'!W84)/1.1*'2.税率表'!$D$23*1,0)</f>
        <v>0</v>
      </c>
      <c r="X221" s="126">
        <f>IF($C$218="预计毛利率",('11.销售及回款表'!X79+'11.销售及回款表'!X84)/1.1*'2.税率表'!$D$23*1,0)</f>
        <v>0</v>
      </c>
      <c r="Y221" s="124">
        <f>IF($C$218="预计毛利率",('11.销售及回款表'!Y79+'11.销售及回款表'!Y84)/1.1*'2.税率表'!$D$23*1,0)</f>
        <v>0</v>
      </c>
      <c r="Z221" s="125">
        <f>IF($C$218="预计毛利率",('11.销售及回款表'!Z79+'11.销售及回款表'!Z84)/1.1*'2.税率表'!$D$23*1,0)</f>
        <v>0</v>
      </c>
      <c r="AA221" s="125">
        <f>IF($C$218="预计毛利率",('11.销售及回款表'!AA79+'11.销售及回款表'!AA84)/1.1*'2.税率表'!$D$23*1,0)</f>
        <v>0</v>
      </c>
      <c r="AB221" s="126">
        <f>IF($C$218="预计毛利率",('11.销售及回款表'!AB79+'11.销售及回款表'!AB84)/1.1*'2.税率表'!$D$23*1,0)</f>
        <v>0</v>
      </c>
      <c r="AC221" s="124">
        <f>IF($C$218="预计毛利率",('11.销售及回款表'!AC79+'11.销售及回款表'!AC84)/1.1*'2.税率表'!$D$23*1,0)</f>
        <v>0</v>
      </c>
      <c r="AD221" s="125">
        <f>IF($C$218="预计毛利率",('11.销售及回款表'!AD79+'11.销售及回款表'!AD84)/1.1*'2.税率表'!$D$23*1,0)</f>
        <v>0</v>
      </c>
      <c r="AE221" s="125">
        <f>IF($C$218="预计毛利率",('11.销售及回款表'!AE79+'11.销售及回款表'!AE84)/1.1*'2.税率表'!$D$23*1,0)</f>
        <v>0</v>
      </c>
      <c r="AF221" s="126">
        <f>IF($C$218="预计毛利率",('11.销售及回款表'!AF79+'11.销售及回款表'!AF84)/1.1*'2.税率表'!$D$23*1,0)</f>
        <v>0</v>
      </c>
      <c r="AG221" s="124">
        <f>IF($C$218="预计毛利率",('11.销售及回款表'!AG79+'11.销售及回款表'!AG84)/1.1*'2.税率表'!$D$23*1,0)</f>
        <v>0</v>
      </c>
      <c r="AH221" s="125">
        <f>IF($C$218="预计毛利率",('11.销售及回款表'!AH79+'11.销售及回款表'!AH84)/1.1*'2.税率表'!$D$23*1,0)</f>
        <v>0</v>
      </c>
      <c r="AI221" s="125">
        <f>IF($C$218="预计毛利率",('11.销售及回款表'!AI79+'11.销售及回款表'!AI84)/1.1*'2.税率表'!$D$23*1,0)</f>
        <v>0</v>
      </c>
      <c r="AJ221" s="126">
        <f>IF($C$218="预计毛利率",('11.销售及回款表'!AJ79+'11.销售及回款表'!AJ84)/1.1*'2.税率表'!$D$23*1,0)</f>
        <v>0</v>
      </c>
      <c r="AK221" s="124">
        <f>IF($C$218="预计毛利率",('11.销售及回款表'!AK79+'11.销售及回款表'!AK84)/1.1*'2.税率表'!$D$23*1,0)</f>
        <v>0</v>
      </c>
      <c r="AL221" s="125">
        <f>IF($C$218="预计毛利率",('11.销售及回款表'!AL79+'11.销售及回款表'!AL84)/1.1*'2.税率表'!$D$23*1,0)</f>
        <v>0</v>
      </c>
      <c r="AM221" s="125">
        <f>IF($C$218="预计毛利率",('11.销售及回款表'!AM79+'11.销售及回款表'!AM84)/1.1*'2.税率表'!$D$23*1,0)</f>
        <v>0</v>
      </c>
      <c r="AN221" s="126">
        <f>IF($C$218="预计毛利率",('11.销售及回款表'!AN79+'11.销售及回款表'!AN84)/1.1*'2.税率表'!$D$23*1,0)</f>
        <v>0</v>
      </c>
      <c r="AO221" s="124">
        <f>IF($C$218="预计毛利率",('11.销售及回款表'!AO79+'11.销售及回款表'!AO84)/1.1*'2.税率表'!$D$23*1,0)</f>
        <v>0</v>
      </c>
      <c r="AP221" s="125">
        <f>IF($C$218="预计毛利率",('11.销售及回款表'!AP79+'11.销售及回款表'!AP84)/1.1*'2.税率表'!$D$23*1,0)</f>
        <v>0</v>
      </c>
      <c r="AQ221" s="125">
        <f>IF($C$218="预计毛利率",('11.销售及回款表'!AQ79+'11.销售及回款表'!AQ84)/1.1*'2.税率表'!$D$23*1,0)</f>
        <v>0</v>
      </c>
      <c r="AR221" s="126">
        <f>IF($C$218="预计毛利率",('11.销售及回款表'!AR79+'11.销售及回款表'!AR84)/1.1*'2.税率表'!$D$23*1,0)</f>
        <v>0</v>
      </c>
      <c r="AS221" s="124">
        <f>IF($C$218="预计毛利率",('11.销售及回款表'!AS79+'11.销售及回款表'!AS84)/1.1*'2.税率表'!$D$23*1,0)</f>
        <v>0</v>
      </c>
      <c r="AT221" s="125">
        <f>IF($C$218="预计毛利率",('11.销售及回款表'!AT79+'11.销售及回款表'!AT84)/1.1*'2.税率表'!$D$23*1,0)</f>
        <v>0</v>
      </c>
      <c r="AU221" s="125">
        <f>IF($C$218="预计毛利率",('11.销售及回款表'!AU79+'11.销售及回款表'!AU84)/1.1*'2.税率表'!$D$23*1,0)</f>
        <v>0</v>
      </c>
      <c r="AV221" s="126">
        <f>IF($C$218="预计毛利率",('11.销售及回款表'!AV79+'11.销售及回款表'!AV84)/1.1*'2.税率表'!$D$23*1,0)</f>
        <v>0</v>
      </c>
    </row>
    <row r="222" spans="1:48" s="75" customFormat="1" ht="15" customHeight="1">
      <c r="A222" s="85"/>
      <c r="B222" s="127" t="s">
        <v>20</v>
      </c>
      <c r="C222" s="127" t="s">
        <v>208</v>
      </c>
      <c r="D222" s="128">
        <f t="shared" ref="D222:D230" si="65">SUM(E222:AV222)</f>
        <v>0</v>
      </c>
      <c r="E222" s="129">
        <f>IF($C$218="预计毛利率",('11.销售及回款表'!E149+'11.销售及回款表'!E154)/1.1*'2.税率表'!$D$23*1,0)</f>
        <v>0</v>
      </c>
      <c r="F222" s="130">
        <f>IF($C$218="预计毛利率",('11.销售及回款表'!F149+'11.销售及回款表'!F154)/1.1*'2.税率表'!$D$23*1,0)</f>
        <v>0</v>
      </c>
      <c r="G222" s="130">
        <f>IF($C$218="预计毛利率",('11.销售及回款表'!G149+'11.销售及回款表'!G154)/1.1*'2.税率表'!$D$23*1,0)</f>
        <v>0</v>
      </c>
      <c r="H222" s="131">
        <f>IF($C$218="预计毛利率",('11.销售及回款表'!H149+'11.销售及回款表'!H154)/1.1*'2.税率表'!$D$23*1,0)</f>
        <v>0</v>
      </c>
      <c r="I222" s="129">
        <f>IF($C$218="预计毛利率",('11.销售及回款表'!I149+'11.销售及回款表'!I154)/1.1*'2.税率表'!$D$23*1,0)</f>
        <v>0</v>
      </c>
      <c r="J222" s="130">
        <f>IF($C$218="预计毛利率",('11.销售及回款表'!J149+'11.销售及回款表'!J154)/1.1*'2.税率表'!$D$23*1,0)</f>
        <v>0</v>
      </c>
      <c r="K222" s="130">
        <f>IF($C$218="预计毛利率",('11.销售及回款表'!K149+'11.销售及回款表'!K154)/1.1*'2.税率表'!$D$23*1,0)</f>
        <v>0</v>
      </c>
      <c r="L222" s="131">
        <f>IF($C$218="预计毛利率",('11.销售及回款表'!L149+'11.销售及回款表'!L154)/1.1*'2.税率表'!$D$23*1,0)</f>
        <v>0</v>
      </c>
      <c r="M222" s="129">
        <f>IF($C$218="预计毛利率",('11.销售及回款表'!M149+'11.销售及回款表'!M154)/1.1*'2.税率表'!$D$23*1,0)</f>
        <v>0</v>
      </c>
      <c r="N222" s="130">
        <f>IF($C$218="预计毛利率",('11.销售及回款表'!N149+'11.销售及回款表'!N154)/1.1*'2.税率表'!$D$23*1,0)</f>
        <v>0</v>
      </c>
      <c r="O222" s="130">
        <f>IF($C$218="预计毛利率",('11.销售及回款表'!O149+'11.销售及回款表'!O154)/1.1*'2.税率表'!$D$23*1,0)</f>
        <v>0</v>
      </c>
      <c r="P222" s="131">
        <f>IF($C$218="预计毛利率",('11.销售及回款表'!P149+'11.销售及回款表'!P154)/1.1*'2.税率表'!$D$23*1,0)</f>
        <v>0</v>
      </c>
      <c r="Q222" s="129">
        <f>IF($C$218="预计毛利率",('11.销售及回款表'!Q149+'11.销售及回款表'!Q154)/1.1*'2.税率表'!$D$23*1,0)</f>
        <v>0</v>
      </c>
      <c r="R222" s="130">
        <f>IF($C$218="预计毛利率",('11.销售及回款表'!R149+'11.销售及回款表'!R154)/1.1*'2.税率表'!$D$23*1,0)</f>
        <v>0</v>
      </c>
      <c r="S222" s="130">
        <f>IF($C$218="预计毛利率",('11.销售及回款表'!S149+'11.销售及回款表'!S154)/1.1*'2.税率表'!$D$23*1,0)</f>
        <v>0</v>
      </c>
      <c r="T222" s="131">
        <f>IF($C$218="预计毛利率",('11.销售及回款表'!T149+'11.销售及回款表'!T154)/1.1*'2.税率表'!$D$23*1,0)</f>
        <v>0</v>
      </c>
      <c r="U222" s="129">
        <f>IF($C$218="预计毛利率",('11.销售及回款表'!U149+'11.销售及回款表'!U154)/1.1*'2.税率表'!$D$23*1,0)</f>
        <v>0</v>
      </c>
      <c r="V222" s="130">
        <f>IF($C$218="预计毛利率",('11.销售及回款表'!V149+'11.销售及回款表'!V154)/1.1*'2.税率表'!$D$23*1,0)</f>
        <v>0</v>
      </c>
      <c r="W222" s="130">
        <f>IF($C$218="预计毛利率",('11.销售及回款表'!W149+'11.销售及回款表'!W154)/1.1*'2.税率表'!$D$23*1,0)</f>
        <v>0</v>
      </c>
      <c r="X222" s="131">
        <f>IF($C$218="预计毛利率",('11.销售及回款表'!X149+'11.销售及回款表'!X154)/1.1*'2.税率表'!$D$23*1,0)</f>
        <v>0</v>
      </c>
      <c r="Y222" s="129">
        <f>IF($C$218="预计毛利率",('11.销售及回款表'!Y149+'11.销售及回款表'!Y154)/1.1*'2.税率表'!$D$23*1,0)</f>
        <v>0</v>
      </c>
      <c r="Z222" s="130">
        <f>IF($C$218="预计毛利率",('11.销售及回款表'!Z149+'11.销售及回款表'!Z154)/1.1*'2.税率表'!$D$23*1,0)</f>
        <v>0</v>
      </c>
      <c r="AA222" s="130">
        <f>IF($C$218="预计毛利率",('11.销售及回款表'!AA149+'11.销售及回款表'!AA154)/1.1*'2.税率表'!$D$23*1,0)</f>
        <v>0</v>
      </c>
      <c r="AB222" s="131">
        <f>IF($C$218="预计毛利率",('11.销售及回款表'!AB149+'11.销售及回款表'!AB154)/1.1*'2.税率表'!$D$23*1,0)</f>
        <v>0</v>
      </c>
      <c r="AC222" s="129">
        <f>IF($C$218="预计毛利率",('11.销售及回款表'!AC149+'11.销售及回款表'!AC154)/1.1*'2.税率表'!$D$23*1,0)</f>
        <v>0</v>
      </c>
      <c r="AD222" s="130">
        <f>IF($C$218="预计毛利率",('11.销售及回款表'!AD149+'11.销售及回款表'!AD154)/1.1*'2.税率表'!$D$23*1,0)</f>
        <v>0</v>
      </c>
      <c r="AE222" s="130">
        <f>IF($C$218="预计毛利率",('11.销售及回款表'!AE149+'11.销售及回款表'!AE154)/1.1*'2.税率表'!$D$23*1,0)</f>
        <v>0</v>
      </c>
      <c r="AF222" s="131">
        <f>IF($C$218="预计毛利率",('11.销售及回款表'!AF149+'11.销售及回款表'!AF154)/1.1*'2.税率表'!$D$23*1,0)</f>
        <v>0</v>
      </c>
      <c r="AG222" s="129">
        <f>IF($C$218="预计毛利率",('11.销售及回款表'!AG149+'11.销售及回款表'!AG154)/1.1*'2.税率表'!$D$23*1,0)</f>
        <v>0</v>
      </c>
      <c r="AH222" s="130">
        <f>IF($C$218="预计毛利率",('11.销售及回款表'!AH149+'11.销售及回款表'!AH154)/1.1*'2.税率表'!$D$23*1,0)</f>
        <v>0</v>
      </c>
      <c r="AI222" s="130">
        <f>IF($C$218="预计毛利率",('11.销售及回款表'!AI149+'11.销售及回款表'!AI154)/1.1*'2.税率表'!$D$23*1,0)</f>
        <v>0</v>
      </c>
      <c r="AJ222" s="131">
        <f>IF($C$218="预计毛利率",('11.销售及回款表'!AJ149+'11.销售及回款表'!AJ154)/1.1*'2.税率表'!$D$23*1,0)</f>
        <v>0</v>
      </c>
      <c r="AK222" s="129">
        <f>IF($C$218="预计毛利率",('11.销售及回款表'!AK149+'11.销售及回款表'!AK154)/1.1*'2.税率表'!$D$23*1,0)</f>
        <v>0</v>
      </c>
      <c r="AL222" s="130">
        <f>IF($C$218="预计毛利率",('11.销售及回款表'!AL149+'11.销售及回款表'!AL154)/1.1*'2.税率表'!$D$23*1,0)</f>
        <v>0</v>
      </c>
      <c r="AM222" s="130">
        <f>IF($C$218="预计毛利率",('11.销售及回款表'!AM149+'11.销售及回款表'!AM154)/1.1*'2.税率表'!$D$23*1,0)</f>
        <v>0</v>
      </c>
      <c r="AN222" s="131">
        <f>IF($C$218="预计毛利率",('11.销售及回款表'!AN149+'11.销售及回款表'!AN154)/1.1*'2.税率表'!$D$23*1,0)</f>
        <v>0</v>
      </c>
      <c r="AO222" s="129">
        <f>IF($C$218="预计毛利率",('11.销售及回款表'!AO149+'11.销售及回款表'!AO154)/1.1*'2.税率表'!$D$23*1,0)</f>
        <v>0</v>
      </c>
      <c r="AP222" s="130">
        <f>IF($C$218="预计毛利率",('11.销售及回款表'!AP149+'11.销售及回款表'!AP154)/1.1*'2.税率表'!$D$23*1,0)</f>
        <v>0</v>
      </c>
      <c r="AQ222" s="130">
        <f>IF($C$218="预计毛利率",('11.销售及回款表'!AQ149+'11.销售及回款表'!AQ154)/1.1*'2.税率表'!$D$23*1,0)</f>
        <v>0</v>
      </c>
      <c r="AR222" s="131">
        <f>IF($C$218="预计毛利率",('11.销售及回款表'!AR149+'11.销售及回款表'!AR154)/1.1*'2.税率表'!$D$23*1,0)</f>
        <v>0</v>
      </c>
      <c r="AS222" s="129">
        <f>IF($C$218="预计毛利率",('11.销售及回款表'!AS149+'11.销售及回款表'!AS154)/1.1*'2.税率表'!$D$23*1,0)</f>
        <v>0</v>
      </c>
      <c r="AT222" s="130">
        <f>IF($C$218="预计毛利率",('11.销售及回款表'!AT149+'11.销售及回款表'!AT154)/1.1*'2.税率表'!$D$23*1,0)</f>
        <v>0</v>
      </c>
      <c r="AU222" s="130">
        <f>IF($C$218="预计毛利率",('11.销售及回款表'!AU149+'11.销售及回款表'!AU154)/1.1*'2.税率表'!$D$23*1,0)</f>
        <v>0</v>
      </c>
      <c r="AV222" s="131">
        <f>IF($C$218="预计毛利率",('11.销售及回款表'!AV149+'11.销售及回款表'!AV154)/1.1*'2.税率表'!$D$23*1,0)</f>
        <v>0</v>
      </c>
    </row>
    <row r="223" spans="1:48" s="75" customFormat="1" ht="15" customHeight="1">
      <c r="A223" s="85"/>
      <c r="B223" s="127" t="s">
        <v>21</v>
      </c>
      <c r="C223" s="127" t="s">
        <v>208</v>
      </c>
      <c r="D223" s="128">
        <f t="shared" si="65"/>
        <v>0</v>
      </c>
      <c r="E223" s="129">
        <f>IF($C$218="预计毛利率",('11.销售及回款表'!E219+'11.销售及回款表'!E224)/1.1*'2.税率表'!$D$23*1,0)</f>
        <v>0</v>
      </c>
      <c r="F223" s="130">
        <f>IF($C$218="预计毛利率",('11.销售及回款表'!F219+'11.销售及回款表'!F224)/1.1*'2.税率表'!$D$23*1,0)</f>
        <v>0</v>
      </c>
      <c r="G223" s="130">
        <f>IF($C$218="预计毛利率",('11.销售及回款表'!G219+'11.销售及回款表'!G224)/1.1*'2.税率表'!$D$23*1,0)</f>
        <v>0</v>
      </c>
      <c r="H223" s="131">
        <f>IF($C$218="预计毛利率",('11.销售及回款表'!H219+'11.销售及回款表'!H224)/1.1*'2.税率表'!$D$23*1,0)</f>
        <v>0</v>
      </c>
      <c r="I223" s="129">
        <f>IF($C$218="预计毛利率",('11.销售及回款表'!I219+'11.销售及回款表'!I224)/1.1*'2.税率表'!$D$23*1,0)</f>
        <v>0</v>
      </c>
      <c r="J223" s="130">
        <f>IF($C$218="预计毛利率",('11.销售及回款表'!J219+'11.销售及回款表'!J224)/1.1*'2.税率表'!$D$23*1,0)</f>
        <v>0</v>
      </c>
      <c r="K223" s="130">
        <f>IF($C$218="预计毛利率",('11.销售及回款表'!K219+'11.销售及回款表'!K224)/1.1*'2.税率表'!$D$23*1,0)</f>
        <v>0</v>
      </c>
      <c r="L223" s="131">
        <f>IF($C$218="预计毛利率",('11.销售及回款表'!L219+'11.销售及回款表'!L224)/1.1*'2.税率表'!$D$23*1,0)</f>
        <v>0</v>
      </c>
      <c r="M223" s="129">
        <f>IF($C$218="预计毛利率",('11.销售及回款表'!M219+'11.销售及回款表'!M224)/1.1*'2.税率表'!$D$23*1,0)</f>
        <v>0</v>
      </c>
      <c r="N223" s="130">
        <f>IF($C$218="预计毛利率",('11.销售及回款表'!N219+'11.销售及回款表'!N224)/1.1*'2.税率表'!$D$23*1,0)</f>
        <v>0</v>
      </c>
      <c r="O223" s="130">
        <f>IF($C$218="预计毛利率",('11.销售及回款表'!O219+'11.销售及回款表'!O224)/1.1*'2.税率表'!$D$23*1,0)</f>
        <v>0</v>
      </c>
      <c r="P223" s="131">
        <f>IF($C$218="预计毛利率",('11.销售及回款表'!P219+'11.销售及回款表'!P224)/1.1*'2.税率表'!$D$23*1,0)</f>
        <v>0</v>
      </c>
      <c r="Q223" s="129">
        <f>IF($C$218="预计毛利率",('11.销售及回款表'!Q219+'11.销售及回款表'!Q224)/1.1*'2.税率表'!$D$23*1,0)</f>
        <v>0</v>
      </c>
      <c r="R223" s="130">
        <f>IF($C$218="预计毛利率",('11.销售及回款表'!R219+'11.销售及回款表'!R224)/1.1*'2.税率表'!$D$23*1,0)</f>
        <v>0</v>
      </c>
      <c r="S223" s="130">
        <f>IF($C$218="预计毛利率",('11.销售及回款表'!S219+'11.销售及回款表'!S224)/1.1*'2.税率表'!$D$23*1,0)</f>
        <v>0</v>
      </c>
      <c r="T223" s="131">
        <f>IF($C$218="预计毛利率",('11.销售及回款表'!T219+'11.销售及回款表'!T224)/1.1*'2.税率表'!$D$23*1,0)</f>
        <v>0</v>
      </c>
      <c r="U223" s="129">
        <f>IF($C$218="预计毛利率",('11.销售及回款表'!U219+'11.销售及回款表'!U224)/1.1*'2.税率表'!$D$23*1,0)</f>
        <v>0</v>
      </c>
      <c r="V223" s="130">
        <f>IF($C$218="预计毛利率",('11.销售及回款表'!V219+'11.销售及回款表'!V224)/1.1*'2.税率表'!$D$23*1,0)</f>
        <v>0</v>
      </c>
      <c r="W223" s="130">
        <f>IF($C$218="预计毛利率",('11.销售及回款表'!W219+'11.销售及回款表'!W224)/1.1*'2.税率表'!$D$23*1,0)</f>
        <v>0</v>
      </c>
      <c r="X223" s="131">
        <f>IF($C$218="预计毛利率",('11.销售及回款表'!X219+'11.销售及回款表'!X224)/1.1*'2.税率表'!$D$23*1,0)</f>
        <v>0</v>
      </c>
      <c r="Y223" s="129">
        <f>IF($C$218="预计毛利率",('11.销售及回款表'!Y219+'11.销售及回款表'!Y224)/1.1*'2.税率表'!$D$23*1,0)</f>
        <v>0</v>
      </c>
      <c r="Z223" s="130">
        <f>IF($C$218="预计毛利率",('11.销售及回款表'!Z219+'11.销售及回款表'!Z224)/1.1*'2.税率表'!$D$23*1,0)</f>
        <v>0</v>
      </c>
      <c r="AA223" s="130">
        <f>IF($C$218="预计毛利率",('11.销售及回款表'!AA219+'11.销售及回款表'!AA224)/1.1*'2.税率表'!$D$23*1,0)</f>
        <v>0</v>
      </c>
      <c r="AB223" s="131">
        <f>IF($C$218="预计毛利率",('11.销售及回款表'!AB219+'11.销售及回款表'!AB224)/1.1*'2.税率表'!$D$23*1,0)</f>
        <v>0</v>
      </c>
      <c r="AC223" s="129">
        <f>IF($C$218="预计毛利率",('11.销售及回款表'!AC219+'11.销售及回款表'!AC224)/1.1*'2.税率表'!$D$23*1,0)</f>
        <v>0</v>
      </c>
      <c r="AD223" s="130">
        <f>IF($C$218="预计毛利率",('11.销售及回款表'!AD219+'11.销售及回款表'!AD224)/1.1*'2.税率表'!$D$23*1,0)</f>
        <v>0</v>
      </c>
      <c r="AE223" s="130">
        <f>IF($C$218="预计毛利率",('11.销售及回款表'!AE219+'11.销售及回款表'!AE224)/1.1*'2.税率表'!$D$23*1,0)</f>
        <v>0</v>
      </c>
      <c r="AF223" s="131">
        <f>IF($C$218="预计毛利率",('11.销售及回款表'!AF219+'11.销售及回款表'!AF224)/1.1*'2.税率表'!$D$23*1,0)</f>
        <v>0</v>
      </c>
      <c r="AG223" s="129">
        <f>IF($C$218="预计毛利率",('11.销售及回款表'!AG219+'11.销售及回款表'!AG224)/1.1*'2.税率表'!$D$23*1,0)</f>
        <v>0</v>
      </c>
      <c r="AH223" s="130">
        <f>IF($C$218="预计毛利率",('11.销售及回款表'!AH219+'11.销售及回款表'!AH224)/1.1*'2.税率表'!$D$23*1,0)</f>
        <v>0</v>
      </c>
      <c r="AI223" s="130">
        <f>IF($C$218="预计毛利率",('11.销售及回款表'!AI219+'11.销售及回款表'!AI224)/1.1*'2.税率表'!$D$23*1,0)</f>
        <v>0</v>
      </c>
      <c r="AJ223" s="131">
        <f>IF($C$218="预计毛利率",('11.销售及回款表'!AJ219+'11.销售及回款表'!AJ224)/1.1*'2.税率表'!$D$23*1,0)</f>
        <v>0</v>
      </c>
      <c r="AK223" s="129">
        <f>IF($C$218="预计毛利率",('11.销售及回款表'!AK219+'11.销售及回款表'!AK224)/1.1*'2.税率表'!$D$23*1,0)</f>
        <v>0</v>
      </c>
      <c r="AL223" s="130">
        <f>IF($C$218="预计毛利率",('11.销售及回款表'!AL219+'11.销售及回款表'!AL224)/1.1*'2.税率表'!$D$23*1,0)</f>
        <v>0</v>
      </c>
      <c r="AM223" s="130">
        <f>IF($C$218="预计毛利率",('11.销售及回款表'!AM219+'11.销售及回款表'!AM224)/1.1*'2.税率表'!$D$23*1,0)</f>
        <v>0</v>
      </c>
      <c r="AN223" s="131">
        <f>IF($C$218="预计毛利率",('11.销售及回款表'!AN219+'11.销售及回款表'!AN224)/1.1*'2.税率表'!$D$23*1,0)</f>
        <v>0</v>
      </c>
      <c r="AO223" s="129">
        <f>IF($C$218="预计毛利率",('11.销售及回款表'!AO219+'11.销售及回款表'!AO224)/1.1*'2.税率表'!$D$23*1,0)</f>
        <v>0</v>
      </c>
      <c r="AP223" s="130">
        <f>IF($C$218="预计毛利率",('11.销售及回款表'!AP219+'11.销售及回款表'!AP224)/1.1*'2.税率表'!$D$23*1,0)</f>
        <v>0</v>
      </c>
      <c r="AQ223" s="130">
        <f>IF($C$218="预计毛利率",('11.销售及回款表'!AQ219+'11.销售及回款表'!AQ224)/1.1*'2.税率表'!$D$23*1,0)</f>
        <v>0</v>
      </c>
      <c r="AR223" s="131">
        <f>IF($C$218="预计毛利率",('11.销售及回款表'!AR219+'11.销售及回款表'!AR224)/1.1*'2.税率表'!$D$23*1,0)</f>
        <v>0</v>
      </c>
      <c r="AS223" s="129">
        <f>IF($C$218="预计毛利率",('11.销售及回款表'!AS219+'11.销售及回款表'!AS224)/1.1*'2.税率表'!$D$23*1,0)</f>
        <v>0</v>
      </c>
      <c r="AT223" s="130">
        <f>IF($C$218="预计毛利率",('11.销售及回款表'!AT219+'11.销售及回款表'!AT224)/1.1*'2.税率表'!$D$23*1,0)</f>
        <v>0</v>
      </c>
      <c r="AU223" s="130">
        <f>IF($C$218="预计毛利率",('11.销售及回款表'!AU219+'11.销售及回款表'!AU224)/1.1*'2.税率表'!$D$23*1,0)</f>
        <v>0</v>
      </c>
      <c r="AV223" s="131">
        <f>IF($C$218="预计毛利率",('11.销售及回款表'!AV219+'11.销售及回款表'!AV224)/1.1*'2.税率表'!$D$23*1,0)</f>
        <v>0</v>
      </c>
    </row>
    <row r="224" spans="1:48" s="75" customFormat="1" ht="15" customHeight="1">
      <c r="A224" s="85"/>
      <c r="B224" s="127" t="s">
        <v>22</v>
      </c>
      <c r="C224" s="127" t="s">
        <v>208</v>
      </c>
      <c r="D224" s="128">
        <f t="shared" si="65"/>
        <v>0</v>
      </c>
      <c r="E224" s="129">
        <f>IF($C$218="预计毛利率",('11.销售及回款表'!E289+'11.销售及回款表'!E294)/1.1*'2.税率表'!$D$23*1,0)</f>
        <v>0</v>
      </c>
      <c r="F224" s="130">
        <f>IF($C$218="预计毛利率",('11.销售及回款表'!F289+'11.销售及回款表'!F294)/1.1*'2.税率表'!$D$23*1,0)</f>
        <v>0</v>
      </c>
      <c r="G224" s="130">
        <f>IF($C$218="预计毛利率",('11.销售及回款表'!G289+'11.销售及回款表'!G294)/1.1*'2.税率表'!$D$23*1,0)</f>
        <v>0</v>
      </c>
      <c r="H224" s="131">
        <f>IF($C$218="预计毛利率",('11.销售及回款表'!H289+'11.销售及回款表'!H294)/1.1*'2.税率表'!$D$23*1,0)</f>
        <v>0</v>
      </c>
      <c r="I224" s="129">
        <f>IF($C$218="预计毛利率",('11.销售及回款表'!I289+'11.销售及回款表'!I294)/1.1*'2.税率表'!$D$23*1,0)</f>
        <v>0</v>
      </c>
      <c r="J224" s="130">
        <f>IF($C$218="预计毛利率",('11.销售及回款表'!J289+'11.销售及回款表'!J294)/1.1*'2.税率表'!$D$23*1,0)</f>
        <v>0</v>
      </c>
      <c r="K224" s="130">
        <f>IF($C$218="预计毛利率",('11.销售及回款表'!K289+'11.销售及回款表'!K294)/1.1*'2.税率表'!$D$23*1,0)</f>
        <v>0</v>
      </c>
      <c r="L224" s="131">
        <f>IF($C$218="预计毛利率",('11.销售及回款表'!L289+'11.销售及回款表'!L294)/1.1*'2.税率表'!$D$23*1,0)</f>
        <v>0</v>
      </c>
      <c r="M224" s="129">
        <f>IF($C$218="预计毛利率",('11.销售及回款表'!M289+'11.销售及回款表'!M294)/1.1*'2.税率表'!$D$23*1,0)</f>
        <v>0</v>
      </c>
      <c r="N224" s="130">
        <f>IF($C$218="预计毛利率",('11.销售及回款表'!N289+'11.销售及回款表'!N294)/1.1*'2.税率表'!$D$23*1,0)</f>
        <v>0</v>
      </c>
      <c r="O224" s="130">
        <f>IF($C$218="预计毛利率",('11.销售及回款表'!O289+'11.销售及回款表'!O294)/1.1*'2.税率表'!$D$23*1,0)</f>
        <v>0</v>
      </c>
      <c r="P224" s="131">
        <f>IF($C$218="预计毛利率",('11.销售及回款表'!P289+'11.销售及回款表'!P294)/1.1*'2.税率表'!$D$23*1,0)</f>
        <v>0</v>
      </c>
      <c r="Q224" s="129">
        <f>IF($C$218="预计毛利率",('11.销售及回款表'!Q289+'11.销售及回款表'!Q294)/1.1*'2.税率表'!$D$23*1,0)</f>
        <v>0</v>
      </c>
      <c r="R224" s="130">
        <f>IF($C$218="预计毛利率",('11.销售及回款表'!R289+'11.销售及回款表'!R294)/1.1*'2.税率表'!$D$23*1,0)</f>
        <v>0</v>
      </c>
      <c r="S224" s="130">
        <f>IF($C$218="预计毛利率",('11.销售及回款表'!S289+'11.销售及回款表'!S294)/1.1*'2.税率表'!$D$23*1,0)</f>
        <v>0</v>
      </c>
      <c r="T224" s="131">
        <f>IF($C$218="预计毛利率",('11.销售及回款表'!T289+'11.销售及回款表'!T294)/1.1*'2.税率表'!$D$23*1,0)</f>
        <v>0</v>
      </c>
      <c r="U224" s="129">
        <f>IF($C$218="预计毛利率",('11.销售及回款表'!U289+'11.销售及回款表'!U294)/1.1*'2.税率表'!$D$23*1,0)</f>
        <v>0</v>
      </c>
      <c r="V224" s="130">
        <f>IF($C$218="预计毛利率",('11.销售及回款表'!V289+'11.销售及回款表'!V294)/1.1*'2.税率表'!$D$23*1,0)</f>
        <v>0</v>
      </c>
      <c r="W224" s="130">
        <f>IF($C$218="预计毛利率",('11.销售及回款表'!W289+'11.销售及回款表'!W294)/1.1*'2.税率表'!$D$23*1,0)</f>
        <v>0</v>
      </c>
      <c r="X224" s="131">
        <f>IF($C$218="预计毛利率",('11.销售及回款表'!X289+'11.销售及回款表'!X294)/1.1*'2.税率表'!$D$23*1,0)</f>
        <v>0</v>
      </c>
      <c r="Y224" s="129">
        <f>IF($C$218="预计毛利率",('11.销售及回款表'!Y289+'11.销售及回款表'!Y294)/1.1*'2.税率表'!$D$23*1,0)</f>
        <v>0</v>
      </c>
      <c r="Z224" s="130">
        <f>IF($C$218="预计毛利率",('11.销售及回款表'!Z289+'11.销售及回款表'!Z294)/1.1*'2.税率表'!$D$23*1,0)</f>
        <v>0</v>
      </c>
      <c r="AA224" s="130">
        <f>IF($C$218="预计毛利率",('11.销售及回款表'!AA289+'11.销售及回款表'!AA294)/1.1*'2.税率表'!$D$23*1,0)</f>
        <v>0</v>
      </c>
      <c r="AB224" s="131">
        <f>IF($C$218="预计毛利率",('11.销售及回款表'!AB289+'11.销售及回款表'!AB294)/1.1*'2.税率表'!$D$23*1,0)</f>
        <v>0</v>
      </c>
      <c r="AC224" s="129">
        <f>IF($C$218="预计毛利率",('11.销售及回款表'!AC289+'11.销售及回款表'!AC294)/1.1*'2.税率表'!$D$23*1,0)</f>
        <v>0</v>
      </c>
      <c r="AD224" s="130">
        <f>IF($C$218="预计毛利率",('11.销售及回款表'!AD289+'11.销售及回款表'!AD294)/1.1*'2.税率表'!$D$23*1,0)</f>
        <v>0</v>
      </c>
      <c r="AE224" s="130">
        <f>IF($C$218="预计毛利率",('11.销售及回款表'!AE289+'11.销售及回款表'!AE294)/1.1*'2.税率表'!$D$23*1,0)</f>
        <v>0</v>
      </c>
      <c r="AF224" s="131">
        <f>IF($C$218="预计毛利率",('11.销售及回款表'!AF289+'11.销售及回款表'!AF294)/1.1*'2.税率表'!$D$23*1,0)</f>
        <v>0</v>
      </c>
      <c r="AG224" s="129">
        <f>IF($C$218="预计毛利率",('11.销售及回款表'!AG289+'11.销售及回款表'!AG294)/1.1*'2.税率表'!$D$23*1,0)</f>
        <v>0</v>
      </c>
      <c r="AH224" s="130">
        <f>IF($C$218="预计毛利率",('11.销售及回款表'!AH289+'11.销售及回款表'!AH294)/1.1*'2.税率表'!$D$23*1,0)</f>
        <v>0</v>
      </c>
      <c r="AI224" s="130">
        <f>IF($C$218="预计毛利率",('11.销售及回款表'!AI289+'11.销售及回款表'!AI294)/1.1*'2.税率表'!$D$23*1,0)</f>
        <v>0</v>
      </c>
      <c r="AJ224" s="131">
        <f>IF($C$218="预计毛利率",('11.销售及回款表'!AJ289+'11.销售及回款表'!AJ294)/1.1*'2.税率表'!$D$23*1,0)</f>
        <v>0</v>
      </c>
      <c r="AK224" s="129">
        <f>IF($C$218="预计毛利率",('11.销售及回款表'!AK289+'11.销售及回款表'!AK294)/1.1*'2.税率表'!$D$23*1,0)</f>
        <v>0</v>
      </c>
      <c r="AL224" s="130">
        <f>IF($C$218="预计毛利率",('11.销售及回款表'!AL289+'11.销售及回款表'!AL294)/1.1*'2.税率表'!$D$23*1,0)</f>
        <v>0</v>
      </c>
      <c r="AM224" s="130">
        <f>IF($C$218="预计毛利率",('11.销售及回款表'!AM289+'11.销售及回款表'!AM294)/1.1*'2.税率表'!$D$23*1,0)</f>
        <v>0</v>
      </c>
      <c r="AN224" s="131">
        <f>IF($C$218="预计毛利率",('11.销售及回款表'!AN289+'11.销售及回款表'!AN294)/1.1*'2.税率表'!$D$23*1,0)</f>
        <v>0</v>
      </c>
      <c r="AO224" s="129">
        <f>IF($C$218="预计毛利率",('11.销售及回款表'!AO289+'11.销售及回款表'!AO294)/1.1*'2.税率表'!$D$23*1,0)</f>
        <v>0</v>
      </c>
      <c r="AP224" s="130">
        <f>IF($C$218="预计毛利率",('11.销售及回款表'!AP289+'11.销售及回款表'!AP294)/1.1*'2.税率表'!$D$23*1,0)</f>
        <v>0</v>
      </c>
      <c r="AQ224" s="130">
        <f>IF($C$218="预计毛利率",('11.销售及回款表'!AQ289+'11.销售及回款表'!AQ294)/1.1*'2.税率表'!$D$23*1,0)</f>
        <v>0</v>
      </c>
      <c r="AR224" s="131">
        <f>IF($C$218="预计毛利率",('11.销售及回款表'!AR289+'11.销售及回款表'!AR294)/1.1*'2.税率表'!$D$23*1,0)</f>
        <v>0</v>
      </c>
      <c r="AS224" s="129">
        <f>IF($C$218="预计毛利率",('11.销售及回款表'!AS289+'11.销售及回款表'!AS294)/1.1*'2.税率表'!$D$23*1,0)</f>
        <v>0</v>
      </c>
      <c r="AT224" s="130">
        <f>IF($C$218="预计毛利率",('11.销售及回款表'!AT289+'11.销售及回款表'!AT294)/1.1*'2.税率表'!$D$23*1,0)</f>
        <v>0</v>
      </c>
      <c r="AU224" s="130">
        <f>IF($C$218="预计毛利率",('11.销售及回款表'!AU289+'11.销售及回款表'!AU294)/1.1*'2.税率表'!$D$23*1,0)</f>
        <v>0</v>
      </c>
      <c r="AV224" s="131">
        <f>IF($C$218="预计毛利率",('11.销售及回款表'!AV289+'11.销售及回款表'!AV294)/1.1*'2.税率表'!$D$23*1,0)</f>
        <v>0</v>
      </c>
    </row>
    <row r="225" spans="1:49" s="75" customFormat="1" ht="15" customHeight="1">
      <c r="A225" s="85"/>
      <c r="B225" s="127" t="s">
        <v>23</v>
      </c>
      <c r="C225" s="127" t="s">
        <v>208</v>
      </c>
      <c r="D225" s="128">
        <f t="shared" si="65"/>
        <v>0</v>
      </c>
      <c r="E225" s="129">
        <f>IF($C$218="预计毛利率",('11.销售及回款表'!E359+'11.销售及回款表'!E364)/1.1*'2.税率表'!$D$23*1,0)</f>
        <v>0</v>
      </c>
      <c r="F225" s="130">
        <f>IF($C$218="预计毛利率",('11.销售及回款表'!F359+'11.销售及回款表'!F364)/1.1*'2.税率表'!$D$23*1,0)</f>
        <v>0</v>
      </c>
      <c r="G225" s="130">
        <f>IF($C$218="预计毛利率",('11.销售及回款表'!G359+'11.销售及回款表'!G364)/1.1*'2.税率表'!$D$23*1,0)</f>
        <v>0</v>
      </c>
      <c r="H225" s="131">
        <f>IF($C$218="预计毛利率",('11.销售及回款表'!H359+'11.销售及回款表'!H364)/1.1*'2.税率表'!$D$23*1,0)</f>
        <v>0</v>
      </c>
      <c r="I225" s="129">
        <f>IF($C$218="预计毛利率",('11.销售及回款表'!I359+'11.销售及回款表'!I364)/1.1*'2.税率表'!$D$23*1,0)</f>
        <v>0</v>
      </c>
      <c r="J225" s="130">
        <f>IF($C$218="预计毛利率",('11.销售及回款表'!J359+'11.销售及回款表'!J364)/1.1*'2.税率表'!$D$23*1,0)</f>
        <v>0</v>
      </c>
      <c r="K225" s="130">
        <f>IF($C$218="预计毛利率",('11.销售及回款表'!K359+'11.销售及回款表'!K364)/1.1*'2.税率表'!$D$23*1,0)</f>
        <v>0</v>
      </c>
      <c r="L225" s="131">
        <f>IF($C$218="预计毛利率",('11.销售及回款表'!L359+'11.销售及回款表'!L364)/1.1*'2.税率表'!$D$23*1,0)</f>
        <v>0</v>
      </c>
      <c r="M225" s="129">
        <f>IF($C$218="预计毛利率",('11.销售及回款表'!M359+'11.销售及回款表'!M364)/1.1*'2.税率表'!$D$23*1,0)</f>
        <v>0</v>
      </c>
      <c r="N225" s="130">
        <f>IF($C$218="预计毛利率",('11.销售及回款表'!N359+'11.销售及回款表'!N364)/1.1*'2.税率表'!$D$23*1,0)</f>
        <v>0</v>
      </c>
      <c r="O225" s="130">
        <f>IF($C$218="预计毛利率",('11.销售及回款表'!O359+'11.销售及回款表'!O364)/1.1*'2.税率表'!$D$23*1,0)</f>
        <v>0</v>
      </c>
      <c r="P225" s="131">
        <f>IF($C$218="预计毛利率",('11.销售及回款表'!P359+'11.销售及回款表'!P364)/1.1*'2.税率表'!$D$23*1,0)</f>
        <v>0</v>
      </c>
      <c r="Q225" s="129">
        <f>IF($C$218="预计毛利率",('11.销售及回款表'!Q359+'11.销售及回款表'!Q364)/1.1*'2.税率表'!$D$23*1,0)</f>
        <v>0</v>
      </c>
      <c r="R225" s="130">
        <f>IF($C$218="预计毛利率",('11.销售及回款表'!R359+'11.销售及回款表'!R364)/1.1*'2.税率表'!$D$23*1,0)</f>
        <v>0</v>
      </c>
      <c r="S225" s="130">
        <f>IF($C$218="预计毛利率",('11.销售及回款表'!S359+'11.销售及回款表'!S364)/1.1*'2.税率表'!$D$23*1,0)</f>
        <v>0</v>
      </c>
      <c r="T225" s="131">
        <f>IF($C$218="预计毛利率",('11.销售及回款表'!T359+'11.销售及回款表'!T364)/1.1*'2.税率表'!$D$23*1,0)</f>
        <v>0</v>
      </c>
      <c r="U225" s="129">
        <f>IF($C$218="预计毛利率",('11.销售及回款表'!U359+'11.销售及回款表'!U364)/1.1*'2.税率表'!$D$23*1,0)</f>
        <v>0</v>
      </c>
      <c r="V225" s="130">
        <f>IF($C$218="预计毛利率",('11.销售及回款表'!V359+'11.销售及回款表'!V364)/1.1*'2.税率表'!$D$23*1,0)</f>
        <v>0</v>
      </c>
      <c r="W225" s="130">
        <f>IF($C$218="预计毛利率",('11.销售及回款表'!W359+'11.销售及回款表'!W364)/1.1*'2.税率表'!$D$23*1,0)</f>
        <v>0</v>
      </c>
      <c r="X225" s="131">
        <f>IF($C$218="预计毛利率",('11.销售及回款表'!X359+'11.销售及回款表'!X364)/1.1*'2.税率表'!$D$23*1,0)</f>
        <v>0</v>
      </c>
      <c r="Y225" s="129">
        <f>IF($C$218="预计毛利率",('11.销售及回款表'!Y359+'11.销售及回款表'!Y364)/1.1*'2.税率表'!$D$23*1,0)</f>
        <v>0</v>
      </c>
      <c r="Z225" s="130">
        <f>IF($C$218="预计毛利率",('11.销售及回款表'!Z359+'11.销售及回款表'!Z364)/1.1*'2.税率表'!$D$23*1,0)</f>
        <v>0</v>
      </c>
      <c r="AA225" s="130">
        <f>IF($C$218="预计毛利率",('11.销售及回款表'!AA359+'11.销售及回款表'!AA364)/1.1*'2.税率表'!$D$23*1,0)</f>
        <v>0</v>
      </c>
      <c r="AB225" s="131">
        <f>IF($C$218="预计毛利率",('11.销售及回款表'!AB359+'11.销售及回款表'!AB364)/1.1*'2.税率表'!$D$23*1,0)</f>
        <v>0</v>
      </c>
      <c r="AC225" s="129">
        <f>IF($C$218="预计毛利率",('11.销售及回款表'!AC359+'11.销售及回款表'!AC364)/1.1*'2.税率表'!$D$23*1,0)</f>
        <v>0</v>
      </c>
      <c r="AD225" s="130">
        <f>IF($C$218="预计毛利率",('11.销售及回款表'!AD359+'11.销售及回款表'!AD364)/1.1*'2.税率表'!$D$23*1,0)</f>
        <v>0</v>
      </c>
      <c r="AE225" s="130">
        <f>IF($C$218="预计毛利率",('11.销售及回款表'!AE359+'11.销售及回款表'!AE364)/1.1*'2.税率表'!$D$23*1,0)</f>
        <v>0</v>
      </c>
      <c r="AF225" s="131">
        <f>IF($C$218="预计毛利率",('11.销售及回款表'!AF359+'11.销售及回款表'!AF364)/1.1*'2.税率表'!$D$23*1,0)</f>
        <v>0</v>
      </c>
      <c r="AG225" s="129">
        <f>IF($C$218="预计毛利率",('11.销售及回款表'!AG359+'11.销售及回款表'!AG364)/1.1*'2.税率表'!$D$23*1,0)</f>
        <v>0</v>
      </c>
      <c r="AH225" s="130">
        <f>IF($C$218="预计毛利率",('11.销售及回款表'!AH359+'11.销售及回款表'!AH364)/1.1*'2.税率表'!$D$23*1,0)</f>
        <v>0</v>
      </c>
      <c r="AI225" s="130">
        <f>IF($C$218="预计毛利率",('11.销售及回款表'!AI359+'11.销售及回款表'!AI364)/1.1*'2.税率表'!$D$23*1,0)</f>
        <v>0</v>
      </c>
      <c r="AJ225" s="131">
        <f>IF($C$218="预计毛利率",('11.销售及回款表'!AJ359+'11.销售及回款表'!AJ364)/1.1*'2.税率表'!$D$23*1,0)</f>
        <v>0</v>
      </c>
      <c r="AK225" s="129">
        <f>IF($C$218="预计毛利率",('11.销售及回款表'!AK359+'11.销售及回款表'!AK364)/1.1*'2.税率表'!$D$23*1,0)</f>
        <v>0</v>
      </c>
      <c r="AL225" s="130">
        <f>IF($C$218="预计毛利率",('11.销售及回款表'!AL359+'11.销售及回款表'!AL364)/1.1*'2.税率表'!$D$23*1,0)</f>
        <v>0</v>
      </c>
      <c r="AM225" s="130">
        <f>IF($C$218="预计毛利率",('11.销售及回款表'!AM359+'11.销售及回款表'!AM364)/1.1*'2.税率表'!$D$23*1,0)</f>
        <v>0</v>
      </c>
      <c r="AN225" s="131">
        <f>IF($C$218="预计毛利率",('11.销售及回款表'!AN359+'11.销售及回款表'!AN364)/1.1*'2.税率表'!$D$23*1,0)</f>
        <v>0</v>
      </c>
      <c r="AO225" s="129">
        <f>IF($C$218="预计毛利率",('11.销售及回款表'!AO359+'11.销售及回款表'!AO364)/1.1*'2.税率表'!$D$23*1,0)</f>
        <v>0</v>
      </c>
      <c r="AP225" s="130">
        <f>IF($C$218="预计毛利率",('11.销售及回款表'!AP359+'11.销售及回款表'!AP364)/1.1*'2.税率表'!$D$23*1,0)</f>
        <v>0</v>
      </c>
      <c r="AQ225" s="130">
        <f>IF($C$218="预计毛利率",('11.销售及回款表'!AQ359+'11.销售及回款表'!AQ364)/1.1*'2.税率表'!$D$23*1,0)</f>
        <v>0</v>
      </c>
      <c r="AR225" s="131">
        <f>IF($C$218="预计毛利率",('11.销售及回款表'!AR359+'11.销售及回款表'!AR364)/1.1*'2.税率表'!$D$23*1,0)</f>
        <v>0</v>
      </c>
      <c r="AS225" s="129">
        <f>IF($C$218="预计毛利率",('11.销售及回款表'!AS359+'11.销售及回款表'!AS364)/1.1*'2.税率表'!$D$23*1,0)</f>
        <v>0</v>
      </c>
      <c r="AT225" s="130">
        <f>IF($C$218="预计毛利率",('11.销售及回款表'!AT359+'11.销售及回款表'!AT364)/1.1*'2.税率表'!$D$23*1,0)</f>
        <v>0</v>
      </c>
      <c r="AU225" s="130">
        <f>IF($C$218="预计毛利率",('11.销售及回款表'!AU359+'11.销售及回款表'!AU364)/1.1*'2.税率表'!$D$23*1,0)</f>
        <v>0</v>
      </c>
      <c r="AV225" s="131">
        <f>IF($C$218="预计毛利率",('11.销售及回款表'!AV359+'11.销售及回款表'!AV364)/1.1*'2.税率表'!$D$23*1,0)</f>
        <v>0</v>
      </c>
    </row>
    <row r="226" spans="1:49" s="75" customFormat="1" ht="15" customHeight="1">
      <c r="A226" s="85"/>
      <c r="B226" s="127" t="s">
        <v>24</v>
      </c>
      <c r="C226" s="127" t="s">
        <v>208</v>
      </c>
      <c r="D226" s="128">
        <f t="shared" si="65"/>
        <v>0</v>
      </c>
      <c r="E226" s="129">
        <f>IF($C$218="预计毛利率",('11.销售及回款表'!E429+'11.销售及回款表'!E434)/1.1*'2.税率表'!$D$23*1,0)</f>
        <v>0</v>
      </c>
      <c r="F226" s="130">
        <f>IF($C$218="预计毛利率",('11.销售及回款表'!F429+'11.销售及回款表'!F434)/1.1*'2.税率表'!$D$23*1,0)</f>
        <v>0</v>
      </c>
      <c r="G226" s="130">
        <f>IF($C$218="预计毛利率",('11.销售及回款表'!G429+'11.销售及回款表'!G434)/1.1*'2.税率表'!$D$23*1,0)</f>
        <v>0</v>
      </c>
      <c r="H226" s="131">
        <f>IF($C$218="预计毛利率",('11.销售及回款表'!H429+'11.销售及回款表'!H434)/1.1*'2.税率表'!$D$23*1,0)</f>
        <v>0</v>
      </c>
      <c r="I226" s="129">
        <f>IF($C$218="预计毛利率",('11.销售及回款表'!I429+'11.销售及回款表'!I434)/1.1*'2.税率表'!$D$23*1,0)</f>
        <v>0</v>
      </c>
      <c r="J226" s="130">
        <f>IF($C$218="预计毛利率",('11.销售及回款表'!J429+'11.销售及回款表'!J434)/1.1*'2.税率表'!$D$23*1,0)</f>
        <v>0</v>
      </c>
      <c r="K226" s="130">
        <f>IF($C$218="预计毛利率",('11.销售及回款表'!K429+'11.销售及回款表'!K434)/1.1*'2.税率表'!$D$23*1,0)</f>
        <v>0</v>
      </c>
      <c r="L226" s="131">
        <f>IF($C$218="预计毛利率",('11.销售及回款表'!L429+'11.销售及回款表'!L434)/1.1*'2.税率表'!$D$23*1,0)</f>
        <v>0</v>
      </c>
      <c r="M226" s="129">
        <f>IF($C$218="预计毛利率",('11.销售及回款表'!M429+'11.销售及回款表'!M434)/1.1*'2.税率表'!$D$23*1,0)</f>
        <v>0</v>
      </c>
      <c r="N226" s="130">
        <f>IF($C$218="预计毛利率",('11.销售及回款表'!N429+'11.销售及回款表'!N434)/1.1*'2.税率表'!$D$23*1,0)</f>
        <v>0</v>
      </c>
      <c r="O226" s="130">
        <f>IF($C$218="预计毛利率",('11.销售及回款表'!O429+'11.销售及回款表'!O434)/1.1*'2.税率表'!$D$23*1,0)</f>
        <v>0</v>
      </c>
      <c r="P226" s="131">
        <f>IF($C$218="预计毛利率",('11.销售及回款表'!P429+'11.销售及回款表'!P434)/1.1*'2.税率表'!$D$23*1,0)</f>
        <v>0</v>
      </c>
      <c r="Q226" s="129">
        <f>IF($C$218="预计毛利率",('11.销售及回款表'!Q429+'11.销售及回款表'!Q434)/1.1*'2.税率表'!$D$23*1,0)</f>
        <v>0</v>
      </c>
      <c r="R226" s="130">
        <f>IF($C$218="预计毛利率",('11.销售及回款表'!R429+'11.销售及回款表'!R434)/1.1*'2.税率表'!$D$23*1,0)</f>
        <v>0</v>
      </c>
      <c r="S226" s="130">
        <f>IF($C$218="预计毛利率",('11.销售及回款表'!S429+'11.销售及回款表'!S434)/1.1*'2.税率表'!$D$23*1,0)</f>
        <v>0</v>
      </c>
      <c r="T226" s="131">
        <f>IF($C$218="预计毛利率",('11.销售及回款表'!T429+'11.销售及回款表'!T434)/1.1*'2.税率表'!$D$23*1,0)</f>
        <v>0</v>
      </c>
      <c r="U226" s="129">
        <f>IF($C$218="预计毛利率",('11.销售及回款表'!U429+'11.销售及回款表'!U434)/1.1*'2.税率表'!$D$23*1,0)</f>
        <v>0</v>
      </c>
      <c r="V226" s="130">
        <f>IF($C$218="预计毛利率",('11.销售及回款表'!V429+'11.销售及回款表'!V434)/1.1*'2.税率表'!$D$23*1,0)</f>
        <v>0</v>
      </c>
      <c r="W226" s="130">
        <f>IF($C$218="预计毛利率",('11.销售及回款表'!W429+'11.销售及回款表'!W434)/1.1*'2.税率表'!$D$23*1,0)</f>
        <v>0</v>
      </c>
      <c r="X226" s="131">
        <f>IF($C$218="预计毛利率",('11.销售及回款表'!X429+'11.销售及回款表'!X434)/1.1*'2.税率表'!$D$23*1,0)</f>
        <v>0</v>
      </c>
      <c r="Y226" s="129">
        <f>IF($C$218="预计毛利率",('11.销售及回款表'!Y429+'11.销售及回款表'!Y434)/1.1*'2.税率表'!$D$23*1,0)</f>
        <v>0</v>
      </c>
      <c r="Z226" s="130">
        <f>IF($C$218="预计毛利率",('11.销售及回款表'!Z429+'11.销售及回款表'!Z434)/1.1*'2.税率表'!$D$23*1,0)</f>
        <v>0</v>
      </c>
      <c r="AA226" s="130">
        <f>IF($C$218="预计毛利率",('11.销售及回款表'!AA429+'11.销售及回款表'!AA434)/1.1*'2.税率表'!$D$23*1,0)</f>
        <v>0</v>
      </c>
      <c r="AB226" s="131">
        <f>IF($C$218="预计毛利率",('11.销售及回款表'!AB429+'11.销售及回款表'!AB434)/1.1*'2.税率表'!$D$23*1,0)</f>
        <v>0</v>
      </c>
      <c r="AC226" s="129">
        <f>IF($C$218="预计毛利率",('11.销售及回款表'!AC429+'11.销售及回款表'!AC434)/1.1*'2.税率表'!$D$23*1,0)</f>
        <v>0</v>
      </c>
      <c r="AD226" s="130">
        <f>IF($C$218="预计毛利率",('11.销售及回款表'!AD429+'11.销售及回款表'!AD434)/1.1*'2.税率表'!$D$23*1,0)</f>
        <v>0</v>
      </c>
      <c r="AE226" s="130">
        <f>IF($C$218="预计毛利率",('11.销售及回款表'!AE429+'11.销售及回款表'!AE434)/1.1*'2.税率表'!$D$23*1,0)</f>
        <v>0</v>
      </c>
      <c r="AF226" s="131">
        <f>IF($C$218="预计毛利率",('11.销售及回款表'!AF429+'11.销售及回款表'!AF434)/1.1*'2.税率表'!$D$23*1,0)</f>
        <v>0</v>
      </c>
      <c r="AG226" s="129">
        <f>IF($C$218="预计毛利率",('11.销售及回款表'!AG429+'11.销售及回款表'!AG434)/1.1*'2.税率表'!$D$23*1,0)</f>
        <v>0</v>
      </c>
      <c r="AH226" s="130">
        <f>IF($C$218="预计毛利率",('11.销售及回款表'!AH429+'11.销售及回款表'!AH434)/1.1*'2.税率表'!$D$23*1,0)</f>
        <v>0</v>
      </c>
      <c r="AI226" s="130">
        <f>IF($C$218="预计毛利率",('11.销售及回款表'!AI429+'11.销售及回款表'!AI434)/1.1*'2.税率表'!$D$23*1,0)</f>
        <v>0</v>
      </c>
      <c r="AJ226" s="131">
        <f>IF($C$218="预计毛利率",('11.销售及回款表'!AJ429+'11.销售及回款表'!AJ434)/1.1*'2.税率表'!$D$23*1,0)</f>
        <v>0</v>
      </c>
      <c r="AK226" s="129">
        <f>IF($C$218="预计毛利率",('11.销售及回款表'!AK429+'11.销售及回款表'!AK434)/1.1*'2.税率表'!$D$23*1,0)</f>
        <v>0</v>
      </c>
      <c r="AL226" s="130">
        <f>IF($C$218="预计毛利率",('11.销售及回款表'!AL429+'11.销售及回款表'!AL434)/1.1*'2.税率表'!$D$23*1,0)</f>
        <v>0</v>
      </c>
      <c r="AM226" s="130">
        <f>IF($C$218="预计毛利率",('11.销售及回款表'!AM429+'11.销售及回款表'!AM434)/1.1*'2.税率表'!$D$23*1,0)</f>
        <v>0</v>
      </c>
      <c r="AN226" s="131">
        <f>IF($C$218="预计毛利率",('11.销售及回款表'!AN429+'11.销售及回款表'!AN434)/1.1*'2.税率表'!$D$23*1,0)</f>
        <v>0</v>
      </c>
      <c r="AO226" s="129">
        <f>IF($C$218="预计毛利率",('11.销售及回款表'!AO429+'11.销售及回款表'!AO434)/1.1*'2.税率表'!$D$23*1,0)</f>
        <v>0</v>
      </c>
      <c r="AP226" s="130">
        <f>IF($C$218="预计毛利率",('11.销售及回款表'!AP429+'11.销售及回款表'!AP434)/1.1*'2.税率表'!$D$23*1,0)</f>
        <v>0</v>
      </c>
      <c r="AQ226" s="130">
        <f>IF($C$218="预计毛利率",('11.销售及回款表'!AQ429+'11.销售及回款表'!AQ434)/1.1*'2.税率表'!$D$23*1,0)</f>
        <v>0</v>
      </c>
      <c r="AR226" s="131">
        <f>IF($C$218="预计毛利率",('11.销售及回款表'!AR429+'11.销售及回款表'!AR434)/1.1*'2.税率表'!$D$23*1,0)</f>
        <v>0</v>
      </c>
      <c r="AS226" s="129">
        <f>IF($C$218="预计毛利率",('11.销售及回款表'!AS429+'11.销售及回款表'!AS434)/1.1*'2.税率表'!$D$23*1,0)</f>
        <v>0</v>
      </c>
      <c r="AT226" s="130">
        <f>IF($C$218="预计毛利率",('11.销售及回款表'!AT429+'11.销售及回款表'!AT434)/1.1*'2.税率表'!$D$23*1,0)</f>
        <v>0</v>
      </c>
      <c r="AU226" s="130">
        <f>IF($C$218="预计毛利率",('11.销售及回款表'!AU429+'11.销售及回款表'!AU434)/1.1*'2.税率表'!$D$23*1,0)</f>
        <v>0</v>
      </c>
      <c r="AV226" s="131">
        <f>IF($C$218="预计毛利率",('11.销售及回款表'!AV429+'11.销售及回款表'!AV434)/1.1*'2.税率表'!$D$23*1,0)</f>
        <v>0</v>
      </c>
    </row>
    <row r="227" spans="1:49" s="75" customFormat="1" ht="15" customHeight="1">
      <c r="A227" s="85"/>
      <c r="B227" s="127" t="s">
        <v>950</v>
      </c>
      <c r="C227" s="127" t="s">
        <v>623</v>
      </c>
      <c r="D227" s="128">
        <f t="shared" si="65"/>
        <v>-2514.8298739999996</v>
      </c>
      <c r="E227" s="129">
        <f>-'7.现金流量表'!E12</f>
        <v>0</v>
      </c>
      <c r="F227" s="130">
        <f>-'7.现金流量表'!F12</f>
        <v>0</v>
      </c>
      <c r="G227" s="130">
        <f>-'7.现金流量表'!G12</f>
        <v>0</v>
      </c>
      <c r="H227" s="131">
        <f>-'7.现金流量表'!H12</f>
        <v>0</v>
      </c>
      <c r="I227" s="129">
        <f>-'7.现金流量表'!J12</f>
        <v>0</v>
      </c>
      <c r="J227" s="130">
        <f>-'7.现金流量表'!K12</f>
        <v>-736.3125</v>
      </c>
      <c r="K227" s="130">
        <f>-'7.现金流量表'!L12</f>
        <v>-765.76499999999999</v>
      </c>
      <c r="L227" s="131">
        <f>-'7.现金流量表'!M12</f>
        <v>-334.74870000000004</v>
      </c>
      <c r="M227" s="129">
        <f>-'7.现金流量表'!O12</f>
        <v>-341.44367399999999</v>
      </c>
      <c r="N227" s="130">
        <f>-'7.现金流量表'!P12</f>
        <v>-174.72000000000003</v>
      </c>
      <c r="O227" s="130">
        <f>-'7.现金流量表'!Q12</f>
        <v>-87.990000000000009</v>
      </c>
      <c r="P227" s="131">
        <f>-'7.现金流量表'!R12</f>
        <v>-44.31</v>
      </c>
      <c r="Q227" s="129">
        <f>-'7.现金流量表'!T12</f>
        <v>-29.54</v>
      </c>
      <c r="R227" s="130">
        <f>-'7.现金流量表'!U12</f>
        <v>0</v>
      </c>
      <c r="S227" s="130">
        <f>-'7.现金流量表'!V12</f>
        <v>0</v>
      </c>
      <c r="T227" s="131">
        <f>-'7.现金流量表'!W12</f>
        <v>0</v>
      </c>
      <c r="U227" s="129">
        <f>-'7.现金流量表'!Y12</f>
        <v>0</v>
      </c>
      <c r="V227" s="130">
        <f>-'7.现金流量表'!Z12</f>
        <v>0</v>
      </c>
      <c r="W227" s="130">
        <f>-'7.现金流量表'!AA12</f>
        <v>0</v>
      </c>
      <c r="X227" s="131">
        <f>-'7.现金流量表'!AB12</f>
        <v>0</v>
      </c>
      <c r="Y227" s="129">
        <f>-'7.现金流量表'!AD12</f>
        <v>0</v>
      </c>
      <c r="Z227" s="130">
        <f>-'7.现金流量表'!AE12</f>
        <v>0</v>
      </c>
      <c r="AA227" s="130">
        <f>-'7.现金流量表'!AF12</f>
        <v>0</v>
      </c>
      <c r="AB227" s="131">
        <f>-'7.现金流量表'!AG12</f>
        <v>0</v>
      </c>
      <c r="AC227" s="129">
        <f>-'7.现金流量表'!AI12</f>
        <v>0</v>
      </c>
      <c r="AD227" s="130">
        <f>-'7.现金流量表'!AJ12</f>
        <v>0</v>
      </c>
      <c r="AE227" s="130">
        <f>-'7.现金流量表'!AK12</f>
        <v>0</v>
      </c>
      <c r="AF227" s="131">
        <f>-'7.现金流量表'!AL12</f>
        <v>0</v>
      </c>
      <c r="AG227" s="129">
        <f>-'7.现金流量表'!AN12</f>
        <v>0</v>
      </c>
      <c r="AH227" s="130">
        <f>-'7.现金流量表'!AO12</f>
        <v>0</v>
      </c>
      <c r="AI227" s="130">
        <f>-'7.现金流量表'!AP12</f>
        <v>0</v>
      </c>
      <c r="AJ227" s="131">
        <f>-'7.现金流量表'!AQ12</f>
        <v>0</v>
      </c>
      <c r="AK227" s="129">
        <f>-'7.现金流量表'!AS12</f>
        <v>0</v>
      </c>
      <c r="AL227" s="130">
        <f>-'7.现金流量表'!AT12</f>
        <v>0</v>
      </c>
      <c r="AM227" s="130">
        <f>-'7.现金流量表'!AU12</f>
        <v>0</v>
      </c>
      <c r="AN227" s="131">
        <f>-'7.现金流量表'!AV12</f>
        <v>0</v>
      </c>
      <c r="AO227" s="129">
        <f>-'7.现金流量表'!AX12</f>
        <v>0</v>
      </c>
      <c r="AP227" s="130">
        <f>-'7.现金流量表'!AY12</f>
        <v>0</v>
      </c>
      <c r="AQ227" s="130">
        <f>-'7.现金流量表'!AZ12</f>
        <v>0</v>
      </c>
      <c r="AR227" s="131">
        <f>-'7.现金流量表'!BA12</f>
        <v>0</v>
      </c>
      <c r="AS227" s="129">
        <f>-'7.现金流量表'!BC12</f>
        <v>0</v>
      </c>
      <c r="AT227" s="130">
        <f>-'7.现金流量表'!BD12</f>
        <v>0</v>
      </c>
      <c r="AU227" s="130">
        <f>-'7.现金流量表'!BE12</f>
        <v>0</v>
      </c>
      <c r="AV227" s="131">
        <f>-'7.现金流量表'!BF12</f>
        <v>0</v>
      </c>
    </row>
    <row r="228" spans="1:49" s="75" customFormat="1" ht="15" customHeight="1">
      <c r="A228" s="85"/>
      <c r="B228" s="127" t="s">
        <v>950</v>
      </c>
      <c r="C228" s="127" t="s">
        <v>583</v>
      </c>
      <c r="D228" s="128">
        <f t="shared" si="65"/>
        <v>-2011.8638992000003</v>
      </c>
      <c r="E228" s="129">
        <f>-'7.现金流量表'!E13</f>
        <v>0</v>
      </c>
      <c r="F228" s="130">
        <f>-'7.现金流量表'!F13</f>
        <v>0</v>
      </c>
      <c r="G228" s="130">
        <f>-'7.现金流量表'!G13</f>
        <v>0</v>
      </c>
      <c r="H228" s="131">
        <f>-'7.现金流量表'!H13</f>
        <v>0</v>
      </c>
      <c r="I228" s="129">
        <f>-'7.现金流量表'!J13</f>
        <v>0</v>
      </c>
      <c r="J228" s="130">
        <f>-'7.现金流量表'!K13</f>
        <v>-589.05000000000007</v>
      </c>
      <c r="K228" s="130">
        <f>-'7.现金流量表'!L13</f>
        <v>-612.61199999999997</v>
      </c>
      <c r="L228" s="131">
        <f>-'7.现金流量表'!M13</f>
        <v>-267.79896000000002</v>
      </c>
      <c r="M228" s="129">
        <f>-'7.现金流量表'!O13</f>
        <v>-273.1549392</v>
      </c>
      <c r="N228" s="130">
        <f>-'7.现金流量表'!P13</f>
        <v>-139.77600000000001</v>
      </c>
      <c r="O228" s="130">
        <f>-'7.现金流量表'!Q13</f>
        <v>-70.39200000000001</v>
      </c>
      <c r="P228" s="131">
        <f>-'7.现金流量表'!R13</f>
        <v>-35.448</v>
      </c>
      <c r="Q228" s="129">
        <f>-'7.现金流量表'!T13</f>
        <v>-23.631999999999998</v>
      </c>
      <c r="R228" s="130">
        <f>-'7.现金流量表'!U13</f>
        <v>0</v>
      </c>
      <c r="S228" s="130">
        <f>-'7.现金流量表'!V13</f>
        <v>0</v>
      </c>
      <c r="T228" s="131">
        <f>-'7.现金流量表'!W13</f>
        <v>0</v>
      </c>
      <c r="U228" s="129">
        <f>-'7.现金流量表'!Y13</f>
        <v>0</v>
      </c>
      <c r="V228" s="130">
        <f>-'7.现金流量表'!Z13</f>
        <v>0</v>
      </c>
      <c r="W228" s="130">
        <f>-'7.现金流量表'!AA13</f>
        <v>0</v>
      </c>
      <c r="X228" s="131">
        <f>-'7.现金流量表'!AB13</f>
        <v>0</v>
      </c>
      <c r="Y228" s="129">
        <f>-'7.现金流量表'!AD13</f>
        <v>0</v>
      </c>
      <c r="Z228" s="130">
        <f>-'7.现金流量表'!AE13</f>
        <v>0</v>
      </c>
      <c r="AA228" s="130">
        <f>-'7.现金流量表'!AF13</f>
        <v>0</v>
      </c>
      <c r="AB228" s="131">
        <f>-'7.现金流量表'!AG13</f>
        <v>0</v>
      </c>
      <c r="AC228" s="129">
        <f>-'7.现金流量表'!AI13</f>
        <v>0</v>
      </c>
      <c r="AD228" s="130">
        <f>-'7.现金流量表'!AJ13</f>
        <v>0</v>
      </c>
      <c r="AE228" s="130">
        <f>-'7.现金流量表'!AK13</f>
        <v>0</v>
      </c>
      <c r="AF228" s="131">
        <f>-'7.现金流量表'!AL13</f>
        <v>0</v>
      </c>
      <c r="AG228" s="129">
        <f>-'7.现金流量表'!AN13</f>
        <v>0</v>
      </c>
      <c r="AH228" s="130">
        <f>-'7.现金流量表'!AO13</f>
        <v>0</v>
      </c>
      <c r="AI228" s="130">
        <f>-'7.现金流量表'!AP13</f>
        <v>0</v>
      </c>
      <c r="AJ228" s="131">
        <f>-'7.现金流量表'!AQ13</f>
        <v>0</v>
      </c>
      <c r="AK228" s="129">
        <f>-'7.现金流量表'!AS13</f>
        <v>0</v>
      </c>
      <c r="AL228" s="130">
        <f>-'7.现金流量表'!AT13</f>
        <v>0</v>
      </c>
      <c r="AM228" s="130">
        <f>-'7.现金流量表'!AU13</f>
        <v>0</v>
      </c>
      <c r="AN228" s="131">
        <f>-'7.现金流量表'!AV13</f>
        <v>0</v>
      </c>
      <c r="AO228" s="129">
        <f>-'7.现金流量表'!AX13</f>
        <v>0</v>
      </c>
      <c r="AP228" s="130">
        <f>-'7.现金流量表'!AY13</f>
        <v>0</v>
      </c>
      <c r="AQ228" s="130">
        <f>-'7.现金流量表'!AZ13</f>
        <v>0</v>
      </c>
      <c r="AR228" s="131">
        <f>-'7.现金流量表'!BA13</f>
        <v>0</v>
      </c>
      <c r="AS228" s="129">
        <f>-'7.现金流量表'!BC13</f>
        <v>0</v>
      </c>
      <c r="AT228" s="130">
        <f>-'7.现金流量表'!BD13</f>
        <v>0</v>
      </c>
      <c r="AU228" s="130">
        <f>-'7.现金流量表'!BE13</f>
        <v>0</v>
      </c>
      <c r="AV228" s="131">
        <f>-'7.现金流量表'!BF13</f>
        <v>0</v>
      </c>
    </row>
    <row r="229" spans="1:49" s="75" customFormat="1" ht="15" customHeight="1">
      <c r="A229" s="85"/>
      <c r="B229" s="132" t="s">
        <v>950</v>
      </c>
      <c r="C229" s="132" t="s">
        <v>951</v>
      </c>
      <c r="D229" s="133">
        <f t="shared" ca="1" si="65"/>
        <v>-9573.4420023267721</v>
      </c>
      <c r="E229" s="134">
        <f>-SUM('7.现金流量表'!E17,'7.现金流量表'!E19,'7.现金流量表'!E20,'7.现金流量表'!E23)</f>
        <v>0</v>
      </c>
      <c r="F229" s="135">
        <f>-SUM('7.现金流量表'!F17,'7.现金流量表'!F19,'7.现金流量表'!F20,'7.现金流量表'!F23)</f>
        <v>0</v>
      </c>
      <c r="G229" s="135">
        <f>-SUM('7.现金流量表'!G17,'7.现金流量表'!G19,'7.现金流量表'!G20,'7.现金流量表'!G23)</f>
        <v>0</v>
      </c>
      <c r="H229" s="136">
        <f>-SUM('7.现金流量表'!H17,'7.现金流量表'!H19,'7.现金流量表'!H20,'7.现金流量表'!H23)</f>
        <v>0</v>
      </c>
      <c r="I229" s="134">
        <f>-SUM('7.现金流量表'!J17,'7.现金流量表'!J19,'7.现金流量表'!J20,'7.现金流量表'!J23)</f>
        <v>0</v>
      </c>
      <c r="J229" s="135">
        <f>-SUM('7.现金流量表'!K17,'7.现金流量表'!K19,'7.现金流量表'!K20,'7.现金流量表'!K23)</f>
        <v>-568.14275817648911</v>
      </c>
      <c r="K229" s="135">
        <f>-SUM('7.现金流量表'!L17,'7.现金流量表'!L19,'7.现金流量表'!L20,'7.现金流量表'!L23)</f>
        <v>-590.86846850354857</v>
      </c>
      <c r="L229" s="136">
        <f>-SUM('7.现金流量表'!M17,'7.现金流量表'!M19,'7.现金流量表'!M20,'7.现金流量表'!M23)</f>
        <v>-258.29393051726555</v>
      </c>
      <c r="M229" s="134">
        <f ca="1">-SUM('7.现金流量表'!O17,'7.现金流量表'!O19,'7.现金流量表'!O20,'7.现金流量表'!O23)</f>
        <v>-7896.4453056107477</v>
      </c>
      <c r="N229" s="135">
        <f>-SUM('7.现金流量表'!P17,'7.现金流量表'!P19,'7.现金流量表'!P20,'7.现金流量表'!P23)</f>
        <v>-134.81490903467778</v>
      </c>
      <c r="O229" s="135">
        <f>-SUM('7.现金流量表'!Q17,'7.现金流量表'!Q19,'7.现金流量表'!Q20,'7.现金流量表'!Q23)</f>
        <v>-67.893565968185072</v>
      </c>
      <c r="P229" s="136">
        <f>-SUM('7.现金流量表'!R17,'7.现金流量表'!R19,'7.现金流量表'!R20,'7.现金流量表'!R23)</f>
        <v>-34.189838709515641</v>
      </c>
      <c r="Q229" s="134">
        <f>-SUM('7.现金流量表'!T17,'7.现金流量表'!T19,'7.现金流量表'!T20,'7.现金流量表'!T23)</f>
        <v>-22.793225806343756</v>
      </c>
      <c r="R229" s="135">
        <f>-SUM('7.现金流量表'!U17,'7.现金流量表'!U19,'7.现金流量表'!U20,'7.现金流量表'!U23)</f>
        <v>0</v>
      </c>
      <c r="S229" s="135">
        <f>-SUM('7.现金流量表'!V17,'7.现金流量表'!V19,'7.现金流量表'!V20,'7.现金流量表'!V23)</f>
        <v>0</v>
      </c>
      <c r="T229" s="136">
        <f>-SUM('7.现金流量表'!W17,'7.现金流量表'!W19,'7.现金流量表'!W20,'7.现金流量表'!W23)</f>
        <v>0</v>
      </c>
      <c r="U229" s="134">
        <f>-SUM('7.现金流量表'!Y17,'7.现金流量表'!Y19,'7.现金流量表'!Y20,'7.现金流量表'!Y23)</f>
        <v>0</v>
      </c>
      <c r="V229" s="135">
        <f>-SUM('7.现金流量表'!Z17,'7.现金流量表'!Z19,'7.现金流量表'!Z20,'7.现金流量表'!Z23)</f>
        <v>0</v>
      </c>
      <c r="W229" s="135">
        <f>-SUM('7.现金流量表'!AA17,'7.现金流量表'!AA19,'7.现金流量表'!AA20,'7.现金流量表'!AA23)</f>
        <v>0</v>
      </c>
      <c r="X229" s="136">
        <f>-SUM('7.现金流量表'!AB17,'7.现金流量表'!AB19,'7.现金流量表'!AB20,'7.现金流量表'!AB23)</f>
        <v>0</v>
      </c>
      <c r="Y229" s="134">
        <f>-SUM('7.现金流量表'!AD17,'7.现金流量表'!AD19,'7.现金流量表'!AD20,'7.现金流量表'!AD23)</f>
        <v>0</v>
      </c>
      <c r="Z229" s="135">
        <f>-SUM('7.现金流量表'!AE17,'7.现金流量表'!AE19,'7.现金流量表'!AE20,'7.现金流量表'!AE23)</f>
        <v>0</v>
      </c>
      <c r="AA229" s="135">
        <f>-SUM('7.现金流量表'!AF17,'7.现金流量表'!AF19,'7.现金流量表'!AF20,'7.现金流量表'!AF23)</f>
        <v>0</v>
      </c>
      <c r="AB229" s="136">
        <f>-SUM('7.现金流量表'!AG17,'7.现金流量表'!AG19,'7.现金流量表'!AG20,'7.现金流量表'!AG23)</f>
        <v>0</v>
      </c>
      <c r="AC229" s="134">
        <f>-SUM('7.现金流量表'!AI17,'7.现金流量表'!AI19,'7.现金流量表'!AI20,'7.现金流量表'!AI23)</f>
        <v>0</v>
      </c>
      <c r="AD229" s="135">
        <f>-SUM('7.现金流量表'!AJ17,'7.现金流量表'!AJ19,'7.现金流量表'!AJ20,'7.现金流量表'!AJ23)</f>
        <v>0</v>
      </c>
      <c r="AE229" s="135">
        <f>-SUM('7.现金流量表'!AK17,'7.现金流量表'!AK19,'7.现金流量表'!AK20,'7.现金流量表'!AK23)</f>
        <v>0</v>
      </c>
      <c r="AF229" s="136">
        <f>-SUM('7.现金流量表'!AL17,'7.现金流量表'!AL19,'7.现金流量表'!AL20,'7.现金流量表'!AL23)</f>
        <v>0</v>
      </c>
      <c r="AG229" s="134">
        <f>-SUM('7.现金流量表'!AN17,'7.现金流量表'!AN19,'7.现金流量表'!AN20,'7.现金流量表'!AN23)</f>
        <v>0</v>
      </c>
      <c r="AH229" s="135">
        <f>-SUM('7.现金流量表'!AO17,'7.现金流量表'!AO19,'7.现金流量表'!AO20,'7.现金流量表'!AO23)</f>
        <v>0</v>
      </c>
      <c r="AI229" s="135">
        <f>-SUM('7.现金流量表'!AP17,'7.现金流量表'!AP19,'7.现金流量表'!AP20,'7.现金流量表'!AP23)</f>
        <v>0</v>
      </c>
      <c r="AJ229" s="136">
        <f>-SUM('7.现金流量表'!AQ17,'7.现金流量表'!AQ19,'7.现金流量表'!AQ20,'7.现金流量表'!AQ23)</f>
        <v>0</v>
      </c>
      <c r="AK229" s="134">
        <f>-SUM('7.现金流量表'!AS17,'7.现金流量表'!AS19,'7.现金流量表'!AS20,'7.现金流量表'!AS23)</f>
        <v>0</v>
      </c>
      <c r="AL229" s="135">
        <f>-SUM('7.现金流量表'!AT17,'7.现金流量表'!AT19,'7.现金流量表'!AT20,'7.现金流量表'!AT23)</f>
        <v>0</v>
      </c>
      <c r="AM229" s="135">
        <f>-SUM('7.现金流量表'!AU17,'7.现金流量表'!AU19,'7.现金流量表'!AU20,'7.现金流量表'!AU23)</f>
        <v>0</v>
      </c>
      <c r="AN229" s="136">
        <f>-SUM('7.现金流量表'!AV17,'7.现金流量表'!AV19,'7.现金流量表'!AV20,'7.现金流量表'!AV23)</f>
        <v>0</v>
      </c>
      <c r="AO229" s="134">
        <f>-SUM('7.现金流量表'!AX17,'7.现金流量表'!AX19,'7.现金流量表'!AX20,'7.现金流量表'!AX23)</f>
        <v>0</v>
      </c>
      <c r="AP229" s="135">
        <f>-SUM('7.现金流量表'!AY17,'7.现金流量表'!AY19,'7.现金流量表'!AY20,'7.现金流量表'!AY23)</f>
        <v>0</v>
      </c>
      <c r="AQ229" s="135">
        <f>-SUM('7.现金流量表'!AZ17,'7.现金流量表'!AZ19,'7.现金流量表'!AZ20,'7.现金流量表'!AZ23)</f>
        <v>0</v>
      </c>
      <c r="AR229" s="136">
        <f>-SUM('7.现金流量表'!BA17,'7.现金流量表'!BA19,'7.现金流量表'!BA20,'7.现金流量表'!BA23)</f>
        <v>0</v>
      </c>
      <c r="AS229" s="134">
        <f>-SUM('7.现金流量表'!BC17,'7.现金流量表'!BC19,'7.现金流量表'!BC20,'7.现金流量表'!BC23)</f>
        <v>0</v>
      </c>
      <c r="AT229" s="135">
        <f>-SUM('7.现金流量表'!BD17,'7.现金流量表'!BD19,'7.现金流量表'!BD20,'7.现金流量表'!BD23)</f>
        <v>0</v>
      </c>
      <c r="AU229" s="135">
        <f>-SUM('7.现金流量表'!BE17,'7.现金流量表'!BE19,'7.现金流量表'!BE20,'7.现金流量表'!BE23)</f>
        <v>0</v>
      </c>
      <c r="AV229" s="136">
        <f>-SUM('7.现金流量表'!BF17,'7.现金流量表'!BF19,'7.现金流量表'!BF20,'7.现金流量表'!BF23)</f>
        <v>0</v>
      </c>
    </row>
    <row r="230" spans="1:49" ht="15" customHeight="1">
      <c r="A230" s="78"/>
      <c r="B230" s="137" t="s">
        <v>251</v>
      </c>
      <c r="C230" s="137" t="s">
        <v>952</v>
      </c>
      <c r="D230" s="138">
        <f t="shared" ca="1" si="65"/>
        <v>1569.1743433664481</v>
      </c>
      <c r="E230" s="138">
        <f>IF(SUM(E221:E229)&lt;0,0,SUM(E221:E229)*'2.税率表'!$D$4)</f>
        <v>0</v>
      </c>
      <c r="F230" s="139">
        <f>IF(SUM(F221:F229)&lt;0,0,SUM(F221:F229)*'2.税率表'!$D$4)</f>
        <v>0</v>
      </c>
      <c r="G230" s="139">
        <f>IF(SUM(G221:G229)&lt;0,0,SUM(G221:G229)*'2.税率表'!$D$4)</f>
        <v>0</v>
      </c>
      <c r="H230" s="140">
        <f>IF(SUM(H221:H229)&lt;0,0,SUM(H221:H229)*'2.税率表'!$D$4)</f>
        <v>0</v>
      </c>
      <c r="I230" s="138">
        <f>IF(SUM(I221:I229)&lt;0,0,SUM(I221:I229)*'2.税率表'!$D$4)</f>
        <v>0</v>
      </c>
      <c r="J230" s="139">
        <f>IF(SUM(J221:J229)&lt;0,0,SUM(J221:J229)*'2.税率表'!$D$4)</f>
        <v>229.46743545587768</v>
      </c>
      <c r="K230" s="139">
        <f>IF(SUM(K221:K229)&lt;0,0,SUM(K221:K229)*'2.税率表'!$D$4)</f>
        <v>539.8648828741126</v>
      </c>
      <c r="L230" s="140">
        <f>IF(SUM(L221:L229)&lt;0,0,SUM(L221:L229)*'2.税率表'!$D$4)</f>
        <v>417.58995237068353</v>
      </c>
      <c r="M230" s="138">
        <f ca="1">IF(SUM(M221:M229)&lt;0,0,SUM(M221:M229)*'2.税率表'!$D$4)</f>
        <v>0</v>
      </c>
      <c r="N230" s="139">
        <f>IF(SUM(N221:N229)&lt;0,0,SUM(N221:N229)*'2.税率表'!$D$4)</f>
        <v>194.13195755951233</v>
      </c>
      <c r="O230" s="139">
        <f>IF(SUM(O221:O229)&lt;0,0,SUM(O221:O229)*'2.税率表'!$D$4)</f>
        <v>117.02474487159009</v>
      </c>
      <c r="P230" s="140">
        <f>IF(SUM(P221:P229)&lt;0,0,SUM(P221:P229)*'2.税率表'!$D$4)</f>
        <v>49.804858504439274</v>
      </c>
      <c r="Q230" s="138">
        <f>IF(SUM(Q221:Q229)&lt;0,0,SUM(Q221:Q229)*'2.税率表'!$D$4)</f>
        <v>21.290511730232236</v>
      </c>
      <c r="R230" s="139">
        <f>IF(SUM(R221:R229)&lt;0,0,SUM(R221:R229)*'2.税率表'!$D$4)</f>
        <v>0</v>
      </c>
      <c r="S230" s="139">
        <f>IF(SUM(S221:S229)&lt;0,0,SUM(S221:S229)*'2.税率表'!$D$4)</f>
        <v>0</v>
      </c>
      <c r="T230" s="140">
        <f>IF(SUM(T221:T229)&lt;0,0,SUM(T221:T229)*'2.税率表'!$D$4)</f>
        <v>0</v>
      </c>
      <c r="U230" s="138">
        <f>IF(SUM(U221:U229)&lt;0,0,SUM(U221:U229)*'2.税率表'!$D$4)</f>
        <v>0</v>
      </c>
      <c r="V230" s="139">
        <f>IF(SUM(V221:V229)&lt;0,0,SUM(V221:V229)*'2.税率表'!$D$4)</f>
        <v>0</v>
      </c>
      <c r="W230" s="139">
        <f>IF(SUM(W221:W229)&lt;0,0,SUM(W221:W229)*'2.税率表'!$D$4)</f>
        <v>0</v>
      </c>
      <c r="X230" s="140">
        <f>IF(SUM(X221:X229)&lt;0,0,SUM(X221:X229)*'2.税率表'!$D$4)</f>
        <v>0</v>
      </c>
      <c r="Y230" s="138">
        <f>IF(SUM(Y221:Y229)&lt;0,0,SUM(Y221:Y229)*'2.税率表'!$D$4)</f>
        <v>0</v>
      </c>
      <c r="Z230" s="139">
        <f>IF(SUM(Z221:Z229)&lt;0,0,SUM(Z221:Z229)*'2.税率表'!$D$4)</f>
        <v>0</v>
      </c>
      <c r="AA230" s="139">
        <f>IF(SUM(AA221:AA229)&lt;0,0,SUM(AA221:AA229)*'2.税率表'!$D$4)</f>
        <v>0</v>
      </c>
      <c r="AB230" s="140">
        <f>IF(SUM(AB221:AB229)&lt;0,0,SUM(AB221:AB229)*'2.税率表'!$D$4)</f>
        <v>0</v>
      </c>
      <c r="AC230" s="138">
        <f>IF(SUM(AC221:AC229)&lt;0,0,SUM(AC221:AC229)*'2.税率表'!$D$4)</f>
        <v>0</v>
      </c>
      <c r="AD230" s="139">
        <f>IF(SUM(AD221:AD229)&lt;0,0,SUM(AD221:AD229)*'2.税率表'!$D$4)</f>
        <v>0</v>
      </c>
      <c r="AE230" s="139">
        <f>IF(SUM(AE221:AE229)&lt;0,0,SUM(AE221:AE229)*'2.税率表'!$D$4)</f>
        <v>0</v>
      </c>
      <c r="AF230" s="140">
        <f>IF(SUM(AF221:AF229)&lt;0,0,SUM(AF221:AF229)*'2.税率表'!$D$4)</f>
        <v>0</v>
      </c>
      <c r="AG230" s="138">
        <f>IF(SUM(AG221:AG229)&lt;0,0,SUM(AG221:AG229)*'2.税率表'!$D$4)</f>
        <v>0</v>
      </c>
      <c r="AH230" s="139">
        <f>IF(SUM(AH221:AH229)&lt;0,0,SUM(AH221:AH229)*'2.税率表'!$D$4)</f>
        <v>0</v>
      </c>
      <c r="AI230" s="139">
        <f>IF(SUM(AI221:AI229)&lt;0,0,SUM(AI221:AI229)*'2.税率表'!$D$4)</f>
        <v>0</v>
      </c>
      <c r="AJ230" s="140">
        <f>IF(SUM(AJ221:AJ229)&lt;0,0,SUM(AJ221:AJ229)*'2.税率表'!$D$4)</f>
        <v>0</v>
      </c>
      <c r="AK230" s="138">
        <f>IF(SUM(AK221:AK229)&lt;0,0,SUM(AK221:AK229)*'2.税率表'!$D$4)</f>
        <v>0</v>
      </c>
      <c r="AL230" s="139">
        <f>IF(SUM(AL221:AL229)&lt;0,0,SUM(AL221:AL229)*'2.税率表'!$D$4)</f>
        <v>0</v>
      </c>
      <c r="AM230" s="139">
        <f>IF(SUM(AM221:AM229)&lt;0,0,SUM(AM221:AM229)*'2.税率表'!$D$4)</f>
        <v>0</v>
      </c>
      <c r="AN230" s="140">
        <f>IF(SUM(AN221:AN229)&lt;0,0,SUM(AN221:AN229)*'2.税率表'!$D$4)</f>
        <v>0</v>
      </c>
      <c r="AO230" s="138">
        <f>IF(SUM(AO221:AO229)&lt;0,0,SUM(AO221:AO229)*'2.税率表'!$D$4)</f>
        <v>0</v>
      </c>
      <c r="AP230" s="139">
        <f>IF(SUM(AP221:AP229)&lt;0,0,SUM(AP221:AP229)*'2.税率表'!$D$4)</f>
        <v>0</v>
      </c>
      <c r="AQ230" s="139">
        <f>IF(SUM(AQ221:AQ229)&lt;0,0,SUM(AQ221:AQ229)*'2.税率表'!$D$4)</f>
        <v>0</v>
      </c>
      <c r="AR230" s="140">
        <f>IF(SUM(AR221:AR229)&lt;0,0,SUM(AR221:AR229)*'2.税率表'!$D$4)</f>
        <v>0</v>
      </c>
      <c r="AS230" s="138">
        <f>IF(SUM(AS221:AS229)&lt;0,0,SUM(AS221:AS229)*'2.税率表'!$D$4)</f>
        <v>0</v>
      </c>
      <c r="AT230" s="139">
        <f>IF(SUM(AT221:AT229)&lt;0,0,SUM(AT221:AT229)*'2.税率表'!$D$4)</f>
        <v>0</v>
      </c>
      <c r="AU230" s="139">
        <f>IF(SUM(AU221:AU229)&lt;0,0,SUM(AU221:AU229)*'2.税率表'!$D$4)</f>
        <v>0</v>
      </c>
      <c r="AV230" s="140">
        <f>IF(SUM(AV221:AV229)&lt;0,0,SUM(AV221:AV229)*'2.税率表'!$D$4)</f>
        <v>0</v>
      </c>
    </row>
    <row r="231" spans="1:49" ht="13.5" customHeight="1">
      <c r="A231" s="78"/>
      <c r="B231" s="78"/>
      <c r="C231" s="78"/>
      <c r="D231" s="92"/>
      <c r="E231" s="78"/>
      <c r="F231" s="78"/>
      <c r="G231" s="78"/>
      <c r="H231" s="78"/>
      <c r="I231" s="78"/>
      <c r="J231" s="78"/>
      <c r="K231" s="78"/>
      <c r="L231" s="78"/>
      <c r="M231" s="78"/>
      <c r="N231" s="78"/>
      <c r="O231" s="78"/>
      <c r="P231" s="78"/>
      <c r="Q231" s="78"/>
      <c r="R231" s="78"/>
      <c r="S231" s="78"/>
      <c r="T231" s="78"/>
      <c r="U231" s="78"/>
      <c r="V231" s="78"/>
      <c r="W231" s="78"/>
      <c r="X231" s="78"/>
      <c r="Y231" s="78"/>
      <c r="Z231" s="78"/>
      <c r="AA231" s="78"/>
      <c r="AB231" s="78"/>
      <c r="AC231" s="78"/>
      <c r="AD231" s="78"/>
      <c r="AE231" s="78"/>
      <c r="AF231" s="78"/>
      <c r="AG231" s="78"/>
      <c r="AH231" s="78"/>
      <c r="AI231" s="78"/>
      <c r="AJ231" s="78"/>
      <c r="AK231" s="78"/>
      <c r="AL231" s="78"/>
      <c r="AM231" s="78"/>
      <c r="AN231" s="78"/>
      <c r="AO231" s="78"/>
      <c r="AP231" s="78"/>
      <c r="AQ231" s="78"/>
      <c r="AR231" s="78"/>
      <c r="AS231" s="78"/>
      <c r="AT231" s="78"/>
      <c r="AU231" s="78"/>
      <c r="AV231" s="78"/>
    </row>
    <row r="232" spans="1:49" ht="15.75" customHeight="1">
      <c r="A232" s="78"/>
      <c r="B232" s="141" t="s">
        <v>953</v>
      </c>
      <c r="C232" s="78"/>
      <c r="D232" s="78"/>
      <c r="E232" s="78"/>
      <c r="F232" s="78"/>
      <c r="G232" s="78"/>
      <c r="H232" s="78"/>
      <c r="I232" s="78"/>
      <c r="J232" s="78"/>
      <c r="K232" s="78"/>
      <c r="L232" s="78"/>
      <c r="M232" s="78"/>
      <c r="N232" s="78"/>
      <c r="O232" s="78"/>
      <c r="P232" s="78"/>
      <c r="Q232" s="78"/>
      <c r="R232" s="78"/>
      <c r="S232" s="78"/>
      <c r="T232" s="78"/>
      <c r="U232" s="78"/>
      <c r="V232" s="78"/>
      <c r="W232" s="78"/>
      <c r="X232" s="78"/>
      <c r="Y232" s="78"/>
      <c r="Z232" s="78"/>
      <c r="AA232" s="78"/>
      <c r="AB232" s="78"/>
      <c r="AC232" s="78"/>
      <c r="AD232" s="78"/>
      <c r="AE232" s="78"/>
      <c r="AF232" s="78"/>
      <c r="AG232" s="78"/>
      <c r="AH232" s="78"/>
      <c r="AI232" s="78"/>
      <c r="AJ232" s="78"/>
      <c r="AK232" s="78"/>
      <c r="AL232" s="78"/>
      <c r="AM232" s="78"/>
      <c r="AN232" s="78"/>
      <c r="AO232" s="78"/>
      <c r="AP232" s="78"/>
      <c r="AQ232" s="78"/>
      <c r="AR232" s="78"/>
      <c r="AS232" s="78"/>
      <c r="AT232" s="78"/>
      <c r="AU232" s="78"/>
      <c r="AV232" s="78"/>
    </row>
    <row r="233" spans="1:49" ht="16.5" customHeight="1">
      <c r="A233" s="78"/>
      <c r="B233" s="2009" t="str">
        <f>B219</f>
        <v>分期</v>
      </c>
      <c r="C233" s="2009" t="str">
        <f>C219</f>
        <v>科目</v>
      </c>
      <c r="D233" s="2009" t="str">
        <f t="shared" ref="D233:I233" si="66">D219</f>
        <v>合计</v>
      </c>
      <c r="E233" s="2010">
        <f t="shared" si="66"/>
        <v>2018</v>
      </c>
      <c r="F233" s="2010"/>
      <c r="G233" s="2010"/>
      <c r="H233" s="2010"/>
      <c r="I233" s="2010">
        <f t="shared" si="66"/>
        <v>2019</v>
      </c>
      <c r="J233" s="2010"/>
      <c r="K233" s="2010"/>
      <c r="L233" s="2010"/>
      <c r="M233" s="2010">
        <f>M219</f>
        <v>2020</v>
      </c>
      <c r="N233" s="2010"/>
      <c r="O233" s="2010"/>
      <c r="P233" s="2010"/>
      <c r="Q233" s="2010">
        <f>Q219</f>
        <v>2021</v>
      </c>
      <c r="R233" s="2010"/>
      <c r="S233" s="2010"/>
      <c r="T233" s="2010"/>
      <c r="U233" s="2010">
        <f>U219</f>
        <v>2022</v>
      </c>
      <c r="V233" s="2010"/>
      <c r="W233" s="2010"/>
      <c r="X233" s="2010"/>
      <c r="Y233" s="2010">
        <f>Y219</f>
        <v>2023</v>
      </c>
      <c r="Z233" s="2010"/>
      <c r="AA233" s="2010"/>
      <c r="AB233" s="2010"/>
      <c r="AC233" s="2010">
        <f>AC219</f>
        <v>2024</v>
      </c>
      <c r="AD233" s="2010"/>
      <c r="AE233" s="2010"/>
      <c r="AF233" s="2010"/>
      <c r="AG233" s="2010">
        <f>AG219</f>
        <v>2025</v>
      </c>
      <c r="AH233" s="2010"/>
      <c r="AI233" s="2010"/>
      <c r="AJ233" s="2010"/>
      <c r="AK233" s="2010">
        <f>AK219</f>
        <v>2026</v>
      </c>
      <c r="AL233" s="2010"/>
      <c r="AM233" s="2010"/>
      <c r="AN233" s="2010"/>
      <c r="AO233" s="2010">
        <f>AO219</f>
        <v>2027</v>
      </c>
      <c r="AP233" s="2010"/>
      <c r="AQ233" s="2010"/>
      <c r="AR233" s="2010"/>
      <c r="AS233" s="2010">
        <f>AS219</f>
        <v>2028</v>
      </c>
      <c r="AT233" s="2010"/>
      <c r="AU233" s="2010"/>
      <c r="AV233" s="2010"/>
    </row>
    <row r="234" spans="1:49" s="74" customFormat="1" ht="16.5" customHeight="1">
      <c r="A234" s="83"/>
      <c r="B234" s="2009"/>
      <c r="C234" s="2009"/>
      <c r="D234" s="2009"/>
      <c r="E234" s="119">
        <f t="shared" ref="E234:AV234" si="67">E220</f>
        <v>1</v>
      </c>
      <c r="F234" s="120">
        <f t="shared" si="67"/>
        <v>2</v>
      </c>
      <c r="G234" s="120">
        <f t="shared" si="67"/>
        <v>3</v>
      </c>
      <c r="H234" s="121">
        <f t="shared" si="67"/>
        <v>4</v>
      </c>
      <c r="I234" s="119">
        <f t="shared" si="67"/>
        <v>1</v>
      </c>
      <c r="J234" s="120">
        <f t="shared" si="67"/>
        <v>2</v>
      </c>
      <c r="K234" s="120">
        <f t="shared" si="67"/>
        <v>3</v>
      </c>
      <c r="L234" s="121">
        <f t="shared" si="67"/>
        <v>4</v>
      </c>
      <c r="M234" s="119">
        <f t="shared" si="67"/>
        <v>1</v>
      </c>
      <c r="N234" s="120">
        <f t="shared" si="67"/>
        <v>2</v>
      </c>
      <c r="O234" s="120">
        <f t="shared" si="67"/>
        <v>3</v>
      </c>
      <c r="P234" s="121">
        <f t="shared" si="67"/>
        <v>4</v>
      </c>
      <c r="Q234" s="119">
        <f t="shared" si="67"/>
        <v>1</v>
      </c>
      <c r="R234" s="120">
        <f t="shared" si="67"/>
        <v>2</v>
      </c>
      <c r="S234" s="120">
        <f t="shared" si="67"/>
        <v>3</v>
      </c>
      <c r="T234" s="121">
        <f t="shared" si="67"/>
        <v>4</v>
      </c>
      <c r="U234" s="119">
        <f t="shared" si="67"/>
        <v>1</v>
      </c>
      <c r="V234" s="120">
        <f t="shared" si="67"/>
        <v>2</v>
      </c>
      <c r="W234" s="120">
        <f t="shared" si="67"/>
        <v>3</v>
      </c>
      <c r="X234" s="121">
        <f t="shared" si="67"/>
        <v>4</v>
      </c>
      <c r="Y234" s="119">
        <f t="shared" si="67"/>
        <v>1</v>
      </c>
      <c r="Z234" s="120">
        <f t="shared" si="67"/>
        <v>2</v>
      </c>
      <c r="AA234" s="120">
        <f t="shared" si="67"/>
        <v>3</v>
      </c>
      <c r="AB234" s="121">
        <f t="shared" si="67"/>
        <v>4</v>
      </c>
      <c r="AC234" s="119">
        <f t="shared" si="67"/>
        <v>1</v>
      </c>
      <c r="AD234" s="120">
        <f t="shared" si="67"/>
        <v>2</v>
      </c>
      <c r="AE234" s="120">
        <f t="shared" si="67"/>
        <v>3</v>
      </c>
      <c r="AF234" s="121">
        <f t="shared" si="67"/>
        <v>4</v>
      </c>
      <c r="AG234" s="119">
        <f t="shared" si="67"/>
        <v>1</v>
      </c>
      <c r="AH234" s="120">
        <f t="shared" si="67"/>
        <v>2</v>
      </c>
      <c r="AI234" s="120">
        <f t="shared" si="67"/>
        <v>3</v>
      </c>
      <c r="AJ234" s="121">
        <f t="shared" si="67"/>
        <v>4</v>
      </c>
      <c r="AK234" s="119">
        <f t="shared" si="67"/>
        <v>1</v>
      </c>
      <c r="AL234" s="120">
        <f t="shared" si="67"/>
        <v>2</v>
      </c>
      <c r="AM234" s="120">
        <f t="shared" si="67"/>
        <v>3</v>
      </c>
      <c r="AN234" s="121">
        <f t="shared" si="67"/>
        <v>4</v>
      </c>
      <c r="AO234" s="119">
        <f t="shared" si="67"/>
        <v>1</v>
      </c>
      <c r="AP234" s="120">
        <f t="shared" si="67"/>
        <v>2</v>
      </c>
      <c r="AQ234" s="120">
        <f t="shared" si="67"/>
        <v>3</v>
      </c>
      <c r="AR234" s="121">
        <f t="shared" si="67"/>
        <v>4</v>
      </c>
      <c r="AS234" s="119">
        <f t="shared" si="67"/>
        <v>1</v>
      </c>
      <c r="AT234" s="120">
        <f t="shared" si="67"/>
        <v>2</v>
      </c>
      <c r="AU234" s="120">
        <f t="shared" si="67"/>
        <v>3</v>
      </c>
      <c r="AV234" s="121">
        <f t="shared" si="67"/>
        <v>4</v>
      </c>
    </row>
    <row r="235" spans="1:49" s="75" customFormat="1" ht="16.5" customHeight="1">
      <c r="A235" s="85"/>
      <c r="B235" s="142" t="str">
        <f t="shared" ref="B235:C240" si="68">B221</f>
        <v>一期</v>
      </c>
      <c r="C235" s="142" t="str">
        <f t="shared" si="68"/>
        <v>毛利</v>
      </c>
      <c r="D235" s="123">
        <f ca="1">SUM(E235:AV235)</f>
        <v>42150.617620339326</v>
      </c>
      <c r="E235" s="124">
        <f ca="1">'14.增值税计算表'!E126/1.1*$D$214</f>
        <v>0</v>
      </c>
      <c r="F235" s="125">
        <f ca="1">'14.增值税计算表'!F126/1.1*$D$214</f>
        <v>0</v>
      </c>
      <c r="G235" s="125">
        <f ca="1">'14.增值税计算表'!G126/1.1*$D$214</f>
        <v>0</v>
      </c>
      <c r="H235" s="126">
        <f ca="1">'14.增值税计算表'!H126/1.1*$D$214</f>
        <v>0</v>
      </c>
      <c r="I235" s="124">
        <f ca="1">'14.增值税计算表'!I126/1.1*$D$214</f>
        <v>0</v>
      </c>
      <c r="J235" s="125">
        <f ca="1">'14.增值税计算表'!J126/1.1*$D$214</f>
        <v>0</v>
      </c>
      <c r="K235" s="125">
        <f ca="1">'14.增值税计算表'!K126/1.1*$D$214</f>
        <v>0</v>
      </c>
      <c r="L235" s="126">
        <f ca="1">'14.增值税计算表'!L126/1.1*$D$214</f>
        <v>0</v>
      </c>
      <c r="M235" s="124">
        <f ca="1">'14.增值税计算表'!M126/1.1*$D$214</f>
        <v>0</v>
      </c>
      <c r="N235" s="125">
        <f ca="1">'14.增值税计算表'!N126/1.1*$D$214</f>
        <v>0</v>
      </c>
      <c r="O235" s="125">
        <f ca="1">'14.增值税计算表'!O126/1.1*$D$214</f>
        <v>0</v>
      </c>
      <c r="P235" s="126">
        <f ca="1">'14.增值税计算表'!P126/1.1*$D$214</f>
        <v>41655.502917997903</v>
      </c>
      <c r="Q235" s="124">
        <f ca="1">'14.增值税计算表'!Q126/1.1*$D$214</f>
        <v>495.11470234142121</v>
      </c>
      <c r="R235" s="125">
        <f ca="1">'14.增值税计算表'!R126/1.1*$D$214</f>
        <v>0</v>
      </c>
      <c r="S235" s="125">
        <f ca="1">'14.增值税计算表'!S126/1.1*$D$214</f>
        <v>0</v>
      </c>
      <c r="T235" s="126">
        <f ca="1">'14.增值税计算表'!T126/1.1*$D$214</f>
        <v>0</v>
      </c>
      <c r="U235" s="124">
        <f ca="1">'14.增值税计算表'!U126/1.1*$D$214</f>
        <v>0</v>
      </c>
      <c r="V235" s="125">
        <f ca="1">'14.增值税计算表'!V126/1.1*$D$214</f>
        <v>0</v>
      </c>
      <c r="W235" s="125">
        <f ca="1">'14.增值税计算表'!W126/1.1*$D$214</f>
        <v>0</v>
      </c>
      <c r="X235" s="126">
        <f ca="1">'14.增值税计算表'!X126/1.1*$D$214</f>
        <v>0</v>
      </c>
      <c r="Y235" s="124">
        <f ca="1">'14.增值税计算表'!Y126/1.1*$D$214</f>
        <v>0</v>
      </c>
      <c r="Z235" s="125">
        <f ca="1">'14.增值税计算表'!Z126/1.1*$D$214</f>
        <v>0</v>
      </c>
      <c r="AA235" s="125">
        <f ca="1">'14.增值税计算表'!AA126/1.1*$D$214</f>
        <v>0</v>
      </c>
      <c r="AB235" s="126">
        <f ca="1">'14.增值税计算表'!AB126/1.1*$D$214</f>
        <v>0</v>
      </c>
      <c r="AC235" s="124">
        <f ca="1">'14.增值税计算表'!AC126/1.1*$D$214</f>
        <v>0</v>
      </c>
      <c r="AD235" s="125">
        <f ca="1">'14.增值税计算表'!AD126/1.1*$D$214</f>
        <v>0</v>
      </c>
      <c r="AE235" s="125">
        <f ca="1">'14.增值税计算表'!AE126/1.1*$D$214</f>
        <v>0</v>
      </c>
      <c r="AF235" s="126">
        <f ca="1">'14.增值税计算表'!AF126/1.1*$D$214</f>
        <v>0</v>
      </c>
      <c r="AG235" s="124">
        <f ca="1">'14.增值税计算表'!AG126/1.1*$D$214</f>
        <v>0</v>
      </c>
      <c r="AH235" s="125">
        <f ca="1">'14.增值税计算表'!AH126/1.1*$D$214</f>
        <v>0</v>
      </c>
      <c r="AI235" s="125">
        <f ca="1">'14.增值税计算表'!AI126/1.1*$D$214</f>
        <v>0</v>
      </c>
      <c r="AJ235" s="126">
        <f ca="1">'14.增值税计算表'!AJ126/1.1*$D$214</f>
        <v>0</v>
      </c>
      <c r="AK235" s="124">
        <f ca="1">'14.增值税计算表'!AK126/1.1*$D$214</f>
        <v>0</v>
      </c>
      <c r="AL235" s="125">
        <f ca="1">'14.增值税计算表'!AL126/1.1*$D$214</f>
        <v>0</v>
      </c>
      <c r="AM235" s="125">
        <f ca="1">'14.增值税计算表'!AM126/1.1*$D$214</f>
        <v>0</v>
      </c>
      <c r="AN235" s="126">
        <f ca="1">'14.增值税计算表'!AN126/1.1*$D$214</f>
        <v>0</v>
      </c>
      <c r="AO235" s="124">
        <f ca="1">'14.增值税计算表'!AO126/1.1*$D$214</f>
        <v>0</v>
      </c>
      <c r="AP235" s="125">
        <f ca="1">'14.增值税计算表'!AP126/1.1*$D$214</f>
        <v>0</v>
      </c>
      <c r="AQ235" s="125">
        <f ca="1">'14.增值税计算表'!AQ126/1.1*$D$214</f>
        <v>0</v>
      </c>
      <c r="AR235" s="126">
        <f ca="1">'14.增值税计算表'!AR126/1.1*$D$214</f>
        <v>0</v>
      </c>
      <c r="AS235" s="124">
        <f ca="1">'14.增值税计算表'!AS126/1.1*$D$214</f>
        <v>0</v>
      </c>
      <c r="AT235" s="125">
        <f ca="1">'14.增值税计算表'!AT126/1.1*$D$214</f>
        <v>0</v>
      </c>
      <c r="AU235" s="125">
        <f ca="1">'14.增值税计算表'!AU126/1.1*$D$214</f>
        <v>0</v>
      </c>
      <c r="AV235" s="126">
        <f ca="1">'14.增值税计算表'!AV126/1.1*$D$214</f>
        <v>0</v>
      </c>
      <c r="AW235" s="154">
        <f ca="1">IF(($C$188&gt;0)*($D$188&gt;0)*(E188&gt;0)*(F188&gt;0)*(G188&gt;0)*(H188&gt;0)*(I188&gt;0),-$AV$254*D235/SUM($D$235:$D$240),IF(D188&lt;0,0,IF(D188*0.25&lt;-AV254,D188*0.25,-AV254)))</f>
        <v>0</v>
      </c>
    </row>
    <row r="236" spans="1:49" s="75" customFormat="1" ht="16.5" customHeight="1">
      <c r="A236" s="85"/>
      <c r="B236" s="143" t="str">
        <f t="shared" si="68"/>
        <v>二期</v>
      </c>
      <c r="C236" s="143" t="str">
        <f t="shared" si="68"/>
        <v>毛利</v>
      </c>
      <c r="D236" s="128">
        <f t="shared" ref="D236:D248" ca="1" si="69">SUM(E236:AV236)</f>
        <v>0</v>
      </c>
      <c r="E236" s="129">
        <f ca="1">'14.增值税计算表'!E139/1.1*$E$214</f>
        <v>0</v>
      </c>
      <c r="F236" s="130">
        <f ca="1">'14.增值税计算表'!F139/1.1*$E$214</f>
        <v>0</v>
      </c>
      <c r="G236" s="130">
        <f ca="1">'14.增值税计算表'!G139/1.1*$E$214</f>
        <v>0</v>
      </c>
      <c r="H236" s="131">
        <f ca="1">'14.增值税计算表'!H139/1.1*$E$214</f>
        <v>0</v>
      </c>
      <c r="I236" s="129">
        <f ca="1">'14.增值税计算表'!I139/1.1*$E$214</f>
        <v>0</v>
      </c>
      <c r="J236" s="130">
        <f ca="1">'14.增值税计算表'!J139/1.1*$E$214</f>
        <v>0</v>
      </c>
      <c r="K236" s="130">
        <f ca="1">'14.增值税计算表'!K139/1.1*$E$214</f>
        <v>0</v>
      </c>
      <c r="L236" s="131">
        <f ca="1">'14.增值税计算表'!L139/1.1*$E$214</f>
        <v>0</v>
      </c>
      <c r="M236" s="129">
        <f ca="1">'14.增值税计算表'!M139/1.1*$E$214</f>
        <v>0</v>
      </c>
      <c r="N236" s="130">
        <f ca="1">'14.增值税计算表'!N139/1.1*$E$214</f>
        <v>0</v>
      </c>
      <c r="O236" s="130">
        <f ca="1">'14.增值税计算表'!O139/1.1*$E$214</f>
        <v>0</v>
      </c>
      <c r="P236" s="131">
        <f ca="1">'14.增值税计算表'!P139/1.1*$E$214</f>
        <v>0</v>
      </c>
      <c r="Q236" s="129">
        <f ca="1">'14.增值税计算表'!Q139/1.1*$E$214</f>
        <v>0</v>
      </c>
      <c r="R236" s="130">
        <f ca="1">'14.增值税计算表'!R139/1.1*$E$214</f>
        <v>0</v>
      </c>
      <c r="S236" s="130">
        <f ca="1">'14.增值税计算表'!S139/1.1*$E$214</f>
        <v>0</v>
      </c>
      <c r="T236" s="131">
        <f ca="1">'14.增值税计算表'!T139/1.1*$E$214</f>
        <v>0</v>
      </c>
      <c r="U236" s="129">
        <f ca="1">'14.增值税计算表'!U139/1.1*$E$214</f>
        <v>0</v>
      </c>
      <c r="V236" s="130">
        <f ca="1">'14.增值税计算表'!V139/1.1*$E$214</f>
        <v>0</v>
      </c>
      <c r="W236" s="130">
        <f ca="1">'14.增值税计算表'!W139/1.1*$E$214</f>
        <v>0</v>
      </c>
      <c r="X236" s="131">
        <f ca="1">'14.增值税计算表'!X139/1.1*$E$214</f>
        <v>0</v>
      </c>
      <c r="Y236" s="129">
        <f ca="1">'14.增值税计算表'!Y139/1.1*$E$214</f>
        <v>0</v>
      </c>
      <c r="Z236" s="130">
        <f ca="1">'14.增值税计算表'!Z139/1.1*$E$214</f>
        <v>0</v>
      </c>
      <c r="AA236" s="130">
        <f ca="1">'14.增值税计算表'!AA139/1.1*$E$214</f>
        <v>0</v>
      </c>
      <c r="AB236" s="131">
        <f ca="1">'14.增值税计算表'!AB139/1.1*$E$214</f>
        <v>0</v>
      </c>
      <c r="AC236" s="129">
        <f ca="1">'14.增值税计算表'!AC139/1.1*$E$214</f>
        <v>0</v>
      </c>
      <c r="AD236" s="130">
        <f ca="1">'14.增值税计算表'!AD139/1.1*$E$214</f>
        <v>0</v>
      </c>
      <c r="AE236" s="130">
        <f ca="1">'14.增值税计算表'!AE139/1.1*$E$214</f>
        <v>0</v>
      </c>
      <c r="AF236" s="131">
        <f ca="1">'14.增值税计算表'!AF139/1.1*$E$214</f>
        <v>0</v>
      </c>
      <c r="AG236" s="129">
        <f ca="1">'14.增值税计算表'!AG139/1.1*$E$214</f>
        <v>0</v>
      </c>
      <c r="AH236" s="130">
        <f ca="1">'14.增值税计算表'!AH139/1.1*$E$214</f>
        <v>0</v>
      </c>
      <c r="AI236" s="130">
        <f ca="1">'14.增值税计算表'!AI139/1.1*$E$214</f>
        <v>0</v>
      </c>
      <c r="AJ236" s="131">
        <f ca="1">'14.增值税计算表'!AJ139/1.1*$E$214</f>
        <v>0</v>
      </c>
      <c r="AK236" s="129">
        <f ca="1">'14.增值税计算表'!AK139/1.1*$E$214</f>
        <v>0</v>
      </c>
      <c r="AL236" s="130">
        <f ca="1">'14.增值税计算表'!AL139/1.1*$E$214</f>
        <v>0</v>
      </c>
      <c r="AM236" s="130">
        <f ca="1">'14.增值税计算表'!AM139/1.1*$E$214</f>
        <v>0</v>
      </c>
      <c r="AN236" s="131">
        <f ca="1">'14.增值税计算表'!AN139/1.1*$E$214</f>
        <v>0</v>
      </c>
      <c r="AO236" s="129">
        <f ca="1">'14.增值税计算表'!AO139/1.1*$E$214</f>
        <v>0</v>
      </c>
      <c r="AP236" s="130">
        <f ca="1">'14.增值税计算表'!AP139/1.1*$E$214</f>
        <v>0</v>
      </c>
      <c r="AQ236" s="130">
        <f ca="1">'14.增值税计算表'!AQ139/1.1*$E$214</f>
        <v>0</v>
      </c>
      <c r="AR236" s="131">
        <f ca="1">'14.增值税计算表'!AR139/1.1*$E$214</f>
        <v>0</v>
      </c>
      <c r="AS236" s="129">
        <f ca="1">'14.增值税计算表'!AS139/1.1*$E$214</f>
        <v>0</v>
      </c>
      <c r="AT236" s="130">
        <f ca="1">'14.增值税计算表'!AT139/1.1*$E$214</f>
        <v>0</v>
      </c>
      <c r="AU236" s="130">
        <f ca="1">'14.增值税计算表'!AU139/1.1*$E$214</f>
        <v>0</v>
      </c>
      <c r="AV236" s="131">
        <f ca="1">'14.增值税计算表'!AV139/1.1*$E$214</f>
        <v>0</v>
      </c>
      <c r="AW236" s="154">
        <f ca="1">IF((C188&gt;0)*($D$188&gt;0)*(E188&gt;0)*(F188&gt;0)*(G188&gt;0)*(H188&gt;0)*(I188&gt;0),IF(AW235=0,0,-$AV$254*D236/SUM($D$235:$D$240)),IF(E188&lt;0,0,IF(E188*0.25+AW235&lt;-AV254,E188*0.25,-AV254-AW235)))</f>
        <v>0</v>
      </c>
    </row>
    <row r="237" spans="1:49" s="75" customFormat="1" ht="16.5" customHeight="1">
      <c r="A237" s="85"/>
      <c r="B237" s="143" t="str">
        <f t="shared" si="68"/>
        <v>三期</v>
      </c>
      <c r="C237" s="143" t="str">
        <f t="shared" si="68"/>
        <v>毛利</v>
      </c>
      <c r="D237" s="128">
        <f t="shared" ca="1" si="69"/>
        <v>0</v>
      </c>
      <c r="E237" s="129">
        <f ca="1">'14.增值税计算表'!E152/1.1*$F$214</f>
        <v>0</v>
      </c>
      <c r="F237" s="130">
        <f ca="1">'14.增值税计算表'!F152/1.1*$F$214</f>
        <v>0</v>
      </c>
      <c r="G237" s="130">
        <f ca="1">'14.增值税计算表'!G152/1.1*$F$214</f>
        <v>0</v>
      </c>
      <c r="H237" s="131">
        <f ca="1">'14.增值税计算表'!H152/1.1*$F$214</f>
        <v>0</v>
      </c>
      <c r="I237" s="129">
        <f ca="1">'14.增值税计算表'!I152/1.1*$F$214</f>
        <v>0</v>
      </c>
      <c r="J237" s="130">
        <f ca="1">'14.增值税计算表'!J152/1.1*$F$214</f>
        <v>0</v>
      </c>
      <c r="K237" s="130">
        <f ca="1">'14.增值税计算表'!K152/1.1*$F$214</f>
        <v>0</v>
      </c>
      <c r="L237" s="131">
        <f ca="1">'14.增值税计算表'!L152/1.1*$F$214</f>
        <v>0</v>
      </c>
      <c r="M237" s="129">
        <f ca="1">'14.增值税计算表'!M152/1.1*$F$214</f>
        <v>0</v>
      </c>
      <c r="N237" s="130">
        <f ca="1">'14.增值税计算表'!N152/1.1*$F$214</f>
        <v>0</v>
      </c>
      <c r="O237" s="130">
        <f ca="1">'14.增值税计算表'!O152/1.1*$F$214</f>
        <v>0</v>
      </c>
      <c r="P237" s="131">
        <f ca="1">'14.增值税计算表'!P152/1.1*$F$214</f>
        <v>0</v>
      </c>
      <c r="Q237" s="129">
        <f ca="1">'14.增值税计算表'!Q152/1.1*$F$214</f>
        <v>0</v>
      </c>
      <c r="R237" s="130">
        <f ca="1">'14.增值税计算表'!R152/1.1*$F$214</f>
        <v>0</v>
      </c>
      <c r="S237" s="130">
        <f ca="1">'14.增值税计算表'!S152/1.1*$F$214</f>
        <v>0</v>
      </c>
      <c r="T237" s="131">
        <f ca="1">'14.增值税计算表'!T152/1.1*$F$214</f>
        <v>0</v>
      </c>
      <c r="U237" s="129">
        <f ca="1">'14.增值税计算表'!U152/1.1*$F$214</f>
        <v>0</v>
      </c>
      <c r="V237" s="130">
        <f ca="1">'14.增值税计算表'!V152/1.1*$F$214</f>
        <v>0</v>
      </c>
      <c r="W237" s="130">
        <f ca="1">'14.增值税计算表'!W152/1.1*$F$214</f>
        <v>0</v>
      </c>
      <c r="X237" s="131">
        <f ca="1">'14.增值税计算表'!X152/1.1*$F$214</f>
        <v>0</v>
      </c>
      <c r="Y237" s="129">
        <f ca="1">'14.增值税计算表'!Y152/1.1*$F$214</f>
        <v>0</v>
      </c>
      <c r="Z237" s="130">
        <f ca="1">'14.增值税计算表'!Z152/1.1*$F$214</f>
        <v>0</v>
      </c>
      <c r="AA237" s="130">
        <f ca="1">'14.增值税计算表'!AA152/1.1*$F$214</f>
        <v>0</v>
      </c>
      <c r="AB237" s="131">
        <f ca="1">'14.增值税计算表'!AB152/1.1*$F$214</f>
        <v>0</v>
      </c>
      <c r="AC237" s="129">
        <f ca="1">'14.增值税计算表'!AC152/1.1*$F$214</f>
        <v>0</v>
      </c>
      <c r="AD237" s="130">
        <f ca="1">'14.增值税计算表'!AD152/1.1*$F$214</f>
        <v>0</v>
      </c>
      <c r="AE237" s="130">
        <f ca="1">'14.增值税计算表'!AE152/1.1*$F$214</f>
        <v>0</v>
      </c>
      <c r="AF237" s="131">
        <f ca="1">'14.增值税计算表'!AF152/1.1*$F$214</f>
        <v>0</v>
      </c>
      <c r="AG237" s="129">
        <f ca="1">'14.增值税计算表'!AG152/1.1*$F$214</f>
        <v>0</v>
      </c>
      <c r="AH237" s="130">
        <f ca="1">'14.增值税计算表'!AH152/1.1*$F$214</f>
        <v>0</v>
      </c>
      <c r="AI237" s="130">
        <f ca="1">'14.增值税计算表'!AI152/1.1*$F$214</f>
        <v>0</v>
      </c>
      <c r="AJ237" s="131">
        <f ca="1">'14.增值税计算表'!AJ152/1.1*$F$214</f>
        <v>0</v>
      </c>
      <c r="AK237" s="129">
        <f ca="1">'14.增值税计算表'!AK152/1.1*$F$214</f>
        <v>0</v>
      </c>
      <c r="AL237" s="130">
        <f ca="1">'14.增值税计算表'!AL152/1.1*$F$214</f>
        <v>0</v>
      </c>
      <c r="AM237" s="130">
        <f ca="1">'14.增值税计算表'!AM152/1.1*$F$214</f>
        <v>0</v>
      </c>
      <c r="AN237" s="131">
        <f ca="1">'14.增值税计算表'!AN152/1.1*$F$214</f>
        <v>0</v>
      </c>
      <c r="AO237" s="129">
        <f ca="1">'14.增值税计算表'!AO152/1.1*$F$214</f>
        <v>0</v>
      </c>
      <c r="AP237" s="130">
        <f ca="1">'14.增值税计算表'!AP152/1.1*$F$214</f>
        <v>0</v>
      </c>
      <c r="AQ237" s="130">
        <f ca="1">'14.增值税计算表'!AQ152/1.1*$F$214</f>
        <v>0</v>
      </c>
      <c r="AR237" s="131">
        <f ca="1">'14.增值税计算表'!AR152/1.1*$F$214</f>
        <v>0</v>
      </c>
      <c r="AS237" s="129">
        <f ca="1">'14.增值税计算表'!AS152/1.1*$F$214</f>
        <v>0</v>
      </c>
      <c r="AT237" s="130">
        <f ca="1">'14.增值税计算表'!AT152/1.1*$F$214</f>
        <v>0</v>
      </c>
      <c r="AU237" s="130">
        <f ca="1">'14.增值税计算表'!AU152/1.1*$F$214</f>
        <v>0</v>
      </c>
      <c r="AV237" s="131">
        <f ca="1">'14.增值税计算表'!AV152/1.1*$F$214</f>
        <v>0</v>
      </c>
      <c r="AW237" s="154">
        <f ca="1">IF(($C$188&gt;0)*($D$188&gt;0)*(E188&gt;0)*(F188&gt;0)*(G188&gt;0)*(H188&gt;0)*(I188&gt;0),IF(AW236=0,0,-$AV$254*D237/SUM($D$235:$D$240)),IF(F188&lt;0,0,IF(F$188*0.25+$AW$235+$AW$236&lt;-$AV$254,F$188*0.25,-$AV$254-$AW$236-$AW$235)))</f>
        <v>0</v>
      </c>
    </row>
    <row r="238" spans="1:49" s="75" customFormat="1" ht="16.5" customHeight="1">
      <c r="A238" s="85"/>
      <c r="B238" s="143" t="str">
        <f t="shared" si="68"/>
        <v>四期</v>
      </c>
      <c r="C238" s="143" t="str">
        <f t="shared" si="68"/>
        <v>毛利</v>
      </c>
      <c r="D238" s="128">
        <f t="shared" ca="1" si="69"/>
        <v>0</v>
      </c>
      <c r="E238" s="129">
        <f ca="1">'14.增值税计算表'!E165/1.1*$G$214</f>
        <v>0</v>
      </c>
      <c r="F238" s="130">
        <f ca="1">'14.增值税计算表'!F165/1.1*$G$214</f>
        <v>0</v>
      </c>
      <c r="G238" s="130">
        <f ca="1">'14.增值税计算表'!G165/1.1*$G$214</f>
        <v>0</v>
      </c>
      <c r="H238" s="131">
        <f ca="1">'14.增值税计算表'!H165/1.1*$G$214</f>
        <v>0</v>
      </c>
      <c r="I238" s="129">
        <f ca="1">'14.增值税计算表'!I165/1.1*$G$214</f>
        <v>0</v>
      </c>
      <c r="J238" s="130">
        <f ca="1">'14.增值税计算表'!J165/1.1*$G$214</f>
        <v>0</v>
      </c>
      <c r="K238" s="130">
        <f ca="1">'14.增值税计算表'!K165/1.1*$G$214</f>
        <v>0</v>
      </c>
      <c r="L238" s="131">
        <f ca="1">'14.增值税计算表'!L165/1.1*$G$214</f>
        <v>0</v>
      </c>
      <c r="M238" s="129">
        <f ca="1">'14.增值税计算表'!M165/1.1*$G$214</f>
        <v>0</v>
      </c>
      <c r="N238" s="130">
        <f ca="1">'14.增值税计算表'!N165/1.1*$G$214</f>
        <v>0</v>
      </c>
      <c r="O238" s="130">
        <f ca="1">'14.增值税计算表'!O165/1.1*$G$214</f>
        <v>0</v>
      </c>
      <c r="P238" s="131">
        <f ca="1">'14.增值税计算表'!P165/1.1*$G$214</f>
        <v>0</v>
      </c>
      <c r="Q238" s="129">
        <f ca="1">'14.增值税计算表'!Q165/1.1*$G$214</f>
        <v>0</v>
      </c>
      <c r="R238" s="130">
        <f ca="1">'14.增值税计算表'!R165/1.1*$G$214</f>
        <v>0</v>
      </c>
      <c r="S238" s="130">
        <f ca="1">'14.增值税计算表'!S165/1.1*$G$214</f>
        <v>0</v>
      </c>
      <c r="T238" s="131">
        <f ca="1">'14.增值税计算表'!T165/1.1*$G$214</f>
        <v>0</v>
      </c>
      <c r="U238" s="129">
        <f ca="1">'14.增值税计算表'!U165/1.1*$G$214</f>
        <v>0</v>
      </c>
      <c r="V238" s="130">
        <f ca="1">'14.增值税计算表'!V165/1.1*$G$214</f>
        <v>0</v>
      </c>
      <c r="W238" s="130">
        <f ca="1">'14.增值税计算表'!W165/1.1*$G$214</f>
        <v>0</v>
      </c>
      <c r="X238" s="131">
        <f ca="1">'14.增值税计算表'!X165/1.1*$G$214</f>
        <v>0</v>
      </c>
      <c r="Y238" s="129">
        <f ca="1">'14.增值税计算表'!Y165/1.1*$G$214</f>
        <v>0</v>
      </c>
      <c r="Z238" s="130">
        <f ca="1">'14.增值税计算表'!Z165/1.1*$G$214</f>
        <v>0</v>
      </c>
      <c r="AA238" s="130">
        <f ca="1">'14.增值税计算表'!AA165/1.1*$G$214</f>
        <v>0</v>
      </c>
      <c r="AB238" s="131">
        <f ca="1">'14.增值税计算表'!AB165/1.1*$G$214</f>
        <v>0</v>
      </c>
      <c r="AC238" s="129">
        <f ca="1">'14.增值税计算表'!AC165/1.1*$G$214</f>
        <v>0</v>
      </c>
      <c r="AD238" s="130">
        <f ca="1">'14.增值税计算表'!AD165/1.1*$G$214</f>
        <v>0</v>
      </c>
      <c r="AE238" s="130">
        <f ca="1">'14.增值税计算表'!AE165/1.1*$G$214</f>
        <v>0</v>
      </c>
      <c r="AF238" s="131">
        <f ca="1">'14.增值税计算表'!AF165/1.1*$G$214</f>
        <v>0</v>
      </c>
      <c r="AG238" s="129">
        <f ca="1">'14.增值税计算表'!AG165/1.1*$G$214</f>
        <v>0</v>
      </c>
      <c r="AH238" s="130">
        <f ca="1">'14.增值税计算表'!AH165/1.1*$G$214</f>
        <v>0</v>
      </c>
      <c r="AI238" s="130">
        <f ca="1">'14.增值税计算表'!AI165/1.1*$G$214</f>
        <v>0</v>
      </c>
      <c r="AJ238" s="131">
        <f ca="1">'14.增值税计算表'!AJ165/1.1*$G$214</f>
        <v>0</v>
      </c>
      <c r="AK238" s="129">
        <f ca="1">'14.增值税计算表'!AK165/1.1*$G$214</f>
        <v>0</v>
      </c>
      <c r="AL238" s="130">
        <f ca="1">'14.增值税计算表'!AL165/1.1*$G$214</f>
        <v>0</v>
      </c>
      <c r="AM238" s="130">
        <f ca="1">'14.增值税计算表'!AM165/1.1*$G$214</f>
        <v>0</v>
      </c>
      <c r="AN238" s="131">
        <f ca="1">'14.增值税计算表'!AN165/1.1*$G$214</f>
        <v>0</v>
      </c>
      <c r="AO238" s="129">
        <f ca="1">'14.增值税计算表'!AO165/1.1*$G$214</f>
        <v>0</v>
      </c>
      <c r="AP238" s="130">
        <f ca="1">'14.增值税计算表'!AP165/1.1*$G$214</f>
        <v>0</v>
      </c>
      <c r="AQ238" s="130">
        <f ca="1">'14.增值税计算表'!AQ165/1.1*$G$214</f>
        <v>0</v>
      </c>
      <c r="AR238" s="131">
        <f ca="1">'14.增值税计算表'!AR165/1.1*$G$214</f>
        <v>0</v>
      </c>
      <c r="AS238" s="129">
        <f ca="1">'14.增值税计算表'!AS165/1.1*$G$214</f>
        <v>0</v>
      </c>
      <c r="AT238" s="130">
        <f ca="1">'14.增值税计算表'!AT165/1.1*$G$214</f>
        <v>0</v>
      </c>
      <c r="AU238" s="130">
        <f ca="1">'14.增值税计算表'!AU165/1.1*$G$214</f>
        <v>0</v>
      </c>
      <c r="AV238" s="131">
        <f ca="1">'14.增值税计算表'!AV165/1.1*$G$214</f>
        <v>0</v>
      </c>
      <c r="AW238" s="154">
        <f ca="1">IF(($C$188&gt;0)*($D$188&gt;0)*(E188&gt;0)*(F188&gt;0)*(G188&gt;0)*(H188&gt;0)*(I188&gt;0),IF(AW237=0,0,-$AV$254*D238/SUM($D$235:$D$240)),IF(G188&lt;0,0,IF(G$188*0.25+$AW$235+$AW$236+AW237&lt;-$AV$254,G$188*0.25,-$AV$254-$AW$236-$AW$235-AW237)))</f>
        <v>0</v>
      </c>
    </row>
    <row r="239" spans="1:49" s="75" customFormat="1" ht="16.5" customHeight="1">
      <c r="A239" s="85"/>
      <c r="B239" s="143" t="str">
        <f t="shared" si="68"/>
        <v>五期</v>
      </c>
      <c r="C239" s="143" t="str">
        <f t="shared" si="68"/>
        <v>毛利</v>
      </c>
      <c r="D239" s="128">
        <f t="shared" ca="1" si="69"/>
        <v>0</v>
      </c>
      <c r="E239" s="129">
        <f ca="1">'14.增值税计算表'!E178/1.1*$H$214</f>
        <v>0</v>
      </c>
      <c r="F239" s="130">
        <f ca="1">'14.增值税计算表'!F178/1.1*$H$214</f>
        <v>0</v>
      </c>
      <c r="G239" s="130">
        <f ca="1">'14.增值税计算表'!G178/1.1*$H$214</f>
        <v>0</v>
      </c>
      <c r="H239" s="131">
        <f ca="1">'14.增值税计算表'!H178/1.1*$H$214</f>
        <v>0</v>
      </c>
      <c r="I239" s="129">
        <f ca="1">'14.增值税计算表'!I178/1.1*$H$214</f>
        <v>0</v>
      </c>
      <c r="J239" s="130">
        <f ca="1">'14.增值税计算表'!J178/1.1*$H$214</f>
        <v>0</v>
      </c>
      <c r="K239" s="130">
        <f ca="1">'14.增值税计算表'!K178/1.1*$H$214</f>
        <v>0</v>
      </c>
      <c r="L239" s="131">
        <f ca="1">'14.增值税计算表'!L178/1.1*$H$214</f>
        <v>0</v>
      </c>
      <c r="M239" s="129">
        <f ca="1">'14.增值税计算表'!M178/1.1*$H$214</f>
        <v>0</v>
      </c>
      <c r="N239" s="130">
        <f ca="1">'14.增值税计算表'!N178/1.1*$H$214</f>
        <v>0</v>
      </c>
      <c r="O239" s="130">
        <f ca="1">'14.增值税计算表'!O178/1.1*$H$214</f>
        <v>0</v>
      </c>
      <c r="P239" s="131">
        <f ca="1">'14.增值税计算表'!P178/1.1*$H$214</f>
        <v>0</v>
      </c>
      <c r="Q239" s="129">
        <f ca="1">'14.增值税计算表'!Q178/1.1*$H$214</f>
        <v>0</v>
      </c>
      <c r="R239" s="130">
        <f ca="1">'14.增值税计算表'!R178/1.1*$H$214</f>
        <v>0</v>
      </c>
      <c r="S239" s="130">
        <f ca="1">'14.增值税计算表'!S178/1.1*$H$214</f>
        <v>0</v>
      </c>
      <c r="T239" s="131">
        <f ca="1">'14.增值税计算表'!T178/1.1*$H$214</f>
        <v>0</v>
      </c>
      <c r="U239" s="129">
        <f ca="1">'14.增值税计算表'!U178/1.1*$H$214</f>
        <v>0</v>
      </c>
      <c r="V239" s="130">
        <f ca="1">'14.增值税计算表'!V178/1.1*$H$214</f>
        <v>0</v>
      </c>
      <c r="W239" s="130">
        <f ca="1">'14.增值税计算表'!W178/1.1*$H$214</f>
        <v>0</v>
      </c>
      <c r="X239" s="131">
        <f ca="1">'14.增值税计算表'!X178/1.1*$H$214</f>
        <v>0</v>
      </c>
      <c r="Y239" s="129">
        <f ca="1">'14.增值税计算表'!Y178/1.1*$H$214</f>
        <v>0</v>
      </c>
      <c r="Z239" s="130">
        <f ca="1">'14.增值税计算表'!Z178/1.1*$H$214</f>
        <v>0</v>
      </c>
      <c r="AA239" s="130">
        <f ca="1">'14.增值税计算表'!AA178/1.1*$H$214</f>
        <v>0</v>
      </c>
      <c r="AB239" s="131">
        <f ca="1">'14.增值税计算表'!AB178/1.1*$H$214</f>
        <v>0</v>
      </c>
      <c r="AC239" s="129">
        <f ca="1">'14.增值税计算表'!AC178/1.1*$H$214</f>
        <v>0</v>
      </c>
      <c r="AD239" s="130">
        <f ca="1">'14.增值税计算表'!AD178/1.1*$H$214</f>
        <v>0</v>
      </c>
      <c r="AE239" s="130">
        <f ca="1">'14.增值税计算表'!AE178/1.1*$H$214</f>
        <v>0</v>
      </c>
      <c r="AF239" s="131">
        <f ca="1">'14.增值税计算表'!AF178/1.1*$H$214</f>
        <v>0</v>
      </c>
      <c r="AG239" s="129">
        <f ca="1">'14.增值税计算表'!AG178/1.1*$H$214</f>
        <v>0</v>
      </c>
      <c r="AH239" s="130">
        <f ca="1">'14.增值税计算表'!AH178/1.1*$H$214</f>
        <v>0</v>
      </c>
      <c r="AI239" s="130">
        <f ca="1">'14.增值税计算表'!AI178/1.1*$H$214</f>
        <v>0</v>
      </c>
      <c r="AJ239" s="131">
        <f ca="1">'14.增值税计算表'!AJ178/1.1*$H$214</f>
        <v>0</v>
      </c>
      <c r="AK239" s="129">
        <f ca="1">'14.增值税计算表'!AK178/1.1*$H$214</f>
        <v>0</v>
      </c>
      <c r="AL239" s="130">
        <f ca="1">'14.增值税计算表'!AL178/1.1*$H$214</f>
        <v>0</v>
      </c>
      <c r="AM239" s="130">
        <f ca="1">'14.增值税计算表'!AM178/1.1*$H$214</f>
        <v>0</v>
      </c>
      <c r="AN239" s="131">
        <f ca="1">'14.增值税计算表'!AN178/1.1*$H$214</f>
        <v>0</v>
      </c>
      <c r="AO239" s="129">
        <f ca="1">'14.增值税计算表'!AO178/1.1*$H$214</f>
        <v>0</v>
      </c>
      <c r="AP239" s="130">
        <f ca="1">'14.增值税计算表'!AP178/1.1*$H$214</f>
        <v>0</v>
      </c>
      <c r="AQ239" s="130">
        <f ca="1">'14.增值税计算表'!AQ178/1.1*$H$214</f>
        <v>0</v>
      </c>
      <c r="AR239" s="131">
        <f ca="1">'14.增值税计算表'!AR178/1.1*$H$214</f>
        <v>0</v>
      </c>
      <c r="AS239" s="129">
        <f ca="1">'14.增值税计算表'!AS178/1.1*$H$214</f>
        <v>0</v>
      </c>
      <c r="AT239" s="130">
        <f ca="1">'14.增值税计算表'!AT178/1.1*$H$214</f>
        <v>0</v>
      </c>
      <c r="AU239" s="130">
        <f ca="1">'14.增值税计算表'!AU178/1.1*$H$214</f>
        <v>0</v>
      </c>
      <c r="AV239" s="131">
        <f ca="1">'14.增值税计算表'!AV178/1.1*$H$214</f>
        <v>0</v>
      </c>
      <c r="AW239" s="154">
        <f ca="1">IF(($C$188&gt;0)*($D$188&gt;0)*(E188&gt;0)*(F188&gt;0)*(G188&gt;0)*(H188&gt;0)*(I188&gt;0),IF(AW238=0,0,-$AV$254*D239/SUM($D$235:$D$240)),IF(H188&lt;0,0,IF(H$188*0.25+$AW$235+$AW$236+AW238+AW237&lt;-$AV$254,H$188*0.25,-$AV$254-$AW$236-$AW$235-AW238-AW237)))</f>
        <v>0</v>
      </c>
    </row>
    <row r="240" spans="1:49" s="75" customFormat="1" ht="16.5" customHeight="1">
      <c r="A240" s="85"/>
      <c r="B240" s="143" t="str">
        <f t="shared" si="68"/>
        <v>六期</v>
      </c>
      <c r="C240" s="143" t="str">
        <f t="shared" si="68"/>
        <v>毛利</v>
      </c>
      <c r="D240" s="128">
        <f t="shared" ca="1" si="69"/>
        <v>0</v>
      </c>
      <c r="E240" s="129">
        <f ca="1">'14.增值税计算表'!E191/1.1*$I$214</f>
        <v>0</v>
      </c>
      <c r="F240" s="130">
        <f ca="1">'14.增值税计算表'!F191/1.1*$I$214</f>
        <v>0</v>
      </c>
      <c r="G240" s="130">
        <f ca="1">'14.增值税计算表'!G191/1.1*$I$214</f>
        <v>0</v>
      </c>
      <c r="H240" s="131">
        <f ca="1">'14.增值税计算表'!H191/1.1*$I$214</f>
        <v>0</v>
      </c>
      <c r="I240" s="129">
        <f ca="1">'14.增值税计算表'!I191/1.1*$I$214</f>
        <v>0</v>
      </c>
      <c r="J240" s="130">
        <f ca="1">'14.增值税计算表'!J191/1.1*$I$214</f>
        <v>0</v>
      </c>
      <c r="K240" s="130">
        <f ca="1">'14.增值税计算表'!K191/1.1*$I$214</f>
        <v>0</v>
      </c>
      <c r="L240" s="131">
        <f ca="1">'14.增值税计算表'!L191/1.1*$I$214</f>
        <v>0</v>
      </c>
      <c r="M240" s="129">
        <f ca="1">'14.增值税计算表'!M191/1.1*$I$214</f>
        <v>0</v>
      </c>
      <c r="N240" s="130">
        <f ca="1">'14.增值税计算表'!N191/1.1*$I$214</f>
        <v>0</v>
      </c>
      <c r="O240" s="130">
        <f ca="1">'14.增值税计算表'!O191/1.1*$I$214</f>
        <v>0</v>
      </c>
      <c r="P240" s="131">
        <f ca="1">'14.增值税计算表'!P191/1.1*$I$214</f>
        <v>0</v>
      </c>
      <c r="Q240" s="129">
        <f ca="1">'14.增值税计算表'!Q191/1.1*$I$214</f>
        <v>0</v>
      </c>
      <c r="R240" s="130">
        <f ca="1">'14.增值税计算表'!R191/1.1*$I$214</f>
        <v>0</v>
      </c>
      <c r="S240" s="130">
        <f ca="1">'14.增值税计算表'!S191/1.1*$I$214</f>
        <v>0</v>
      </c>
      <c r="T240" s="131">
        <f ca="1">'14.增值税计算表'!T191/1.1*$I$214</f>
        <v>0</v>
      </c>
      <c r="U240" s="129">
        <f ca="1">'14.增值税计算表'!U191/1.1*$I$214</f>
        <v>0</v>
      </c>
      <c r="V240" s="130">
        <f ca="1">'14.增值税计算表'!V191/1.1*$I$214</f>
        <v>0</v>
      </c>
      <c r="W240" s="130">
        <f ca="1">'14.增值税计算表'!W191/1.1*$I$214</f>
        <v>0</v>
      </c>
      <c r="X240" s="131">
        <f ca="1">'14.增值税计算表'!X191/1.1*$I$214</f>
        <v>0</v>
      </c>
      <c r="Y240" s="129">
        <f ca="1">'14.增值税计算表'!Y191/1.1*$I$214</f>
        <v>0</v>
      </c>
      <c r="Z240" s="130">
        <f ca="1">'14.增值税计算表'!Z191/1.1*$I$214</f>
        <v>0</v>
      </c>
      <c r="AA240" s="130">
        <f ca="1">'14.增值税计算表'!AA191/1.1*$I$214</f>
        <v>0</v>
      </c>
      <c r="AB240" s="131">
        <f ca="1">'14.增值税计算表'!AB191/1.1*$I$214</f>
        <v>0</v>
      </c>
      <c r="AC240" s="129">
        <f ca="1">'14.增值税计算表'!AC191/1.1*$I$214</f>
        <v>0</v>
      </c>
      <c r="AD240" s="130">
        <f ca="1">'14.增值税计算表'!AD191/1.1*$I$214</f>
        <v>0</v>
      </c>
      <c r="AE240" s="130">
        <f ca="1">'14.增值税计算表'!AE191/1.1*$I$214</f>
        <v>0</v>
      </c>
      <c r="AF240" s="131">
        <f ca="1">'14.增值税计算表'!AF191/1.1*$I$214</f>
        <v>0</v>
      </c>
      <c r="AG240" s="129">
        <f ca="1">'14.增值税计算表'!AG191/1.1*$I$214</f>
        <v>0</v>
      </c>
      <c r="AH240" s="130">
        <f ca="1">'14.增值税计算表'!AH191/1.1*$I$214</f>
        <v>0</v>
      </c>
      <c r="AI240" s="130">
        <f ca="1">'14.增值税计算表'!AI191/1.1*$I$214</f>
        <v>0</v>
      </c>
      <c r="AJ240" s="131">
        <f ca="1">'14.增值税计算表'!AJ191/1.1*$I$214</f>
        <v>0</v>
      </c>
      <c r="AK240" s="129">
        <f ca="1">'14.增值税计算表'!AK191/1.1*$I$214</f>
        <v>0</v>
      </c>
      <c r="AL240" s="130">
        <f ca="1">'14.增值税计算表'!AL191/1.1*$I$214</f>
        <v>0</v>
      </c>
      <c r="AM240" s="130">
        <f ca="1">'14.增值税计算表'!AM191/1.1*$I$214</f>
        <v>0</v>
      </c>
      <c r="AN240" s="131">
        <f ca="1">'14.增值税计算表'!AN191/1.1*$I$214</f>
        <v>0</v>
      </c>
      <c r="AO240" s="129">
        <f ca="1">'14.增值税计算表'!AO191/1.1*$I$214</f>
        <v>0</v>
      </c>
      <c r="AP240" s="130">
        <f ca="1">'14.增值税计算表'!AP191/1.1*$I$214</f>
        <v>0</v>
      </c>
      <c r="AQ240" s="130">
        <f ca="1">'14.增值税计算表'!AQ191/1.1*$I$214</f>
        <v>0</v>
      </c>
      <c r="AR240" s="131">
        <f ca="1">'14.增值税计算表'!AR191/1.1*$I$214</f>
        <v>0</v>
      </c>
      <c r="AS240" s="129">
        <f ca="1">'14.增值税计算表'!AS191/1.1*$I$214</f>
        <v>0</v>
      </c>
      <c r="AT240" s="130">
        <f ca="1">'14.增值税计算表'!AT191/1.1*$I$214</f>
        <v>0</v>
      </c>
      <c r="AU240" s="130">
        <f ca="1">'14.增值税计算表'!AU191/1.1*$I$214</f>
        <v>0</v>
      </c>
      <c r="AV240" s="131">
        <f ca="1">'14.增值税计算表'!AV191/1.1*$I$214</f>
        <v>0</v>
      </c>
      <c r="AW240" s="154">
        <f ca="1">IF(($C$188&gt;0)*($D$188&gt;0)*(E188&gt;0)*(F188&gt;0)*(G188&gt;0)*(H188&gt;0)*(I188&gt;0),IF(AW239=0,0,-$AV$254*D240/SUM($D$235:$D$240)),IF(I188&lt;0,0,IF(I$188*0.25+$AW$235+$AW$236+AW239+AW238+AW237&lt;-$AV$254,I$188*0.25,-$AV$254-$AW$236-$AW$235-AW239-AW238-AW237)))</f>
        <v>0</v>
      </c>
    </row>
    <row r="241" spans="1:49" s="75" customFormat="1" ht="16.5" customHeight="1">
      <c r="A241" s="85"/>
      <c r="B241" s="127" t="s">
        <v>950</v>
      </c>
      <c r="C241" s="127" t="s">
        <v>623</v>
      </c>
      <c r="D241" s="128">
        <f t="shared" si="69"/>
        <v>-2514.8298739999996</v>
      </c>
      <c r="E241" s="129">
        <f>-'7.现金流量表'!E12</f>
        <v>0</v>
      </c>
      <c r="F241" s="130">
        <f>-'7.现金流量表'!F12</f>
        <v>0</v>
      </c>
      <c r="G241" s="130">
        <f>-'7.现金流量表'!G12</f>
        <v>0</v>
      </c>
      <c r="H241" s="131">
        <f>-'7.现金流量表'!H12</f>
        <v>0</v>
      </c>
      <c r="I241" s="129">
        <f>-'7.现金流量表'!J12</f>
        <v>0</v>
      </c>
      <c r="J241" s="130">
        <f>-'7.现金流量表'!K12</f>
        <v>-736.3125</v>
      </c>
      <c r="K241" s="130">
        <f>-'7.现金流量表'!L12</f>
        <v>-765.76499999999999</v>
      </c>
      <c r="L241" s="131">
        <f>-'7.现金流量表'!M12</f>
        <v>-334.74870000000004</v>
      </c>
      <c r="M241" s="129">
        <f>-'7.现金流量表'!O12</f>
        <v>-341.44367399999999</v>
      </c>
      <c r="N241" s="130">
        <f>-'7.现金流量表'!P12</f>
        <v>-174.72000000000003</v>
      </c>
      <c r="O241" s="130">
        <f>-'7.现金流量表'!Q12</f>
        <v>-87.990000000000009</v>
      </c>
      <c r="P241" s="131">
        <f>-'7.现金流量表'!R12</f>
        <v>-44.31</v>
      </c>
      <c r="Q241" s="129">
        <f>-'7.现金流量表'!T12</f>
        <v>-29.54</v>
      </c>
      <c r="R241" s="130">
        <f>-'7.现金流量表'!U12</f>
        <v>0</v>
      </c>
      <c r="S241" s="130">
        <f>-'7.现金流量表'!V12</f>
        <v>0</v>
      </c>
      <c r="T241" s="131">
        <f>-'7.现金流量表'!W12</f>
        <v>0</v>
      </c>
      <c r="U241" s="129">
        <f>-'7.现金流量表'!Y12</f>
        <v>0</v>
      </c>
      <c r="V241" s="130">
        <f>-'7.现金流量表'!Z12</f>
        <v>0</v>
      </c>
      <c r="W241" s="130">
        <f>-'7.现金流量表'!AA12</f>
        <v>0</v>
      </c>
      <c r="X241" s="131">
        <f>-'7.现金流量表'!AB12</f>
        <v>0</v>
      </c>
      <c r="Y241" s="129">
        <f>-'7.现金流量表'!AD12</f>
        <v>0</v>
      </c>
      <c r="Z241" s="130">
        <f>-'7.现金流量表'!AE12</f>
        <v>0</v>
      </c>
      <c r="AA241" s="130">
        <f>-'7.现金流量表'!AF12</f>
        <v>0</v>
      </c>
      <c r="AB241" s="131">
        <f>-'7.现金流量表'!AG12</f>
        <v>0</v>
      </c>
      <c r="AC241" s="129">
        <f>-'7.现金流量表'!AI12</f>
        <v>0</v>
      </c>
      <c r="AD241" s="130">
        <f>-'7.现金流量表'!AJ12</f>
        <v>0</v>
      </c>
      <c r="AE241" s="130">
        <f>-'7.现金流量表'!AK12</f>
        <v>0</v>
      </c>
      <c r="AF241" s="131">
        <f>-'7.现金流量表'!AL12</f>
        <v>0</v>
      </c>
      <c r="AG241" s="129">
        <f>-'7.现金流量表'!AN12</f>
        <v>0</v>
      </c>
      <c r="AH241" s="130">
        <f>-'7.现金流量表'!AO12</f>
        <v>0</v>
      </c>
      <c r="AI241" s="130">
        <f>-'7.现金流量表'!AP12</f>
        <v>0</v>
      </c>
      <c r="AJ241" s="131">
        <f>-'7.现金流量表'!AQ12</f>
        <v>0</v>
      </c>
      <c r="AK241" s="129">
        <f>-'7.现金流量表'!AS12</f>
        <v>0</v>
      </c>
      <c r="AL241" s="130">
        <f>-'7.现金流量表'!AT12</f>
        <v>0</v>
      </c>
      <c r="AM241" s="130">
        <f>-'7.现金流量表'!AU12</f>
        <v>0</v>
      </c>
      <c r="AN241" s="131">
        <f>-'7.现金流量表'!AV12</f>
        <v>0</v>
      </c>
      <c r="AO241" s="129">
        <f>-'7.现金流量表'!AX12</f>
        <v>0</v>
      </c>
      <c r="AP241" s="130">
        <f>-'7.现金流量表'!AY12</f>
        <v>0</v>
      </c>
      <c r="AQ241" s="130">
        <f>-'7.现金流量表'!AZ12</f>
        <v>0</v>
      </c>
      <c r="AR241" s="131">
        <f>-'7.现金流量表'!BA12</f>
        <v>0</v>
      </c>
      <c r="AS241" s="129">
        <f>-'7.现金流量表'!BC12</f>
        <v>0</v>
      </c>
      <c r="AT241" s="130">
        <f>-'7.现金流量表'!BD12</f>
        <v>0</v>
      </c>
      <c r="AU241" s="130">
        <f>-'7.现金流量表'!BE12</f>
        <v>0</v>
      </c>
      <c r="AV241" s="131">
        <f>-'7.现金流量表'!BF12</f>
        <v>0</v>
      </c>
      <c r="AW241" s="154"/>
    </row>
    <row r="242" spans="1:49" s="75" customFormat="1" ht="16.5" customHeight="1">
      <c r="A242" s="85"/>
      <c r="B242" s="127" t="s">
        <v>950</v>
      </c>
      <c r="C242" s="127" t="s">
        <v>583</v>
      </c>
      <c r="D242" s="128">
        <f t="shared" si="69"/>
        <v>-2011.8638992000003</v>
      </c>
      <c r="E242" s="129">
        <f>-'7.现金流量表'!E13</f>
        <v>0</v>
      </c>
      <c r="F242" s="130">
        <f>-'7.现金流量表'!F13</f>
        <v>0</v>
      </c>
      <c r="G242" s="130">
        <f>-'7.现金流量表'!G13</f>
        <v>0</v>
      </c>
      <c r="H242" s="131">
        <f>-'7.现金流量表'!H13</f>
        <v>0</v>
      </c>
      <c r="I242" s="129">
        <f>-'7.现金流量表'!J13</f>
        <v>0</v>
      </c>
      <c r="J242" s="130">
        <f>-'7.现金流量表'!K13</f>
        <v>-589.05000000000007</v>
      </c>
      <c r="K242" s="130">
        <f>-'7.现金流量表'!L13</f>
        <v>-612.61199999999997</v>
      </c>
      <c r="L242" s="131">
        <f>-'7.现金流量表'!M13</f>
        <v>-267.79896000000002</v>
      </c>
      <c r="M242" s="129">
        <f>-'7.现金流量表'!O13</f>
        <v>-273.1549392</v>
      </c>
      <c r="N242" s="130">
        <f>-'7.现金流量表'!P13</f>
        <v>-139.77600000000001</v>
      </c>
      <c r="O242" s="130">
        <f>-'7.现金流量表'!Q13</f>
        <v>-70.39200000000001</v>
      </c>
      <c r="P242" s="131">
        <f>-'7.现金流量表'!R13</f>
        <v>-35.448</v>
      </c>
      <c r="Q242" s="129">
        <f>-'7.现金流量表'!T13</f>
        <v>-23.631999999999998</v>
      </c>
      <c r="R242" s="130">
        <f>-'7.现金流量表'!U13</f>
        <v>0</v>
      </c>
      <c r="S242" s="130">
        <f>-'7.现金流量表'!V13</f>
        <v>0</v>
      </c>
      <c r="T242" s="131">
        <f>-'7.现金流量表'!W13</f>
        <v>0</v>
      </c>
      <c r="U242" s="129">
        <f>-'7.现金流量表'!Y13</f>
        <v>0</v>
      </c>
      <c r="V242" s="130">
        <f>-'7.现金流量表'!Z13</f>
        <v>0</v>
      </c>
      <c r="W242" s="130">
        <f>-'7.现金流量表'!AA13</f>
        <v>0</v>
      </c>
      <c r="X242" s="131">
        <f>-'7.现金流量表'!AB13</f>
        <v>0</v>
      </c>
      <c r="Y242" s="129">
        <f>-'7.现金流量表'!AD13</f>
        <v>0</v>
      </c>
      <c r="Z242" s="130">
        <f>-'7.现金流量表'!AE13</f>
        <v>0</v>
      </c>
      <c r="AA242" s="130">
        <f>-'7.现金流量表'!AF13</f>
        <v>0</v>
      </c>
      <c r="AB242" s="131">
        <f>-'7.现金流量表'!AG13</f>
        <v>0</v>
      </c>
      <c r="AC242" s="129">
        <f>-'7.现金流量表'!AI13</f>
        <v>0</v>
      </c>
      <c r="AD242" s="130">
        <f>-'7.现金流量表'!AJ13</f>
        <v>0</v>
      </c>
      <c r="AE242" s="130">
        <f>-'7.现金流量表'!AK13</f>
        <v>0</v>
      </c>
      <c r="AF242" s="131">
        <f>-'7.现金流量表'!AL13</f>
        <v>0</v>
      </c>
      <c r="AG242" s="129">
        <f>-'7.现金流量表'!AN13</f>
        <v>0</v>
      </c>
      <c r="AH242" s="130">
        <f>-'7.现金流量表'!AO13</f>
        <v>0</v>
      </c>
      <c r="AI242" s="130">
        <f>-'7.现金流量表'!AP13</f>
        <v>0</v>
      </c>
      <c r="AJ242" s="131">
        <f>-'7.现金流量表'!AQ13</f>
        <v>0</v>
      </c>
      <c r="AK242" s="129">
        <f>-'7.现金流量表'!AS13</f>
        <v>0</v>
      </c>
      <c r="AL242" s="130">
        <f>-'7.现金流量表'!AT13</f>
        <v>0</v>
      </c>
      <c r="AM242" s="130">
        <f>-'7.现金流量表'!AU13</f>
        <v>0</v>
      </c>
      <c r="AN242" s="131">
        <f>-'7.现金流量表'!AV13</f>
        <v>0</v>
      </c>
      <c r="AO242" s="129">
        <f>-'7.现金流量表'!AX13</f>
        <v>0</v>
      </c>
      <c r="AP242" s="130">
        <f>-'7.现金流量表'!AY13</f>
        <v>0</v>
      </c>
      <c r="AQ242" s="130">
        <f>-'7.现金流量表'!AZ13</f>
        <v>0</v>
      </c>
      <c r="AR242" s="131">
        <f>-'7.现金流量表'!BA13</f>
        <v>0</v>
      </c>
      <c r="AS242" s="129">
        <f>-'7.现金流量表'!BC13</f>
        <v>0</v>
      </c>
      <c r="AT242" s="130">
        <f>-'7.现金流量表'!BD13</f>
        <v>0</v>
      </c>
      <c r="AU242" s="130">
        <f>-'7.现金流量表'!BE13</f>
        <v>0</v>
      </c>
      <c r="AV242" s="131">
        <f>-'7.现金流量表'!BF13</f>
        <v>0</v>
      </c>
    </row>
    <row r="243" spans="1:49" s="75" customFormat="1" ht="16.5" customHeight="1">
      <c r="A243" s="85"/>
      <c r="B243" s="132" t="s">
        <v>950</v>
      </c>
      <c r="C243" s="132" t="s">
        <v>211</v>
      </c>
      <c r="D243" s="133">
        <f t="shared" ca="1" si="69"/>
        <v>-9573.4420023267721</v>
      </c>
      <c r="E243" s="134">
        <f>-SUM('7.现金流量表'!E17,'7.现金流量表'!E19,'7.现金流量表'!E20,'7.现金流量表'!E23)</f>
        <v>0</v>
      </c>
      <c r="F243" s="135">
        <f>-SUM('7.现金流量表'!F17,'7.现金流量表'!F19,'7.现金流量表'!F20,'7.现金流量表'!F23)</f>
        <v>0</v>
      </c>
      <c r="G243" s="135">
        <f>-SUM('7.现金流量表'!G17,'7.现金流量表'!G19,'7.现金流量表'!G20,'7.现金流量表'!G23)</f>
        <v>0</v>
      </c>
      <c r="H243" s="136">
        <f>-SUM('7.现金流量表'!H17,'7.现金流量表'!H19,'7.现金流量表'!H20,'7.现金流量表'!H23)</f>
        <v>0</v>
      </c>
      <c r="I243" s="134">
        <f>-SUM('7.现金流量表'!J17,'7.现金流量表'!J19,'7.现金流量表'!J20,'7.现金流量表'!J23)</f>
        <v>0</v>
      </c>
      <c r="J243" s="135">
        <f>-SUM('7.现金流量表'!K17,'7.现金流量表'!K19,'7.现金流量表'!K20,'7.现金流量表'!K23)</f>
        <v>-568.14275817648911</v>
      </c>
      <c r="K243" s="135">
        <f>-SUM('7.现金流量表'!L17,'7.现金流量表'!L19,'7.现金流量表'!L20,'7.现金流量表'!L23)</f>
        <v>-590.86846850354857</v>
      </c>
      <c r="L243" s="136">
        <f>-SUM('7.现金流量表'!M17,'7.现金流量表'!M19,'7.现金流量表'!M20,'7.现金流量表'!M23)</f>
        <v>-258.29393051726555</v>
      </c>
      <c r="M243" s="134">
        <f ca="1">-SUM('7.现金流量表'!O17,'7.现金流量表'!O19,'7.现金流量表'!O20,'7.现金流量表'!O23)</f>
        <v>-7896.4453056107477</v>
      </c>
      <c r="N243" s="135">
        <f>-SUM('7.现金流量表'!P17,'7.现金流量表'!P19,'7.现金流量表'!P20,'7.现金流量表'!P23)</f>
        <v>-134.81490903467778</v>
      </c>
      <c r="O243" s="135">
        <f>-SUM('7.现金流量表'!Q17,'7.现金流量表'!Q19,'7.现金流量表'!Q20,'7.现金流量表'!Q23)</f>
        <v>-67.893565968185072</v>
      </c>
      <c r="P243" s="136">
        <f>-SUM('7.现金流量表'!R17,'7.现金流量表'!R19,'7.现金流量表'!R20,'7.现金流量表'!R23)</f>
        <v>-34.189838709515641</v>
      </c>
      <c r="Q243" s="134">
        <f>-SUM('7.现金流量表'!T17,'7.现金流量表'!T19,'7.现金流量表'!T20,'7.现金流量表'!T23)</f>
        <v>-22.793225806343756</v>
      </c>
      <c r="R243" s="135">
        <f>-SUM('7.现金流量表'!U17,'7.现金流量表'!U19,'7.现金流量表'!U20,'7.现金流量表'!U23)</f>
        <v>0</v>
      </c>
      <c r="S243" s="135">
        <f>-SUM('7.现金流量表'!V17,'7.现金流量表'!V19,'7.现金流量表'!V20,'7.现金流量表'!V23)</f>
        <v>0</v>
      </c>
      <c r="T243" s="136">
        <f>-SUM('7.现金流量表'!W17,'7.现金流量表'!W19,'7.现金流量表'!W20,'7.现金流量表'!W23)</f>
        <v>0</v>
      </c>
      <c r="U243" s="134">
        <f>-SUM('7.现金流量表'!Y17,'7.现金流量表'!Y19,'7.现金流量表'!Y20,'7.现金流量表'!Y23)</f>
        <v>0</v>
      </c>
      <c r="V243" s="135">
        <f>-SUM('7.现金流量表'!Z17,'7.现金流量表'!Z19,'7.现金流量表'!Z20,'7.现金流量表'!Z23)</f>
        <v>0</v>
      </c>
      <c r="W243" s="135">
        <f>-SUM('7.现金流量表'!AA17,'7.现金流量表'!AA19,'7.现金流量表'!AA20,'7.现金流量表'!AA23)</f>
        <v>0</v>
      </c>
      <c r="X243" s="136">
        <f>-SUM('7.现金流量表'!AB17,'7.现金流量表'!AB19,'7.现金流量表'!AB20,'7.现金流量表'!AB23)</f>
        <v>0</v>
      </c>
      <c r="Y243" s="134">
        <f>-SUM('7.现金流量表'!AD17,'7.现金流量表'!AD19,'7.现金流量表'!AD20,'7.现金流量表'!AD23)</f>
        <v>0</v>
      </c>
      <c r="Z243" s="135">
        <f>-SUM('7.现金流量表'!AE17,'7.现金流量表'!AE19,'7.现金流量表'!AE20,'7.现金流量表'!AE23)</f>
        <v>0</v>
      </c>
      <c r="AA243" s="135">
        <f>-SUM('7.现金流量表'!AF17,'7.现金流量表'!AF19,'7.现金流量表'!AF20,'7.现金流量表'!AF23)</f>
        <v>0</v>
      </c>
      <c r="AB243" s="136">
        <f>-SUM('7.现金流量表'!AG17,'7.现金流量表'!AG19,'7.现金流量表'!AG20,'7.现金流量表'!AG23)</f>
        <v>0</v>
      </c>
      <c r="AC243" s="134">
        <f>-SUM('7.现金流量表'!AI17,'7.现金流量表'!AI19,'7.现金流量表'!AI20,'7.现金流量表'!AI23)</f>
        <v>0</v>
      </c>
      <c r="AD243" s="135">
        <f>-SUM('7.现金流量表'!AJ17,'7.现金流量表'!AJ19,'7.现金流量表'!AJ20,'7.现金流量表'!AJ23)</f>
        <v>0</v>
      </c>
      <c r="AE243" s="135">
        <f>-SUM('7.现金流量表'!AK17,'7.现金流量表'!AK19,'7.现金流量表'!AK20,'7.现金流量表'!AK23)</f>
        <v>0</v>
      </c>
      <c r="AF243" s="136">
        <f>-SUM('7.现金流量表'!AL17,'7.现金流量表'!AL19,'7.现金流量表'!AL20,'7.现金流量表'!AL23)</f>
        <v>0</v>
      </c>
      <c r="AG243" s="134">
        <f>-SUM('7.现金流量表'!AN17,'7.现金流量表'!AN19,'7.现金流量表'!AN20,'7.现金流量表'!AN23)</f>
        <v>0</v>
      </c>
      <c r="AH243" s="135">
        <f>-SUM('7.现金流量表'!AO17,'7.现金流量表'!AO19,'7.现金流量表'!AO20,'7.现金流量表'!AO23)</f>
        <v>0</v>
      </c>
      <c r="AI243" s="135">
        <f>-SUM('7.现金流量表'!AP17,'7.现金流量表'!AP19,'7.现金流量表'!AP20,'7.现金流量表'!AP23)</f>
        <v>0</v>
      </c>
      <c r="AJ243" s="136">
        <f>-SUM('7.现金流量表'!AQ17,'7.现金流量表'!AQ19,'7.现金流量表'!AQ20,'7.现金流量表'!AQ23)</f>
        <v>0</v>
      </c>
      <c r="AK243" s="134">
        <f>-SUM('7.现金流量表'!AS17,'7.现金流量表'!AS19,'7.现金流量表'!AS20,'7.现金流量表'!AS23)</f>
        <v>0</v>
      </c>
      <c r="AL243" s="135">
        <f>-SUM('7.现金流量表'!AT17,'7.现金流量表'!AT19,'7.现金流量表'!AT20,'7.现金流量表'!AT23)</f>
        <v>0</v>
      </c>
      <c r="AM243" s="135">
        <f>-SUM('7.现金流量表'!AU17,'7.现金流量表'!AU19,'7.现金流量表'!AU20,'7.现金流量表'!AU23)</f>
        <v>0</v>
      </c>
      <c r="AN243" s="136">
        <f>-SUM('7.现金流量表'!AV17,'7.现金流量表'!AV19,'7.现金流量表'!AV20,'7.现金流量表'!AV23)</f>
        <v>0</v>
      </c>
      <c r="AO243" s="134">
        <f>-SUM('7.现金流量表'!AX17,'7.现金流量表'!AX19,'7.现金流量表'!AX20,'7.现金流量表'!AX23)</f>
        <v>0</v>
      </c>
      <c r="AP243" s="135">
        <f>-SUM('7.现金流量表'!AY17,'7.现金流量表'!AY19,'7.现金流量表'!AY20,'7.现金流量表'!AY23)</f>
        <v>0</v>
      </c>
      <c r="AQ243" s="135">
        <f>-SUM('7.现金流量表'!AZ17,'7.现金流量表'!AZ19,'7.现金流量表'!AZ20,'7.现金流量表'!AZ23)</f>
        <v>0</v>
      </c>
      <c r="AR243" s="136">
        <f>-SUM('7.现金流量表'!BA17,'7.现金流量表'!BA19,'7.现金流量表'!BA20,'7.现金流量表'!BA23)</f>
        <v>0</v>
      </c>
      <c r="AS243" s="134">
        <f>-SUM('7.现金流量表'!BC17,'7.现金流量表'!BC19,'7.现金流量表'!BC20,'7.现金流量表'!BC23)</f>
        <v>0</v>
      </c>
      <c r="AT243" s="135">
        <f>-SUM('7.现金流量表'!BD17,'7.现金流量表'!BD19,'7.现金流量表'!BD20,'7.现金流量表'!BD23)</f>
        <v>0</v>
      </c>
      <c r="AU243" s="135">
        <f>-SUM('7.现金流量表'!BE17,'7.现金流量表'!BE19,'7.现金流量表'!BE20,'7.现金流量表'!BE23)</f>
        <v>0</v>
      </c>
      <c r="AV243" s="136">
        <f>-SUM('7.现金流量表'!BF17,'7.现金流量表'!BF19,'7.现金流量表'!BF20,'7.现金流量表'!BF23)</f>
        <v>0</v>
      </c>
      <c r="AW243" s="155"/>
    </row>
    <row r="244" spans="1:49" ht="15" customHeight="1">
      <c r="A244" s="78"/>
      <c r="B244" s="137" t="s">
        <v>251</v>
      </c>
      <c r="C244" s="137" t="s">
        <v>954</v>
      </c>
      <c r="D244" s="138">
        <f t="shared" ca="1" si="69"/>
        <v>28050.481844812555</v>
      </c>
      <c r="E244" s="138">
        <f ca="1">SUM(E235:E243)</f>
        <v>0</v>
      </c>
      <c r="F244" s="139">
        <f t="shared" ref="F244:AV244" ca="1" si="70">SUM(F235:F243)</f>
        <v>0</v>
      </c>
      <c r="G244" s="139">
        <f t="shared" ca="1" si="70"/>
        <v>0</v>
      </c>
      <c r="H244" s="140">
        <f t="shared" ca="1" si="70"/>
        <v>0</v>
      </c>
      <c r="I244" s="138">
        <f t="shared" ca="1" si="70"/>
        <v>0</v>
      </c>
      <c r="J244" s="139">
        <f t="shared" ca="1" si="70"/>
        <v>-1893.5052581764894</v>
      </c>
      <c r="K244" s="139">
        <f t="shared" ca="1" si="70"/>
        <v>-1969.2454685035486</v>
      </c>
      <c r="L244" s="140">
        <f t="shared" ca="1" si="70"/>
        <v>-860.84159051726556</v>
      </c>
      <c r="M244" s="138">
        <f t="shared" ca="1" si="70"/>
        <v>-8511.0439188107484</v>
      </c>
      <c r="N244" s="139">
        <f t="shared" ca="1" si="70"/>
        <v>-449.31090903467782</v>
      </c>
      <c r="O244" s="139">
        <f t="shared" ca="1" si="70"/>
        <v>-226.27556596818508</v>
      </c>
      <c r="P244" s="140">
        <f t="shared" ca="1" si="70"/>
        <v>41541.555079288395</v>
      </c>
      <c r="Q244" s="138">
        <f t="shared" ca="1" si="70"/>
        <v>419.14947653507744</v>
      </c>
      <c r="R244" s="139">
        <f t="shared" ca="1" si="70"/>
        <v>0</v>
      </c>
      <c r="S244" s="139">
        <f t="shared" ca="1" si="70"/>
        <v>0</v>
      </c>
      <c r="T244" s="140">
        <f t="shared" ca="1" si="70"/>
        <v>0</v>
      </c>
      <c r="U244" s="138">
        <f t="shared" ca="1" si="70"/>
        <v>0</v>
      </c>
      <c r="V244" s="139">
        <f t="shared" ca="1" si="70"/>
        <v>0</v>
      </c>
      <c r="W244" s="139">
        <f t="shared" ca="1" si="70"/>
        <v>0</v>
      </c>
      <c r="X244" s="140">
        <f t="shared" ca="1" si="70"/>
        <v>0</v>
      </c>
      <c r="Y244" s="138">
        <f t="shared" ca="1" si="70"/>
        <v>0</v>
      </c>
      <c r="Z244" s="139">
        <f t="shared" ca="1" si="70"/>
        <v>0</v>
      </c>
      <c r="AA244" s="139">
        <f t="shared" ca="1" si="70"/>
        <v>0</v>
      </c>
      <c r="AB244" s="140">
        <f t="shared" ca="1" si="70"/>
        <v>0</v>
      </c>
      <c r="AC244" s="138">
        <f t="shared" ca="1" si="70"/>
        <v>0</v>
      </c>
      <c r="AD244" s="139">
        <f t="shared" ca="1" si="70"/>
        <v>0</v>
      </c>
      <c r="AE244" s="139">
        <f t="shared" ca="1" si="70"/>
        <v>0</v>
      </c>
      <c r="AF244" s="140">
        <f t="shared" ca="1" si="70"/>
        <v>0</v>
      </c>
      <c r="AG244" s="138">
        <f t="shared" ca="1" si="70"/>
        <v>0</v>
      </c>
      <c r="AH244" s="139">
        <f t="shared" ca="1" si="70"/>
        <v>0</v>
      </c>
      <c r="AI244" s="139">
        <f t="shared" ca="1" si="70"/>
        <v>0</v>
      </c>
      <c r="AJ244" s="140">
        <f t="shared" ca="1" si="70"/>
        <v>0</v>
      </c>
      <c r="AK244" s="138">
        <f t="shared" ca="1" si="70"/>
        <v>0</v>
      </c>
      <c r="AL244" s="139">
        <f t="shared" ca="1" si="70"/>
        <v>0</v>
      </c>
      <c r="AM244" s="139">
        <f t="shared" ca="1" si="70"/>
        <v>0</v>
      </c>
      <c r="AN244" s="140">
        <f t="shared" ca="1" si="70"/>
        <v>0</v>
      </c>
      <c r="AO244" s="138">
        <f t="shared" ca="1" si="70"/>
        <v>0</v>
      </c>
      <c r="AP244" s="139">
        <f t="shared" ca="1" si="70"/>
        <v>0</v>
      </c>
      <c r="AQ244" s="139">
        <f t="shared" ca="1" si="70"/>
        <v>0</v>
      </c>
      <c r="AR244" s="140">
        <f t="shared" ca="1" si="70"/>
        <v>0</v>
      </c>
      <c r="AS244" s="138">
        <f t="shared" ca="1" si="70"/>
        <v>0</v>
      </c>
      <c r="AT244" s="139">
        <f t="shared" ca="1" si="70"/>
        <v>0</v>
      </c>
      <c r="AU244" s="139">
        <f t="shared" ca="1" si="70"/>
        <v>0</v>
      </c>
      <c r="AV244" s="140">
        <f t="shared" ca="1" si="70"/>
        <v>0</v>
      </c>
      <c r="AW244" s="93"/>
    </row>
    <row r="245" spans="1:49" s="75" customFormat="1" ht="16.5" customHeight="1">
      <c r="A245" s="85"/>
      <c r="B245" s="2013" t="s">
        <v>955</v>
      </c>
      <c r="C245" s="132" t="s">
        <v>956</v>
      </c>
      <c r="D245" s="133">
        <f t="shared" si="69"/>
        <v>13717.253858181819</v>
      </c>
      <c r="E245" s="134">
        <f>SUM(E221:E226)</f>
        <v>0</v>
      </c>
      <c r="F245" s="135">
        <f>SUM(F221:F226)</f>
        <v>0</v>
      </c>
      <c r="G245" s="135">
        <f>SUM(G221:G226)</f>
        <v>0</v>
      </c>
      <c r="H245" s="136">
        <f>SUM(H221:H226)</f>
        <v>0</v>
      </c>
      <c r="I245" s="134">
        <f t="shared" ref="I245:AV245" si="71">SUM(I221:I226)</f>
        <v>0</v>
      </c>
      <c r="J245" s="135">
        <f t="shared" si="71"/>
        <v>2811.375</v>
      </c>
      <c r="K245" s="135">
        <f t="shared" si="71"/>
        <v>4128.704999999999</v>
      </c>
      <c r="L245" s="136">
        <f t="shared" si="71"/>
        <v>2531.2013999999999</v>
      </c>
      <c r="M245" s="134">
        <f t="shared" si="71"/>
        <v>1851.4646279999997</v>
      </c>
      <c r="N245" s="135">
        <f t="shared" si="71"/>
        <v>1225.8387392727273</v>
      </c>
      <c r="O245" s="135">
        <f t="shared" si="71"/>
        <v>694.37454545454545</v>
      </c>
      <c r="P245" s="136">
        <f t="shared" si="71"/>
        <v>313.16727272727275</v>
      </c>
      <c r="Q245" s="134">
        <f t="shared" si="71"/>
        <v>161.1272727272727</v>
      </c>
      <c r="R245" s="135">
        <f t="shared" si="71"/>
        <v>0</v>
      </c>
      <c r="S245" s="135">
        <f t="shared" si="71"/>
        <v>0</v>
      </c>
      <c r="T245" s="136">
        <f t="shared" si="71"/>
        <v>0</v>
      </c>
      <c r="U245" s="134">
        <f t="shared" si="71"/>
        <v>0</v>
      </c>
      <c r="V245" s="135">
        <f t="shared" si="71"/>
        <v>0</v>
      </c>
      <c r="W245" s="135">
        <f t="shared" si="71"/>
        <v>0</v>
      </c>
      <c r="X245" s="136">
        <f t="shared" si="71"/>
        <v>0</v>
      </c>
      <c r="Y245" s="134">
        <f t="shared" si="71"/>
        <v>0</v>
      </c>
      <c r="Z245" s="135">
        <f t="shared" si="71"/>
        <v>0</v>
      </c>
      <c r="AA245" s="135">
        <f t="shared" si="71"/>
        <v>0</v>
      </c>
      <c r="AB245" s="136">
        <f t="shared" si="71"/>
        <v>0</v>
      </c>
      <c r="AC245" s="134">
        <f t="shared" si="71"/>
        <v>0</v>
      </c>
      <c r="AD245" s="135">
        <f t="shared" si="71"/>
        <v>0</v>
      </c>
      <c r="AE245" s="135">
        <f t="shared" si="71"/>
        <v>0</v>
      </c>
      <c r="AF245" s="136">
        <f t="shared" si="71"/>
        <v>0</v>
      </c>
      <c r="AG245" s="134">
        <f t="shared" si="71"/>
        <v>0</v>
      </c>
      <c r="AH245" s="135">
        <f t="shared" si="71"/>
        <v>0</v>
      </c>
      <c r="AI245" s="135">
        <f t="shared" si="71"/>
        <v>0</v>
      </c>
      <c r="AJ245" s="136">
        <f t="shared" si="71"/>
        <v>0</v>
      </c>
      <c r="AK245" s="134">
        <f t="shared" si="71"/>
        <v>0</v>
      </c>
      <c r="AL245" s="135">
        <f t="shared" si="71"/>
        <v>0</v>
      </c>
      <c r="AM245" s="135">
        <f t="shared" si="71"/>
        <v>0</v>
      </c>
      <c r="AN245" s="136">
        <f t="shared" si="71"/>
        <v>0</v>
      </c>
      <c r="AO245" s="134">
        <f t="shared" si="71"/>
        <v>0</v>
      </c>
      <c r="AP245" s="135">
        <f t="shared" si="71"/>
        <v>0</v>
      </c>
      <c r="AQ245" s="135">
        <f t="shared" si="71"/>
        <v>0</v>
      </c>
      <c r="AR245" s="136">
        <f t="shared" si="71"/>
        <v>0</v>
      </c>
      <c r="AS245" s="134">
        <f t="shared" si="71"/>
        <v>0</v>
      </c>
      <c r="AT245" s="135">
        <f t="shared" si="71"/>
        <v>0</v>
      </c>
      <c r="AU245" s="135">
        <f t="shared" si="71"/>
        <v>0</v>
      </c>
      <c r="AV245" s="136">
        <f t="shared" si="71"/>
        <v>0</v>
      </c>
    </row>
    <row r="246" spans="1:49" s="75" customFormat="1" ht="16.5" customHeight="1">
      <c r="A246" s="85"/>
      <c r="B246" s="2014"/>
      <c r="C246" s="132" t="s">
        <v>957</v>
      </c>
      <c r="D246" s="133">
        <f t="shared" si="69"/>
        <v>-13717.253858181815</v>
      </c>
      <c r="E246" s="134">
        <f>-'14.增值税计算表'!E125/1.1*'2.税率表'!$D$23*1</f>
        <v>0</v>
      </c>
      <c r="F246" s="135">
        <f>-'14.增值税计算表'!F125/1.1*'2.税率表'!$D$23*1</f>
        <v>0</v>
      </c>
      <c r="G246" s="135">
        <f>-'14.增值税计算表'!G125/1.1*'2.税率表'!$D$23*1</f>
        <v>0</v>
      </c>
      <c r="H246" s="136">
        <f>-'14.增值税计算表'!H125/1.1*'2.税率表'!$D$23*1</f>
        <v>0</v>
      </c>
      <c r="I246" s="134">
        <f>-'14.增值税计算表'!I125/1.1*'2.税率表'!$D$23*1</f>
        <v>0</v>
      </c>
      <c r="J246" s="135">
        <f>-'14.增值税计算表'!J125/1.1*'2.税率表'!$D$23*1</f>
        <v>0</v>
      </c>
      <c r="K246" s="135">
        <f>-'14.增值税计算表'!K125/1.1*'2.税率表'!$D$23*1</f>
        <v>0</v>
      </c>
      <c r="L246" s="136">
        <f>-'14.增值税计算表'!L125/1.1*'2.税率表'!$D$23*1</f>
        <v>0</v>
      </c>
      <c r="M246" s="134">
        <f>-'14.增值税计算表'!M125/1.1*'2.税率表'!$D$23*1</f>
        <v>0</v>
      </c>
      <c r="N246" s="135">
        <f>-'14.增值税计算表'!N125/1.1*'2.税率表'!$D$23*1</f>
        <v>0</v>
      </c>
      <c r="O246" s="135">
        <f>-'14.增值税计算表'!O125/1.1*'2.税率表'!$D$23*1</f>
        <v>0</v>
      </c>
      <c r="P246" s="136">
        <f>-'14.增值税计算表'!P125/1.1*'2.税率表'!$D$23*1</f>
        <v>-13556.126585454542</v>
      </c>
      <c r="Q246" s="134">
        <f>-'14.增值税计算表'!Q125/1.1*'2.税率表'!$D$23*1</f>
        <v>-161.1272727272727</v>
      </c>
      <c r="R246" s="135">
        <f>-'14.增值税计算表'!R125/1.1*'2.税率表'!$D$23*1</f>
        <v>0</v>
      </c>
      <c r="S246" s="135">
        <f>-'14.增值税计算表'!S125/1.1*'2.税率表'!$D$23*1</f>
        <v>0</v>
      </c>
      <c r="T246" s="136">
        <f>-'14.增值税计算表'!T125/1.1*'2.税率表'!$D$23*1</f>
        <v>0</v>
      </c>
      <c r="U246" s="134">
        <f>-'14.增值税计算表'!U125/1.1*'2.税率表'!$D$23*1</f>
        <v>0</v>
      </c>
      <c r="V246" s="135">
        <f>-'14.增值税计算表'!V125/1.1*'2.税率表'!$D$23*1</f>
        <v>0</v>
      </c>
      <c r="W246" s="135">
        <f>-'14.增值税计算表'!W125/1.1*'2.税率表'!$D$23*1</f>
        <v>0</v>
      </c>
      <c r="X246" s="136">
        <f>-'14.增值税计算表'!X125/1.1*'2.税率表'!$D$23*1</f>
        <v>0</v>
      </c>
      <c r="Y246" s="134">
        <f>-'14.增值税计算表'!Y125/1.1*'2.税率表'!$D$23*1</f>
        <v>0</v>
      </c>
      <c r="Z246" s="135">
        <f>-'14.增值税计算表'!Z125/1.1*'2.税率表'!$D$23*1</f>
        <v>0</v>
      </c>
      <c r="AA246" s="135">
        <f>-'14.增值税计算表'!AA125/1.1*'2.税率表'!$D$23*1</f>
        <v>0</v>
      </c>
      <c r="AB246" s="136">
        <f>-'14.增值税计算表'!AB125/1.1*'2.税率表'!$D$23*1</f>
        <v>0</v>
      </c>
      <c r="AC246" s="134">
        <f>-'14.增值税计算表'!AC125/1.1*'2.税率表'!$D$23*1</f>
        <v>0</v>
      </c>
      <c r="AD246" s="135">
        <f>-'14.增值税计算表'!AD125/1.1*'2.税率表'!$D$23*1</f>
        <v>0</v>
      </c>
      <c r="AE246" s="135">
        <f>-'14.增值税计算表'!AE125/1.1*'2.税率表'!$D$23*1</f>
        <v>0</v>
      </c>
      <c r="AF246" s="136">
        <f>-'14.增值税计算表'!AF125/1.1*'2.税率表'!$D$23*1</f>
        <v>0</v>
      </c>
      <c r="AG246" s="134">
        <f>-'14.增值税计算表'!AG125/1.1*'2.税率表'!$D$23*1</f>
        <v>0</v>
      </c>
      <c r="AH246" s="135">
        <f>-'14.增值税计算表'!AH125/1.1*'2.税率表'!$D$23*1</f>
        <v>0</v>
      </c>
      <c r="AI246" s="135">
        <f>-'14.增值税计算表'!AI125/1.1*'2.税率表'!$D$23*1</f>
        <v>0</v>
      </c>
      <c r="AJ246" s="136">
        <f>-'14.增值税计算表'!AJ125/1.1*'2.税率表'!$D$23*1</f>
        <v>0</v>
      </c>
      <c r="AK246" s="134">
        <f>-'14.增值税计算表'!AK125/1.1*'2.税率表'!$D$23*1</f>
        <v>0</v>
      </c>
      <c r="AL246" s="135">
        <f>-'14.增值税计算表'!AL125/1.1*'2.税率表'!$D$23*1</f>
        <v>0</v>
      </c>
      <c r="AM246" s="135">
        <f>-'14.增值税计算表'!AM125/1.1*'2.税率表'!$D$23*1</f>
        <v>0</v>
      </c>
      <c r="AN246" s="136">
        <f>-'14.增值税计算表'!AN125/1.1*'2.税率表'!$D$23*1</f>
        <v>0</v>
      </c>
      <c r="AO246" s="134">
        <f>-'14.增值税计算表'!AO125/1.1*'2.税率表'!$D$23*1</f>
        <v>0</v>
      </c>
      <c r="AP246" s="135">
        <f>-'14.增值税计算表'!AP125/1.1*'2.税率表'!$D$23*1</f>
        <v>0</v>
      </c>
      <c r="AQ246" s="135">
        <f>-'14.增值税计算表'!AQ125/1.1*'2.税率表'!$D$23*1</f>
        <v>0</v>
      </c>
      <c r="AR246" s="136">
        <f>-'14.增值税计算表'!AR125/1.1*'2.税率表'!$D$23*1</f>
        <v>0</v>
      </c>
      <c r="AS246" s="134">
        <f>-'14.增值税计算表'!AS125/1.1*'2.税率表'!$D$23*1</f>
        <v>0</v>
      </c>
      <c r="AT246" s="135">
        <f>-'14.增值税计算表'!AT125/1.1*'2.税率表'!$D$23*1</f>
        <v>0</v>
      </c>
      <c r="AU246" s="135">
        <f>-'14.增值税计算表'!AU125/1.1*'2.税率表'!$D$23*1</f>
        <v>0</v>
      </c>
      <c r="AV246" s="136">
        <f>-'14.增值税计算表'!AV125/1.1*'2.税率表'!$D$23*1</f>
        <v>0</v>
      </c>
    </row>
    <row r="247" spans="1:49" s="75" customFormat="1" ht="16.5" customHeight="1">
      <c r="A247" s="85"/>
      <c r="B247" s="2014"/>
      <c r="C247" s="132" t="s">
        <v>958</v>
      </c>
      <c r="D247" s="133">
        <f t="shared" ca="1" si="69"/>
        <v>264</v>
      </c>
      <c r="E247" s="134">
        <f ca="1">IF(SUM(E235:E240)=0,0,('17.财务费用测算表'!$C$36-'17.财务费用测算表'!$C$57)*'14.增值税计算表'!E125/1.1/$C$6)</f>
        <v>0</v>
      </c>
      <c r="F247" s="135">
        <f ca="1">IF(SUM(F235:F240)=0,0,('17.财务费用测算表'!$C$36-'17.财务费用测算表'!$C$57)*'14.增值税计算表'!F125/1.1/$C$6)</f>
        <v>0</v>
      </c>
      <c r="G247" s="135">
        <f ca="1">IF(SUM(G235:G240)=0,0,('17.财务费用测算表'!$C$36-'17.财务费用测算表'!$C$57)*'14.增值税计算表'!G125/1.1/$C$6)</f>
        <v>0</v>
      </c>
      <c r="H247" s="136">
        <f ca="1">IF(SUM(H235:H240)=0,0,('17.财务费用测算表'!$C$36-'17.财务费用测算表'!$C$57)*'14.增值税计算表'!H125/1.1/$C$6)</f>
        <v>0</v>
      </c>
      <c r="I247" s="134">
        <f ca="1">IF(SUM(I235:I240)=0,0,('17.财务费用测算表'!$C$36-'17.财务费用测算表'!$C$57)*'14.增值税计算表'!I125/1.1/$C$6)</f>
        <v>0</v>
      </c>
      <c r="J247" s="135">
        <f ca="1">IF(SUM(J235:J240)=0,0,('17.财务费用测算表'!$C$36-'17.财务费用测算表'!$C$57)*'14.增值税计算表'!J125/1.1/$C$6)</f>
        <v>0</v>
      </c>
      <c r="K247" s="135">
        <f ca="1">IF(SUM(K235:K240)=0,0,('17.财务费用测算表'!$C$36-'17.财务费用测算表'!$C$57)*'14.增值税计算表'!K125/1.1/$C$6)</f>
        <v>0</v>
      </c>
      <c r="L247" s="136">
        <f ca="1">IF(SUM(L235:L240)=0,0,('17.财务费用测算表'!$C$36-'17.财务费用测算表'!$C$57)*'14.增值税计算表'!L125/1.1/$C$6)</f>
        <v>0</v>
      </c>
      <c r="M247" s="134">
        <f ca="1">IF(SUM(M235:M240)=0,0,('17.财务费用测算表'!$C$36-'17.财务费用测算表'!$C$57)*'14.增值税计算表'!M125/1.1/$C$6)</f>
        <v>0</v>
      </c>
      <c r="N247" s="135">
        <f ca="1">IF(SUM(N235:N240)=0,0,('17.财务费用测算表'!$C$36-'17.财务费用测算表'!$C$57)*'14.增值税计算表'!N125/1.1/$C$6)</f>
        <v>0</v>
      </c>
      <c r="O247" s="135">
        <f ca="1">IF(SUM(O235:O240)=0,0,('17.财务费用测算表'!$C$36-'17.财务费用测算表'!$C$57)*'14.增值税计算表'!O125/1.1/$C$6)</f>
        <v>0</v>
      </c>
      <c r="P247" s="136">
        <f ca="1">IF(SUM(P235:P240)=0,0,('17.财务费用测算表'!$C$36-'17.财务费用测算表'!$C$57)*'14.增值税计算表'!P125/1.1/$C$6)</f>
        <v>260.89897114686494</v>
      </c>
      <c r="Q247" s="134">
        <f ca="1">IF(SUM(Q235:Q240)=0,0,('17.财务费用测算表'!$C$36-'17.财务费用测算表'!$C$57)*'14.增值税计算表'!Q125/1.1/$C$6)</f>
        <v>3.1010288531350572</v>
      </c>
      <c r="R247" s="135">
        <f ca="1">IF(SUM(R235:R240)=0,0,('17.财务费用测算表'!$C$36-'17.财务费用测算表'!$C$57)*'14.增值税计算表'!R125/1.1/$C$6)</f>
        <v>0</v>
      </c>
      <c r="S247" s="135">
        <f ca="1">IF(SUM(S235:S240)=0,0,('17.财务费用测算表'!$C$36-'17.财务费用测算表'!$C$57)*'14.增值税计算表'!S125/1.1/$C$6)</f>
        <v>0</v>
      </c>
      <c r="T247" s="136">
        <f ca="1">IF(SUM(T235:T240)=0,0,('17.财务费用测算表'!$C$36-'17.财务费用测算表'!$C$57)*'14.增值税计算表'!T125/1.1/$C$6)</f>
        <v>0</v>
      </c>
      <c r="U247" s="134">
        <f ca="1">IF(SUM(U235:U240)=0,0,('17.财务费用测算表'!$C$36-'17.财务费用测算表'!$C$57)*'14.增值税计算表'!U125/1.1/$C$6)</f>
        <v>0</v>
      </c>
      <c r="V247" s="135">
        <f ca="1">IF(SUM(V235:V240)=0,0,('17.财务费用测算表'!$C$36-'17.财务费用测算表'!$C$57)*'14.增值税计算表'!V125/1.1/$C$6)</f>
        <v>0</v>
      </c>
      <c r="W247" s="135">
        <f ca="1">IF(SUM(W235:W240)=0,0,('17.财务费用测算表'!$C$36-'17.财务费用测算表'!$C$57)*'14.增值税计算表'!W125/1.1/$C$6)</f>
        <v>0</v>
      </c>
      <c r="X247" s="136">
        <f ca="1">IF(SUM(X235:X240)=0,0,('17.财务费用测算表'!$C$36-'17.财务费用测算表'!$C$57)*'14.增值税计算表'!X125/1.1/$C$6)</f>
        <v>0</v>
      </c>
      <c r="Y247" s="134">
        <f ca="1">IF(SUM(Y235:Y240)=0,0,('17.财务费用测算表'!$C$36-'17.财务费用测算表'!$C$57)*'14.增值税计算表'!Y125/1.1/$C$6)</f>
        <v>0</v>
      </c>
      <c r="Z247" s="135">
        <f ca="1">IF(SUM(Z235:Z240)=0,0,('17.财务费用测算表'!$C$36-'17.财务费用测算表'!$C$57)*'14.增值税计算表'!Z125/1.1/$C$6)</f>
        <v>0</v>
      </c>
      <c r="AA247" s="135">
        <f ca="1">IF(SUM(AA235:AA240)=0,0,('17.财务费用测算表'!$C$36-'17.财务费用测算表'!$C$57)*'14.增值税计算表'!AA125/1.1/$C$6)</f>
        <v>0</v>
      </c>
      <c r="AB247" s="136">
        <f ca="1">IF(SUM(AB235:AB240)=0,0,('17.财务费用测算表'!$C$36-'17.财务费用测算表'!$C$57)*'14.增值税计算表'!AB125/1.1/$C$6)</f>
        <v>0</v>
      </c>
      <c r="AC247" s="134">
        <f ca="1">IF(SUM(AC235:AC240)=0,0,('17.财务费用测算表'!$C$36-'17.财务费用测算表'!$C$57)*'14.增值税计算表'!AC125/1.1/$C$6)</f>
        <v>0</v>
      </c>
      <c r="AD247" s="135">
        <f ca="1">IF(SUM(AD235:AD240)=0,0,('17.财务费用测算表'!$C$36-'17.财务费用测算表'!$C$57)*'14.增值税计算表'!AD125/1.1/$C$6)</f>
        <v>0</v>
      </c>
      <c r="AE247" s="135">
        <f ca="1">IF(SUM(AE235:AE240)=0,0,('17.财务费用测算表'!$C$36-'17.财务费用测算表'!$C$57)*'14.增值税计算表'!AE125/1.1/$C$6)</f>
        <v>0</v>
      </c>
      <c r="AF247" s="136">
        <f ca="1">IF(SUM(AF235:AF240)=0,0,('17.财务费用测算表'!$C$36-'17.财务费用测算表'!$C$57)*'14.增值税计算表'!AF125/1.1/$C$6)</f>
        <v>0</v>
      </c>
      <c r="AG247" s="134">
        <f ca="1">IF(SUM(AG235:AG240)=0,0,('17.财务费用测算表'!$C$36-'17.财务费用测算表'!$C$57)*'14.增值税计算表'!AG125/1.1/$C$6)</f>
        <v>0</v>
      </c>
      <c r="AH247" s="135">
        <f ca="1">IF(SUM(AH235:AH240)=0,0,('17.财务费用测算表'!$C$36-'17.财务费用测算表'!$C$57)*'14.增值税计算表'!AH125/1.1/$C$6)</f>
        <v>0</v>
      </c>
      <c r="AI247" s="135">
        <f ca="1">IF(SUM(AI235:AI240)=0,0,('17.财务费用测算表'!$C$36-'17.财务费用测算表'!$C$57)*'14.增值税计算表'!AI125/1.1/$C$6)</f>
        <v>0</v>
      </c>
      <c r="AJ247" s="136">
        <f ca="1">IF(SUM(AJ235:AJ240)=0,0,('17.财务费用测算表'!$C$36-'17.财务费用测算表'!$C$57)*'14.增值税计算表'!AJ125/1.1/$C$6)</f>
        <v>0</v>
      </c>
      <c r="AK247" s="134">
        <f ca="1">IF(SUM(AK235:AK240)=0,0,('17.财务费用测算表'!$C$36-'17.财务费用测算表'!$C$57)*'14.增值税计算表'!AK125/1.1/$C$6)</f>
        <v>0</v>
      </c>
      <c r="AL247" s="135">
        <f ca="1">IF(SUM(AL235:AL240)=0,0,('17.财务费用测算表'!$C$36-'17.财务费用测算表'!$C$57)*'14.增值税计算表'!AL125/1.1/$C$6)</f>
        <v>0</v>
      </c>
      <c r="AM247" s="135">
        <f ca="1">IF(SUM(AM235:AM240)=0,0,('17.财务费用测算表'!$C$36-'17.财务费用测算表'!$C$57)*'14.增值税计算表'!AM125/1.1/$C$6)</f>
        <v>0</v>
      </c>
      <c r="AN247" s="136">
        <f ca="1">IF(SUM(AN235:AN240)=0,0,('17.财务费用测算表'!$C$36-'17.财务费用测算表'!$C$57)*'14.增值税计算表'!AN125/1.1/$C$6)</f>
        <v>0</v>
      </c>
      <c r="AO247" s="134">
        <f ca="1">IF(SUM(AO235:AO240)=0,0,('17.财务费用测算表'!$C$36-'17.财务费用测算表'!$C$57)*'14.增值税计算表'!AO125/1.1/$C$6)</f>
        <v>0</v>
      </c>
      <c r="AP247" s="135">
        <f ca="1">IF(SUM(AP235:AP240)=0,0,('17.财务费用测算表'!$C$36-'17.财务费用测算表'!$C$57)*'14.增值税计算表'!AP125/1.1/$C$6)</f>
        <v>0</v>
      </c>
      <c r="AQ247" s="135">
        <f ca="1">IF(SUM(AQ235:AQ240)=0,0,('17.财务费用测算表'!$C$36-'17.财务费用测算表'!$C$57)*'14.增值税计算表'!AQ125/1.1/$C$6)</f>
        <v>0</v>
      </c>
      <c r="AR247" s="136">
        <f ca="1">IF(SUM(AR235:AR240)=0,0,('17.财务费用测算表'!$C$36-'17.财务费用测算表'!$C$57)*'14.增值税计算表'!AR125/1.1/$C$6)</f>
        <v>0</v>
      </c>
      <c r="AS247" s="134">
        <f ca="1">IF(SUM(AS235:AS240)=0,0,('17.财务费用测算表'!$C$36-'17.财务费用测算表'!$C$57)*'14.增值税计算表'!AS125/1.1/$C$6)</f>
        <v>0</v>
      </c>
      <c r="AT247" s="135">
        <f ca="1">IF(SUM(AT235:AT240)=0,0,('17.财务费用测算表'!$C$36-'17.财务费用测算表'!$C$57)*'14.增值税计算表'!AT125/1.1/$C$6)</f>
        <v>0</v>
      </c>
      <c r="AU247" s="135">
        <f ca="1">IF(SUM(AU235:AU240)=0,0,('17.财务费用测算表'!$C$36-'17.财务费用测算表'!$C$57)*'14.增值税计算表'!AU125/1.1/$C$6)</f>
        <v>0</v>
      </c>
      <c r="AV247" s="136">
        <f ca="1">IF(SUM(AV235:AV240)=0,0,('17.财务费用测算表'!$C$36-'17.财务费用测算表'!$C$57)*'14.增值税计算表'!AV125/1.1/$C$6)</f>
        <v>0</v>
      </c>
    </row>
    <row r="248" spans="1:49" ht="15" customHeight="1">
      <c r="A248" s="78"/>
      <c r="B248" s="137" t="s">
        <v>251</v>
      </c>
      <c r="C248" s="137" t="s">
        <v>954</v>
      </c>
      <c r="D248" s="138">
        <f t="shared" ca="1" si="69"/>
        <v>28314.481844812559</v>
      </c>
      <c r="E248" s="138">
        <f t="shared" ref="E248:AV248" ca="1" si="72">SUM(E244:E247)</f>
        <v>0</v>
      </c>
      <c r="F248" s="139">
        <f t="shared" ca="1" si="72"/>
        <v>0</v>
      </c>
      <c r="G248" s="139">
        <f t="shared" ca="1" si="72"/>
        <v>0</v>
      </c>
      <c r="H248" s="140">
        <f t="shared" ca="1" si="72"/>
        <v>0</v>
      </c>
      <c r="I248" s="138">
        <f t="shared" ca="1" si="72"/>
        <v>0</v>
      </c>
      <c r="J248" s="139">
        <f t="shared" ca="1" si="72"/>
        <v>917.86974182351059</v>
      </c>
      <c r="K248" s="139">
        <f t="shared" ca="1" si="72"/>
        <v>2159.4595314964504</v>
      </c>
      <c r="L248" s="140">
        <f t="shared" ca="1" si="72"/>
        <v>1670.3598094827344</v>
      </c>
      <c r="M248" s="138">
        <f t="shared" ca="1" si="72"/>
        <v>-6659.5792908107487</v>
      </c>
      <c r="N248" s="139">
        <f t="shared" ca="1" si="72"/>
        <v>776.52783023804943</v>
      </c>
      <c r="O248" s="139">
        <f t="shared" ca="1" si="72"/>
        <v>468.09897948636035</v>
      </c>
      <c r="P248" s="140">
        <f t="shared" ca="1" si="72"/>
        <v>28559.494737707992</v>
      </c>
      <c r="Q248" s="138">
        <f t="shared" ca="1" si="72"/>
        <v>422.25050538821245</v>
      </c>
      <c r="R248" s="139">
        <f t="shared" ca="1" si="72"/>
        <v>0</v>
      </c>
      <c r="S248" s="139">
        <f t="shared" ca="1" si="72"/>
        <v>0</v>
      </c>
      <c r="T248" s="140">
        <f t="shared" ca="1" si="72"/>
        <v>0</v>
      </c>
      <c r="U248" s="138">
        <f t="shared" ca="1" si="72"/>
        <v>0</v>
      </c>
      <c r="V248" s="139">
        <f t="shared" ca="1" si="72"/>
        <v>0</v>
      </c>
      <c r="W248" s="139">
        <f t="shared" ca="1" si="72"/>
        <v>0</v>
      </c>
      <c r="X248" s="140">
        <f t="shared" ca="1" si="72"/>
        <v>0</v>
      </c>
      <c r="Y248" s="138">
        <f t="shared" ca="1" si="72"/>
        <v>0</v>
      </c>
      <c r="Z248" s="139">
        <f t="shared" ca="1" si="72"/>
        <v>0</v>
      </c>
      <c r="AA248" s="139">
        <f t="shared" ca="1" si="72"/>
        <v>0</v>
      </c>
      <c r="AB248" s="140">
        <f t="shared" ca="1" si="72"/>
        <v>0</v>
      </c>
      <c r="AC248" s="138">
        <f t="shared" ca="1" si="72"/>
        <v>0</v>
      </c>
      <c r="AD248" s="139">
        <f t="shared" ca="1" si="72"/>
        <v>0</v>
      </c>
      <c r="AE248" s="139">
        <f t="shared" ca="1" si="72"/>
        <v>0</v>
      </c>
      <c r="AF248" s="140">
        <f t="shared" ca="1" si="72"/>
        <v>0</v>
      </c>
      <c r="AG248" s="138">
        <f t="shared" ca="1" si="72"/>
        <v>0</v>
      </c>
      <c r="AH248" s="139">
        <f t="shared" ca="1" si="72"/>
        <v>0</v>
      </c>
      <c r="AI248" s="139">
        <f t="shared" ca="1" si="72"/>
        <v>0</v>
      </c>
      <c r="AJ248" s="140">
        <f t="shared" ca="1" si="72"/>
        <v>0</v>
      </c>
      <c r="AK248" s="138">
        <f t="shared" ca="1" si="72"/>
        <v>0</v>
      </c>
      <c r="AL248" s="139">
        <f t="shared" ca="1" si="72"/>
        <v>0</v>
      </c>
      <c r="AM248" s="139">
        <f t="shared" ca="1" si="72"/>
        <v>0</v>
      </c>
      <c r="AN248" s="140">
        <f t="shared" ca="1" si="72"/>
        <v>0</v>
      </c>
      <c r="AO248" s="138">
        <f t="shared" ca="1" si="72"/>
        <v>0</v>
      </c>
      <c r="AP248" s="139">
        <f t="shared" ca="1" si="72"/>
        <v>0</v>
      </c>
      <c r="AQ248" s="139">
        <f t="shared" ca="1" si="72"/>
        <v>0</v>
      </c>
      <c r="AR248" s="140">
        <f t="shared" ca="1" si="72"/>
        <v>0</v>
      </c>
      <c r="AS248" s="138">
        <f t="shared" ca="1" si="72"/>
        <v>0</v>
      </c>
      <c r="AT248" s="139">
        <f t="shared" ca="1" si="72"/>
        <v>0</v>
      </c>
      <c r="AU248" s="139">
        <f t="shared" ca="1" si="72"/>
        <v>0</v>
      </c>
      <c r="AV248" s="140">
        <f t="shared" ca="1" si="72"/>
        <v>0</v>
      </c>
    </row>
    <row r="249" spans="1:49" s="75" customFormat="1" ht="16.5" customHeight="1">
      <c r="A249" s="85"/>
      <c r="B249" s="2005" t="s">
        <v>959</v>
      </c>
      <c r="C249" s="132" t="s">
        <v>960</v>
      </c>
      <c r="D249" s="144"/>
      <c r="E249" s="134">
        <f ca="1">IF(E248&lt;0,E248,0)</f>
        <v>0</v>
      </c>
      <c r="F249" s="135">
        <f ca="1">IF(F248&lt;0,F248,0)</f>
        <v>0</v>
      </c>
      <c r="G249" s="135">
        <f ca="1">IF(G248&lt;0,G248,0)</f>
        <v>0</v>
      </c>
      <c r="H249" s="136">
        <f t="shared" ref="H249:J249" ca="1" si="73">IF(H248&lt;0,H248,0)</f>
        <v>0</v>
      </c>
      <c r="I249" s="134">
        <f t="shared" ca="1" si="73"/>
        <v>0</v>
      </c>
      <c r="J249" s="135">
        <f t="shared" ca="1" si="73"/>
        <v>0</v>
      </c>
      <c r="K249" s="135">
        <f t="shared" ref="K249:AV249" ca="1" si="74">IF(K248&lt;0,K248,0)</f>
        <v>0</v>
      </c>
      <c r="L249" s="135">
        <f t="shared" ca="1" si="74"/>
        <v>0</v>
      </c>
      <c r="M249" s="134">
        <f t="shared" ca="1" si="74"/>
        <v>-6659.5792908107487</v>
      </c>
      <c r="N249" s="135">
        <f t="shared" ca="1" si="74"/>
        <v>0</v>
      </c>
      <c r="O249" s="135">
        <f t="shared" ca="1" si="74"/>
        <v>0</v>
      </c>
      <c r="P249" s="136">
        <f t="shared" ca="1" si="74"/>
        <v>0</v>
      </c>
      <c r="Q249" s="134">
        <f t="shared" ca="1" si="74"/>
        <v>0</v>
      </c>
      <c r="R249" s="135">
        <f t="shared" ca="1" si="74"/>
        <v>0</v>
      </c>
      <c r="S249" s="135">
        <f t="shared" ca="1" si="74"/>
        <v>0</v>
      </c>
      <c r="T249" s="136">
        <f t="shared" ca="1" si="74"/>
        <v>0</v>
      </c>
      <c r="U249" s="134">
        <f t="shared" ca="1" si="74"/>
        <v>0</v>
      </c>
      <c r="V249" s="135">
        <f t="shared" ca="1" si="74"/>
        <v>0</v>
      </c>
      <c r="W249" s="135">
        <f t="shared" ca="1" si="74"/>
        <v>0</v>
      </c>
      <c r="X249" s="136">
        <f t="shared" ca="1" si="74"/>
        <v>0</v>
      </c>
      <c r="Y249" s="134">
        <f t="shared" ca="1" si="74"/>
        <v>0</v>
      </c>
      <c r="Z249" s="135">
        <f t="shared" ca="1" si="74"/>
        <v>0</v>
      </c>
      <c r="AA249" s="135">
        <f t="shared" ca="1" si="74"/>
        <v>0</v>
      </c>
      <c r="AB249" s="136">
        <f t="shared" ca="1" si="74"/>
        <v>0</v>
      </c>
      <c r="AC249" s="134">
        <f t="shared" ca="1" si="74"/>
        <v>0</v>
      </c>
      <c r="AD249" s="135">
        <f t="shared" ca="1" si="74"/>
        <v>0</v>
      </c>
      <c r="AE249" s="135">
        <f t="shared" ca="1" si="74"/>
        <v>0</v>
      </c>
      <c r="AF249" s="136">
        <f t="shared" ca="1" si="74"/>
        <v>0</v>
      </c>
      <c r="AG249" s="134">
        <f t="shared" ca="1" si="74"/>
        <v>0</v>
      </c>
      <c r="AH249" s="135">
        <f t="shared" ca="1" si="74"/>
        <v>0</v>
      </c>
      <c r="AI249" s="135">
        <f t="shared" ca="1" si="74"/>
        <v>0</v>
      </c>
      <c r="AJ249" s="136">
        <f t="shared" ca="1" si="74"/>
        <v>0</v>
      </c>
      <c r="AK249" s="134">
        <f t="shared" ca="1" si="74"/>
        <v>0</v>
      </c>
      <c r="AL249" s="135">
        <f t="shared" ca="1" si="74"/>
        <v>0</v>
      </c>
      <c r="AM249" s="135">
        <f t="shared" ca="1" si="74"/>
        <v>0</v>
      </c>
      <c r="AN249" s="136">
        <f t="shared" ca="1" si="74"/>
        <v>0</v>
      </c>
      <c r="AO249" s="134">
        <f t="shared" ca="1" si="74"/>
        <v>0</v>
      </c>
      <c r="AP249" s="135">
        <f t="shared" ca="1" si="74"/>
        <v>0</v>
      </c>
      <c r="AQ249" s="135">
        <f t="shared" ca="1" si="74"/>
        <v>0</v>
      </c>
      <c r="AR249" s="136">
        <f t="shared" ca="1" si="74"/>
        <v>0</v>
      </c>
      <c r="AS249" s="134">
        <f t="shared" ca="1" si="74"/>
        <v>0</v>
      </c>
      <c r="AT249" s="135">
        <f t="shared" ca="1" si="74"/>
        <v>0</v>
      </c>
      <c r="AU249" s="135">
        <f t="shared" ca="1" si="74"/>
        <v>0</v>
      </c>
      <c r="AV249" s="136">
        <f t="shared" ca="1" si="74"/>
        <v>0</v>
      </c>
    </row>
    <row r="250" spans="1:49" s="75" customFormat="1" ht="16.5" customHeight="1">
      <c r="A250" s="85"/>
      <c r="B250" s="2006"/>
      <c r="C250" s="132" t="s">
        <v>961</v>
      </c>
      <c r="D250" s="144"/>
      <c r="E250" s="134">
        <f ca="1">D252+E249</f>
        <v>0</v>
      </c>
      <c r="F250" s="135">
        <f t="shared" ref="F250:J250" ca="1" si="75">E252+F249</f>
        <v>0</v>
      </c>
      <c r="G250" s="135">
        <f t="shared" ca="1" si="75"/>
        <v>0</v>
      </c>
      <c r="H250" s="136">
        <f t="shared" ca="1" si="75"/>
        <v>0</v>
      </c>
      <c r="I250" s="134">
        <f t="shared" ca="1" si="75"/>
        <v>0</v>
      </c>
      <c r="J250" s="135">
        <f t="shared" ca="1" si="75"/>
        <v>0</v>
      </c>
      <c r="K250" s="135">
        <f t="shared" ref="K250:AV250" ca="1" si="76">J252+K249</f>
        <v>0</v>
      </c>
      <c r="L250" s="135">
        <f t="shared" ca="1" si="76"/>
        <v>0</v>
      </c>
      <c r="M250" s="134">
        <f t="shared" ca="1" si="76"/>
        <v>-6659.5792908107487</v>
      </c>
      <c r="N250" s="135">
        <f t="shared" ca="1" si="76"/>
        <v>-6659.5792908107487</v>
      </c>
      <c r="O250" s="135">
        <f t="shared" ca="1" si="76"/>
        <v>-5883.0514605726994</v>
      </c>
      <c r="P250" s="136">
        <f t="shared" ca="1" si="76"/>
        <v>-5414.9524810863386</v>
      </c>
      <c r="Q250" s="134">
        <f t="shared" ca="1" si="76"/>
        <v>0</v>
      </c>
      <c r="R250" s="135">
        <f t="shared" ca="1" si="76"/>
        <v>0</v>
      </c>
      <c r="S250" s="135">
        <f t="shared" ca="1" si="76"/>
        <v>0</v>
      </c>
      <c r="T250" s="136">
        <f t="shared" ca="1" si="76"/>
        <v>0</v>
      </c>
      <c r="U250" s="134">
        <f t="shared" ca="1" si="76"/>
        <v>0</v>
      </c>
      <c r="V250" s="135">
        <f t="shared" ca="1" si="76"/>
        <v>0</v>
      </c>
      <c r="W250" s="135">
        <f t="shared" ca="1" si="76"/>
        <v>0</v>
      </c>
      <c r="X250" s="136">
        <f t="shared" ca="1" si="76"/>
        <v>0</v>
      </c>
      <c r="Y250" s="134">
        <f t="shared" ca="1" si="76"/>
        <v>0</v>
      </c>
      <c r="Z250" s="135">
        <f t="shared" ca="1" si="76"/>
        <v>0</v>
      </c>
      <c r="AA250" s="135">
        <f t="shared" ca="1" si="76"/>
        <v>0</v>
      </c>
      <c r="AB250" s="136">
        <f t="shared" ca="1" si="76"/>
        <v>0</v>
      </c>
      <c r="AC250" s="134">
        <f t="shared" ca="1" si="76"/>
        <v>0</v>
      </c>
      <c r="AD250" s="135">
        <f t="shared" ca="1" si="76"/>
        <v>0</v>
      </c>
      <c r="AE250" s="135">
        <f t="shared" ca="1" si="76"/>
        <v>0</v>
      </c>
      <c r="AF250" s="136">
        <f t="shared" ca="1" si="76"/>
        <v>0</v>
      </c>
      <c r="AG250" s="134">
        <f t="shared" ca="1" si="76"/>
        <v>0</v>
      </c>
      <c r="AH250" s="135">
        <f t="shared" ca="1" si="76"/>
        <v>0</v>
      </c>
      <c r="AI250" s="135">
        <f t="shared" ca="1" si="76"/>
        <v>0</v>
      </c>
      <c r="AJ250" s="136">
        <f t="shared" ca="1" si="76"/>
        <v>0</v>
      </c>
      <c r="AK250" s="134">
        <f t="shared" ca="1" si="76"/>
        <v>0</v>
      </c>
      <c r="AL250" s="135">
        <f t="shared" ca="1" si="76"/>
        <v>0</v>
      </c>
      <c r="AM250" s="135">
        <f t="shared" ca="1" si="76"/>
        <v>0</v>
      </c>
      <c r="AN250" s="136">
        <f t="shared" ca="1" si="76"/>
        <v>0</v>
      </c>
      <c r="AO250" s="134">
        <f t="shared" ca="1" si="76"/>
        <v>0</v>
      </c>
      <c r="AP250" s="135">
        <f t="shared" ca="1" si="76"/>
        <v>0</v>
      </c>
      <c r="AQ250" s="135">
        <f t="shared" ca="1" si="76"/>
        <v>0</v>
      </c>
      <c r="AR250" s="136">
        <f t="shared" ca="1" si="76"/>
        <v>0</v>
      </c>
      <c r="AS250" s="134">
        <f t="shared" ca="1" si="76"/>
        <v>0</v>
      </c>
      <c r="AT250" s="135">
        <f t="shared" ca="1" si="76"/>
        <v>0</v>
      </c>
      <c r="AU250" s="135">
        <f t="shared" ca="1" si="76"/>
        <v>0</v>
      </c>
      <c r="AV250" s="136">
        <f t="shared" ca="1" si="76"/>
        <v>0</v>
      </c>
    </row>
    <row r="251" spans="1:49" s="75" customFormat="1" ht="16.5" customHeight="1">
      <c r="A251" s="85"/>
      <c r="B251" s="2006"/>
      <c r="C251" s="145" t="s">
        <v>962</v>
      </c>
      <c r="D251" s="146"/>
      <c r="E251" s="147">
        <f ca="1">IF(AND(E248&gt;0,(E248+E250)&gt;0),-E250,IF(AND(E248&gt;0,(E248+E250)&lt;0),E248,0))</f>
        <v>0</v>
      </c>
      <c r="F251" s="148">
        <f t="shared" ref="F251:Q251" ca="1" si="77">IF(AND(F248&gt;0,(F248+F250)&gt;0),-F250,IF(AND(F248&gt;0,(F248+F250)&lt;0),F248,0))</f>
        <v>0</v>
      </c>
      <c r="G251" s="148">
        <f t="shared" ca="1" si="77"/>
        <v>0</v>
      </c>
      <c r="H251" s="149">
        <f t="shared" ca="1" si="77"/>
        <v>0</v>
      </c>
      <c r="I251" s="147">
        <f t="shared" ca="1" si="77"/>
        <v>0</v>
      </c>
      <c r="J251" s="148">
        <f t="shared" ca="1" si="77"/>
        <v>0</v>
      </c>
      <c r="K251" s="148">
        <f t="shared" ca="1" si="77"/>
        <v>0</v>
      </c>
      <c r="L251" s="153">
        <f t="shared" ca="1" si="77"/>
        <v>0</v>
      </c>
      <c r="M251" s="147">
        <f t="shared" ca="1" si="77"/>
        <v>0</v>
      </c>
      <c r="N251" s="148">
        <f t="shared" ca="1" si="77"/>
        <v>776.52783023804943</v>
      </c>
      <c r="O251" s="148">
        <f t="shared" ca="1" si="77"/>
        <v>468.09897948636035</v>
      </c>
      <c r="P251" s="149">
        <f t="shared" ca="1" si="77"/>
        <v>5414.9524810863386</v>
      </c>
      <c r="Q251" s="147">
        <f t="shared" ca="1" si="77"/>
        <v>0</v>
      </c>
      <c r="R251" s="148">
        <f t="shared" ref="R251:AV251" ca="1" si="78">IF(AND(R248&gt;0,(R248+R250)&gt;0),-R250,IF(AND(R248&gt;0,(R248+R250)&lt;0),R248,0))</f>
        <v>0</v>
      </c>
      <c r="S251" s="148">
        <f t="shared" ca="1" si="78"/>
        <v>0</v>
      </c>
      <c r="T251" s="149">
        <f t="shared" ca="1" si="78"/>
        <v>0</v>
      </c>
      <c r="U251" s="147">
        <f t="shared" ca="1" si="78"/>
        <v>0</v>
      </c>
      <c r="V251" s="148">
        <f t="shared" ca="1" si="78"/>
        <v>0</v>
      </c>
      <c r="W251" s="148">
        <f t="shared" ca="1" si="78"/>
        <v>0</v>
      </c>
      <c r="X251" s="149">
        <f t="shared" ca="1" si="78"/>
        <v>0</v>
      </c>
      <c r="Y251" s="147">
        <f t="shared" ca="1" si="78"/>
        <v>0</v>
      </c>
      <c r="Z251" s="148">
        <f t="shared" ca="1" si="78"/>
        <v>0</v>
      </c>
      <c r="AA251" s="148">
        <f t="shared" ca="1" si="78"/>
        <v>0</v>
      </c>
      <c r="AB251" s="149">
        <f t="shared" ca="1" si="78"/>
        <v>0</v>
      </c>
      <c r="AC251" s="147">
        <f t="shared" ca="1" si="78"/>
        <v>0</v>
      </c>
      <c r="AD251" s="148">
        <f t="shared" ca="1" si="78"/>
        <v>0</v>
      </c>
      <c r="AE251" s="148">
        <f t="shared" ca="1" si="78"/>
        <v>0</v>
      </c>
      <c r="AF251" s="149">
        <f t="shared" ca="1" si="78"/>
        <v>0</v>
      </c>
      <c r="AG251" s="147">
        <f t="shared" ca="1" si="78"/>
        <v>0</v>
      </c>
      <c r="AH251" s="148">
        <f t="shared" ca="1" si="78"/>
        <v>0</v>
      </c>
      <c r="AI251" s="148">
        <f t="shared" ca="1" si="78"/>
        <v>0</v>
      </c>
      <c r="AJ251" s="149">
        <f t="shared" ca="1" si="78"/>
        <v>0</v>
      </c>
      <c r="AK251" s="147">
        <f t="shared" ca="1" si="78"/>
        <v>0</v>
      </c>
      <c r="AL251" s="148">
        <f t="shared" ca="1" si="78"/>
        <v>0</v>
      </c>
      <c r="AM251" s="148">
        <f t="shared" ca="1" si="78"/>
        <v>0</v>
      </c>
      <c r="AN251" s="149">
        <f t="shared" ca="1" si="78"/>
        <v>0</v>
      </c>
      <c r="AO251" s="147">
        <f t="shared" ca="1" si="78"/>
        <v>0</v>
      </c>
      <c r="AP251" s="148">
        <f t="shared" ca="1" si="78"/>
        <v>0</v>
      </c>
      <c r="AQ251" s="148">
        <f t="shared" ca="1" si="78"/>
        <v>0</v>
      </c>
      <c r="AR251" s="149">
        <f t="shared" ca="1" si="78"/>
        <v>0</v>
      </c>
      <c r="AS251" s="147">
        <f t="shared" ca="1" si="78"/>
        <v>0</v>
      </c>
      <c r="AT251" s="148">
        <f t="shared" ca="1" si="78"/>
        <v>0</v>
      </c>
      <c r="AU251" s="148">
        <f t="shared" ca="1" si="78"/>
        <v>0</v>
      </c>
      <c r="AV251" s="149">
        <f t="shared" ca="1" si="78"/>
        <v>0</v>
      </c>
    </row>
    <row r="252" spans="1:49" s="75" customFormat="1" ht="16.5" customHeight="1">
      <c r="A252" s="85"/>
      <c r="B252" s="2007"/>
      <c r="C252" s="145" t="s">
        <v>963</v>
      </c>
      <c r="D252" s="146"/>
      <c r="E252" s="147">
        <f t="shared" ref="E252:M252" ca="1" si="79">E250+E251</f>
        <v>0</v>
      </c>
      <c r="F252" s="148">
        <f t="shared" ca="1" si="79"/>
        <v>0</v>
      </c>
      <c r="G252" s="148">
        <f t="shared" ca="1" si="79"/>
        <v>0</v>
      </c>
      <c r="H252" s="149">
        <f t="shared" ca="1" si="79"/>
        <v>0</v>
      </c>
      <c r="I252" s="147">
        <f t="shared" ca="1" si="79"/>
        <v>0</v>
      </c>
      <c r="J252" s="148">
        <f t="shared" ca="1" si="79"/>
        <v>0</v>
      </c>
      <c r="K252" s="148">
        <f t="shared" ca="1" si="79"/>
        <v>0</v>
      </c>
      <c r="L252" s="153">
        <f t="shared" ca="1" si="79"/>
        <v>0</v>
      </c>
      <c r="M252" s="153">
        <f t="shared" ca="1" si="79"/>
        <v>-6659.5792908107487</v>
      </c>
      <c r="N252" s="148">
        <f t="shared" ref="N252:AV252" ca="1" si="80">N250+N251</f>
        <v>-5883.0514605726994</v>
      </c>
      <c r="O252" s="148">
        <f t="shared" ca="1" si="80"/>
        <v>-5414.9524810863386</v>
      </c>
      <c r="P252" s="149">
        <f t="shared" ca="1" si="80"/>
        <v>0</v>
      </c>
      <c r="Q252" s="147">
        <f t="shared" ca="1" si="80"/>
        <v>0</v>
      </c>
      <c r="R252" s="148">
        <f t="shared" ca="1" si="80"/>
        <v>0</v>
      </c>
      <c r="S252" s="148">
        <f t="shared" ca="1" si="80"/>
        <v>0</v>
      </c>
      <c r="T252" s="149">
        <f t="shared" ca="1" si="80"/>
        <v>0</v>
      </c>
      <c r="U252" s="147">
        <f t="shared" ca="1" si="80"/>
        <v>0</v>
      </c>
      <c r="V252" s="148">
        <f t="shared" ca="1" si="80"/>
        <v>0</v>
      </c>
      <c r="W252" s="148">
        <f t="shared" ca="1" si="80"/>
        <v>0</v>
      </c>
      <c r="X252" s="149">
        <f t="shared" ca="1" si="80"/>
        <v>0</v>
      </c>
      <c r="Y252" s="147">
        <f t="shared" ca="1" si="80"/>
        <v>0</v>
      </c>
      <c r="Z252" s="148">
        <f t="shared" ca="1" si="80"/>
        <v>0</v>
      </c>
      <c r="AA252" s="148">
        <f t="shared" ca="1" si="80"/>
        <v>0</v>
      </c>
      <c r="AB252" s="149">
        <f t="shared" ca="1" si="80"/>
        <v>0</v>
      </c>
      <c r="AC252" s="147">
        <f t="shared" ca="1" si="80"/>
        <v>0</v>
      </c>
      <c r="AD252" s="148">
        <f t="shared" ca="1" si="80"/>
        <v>0</v>
      </c>
      <c r="AE252" s="148">
        <f t="shared" ca="1" si="80"/>
        <v>0</v>
      </c>
      <c r="AF252" s="149">
        <f t="shared" ca="1" si="80"/>
        <v>0</v>
      </c>
      <c r="AG252" s="147">
        <f t="shared" ca="1" si="80"/>
        <v>0</v>
      </c>
      <c r="AH252" s="148">
        <f t="shared" ca="1" si="80"/>
        <v>0</v>
      </c>
      <c r="AI252" s="148">
        <f t="shared" ca="1" si="80"/>
        <v>0</v>
      </c>
      <c r="AJ252" s="149">
        <f t="shared" ca="1" si="80"/>
        <v>0</v>
      </c>
      <c r="AK252" s="147">
        <f t="shared" ca="1" si="80"/>
        <v>0</v>
      </c>
      <c r="AL252" s="148">
        <f t="shared" ca="1" si="80"/>
        <v>0</v>
      </c>
      <c r="AM252" s="148">
        <f t="shared" ca="1" si="80"/>
        <v>0</v>
      </c>
      <c r="AN252" s="149">
        <f t="shared" ca="1" si="80"/>
        <v>0</v>
      </c>
      <c r="AO252" s="147">
        <f t="shared" ca="1" si="80"/>
        <v>0</v>
      </c>
      <c r="AP252" s="148">
        <f t="shared" ca="1" si="80"/>
        <v>0</v>
      </c>
      <c r="AQ252" s="148">
        <f t="shared" ca="1" si="80"/>
        <v>0</v>
      </c>
      <c r="AR252" s="149">
        <f t="shared" ca="1" si="80"/>
        <v>0</v>
      </c>
      <c r="AS252" s="147">
        <f t="shared" ca="1" si="80"/>
        <v>0</v>
      </c>
      <c r="AT252" s="148">
        <f t="shared" ca="1" si="80"/>
        <v>0</v>
      </c>
      <c r="AU252" s="148">
        <f t="shared" ca="1" si="80"/>
        <v>0</v>
      </c>
      <c r="AV252" s="149">
        <f t="shared" ca="1" si="80"/>
        <v>0</v>
      </c>
      <c r="AW252" s="154"/>
    </row>
    <row r="253" spans="1:49" ht="30" customHeight="1">
      <c r="A253" s="78"/>
      <c r="B253" s="137" t="s">
        <v>251</v>
      </c>
      <c r="C253" s="150" t="s">
        <v>964</v>
      </c>
      <c r="D253" s="151"/>
      <c r="E253" s="138">
        <f ca="1">E248-E251</f>
        <v>0</v>
      </c>
      <c r="F253" s="139">
        <f t="shared" ref="F253:AV253" ca="1" si="81">F248-F251</f>
        <v>0</v>
      </c>
      <c r="G253" s="139">
        <f t="shared" ca="1" si="81"/>
        <v>0</v>
      </c>
      <c r="H253" s="140">
        <f t="shared" ca="1" si="81"/>
        <v>0</v>
      </c>
      <c r="I253" s="138">
        <f t="shared" ca="1" si="81"/>
        <v>0</v>
      </c>
      <c r="J253" s="139">
        <f t="shared" ca="1" si="81"/>
        <v>917.86974182351059</v>
      </c>
      <c r="K253" s="139">
        <f t="shared" ca="1" si="81"/>
        <v>2159.4595314964504</v>
      </c>
      <c r="L253" s="140">
        <f t="shared" ca="1" si="81"/>
        <v>1670.3598094827344</v>
      </c>
      <c r="M253" s="138">
        <f t="shared" ca="1" si="81"/>
        <v>-6659.5792908107487</v>
      </c>
      <c r="N253" s="139">
        <f t="shared" ca="1" si="81"/>
        <v>0</v>
      </c>
      <c r="O253" s="139">
        <f t="shared" ca="1" si="81"/>
        <v>0</v>
      </c>
      <c r="P253" s="140">
        <f t="shared" ca="1" si="81"/>
        <v>23144.542256621651</v>
      </c>
      <c r="Q253" s="138">
        <f t="shared" ca="1" si="81"/>
        <v>422.25050538821245</v>
      </c>
      <c r="R253" s="139">
        <f t="shared" ca="1" si="81"/>
        <v>0</v>
      </c>
      <c r="S253" s="139">
        <f t="shared" ca="1" si="81"/>
        <v>0</v>
      </c>
      <c r="T253" s="140">
        <f t="shared" ca="1" si="81"/>
        <v>0</v>
      </c>
      <c r="U253" s="138">
        <f t="shared" ca="1" si="81"/>
        <v>0</v>
      </c>
      <c r="V253" s="139">
        <f t="shared" ca="1" si="81"/>
        <v>0</v>
      </c>
      <c r="W253" s="139">
        <f t="shared" ca="1" si="81"/>
        <v>0</v>
      </c>
      <c r="X253" s="140">
        <f t="shared" ca="1" si="81"/>
        <v>0</v>
      </c>
      <c r="Y253" s="138">
        <f t="shared" ca="1" si="81"/>
        <v>0</v>
      </c>
      <c r="Z253" s="139">
        <f t="shared" ca="1" si="81"/>
        <v>0</v>
      </c>
      <c r="AA253" s="139">
        <f t="shared" ca="1" si="81"/>
        <v>0</v>
      </c>
      <c r="AB253" s="140">
        <f t="shared" ca="1" si="81"/>
        <v>0</v>
      </c>
      <c r="AC253" s="138">
        <f t="shared" ca="1" si="81"/>
        <v>0</v>
      </c>
      <c r="AD253" s="139">
        <f t="shared" ca="1" si="81"/>
        <v>0</v>
      </c>
      <c r="AE253" s="139">
        <f t="shared" ca="1" si="81"/>
        <v>0</v>
      </c>
      <c r="AF253" s="140">
        <f t="shared" ca="1" si="81"/>
        <v>0</v>
      </c>
      <c r="AG253" s="138">
        <f t="shared" ca="1" si="81"/>
        <v>0</v>
      </c>
      <c r="AH253" s="139">
        <f t="shared" ca="1" si="81"/>
        <v>0</v>
      </c>
      <c r="AI253" s="139">
        <f t="shared" ca="1" si="81"/>
        <v>0</v>
      </c>
      <c r="AJ253" s="140">
        <f t="shared" ca="1" si="81"/>
        <v>0</v>
      </c>
      <c r="AK253" s="138">
        <f t="shared" ca="1" si="81"/>
        <v>0</v>
      </c>
      <c r="AL253" s="139">
        <f t="shared" ca="1" si="81"/>
        <v>0</v>
      </c>
      <c r="AM253" s="139">
        <f t="shared" ca="1" si="81"/>
        <v>0</v>
      </c>
      <c r="AN253" s="140">
        <f t="shared" ca="1" si="81"/>
        <v>0</v>
      </c>
      <c r="AO253" s="138">
        <f t="shared" ca="1" si="81"/>
        <v>0</v>
      </c>
      <c r="AP253" s="139">
        <f t="shared" ca="1" si="81"/>
        <v>0</v>
      </c>
      <c r="AQ253" s="139">
        <f t="shared" ca="1" si="81"/>
        <v>0</v>
      </c>
      <c r="AR253" s="140">
        <f t="shared" ca="1" si="81"/>
        <v>0</v>
      </c>
      <c r="AS253" s="138">
        <f t="shared" ca="1" si="81"/>
        <v>0</v>
      </c>
      <c r="AT253" s="139">
        <f t="shared" ca="1" si="81"/>
        <v>0</v>
      </c>
      <c r="AU253" s="139">
        <f t="shared" ca="1" si="81"/>
        <v>0</v>
      </c>
      <c r="AV253" s="140">
        <f t="shared" ca="1" si="81"/>
        <v>0</v>
      </c>
    </row>
    <row r="254" spans="1:49" ht="24.75" customHeight="1">
      <c r="A254" s="78"/>
      <c r="B254" s="137" t="s">
        <v>251</v>
      </c>
      <c r="C254" s="137" t="s">
        <v>965</v>
      </c>
      <c r="D254" s="138">
        <f ca="1">SUM(E254:AV254)</f>
        <v>7078.6204612031397</v>
      </c>
      <c r="E254" s="138">
        <f ca="1">IF(E253&gt;0,E253*0.25,0)</f>
        <v>0</v>
      </c>
      <c r="F254" s="139">
        <f ca="1">IF(F253&gt;0,F253*0.25,0)</f>
        <v>0</v>
      </c>
      <c r="G254" s="139">
        <f t="shared" ref="G254:AU254" ca="1" si="82">IF(G253&gt;0,G253*0.25,0)</f>
        <v>0</v>
      </c>
      <c r="H254" s="140">
        <f t="shared" ca="1" si="82"/>
        <v>0</v>
      </c>
      <c r="I254" s="138">
        <f t="shared" ca="1" si="82"/>
        <v>0</v>
      </c>
      <c r="J254" s="139">
        <f t="shared" ca="1" si="82"/>
        <v>229.46743545587765</v>
      </c>
      <c r="K254" s="139">
        <f t="shared" ca="1" si="82"/>
        <v>539.8648828741126</v>
      </c>
      <c r="L254" s="140">
        <f t="shared" ca="1" si="82"/>
        <v>417.58995237068359</v>
      </c>
      <c r="M254" s="138">
        <f t="shared" ca="1" si="82"/>
        <v>0</v>
      </c>
      <c r="N254" s="139">
        <f t="shared" ca="1" si="82"/>
        <v>0</v>
      </c>
      <c r="O254" s="139">
        <f t="shared" ca="1" si="82"/>
        <v>0</v>
      </c>
      <c r="P254" s="140">
        <f t="shared" ca="1" si="82"/>
        <v>5786.1355641554128</v>
      </c>
      <c r="Q254" s="138">
        <f t="shared" ca="1" si="82"/>
        <v>105.56262634705311</v>
      </c>
      <c r="R254" s="139">
        <f t="shared" ca="1" si="82"/>
        <v>0</v>
      </c>
      <c r="S254" s="139">
        <f t="shared" ca="1" si="82"/>
        <v>0</v>
      </c>
      <c r="T254" s="140">
        <f t="shared" ca="1" si="82"/>
        <v>0</v>
      </c>
      <c r="U254" s="138">
        <f t="shared" ca="1" si="82"/>
        <v>0</v>
      </c>
      <c r="V254" s="139">
        <f t="shared" ca="1" si="82"/>
        <v>0</v>
      </c>
      <c r="W254" s="139">
        <f t="shared" ca="1" si="82"/>
        <v>0</v>
      </c>
      <c r="X254" s="140">
        <f t="shared" ca="1" si="82"/>
        <v>0</v>
      </c>
      <c r="Y254" s="138">
        <f t="shared" ca="1" si="82"/>
        <v>0</v>
      </c>
      <c r="Z254" s="139">
        <f t="shared" ca="1" si="82"/>
        <v>0</v>
      </c>
      <c r="AA254" s="139">
        <f t="shared" ca="1" si="82"/>
        <v>0</v>
      </c>
      <c r="AB254" s="140">
        <f t="shared" ca="1" si="82"/>
        <v>0</v>
      </c>
      <c r="AC254" s="138">
        <f t="shared" ca="1" si="82"/>
        <v>0</v>
      </c>
      <c r="AD254" s="139">
        <f t="shared" ca="1" si="82"/>
        <v>0</v>
      </c>
      <c r="AE254" s="139">
        <f t="shared" ca="1" si="82"/>
        <v>0</v>
      </c>
      <c r="AF254" s="140">
        <f t="shared" ca="1" si="82"/>
        <v>0</v>
      </c>
      <c r="AG254" s="138">
        <f t="shared" ca="1" si="82"/>
        <v>0</v>
      </c>
      <c r="AH254" s="139">
        <f t="shared" ca="1" si="82"/>
        <v>0</v>
      </c>
      <c r="AI254" s="139">
        <f t="shared" ca="1" si="82"/>
        <v>0</v>
      </c>
      <c r="AJ254" s="140">
        <f t="shared" ca="1" si="82"/>
        <v>0</v>
      </c>
      <c r="AK254" s="138">
        <f t="shared" ca="1" si="82"/>
        <v>0</v>
      </c>
      <c r="AL254" s="139">
        <f t="shared" ca="1" si="82"/>
        <v>0</v>
      </c>
      <c r="AM254" s="139">
        <f t="shared" ca="1" si="82"/>
        <v>0</v>
      </c>
      <c r="AN254" s="140">
        <f t="shared" ca="1" si="82"/>
        <v>0</v>
      </c>
      <c r="AO254" s="138">
        <f t="shared" ca="1" si="82"/>
        <v>0</v>
      </c>
      <c r="AP254" s="139">
        <f t="shared" ca="1" si="82"/>
        <v>0</v>
      </c>
      <c r="AQ254" s="139">
        <f t="shared" ca="1" si="82"/>
        <v>0</v>
      </c>
      <c r="AR254" s="140">
        <f t="shared" ca="1" si="82"/>
        <v>0</v>
      </c>
      <c r="AS254" s="138">
        <f t="shared" ca="1" si="82"/>
        <v>0</v>
      </c>
      <c r="AT254" s="139">
        <f t="shared" ca="1" si="82"/>
        <v>0</v>
      </c>
      <c r="AU254" s="139">
        <f t="shared" ca="1" si="82"/>
        <v>0</v>
      </c>
      <c r="AV254" s="140">
        <f ca="1">IF(AV252&lt;0,IF(AV252*0.25+SUM(E254:AU254)&lt;0,-SUM(E254:AU254),AV252*0.25),IF(AV253&gt;0,AV253*0.25,0))</f>
        <v>0</v>
      </c>
    </row>
    <row r="255" spans="1:49" ht="16.5" customHeight="1">
      <c r="A255" s="78"/>
      <c r="B255" s="111" t="s">
        <v>553</v>
      </c>
      <c r="C255" s="112">
        <f ca="1">C188-D248</f>
        <v>0</v>
      </c>
      <c r="D255" s="104"/>
      <c r="E255" s="78"/>
      <c r="F255" s="78"/>
      <c r="G255" s="78"/>
      <c r="H255" s="78"/>
      <c r="I255" s="78"/>
      <c r="J255" s="78"/>
      <c r="K255" s="78"/>
      <c r="L255" s="78"/>
      <c r="M255" s="78"/>
      <c r="N255" s="78"/>
      <c r="O255" s="78"/>
      <c r="P255" s="78"/>
      <c r="Q255" s="78"/>
      <c r="R255" s="78"/>
      <c r="S255" s="78"/>
      <c r="T255" s="78"/>
      <c r="U255" s="78"/>
      <c r="V255" s="78"/>
      <c r="W255" s="78"/>
      <c r="X255" s="78"/>
      <c r="Y255" s="78"/>
      <c r="Z255" s="78"/>
      <c r="AA255" s="78"/>
      <c r="AB255" s="78"/>
      <c r="AC255" s="78"/>
      <c r="AD255" s="78"/>
      <c r="AE255" s="78"/>
      <c r="AF255" s="78"/>
      <c r="AG255" s="78"/>
      <c r="AH255" s="78"/>
      <c r="AI255" s="78"/>
      <c r="AJ255" s="78"/>
      <c r="AK255" s="78"/>
      <c r="AL255" s="78"/>
      <c r="AM255" s="78"/>
      <c r="AN255" s="78"/>
      <c r="AO255" s="78"/>
      <c r="AP255" s="78"/>
      <c r="AQ255" s="78"/>
      <c r="AR255" s="78"/>
      <c r="AS255" s="78"/>
      <c r="AT255" s="78"/>
      <c r="AU255" s="78"/>
      <c r="AV255" s="78"/>
    </row>
  </sheetData>
  <sheetProtection password="D9A8" sheet="1" objects="1" scenarios="1"/>
  <protectedRanges>
    <protectedRange sqref="C218" name="区域1"/>
  </protectedRanges>
  <mergeCells count="30">
    <mergeCell ref="D219:D220"/>
    <mergeCell ref="D233:D234"/>
    <mergeCell ref="B219:B220"/>
    <mergeCell ref="B233:B234"/>
    <mergeCell ref="B245:B247"/>
    <mergeCell ref="B249:B252"/>
    <mergeCell ref="C219:C220"/>
    <mergeCell ref="C233:C234"/>
    <mergeCell ref="AS219:AV219"/>
    <mergeCell ref="E233:H233"/>
    <mergeCell ref="I233:L233"/>
    <mergeCell ref="M233:P233"/>
    <mergeCell ref="Q233:T233"/>
    <mergeCell ref="U233:X233"/>
    <mergeCell ref="Y233:AB233"/>
    <mergeCell ref="AC233:AF233"/>
    <mergeCell ref="AG233:AJ233"/>
    <mergeCell ref="AK233:AN233"/>
    <mergeCell ref="AO233:AR233"/>
    <mergeCell ref="AS233:AV233"/>
    <mergeCell ref="Y219:AB219"/>
    <mergeCell ref="AC219:AF219"/>
    <mergeCell ref="AG219:AJ219"/>
    <mergeCell ref="AK219:AN219"/>
    <mergeCell ref="AO219:AR219"/>
    <mergeCell ref="E219:H219"/>
    <mergeCell ref="I219:L219"/>
    <mergeCell ref="M219:P219"/>
    <mergeCell ref="Q219:T219"/>
    <mergeCell ref="U219:X219"/>
  </mergeCells>
  <phoneticPr fontId="102" type="noConversion"/>
  <dataValidations count="1">
    <dataValidation type="list" allowBlank="1" showInputMessage="1" showErrorMessage="1" sqref="C218">
      <formula1>"预计毛利率,预计税前利润率"</formula1>
    </dataValidation>
  </dataValidations>
  <hyperlinks>
    <hyperlink ref="D1" location="目录!A1" display="返回目录"/>
  </hyperlinks>
  <pageMargins left="0.69930555555555596" right="0.69930555555555596" top="0.75" bottom="0.75" header="0.3" footer="0.3"/>
  <pageSetup paperSize="9" orientation="portrai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P63"/>
  <sheetViews>
    <sheetView zoomScale="90" zoomScaleNormal="90" workbookViewId="0">
      <selection activeCell="J13" sqref="J13"/>
    </sheetView>
  </sheetViews>
  <sheetFormatPr defaultColWidth="9" defaultRowHeight="12.75"/>
  <cols>
    <col min="1" max="1" width="2.75" style="2" customWidth="1"/>
    <col min="2" max="2" width="7.5" style="2" customWidth="1"/>
    <col min="3" max="3" width="11.5" style="2" customWidth="1"/>
    <col min="4" max="4" width="24.875" style="2" customWidth="1"/>
    <col min="5" max="5" width="10.625" style="2" customWidth="1"/>
    <col min="6" max="6" width="23.75" style="2" customWidth="1"/>
    <col min="7" max="7" width="15.875" style="2" customWidth="1"/>
    <col min="8" max="8" width="19.75" style="2" customWidth="1"/>
    <col min="9" max="11" width="22.75" style="2" customWidth="1"/>
    <col min="12" max="16" width="20.125" style="2" customWidth="1"/>
    <col min="17" max="16384" width="9" style="2"/>
  </cols>
  <sheetData>
    <row r="1" spans="1:12" ht="36" customHeight="1">
      <c r="A1" s="2015" t="s">
        <v>966</v>
      </c>
      <c r="B1" s="2015"/>
      <c r="C1" s="2015"/>
      <c r="D1" s="2015"/>
      <c r="E1" s="2015"/>
      <c r="F1" s="2015"/>
      <c r="G1" s="2015"/>
      <c r="H1" s="2015"/>
      <c r="I1" s="2015"/>
      <c r="J1" s="2015"/>
      <c r="K1" s="2015"/>
      <c r="L1" s="53"/>
    </row>
    <row r="2" spans="1:12" ht="39.75" customHeight="1">
      <c r="B2" s="2016" t="s">
        <v>967</v>
      </c>
      <c r="C2" s="2016"/>
      <c r="D2" s="2016"/>
      <c r="E2" s="2016"/>
      <c r="F2" s="2016"/>
      <c r="G2" s="2016"/>
      <c r="H2" s="2016"/>
      <c r="I2" s="2016"/>
      <c r="J2" s="2016"/>
    </row>
    <row r="3" spans="1:12" ht="29.25" customHeight="1">
      <c r="B3" s="4"/>
      <c r="C3" s="4"/>
      <c r="D3" s="5" t="s">
        <v>968</v>
      </c>
      <c r="E3" s="5" t="s">
        <v>530</v>
      </c>
      <c r="F3" s="5" t="s">
        <v>969</v>
      </c>
      <c r="G3" s="5" t="s">
        <v>970</v>
      </c>
      <c r="H3" s="5" t="s">
        <v>230</v>
      </c>
      <c r="I3" s="5" t="s">
        <v>13</v>
      </c>
      <c r="J3" s="5" t="s">
        <v>971</v>
      </c>
      <c r="K3" s="5" t="s">
        <v>972</v>
      </c>
    </row>
    <row r="4" spans="1:12" ht="13.5">
      <c r="B4" s="6"/>
      <c r="C4" s="7" t="s">
        <v>973</v>
      </c>
      <c r="D4" s="8" t="e">
        <f>(E4-C8)/C8</f>
        <v>#DIV/0!</v>
      </c>
      <c r="E4" s="9">
        <f>'12.土地成本表'!D1</f>
        <v>20220.116314965788</v>
      </c>
      <c r="F4" s="10">
        <f>E4/C9*10000</f>
        <v>3129.3223423300765</v>
      </c>
      <c r="G4" s="11">
        <f>'11.销售及回款表'!D5</f>
        <v>16047.337623033145</v>
      </c>
      <c r="H4" s="12">
        <f ca="1">'5.分产品利润表'!B25</f>
        <v>20731.861383609437</v>
      </c>
      <c r="I4" s="54">
        <f ca="1">H4/'5.分产品利润表'!B6</f>
        <v>0.20609606238129011</v>
      </c>
      <c r="J4" s="55">
        <f ca="1">H4+'17.财务费用测算表'!C22+'17.财务费用测算表'!E25</f>
        <v>22012.557074857727</v>
      </c>
      <c r="K4" s="56">
        <f ca="1">J4/'5.分产品利润表'!B6</f>
        <v>0.21882749706489418</v>
      </c>
      <c r="L4" s="57"/>
    </row>
    <row r="5" spans="1:12" ht="25.5" customHeight="1">
      <c r="B5" s="4"/>
      <c r="C5" s="4"/>
      <c r="D5" s="4"/>
      <c r="E5" s="4"/>
      <c r="F5" s="4"/>
      <c r="G5" s="4"/>
    </row>
    <row r="6" spans="1:12" ht="14.25">
      <c r="B6" s="13"/>
      <c r="C6" s="13"/>
      <c r="D6" s="14" t="s">
        <v>974</v>
      </c>
      <c r="E6" s="15"/>
      <c r="F6" s="15"/>
      <c r="G6" s="13"/>
      <c r="H6" s="13"/>
      <c r="I6" s="13"/>
      <c r="J6" s="13"/>
      <c r="K6" s="13"/>
      <c r="L6" s="13"/>
    </row>
    <row r="7" spans="1:12" ht="25.5">
      <c r="B7" s="13"/>
      <c r="C7" s="16"/>
      <c r="D7" s="5" t="s">
        <v>968</v>
      </c>
      <c r="E7" s="5" t="s">
        <v>530</v>
      </c>
      <c r="F7" s="5" t="s">
        <v>969</v>
      </c>
      <c r="G7" s="5" t="s">
        <v>970</v>
      </c>
      <c r="H7" s="5" t="s">
        <v>230</v>
      </c>
      <c r="I7" s="5" t="s">
        <v>13</v>
      </c>
      <c r="J7" s="5" t="s">
        <v>971</v>
      </c>
      <c r="K7" s="5" t="s">
        <v>972</v>
      </c>
      <c r="L7" s="13"/>
    </row>
    <row r="8" spans="1:12" ht="19.5" customHeight="1">
      <c r="B8" s="17" t="s">
        <v>975</v>
      </c>
      <c r="C8" s="18"/>
      <c r="D8" s="19"/>
      <c r="E8" s="20">
        <f>C8</f>
        <v>0</v>
      </c>
      <c r="F8" s="21">
        <f>E8/$C$9*10000</f>
        <v>0</v>
      </c>
      <c r="G8" s="20"/>
      <c r="H8" s="20"/>
      <c r="I8" s="58"/>
      <c r="J8" s="59"/>
      <c r="K8" s="60"/>
      <c r="L8" s="13"/>
    </row>
    <row r="9" spans="1:12" ht="19.5" customHeight="1">
      <c r="B9" s="22" t="s">
        <v>976</v>
      </c>
      <c r="C9" s="18">
        <f>'8.项目规划指标表'!D16</f>
        <v>64615</v>
      </c>
      <c r="D9" s="19">
        <v>0.2</v>
      </c>
      <c r="E9" s="20">
        <f t="shared" ref="E9:E17" si="0">$E$8*(1+D9)</f>
        <v>0</v>
      </c>
      <c r="F9" s="21">
        <f>E9/$C$9*10000</f>
        <v>0</v>
      </c>
      <c r="G9" s="20"/>
      <c r="H9" s="20"/>
      <c r="I9" s="58"/>
      <c r="J9" s="59"/>
      <c r="K9" s="60"/>
      <c r="L9" s="13"/>
    </row>
    <row r="10" spans="1:12" ht="19.5" customHeight="1">
      <c r="B10" s="13"/>
      <c r="C10" s="13"/>
      <c r="D10" s="19">
        <v>0.4</v>
      </c>
      <c r="E10" s="20">
        <f t="shared" si="0"/>
        <v>0</v>
      </c>
      <c r="F10" s="21">
        <f t="shared" ref="F10:F17" si="1">E10/$C$9*10000</f>
        <v>0</v>
      </c>
      <c r="G10" s="20"/>
      <c r="H10" s="20"/>
      <c r="I10" s="58"/>
      <c r="J10" s="59"/>
      <c r="K10" s="60"/>
      <c r="L10" s="13"/>
    </row>
    <row r="11" spans="1:12" ht="19.5" customHeight="1">
      <c r="B11" s="13"/>
      <c r="C11" s="13"/>
      <c r="D11" s="19">
        <v>0.6</v>
      </c>
      <c r="E11" s="20">
        <f t="shared" si="0"/>
        <v>0</v>
      </c>
      <c r="F11" s="21">
        <f t="shared" si="1"/>
        <v>0</v>
      </c>
      <c r="G11" s="20"/>
      <c r="H11" s="20"/>
      <c r="I11" s="58"/>
      <c r="J11" s="59"/>
      <c r="K11" s="60"/>
      <c r="L11" s="13"/>
    </row>
    <row r="12" spans="1:12" ht="19.5" customHeight="1">
      <c r="B12" s="13"/>
      <c r="C12" s="13"/>
      <c r="D12" s="19">
        <v>0.8</v>
      </c>
      <c r="E12" s="20">
        <f t="shared" si="0"/>
        <v>0</v>
      </c>
      <c r="F12" s="21">
        <f t="shared" si="1"/>
        <v>0</v>
      </c>
      <c r="G12" s="20"/>
      <c r="H12" s="20"/>
      <c r="I12" s="58"/>
      <c r="J12" s="61"/>
      <c r="K12" s="62"/>
      <c r="L12" s="13"/>
    </row>
    <row r="13" spans="1:12" s="1" customFormat="1" ht="19.5" customHeight="1">
      <c r="B13" s="23"/>
      <c r="C13" s="24"/>
      <c r="D13" s="25">
        <v>1</v>
      </c>
      <c r="E13" s="26">
        <f t="shared" si="0"/>
        <v>0</v>
      </c>
      <c r="F13" s="27">
        <f t="shared" si="1"/>
        <v>0</v>
      </c>
      <c r="G13" s="26"/>
      <c r="H13" s="26"/>
      <c r="I13" s="58"/>
      <c r="J13" s="63"/>
      <c r="K13" s="64"/>
      <c r="L13" s="65"/>
    </row>
    <row r="14" spans="1:12" ht="19.5" customHeight="1">
      <c r="B14" s="13"/>
      <c r="C14" s="13"/>
      <c r="D14" s="19">
        <v>1.2</v>
      </c>
      <c r="E14" s="20">
        <f t="shared" si="0"/>
        <v>0</v>
      </c>
      <c r="F14" s="21">
        <f t="shared" si="1"/>
        <v>0</v>
      </c>
      <c r="G14" s="20"/>
      <c r="H14" s="20"/>
      <c r="I14" s="58"/>
      <c r="J14" s="59"/>
      <c r="K14" s="60"/>
      <c r="L14" s="13"/>
    </row>
    <row r="15" spans="1:12" ht="19.5" customHeight="1">
      <c r="B15" s="13"/>
      <c r="C15" s="13"/>
      <c r="D15" s="19">
        <v>1.4</v>
      </c>
      <c r="E15" s="20">
        <f t="shared" si="0"/>
        <v>0</v>
      </c>
      <c r="F15" s="21">
        <f t="shared" si="1"/>
        <v>0</v>
      </c>
      <c r="G15" s="20"/>
      <c r="H15" s="20"/>
      <c r="I15" s="58"/>
      <c r="J15" s="59"/>
      <c r="K15" s="60"/>
      <c r="L15" s="13"/>
    </row>
    <row r="16" spans="1:12" ht="19.5" customHeight="1">
      <c r="B16" s="13"/>
      <c r="C16" s="13"/>
      <c r="D16" s="19">
        <v>1.6</v>
      </c>
      <c r="E16" s="20">
        <f t="shared" si="0"/>
        <v>0</v>
      </c>
      <c r="F16" s="21">
        <f t="shared" si="1"/>
        <v>0</v>
      </c>
      <c r="G16" s="20"/>
      <c r="H16" s="20"/>
      <c r="I16" s="58"/>
      <c r="J16" s="59"/>
      <c r="K16" s="60"/>
      <c r="L16" s="13"/>
    </row>
    <row r="17" spans="2:12" ht="19.5" customHeight="1">
      <c r="B17" s="13"/>
      <c r="C17" s="13"/>
      <c r="D17" s="19">
        <v>1.8</v>
      </c>
      <c r="E17" s="20">
        <f t="shared" si="0"/>
        <v>0</v>
      </c>
      <c r="F17" s="21">
        <f t="shared" si="1"/>
        <v>0</v>
      </c>
      <c r="G17" s="20"/>
      <c r="H17" s="20"/>
      <c r="I17" s="58"/>
      <c r="J17" s="66"/>
      <c r="K17" s="67"/>
      <c r="L17" s="13"/>
    </row>
    <row r="18" spans="2:12" ht="19.5" customHeight="1">
      <c r="B18" s="13"/>
      <c r="C18" s="13"/>
      <c r="D18" s="13"/>
      <c r="E18" s="13"/>
      <c r="F18" s="13"/>
      <c r="G18" s="13"/>
      <c r="H18" s="13"/>
      <c r="I18" s="13"/>
      <c r="J18" s="13"/>
      <c r="K18" s="13"/>
      <c r="L18" s="13"/>
    </row>
    <row r="19" spans="2:12" ht="25.5" customHeight="1">
      <c r="B19" s="13"/>
      <c r="C19" s="13"/>
      <c r="D19" s="6" t="s">
        <v>977</v>
      </c>
      <c r="E19" s="13"/>
      <c r="F19" s="13"/>
      <c r="G19" s="13"/>
      <c r="H19" s="13"/>
      <c r="I19" s="13"/>
      <c r="J19" s="13"/>
      <c r="K19" s="13"/>
      <c r="L19" s="13"/>
    </row>
    <row r="20" spans="2:12" ht="25.5">
      <c r="B20" s="28"/>
      <c r="C20" s="13"/>
      <c r="D20" s="5" t="s">
        <v>968</v>
      </c>
      <c r="E20" s="5" t="s">
        <v>978</v>
      </c>
      <c r="F20" s="5" t="s">
        <v>979</v>
      </c>
      <c r="G20" s="5" t="s">
        <v>970</v>
      </c>
      <c r="H20" s="5" t="s">
        <v>230</v>
      </c>
      <c r="I20" s="5" t="s">
        <v>13</v>
      </c>
      <c r="J20" s="5" t="s">
        <v>971</v>
      </c>
      <c r="K20" s="5" t="s">
        <v>972</v>
      </c>
    </row>
    <row r="21" spans="2:12" ht="21" customHeight="1">
      <c r="B21" s="28"/>
      <c r="C21" s="13"/>
      <c r="D21" s="29"/>
      <c r="E21" s="30"/>
      <c r="F21" s="30"/>
      <c r="G21" s="30"/>
      <c r="H21" s="31"/>
      <c r="I21" s="68"/>
      <c r="J21" s="69"/>
      <c r="K21" s="31"/>
    </row>
    <row r="22" spans="2:12" ht="21" customHeight="1">
      <c r="B22" s="28"/>
      <c r="C22" s="13"/>
      <c r="D22" s="29"/>
      <c r="E22" s="30"/>
      <c r="F22" s="30"/>
      <c r="G22" s="30"/>
      <c r="H22" s="31"/>
      <c r="I22" s="68"/>
      <c r="J22" s="69"/>
      <c r="K22" s="31"/>
    </row>
    <row r="23" spans="2:12" s="1" customFormat="1" ht="21" customHeight="1">
      <c r="B23" s="32"/>
      <c r="C23" s="33"/>
      <c r="D23" s="34"/>
      <c r="E23" s="35"/>
      <c r="F23" s="35"/>
      <c r="G23" s="35"/>
      <c r="H23" s="36"/>
      <c r="I23" s="70"/>
      <c r="J23" s="71"/>
      <c r="K23" s="36"/>
    </row>
    <row r="24" spans="2:12" ht="21" customHeight="1">
      <c r="B24" s="28"/>
      <c r="C24" s="13"/>
      <c r="D24" s="29"/>
      <c r="E24" s="30"/>
      <c r="F24" s="30"/>
      <c r="G24" s="30"/>
      <c r="H24" s="31"/>
      <c r="I24" s="68"/>
      <c r="J24" s="69"/>
      <c r="K24" s="31"/>
    </row>
    <row r="25" spans="2:12" ht="21" customHeight="1">
      <c r="B25" s="28"/>
      <c r="C25" s="13"/>
      <c r="D25" s="29"/>
      <c r="E25" s="30"/>
      <c r="F25" s="30"/>
      <c r="G25" s="30"/>
      <c r="H25" s="31"/>
      <c r="I25" s="68"/>
      <c r="J25" s="69"/>
      <c r="K25" s="31"/>
    </row>
    <row r="26" spans="2:12" ht="21" customHeight="1">
      <c r="B26" s="28"/>
      <c r="C26" s="13"/>
      <c r="D26" s="29"/>
      <c r="E26" s="30"/>
      <c r="F26" s="30"/>
      <c r="G26" s="30"/>
      <c r="H26" s="31"/>
      <c r="I26" s="68"/>
      <c r="J26" s="69"/>
      <c r="K26" s="31"/>
    </row>
    <row r="27" spans="2:12" ht="21" customHeight="1">
      <c r="B27" s="28"/>
      <c r="C27" s="13"/>
      <c r="D27" s="29"/>
      <c r="E27" s="30"/>
      <c r="F27" s="30"/>
      <c r="G27" s="30"/>
      <c r="H27" s="31"/>
      <c r="I27" s="68"/>
      <c r="J27" s="69"/>
      <c r="K27" s="31"/>
    </row>
    <row r="28" spans="2:12" ht="13.5">
      <c r="B28" s="13"/>
      <c r="C28" s="13"/>
      <c r="D28" s="13"/>
      <c r="E28" s="13"/>
      <c r="F28" s="13"/>
      <c r="G28" s="37" t="s">
        <v>980</v>
      </c>
      <c r="I28" s="13"/>
      <c r="J28" s="13"/>
      <c r="K28" s="13"/>
      <c r="L28" s="13"/>
    </row>
    <row r="29" spans="2:12" ht="43.5" customHeight="1">
      <c r="B29" s="2016" t="s">
        <v>981</v>
      </c>
      <c r="C29" s="2016"/>
      <c r="D29" s="2016"/>
      <c r="E29" s="2016"/>
      <c r="F29" s="2016"/>
      <c r="G29" s="2016"/>
      <c r="H29" s="2016"/>
      <c r="I29" s="2016"/>
      <c r="J29" s="3"/>
    </row>
    <row r="33" spans="3:16">
      <c r="C33" s="38" t="s">
        <v>982</v>
      </c>
      <c r="D33" s="39"/>
      <c r="E33" s="40"/>
      <c r="F33" s="2" t="s">
        <v>983</v>
      </c>
      <c r="G33" s="41"/>
      <c r="I33" s="38" t="s">
        <v>984</v>
      </c>
      <c r="J33" s="72"/>
    </row>
    <row r="34" spans="3:16">
      <c r="C34" s="38" t="s">
        <v>400</v>
      </c>
      <c r="D34" s="42">
        <v>0.1</v>
      </c>
      <c r="E34" s="42"/>
      <c r="F34" s="38" t="s">
        <v>985</v>
      </c>
      <c r="G34" s="43">
        <f>'[3]8.项目规划指标表'!E46</f>
        <v>0</v>
      </c>
      <c r="I34" s="38" t="s">
        <v>986</v>
      </c>
      <c r="J34" s="41">
        <v>500</v>
      </c>
    </row>
    <row r="35" spans="3:16">
      <c r="C35" s="38"/>
    </row>
    <row r="36" spans="3:16">
      <c r="C36" s="44"/>
    </row>
    <row r="37" spans="3:16" ht="13.5">
      <c r="C37" s="45"/>
      <c r="D37" s="2022" t="s">
        <v>987</v>
      </c>
      <c r="E37" s="2022" t="s">
        <v>988</v>
      </c>
      <c r="F37" s="45" t="s">
        <v>259</v>
      </c>
      <c r="G37" s="2017" t="s">
        <v>989</v>
      </c>
      <c r="H37" s="2018"/>
      <c r="I37" s="2018"/>
      <c r="J37" s="2018"/>
      <c r="K37" s="2018"/>
      <c r="L37" s="2018"/>
      <c r="M37" s="2018"/>
      <c r="N37" s="2018"/>
      <c r="O37" s="2018"/>
      <c r="P37" s="2018"/>
    </row>
    <row r="38" spans="3:16" ht="13.5">
      <c r="C38" s="2019" t="s">
        <v>530</v>
      </c>
      <c r="D38" s="2023"/>
      <c r="E38" s="2023" t="s">
        <v>988</v>
      </c>
      <c r="F38" s="46">
        <f ca="1">'5.分产品利润表'!B25</f>
        <v>20731.861383609437</v>
      </c>
      <c r="G38" s="47">
        <f>J33</f>
        <v>0</v>
      </c>
      <c r="H38" s="48">
        <f>G38+500</f>
        <v>500</v>
      </c>
      <c r="I38" s="73">
        <f>H38+500</f>
        <v>1000</v>
      </c>
      <c r="J38" s="73">
        <f>I38+500</f>
        <v>1500</v>
      </c>
      <c r="K38" s="73">
        <f>J38+500</f>
        <v>2000</v>
      </c>
      <c r="L38" s="73">
        <f t="shared" ref="L38:P38" si="2">K38+500</f>
        <v>2500</v>
      </c>
      <c r="M38" s="73">
        <f t="shared" si="2"/>
        <v>3000</v>
      </c>
      <c r="N38" s="73">
        <f t="shared" si="2"/>
        <v>3500</v>
      </c>
      <c r="O38" s="73">
        <f t="shared" si="2"/>
        <v>4000</v>
      </c>
      <c r="P38" s="73">
        <f t="shared" si="2"/>
        <v>4500</v>
      </c>
    </row>
    <row r="39" spans="3:16" ht="14.25">
      <c r="C39" s="2020"/>
      <c r="D39" s="49" t="e">
        <f>F39/$G$34*10000</f>
        <v>#DIV/0!</v>
      </c>
      <c r="E39" s="50">
        <v>0</v>
      </c>
      <c r="F39" s="51">
        <f>$C$3*(1+E39)</f>
        <v>0</v>
      </c>
      <c r="G39" s="51"/>
      <c r="H39" s="52"/>
      <c r="I39" s="51"/>
      <c r="J39" s="51"/>
      <c r="K39" s="51"/>
      <c r="L39" s="51"/>
      <c r="M39" s="51"/>
      <c r="N39" s="51"/>
      <c r="O39" s="51"/>
      <c r="P39" s="51"/>
    </row>
    <row r="40" spans="3:16" ht="14.25">
      <c r="C40" s="2020"/>
      <c r="D40" s="49" t="e">
        <f t="shared" ref="D40:D63" si="3">F40/$G$34*10000</f>
        <v>#DIV/0!</v>
      </c>
      <c r="E40" s="50">
        <f>E39+$D$34</f>
        <v>0.1</v>
      </c>
      <c r="F40" s="51">
        <f>$C$3*(1+E40)</f>
        <v>0</v>
      </c>
      <c r="G40" s="51"/>
      <c r="H40" s="52"/>
      <c r="I40" s="51"/>
      <c r="J40" s="51"/>
      <c r="K40" s="51"/>
      <c r="L40" s="51"/>
      <c r="M40" s="51"/>
      <c r="N40" s="51"/>
      <c r="O40" s="51"/>
      <c r="P40" s="51"/>
    </row>
    <row r="41" spans="3:16" ht="14.25">
      <c r="C41" s="2020"/>
      <c r="D41" s="49" t="e">
        <f t="shared" si="3"/>
        <v>#DIV/0!</v>
      </c>
      <c r="E41" s="50">
        <f t="shared" ref="E41:E63" si="4">E40+$D$34</f>
        <v>0.2</v>
      </c>
      <c r="F41" s="51">
        <f>$C$3*(1+E41)</f>
        <v>0</v>
      </c>
      <c r="G41" s="51"/>
      <c r="H41" s="52"/>
      <c r="I41" s="51"/>
      <c r="J41" s="51"/>
      <c r="K41" s="51"/>
      <c r="L41" s="51"/>
      <c r="M41" s="51"/>
      <c r="N41" s="51"/>
      <c r="O41" s="51"/>
      <c r="P41" s="51"/>
    </row>
    <row r="42" spans="3:16" ht="14.25">
      <c r="C42" s="2020"/>
      <c r="D42" s="49" t="e">
        <f t="shared" si="3"/>
        <v>#DIV/0!</v>
      </c>
      <c r="E42" s="50">
        <f t="shared" si="4"/>
        <v>0.30000000000000004</v>
      </c>
      <c r="F42" s="51">
        <f>$C$3*(1+E42)</f>
        <v>0</v>
      </c>
      <c r="G42" s="51"/>
      <c r="H42" s="52"/>
      <c r="I42" s="51"/>
      <c r="J42" s="51"/>
      <c r="K42" s="51"/>
      <c r="L42" s="51"/>
      <c r="M42" s="51"/>
      <c r="N42" s="51"/>
      <c r="O42" s="51"/>
      <c r="P42" s="51"/>
    </row>
    <row r="43" spans="3:16" ht="14.25">
      <c r="C43" s="2020"/>
      <c r="D43" s="49" t="e">
        <f t="shared" si="3"/>
        <v>#DIV/0!</v>
      </c>
      <c r="E43" s="50">
        <f t="shared" si="4"/>
        <v>0.4</v>
      </c>
      <c r="F43" s="51">
        <f t="shared" ref="F43:F63" si="5">$C$3*(1+E43)</f>
        <v>0</v>
      </c>
      <c r="G43" s="51"/>
      <c r="H43" s="52"/>
      <c r="I43" s="51"/>
      <c r="J43" s="51"/>
      <c r="K43" s="51"/>
      <c r="L43" s="51"/>
      <c r="M43" s="51"/>
      <c r="N43" s="51"/>
      <c r="O43" s="51"/>
      <c r="P43" s="51"/>
    </row>
    <row r="44" spans="3:16" ht="14.25">
      <c r="C44" s="2020"/>
      <c r="D44" s="49" t="e">
        <f t="shared" si="3"/>
        <v>#DIV/0!</v>
      </c>
      <c r="E44" s="50">
        <f t="shared" si="4"/>
        <v>0.5</v>
      </c>
      <c r="F44" s="51">
        <f t="shared" si="5"/>
        <v>0</v>
      </c>
      <c r="G44" s="51"/>
      <c r="H44" s="52"/>
      <c r="I44" s="51"/>
      <c r="J44" s="51"/>
      <c r="K44" s="51"/>
      <c r="L44" s="51"/>
      <c r="M44" s="51"/>
      <c r="N44" s="51"/>
      <c r="O44" s="51"/>
      <c r="P44" s="51"/>
    </row>
    <row r="45" spans="3:16" ht="14.25">
      <c r="C45" s="2020"/>
      <c r="D45" s="49" t="e">
        <f t="shared" si="3"/>
        <v>#DIV/0!</v>
      </c>
      <c r="E45" s="50">
        <f t="shared" si="4"/>
        <v>0.6</v>
      </c>
      <c r="F45" s="51">
        <f t="shared" si="5"/>
        <v>0</v>
      </c>
      <c r="G45" s="51"/>
      <c r="H45" s="52"/>
      <c r="I45" s="51"/>
      <c r="J45" s="51"/>
      <c r="K45" s="51"/>
      <c r="L45" s="51"/>
      <c r="M45" s="51"/>
      <c r="N45" s="51"/>
      <c r="O45" s="51"/>
      <c r="P45" s="51"/>
    </row>
    <row r="46" spans="3:16" ht="14.25">
      <c r="C46" s="2020"/>
      <c r="D46" s="49" t="e">
        <f t="shared" si="3"/>
        <v>#DIV/0!</v>
      </c>
      <c r="E46" s="50">
        <f t="shared" si="4"/>
        <v>0.7</v>
      </c>
      <c r="F46" s="51">
        <f t="shared" si="5"/>
        <v>0</v>
      </c>
      <c r="G46" s="51"/>
      <c r="H46" s="52"/>
      <c r="I46" s="51"/>
      <c r="J46" s="51"/>
      <c r="K46" s="51"/>
      <c r="L46" s="51"/>
      <c r="M46" s="51"/>
      <c r="N46" s="51"/>
      <c r="O46" s="51"/>
      <c r="P46" s="51"/>
    </row>
    <row r="47" spans="3:16" ht="14.25">
      <c r="C47" s="2020"/>
      <c r="D47" s="49" t="e">
        <f t="shared" si="3"/>
        <v>#DIV/0!</v>
      </c>
      <c r="E47" s="50">
        <f t="shared" si="4"/>
        <v>0.79999999999999993</v>
      </c>
      <c r="F47" s="51">
        <f t="shared" si="5"/>
        <v>0</v>
      </c>
      <c r="G47" s="51"/>
      <c r="H47" s="52"/>
      <c r="I47" s="51"/>
      <c r="J47" s="51"/>
      <c r="K47" s="51"/>
      <c r="L47" s="51"/>
      <c r="M47" s="51"/>
      <c r="N47" s="51"/>
      <c r="O47" s="51"/>
      <c r="P47" s="51"/>
    </row>
    <row r="48" spans="3:16" ht="14.25">
      <c r="C48" s="2020"/>
      <c r="D48" s="49" t="e">
        <f t="shared" si="3"/>
        <v>#DIV/0!</v>
      </c>
      <c r="E48" s="50">
        <f t="shared" si="4"/>
        <v>0.89999999999999991</v>
      </c>
      <c r="F48" s="51">
        <f t="shared" si="5"/>
        <v>0</v>
      </c>
      <c r="G48" s="51"/>
      <c r="H48" s="52"/>
      <c r="I48" s="51"/>
      <c r="J48" s="51"/>
      <c r="K48" s="51"/>
      <c r="L48" s="51"/>
      <c r="M48" s="51"/>
      <c r="N48" s="51"/>
      <c r="O48" s="51"/>
      <c r="P48" s="51"/>
    </row>
    <row r="49" spans="3:16" ht="14.25">
      <c r="C49" s="2020"/>
      <c r="D49" s="49" t="e">
        <f t="shared" si="3"/>
        <v>#DIV/0!</v>
      </c>
      <c r="E49" s="50">
        <f t="shared" si="4"/>
        <v>0.99999999999999989</v>
      </c>
      <c r="F49" s="51">
        <f t="shared" si="5"/>
        <v>0</v>
      </c>
      <c r="G49" s="51"/>
      <c r="H49" s="52"/>
      <c r="I49" s="51"/>
      <c r="J49" s="51"/>
      <c r="K49" s="51"/>
      <c r="L49" s="51"/>
      <c r="M49" s="51"/>
      <c r="N49" s="51"/>
      <c r="O49" s="51"/>
      <c r="P49" s="51"/>
    </row>
    <row r="50" spans="3:16" ht="14.25">
      <c r="C50" s="2020"/>
      <c r="D50" s="49" t="e">
        <f t="shared" si="3"/>
        <v>#DIV/0!</v>
      </c>
      <c r="E50" s="50">
        <f t="shared" si="4"/>
        <v>1.0999999999999999</v>
      </c>
      <c r="F50" s="51">
        <f t="shared" si="5"/>
        <v>0</v>
      </c>
      <c r="G50" s="51"/>
      <c r="H50" s="52"/>
      <c r="I50" s="51"/>
      <c r="J50" s="51"/>
      <c r="K50" s="51"/>
      <c r="L50" s="51"/>
      <c r="M50" s="51"/>
      <c r="N50" s="51"/>
      <c r="O50" s="51"/>
      <c r="P50" s="51"/>
    </row>
    <row r="51" spans="3:16" ht="14.25">
      <c r="C51" s="2020"/>
      <c r="D51" s="49" t="e">
        <f t="shared" si="3"/>
        <v>#DIV/0!</v>
      </c>
      <c r="E51" s="50">
        <f t="shared" si="4"/>
        <v>1.2</v>
      </c>
      <c r="F51" s="51">
        <f t="shared" si="5"/>
        <v>0</v>
      </c>
      <c r="G51" s="51"/>
      <c r="H51" s="52"/>
      <c r="I51" s="51"/>
      <c r="J51" s="51"/>
      <c r="K51" s="51"/>
      <c r="L51" s="51"/>
      <c r="M51" s="51"/>
      <c r="N51" s="51"/>
      <c r="O51" s="51"/>
      <c r="P51" s="51"/>
    </row>
    <row r="52" spans="3:16" ht="14.25">
      <c r="C52" s="2020"/>
      <c r="D52" s="49" t="e">
        <f t="shared" si="3"/>
        <v>#DIV/0!</v>
      </c>
      <c r="E52" s="50">
        <f t="shared" si="4"/>
        <v>1.3</v>
      </c>
      <c r="F52" s="51">
        <f t="shared" si="5"/>
        <v>0</v>
      </c>
      <c r="G52" s="51"/>
      <c r="H52" s="52"/>
      <c r="I52" s="51"/>
      <c r="J52" s="51"/>
      <c r="K52" s="51"/>
      <c r="L52" s="51"/>
      <c r="M52" s="51"/>
      <c r="N52" s="51"/>
      <c r="O52" s="51"/>
      <c r="P52" s="51"/>
    </row>
    <row r="53" spans="3:16" ht="14.25">
      <c r="C53" s="2020"/>
      <c r="D53" s="49" t="e">
        <f t="shared" si="3"/>
        <v>#DIV/0!</v>
      </c>
      <c r="E53" s="50">
        <f t="shared" si="4"/>
        <v>1.4000000000000001</v>
      </c>
      <c r="F53" s="51">
        <f t="shared" si="5"/>
        <v>0</v>
      </c>
      <c r="G53" s="51"/>
      <c r="H53" s="52"/>
      <c r="I53" s="51"/>
      <c r="J53" s="51"/>
      <c r="K53" s="51"/>
      <c r="L53" s="51"/>
      <c r="M53" s="51"/>
      <c r="N53" s="51"/>
      <c r="O53" s="51"/>
      <c r="P53" s="51"/>
    </row>
    <row r="54" spans="3:16" ht="14.25">
      <c r="C54" s="2020"/>
      <c r="D54" s="49" t="e">
        <f t="shared" si="3"/>
        <v>#DIV/0!</v>
      </c>
      <c r="E54" s="50">
        <f t="shared" si="4"/>
        <v>1.5000000000000002</v>
      </c>
      <c r="F54" s="51">
        <f t="shared" si="5"/>
        <v>0</v>
      </c>
      <c r="G54" s="51"/>
      <c r="H54" s="52"/>
      <c r="I54" s="51"/>
      <c r="J54" s="51"/>
      <c r="K54" s="51"/>
      <c r="L54" s="51"/>
      <c r="M54" s="51"/>
      <c r="N54" s="51"/>
      <c r="O54" s="51"/>
      <c r="P54" s="51"/>
    </row>
    <row r="55" spans="3:16" ht="14.25">
      <c r="C55" s="2020"/>
      <c r="D55" s="49" t="e">
        <f t="shared" si="3"/>
        <v>#DIV/0!</v>
      </c>
      <c r="E55" s="50">
        <f t="shared" si="4"/>
        <v>1.6000000000000003</v>
      </c>
      <c r="F55" s="51">
        <f t="shared" si="5"/>
        <v>0</v>
      </c>
      <c r="G55" s="51"/>
      <c r="H55" s="52"/>
      <c r="I55" s="51"/>
      <c r="J55" s="51"/>
      <c r="K55" s="51"/>
      <c r="L55" s="51"/>
      <c r="M55" s="51"/>
      <c r="N55" s="51"/>
      <c r="O55" s="51"/>
      <c r="P55" s="51"/>
    </row>
    <row r="56" spans="3:16" ht="14.25">
      <c r="C56" s="2020"/>
      <c r="D56" s="49" t="e">
        <f t="shared" si="3"/>
        <v>#DIV/0!</v>
      </c>
      <c r="E56" s="50">
        <f t="shared" si="4"/>
        <v>1.7000000000000004</v>
      </c>
      <c r="F56" s="51">
        <f t="shared" si="5"/>
        <v>0</v>
      </c>
      <c r="G56" s="51"/>
      <c r="H56" s="52"/>
      <c r="I56" s="51"/>
      <c r="J56" s="51"/>
      <c r="K56" s="51"/>
      <c r="L56" s="51"/>
      <c r="M56" s="51"/>
      <c r="N56" s="51"/>
      <c r="O56" s="51"/>
      <c r="P56" s="51"/>
    </row>
    <row r="57" spans="3:16" ht="14.25">
      <c r="C57" s="2020"/>
      <c r="D57" s="49" t="e">
        <f t="shared" si="3"/>
        <v>#DIV/0!</v>
      </c>
      <c r="E57" s="50">
        <f t="shared" si="4"/>
        <v>1.8000000000000005</v>
      </c>
      <c r="F57" s="51">
        <f t="shared" si="5"/>
        <v>0</v>
      </c>
      <c r="G57" s="51"/>
      <c r="H57" s="52"/>
      <c r="I57" s="51"/>
      <c r="J57" s="51"/>
      <c r="K57" s="51"/>
      <c r="L57" s="51"/>
      <c r="M57" s="51"/>
      <c r="N57" s="51"/>
      <c r="O57" s="51"/>
      <c r="P57" s="51"/>
    </row>
    <row r="58" spans="3:16" ht="14.25">
      <c r="C58" s="2020"/>
      <c r="D58" s="49" t="e">
        <f t="shared" si="3"/>
        <v>#DIV/0!</v>
      </c>
      <c r="E58" s="50">
        <f t="shared" si="4"/>
        <v>1.9000000000000006</v>
      </c>
      <c r="F58" s="51">
        <f t="shared" si="5"/>
        <v>0</v>
      </c>
      <c r="G58" s="51"/>
      <c r="H58" s="52"/>
      <c r="I58" s="51"/>
      <c r="J58" s="51"/>
      <c r="K58" s="51"/>
      <c r="L58" s="51"/>
      <c r="M58" s="51"/>
      <c r="N58" s="51"/>
      <c r="O58" s="51"/>
      <c r="P58" s="51"/>
    </row>
    <row r="59" spans="3:16" ht="14.25">
      <c r="C59" s="2020"/>
      <c r="D59" s="49" t="e">
        <f t="shared" si="3"/>
        <v>#DIV/0!</v>
      </c>
      <c r="E59" s="50">
        <f t="shared" si="4"/>
        <v>2.0000000000000004</v>
      </c>
      <c r="F59" s="51">
        <f t="shared" si="5"/>
        <v>0</v>
      </c>
      <c r="G59" s="51"/>
      <c r="H59" s="52"/>
      <c r="I59" s="51"/>
      <c r="J59" s="51"/>
      <c r="K59" s="51"/>
      <c r="L59" s="51"/>
      <c r="M59" s="51"/>
      <c r="N59" s="51"/>
      <c r="O59" s="51"/>
      <c r="P59" s="51"/>
    </row>
    <row r="60" spans="3:16" ht="14.25">
      <c r="C60" s="2020"/>
      <c r="D60" s="49" t="e">
        <f t="shared" si="3"/>
        <v>#DIV/0!</v>
      </c>
      <c r="E60" s="50">
        <f t="shared" si="4"/>
        <v>2.1000000000000005</v>
      </c>
      <c r="F60" s="51">
        <f t="shared" si="5"/>
        <v>0</v>
      </c>
      <c r="G60" s="51"/>
      <c r="H60" s="52"/>
      <c r="I60" s="51"/>
      <c r="J60" s="51"/>
      <c r="K60" s="51"/>
      <c r="L60" s="51"/>
      <c r="M60" s="51"/>
      <c r="N60" s="51"/>
      <c r="O60" s="51"/>
      <c r="P60" s="51"/>
    </row>
    <row r="61" spans="3:16" ht="14.25">
      <c r="C61" s="2020"/>
      <c r="D61" s="49" t="e">
        <f t="shared" si="3"/>
        <v>#DIV/0!</v>
      </c>
      <c r="E61" s="50">
        <f t="shared" si="4"/>
        <v>2.2000000000000006</v>
      </c>
      <c r="F61" s="51">
        <f t="shared" si="5"/>
        <v>0</v>
      </c>
      <c r="G61" s="51"/>
      <c r="H61" s="52"/>
      <c r="I61" s="51"/>
      <c r="J61" s="51"/>
      <c r="K61" s="51"/>
      <c r="L61" s="51"/>
      <c r="M61" s="51"/>
      <c r="N61" s="51"/>
      <c r="O61" s="51"/>
      <c r="P61" s="51"/>
    </row>
    <row r="62" spans="3:16" ht="14.25">
      <c r="C62" s="2020"/>
      <c r="D62" s="49" t="e">
        <f t="shared" si="3"/>
        <v>#DIV/0!</v>
      </c>
      <c r="E62" s="50">
        <f t="shared" si="4"/>
        <v>2.3000000000000007</v>
      </c>
      <c r="F62" s="51">
        <f t="shared" si="5"/>
        <v>0</v>
      </c>
      <c r="G62" s="51"/>
      <c r="H62" s="52"/>
      <c r="I62" s="51"/>
      <c r="J62" s="51"/>
      <c r="K62" s="51"/>
      <c r="L62" s="51"/>
      <c r="M62" s="51"/>
      <c r="N62" s="51"/>
      <c r="O62" s="51"/>
      <c r="P62" s="51"/>
    </row>
    <row r="63" spans="3:16" ht="14.25">
      <c r="C63" s="2021"/>
      <c r="D63" s="49" t="e">
        <f t="shared" si="3"/>
        <v>#DIV/0!</v>
      </c>
      <c r="E63" s="50">
        <f t="shared" si="4"/>
        <v>2.4000000000000008</v>
      </c>
      <c r="F63" s="51">
        <f t="shared" si="5"/>
        <v>0</v>
      </c>
      <c r="G63" s="51"/>
      <c r="H63" s="52"/>
      <c r="I63" s="51"/>
      <c r="J63" s="51"/>
      <c r="K63" s="51"/>
      <c r="L63" s="51"/>
      <c r="M63" s="51"/>
      <c r="N63" s="51"/>
      <c r="O63" s="51"/>
      <c r="P63" s="51"/>
    </row>
  </sheetData>
  <mergeCells count="7">
    <mergeCell ref="A1:K1"/>
    <mergeCell ref="B2:J2"/>
    <mergeCell ref="B29:I29"/>
    <mergeCell ref="G37:P37"/>
    <mergeCell ref="C38:C63"/>
    <mergeCell ref="D37:D38"/>
    <mergeCell ref="E37:E38"/>
  </mergeCells>
  <phoneticPr fontId="102" type="noConversion"/>
  <pageMargins left="0.69930555555555596" right="0.69930555555555596"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workbookViewId="0">
      <selection activeCell="L40" sqref="L40"/>
    </sheetView>
  </sheetViews>
  <sheetFormatPr defaultColWidth="9" defaultRowHeight="13.5"/>
  <sheetData/>
  <phoneticPr fontId="102" type="noConversion"/>
  <pageMargins left="0.69930555555555596" right="0.69930555555555596" top="0.75" bottom="0.75" header="0.3" footer="0.3"/>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
  <sheetViews>
    <sheetView workbookViewId="0">
      <selection activeCell="K38" sqref="K38"/>
    </sheetView>
  </sheetViews>
  <sheetFormatPr defaultColWidth="9" defaultRowHeight="13.5"/>
  <sheetData/>
  <phoneticPr fontId="102" type="noConversion"/>
  <pageMargins left="0.69930555555555596" right="0.69930555555555596"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
  <sheetViews>
    <sheetView workbookViewId="0">
      <selection activeCell="L41" sqref="L41"/>
    </sheetView>
  </sheetViews>
  <sheetFormatPr defaultColWidth="9" defaultRowHeight="13.5"/>
  <sheetData/>
  <phoneticPr fontId="102"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40</vt:i4>
      </vt:variant>
      <vt:variant>
        <vt:lpstr>命名范围</vt:lpstr>
      </vt:variant>
      <vt:variant>
        <vt:i4>2</vt:i4>
      </vt:variant>
    </vt:vector>
  </HeadingPairs>
  <TitlesOfParts>
    <vt:vector size="42" baseType="lpstr">
      <vt:lpstr>Sheet1</vt:lpstr>
      <vt:lpstr>盈利指标</vt:lpstr>
      <vt:lpstr>更新框架</vt:lpstr>
      <vt:lpstr>4税负分析</vt:lpstr>
      <vt:lpstr>3利润分产品</vt:lpstr>
      <vt:lpstr>2现金流分析</vt:lpstr>
      <vt:lpstr>目录</vt:lpstr>
      <vt:lpstr>收并购参数设置</vt:lpstr>
      <vt:lpstr>自持参数设置</vt:lpstr>
      <vt:lpstr>自持利润及现金流量表</vt:lpstr>
      <vt:lpstr>收并购及自持输出表</vt:lpstr>
      <vt:lpstr>综合表</vt:lpstr>
      <vt:lpstr>支付对价及节点</vt:lpstr>
      <vt:lpstr>2.税率表</vt:lpstr>
      <vt:lpstr>1.参数设置</vt:lpstr>
      <vt:lpstr>12.土地成本表</vt:lpstr>
      <vt:lpstr>3.保本售价试算</vt:lpstr>
      <vt:lpstr>Sheet3</vt:lpstr>
      <vt:lpstr>Sheet4</vt:lpstr>
      <vt:lpstr>4.综合指标表</vt:lpstr>
      <vt:lpstr>5.分产品利润表</vt:lpstr>
      <vt:lpstr>6.签约利润表</vt:lpstr>
      <vt:lpstr>7.现金流量表</vt:lpstr>
      <vt:lpstr>2.3会计利润表</vt:lpstr>
      <vt:lpstr>7.现金流量表（项目经营性）</vt:lpstr>
      <vt:lpstr>17.财务费用测算表</vt:lpstr>
      <vt:lpstr>8.项目规划指标表</vt:lpstr>
      <vt:lpstr>9.项目开发计划表</vt:lpstr>
      <vt:lpstr>10.工程成本支出表</vt:lpstr>
      <vt:lpstr>11.销售及回款表</vt:lpstr>
      <vt:lpstr>13.建安成本表</vt:lpstr>
      <vt:lpstr>14.增值税计算表</vt:lpstr>
      <vt:lpstr>15.土地增值税</vt:lpstr>
      <vt:lpstr>Sheet2</vt:lpstr>
      <vt:lpstr>Sheet5</vt:lpstr>
      <vt:lpstr>16.所得税计算表</vt:lpstr>
      <vt:lpstr>18、敏感性分析</vt:lpstr>
      <vt:lpstr>Sheet7</vt:lpstr>
      <vt:lpstr>Sheet6</vt:lpstr>
      <vt:lpstr>Sheet8</vt:lpstr>
      <vt:lpstr>收并购及自持输出表!Print_Area</vt:lpstr>
      <vt:lpstr>综合表!Print_Area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唐思彦</dc:creator>
  <cp:lastModifiedBy>杨志凯</cp:lastModifiedBy>
  <cp:lastPrinted>2018-09-10T00:49:37Z</cp:lastPrinted>
  <dcterms:created xsi:type="dcterms:W3CDTF">2006-09-16T00:00:00Z</dcterms:created>
  <dcterms:modified xsi:type="dcterms:W3CDTF">2018-09-13T05:59:44Z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